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T:\Tax Liens\Analysis &amp; Reporting\Florida\County Acquisition Analysis\NASSAU\2018\"/>
    </mc:Choice>
  </mc:AlternateContent>
  <bookViews>
    <workbookView xWindow="0" yWindow="0" windowWidth="28800" windowHeight="12330"/>
  </bookViews>
  <sheets>
    <sheet name="Table" sheetId="1" r:id="rId1"/>
  </sheets>
  <calcPr calcId="162913"/>
</workbook>
</file>

<file path=xl/calcChain.xml><?xml version="1.0" encoding="utf-8"?>
<calcChain xmlns="http://schemas.openxmlformats.org/spreadsheetml/2006/main">
  <c r="C2296" i="1" l="1"/>
  <c r="B2296" i="1"/>
  <c r="A2296" i="1"/>
  <c r="C2295" i="1"/>
  <c r="B2295" i="1"/>
  <c r="A2295" i="1"/>
  <c r="C2294" i="1"/>
  <c r="B2294" i="1"/>
  <c r="A2294" i="1"/>
  <c r="C2293" i="1"/>
  <c r="B2293" i="1"/>
  <c r="A2293" i="1"/>
  <c r="C2292" i="1"/>
  <c r="B2292" i="1"/>
  <c r="A2292" i="1"/>
  <c r="C2291" i="1"/>
  <c r="B2291" i="1"/>
  <c r="A2291" i="1"/>
  <c r="C2290" i="1"/>
  <c r="B2290" i="1"/>
  <c r="A2290" i="1"/>
  <c r="C2289" i="1"/>
  <c r="B2289" i="1"/>
  <c r="A2289" i="1"/>
  <c r="C2288" i="1"/>
  <c r="B2288" i="1"/>
  <c r="A2288" i="1"/>
  <c r="C2287" i="1"/>
  <c r="B2287" i="1"/>
  <c r="A2287" i="1"/>
  <c r="C2286" i="1"/>
  <c r="B2286" i="1"/>
  <c r="A2286" i="1"/>
  <c r="C2285" i="1"/>
  <c r="B2285" i="1"/>
  <c r="A2285" i="1"/>
  <c r="C2284" i="1"/>
  <c r="B2284" i="1"/>
  <c r="A2284" i="1"/>
  <c r="C2283" i="1"/>
  <c r="B2283" i="1"/>
  <c r="A2283" i="1"/>
  <c r="C2282" i="1"/>
  <c r="B2282" i="1"/>
  <c r="A2282" i="1"/>
  <c r="C2281" i="1"/>
  <c r="B2281" i="1"/>
  <c r="A2281" i="1"/>
  <c r="C2280" i="1"/>
  <c r="B2280" i="1"/>
  <c r="A2280" i="1"/>
  <c r="C2279" i="1"/>
  <c r="B2279" i="1"/>
  <c r="A2279" i="1"/>
  <c r="C2278" i="1"/>
  <c r="B2278" i="1"/>
  <c r="A2278" i="1"/>
  <c r="C2277" i="1"/>
  <c r="B2277" i="1"/>
  <c r="A2277" i="1"/>
  <c r="C2276" i="1"/>
  <c r="B2276" i="1"/>
  <c r="A2276" i="1"/>
  <c r="C2275" i="1"/>
  <c r="B2275" i="1"/>
  <c r="A2275" i="1"/>
  <c r="C2274" i="1"/>
  <c r="B2274" i="1"/>
  <c r="A2274" i="1"/>
  <c r="C2273" i="1"/>
  <c r="B2273" i="1"/>
  <c r="A2273" i="1"/>
  <c r="C2272" i="1"/>
  <c r="B2272" i="1"/>
  <c r="A2272" i="1"/>
  <c r="C2271" i="1"/>
  <c r="B2271" i="1"/>
  <c r="A2271" i="1"/>
  <c r="C2270" i="1"/>
  <c r="B2270" i="1"/>
  <c r="A2270" i="1"/>
  <c r="C2269" i="1"/>
  <c r="B2269" i="1"/>
  <c r="A2269" i="1"/>
  <c r="C2268" i="1"/>
  <c r="B2268" i="1"/>
  <c r="A2268" i="1"/>
  <c r="C2267" i="1"/>
  <c r="B2267" i="1"/>
  <c r="A2267" i="1"/>
  <c r="C2266" i="1"/>
  <c r="B2266" i="1"/>
  <c r="A2266" i="1"/>
  <c r="C2265" i="1"/>
  <c r="B2265" i="1"/>
  <c r="A2265" i="1"/>
  <c r="C2264" i="1"/>
  <c r="B2264" i="1"/>
  <c r="A2264" i="1"/>
  <c r="C2263" i="1"/>
  <c r="B2263" i="1"/>
  <c r="A2263" i="1"/>
  <c r="C2262" i="1"/>
  <c r="B2262" i="1"/>
  <c r="A2262" i="1"/>
  <c r="C2261" i="1"/>
  <c r="B2261" i="1"/>
  <c r="A2261" i="1"/>
  <c r="C2260" i="1"/>
  <c r="B2260" i="1"/>
  <c r="A2260" i="1"/>
  <c r="C2259" i="1"/>
  <c r="B2259" i="1"/>
  <c r="A2259" i="1"/>
  <c r="C2258" i="1"/>
  <c r="B2258" i="1"/>
  <c r="A2258" i="1"/>
  <c r="C2257" i="1"/>
  <c r="B2257" i="1"/>
  <c r="A2257" i="1"/>
  <c r="C2256" i="1"/>
  <c r="B2256" i="1"/>
  <c r="A2256" i="1"/>
  <c r="C2255" i="1"/>
  <c r="B2255" i="1"/>
  <c r="A2255" i="1"/>
  <c r="C2254" i="1"/>
  <c r="B2254" i="1"/>
  <c r="A2254" i="1"/>
  <c r="C2253" i="1"/>
  <c r="B2253" i="1"/>
  <c r="A2253" i="1"/>
  <c r="C2252" i="1"/>
  <c r="B2252" i="1"/>
  <c r="A2252" i="1"/>
  <c r="C2251" i="1"/>
  <c r="B2251" i="1"/>
  <c r="A2251" i="1"/>
  <c r="C2250" i="1"/>
  <c r="B2250" i="1"/>
  <c r="A2250" i="1"/>
  <c r="C2249" i="1"/>
  <c r="B2249" i="1"/>
  <c r="A2249" i="1"/>
  <c r="C2248" i="1"/>
  <c r="B2248" i="1"/>
  <c r="A2248" i="1"/>
  <c r="C2247" i="1"/>
  <c r="B2247" i="1"/>
  <c r="A2247" i="1"/>
  <c r="C2246" i="1"/>
  <c r="B2246" i="1"/>
  <c r="A2246" i="1"/>
  <c r="C2245" i="1"/>
  <c r="B2245" i="1"/>
  <c r="A2245" i="1"/>
  <c r="C2244" i="1"/>
  <c r="B2244" i="1"/>
  <c r="A2244" i="1"/>
  <c r="C2243" i="1"/>
  <c r="B2243" i="1"/>
  <c r="A2243" i="1"/>
  <c r="C2242" i="1"/>
  <c r="B2242" i="1"/>
  <c r="A2242" i="1"/>
  <c r="C2241" i="1"/>
  <c r="B2241" i="1"/>
  <c r="A2241" i="1"/>
  <c r="C2240" i="1"/>
  <c r="B2240" i="1"/>
  <c r="A2240" i="1"/>
  <c r="C2239" i="1"/>
  <c r="B2239" i="1"/>
  <c r="A2239" i="1"/>
  <c r="C2238" i="1"/>
  <c r="B2238" i="1"/>
  <c r="A2238" i="1"/>
  <c r="C2237" i="1"/>
  <c r="B2237" i="1"/>
  <c r="A2237" i="1"/>
  <c r="C2236" i="1"/>
  <c r="B2236" i="1"/>
  <c r="A2236" i="1"/>
  <c r="C2235" i="1"/>
  <c r="B2235" i="1"/>
  <c r="A2235" i="1"/>
  <c r="C2234" i="1"/>
  <c r="B2234" i="1"/>
  <c r="A2234" i="1"/>
  <c r="C2233" i="1"/>
  <c r="B2233" i="1"/>
  <c r="A2233" i="1"/>
  <c r="C2232" i="1"/>
  <c r="B2232" i="1"/>
  <c r="A2232" i="1"/>
  <c r="C2231" i="1"/>
  <c r="B2231" i="1"/>
  <c r="A2231" i="1"/>
  <c r="C2230" i="1"/>
  <c r="B2230" i="1"/>
  <c r="A2230" i="1"/>
  <c r="C2229" i="1"/>
  <c r="B2229" i="1"/>
  <c r="A2229" i="1"/>
  <c r="C2228" i="1"/>
  <c r="B2228" i="1"/>
  <c r="A2228" i="1"/>
  <c r="C2227" i="1"/>
  <c r="B2227" i="1"/>
  <c r="A2227" i="1"/>
  <c r="C2226" i="1"/>
  <c r="B2226" i="1"/>
  <c r="A2226" i="1"/>
  <c r="C2225" i="1"/>
  <c r="B2225" i="1"/>
  <c r="A2225" i="1"/>
  <c r="C2224" i="1"/>
  <c r="B2224" i="1"/>
  <c r="A2224" i="1"/>
  <c r="C2223" i="1"/>
  <c r="B2223" i="1"/>
  <c r="A2223" i="1"/>
  <c r="C2222" i="1"/>
  <c r="B2222" i="1"/>
  <c r="A2222" i="1"/>
  <c r="C2221" i="1"/>
  <c r="B2221" i="1"/>
  <c r="A2221" i="1"/>
  <c r="C2220" i="1"/>
  <c r="B2220" i="1"/>
  <c r="A2220" i="1"/>
  <c r="C2219" i="1"/>
  <c r="B2219" i="1"/>
  <c r="A2219" i="1"/>
  <c r="C2218" i="1"/>
  <c r="B2218" i="1"/>
  <c r="A2218" i="1"/>
  <c r="C2217" i="1"/>
  <c r="B2217" i="1"/>
  <c r="A2217" i="1"/>
  <c r="C2216" i="1"/>
  <c r="B2216" i="1"/>
  <c r="A2216" i="1"/>
  <c r="C2215" i="1"/>
  <c r="B2215" i="1"/>
  <c r="A2215" i="1"/>
  <c r="C2214" i="1"/>
  <c r="B2214" i="1"/>
  <c r="A2214" i="1"/>
  <c r="C2213" i="1"/>
  <c r="B2213" i="1"/>
  <c r="A2213" i="1"/>
  <c r="C2212" i="1"/>
  <c r="B2212" i="1"/>
  <c r="A2212" i="1"/>
  <c r="C2211" i="1"/>
  <c r="B2211" i="1"/>
  <c r="A2211" i="1"/>
  <c r="C2210" i="1"/>
  <c r="B2210" i="1"/>
  <c r="A2210" i="1"/>
  <c r="C2209" i="1"/>
  <c r="B2209" i="1"/>
  <c r="A2209" i="1"/>
  <c r="C2208" i="1"/>
  <c r="B2208" i="1"/>
  <c r="A2208" i="1"/>
  <c r="C2207" i="1"/>
  <c r="B2207" i="1"/>
  <c r="A2207" i="1"/>
  <c r="C2206" i="1"/>
  <c r="B2206" i="1"/>
  <c r="A2206" i="1"/>
  <c r="C2205" i="1"/>
  <c r="B2205" i="1"/>
  <c r="A2205" i="1"/>
  <c r="C2204" i="1"/>
  <c r="B2204" i="1"/>
  <c r="A2204" i="1"/>
  <c r="C2203" i="1"/>
  <c r="B2203" i="1"/>
  <c r="A2203" i="1"/>
  <c r="C2202" i="1"/>
  <c r="B2202" i="1"/>
  <c r="A2202" i="1"/>
  <c r="C2201" i="1"/>
  <c r="B2201" i="1"/>
  <c r="A2201" i="1"/>
  <c r="C2200" i="1"/>
  <c r="B2200" i="1"/>
  <c r="A2200" i="1"/>
  <c r="C2199" i="1"/>
  <c r="B2199" i="1"/>
  <c r="A2199" i="1"/>
  <c r="C2198" i="1"/>
  <c r="B2198" i="1"/>
  <c r="A2198" i="1"/>
  <c r="C2197" i="1"/>
  <c r="B2197" i="1"/>
  <c r="A2197" i="1"/>
  <c r="C2196" i="1"/>
  <c r="B2196" i="1"/>
  <c r="A2196" i="1"/>
  <c r="C2195" i="1"/>
  <c r="B2195" i="1"/>
  <c r="A2195" i="1"/>
  <c r="C2194" i="1"/>
  <c r="B2194" i="1"/>
  <c r="A2194" i="1"/>
  <c r="C2193" i="1"/>
  <c r="B2193" i="1"/>
  <c r="A2193" i="1"/>
  <c r="C2192" i="1"/>
  <c r="B2192" i="1"/>
  <c r="A2192" i="1"/>
  <c r="C2191" i="1"/>
  <c r="B2191" i="1"/>
  <c r="A2191" i="1"/>
  <c r="C2190" i="1"/>
  <c r="B2190" i="1"/>
  <c r="A2190" i="1"/>
  <c r="C2189" i="1"/>
  <c r="B2189" i="1"/>
  <c r="A2189" i="1"/>
  <c r="C2188" i="1"/>
  <c r="B2188" i="1"/>
  <c r="A2188" i="1"/>
  <c r="C2187" i="1"/>
  <c r="B2187" i="1"/>
  <c r="A2187" i="1"/>
  <c r="C2186" i="1"/>
  <c r="B2186" i="1"/>
  <c r="A2186" i="1"/>
  <c r="C2185" i="1"/>
  <c r="B2185" i="1"/>
  <c r="A2185" i="1"/>
  <c r="C2184" i="1"/>
  <c r="B2184" i="1"/>
  <c r="A2184" i="1"/>
  <c r="C2183" i="1"/>
  <c r="B2183" i="1"/>
  <c r="A2183" i="1"/>
  <c r="C2182" i="1"/>
  <c r="B2182" i="1"/>
  <c r="A2182" i="1"/>
  <c r="C2181" i="1"/>
  <c r="B2181" i="1"/>
  <c r="A2181" i="1"/>
  <c r="C2180" i="1"/>
  <c r="B2180" i="1"/>
  <c r="A2180" i="1"/>
  <c r="C2179" i="1"/>
  <c r="B2179" i="1"/>
  <c r="A2179" i="1"/>
  <c r="C2178" i="1"/>
  <c r="B2178" i="1"/>
  <c r="A2178" i="1"/>
  <c r="C2177" i="1"/>
  <c r="B2177" i="1"/>
  <c r="A2177" i="1"/>
  <c r="C2176" i="1"/>
  <c r="B2176" i="1"/>
  <c r="A2176" i="1"/>
  <c r="C2175" i="1"/>
  <c r="B2175" i="1"/>
  <c r="A2175" i="1"/>
  <c r="C2174" i="1"/>
  <c r="B2174" i="1"/>
  <c r="A2174" i="1"/>
  <c r="C2173" i="1"/>
  <c r="B2173" i="1"/>
  <c r="A2173" i="1"/>
  <c r="C2172" i="1"/>
  <c r="B2172" i="1"/>
  <c r="A2172" i="1"/>
  <c r="C2171" i="1"/>
  <c r="B2171" i="1"/>
  <c r="A2171" i="1"/>
  <c r="C2170" i="1"/>
  <c r="B2170" i="1"/>
  <c r="A2170" i="1"/>
  <c r="C2169" i="1"/>
  <c r="B2169" i="1"/>
  <c r="A2169" i="1"/>
  <c r="C2168" i="1"/>
  <c r="B2168" i="1"/>
  <c r="A2168" i="1"/>
  <c r="C2167" i="1"/>
  <c r="B2167" i="1"/>
  <c r="A2167" i="1"/>
  <c r="C2166" i="1"/>
  <c r="B2166" i="1"/>
  <c r="A2166" i="1"/>
  <c r="C2165" i="1"/>
  <c r="B2165" i="1"/>
  <c r="A2165" i="1"/>
  <c r="C2164" i="1"/>
  <c r="B2164" i="1"/>
  <c r="A2164" i="1"/>
  <c r="C2163" i="1"/>
  <c r="B2163" i="1"/>
  <c r="A2163" i="1"/>
  <c r="C2162" i="1"/>
  <c r="B2162" i="1"/>
  <c r="A2162" i="1"/>
  <c r="C2161" i="1"/>
  <c r="B2161" i="1"/>
  <c r="A2161" i="1"/>
  <c r="C2160" i="1"/>
  <c r="B2160" i="1"/>
  <c r="A2160" i="1"/>
  <c r="C2159" i="1"/>
  <c r="B2159" i="1"/>
  <c r="A2159" i="1"/>
  <c r="C2158" i="1"/>
  <c r="B2158" i="1"/>
  <c r="A2158" i="1"/>
  <c r="C2157" i="1"/>
  <c r="B2157" i="1"/>
  <c r="A2157" i="1"/>
  <c r="C2156" i="1"/>
  <c r="B2156" i="1"/>
  <c r="A2156" i="1"/>
  <c r="C2155" i="1"/>
  <c r="B2155" i="1"/>
  <c r="A2155" i="1"/>
  <c r="C2154" i="1"/>
  <c r="B2154" i="1"/>
  <c r="A2154" i="1"/>
  <c r="C2153" i="1"/>
  <c r="B2153" i="1"/>
  <c r="A2153" i="1"/>
  <c r="C2152" i="1"/>
  <c r="B2152" i="1"/>
  <c r="A2152" i="1"/>
  <c r="C2151" i="1"/>
  <c r="B2151" i="1"/>
  <c r="A2151" i="1"/>
  <c r="C2150" i="1"/>
  <c r="B2150" i="1"/>
  <c r="A2150" i="1"/>
  <c r="C2149" i="1"/>
  <c r="B2149" i="1"/>
  <c r="A2149" i="1"/>
  <c r="C2148" i="1"/>
  <c r="B2148" i="1"/>
  <c r="A2148" i="1"/>
  <c r="C2147" i="1"/>
  <c r="B2147" i="1"/>
  <c r="A2147" i="1"/>
  <c r="C2146" i="1"/>
  <c r="B2146" i="1"/>
  <c r="A2146" i="1"/>
  <c r="C2145" i="1"/>
  <c r="B2145" i="1"/>
  <c r="A2145" i="1"/>
  <c r="C2144" i="1"/>
  <c r="B2144" i="1"/>
  <c r="A2144" i="1"/>
  <c r="C2143" i="1"/>
  <c r="B2143" i="1"/>
  <c r="A2143" i="1"/>
  <c r="C2142" i="1"/>
  <c r="B2142" i="1"/>
  <c r="A2142" i="1"/>
  <c r="C2141" i="1"/>
  <c r="B2141" i="1"/>
  <c r="A2141" i="1"/>
  <c r="C2140" i="1"/>
  <c r="B2140" i="1"/>
  <c r="A2140" i="1"/>
  <c r="C2139" i="1"/>
  <c r="B2139" i="1"/>
  <c r="A2139" i="1"/>
  <c r="C2138" i="1"/>
  <c r="B2138" i="1"/>
  <c r="A2138" i="1"/>
  <c r="C2137" i="1"/>
  <c r="B2137" i="1"/>
  <c r="A2137" i="1"/>
  <c r="C2136" i="1"/>
  <c r="B2136" i="1"/>
  <c r="A2136" i="1"/>
  <c r="C2135" i="1"/>
  <c r="B2135" i="1"/>
  <c r="A2135" i="1"/>
  <c r="C2134" i="1"/>
  <c r="B2134" i="1"/>
  <c r="A2134" i="1"/>
  <c r="C2133" i="1"/>
  <c r="B2133" i="1"/>
  <c r="A2133" i="1"/>
  <c r="C2132" i="1"/>
  <c r="B2132" i="1"/>
  <c r="A2132" i="1"/>
  <c r="C2131" i="1"/>
  <c r="B2131" i="1"/>
  <c r="A2131" i="1"/>
  <c r="C2130" i="1"/>
  <c r="B2130" i="1"/>
  <c r="A2130" i="1"/>
  <c r="C2129" i="1"/>
  <c r="B2129" i="1"/>
  <c r="A2129" i="1"/>
  <c r="C2128" i="1"/>
  <c r="B2128" i="1"/>
  <c r="A2128" i="1"/>
  <c r="C2127" i="1"/>
  <c r="B2127" i="1"/>
  <c r="A2127" i="1"/>
  <c r="C2126" i="1"/>
  <c r="B2126" i="1"/>
  <c r="A2126" i="1"/>
  <c r="C2125" i="1"/>
  <c r="B2125" i="1"/>
  <c r="A2125" i="1"/>
  <c r="C2124" i="1"/>
  <c r="B2124" i="1"/>
  <c r="A2124" i="1"/>
  <c r="C2123" i="1"/>
  <c r="B2123" i="1"/>
  <c r="A2123" i="1"/>
  <c r="C2122" i="1"/>
  <c r="B2122" i="1"/>
  <c r="A2122" i="1"/>
  <c r="C2121" i="1"/>
  <c r="B2121" i="1"/>
  <c r="A2121" i="1"/>
  <c r="C2120" i="1"/>
  <c r="B2120" i="1"/>
  <c r="A2120" i="1"/>
  <c r="C2119" i="1"/>
  <c r="B2119" i="1"/>
  <c r="A2119" i="1"/>
  <c r="C2118" i="1"/>
  <c r="B2118" i="1"/>
  <c r="A2118" i="1"/>
  <c r="C2117" i="1"/>
  <c r="B2117" i="1"/>
  <c r="A2117" i="1"/>
  <c r="C2116" i="1"/>
  <c r="B2116" i="1"/>
  <c r="A2116" i="1"/>
  <c r="C2115" i="1"/>
  <c r="B2115" i="1"/>
  <c r="A2115" i="1"/>
  <c r="C2114" i="1"/>
  <c r="B2114" i="1"/>
  <c r="A2114" i="1"/>
  <c r="C2113" i="1"/>
  <c r="B2113" i="1"/>
  <c r="A2113" i="1"/>
  <c r="C2112" i="1"/>
  <c r="B2112" i="1"/>
  <c r="A2112" i="1"/>
  <c r="C2111" i="1"/>
  <c r="B2111" i="1"/>
  <c r="A2111" i="1"/>
  <c r="C2110" i="1"/>
  <c r="B2110" i="1"/>
  <c r="A2110" i="1"/>
  <c r="C2109" i="1"/>
  <c r="B2109" i="1"/>
  <c r="A2109" i="1"/>
  <c r="C2108" i="1"/>
  <c r="B2108" i="1"/>
  <c r="A2108" i="1"/>
  <c r="C2107" i="1"/>
  <c r="B2107" i="1"/>
  <c r="A2107" i="1"/>
  <c r="C2106" i="1"/>
  <c r="B2106" i="1"/>
  <c r="A2106" i="1"/>
  <c r="C2105" i="1"/>
  <c r="B2105" i="1"/>
  <c r="A2105" i="1"/>
  <c r="C2104" i="1"/>
  <c r="B2104" i="1"/>
  <c r="A2104" i="1"/>
  <c r="C2103" i="1"/>
  <c r="B2103" i="1"/>
  <c r="A2103" i="1"/>
  <c r="C2102" i="1"/>
  <c r="B2102" i="1"/>
  <c r="A2102" i="1"/>
  <c r="C2101" i="1"/>
  <c r="B2101" i="1"/>
  <c r="A2101" i="1"/>
  <c r="C2100" i="1"/>
  <c r="B2100" i="1"/>
  <c r="A2100" i="1"/>
  <c r="C2099" i="1"/>
  <c r="B2099" i="1"/>
  <c r="A2099" i="1"/>
  <c r="C2098" i="1"/>
  <c r="B2098" i="1"/>
  <c r="A2098" i="1"/>
  <c r="C2097" i="1"/>
  <c r="B2097" i="1"/>
  <c r="A2097" i="1"/>
  <c r="C2096" i="1"/>
  <c r="B2096" i="1"/>
  <c r="A2096" i="1"/>
  <c r="C2095" i="1"/>
  <c r="B2095" i="1"/>
  <c r="A2095" i="1"/>
  <c r="C2094" i="1"/>
  <c r="B2094" i="1"/>
  <c r="A2094" i="1"/>
  <c r="C2093" i="1"/>
  <c r="B2093" i="1"/>
  <c r="A2093" i="1"/>
  <c r="C2092" i="1"/>
  <c r="B2092" i="1"/>
  <c r="A2092" i="1"/>
  <c r="C2091" i="1"/>
  <c r="B2091" i="1"/>
  <c r="A2091" i="1"/>
  <c r="C2090" i="1"/>
  <c r="B2090" i="1"/>
  <c r="A2090" i="1"/>
  <c r="C2089" i="1"/>
  <c r="B2089" i="1"/>
  <c r="A2089" i="1"/>
  <c r="C2088" i="1"/>
  <c r="B2088" i="1"/>
  <c r="A2088" i="1"/>
  <c r="C2087" i="1"/>
  <c r="B2087" i="1"/>
  <c r="A2087" i="1"/>
  <c r="C2086" i="1"/>
  <c r="B2086" i="1"/>
  <c r="A2086" i="1"/>
  <c r="C2085" i="1"/>
  <c r="B2085" i="1"/>
  <c r="A2085" i="1"/>
  <c r="C2084" i="1"/>
  <c r="B2084" i="1"/>
  <c r="A2084" i="1"/>
  <c r="C2083" i="1"/>
  <c r="B2083" i="1"/>
  <c r="A2083" i="1"/>
  <c r="C2082" i="1"/>
  <c r="B2082" i="1"/>
  <c r="A2082" i="1"/>
  <c r="C2081" i="1"/>
  <c r="B2081" i="1"/>
  <c r="A2081" i="1"/>
  <c r="C2080" i="1"/>
  <c r="B2080" i="1"/>
  <c r="A2080" i="1"/>
  <c r="C2079" i="1"/>
  <c r="B2079" i="1"/>
  <c r="A2079" i="1"/>
  <c r="C2078" i="1"/>
  <c r="B2078" i="1"/>
  <c r="A2078" i="1"/>
  <c r="C2077" i="1"/>
  <c r="B2077" i="1"/>
  <c r="A2077" i="1"/>
  <c r="C2076" i="1"/>
  <c r="B2076" i="1"/>
  <c r="A2076" i="1"/>
  <c r="C2075" i="1"/>
  <c r="B2075" i="1"/>
  <c r="A2075" i="1"/>
  <c r="C2074" i="1"/>
  <c r="B2074" i="1"/>
  <c r="A2074" i="1"/>
  <c r="C2073" i="1"/>
  <c r="B2073" i="1"/>
  <c r="A2073" i="1"/>
  <c r="C2072" i="1"/>
  <c r="B2072" i="1"/>
  <c r="A2072" i="1"/>
  <c r="C2071" i="1"/>
  <c r="B2071" i="1"/>
  <c r="A2071" i="1"/>
  <c r="C2070" i="1"/>
  <c r="B2070" i="1"/>
  <c r="A2070" i="1"/>
  <c r="C2069" i="1"/>
  <c r="B2069" i="1"/>
  <c r="A2069" i="1"/>
  <c r="C2068" i="1"/>
  <c r="B2068" i="1"/>
  <c r="A2068" i="1"/>
  <c r="C2067" i="1"/>
  <c r="B2067" i="1"/>
  <c r="A2067" i="1"/>
  <c r="C2066" i="1"/>
  <c r="B2066" i="1"/>
  <c r="A2066" i="1"/>
  <c r="C2065" i="1"/>
  <c r="B2065" i="1"/>
  <c r="A2065" i="1"/>
  <c r="C2064" i="1"/>
  <c r="B2064" i="1"/>
  <c r="A2064" i="1"/>
  <c r="C2063" i="1"/>
  <c r="B2063" i="1"/>
  <c r="A2063" i="1"/>
  <c r="C2062" i="1"/>
  <c r="B2062" i="1"/>
  <c r="A2062" i="1"/>
  <c r="C2061" i="1"/>
  <c r="B2061" i="1"/>
  <c r="A2061" i="1"/>
  <c r="C2060" i="1"/>
  <c r="B2060" i="1"/>
  <c r="A2060" i="1"/>
  <c r="C2059" i="1"/>
  <c r="B2059" i="1"/>
  <c r="A2059" i="1"/>
  <c r="C2058" i="1"/>
  <c r="B2058" i="1"/>
  <c r="A2058" i="1"/>
  <c r="C2057" i="1"/>
  <c r="B2057" i="1"/>
  <c r="A2057" i="1"/>
  <c r="C2056" i="1"/>
  <c r="B2056" i="1"/>
  <c r="A2056" i="1"/>
  <c r="C2055" i="1"/>
  <c r="B2055" i="1"/>
  <c r="A2055" i="1"/>
  <c r="C2054" i="1"/>
  <c r="B2054" i="1"/>
  <c r="A2054" i="1"/>
  <c r="C2053" i="1"/>
  <c r="B2053" i="1"/>
  <c r="A2053" i="1"/>
  <c r="C2052" i="1"/>
  <c r="B2052" i="1"/>
  <c r="A2052" i="1"/>
  <c r="C2051" i="1"/>
  <c r="B2051" i="1"/>
  <c r="A2051" i="1"/>
  <c r="C2050" i="1"/>
  <c r="B2050" i="1"/>
  <c r="A2050" i="1"/>
  <c r="C2049" i="1"/>
  <c r="B2049" i="1"/>
  <c r="A2049" i="1"/>
  <c r="C2048" i="1"/>
  <c r="B2048" i="1"/>
  <c r="A2048" i="1"/>
  <c r="C2047" i="1"/>
  <c r="B2047" i="1"/>
  <c r="A2047" i="1"/>
  <c r="C2046" i="1"/>
  <c r="B2046" i="1"/>
  <c r="A2046" i="1"/>
  <c r="C2045" i="1"/>
  <c r="B2045" i="1"/>
  <c r="A2045" i="1"/>
  <c r="C2044" i="1"/>
  <c r="B2044" i="1"/>
  <c r="A2044" i="1"/>
  <c r="C2043" i="1"/>
  <c r="B2043" i="1"/>
  <c r="A2043" i="1"/>
  <c r="C2042" i="1"/>
  <c r="B2042" i="1"/>
  <c r="A2042" i="1"/>
  <c r="C2041" i="1"/>
  <c r="B2041" i="1"/>
  <c r="A2041" i="1"/>
  <c r="C2040" i="1"/>
  <c r="B2040" i="1"/>
  <c r="A2040" i="1"/>
  <c r="C2039" i="1"/>
  <c r="B2039" i="1"/>
  <c r="A2039" i="1"/>
  <c r="C2038" i="1"/>
  <c r="B2038" i="1"/>
  <c r="A2038" i="1"/>
  <c r="C2037" i="1"/>
  <c r="B2037" i="1"/>
  <c r="A2037" i="1"/>
  <c r="C2036" i="1"/>
  <c r="B2036" i="1"/>
  <c r="A2036" i="1"/>
  <c r="C2035" i="1"/>
  <c r="B2035" i="1"/>
  <c r="A2035" i="1"/>
  <c r="C2034" i="1"/>
  <c r="B2034" i="1"/>
  <c r="A2034" i="1"/>
  <c r="C2033" i="1"/>
  <c r="B2033" i="1"/>
  <c r="A2033" i="1"/>
  <c r="C2032" i="1"/>
  <c r="B2032" i="1"/>
  <c r="A2032" i="1"/>
  <c r="C2031" i="1"/>
  <c r="B2031" i="1"/>
  <c r="A2031" i="1"/>
  <c r="C2030" i="1"/>
  <c r="B2030" i="1"/>
  <c r="A2030" i="1"/>
  <c r="C2029" i="1"/>
  <c r="B2029" i="1"/>
  <c r="A2029" i="1"/>
  <c r="C2028" i="1"/>
  <c r="B2028" i="1"/>
  <c r="A2028" i="1"/>
  <c r="C2027" i="1"/>
  <c r="B2027" i="1"/>
  <c r="A2027" i="1"/>
  <c r="C2026" i="1"/>
  <c r="B2026" i="1"/>
  <c r="A2026" i="1"/>
  <c r="C2025" i="1"/>
  <c r="B2025" i="1"/>
  <c r="A2025" i="1"/>
  <c r="C2024" i="1"/>
  <c r="B2024" i="1"/>
  <c r="A2024" i="1"/>
  <c r="C2023" i="1"/>
  <c r="B2023" i="1"/>
  <c r="A2023" i="1"/>
  <c r="C2022" i="1"/>
  <c r="B2022" i="1"/>
  <c r="A2022" i="1"/>
  <c r="C2021" i="1"/>
  <c r="B2021" i="1"/>
  <c r="A2021" i="1"/>
  <c r="C2020" i="1"/>
  <c r="B2020" i="1"/>
  <c r="A2020" i="1"/>
  <c r="C2019" i="1"/>
  <c r="B2019" i="1"/>
  <c r="A2019" i="1"/>
  <c r="C2018" i="1"/>
  <c r="B2018" i="1"/>
  <c r="A2018" i="1"/>
  <c r="C2017" i="1"/>
  <c r="B2017" i="1"/>
  <c r="A2017" i="1"/>
  <c r="C2016" i="1"/>
  <c r="B2016" i="1"/>
  <c r="A2016" i="1"/>
  <c r="C2015" i="1"/>
  <c r="B2015" i="1"/>
  <c r="A2015" i="1"/>
  <c r="C2014" i="1"/>
  <c r="B2014" i="1"/>
  <c r="A2014" i="1"/>
  <c r="C2013" i="1"/>
  <c r="B2013" i="1"/>
  <c r="A2013" i="1"/>
  <c r="C2012" i="1"/>
  <c r="B2012" i="1"/>
  <c r="A2012" i="1"/>
  <c r="C2011" i="1"/>
  <c r="B2011" i="1"/>
  <c r="A2011" i="1"/>
  <c r="C2010" i="1"/>
  <c r="B2010" i="1"/>
  <c r="A2010" i="1"/>
  <c r="C2009" i="1"/>
  <c r="B2009" i="1"/>
  <c r="A2009" i="1"/>
  <c r="C2008" i="1"/>
  <c r="B2008" i="1"/>
  <c r="A2008" i="1"/>
  <c r="C2007" i="1"/>
  <c r="B2007" i="1"/>
  <c r="A2007" i="1"/>
  <c r="C2006" i="1"/>
  <c r="B2006" i="1"/>
  <c r="A2006" i="1"/>
  <c r="C2005" i="1"/>
  <c r="B2005" i="1"/>
  <c r="A2005" i="1"/>
  <c r="C2004" i="1"/>
  <c r="B2004" i="1"/>
  <c r="A2004" i="1"/>
  <c r="C2003" i="1"/>
  <c r="B2003" i="1"/>
  <c r="A2003" i="1"/>
  <c r="C2002" i="1"/>
  <c r="B2002" i="1"/>
  <c r="A2002" i="1"/>
  <c r="C2001" i="1"/>
  <c r="B2001" i="1"/>
  <c r="A2001" i="1"/>
  <c r="C2000" i="1"/>
  <c r="B2000" i="1"/>
  <c r="A2000" i="1"/>
  <c r="C1999" i="1"/>
  <c r="B1999" i="1"/>
  <c r="A1999" i="1"/>
  <c r="C1998" i="1"/>
  <c r="B1998" i="1"/>
  <c r="A1998" i="1"/>
  <c r="C1997" i="1"/>
  <c r="B1997" i="1"/>
  <c r="A1997" i="1"/>
  <c r="C1996" i="1"/>
  <c r="B1996" i="1"/>
  <c r="A1996" i="1"/>
  <c r="C1995" i="1"/>
  <c r="B1995" i="1"/>
  <c r="A1995" i="1"/>
  <c r="C1994" i="1"/>
  <c r="B1994" i="1"/>
  <c r="A1994" i="1"/>
  <c r="C1993" i="1"/>
  <c r="B1993" i="1"/>
  <c r="A1993" i="1"/>
  <c r="C1992" i="1"/>
  <c r="B1992" i="1"/>
  <c r="A1992" i="1"/>
  <c r="C1991" i="1"/>
  <c r="B1991" i="1"/>
  <c r="A1991" i="1"/>
  <c r="C1990" i="1"/>
  <c r="B1990" i="1"/>
  <c r="A1990" i="1"/>
  <c r="C1989" i="1"/>
  <c r="B1989" i="1"/>
  <c r="A1989" i="1"/>
  <c r="C1988" i="1"/>
  <c r="B1988" i="1"/>
  <c r="A1988" i="1"/>
  <c r="C1987" i="1"/>
  <c r="B1987" i="1"/>
  <c r="A1987" i="1"/>
  <c r="C1986" i="1"/>
  <c r="B1986" i="1"/>
  <c r="A1986" i="1"/>
  <c r="C1985" i="1"/>
  <c r="B1985" i="1"/>
  <c r="A1985" i="1"/>
  <c r="C1984" i="1"/>
  <c r="B1984" i="1"/>
  <c r="A1984" i="1"/>
  <c r="C1983" i="1"/>
  <c r="B1983" i="1"/>
  <c r="A1983" i="1"/>
  <c r="C1982" i="1"/>
  <c r="B1982" i="1"/>
  <c r="A1982" i="1"/>
  <c r="C1981" i="1"/>
  <c r="B1981" i="1"/>
  <c r="A1981" i="1"/>
  <c r="C1980" i="1"/>
  <c r="B1980" i="1"/>
  <c r="A1980" i="1"/>
  <c r="C1979" i="1"/>
  <c r="B1979" i="1"/>
  <c r="A1979" i="1"/>
  <c r="C1978" i="1"/>
  <c r="B1978" i="1"/>
  <c r="A1978" i="1"/>
  <c r="C1977" i="1"/>
  <c r="B1977" i="1"/>
  <c r="A1977" i="1"/>
  <c r="C1976" i="1"/>
  <c r="B1976" i="1"/>
  <c r="A1976" i="1"/>
  <c r="C1975" i="1"/>
  <c r="B1975" i="1"/>
  <c r="A1975" i="1"/>
  <c r="C1974" i="1"/>
  <c r="B1974" i="1"/>
  <c r="A1974" i="1"/>
  <c r="C1973" i="1"/>
  <c r="B1973" i="1"/>
  <c r="A1973" i="1"/>
  <c r="C1972" i="1"/>
  <c r="B1972" i="1"/>
  <c r="A1972" i="1"/>
  <c r="C1971" i="1"/>
  <c r="B1971" i="1"/>
  <c r="A1971" i="1"/>
  <c r="C1970" i="1"/>
  <c r="B1970" i="1"/>
  <c r="A1970" i="1"/>
  <c r="C1969" i="1"/>
  <c r="B1969" i="1"/>
  <c r="A1969" i="1"/>
  <c r="C1968" i="1"/>
  <c r="B1968" i="1"/>
  <c r="A1968" i="1"/>
  <c r="C1967" i="1"/>
  <c r="B1967" i="1"/>
  <c r="A1967" i="1"/>
  <c r="C1966" i="1"/>
  <c r="B1966" i="1"/>
  <c r="A1966" i="1"/>
  <c r="C1965" i="1"/>
  <c r="B1965" i="1"/>
  <c r="A1965" i="1"/>
  <c r="C1964" i="1"/>
  <c r="B1964" i="1"/>
  <c r="A1964" i="1"/>
  <c r="C1963" i="1"/>
  <c r="B1963" i="1"/>
  <c r="A1963" i="1"/>
  <c r="C1962" i="1"/>
  <c r="B1962" i="1"/>
  <c r="A1962" i="1"/>
  <c r="C1961" i="1"/>
  <c r="B1961" i="1"/>
  <c r="A1961" i="1"/>
  <c r="C1960" i="1"/>
  <c r="B1960" i="1"/>
  <c r="A1960" i="1"/>
  <c r="C1959" i="1"/>
  <c r="B1959" i="1"/>
  <c r="A1959" i="1"/>
  <c r="C1958" i="1"/>
  <c r="B1958" i="1"/>
  <c r="A1958" i="1"/>
  <c r="C1957" i="1"/>
  <c r="B1957" i="1"/>
  <c r="A1957" i="1"/>
  <c r="C1956" i="1"/>
  <c r="B1956" i="1"/>
  <c r="A1956" i="1"/>
  <c r="C1955" i="1"/>
  <c r="B1955" i="1"/>
  <c r="A1955" i="1"/>
  <c r="C1954" i="1"/>
  <c r="B1954" i="1"/>
  <c r="A1954" i="1"/>
  <c r="C1953" i="1"/>
  <c r="B1953" i="1"/>
  <c r="A1953" i="1"/>
  <c r="C1952" i="1"/>
  <c r="B1952" i="1"/>
  <c r="A1952" i="1"/>
  <c r="C1951" i="1"/>
  <c r="B1951" i="1"/>
  <c r="A1951" i="1"/>
  <c r="C1950" i="1"/>
  <c r="B1950" i="1"/>
  <c r="A1950" i="1"/>
  <c r="C1949" i="1"/>
  <c r="B1949" i="1"/>
  <c r="A1949" i="1"/>
  <c r="C1948" i="1"/>
  <c r="B1948" i="1"/>
  <c r="A1948" i="1"/>
  <c r="C1947" i="1"/>
  <c r="B1947" i="1"/>
  <c r="A1947" i="1"/>
  <c r="C1946" i="1"/>
  <c r="B1946" i="1"/>
  <c r="A1946" i="1"/>
  <c r="C1945" i="1"/>
  <c r="B1945" i="1"/>
  <c r="A1945" i="1"/>
  <c r="C1944" i="1"/>
  <c r="B1944" i="1"/>
  <c r="A1944" i="1"/>
  <c r="C1943" i="1"/>
  <c r="B1943" i="1"/>
  <c r="A1943" i="1"/>
  <c r="C1942" i="1"/>
  <c r="B1942" i="1"/>
  <c r="A1942" i="1"/>
  <c r="C1941" i="1"/>
  <c r="B1941" i="1"/>
  <c r="A1941" i="1"/>
  <c r="C1940" i="1"/>
  <c r="B1940" i="1"/>
  <c r="A1940" i="1"/>
  <c r="C1939" i="1"/>
  <c r="B1939" i="1"/>
  <c r="A1939" i="1"/>
  <c r="C1938" i="1"/>
  <c r="B1938" i="1"/>
  <c r="A1938" i="1"/>
  <c r="C1937" i="1"/>
  <c r="B1937" i="1"/>
  <c r="A1937" i="1"/>
  <c r="C1936" i="1"/>
  <c r="B1936" i="1"/>
  <c r="A1936" i="1"/>
  <c r="C1935" i="1"/>
  <c r="B1935" i="1"/>
  <c r="A1935" i="1"/>
  <c r="C1934" i="1"/>
  <c r="B1934" i="1"/>
  <c r="A1934" i="1"/>
  <c r="C1933" i="1"/>
  <c r="B1933" i="1"/>
  <c r="A1933" i="1"/>
  <c r="C1932" i="1"/>
  <c r="B1932" i="1"/>
  <c r="A1932" i="1"/>
  <c r="C1931" i="1"/>
  <c r="B1931" i="1"/>
  <c r="A1931" i="1"/>
  <c r="C1930" i="1"/>
  <c r="B1930" i="1"/>
  <c r="A1930" i="1"/>
  <c r="C1929" i="1"/>
  <c r="B1929" i="1"/>
  <c r="A1929" i="1"/>
  <c r="C1928" i="1"/>
  <c r="B1928" i="1"/>
  <c r="A1928" i="1"/>
  <c r="C1927" i="1"/>
  <c r="B1927" i="1"/>
  <c r="A1927" i="1"/>
  <c r="C1926" i="1"/>
  <c r="B1926" i="1"/>
  <c r="A1926" i="1"/>
  <c r="C1925" i="1"/>
  <c r="B1925" i="1"/>
  <c r="A1925" i="1"/>
  <c r="C1924" i="1"/>
  <c r="B1924" i="1"/>
  <c r="A1924" i="1"/>
  <c r="C1923" i="1"/>
  <c r="B1923" i="1"/>
  <c r="A1923" i="1"/>
  <c r="C1922" i="1"/>
  <c r="B1922" i="1"/>
  <c r="A1922" i="1"/>
  <c r="C1921" i="1"/>
  <c r="B1921" i="1"/>
  <c r="A1921" i="1"/>
  <c r="C1920" i="1"/>
  <c r="B1920" i="1"/>
  <c r="A1920" i="1"/>
  <c r="C1919" i="1"/>
  <c r="B1919" i="1"/>
  <c r="A1919" i="1"/>
  <c r="C1918" i="1"/>
  <c r="B1918" i="1"/>
  <c r="A1918" i="1"/>
  <c r="C1917" i="1"/>
  <c r="B1917" i="1"/>
  <c r="A1917" i="1"/>
  <c r="C1916" i="1"/>
  <c r="B1916" i="1"/>
  <c r="A1916" i="1"/>
  <c r="C1915" i="1"/>
  <c r="B1915" i="1"/>
  <c r="A1915" i="1"/>
  <c r="C1914" i="1"/>
  <c r="B1914" i="1"/>
  <c r="A1914" i="1"/>
  <c r="C1913" i="1"/>
  <c r="B1913" i="1"/>
  <c r="A1913" i="1"/>
  <c r="C1912" i="1"/>
  <c r="B1912" i="1"/>
  <c r="A1912" i="1"/>
  <c r="C1911" i="1"/>
  <c r="B1911" i="1"/>
  <c r="A1911" i="1"/>
  <c r="C1910" i="1"/>
  <c r="B1910" i="1"/>
  <c r="A1910" i="1"/>
  <c r="C1909" i="1"/>
  <c r="B1909" i="1"/>
  <c r="A1909" i="1"/>
  <c r="C1908" i="1"/>
  <c r="B1908" i="1"/>
  <c r="A1908" i="1"/>
  <c r="C1907" i="1"/>
  <c r="B1907" i="1"/>
  <c r="A1907" i="1"/>
  <c r="C1906" i="1"/>
  <c r="B1906" i="1"/>
  <c r="A1906" i="1"/>
  <c r="C1905" i="1"/>
  <c r="B1905" i="1"/>
  <c r="A1905" i="1"/>
  <c r="C1904" i="1"/>
  <c r="B1904" i="1"/>
  <c r="A1904" i="1"/>
  <c r="C1903" i="1"/>
  <c r="B1903" i="1"/>
  <c r="A1903" i="1"/>
  <c r="C1902" i="1"/>
  <c r="B1902" i="1"/>
  <c r="A1902" i="1"/>
  <c r="C1901" i="1"/>
  <c r="B1901" i="1"/>
  <c r="A1901" i="1"/>
  <c r="C1900" i="1"/>
  <c r="B1900" i="1"/>
  <c r="A1900" i="1"/>
  <c r="C1899" i="1"/>
  <c r="B1899" i="1"/>
  <c r="A1899" i="1"/>
  <c r="C1898" i="1"/>
  <c r="B1898" i="1"/>
  <c r="A1898" i="1"/>
  <c r="C1897" i="1"/>
  <c r="B1897" i="1"/>
  <c r="A1897" i="1"/>
  <c r="C1896" i="1"/>
  <c r="B1896" i="1"/>
  <c r="A1896" i="1"/>
  <c r="C1895" i="1"/>
  <c r="B1895" i="1"/>
  <c r="A1895" i="1"/>
  <c r="C1894" i="1"/>
  <c r="B1894" i="1"/>
  <c r="A1894" i="1"/>
  <c r="C1893" i="1"/>
  <c r="B1893" i="1"/>
  <c r="A1893" i="1"/>
  <c r="C1892" i="1"/>
  <c r="B1892" i="1"/>
  <c r="A1892" i="1"/>
  <c r="C1891" i="1"/>
  <c r="B1891" i="1"/>
  <c r="A1891" i="1"/>
  <c r="C1890" i="1"/>
  <c r="B1890" i="1"/>
  <c r="A1890" i="1"/>
  <c r="C1889" i="1"/>
  <c r="B1889" i="1"/>
  <c r="A1889" i="1"/>
  <c r="C1888" i="1"/>
  <c r="B1888" i="1"/>
  <c r="A1888" i="1"/>
  <c r="C1887" i="1"/>
  <c r="B1887" i="1"/>
  <c r="A1887" i="1"/>
  <c r="C1886" i="1"/>
  <c r="B1886" i="1"/>
  <c r="A1886" i="1"/>
  <c r="C1885" i="1"/>
  <c r="B1885" i="1"/>
  <c r="A1885" i="1"/>
  <c r="C1884" i="1"/>
  <c r="B1884" i="1"/>
  <c r="A1884" i="1"/>
  <c r="C1883" i="1"/>
  <c r="B1883" i="1"/>
  <c r="A1883" i="1"/>
  <c r="C1882" i="1"/>
  <c r="B1882" i="1"/>
  <c r="A1882" i="1"/>
  <c r="C1881" i="1"/>
  <c r="B1881" i="1"/>
  <c r="A1881" i="1"/>
  <c r="C1880" i="1"/>
  <c r="B1880" i="1"/>
  <c r="A1880" i="1"/>
  <c r="C1879" i="1"/>
  <c r="B1879" i="1"/>
  <c r="A1879" i="1"/>
  <c r="C1878" i="1"/>
  <c r="B1878" i="1"/>
  <c r="A1878" i="1"/>
  <c r="C1877" i="1"/>
  <c r="B1877" i="1"/>
  <c r="A1877" i="1"/>
  <c r="C1876" i="1"/>
  <c r="B1876" i="1"/>
  <c r="A1876" i="1"/>
  <c r="C1875" i="1"/>
  <c r="B1875" i="1"/>
  <c r="A1875" i="1"/>
  <c r="C1874" i="1"/>
  <c r="B1874" i="1"/>
  <c r="A1874" i="1"/>
  <c r="C1873" i="1"/>
  <c r="B1873" i="1"/>
  <c r="A1873" i="1"/>
  <c r="C1872" i="1"/>
  <c r="B1872" i="1"/>
  <c r="A1872" i="1"/>
  <c r="C1871" i="1"/>
  <c r="B1871" i="1"/>
  <c r="A1871" i="1"/>
  <c r="C1870" i="1"/>
  <c r="B1870" i="1"/>
  <c r="A1870" i="1"/>
  <c r="C1869" i="1"/>
  <c r="B1869" i="1"/>
  <c r="A1869" i="1"/>
  <c r="C1868" i="1"/>
  <c r="B1868" i="1"/>
  <c r="A1868" i="1"/>
  <c r="C1867" i="1"/>
  <c r="B1867" i="1"/>
  <c r="A1867" i="1"/>
  <c r="C1866" i="1"/>
  <c r="B1866" i="1"/>
  <c r="A1866" i="1"/>
  <c r="C1865" i="1"/>
  <c r="B1865" i="1"/>
  <c r="A1865" i="1"/>
  <c r="C1864" i="1"/>
  <c r="B1864" i="1"/>
  <c r="A1864" i="1"/>
  <c r="C1863" i="1"/>
  <c r="B1863" i="1"/>
  <c r="A1863" i="1"/>
  <c r="C1862" i="1"/>
  <c r="B1862" i="1"/>
  <c r="A1862" i="1"/>
  <c r="C1861" i="1"/>
  <c r="B1861" i="1"/>
  <c r="A1861" i="1"/>
  <c r="C1860" i="1"/>
  <c r="B1860" i="1"/>
  <c r="A1860" i="1"/>
  <c r="C1859" i="1"/>
  <c r="B1859" i="1"/>
  <c r="A1859" i="1"/>
  <c r="C1858" i="1"/>
  <c r="B1858" i="1"/>
  <c r="A1858" i="1"/>
  <c r="C1857" i="1"/>
  <c r="B1857" i="1"/>
  <c r="A1857" i="1"/>
  <c r="C1856" i="1"/>
  <c r="B1856" i="1"/>
  <c r="A1856" i="1"/>
  <c r="C1855" i="1"/>
  <c r="B1855" i="1"/>
  <c r="A1855" i="1"/>
  <c r="C1854" i="1"/>
  <c r="B1854" i="1"/>
  <c r="A1854" i="1"/>
  <c r="C1853" i="1"/>
  <c r="B1853" i="1"/>
  <c r="A1853" i="1"/>
  <c r="C1852" i="1"/>
  <c r="B1852" i="1"/>
  <c r="A1852" i="1"/>
  <c r="C1851" i="1"/>
  <c r="B1851" i="1"/>
  <c r="A1851" i="1"/>
  <c r="C1850" i="1"/>
  <c r="B1850" i="1"/>
  <c r="A1850" i="1"/>
  <c r="C1849" i="1"/>
  <c r="B1849" i="1"/>
  <c r="A1849" i="1"/>
  <c r="C1848" i="1"/>
  <c r="B1848" i="1"/>
  <c r="A1848" i="1"/>
  <c r="C1847" i="1"/>
  <c r="B1847" i="1"/>
  <c r="A1847" i="1"/>
  <c r="C1846" i="1"/>
  <c r="B1846" i="1"/>
  <c r="A1846" i="1"/>
  <c r="C1845" i="1"/>
  <c r="B1845" i="1"/>
  <c r="A1845" i="1"/>
  <c r="C1844" i="1"/>
  <c r="B1844" i="1"/>
  <c r="A1844" i="1"/>
  <c r="C1843" i="1"/>
  <c r="B1843" i="1"/>
  <c r="A1843" i="1"/>
  <c r="C1842" i="1"/>
  <c r="B1842" i="1"/>
  <c r="A1842" i="1"/>
  <c r="C1841" i="1"/>
  <c r="B1841" i="1"/>
  <c r="A1841" i="1"/>
  <c r="C1840" i="1"/>
  <c r="B1840" i="1"/>
  <c r="A1840" i="1"/>
  <c r="C1839" i="1"/>
  <c r="B1839" i="1"/>
  <c r="A1839" i="1"/>
  <c r="C1838" i="1"/>
  <c r="B1838" i="1"/>
  <c r="A1838" i="1"/>
  <c r="C1837" i="1"/>
  <c r="B1837" i="1"/>
  <c r="A1837" i="1"/>
  <c r="C1836" i="1"/>
  <c r="B1836" i="1"/>
  <c r="A1836" i="1"/>
  <c r="C1835" i="1"/>
  <c r="B1835" i="1"/>
  <c r="A1835" i="1"/>
  <c r="C1834" i="1"/>
  <c r="B1834" i="1"/>
  <c r="A1834" i="1"/>
  <c r="C1833" i="1"/>
  <c r="B1833" i="1"/>
  <c r="A1833" i="1"/>
  <c r="C1832" i="1"/>
  <c r="B1832" i="1"/>
  <c r="A1832" i="1"/>
  <c r="C1831" i="1"/>
  <c r="B1831" i="1"/>
  <c r="A1831" i="1"/>
  <c r="C1830" i="1"/>
  <c r="B1830" i="1"/>
  <c r="A1830" i="1"/>
  <c r="C1829" i="1"/>
  <c r="B1829" i="1"/>
  <c r="A1829" i="1"/>
  <c r="C1828" i="1"/>
  <c r="B1828" i="1"/>
  <c r="A1828" i="1"/>
  <c r="C1827" i="1"/>
  <c r="B1827" i="1"/>
  <c r="A1827" i="1"/>
  <c r="C1826" i="1"/>
  <c r="B1826" i="1"/>
  <c r="A1826" i="1"/>
  <c r="C1825" i="1"/>
  <c r="B1825" i="1"/>
  <c r="A1825" i="1"/>
  <c r="C1824" i="1"/>
  <c r="B1824" i="1"/>
  <c r="A1824" i="1"/>
  <c r="C1823" i="1"/>
  <c r="B1823" i="1"/>
  <c r="A1823" i="1"/>
  <c r="C1822" i="1"/>
  <c r="B1822" i="1"/>
  <c r="A1822" i="1"/>
  <c r="C1821" i="1"/>
  <c r="B1821" i="1"/>
  <c r="A1821" i="1"/>
  <c r="C1820" i="1"/>
  <c r="B1820" i="1"/>
  <c r="A1820" i="1"/>
  <c r="C1819" i="1"/>
  <c r="B1819" i="1"/>
  <c r="A1819" i="1"/>
  <c r="C1818" i="1"/>
  <c r="B1818" i="1"/>
  <c r="A1818" i="1"/>
  <c r="C1817" i="1"/>
  <c r="B1817" i="1"/>
  <c r="A1817" i="1"/>
  <c r="C1816" i="1"/>
  <c r="B1816" i="1"/>
  <c r="A1816" i="1"/>
  <c r="C1815" i="1"/>
  <c r="B1815" i="1"/>
  <c r="A1815" i="1"/>
  <c r="C1814" i="1"/>
  <c r="B1814" i="1"/>
  <c r="A1814" i="1"/>
  <c r="C1813" i="1"/>
  <c r="B1813" i="1"/>
  <c r="A1813" i="1"/>
  <c r="C1812" i="1"/>
  <c r="B1812" i="1"/>
  <c r="A1812" i="1"/>
  <c r="C1811" i="1"/>
  <c r="B1811" i="1"/>
  <c r="A1811" i="1"/>
  <c r="C1810" i="1"/>
  <c r="B1810" i="1"/>
  <c r="A1810" i="1"/>
  <c r="C1809" i="1"/>
  <c r="B1809" i="1"/>
  <c r="A1809" i="1"/>
  <c r="C1808" i="1"/>
  <c r="B1808" i="1"/>
  <c r="A1808" i="1"/>
  <c r="C1807" i="1"/>
  <c r="B1807" i="1"/>
  <c r="A1807" i="1"/>
  <c r="C1806" i="1"/>
  <c r="B1806" i="1"/>
  <c r="A1806" i="1"/>
  <c r="C1805" i="1"/>
  <c r="B1805" i="1"/>
  <c r="A1805" i="1"/>
  <c r="C1804" i="1"/>
  <c r="B1804" i="1"/>
  <c r="A1804" i="1"/>
  <c r="C1803" i="1"/>
  <c r="B1803" i="1"/>
  <c r="A1803" i="1"/>
  <c r="C1802" i="1"/>
  <c r="B1802" i="1"/>
  <c r="A1802" i="1"/>
  <c r="C1801" i="1"/>
  <c r="B1801" i="1"/>
  <c r="A1801" i="1"/>
  <c r="C1800" i="1"/>
  <c r="B1800" i="1"/>
  <c r="A1800" i="1"/>
  <c r="C1799" i="1"/>
  <c r="B1799" i="1"/>
  <c r="A1799" i="1"/>
  <c r="C1798" i="1"/>
  <c r="B1798" i="1"/>
  <c r="A1798" i="1"/>
  <c r="C1797" i="1"/>
  <c r="B1797" i="1"/>
  <c r="A1797" i="1"/>
  <c r="C1796" i="1"/>
  <c r="B1796" i="1"/>
  <c r="A1796" i="1"/>
  <c r="C1795" i="1"/>
  <c r="B1795" i="1"/>
  <c r="A1795" i="1"/>
  <c r="C1794" i="1"/>
  <c r="B1794" i="1"/>
  <c r="A1794" i="1"/>
  <c r="C1793" i="1"/>
  <c r="B1793" i="1"/>
  <c r="A1793" i="1"/>
  <c r="C1792" i="1"/>
  <c r="B1792" i="1"/>
  <c r="A1792" i="1"/>
  <c r="C1791" i="1"/>
  <c r="B1791" i="1"/>
  <c r="A1791" i="1"/>
  <c r="C1790" i="1"/>
  <c r="B1790" i="1"/>
  <c r="A1790" i="1"/>
  <c r="C1789" i="1"/>
  <c r="B1789" i="1"/>
  <c r="A1789" i="1"/>
  <c r="C1788" i="1"/>
  <c r="B1788" i="1"/>
  <c r="A1788" i="1"/>
  <c r="C1787" i="1"/>
  <c r="B1787" i="1"/>
  <c r="A1787" i="1"/>
  <c r="C1786" i="1"/>
  <c r="B1786" i="1"/>
  <c r="A1786" i="1"/>
  <c r="C1785" i="1"/>
  <c r="B1785" i="1"/>
  <c r="A1785" i="1"/>
  <c r="C1784" i="1"/>
  <c r="B1784" i="1"/>
  <c r="A1784" i="1"/>
  <c r="C1783" i="1"/>
  <c r="B1783" i="1"/>
  <c r="A1783" i="1"/>
  <c r="C1782" i="1"/>
  <c r="B1782" i="1"/>
  <c r="A1782" i="1"/>
  <c r="C1781" i="1"/>
  <c r="B1781" i="1"/>
  <c r="A1781" i="1"/>
  <c r="C1780" i="1"/>
  <c r="B1780" i="1"/>
  <c r="A1780" i="1"/>
  <c r="C1779" i="1"/>
  <c r="B1779" i="1"/>
  <c r="A1779" i="1"/>
  <c r="C1778" i="1"/>
  <c r="B1778" i="1"/>
  <c r="A1778" i="1"/>
  <c r="C1777" i="1"/>
  <c r="B1777" i="1"/>
  <c r="A1777" i="1"/>
  <c r="C1776" i="1"/>
  <c r="B1776" i="1"/>
  <c r="A1776" i="1"/>
  <c r="C1775" i="1"/>
  <c r="B1775" i="1"/>
  <c r="A1775" i="1"/>
  <c r="C1774" i="1"/>
  <c r="B1774" i="1"/>
  <c r="A1774" i="1"/>
  <c r="C1773" i="1"/>
  <c r="B1773" i="1"/>
  <c r="A1773" i="1"/>
  <c r="C1772" i="1"/>
  <c r="B1772" i="1"/>
  <c r="A1772" i="1"/>
  <c r="C1771" i="1"/>
  <c r="B1771" i="1"/>
  <c r="A1771" i="1"/>
  <c r="C1770" i="1"/>
  <c r="B1770" i="1"/>
  <c r="A1770" i="1"/>
  <c r="C1769" i="1"/>
  <c r="B1769" i="1"/>
  <c r="A1769" i="1"/>
  <c r="C1768" i="1"/>
  <c r="B1768" i="1"/>
  <c r="A1768" i="1"/>
  <c r="C1767" i="1"/>
  <c r="B1767" i="1"/>
  <c r="A1767" i="1"/>
  <c r="C1766" i="1"/>
  <c r="B1766" i="1"/>
  <c r="A1766" i="1"/>
  <c r="C1765" i="1"/>
  <c r="B1765" i="1"/>
  <c r="A1765" i="1"/>
  <c r="C1764" i="1"/>
  <c r="B1764" i="1"/>
  <c r="A1764" i="1"/>
  <c r="C1763" i="1"/>
  <c r="B1763" i="1"/>
  <c r="A1763" i="1"/>
  <c r="C1762" i="1"/>
  <c r="B1762" i="1"/>
  <c r="A1762" i="1"/>
  <c r="C1761" i="1"/>
  <c r="B1761" i="1"/>
  <c r="A1761" i="1"/>
  <c r="C1760" i="1"/>
  <c r="B1760" i="1"/>
  <c r="A1760" i="1"/>
  <c r="C1759" i="1"/>
  <c r="B1759" i="1"/>
  <c r="A1759" i="1"/>
  <c r="C1758" i="1"/>
  <c r="B1758" i="1"/>
  <c r="A1758" i="1"/>
  <c r="C1757" i="1"/>
  <c r="B1757" i="1"/>
  <c r="A1757" i="1"/>
  <c r="C1756" i="1"/>
  <c r="B1756" i="1"/>
  <c r="A1756" i="1"/>
  <c r="C1755" i="1"/>
  <c r="B1755" i="1"/>
  <c r="A1755" i="1"/>
  <c r="C1754" i="1"/>
  <c r="B1754" i="1"/>
  <c r="A1754" i="1"/>
  <c r="C1753" i="1"/>
  <c r="B1753" i="1"/>
  <c r="A1753" i="1"/>
  <c r="C1752" i="1"/>
  <c r="B1752" i="1"/>
  <c r="A1752" i="1"/>
  <c r="C1751" i="1"/>
  <c r="B1751" i="1"/>
  <c r="A1751" i="1"/>
  <c r="C1750" i="1"/>
  <c r="B1750" i="1"/>
  <c r="A1750" i="1"/>
  <c r="C1749" i="1"/>
  <c r="B1749" i="1"/>
  <c r="A1749" i="1"/>
  <c r="C1748" i="1"/>
  <c r="B1748" i="1"/>
  <c r="A1748" i="1"/>
  <c r="C1747" i="1"/>
  <c r="B1747" i="1"/>
  <c r="A1747" i="1"/>
  <c r="C1746" i="1"/>
  <c r="B1746" i="1"/>
  <c r="A1746" i="1"/>
  <c r="C1745" i="1"/>
  <c r="B1745" i="1"/>
  <c r="A1745" i="1"/>
  <c r="C1744" i="1"/>
  <c r="B1744" i="1"/>
  <c r="A1744" i="1"/>
  <c r="C1743" i="1"/>
  <c r="B1743" i="1"/>
  <c r="A1743" i="1"/>
  <c r="C1742" i="1"/>
  <c r="B1742" i="1"/>
  <c r="A1742" i="1"/>
  <c r="C1741" i="1"/>
  <c r="B1741" i="1"/>
  <c r="A1741" i="1"/>
  <c r="C1740" i="1"/>
  <c r="B1740" i="1"/>
  <c r="A1740" i="1"/>
  <c r="C1739" i="1"/>
  <c r="B1739" i="1"/>
  <c r="A1739" i="1"/>
  <c r="C1738" i="1"/>
  <c r="B1738" i="1"/>
  <c r="A1738" i="1"/>
  <c r="C1737" i="1"/>
  <c r="B1737" i="1"/>
  <c r="A1737" i="1"/>
  <c r="C1736" i="1"/>
  <c r="B1736" i="1"/>
  <c r="A1736" i="1"/>
  <c r="C1735" i="1"/>
  <c r="B1735" i="1"/>
  <c r="A1735" i="1"/>
  <c r="C1734" i="1"/>
  <c r="B1734" i="1"/>
  <c r="A1734" i="1"/>
  <c r="C1733" i="1"/>
  <c r="B1733" i="1"/>
  <c r="A1733" i="1"/>
  <c r="C1732" i="1"/>
  <c r="B1732" i="1"/>
  <c r="A1732" i="1"/>
  <c r="C1731" i="1"/>
  <c r="B1731" i="1"/>
  <c r="A1731" i="1"/>
  <c r="C1730" i="1"/>
  <c r="B1730" i="1"/>
  <c r="A1730" i="1"/>
  <c r="C1729" i="1"/>
  <c r="B1729" i="1"/>
  <c r="A1729" i="1"/>
  <c r="C1728" i="1"/>
  <c r="B1728" i="1"/>
  <c r="A1728" i="1"/>
  <c r="C1727" i="1"/>
  <c r="B1727" i="1"/>
  <c r="A1727" i="1"/>
  <c r="C1726" i="1"/>
  <c r="B1726" i="1"/>
  <c r="A1726" i="1"/>
  <c r="C1725" i="1"/>
  <c r="B1725" i="1"/>
  <c r="A1725" i="1"/>
  <c r="C1724" i="1"/>
  <c r="B1724" i="1"/>
  <c r="A1724" i="1"/>
  <c r="C1723" i="1"/>
  <c r="B1723" i="1"/>
  <c r="A1723" i="1"/>
  <c r="C1722" i="1"/>
  <c r="B1722" i="1"/>
  <c r="A1722" i="1"/>
  <c r="C1721" i="1"/>
  <c r="B1721" i="1"/>
  <c r="A1721" i="1"/>
  <c r="C1720" i="1"/>
  <c r="B1720" i="1"/>
  <c r="A1720" i="1"/>
  <c r="C1719" i="1"/>
  <c r="B1719" i="1"/>
  <c r="A1719" i="1"/>
  <c r="C1718" i="1"/>
  <c r="B1718" i="1"/>
  <c r="A1718" i="1"/>
  <c r="C1717" i="1"/>
  <c r="B1717" i="1"/>
  <c r="A1717" i="1"/>
  <c r="C1716" i="1"/>
  <c r="B1716" i="1"/>
  <c r="A1716" i="1"/>
  <c r="C1715" i="1"/>
  <c r="B1715" i="1"/>
  <c r="A1715" i="1"/>
  <c r="C1714" i="1"/>
  <c r="B1714" i="1"/>
  <c r="A1714" i="1"/>
  <c r="C1713" i="1"/>
  <c r="B1713" i="1"/>
  <c r="A1713" i="1"/>
  <c r="C1712" i="1"/>
  <c r="B1712" i="1"/>
  <c r="A1712" i="1"/>
  <c r="C1711" i="1"/>
  <c r="B1711" i="1"/>
  <c r="A1711" i="1"/>
  <c r="C1710" i="1"/>
  <c r="B1710" i="1"/>
  <c r="A1710" i="1"/>
  <c r="C1709" i="1"/>
  <c r="B1709" i="1"/>
  <c r="A1709" i="1"/>
  <c r="C1708" i="1"/>
  <c r="B1708" i="1"/>
  <c r="A1708" i="1"/>
  <c r="C1707" i="1"/>
  <c r="B1707" i="1"/>
  <c r="A1707" i="1"/>
  <c r="C1706" i="1"/>
  <c r="B1706" i="1"/>
  <c r="A1706" i="1"/>
  <c r="C1705" i="1"/>
  <c r="B1705" i="1"/>
  <c r="A1705" i="1"/>
  <c r="C1704" i="1"/>
  <c r="B1704" i="1"/>
  <c r="A1704" i="1"/>
  <c r="C1703" i="1"/>
  <c r="B1703" i="1"/>
  <c r="A1703" i="1"/>
  <c r="C1702" i="1"/>
  <c r="B1702" i="1"/>
  <c r="A1702" i="1"/>
  <c r="C1701" i="1"/>
  <c r="B1701" i="1"/>
  <c r="A1701" i="1"/>
  <c r="C1700" i="1"/>
  <c r="B1700" i="1"/>
  <c r="A1700" i="1"/>
  <c r="C1699" i="1"/>
  <c r="B1699" i="1"/>
  <c r="A1699" i="1"/>
  <c r="C1698" i="1"/>
  <c r="B1698" i="1"/>
  <c r="A1698" i="1"/>
  <c r="C1697" i="1"/>
  <c r="B1697" i="1"/>
  <c r="A1697" i="1"/>
  <c r="C1696" i="1"/>
  <c r="B1696" i="1"/>
  <c r="A1696" i="1"/>
  <c r="C1695" i="1"/>
  <c r="B1695" i="1"/>
  <c r="A1695" i="1"/>
  <c r="C1694" i="1"/>
  <c r="B1694" i="1"/>
  <c r="A1694" i="1"/>
  <c r="C1693" i="1"/>
  <c r="B1693" i="1"/>
  <c r="A1693" i="1"/>
  <c r="C1692" i="1"/>
  <c r="B1692" i="1"/>
  <c r="A1692" i="1"/>
  <c r="C1691" i="1"/>
  <c r="B1691" i="1"/>
  <c r="A1691" i="1"/>
  <c r="C1690" i="1"/>
  <c r="B1690" i="1"/>
  <c r="A1690" i="1"/>
  <c r="C1689" i="1"/>
  <c r="B1689" i="1"/>
  <c r="A1689" i="1"/>
  <c r="C1688" i="1"/>
  <c r="B1688" i="1"/>
  <c r="A1688" i="1"/>
  <c r="C1687" i="1"/>
  <c r="B1687" i="1"/>
  <c r="A1687" i="1"/>
  <c r="C1686" i="1"/>
  <c r="B1686" i="1"/>
  <c r="A1686" i="1"/>
  <c r="C1685" i="1"/>
  <c r="B1685" i="1"/>
  <c r="A1685" i="1"/>
  <c r="C1684" i="1"/>
  <c r="B1684" i="1"/>
  <c r="A1684" i="1"/>
  <c r="C1683" i="1"/>
  <c r="B1683" i="1"/>
  <c r="A1683" i="1"/>
  <c r="C1682" i="1"/>
  <c r="B1682" i="1"/>
  <c r="A1682" i="1"/>
  <c r="C1681" i="1"/>
  <c r="B1681" i="1"/>
  <c r="A1681" i="1"/>
  <c r="C1680" i="1"/>
  <c r="B1680" i="1"/>
  <c r="A1680" i="1"/>
  <c r="C1679" i="1"/>
  <c r="B1679" i="1"/>
  <c r="A1679" i="1"/>
  <c r="C1678" i="1"/>
  <c r="B1678" i="1"/>
  <c r="A1678" i="1"/>
  <c r="C1677" i="1"/>
  <c r="B1677" i="1"/>
  <c r="A1677" i="1"/>
  <c r="C1676" i="1"/>
  <c r="B1676" i="1"/>
  <c r="A1676" i="1"/>
  <c r="C1675" i="1"/>
  <c r="B1675" i="1"/>
  <c r="A1675" i="1"/>
  <c r="C1674" i="1"/>
  <c r="B1674" i="1"/>
  <c r="A1674" i="1"/>
  <c r="C1673" i="1"/>
  <c r="B1673" i="1"/>
  <c r="A1673" i="1"/>
  <c r="C1672" i="1"/>
  <c r="B1672" i="1"/>
  <c r="A1672" i="1"/>
  <c r="C1671" i="1"/>
  <c r="B1671" i="1"/>
  <c r="A1671" i="1"/>
  <c r="C1670" i="1"/>
  <c r="B1670" i="1"/>
  <c r="A1670" i="1"/>
  <c r="C1669" i="1"/>
  <c r="B1669" i="1"/>
  <c r="A1669" i="1"/>
  <c r="C1668" i="1"/>
  <c r="B1668" i="1"/>
  <c r="A1668" i="1"/>
  <c r="C1667" i="1"/>
  <c r="B1667" i="1"/>
  <c r="A1667" i="1"/>
  <c r="C1666" i="1"/>
  <c r="B1666" i="1"/>
  <c r="A1666" i="1"/>
  <c r="C1665" i="1"/>
  <c r="B1665" i="1"/>
  <c r="A1665" i="1"/>
  <c r="C1664" i="1"/>
  <c r="B1664" i="1"/>
  <c r="A1664" i="1"/>
  <c r="C1663" i="1"/>
  <c r="B1663" i="1"/>
  <c r="A1663" i="1"/>
  <c r="C1662" i="1"/>
  <c r="B1662" i="1"/>
  <c r="A1662" i="1"/>
  <c r="C1661" i="1"/>
  <c r="B1661" i="1"/>
  <c r="A1661" i="1"/>
  <c r="C1660" i="1"/>
  <c r="B1660" i="1"/>
  <c r="A1660" i="1"/>
  <c r="C1659" i="1"/>
  <c r="B1659" i="1"/>
  <c r="A1659" i="1"/>
  <c r="C1658" i="1"/>
  <c r="B1658" i="1"/>
  <c r="A1658" i="1"/>
  <c r="C1657" i="1"/>
  <c r="B1657" i="1"/>
  <c r="A1657" i="1"/>
  <c r="C1656" i="1"/>
  <c r="B1656" i="1"/>
  <c r="A1656" i="1"/>
  <c r="C1655" i="1"/>
  <c r="B1655" i="1"/>
  <c r="A1655" i="1"/>
  <c r="C1654" i="1"/>
  <c r="B1654" i="1"/>
  <c r="A1654" i="1"/>
  <c r="C1653" i="1"/>
  <c r="B1653" i="1"/>
  <c r="A1653" i="1"/>
  <c r="C1652" i="1"/>
  <c r="B1652" i="1"/>
  <c r="A1652" i="1"/>
  <c r="C1651" i="1"/>
  <c r="B1651" i="1"/>
  <c r="A1651" i="1"/>
  <c r="C1650" i="1"/>
  <c r="B1650" i="1"/>
  <c r="A1650" i="1"/>
  <c r="C1649" i="1"/>
  <c r="B1649" i="1"/>
  <c r="A1649" i="1"/>
  <c r="C1648" i="1"/>
  <c r="B1648" i="1"/>
  <c r="A1648" i="1"/>
  <c r="C1647" i="1"/>
  <c r="B1647" i="1"/>
  <c r="A1647" i="1"/>
  <c r="C1646" i="1"/>
  <c r="B1646" i="1"/>
  <c r="A1646" i="1"/>
  <c r="C1645" i="1"/>
  <c r="B1645" i="1"/>
  <c r="A1645" i="1"/>
  <c r="C1644" i="1"/>
  <c r="B1644" i="1"/>
  <c r="A1644" i="1"/>
  <c r="C1643" i="1"/>
  <c r="B1643" i="1"/>
  <c r="A1643" i="1"/>
  <c r="C1642" i="1"/>
  <c r="B1642" i="1"/>
  <c r="A1642" i="1"/>
  <c r="C1641" i="1"/>
  <c r="B1641" i="1"/>
  <c r="A1641" i="1"/>
  <c r="C1640" i="1"/>
  <c r="B1640" i="1"/>
  <c r="A1640" i="1"/>
  <c r="C1639" i="1"/>
  <c r="B1639" i="1"/>
  <c r="A1639" i="1"/>
  <c r="C1638" i="1"/>
  <c r="B1638" i="1"/>
  <c r="A1638" i="1"/>
  <c r="C1637" i="1"/>
  <c r="B1637" i="1"/>
  <c r="A1637" i="1"/>
  <c r="C1636" i="1"/>
  <c r="B1636" i="1"/>
  <c r="A1636" i="1"/>
  <c r="C1635" i="1"/>
  <c r="B1635" i="1"/>
  <c r="A1635" i="1"/>
  <c r="C1634" i="1"/>
  <c r="B1634" i="1"/>
  <c r="A1634" i="1"/>
  <c r="C1633" i="1"/>
  <c r="B1633" i="1"/>
  <c r="A1633" i="1"/>
  <c r="C1632" i="1"/>
  <c r="B1632" i="1"/>
  <c r="A1632" i="1"/>
  <c r="C1631" i="1"/>
  <c r="B1631" i="1"/>
  <c r="A1631" i="1"/>
  <c r="C1630" i="1"/>
  <c r="B1630" i="1"/>
  <c r="A1630" i="1"/>
  <c r="C1629" i="1"/>
  <c r="B1629" i="1"/>
  <c r="A1629" i="1"/>
  <c r="C1628" i="1"/>
  <c r="B1628" i="1"/>
  <c r="A1628" i="1"/>
  <c r="C1627" i="1"/>
  <c r="B1627" i="1"/>
  <c r="A1627" i="1"/>
  <c r="C1626" i="1"/>
  <c r="B1626" i="1"/>
  <c r="A1626" i="1"/>
  <c r="C1625" i="1"/>
  <c r="B1625" i="1"/>
  <c r="A1625" i="1"/>
  <c r="C1624" i="1"/>
  <c r="B1624" i="1"/>
  <c r="A1624" i="1"/>
  <c r="C1623" i="1"/>
  <c r="B1623" i="1"/>
  <c r="A1623" i="1"/>
  <c r="C1622" i="1"/>
  <c r="B1622" i="1"/>
  <c r="A1622" i="1"/>
  <c r="C1621" i="1"/>
  <c r="B1621" i="1"/>
  <c r="A1621" i="1"/>
  <c r="C1620" i="1"/>
  <c r="B1620" i="1"/>
  <c r="A1620" i="1"/>
  <c r="C1619" i="1"/>
  <c r="B1619" i="1"/>
  <c r="A1619" i="1"/>
  <c r="C1618" i="1"/>
  <c r="B1618" i="1"/>
  <c r="A1618" i="1"/>
  <c r="C1617" i="1"/>
  <c r="B1617" i="1"/>
  <c r="A1617" i="1"/>
  <c r="C1616" i="1"/>
  <c r="B1616" i="1"/>
  <c r="A1616" i="1"/>
  <c r="C1615" i="1"/>
  <c r="B1615" i="1"/>
  <c r="A1615" i="1"/>
  <c r="C1614" i="1"/>
  <c r="B1614" i="1"/>
  <c r="A1614" i="1"/>
  <c r="C1613" i="1"/>
  <c r="B1613" i="1"/>
  <c r="A1613" i="1"/>
  <c r="C1612" i="1"/>
  <c r="B1612" i="1"/>
  <c r="A1612" i="1"/>
  <c r="C1611" i="1"/>
  <c r="B1611" i="1"/>
  <c r="A1611" i="1"/>
  <c r="C1610" i="1"/>
  <c r="B1610" i="1"/>
  <c r="A1610" i="1"/>
  <c r="C1609" i="1"/>
  <c r="B1609" i="1"/>
  <c r="A1609" i="1"/>
  <c r="C1608" i="1"/>
  <c r="B1608" i="1"/>
  <c r="A1608" i="1"/>
  <c r="C1607" i="1"/>
  <c r="B1607" i="1"/>
  <c r="A1607" i="1"/>
  <c r="C1606" i="1"/>
  <c r="B1606" i="1"/>
  <c r="A1606" i="1"/>
  <c r="C1605" i="1"/>
  <c r="B1605" i="1"/>
  <c r="A1605" i="1"/>
  <c r="C1604" i="1"/>
  <c r="B1604" i="1"/>
  <c r="A1604" i="1"/>
  <c r="C1603" i="1"/>
  <c r="B1603" i="1"/>
  <c r="A1603" i="1"/>
  <c r="C1602" i="1"/>
  <c r="B1602" i="1"/>
  <c r="A1602" i="1"/>
  <c r="C1601" i="1"/>
  <c r="B1601" i="1"/>
  <c r="A1601" i="1"/>
  <c r="C1600" i="1"/>
  <c r="B1600" i="1"/>
  <c r="A1600" i="1"/>
  <c r="C1599" i="1"/>
  <c r="B1599" i="1"/>
  <c r="A1599" i="1"/>
  <c r="C1598" i="1"/>
  <c r="B1598" i="1"/>
  <c r="A1598" i="1"/>
  <c r="C1597" i="1"/>
  <c r="B1597" i="1"/>
  <c r="A1597" i="1"/>
  <c r="C1596" i="1"/>
  <c r="B1596" i="1"/>
  <c r="A1596" i="1"/>
  <c r="C1595" i="1"/>
  <c r="B1595" i="1"/>
  <c r="A1595" i="1"/>
  <c r="C1594" i="1"/>
  <c r="B1594" i="1"/>
  <c r="A1594" i="1"/>
  <c r="C1593" i="1"/>
  <c r="B1593" i="1"/>
  <c r="A1593" i="1"/>
  <c r="C1592" i="1"/>
  <c r="B1592" i="1"/>
  <c r="A1592" i="1"/>
  <c r="C1591" i="1"/>
  <c r="B1591" i="1"/>
  <c r="A1591" i="1"/>
  <c r="C1590" i="1"/>
  <c r="B1590" i="1"/>
  <c r="A1590" i="1"/>
  <c r="C1589" i="1"/>
  <c r="B1589" i="1"/>
  <c r="A1589" i="1"/>
  <c r="C1588" i="1"/>
  <c r="B1588" i="1"/>
  <c r="A1588" i="1"/>
  <c r="C1587" i="1"/>
  <c r="B1587" i="1"/>
  <c r="A1587" i="1"/>
  <c r="C1586" i="1"/>
  <c r="B1586" i="1"/>
  <c r="A1586" i="1"/>
  <c r="C1585" i="1"/>
  <c r="B1585" i="1"/>
  <c r="A1585" i="1"/>
  <c r="C1584" i="1"/>
  <c r="B1584" i="1"/>
  <c r="A1584" i="1"/>
  <c r="C1583" i="1"/>
  <c r="B1583" i="1"/>
  <c r="A1583" i="1"/>
  <c r="C1582" i="1"/>
  <c r="B1582" i="1"/>
  <c r="A1582" i="1"/>
  <c r="C1581" i="1"/>
  <c r="B1581" i="1"/>
  <c r="A1581" i="1"/>
  <c r="C1580" i="1"/>
  <c r="B1580" i="1"/>
  <c r="A1580" i="1"/>
  <c r="C1579" i="1"/>
  <c r="B1579" i="1"/>
  <c r="A1579" i="1"/>
  <c r="C1578" i="1"/>
  <c r="B1578" i="1"/>
  <c r="A1578" i="1"/>
  <c r="C1577" i="1"/>
  <c r="B1577" i="1"/>
  <c r="A1577" i="1"/>
  <c r="C1576" i="1"/>
  <c r="B1576" i="1"/>
  <c r="A1576" i="1"/>
  <c r="C1575" i="1"/>
  <c r="B1575" i="1"/>
  <c r="A1575" i="1"/>
  <c r="C1574" i="1"/>
  <c r="B1574" i="1"/>
  <c r="A1574" i="1"/>
  <c r="C1573" i="1"/>
  <c r="B1573" i="1"/>
  <c r="A1573" i="1"/>
  <c r="C1572" i="1"/>
  <c r="B1572" i="1"/>
  <c r="A1572" i="1"/>
  <c r="C1571" i="1"/>
  <c r="B1571" i="1"/>
  <c r="A1571" i="1"/>
  <c r="C1570" i="1"/>
  <c r="B1570" i="1"/>
  <c r="A1570" i="1"/>
  <c r="C1569" i="1"/>
  <c r="B1569" i="1"/>
  <c r="A1569" i="1"/>
  <c r="C1568" i="1"/>
  <c r="B1568" i="1"/>
  <c r="A1568" i="1"/>
  <c r="C1567" i="1"/>
  <c r="B1567" i="1"/>
  <c r="A1567" i="1"/>
  <c r="C1566" i="1"/>
  <c r="B1566" i="1"/>
  <c r="A1566" i="1"/>
  <c r="C1565" i="1"/>
  <c r="B1565" i="1"/>
  <c r="A1565" i="1"/>
  <c r="C1564" i="1"/>
  <c r="B1564" i="1"/>
  <c r="A1564" i="1"/>
  <c r="C1563" i="1"/>
  <c r="B1563" i="1"/>
  <c r="A1563" i="1"/>
  <c r="C1562" i="1"/>
  <c r="B1562" i="1"/>
  <c r="A1562" i="1"/>
  <c r="C1561" i="1"/>
  <c r="B1561" i="1"/>
  <c r="A1561" i="1"/>
  <c r="C1560" i="1"/>
  <c r="B1560" i="1"/>
  <c r="A1560" i="1"/>
  <c r="C1559" i="1"/>
  <c r="B1559" i="1"/>
  <c r="A1559" i="1"/>
  <c r="C1558" i="1"/>
  <c r="B1558" i="1"/>
  <c r="A1558" i="1"/>
  <c r="C1557" i="1"/>
  <c r="B1557" i="1"/>
  <c r="A1557" i="1"/>
  <c r="C1556" i="1"/>
  <c r="B1556" i="1"/>
  <c r="A1556" i="1"/>
  <c r="C1555" i="1"/>
  <c r="B1555" i="1"/>
  <c r="A1555" i="1"/>
  <c r="C1554" i="1"/>
  <c r="B1554" i="1"/>
  <c r="A1554" i="1"/>
  <c r="C1553" i="1"/>
  <c r="B1553" i="1"/>
  <c r="A1553" i="1"/>
  <c r="C1552" i="1"/>
  <c r="B1552" i="1"/>
  <c r="A1552" i="1"/>
  <c r="C1551" i="1"/>
  <c r="B1551" i="1"/>
  <c r="A1551" i="1"/>
  <c r="C1550" i="1"/>
  <c r="B1550" i="1"/>
  <c r="A1550" i="1"/>
  <c r="C1549" i="1"/>
  <c r="B1549" i="1"/>
  <c r="A1549" i="1"/>
  <c r="C1548" i="1"/>
  <c r="B1548" i="1"/>
  <c r="A1548" i="1"/>
  <c r="C1547" i="1"/>
  <c r="B1547" i="1"/>
  <c r="A1547" i="1"/>
  <c r="C1546" i="1"/>
  <c r="B1546" i="1"/>
  <c r="A1546" i="1"/>
  <c r="C1545" i="1"/>
  <c r="B1545" i="1"/>
  <c r="A1545" i="1"/>
  <c r="C1544" i="1"/>
  <c r="B1544" i="1"/>
  <c r="A1544" i="1"/>
  <c r="C1543" i="1"/>
  <c r="B1543" i="1"/>
  <c r="A1543" i="1"/>
  <c r="C1542" i="1"/>
  <c r="B1542" i="1"/>
  <c r="A1542" i="1"/>
  <c r="C1541" i="1"/>
  <c r="B1541" i="1"/>
  <c r="A1541" i="1"/>
  <c r="C1540" i="1"/>
  <c r="B1540" i="1"/>
  <c r="A1540" i="1"/>
  <c r="C1539" i="1"/>
  <c r="B1539" i="1"/>
  <c r="A1539" i="1"/>
  <c r="C1538" i="1"/>
  <c r="B1538" i="1"/>
  <c r="A1538" i="1"/>
  <c r="C1537" i="1"/>
  <c r="B1537" i="1"/>
  <c r="A1537" i="1"/>
  <c r="C1536" i="1"/>
  <c r="B1536" i="1"/>
  <c r="A1536" i="1"/>
  <c r="C1535" i="1"/>
  <c r="B1535" i="1"/>
  <c r="A1535" i="1"/>
  <c r="C1534" i="1"/>
  <c r="B1534" i="1"/>
  <c r="A1534" i="1"/>
  <c r="C1533" i="1"/>
  <c r="B1533" i="1"/>
  <c r="A1533" i="1"/>
  <c r="C1532" i="1"/>
  <c r="B1532" i="1"/>
  <c r="A1532" i="1"/>
  <c r="C1531" i="1"/>
  <c r="B1531" i="1"/>
  <c r="A1531" i="1"/>
  <c r="C1530" i="1"/>
  <c r="B1530" i="1"/>
  <c r="A1530" i="1"/>
  <c r="C1529" i="1"/>
  <c r="B1529" i="1"/>
  <c r="A1529" i="1"/>
  <c r="C1528" i="1"/>
  <c r="B1528" i="1"/>
  <c r="A1528" i="1"/>
  <c r="C1527" i="1"/>
  <c r="B1527" i="1"/>
  <c r="A1527" i="1"/>
  <c r="C1526" i="1"/>
  <c r="B1526" i="1"/>
  <c r="A1526" i="1"/>
  <c r="C1525" i="1"/>
  <c r="B1525" i="1"/>
  <c r="A1525" i="1"/>
  <c r="C1524" i="1"/>
  <c r="B1524" i="1"/>
  <c r="A1524" i="1"/>
  <c r="C1523" i="1"/>
  <c r="B1523" i="1"/>
  <c r="A1523" i="1"/>
  <c r="C1522" i="1"/>
  <c r="B1522" i="1"/>
  <c r="A1522" i="1"/>
  <c r="C1521" i="1"/>
  <c r="B1521" i="1"/>
  <c r="A1521" i="1"/>
  <c r="C1520" i="1"/>
  <c r="B1520" i="1"/>
  <c r="A1520" i="1"/>
  <c r="C1519" i="1"/>
  <c r="B1519" i="1"/>
  <c r="A1519" i="1"/>
  <c r="C1518" i="1"/>
  <c r="B1518" i="1"/>
  <c r="A1518" i="1"/>
  <c r="C1517" i="1"/>
  <c r="B1517" i="1"/>
  <c r="A1517" i="1"/>
  <c r="C1516" i="1"/>
  <c r="B1516" i="1"/>
  <c r="A1516" i="1"/>
  <c r="C1515" i="1"/>
  <c r="B1515" i="1"/>
  <c r="A1515" i="1"/>
  <c r="C1514" i="1"/>
  <c r="B1514" i="1"/>
  <c r="A1514" i="1"/>
  <c r="C1513" i="1"/>
  <c r="B1513" i="1"/>
  <c r="A1513" i="1"/>
  <c r="C1512" i="1"/>
  <c r="B1512" i="1"/>
  <c r="A1512" i="1"/>
  <c r="C1511" i="1"/>
  <c r="B1511" i="1"/>
  <c r="A1511" i="1"/>
  <c r="C1510" i="1"/>
  <c r="B1510" i="1"/>
  <c r="A1510" i="1"/>
  <c r="C1509" i="1"/>
  <c r="B1509" i="1"/>
  <c r="A1509" i="1"/>
  <c r="C1508" i="1"/>
  <c r="B1508" i="1"/>
  <c r="A1508" i="1"/>
  <c r="C1507" i="1"/>
  <c r="B1507" i="1"/>
  <c r="A1507" i="1"/>
  <c r="C1506" i="1"/>
  <c r="B1506" i="1"/>
  <c r="A1506" i="1"/>
  <c r="C1505" i="1"/>
  <c r="B1505" i="1"/>
  <c r="A1505" i="1"/>
  <c r="C1504" i="1"/>
  <c r="B1504" i="1"/>
  <c r="A1504" i="1"/>
  <c r="C1503" i="1"/>
  <c r="B1503" i="1"/>
  <c r="A1503" i="1"/>
  <c r="C1502" i="1"/>
  <c r="B1502" i="1"/>
  <c r="A1502" i="1"/>
  <c r="C1501" i="1"/>
  <c r="B1501" i="1"/>
  <c r="A1501" i="1"/>
  <c r="C1500" i="1"/>
  <c r="B1500" i="1"/>
  <c r="A1500" i="1"/>
  <c r="C1499" i="1"/>
  <c r="B1499" i="1"/>
  <c r="A1499" i="1"/>
  <c r="C1498" i="1"/>
  <c r="B1498" i="1"/>
  <c r="A1498" i="1"/>
  <c r="C1497" i="1"/>
  <c r="B1497" i="1"/>
  <c r="A1497" i="1"/>
  <c r="C1496" i="1"/>
  <c r="B1496" i="1"/>
  <c r="A1496" i="1"/>
  <c r="C1495" i="1"/>
  <c r="B1495" i="1"/>
  <c r="A1495" i="1"/>
  <c r="C1494" i="1"/>
  <c r="B1494" i="1"/>
  <c r="A1494" i="1"/>
  <c r="C1493" i="1"/>
  <c r="B1493" i="1"/>
  <c r="A1493" i="1"/>
  <c r="C1492" i="1"/>
  <c r="B1492" i="1"/>
  <c r="A1492" i="1"/>
  <c r="C1491" i="1"/>
  <c r="B1491" i="1"/>
  <c r="A1491" i="1"/>
  <c r="C1490" i="1"/>
  <c r="B1490" i="1"/>
  <c r="A1490" i="1"/>
  <c r="C1489" i="1"/>
  <c r="B1489" i="1"/>
  <c r="A1489" i="1"/>
  <c r="C1488" i="1"/>
  <c r="B1488" i="1"/>
  <c r="A1488" i="1"/>
  <c r="C1487" i="1"/>
  <c r="B1487" i="1"/>
  <c r="A1487" i="1"/>
  <c r="C1486" i="1"/>
  <c r="B1486" i="1"/>
  <c r="A1486" i="1"/>
  <c r="C1485" i="1"/>
  <c r="B1485" i="1"/>
  <c r="A1485" i="1"/>
  <c r="C1484" i="1"/>
  <c r="B1484" i="1"/>
  <c r="A1484" i="1"/>
  <c r="C1483" i="1"/>
  <c r="B1483" i="1"/>
  <c r="A1483" i="1"/>
  <c r="C1482" i="1"/>
  <c r="B1482" i="1"/>
  <c r="A1482" i="1"/>
  <c r="C1481" i="1"/>
  <c r="B1481" i="1"/>
  <c r="A1481" i="1"/>
  <c r="C1480" i="1"/>
  <c r="B1480" i="1"/>
  <c r="A1480" i="1"/>
  <c r="C1479" i="1"/>
  <c r="B1479" i="1"/>
  <c r="A1479" i="1"/>
  <c r="C1478" i="1"/>
  <c r="B1478" i="1"/>
  <c r="A1478" i="1"/>
  <c r="C1477" i="1"/>
  <c r="B1477" i="1"/>
  <c r="A1477" i="1"/>
  <c r="C1476" i="1"/>
  <c r="B1476" i="1"/>
  <c r="A1476" i="1"/>
  <c r="C1475" i="1"/>
  <c r="B1475" i="1"/>
  <c r="A1475" i="1"/>
  <c r="C1474" i="1"/>
  <c r="B1474" i="1"/>
  <c r="A1474" i="1"/>
  <c r="C1473" i="1"/>
  <c r="B1473" i="1"/>
  <c r="A1473" i="1"/>
  <c r="C1472" i="1"/>
  <c r="B1472" i="1"/>
  <c r="A1472" i="1"/>
  <c r="C1471" i="1"/>
  <c r="B1471" i="1"/>
  <c r="A1471" i="1"/>
  <c r="C1470" i="1"/>
  <c r="B1470" i="1"/>
  <c r="A1470" i="1"/>
  <c r="C1469" i="1"/>
  <c r="B1469" i="1"/>
  <c r="A1469" i="1"/>
  <c r="C1468" i="1"/>
  <c r="B1468" i="1"/>
  <c r="A1468" i="1"/>
  <c r="C1467" i="1"/>
  <c r="B1467" i="1"/>
  <c r="A1467" i="1"/>
  <c r="C1466" i="1"/>
  <c r="B1466" i="1"/>
  <c r="A1466" i="1"/>
  <c r="C1465" i="1"/>
  <c r="B1465" i="1"/>
  <c r="A1465" i="1"/>
  <c r="C1464" i="1"/>
  <c r="B1464" i="1"/>
  <c r="A1464" i="1"/>
  <c r="C1463" i="1"/>
  <c r="B1463" i="1"/>
  <c r="A1463" i="1"/>
  <c r="C1462" i="1"/>
  <c r="B1462" i="1"/>
  <c r="A1462" i="1"/>
  <c r="C1461" i="1"/>
  <c r="B1461" i="1"/>
  <c r="A1461" i="1"/>
  <c r="C1460" i="1"/>
  <c r="B1460" i="1"/>
  <c r="A1460" i="1"/>
  <c r="C1459" i="1"/>
  <c r="B1459" i="1"/>
  <c r="A1459" i="1"/>
  <c r="C1458" i="1"/>
  <c r="B1458" i="1"/>
  <c r="A1458" i="1"/>
  <c r="C1457" i="1"/>
  <c r="B1457" i="1"/>
  <c r="A1457" i="1"/>
  <c r="C1456" i="1"/>
  <c r="B1456" i="1"/>
  <c r="A1456" i="1"/>
  <c r="C1455" i="1"/>
  <c r="B1455" i="1"/>
  <c r="A1455" i="1"/>
  <c r="C1454" i="1"/>
  <c r="B1454" i="1"/>
  <c r="A1454" i="1"/>
  <c r="C1453" i="1"/>
  <c r="B1453" i="1"/>
  <c r="A1453" i="1"/>
  <c r="C1452" i="1"/>
  <c r="B1452" i="1"/>
  <c r="A1452" i="1"/>
  <c r="C1451" i="1"/>
  <c r="B1451" i="1"/>
  <c r="A1451" i="1"/>
  <c r="C1450" i="1"/>
  <c r="B1450" i="1"/>
  <c r="A1450" i="1"/>
  <c r="C1449" i="1"/>
  <c r="B1449" i="1"/>
  <c r="A1449" i="1"/>
  <c r="C1448" i="1"/>
  <c r="B1448" i="1"/>
  <c r="A1448" i="1"/>
  <c r="C1447" i="1"/>
  <c r="B1447" i="1"/>
  <c r="A1447" i="1"/>
  <c r="C1446" i="1"/>
  <c r="B1446" i="1"/>
  <c r="A1446" i="1"/>
  <c r="C1445" i="1"/>
  <c r="B1445" i="1"/>
  <c r="A1445" i="1"/>
  <c r="C1444" i="1"/>
  <c r="B1444" i="1"/>
  <c r="A1444" i="1"/>
  <c r="C1443" i="1"/>
  <c r="B1443" i="1"/>
  <c r="A1443" i="1"/>
  <c r="C1442" i="1"/>
  <c r="B1442" i="1"/>
  <c r="A1442" i="1"/>
  <c r="C1441" i="1"/>
  <c r="B1441" i="1"/>
  <c r="A1441" i="1"/>
  <c r="C1440" i="1"/>
  <c r="B1440" i="1"/>
  <c r="A1440" i="1"/>
  <c r="C1439" i="1"/>
  <c r="B1439" i="1"/>
  <c r="A1439" i="1"/>
  <c r="C1438" i="1"/>
  <c r="B1438" i="1"/>
  <c r="A1438" i="1"/>
  <c r="C1437" i="1"/>
  <c r="B1437" i="1"/>
  <c r="A1437" i="1"/>
  <c r="C1436" i="1"/>
  <c r="B1436" i="1"/>
  <c r="A1436" i="1"/>
  <c r="C1435" i="1"/>
  <c r="B1435" i="1"/>
  <c r="A1435" i="1"/>
  <c r="C1434" i="1"/>
  <c r="B1434" i="1"/>
  <c r="A1434" i="1"/>
  <c r="C1433" i="1"/>
  <c r="B1433" i="1"/>
  <c r="A1433" i="1"/>
  <c r="C1432" i="1"/>
  <c r="B1432" i="1"/>
  <c r="A1432" i="1"/>
  <c r="C1431" i="1"/>
  <c r="B1431" i="1"/>
  <c r="A1431" i="1"/>
  <c r="C1430" i="1"/>
  <c r="B1430" i="1"/>
  <c r="A1430" i="1"/>
  <c r="C1429" i="1"/>
  <c r="B1429" i="1"/>
  <c r="A1429" i="1"/>
  <c r="C1428" i="1"/>
  <c r="B1428" i="1"/>
  <c r="A1428" i="1"/>
  <c r="C1427" i="1"/>
  <c r="B1427" i="1"/>
  <c r="A1427" i="1"/>
  <c r="C1426" i="1"/>
  <c r="B1426" i="1"/>
  <c r="A1426" i="1"/>
  <c r="C1425" i="1"/>
  <c r="B1425" i="1"/>
  <c r="A1425" i="1"/>
  <c r="C1424" i="1"/>
  <c r="B1424" i="1"/>
  <c r="A1424" i="1"/>
  <c r="C1423" i="1"/>
  <c r="B1423" i="1"/>
  <c r="A1423" i="1"/>
  <c r="C1422" i="1"/>
  <c r="B1422" i="1"/>
  <c r="A1422" i="1"/>
  <c r="C1421" i="1"/>
  <c r="B1421" i="1"/>
  <c r="A1421" i="1"/>
  <c r="C1420" i="1"/>
  <c r="B1420" i="1"/>
  <c r="A1420" i="1"/>
  <c r="C1419" i="1"/>
  <c r="B1419" i="1"/>
  <c r="A1419" i="1"/>
  <c r="C1418" i="1"/>
  <c r="B1418" i="1"/>
  <c r="A1418" i="1"/>
  <c r="C1417" i="1"/>
  <c r="B1417" i="1"/>
  <c r="A1417" i="1"/>
  <c r="C1416" i="1"/>
  <c r="B1416" i="1"/>
  <c r="A1416" i="1"/>
  <c r="C1415" i="1"/>
  <c r="B1415" i="1"/>
  <c r="A1415" i="1"/>
  <c r="C1414" i="1"/>
  <c r="B1414" i="1"/>
  <c r="A1414" i="1"/>
  <c r="C1413" i="1"/>
  <c r="B1413" i="1"/>
  <c r="A1413" i="1"/>
  <c r="C1412" i="1"/>
  <c r="B1412" i="1"/>
  <c r="A1412" i="1"/>
  <c r="C1411" i="1"/>
  <c r="B1411" i="1"/>
  <c r="A1411" i="1"/>
  <c r="C1410" i="1"/>
  <c r="B1410" i="1"/>
  <c r="A1410" i="1"/>
  <c r="C1409" i="1"/>
  <c r="B1409" i="1"/>
  <c r="A1409" i="1"/>
  <c r="C1408" i="1"/>
  <c r="B1408" i="1"/>
  <c r="A1408" i="1"/>
  <c r="C1407" i="1"/>
  <c r="B1407" i="1"/>
  <c r="A1407" i="1"/>
  <c r="C1406" i="1"/>
  <c r="B1406" i="1"/>
  <c r="A1406" i="1"/>
  <c r="C1405" i="1"/>
  <c r="B1405" i="1"/>
  <c r="A1405" i="1"/>
  <c r="C1404" i="1"/>
  <c r="B1404" i="1"/>
  <c r="A1404" i="1"/>
  <c r="C1403" i="1"/>
  <c r="B1403" i="1"/>
  <c r="A1403" i="1"/>
  <c r="C1402" i="1"/>
  <c r="B1402" i="1"/>
  <c r="A1402" i="1"/>
  <c r="C1401" i="1"/>
  <c r="B1401" i="1"/>
  <c r="A1401" i="1"/>
  <c r="C1400" i="1"/>
  <c r="B1400" i="1"/>
  <c r="A1400" i="1"/>
  <c r="C1399" i="1"/>
  <c r="B1399" i="1"/>
  <c r="A1399" i="1"/>
  <c r="C1398" i="1"/>
  <c r="B1398" i="1"/>
  <c r="A1398" i="1"/>
  <c r="C1397" i="1"/>
  <c r="B1397" i="1"/>
  <c r="A1397" i="1"/>
  <c r="C1396" i="1"/>
  <c r="B1396" i="1"/>
  <c r="A1396" i="1"/>
  <c r="C1395" i="1"/>
  <c r="B1395" i="1"/>
  <c r="A1395" i="1"/>
  <c r="C1394" i="1"/>
  <c r="B1394" i="1"/>
  <c r="A1394" i="1"/>
  <c r="C1393" i="1"/>
  <c r="B1393" i="1"/>
  <c r="A1393" i="1"/>
  <c r="C1392" i="1"/>
  <c r="B1392" i="1"/>
  <c r="A1392" i="1"/>
  <c r="C1391" i="1"/>
  <c r="B1391" i="1"/>
  <c r="A1391" i="1"/>
  <c r="C1390" i="1"/>
  <c r="B1390" i="1"/>
  <c r="A1390" i="1"/>
  <c r="C1389" i="1"/>
  <c r="B1389" i="1"/>
  <c r="A1389" i="1"/>
  <c r="C1388" i="1"/>
  <c r="B1388" i="1"/>
  <c r="A1388" i="1"/>
  <c r="C1387" i="1"/>
  <c r="B1387" i="1"/>
  <c r="A1387" i="1"/>
  <c r="C1386" i="1"/>
  <c r="B1386" i="1"/>
  <c r="A1386" i="1"/>
  <c r="C1385" i="1"/>
  <c r="B1385" i="1"/>
  <c r="A1385" i="1"/>
  <c r="C1384" i="1"/>
  <c r="B1384" i="1"/>
  <c r="A1384" i="1"/>
  <c r="C1383" i="1"/>
  <c r="B1383" i="1"/>
  <c r="A1383" i="1"/>
  <c r="C1382" i="1"/>
  <c r="B1382" i="1"/>
  <c r="A1382" i="1"/>
  <c r="C1381" i="1"/>
  <c r="B1381" i="1"/>
  <c r="A1381" i="1"/>
  <c r="C1380" i="1"/>
  <c r="B1380" i="1"/>
  <c r="A1380" i="1"/>
  <c r="C1379" i="1"/>
  <c r="B1379" i="1"/>
  <c r="A1379" i="1"/>
  <c r="C1378" i="1"/>
  <c r="B1378" i="1"/>
  <c r="A1378" i="1"/>
  <c r="C1377" i="1"/>
  <c r="B1377" i="1"/>
  <c r="A1377" i="1"/>
  <c r="C1376" i="1"/>
  <c r="B1376" i="1"/>
  <c r="A1376" i="1"/>
  <c r="C1375" i="1"/>
  <c r="B1375" i="1"/>
  <c r="A1375" i="1"/>
  <c r="C1374" i="1"/>
  <c r="B1374" i="1"/>
  <c r="A1374" i="1"/>
  <c r="C1373" i="1"/>
  <c r="B1373" i="1"/>
  <c r="A1373" i="1"/>
  <c r="C1372" i="1"/>
  <c r="B1372" i="1"/>
  <c r="A1372" i="1"/>
  <c r="C1371" i="1"/>
  <c r="B1371" i="1"/>
  <c r="A1371" i="1"/>
  <c r="C1370" i="1"/>
  <c r="B1370" i="1"/>
  <c r="A1370" i="1"/>
  <c r="C1369" i="1"/>
  <c r="B1369" i="1"/>
  <c r="A1369" i="1"/>
  <c r="C1368" i="1"/>
  <c r="B1368" i="1"/>
  <c r="A1368" i="1"/>
  <c r="C1367" i="1"/>
  <c r="B1367" i="1"/>
  <c r="A1367" i="1"/>
  <c r="C1366" i="1"/>
  <c r="B1366" i="1"/>
  <c r="A1366" i="1"/>
  <c r="C1365" i="1"/>
  <c r="B1365" i="1"/>
  <c r="A1365" i="1"/>
  <c r="C1364" i="1"/>
  <c r="B1364" i="1"/>
  <c r="A1364" i="1"/>
  <c r="C1363" i="1"/>
  <c r="B1363" i="1"/>
  <c r="A1363" i="1"/>
  <c r="C1362" i="1"/>
  <c r="B1362" i="1"/>
  <c r="A1362" i="1"/>
  <c r="C1361" i="1"/>
  <c r="B1361" i="1"/>
  <c r="A1361" i="1"/>
  <c r="C1360" i="1"/>
  <c r="B1360" i="1"/>
  <c r="A1360" i="1"/>
  <c r="C1359" i="1"/>
  <c r="B1359" i="1"/>
  <c r="A1359" i="1"/>
  <c r="C1358" i="1"/>
  <c r="B1358" i="1"/>
  <c r="A1358" i="1"/>
  <c r="C1357" i="1"/>
  <c r="B1357" i="1"/>
  <c r="A1357" i="1"/>
  <c r="C1356" i="1"/>
  <c r="B1356" i="1"/>
  <c r="A1356" i="1"/>
  <c r="C1355" i="1"/>
  <c r="B1355" i="1"/>
  <c r="A1355" i="1"/>
  <c r="C1354" i="1"/>
  <c r="B1354" i="1"/>
  <c r="A1354" i="1"/>
  <c r="C1353" i="1"/>
  <c r="B1353" i="1"/>
  <c r="A1353" i="1"/>
  <c r="C1352" i="1"/>
  <c r="B1352" i="1"/>
  <c r="A1352" i="1"/>
  <c r="C1351" i="1"/>
  <c r="B1351" i="1"/>
  <c r="A1351" i="1"/>
  <c r="C1350" i="1"/>
  <c r="B1350" i="1"/>
  <c r="A1350" i="1"/>
  <c r="C1349" i="1"/>
  <c r="B1349" i="1"/>
  <c r="A1349" i="1"/>
  <c r="C1348" i="1"/>
  <c r="B1348" i="1"/>
  <c r="A1348" i="1"/>
  <c r="C1347" i="1"/>
  <c r="B1347" i="1"/>
  <c r="A1347" i="1"/>
  <c r="C1346" i="1"/>
  <c r="B1346" i="1"/>
  <c r="A1346" i="1"/>
  <c r="C1345" i="1"/>
  <c r="B1345" i="1"/>
  <c r="A1345" i="1"/>
  <c r="C1344" i="1"/>
  <c r="B1344" i="1"/>
  <c r="A1344" i="1"/>
  <c r="C1343" i="1"/>
  <c r="B1343" i="1"/>
  <c r="A1343" i="1"/>
  <c r="C1342" i="1"/>
  <c r="B1342" i="1"/>
  <c r="A1342" i="1"/>
  <c r="C1341" i="1"/>
  <c r="B1341" i="1"/>
  <c r="A1341" i="1"/>
  <c r="C1340" i="1"/>
  <c r="B1340" i="1"/>
  <c r="A1340" i="1"/>
  <c r="C1339" i="1"/>
  <c r="B1339" i="1"/>
  <c r="A1339" i="1"/>
  <c r="C1338" i="1"/>
  <c r="B1338" i="1"/>
  <c r="A1338" i="1"/>
  <c r="C1337" i="1"/>
  <c r="B1337" i="1"/>
  <c r="A1337" i="1"/>
  <c r="C1336" i="1"/>
  <c r="B1336" i="1"/>
  <c r="A1336" i="1"/>
  <c r="C1335" i="1"/>
  <c r="B1335" i="1"/>
  <c r="A1335" i="1"/>
  <c r="C1334" i="1"/>
  <c r="B1334" i="1"/>
  <c r="A1334" i="1"/>
  <c r="C1333" i="1"/>
  <c r="B1333" i="1"/>
  <c r="A1333" i="1"/>
  <c r="C1332" i="1"/>
  <c r="B1332" i="1"/>
  <c r="A1332" i="1"/>
  <c r="C1331" i="1"/>
  <c r="B1331" i="1"/>
  <c r="A1331" i="1"/>
  <c r="C1330" i="1"/>
  <c r="B1330" i="1"/>
  <c r="A1330" i="1"/>
  <c r="C1329" i="1"/>
  <c r="B1329" i="1"/>
  <c r="A1329" i="1"/>
  <c r="C1328" i="1"/>
  <c r="B1328" i="1"/>
  <c r="A1328" i="1"/>
  <c r="C1327" i="1"/>
  <c r="B1327" i="1"/>
  <c r="A1327" i="1"/>
  <c r="C1326" i="1"/>
  <c r="B1326" i="1"/>
  <c r="A1326" i="1"/>
  <c r="C1325" i="1"/>
  <c r="B1325" i="1"/>
  <c r="A1325" i="1"/>
  <c r="C1324" i="1"/>
  <c r="B1324" i="1"/>
  <c r="A1324" i="1"/>
  <c r="C1323" i="1"/>
  <c r="B1323" i="1"/>
  <c r="A1323" i="1"/>
  <c r="C1322" i="1"/>
  <c r="B1322" i="1"/>
  <c r="A1322" i="1"/>
  <c r="C1321" i="1"/>
  <c r="B1321" i="1"/>
  <c r="A1321" i="1"/>
  <c r="C1320" i="1"/>
  <c r="B1320" i="1"/>
  <c r="A1320" i="1"/>
  <c r="C1319" i="1"/>
  <c r="B1319" i="1"/>
  <c r="A1319" i="1"/>
  <c r="C1318" i="1"/>
  <c r="B1318" i="1"/>
  <c r="A1318" i="1"/>
  <c r="C1317" i="1"/>
  <c r="B1317" i="1"/>
  <c r="A1317" i="1"/>
  <c r="C1316" i="1"/>
  <c r="B1316" i="1"/>
  <c r="A1316" i="1"/>
  <c r="C1315" i="1"/>
  <c r="B1315" i="1"/>
  <c r="A1315" i="1"/>
  <c r="C1314" i="1"/>
  <c r="B1314" i="1"/>
  <c r="A1314" i="1"/>
  <c r="C1313" i="1"/>
  <c r="B1313" i="1"/>
  <c r="A1313" i="1"/>
  <c r="C1312" i="1"/>
  <c r="B1312" i="1"/>
  <c r="A1312" i="1"/>
  <c r="C1311" i="1"/>
  <c r="B1311" i="1"/>
  <c r="A1311" i="1"/>
  <c r="C1310" i="1"/>
  <c r="B1310" i="1"/>
  <c r="A1310" i="1"/>
  <c r="C1309" i="1"/>
  <c r="B1309" i="1"/>
  <c r="A1309" i="1"/>
  <c r="C1308" i="1"/>
  <c r="B1308" i="1"/>
  <c r="A1308" i="1"/>
  <c r="C1307" i="1"/>
  <c r="B1307" i="1"/>
  <c r="A1307" i="1"/>
  <c r="C1306" i="1"/>
  <c r="B1306" i="1"/>
  <c r="A1306" i="1"/>
  <c r="C1305" i="1"/>
  <c r="B1305" i="1"/>
  <c r="A1305" i="1"/>
  <c r="C1304" i="1"/>
  <c r="B1304" i="1"/>
  <c r="A1304" i="1"/>
  <c r="C1303" i="1"/>
  <c r="B1303" i="1"/>
  <c r="A1303" i="1"/>
  <c r="C1302" i="1"/>
  <c r="B1302" i="1"/>
  <c r="A1302" i="1"/>
  <c r="C1301" i="1"/>
  <c r="B1301" i="1"/>
  <c r="A1301" i="1"/>
  <c r="C1300" i="1"/>
  <c r="B1300" i="1"/>
  <c r="A1300" i="1"/>
  <c r="C1299" i="1"/>
  <c r="B1299" i="1"/>
  <c r="A1299" i="1"/>
  <c r="C1298" i="1"/>
  <c r="B1298" i="1"/>
  <c r="A1298" i="1"/>
  <c r="C1297" i="1"/>
  <c r="B1297" i="1"/>
  <c r="A1297" i="1"/>
  <c r="C1296" i="1"/>
  <c r="B1296" i="1"/>
  <c r="A1296" i="1"/>
  <c r="C1295" i="1"/>
  <c r="B1295" i="1"/>
  <c r="A1295" i="1"/>
  <c r="C1294" i="1"/>
  <c r="B1294" i="1"/>
  <c r="A1294" i="1"/>
  <c r="C1293" i="1"/>
  <c r="B1293" i="1"/>
  <c r="A1293" i="1"/>
  <c r="C1292" i="1"/>
  <c r="B1292" i="1"/>
  <c r="A1292" i="1"/>
  <c r="C1291" i="1"/>
  <c r="B1291" i="1"/>
  <c r="A1291" i="1"/>
  <c r="C1290" i="1"/>
  <c r="B1290" i="1"/>
  <c r="A1290" i="1"/>
  <c r="C1289" i="1"/>
  <c r="B1289" i="1"/>
  <c r="A1289" i="1"/>
  <c r="C1288" i="1"/>
  <c r="B1288" i="1"/>
  <c r="A1288" i="1"/>
  <c r="C1287" i="1"/>
  <c r="B1287" i="1"/>
  <c r="A1287" i="1"/>
  <c r="C1286" i="1"/>
  <c r="B1286" i="1"/>
  <c r="A1286" i="1"/>
  <c r="C1285" i="1"/>
  <c r="B1285" i="1"/>
  <c r="A1285" i="1"/>
  <c r="C1284" i="1"/>
  <c r="B1284" i="1"/>
  <c r="A1284" i="1"/>
  <c r="C1283" i="1"/>
  <c r="B1283" i="1"/>
  <c r="A1283" i="1"/>
  <c r="C1282" i="1"/>
  <c r="B1282" i="1"/>
  <c r="A1282" i="1"/>
  <c r="C1281" i="1"/>
  <c r="B1281" i="1"/>
  <c r="A1281" i="1"/>
  <c r="C1280" i="1"/>
  <c r="B1280" i="1"/>
  <c r="A1280" i="1"/>
  <c r="C1279" i="1"/>
  <c r="B1279" i="1"/>
  <c r="A1279" i="1"/>
  <c r="C1278" i="1"/>
  <c r="B1278" i="1"/>
  <c r="A1278" i="1"/>
  <c r="C1277" i="1"/>
  <c r="B1277" i="1"/>
  <c r="A1277" i="1"/>
  <c r="C1276" i="1"/>
  <c r="B1276" i="1"/>
  <c r="A1276" i="1"/>
  <c r="C1275" i="1"/>
  <c r="B1275" i="1"/>
  <c r="A1275" i="1"/>
  <c r="C1274" i="1"/>
  <c r="B1274" i="1"/>
  <c r="A1274" i="1"/>
  <c r="C1273" i="1"/>
  <c r="B1273" i="1"/>
  <c r="A1273" i="1"/>
  <c r="C1272" i="1"/>
  <c r="B1272" i="1"/>
  <c r="A1272" i="1"/>
  <c r="C1271" i="1"/>
  <c r="B1271" i="1"/>
  <c r="A1271" i="1"/>
  <c r="C1270" i="1"/>
  <c r="B1270" i="1"/>
  <c r="A1270" i="1"/>
  <c r="C1269" i="1"/>
  <c r="B1269" i="1"/>
  <c r="A1269" i="1"/>
  <c r="C1268" i="1"/>
  <c r="B1268" i="1"/>
  <c r="A1268" i="1"/>
  <c r="C1267" i="1"/>
  <c r="B1267" i="1"/>
  <c r="A1267" i="1"/>
  <c r="C1266" i="1"/>
  <c r="B1266" i="1"/>
  <c r="A1266" i="1"/>
  <c r="C1265" i="1"/>
  <c r="B1265" i="1"/>
  <c r="A1265" i="1"/>
  <c r="C1264" i="1"/>
  <c r="B1264" i="1"/>
  <c r="A1264" i="1"/>
  <c r="C1263" i="1"/>
  <c r="B1263" i="1"/>
  <c r="A1263" i="1"/>
  <c r="C1262" i="1"/>
  <c r="B1262" i="1"/>
  <c r="A1262" i="1"/>
  <c r="C1261" i="1"/>
  <c r="B1261" i="1"/>
  <c r="A1261" i="1"/>
  <c r="C1260" i="1"/>
  <c r="B1260" i="1"/>
  <c r="A1260" i="1"/>
  <c r="C1259" i="1"/>
  <c r="B1259" i="1"/>
  <c r="A1259" i="1"/>
  <c r="C1258" i="1"/>
  <c r="B1258" i="1"/>
  <c r="A1258" i="1"/>
  <c r="C1257" i="1"/>
  <c r="B1257" i="1"/>
  <c r="A1257" i="1"/>
  <c r="C1256" i="1"/>
  <c r="B1256" i="1"/>
  <c r="A1256" i="1"/>
  <c r="C1255" i="1"/>
  <c r="B1255" i="1"/>
  <c r="A1255" i="1"/>
  <c r="C1254" i="1"/>
  <c r="B1254" i="1"/>
  <c r="A1254" i="1"/>
  <c r="C1253" i="1"/>
  <c r="B1253" i="1"/>
  <c r="A1253" i="1"/>
  <c r="C1252" i="1"/>
  <c r="B1252" i="1"/>
  <c r="A1252" i="1"/>
  <c r="C1251" i="1"/>
  <c r="B1251" i="1"/>
  <c r="A1251" i="1"/>
  <c r="C1250" i="1"/>
  <c r="B1250" i="1"/>
  <c r="A1250" i="1"/>
  <c r="C1249" i="1"/>
  <c r="B1249" i="1"/>
  <c r="A1249" i="1"/>
  <c r="C1248" i="1"/>
  <c r="B1248" i="1"/>
  <c r="A1248" i="1"/>
  <c r="C1247" i="1"/>
  <c r="B1247" i="1"/>
  <c r="A1247" i="1"/>
  <c r="C1246" i="1"/>
  <c r="B1246" i="1"/>
  <c r="A1246" i="1"/>
  <c r="C1245" i="1"/>
  <c r="B1245" i="1"/>
  <c r="A1245" i="1"/>
  <c r="C1244" i="1"/>
  <c r="B1244" i="1"/>
  <c r="A1244" i="1"/>
  <c r="C1243" i="1"/>
  <c r="B1243" i="1"/>
  <c r="A1243" i="1"/>
  <c r="C1242" i="1"/>
  <c r="B1242" i="1"/>
  <c r="A1242" i="1"/>
  <c r="C1241" i="1"/>
  <c r="B1241" i="1"/>
  <c r="A1241" i="1"/>
  <c r="C1240" i="1"/>
  <c r="B1240" i="1"/>
  <c r="A1240" i="1"/>
  <c r="C1239" i="1"/>
  <c r="B1239" i="1"/>
  <c r="A1239" i="1"/>
  <c r="C1238" i="1"/>
  <c r="B1238" i="1"/>
  <c r="A1238" i="1"/>
  <c r="C1237" i="1"/>
  <c r="B1237" i="1"/>
  <c r="A1237" i="1"/>
  <c r="C1236" i="1"/>
  <c r="B1236" i="1"/>
  <c r="A1236" i="1"/>
  <c r="C1235" i="1"/>
  <c r="B1235" i="1"/>
  <c r="A1235" i="1"/>
  <c r="C1234" i="1"/>
  <c r="B1234" i="1"/>
  <c r="A1234" i="1"/>
  <c r="C1233" i="1"/>
  <c r="B1233" i="1"/>
  <c r="A1233" i="1"/>
  <c r="C1232" i="1"/>
  <c r="B1232" i="1"/>
  <c r="A1232" i="1"/>
  <c r="C1231" i="1"/>
  <c r="B1231" i="1"/>
  <c r="A1231" i="1"/>
  <c r="C1230" i="1"/>
  <c r="B1230" i="1"/>
  <c r="A1230" i="1"/>
  <c r="C1229" i="1"/>
  <c r="B1229" i="1"/>
  <c r="A1229" i="1"/>
  <c r="C1228" i="1"/>
  <c r="B1228" i="1"/>
  <c r="A1228" i="1"/>
  <c r="C1227" i="1"/>
  <c r="B1227" i="1"/>
  <c r="A1227" i="1"/>
  <c r="C1226" i="1"/>
  <c r="B1226" i="1"/>
  <c r="A1226" i="1"/>
  <c r="C1225" i="1"/>
  <c r="B1225" i="1"/>
  <c r="A1225" i="1"/>
  <c r="C1224" i="1"/>
  <c r="B1224" i="1"/>
  <c r="A1224" i="1"/>
  <c r="C1223" i="1"/>
  <c r="B1223" i="1"/>
  <c r="A1223" i="1"/>
  <c r="C1222" i="1"/>
  <c r="B1222" i="1"/>
  <c r="A1222" i="1"/>
  <c r="C1221" i="1"/>
  <c r="B1221" i="1"/>
  <c r="A1221" i="1"/>
  <c r="C1220" i="1"/>
  <c r="B1220" i="1"/>
  <c r="A1220" i="1"/>
  <c r="C1219" i="1"/>
  <c r="B1219" i="1"/>
  <c r="A1219" i="1"/>
  <c r="C1218" i="1"/>
  <c r="B1218" i="1"/>
  <c r="A1218" i="1"/>
  <c r="C1217" i="1"/>
  <c r="B1217" i="1"/>
  <c r="A1217" i="1"/>
  <c r="C1216" i="1"/>
  <c r="B1216" i="1"/>
  <c r="A1216" i="1"/>
  <c r="C1215" i="1"/>
  <c r="B1215" i="1"/>
  <c r="A1215" i="1"/>
  <c r="C1214" i="1"/>
  <c r="B1214" i="1"/>
  <c r="A1214" i="1"/>
  <c r="C1213" i="1"/>
  <c r="B1213" i="1"/>
  <c r="A1213" i="1"/>
  <c r="C1212" i="1"/>
  <c r="B1212" i="1"/>
  <c r="A1212" i="1"/>
  <c r="C1211" i="1"/>
  <c r="B1211" i="1"/>
  <c r="A1211" i="1"/>
  <c r="C1210" i="1"/>
  <c r="B1210" i="1"/>
  <c r="A1210" i="1"/>
  <c r="C1209" i="1"/>
  <c r="B1209" i="1"/>
  <c r="A1209" i="1"/>
  <c r="C1208" i="1"/>
  <c r="B1208" i="1"/>
  <c r="A1208" i="1"/>
  <c r="C1207" i="1"/>
  <c r="B1207" i="1"/>
  <c r="A1207" i="1"/>
  <c r="C1206" i="1"/>
  <c r="B1206" i="1"/>
  <c r="A1206" i="1"/>
  <c r="C1205" i="1"/>
  <c r="B1205" i="1"/>
  <c r="A1205" i="1"/>
  <c r="C1204" i="1"/>
  <c r="B1204" i="1"/>
  <c r="A1204" i="1"/>
  <c r="C1203" i="1"/>
  <c r="B1203" i="1"/>
  <c r="A1203" i="1"/>
  <c r="C1202" i="1"/>
  <c r="B1202" i="1"/>
  <c r="A1202" i="1"/>
  <c r="C1201" i="1"/>
  <c r="B1201" i="1"/>
  <c r="A1201" i="1"/>
  <c r="C1200" i="1"/>
  <c r="B1200" i="1"/>
  <c r="A1200" i="1"/>
  <c r="C1199" i="1"/>
  <c r="B1199" i="1"/>
  <c r="A1199" i="1"/>
  <c r="C1198" i="1"/>
  <c r="B1198" i="1"/>
  <c r="A1198" i="1"/>
  <c r="C1197" i="1"/>
  <c r="B1197" i="1"/>
  <c r="A1197" i="1"/>
  <c r="C1196" i="1"/>
  <c r="B1196" i="1"/>
  <c r="A1196" i="1"/>
  <c r="C1195" i="1"/>
  <c r="B1195" i="1"/>
  <c r="A1195" i="1"/>
  <c r="C1194" i="1"/>
  <c r="B1194" i="1"/>
  <c r="A1194" i="1"/>
  <c r="C1193" i="1"/>
  <c r="B1193" i="1"/>
  <c r="A1193" i="1"/>
  <c r="C1192" i="1"/>
  <c r="B1192" i="1"/>
  <c r="A1192" i="1"/>
  <c r="C1191" i="1"/>
  <c r="B1191" i="1"/>
  <c r="A1191" i="1"/>
  <c r="C1190" i="1"/>
  <c r="B1190" i="1"/>
  <c r="A1190" i="1"/>
  <c r="C1189" i="1"/>
  <c r="B1189" i="1"/>
  <c r="A1189" i="1"/>
  <c r="C1188" i="1"/>
  <c r="B1188" i="1"/>
  <c r="A1188" i="1"/>
  <c r="C1187" i="1"/>
  <c r="B1187" i="1"/>
  <c r="A1187" i="1"/>
  <c r="C1186" i="1"/>
  <c r="B1186" i="1"/>
  <c r="A1186" i="1"/>
  <c r="C1185" i="1"/>
  <c r="B1185" i="1"/>
  <c r="A1185" i="1"/>
  <c r="C1184" i="1"/>
  <c r="B1184" i="1"/>
  <c r="A1184" i="1"/>
  <c r="C1183" i="1"/>
  <c r="B1183" i="1"/>
  <c r="A1183" i="1"/>
  <c r="C1182" i="1"/>
  <c r="B1182" i="1"/>
  <c r="A1182" i="1"/>
  <c r="C1181" i="1"/>
  <c r="B1181" i="1"/>
  <c r="A1181" i="1"/>
  <c r="C1180" i="1"/>
  <c r="B1180" i="1"/>
  <c r="A1180" i="1"/>
  <c r="C1179" i="1"/>
  <c r="B1179" i="1"/>
  <c r="A1179" i="1"/>
  <c r="C1178" i="1"/>
  <c r="B1178" i="1"/>
  <c r="A1178" i="1"/>
  <c r="C1177" i="1"/>
  <c r="B1177" i="1"/>
  <c r="A1177" i="1"/>
  <c r="C1176" i="1"/>
  <c r="B1176" i="1"/>
  <c r="A1176" i="1"/>
  <c r="C1175" i="1"/>
  <c r="B1175" i="1"/>
  <c r="A1175" i="1"/>
  <c r="C1174" i="1"/>
  <c r="B1174" i="1"/>
  <c r="A1174" i="1"/>
  <c r="C1173" i="1"/>
  <c r="B1173" i="1"/>
  <c r="A1173" i="1"/>
  <c r="C1172" i="1"/>
  <c r="B1172" i="1"/>
  <c r="A1172" i="1"/>
  <c r="C1171" i="1"/>
  <c r="B1171" i="1"/>
  <c r="A1171" i="1"/>
  <c r="C1170" i="1"/>
  <c r="B1170" i="1"/>
  <c r="A1170" i="1"/>
  <c r="C1169" i="1"/>
  <c r="B1169" i="1"/>
  <c r="A1169" i="1"/>
  <c r="C1168" i="1"/>
  <c r="B1168" i="1"/>
  <c r="A1168" i="1"/>
  <c r="C1167" i="1"/>
  <c r="B1167" i="1"/>
  <c r="A1167" i="1"/>
  <c r="C1166" i="1"/>
  <c r="B1166" i="1"/>
  <c r="A1166" i="1"/>
  <c r="C1165" i="1"/>
  <c r="B1165" i="1"/>
  <c r="A1165" i="1"/>
  <c r="C1164" i="1"/>
  <c r="B1164" i="1"/>
  <c r="A1164" i="1"/>
  <c r="C1163" i="1"/>
  <c r="B1163" i="1"/>
  <c r="A1163" i="1"/>
  <c r="C1162" i="1"/>
  <c r="B1162" i="1"/>
  <c r="A1162" i="1"/>
  <c r="C1161" i="1"/>
  <c r="B1161" i="1"/>
  <c r="A1161" i="1"/>
  <c r="C1160" i="1"/>
  <c r="B1160" i="1"/>
  <c r="A1160" i="1"/>
  <c r="C1159" i="1"/>
  <c r="B1159" i="1"/>
  <c r="A1159" i="1"/>
  <c r="C1158" i="1"/>
  <c r="B1158" i="1"/>
  <c r="A1158" i="1"/>
  <c r="C1157" i="1"/>
  <c r="B1157" i="1"/>
  <c r="A1157" i="1"/>
  <c r="C1156" i="1"/>
  <c r="B1156" i="1"/>
  <c r="A1156" i="1"/>
  <c r="C1155" i="1"/>
  <c r="B1155" i="1"/>
  <c r="A1155" i="1"/>
  <c r="C1154" i="1"/>
  <c r="B1154" i="1"/>
  <c r="A1154" i="1"/>
  <c r="C1153" i="1"/>
  <c r="B1153" i="1"/>
  <c r="A1153" i="1"/>
  <c r="C1152" i="1"/>
  <c r="B1152" i="1"/>
  <c r="A1152" i="1"/>
  <c r="C1151" i="1"/>
  <c r="B1151" i="1"/>
  <c r="A1151" i="1"/>
  <c r="C1150" i="1"/>
  <c r="B1150" i="1"/>
  <c r="A1150" i="1"/>
  <c r="C1149" i="1"/>
  <c r="B1149" i="1"/>
  <c r="A1149" i="1"/>
  <c r="C1148" i="1"/>
  <c r="B1148" i="1"/>
  <c r="A1148" i="1"/>
  <c r="C1147" i="1"/>
  <c r="B1147" i="1"/>
  <c r="A1147" i="1"/>
  <c r="C1146" i="1"/>
  <c r="B1146" i="1"/>
  <c r="A1146" i="1"/>
  <c r="C1145" i="1"/>
  <c r="B1145" i="1"/>
  <c r="A1145" i="1"/>
  <c r="C1144" i="1"/>
  <c r="B1144" i="1"/>
  <c r="A1144" i="1"/>
  <c r="C1143" i="1"/>
  <c r="B1143" i="1"/>
  <c r="A1143" i="1"/>
  <c r="C1142" i="1"/>
  <c r="B1142" i="1"/>
  <c r="A1142" i="1"/>
  <c r="C1141" i="1"/>
  <c r="B1141" i="1"/>
  <c r="A1141" i="1"/>
  <c r="C1140" i="1"/>
  <c r="B1140" i="1"/>
  <c r="A1140" i="1"/>
  <c r="C1139" i="1"/>
  <c r="B1139" i="1"/>
  <c r="A1139" i="1"/>
  <c r="C1138" i="1"/>
  <c r="B1138" i="1"/>
  <c r="A1138" i="1"/>
  <c r="C1137" i="1"/>
  <c r="B1137" i="1"/>
  <c r="A1137" i="1"/>
  <c r="C1136" i="1"/>
  <c r="B1136" i="1"/>
  <c r="A1136" i="1"/>
  <c r="C1135" i="1"/>
  <c r="B1135" i="1"/>
  <c r="A1135" i="1"/>
  <c r="C1134" i="1"/>
  <c r="B1134" i="1"/>
  <c r="A1134" i="1"/>
  <c r="C1133" i="1"/>
  <c r="B1133" i="1"/>
  <c r="A1133" i="1"/>
  <c r="C1132" i="1"/>
  <c r="B1132" i="1"/>
  <c r="A1132" i="1"/>
  <c r="C1131" i="1"/>
  <c r="B1131" i="1"/>
  <c r="A1131" i="1"/>
  <c r="C1130" i="1"/>
  <c r="B1130" i="1"/>
  <c r="A1130" i="1"/>
  <c r="C1129" i="1"/>
  <c r="B1129" i="1"/>
  <c r="A1129" i="1"/>
  <c r="C1128" i="1"/>
  <c r="B1128" i="1"/>
  <c r="A1128" i="1"/>
  <c r="C1127" i="1"/>
  <c r="B1127" i="1"/>
  <c r="A1127" i="1"/>
  <c r="C1126" i="1"/>
  <c r="B1126" i="1"/>
  <c r="A1126" i="1"/>
  <c r="C1125" i="1"/>
  <c r="B1125" i="1"/>
  <c r="A1125" i="1"/>
  <c r="C1124" i="1"/>
  <c r="B1124" i="1"/>
  <c r="A1124" i="1"/>
  <c r="C1123" i="1"/>
  <c r="B1123" i="1"/>
  <c r="A1123" i="1"/>
  <c r="C1122" i="1"/>
  <c r="B1122" i="1"/>
  <c r="A1122" i="1"/>
  <c r="C1121" i="1"/>
  <c r="B1121" i="1"/>
  <c r="A1121" i="1"/>
  <c r="C1120" i="1"/>
  <c r="B1120" i="1"/>
  <c r="A1120" i="1"/>
  <c r="C1119" i="1"/>
  <c r="B1119" i="1"/>
  <c r="A1119" i="1"/>
  <c r="C1118" i="1"/>
  <c r="B1118" i="1"/>
  <c r="A1118" i="1"/>
  <c r="C1117" i="1"/>
  <c r="B1117" i="1"/>
  <c r="A1117" i="1"/>
  <c r="C1116" i="1"/>
  <c r="B1116" i="1"/>
  <c r="A1116" i="1"/>
  <c r="C1115" i="1"/>
  <c r="B1115" i="1"/>
  <c r="A1115" i="1"/>
  <c r="C1114" i="1"/>
  <c r="B1114" i="1"/>
  <c r="A1114" i="1"/>
  <c r="C1113" i="1"/>
  <c r="B1113" i="1"/>
  <c r="A1113" i="1"/>
  <c r="C1112" i="1"/>
  <c r="B1112" i="1"/>
  <c r="A1112" i="1"/>
  <c r="C1111" i="1"/>
  <c r="B1111" i="1"/>
  <c r="A1111" i="1"/>
  <c r="C1110" i="1"/>
  <c r="B1110" i="1"/>
  <c r="A1110" i="1"/>
  <c r="C1109" i="1"/>
  <c r="B1109" i="1"/>
  <c r="A1109" i="1"/>
  <c r="C1108" i="1"/>
  <c r="B1108" i="1"/>
  <c r="A1108" i="1"/>
  <c r="C1107" i="1"/>
  <c r="B1107" i="1"/>
  <c r="A1107" i="1"/>
  <c r="C1106" i="1"/>
  <c r="B1106" i="1"/>
  <c r="A1106" i="1"/>
  <c r="C1105" i="1"/>
  <c r="B1105" i="1"/>
  <c r="A1105" i="1"/>
  <c r="C1104" i="1"/>
  <c r="B1104" i="1"/>
  <c r="A1104" i="1"/>
  <c r="C1103" i="1"/>
  <c r="B1103" i="1"/>
  <c r="A1103" i="1"/>
  <c r="C1102" i="1"/>
  <c r="B1102" i="1"/>
  <c r="A1102" i="1"/>
  <c r="C1101" i="1"/>
  <c r="B1101" i="1"/>
  <c r="A1101" i="1"/>
  <c r="C1100" i="1"/>
  <c r="B1100" i="1"/>
  <c r="A1100" i="1"/>
  <c r="C1099" i="1"/>
  <c r="B1099" i="1"/>
  <c r="A1099" i="1"/>
  <c r="C1098" i="1"/>
  <c r="B1098" i="1"/>
  <c r="A1098" i="1"/>
  <c r="C1097" i="1"/>
  <c r="B1097" i="1"/>
  <c r="A1097" i="1"/>
  <c r="C1096" i="1"/>
  <c r="B1096" i="1"/>
  <c r="A1096" i="1"/>
  <c r="C1095" i="1"/>
  <c r="B1095" i="1"/>
  <c r="A1095" i="1"/>
  <c r="C1094" i="1"/>
  <c r="B1094" i="1"/>
  <c r="A1094" i="1"/>
  <c r="C1093" i="1"/>
  <c r="B1093" i="1"/>
  <c r="A1093" i="1"/>
  <c r="C1092" i="1"/>
  <c r="B1092" i="1"/>
  <c r="A1092" i="1"/>
  <c r="C1091" i="1"/>
  <c r="B1091" i="1"/>
  <c r="A1091" i="1"/>
  <c r="C1090" i="1"/>
  <c r="B1090" i="1"/>
  <c r="A1090" i="1"/>
  <c r="C1089" i="1"/>
  <c r="B1089" i="1"/>
  <c r="A1089" i="1"/>
  <c r="C1088" i="1"/>
  <c r="B1088" i="1"/>
  <c r="A1088" i="1"/>
  <c r="C1087" i="1"/>
  <c r="B1087" i="1"/>
  <c r="A1087" i="1"/>
  <c r="C1086" i="1"/>
  <c r="B1086" i="1"/>
  <c r="A1086" i="1"/>
  <c r="C1085" i="1"/>
  <c r="B1085" i="1"/>
  <c r="A1085" i="1"/>
  <c r="C1084" i="1"/>
  <c r="B1084" i="1"/>
  <c r="A1084" i="1"/>
  <c r="C1083" i="1"/>
  <c r="B1083" i="1"/>
  <c r="A1083" i="1"/>
  <c r="C1082" i="1"/>
  <c r="B1082" i="1"/>
  <c r="A1082" i="1"/>
  <c r="C1081" i="1"/>
  <c r="B1081" i="1"/>
  <c r="A1081" i="1"/>
  <c r="C1080" i="1"/>
  <c r="B1080" i="1"/>
  <c r="A1080" i="1"/>
  <c r="C1079" i="1"/>
  <c r="B1079" i="1"/>
  <c r="A1079" i="1"/>
  <c r="C1078" i="1"/>
  <c r="B1078" i="1"/>
  <c r="A1078" i="1"/>
  <c r="C1077" i="1"/>
  <c r="B1077" i="1"/>
  <c r="A1077" i="1"/>
  <c r="C1076" i="1"/>
  <c r="B1076" i="1"/>
  <c r="A1076" i="1"/>
  <c r="C1075" i="1"/>
  <c r="B1075" i="1"/>
  <c r="A1075" i="1"/>
  <c r="C1074" i="1"/>
  <c r="B1074" i="1"/>
  <c r="A1074" i="1"/>
  <c r="C1073" i="1"/>
  <c r="B1073" i="1"/>
  <c r="A1073" i="1"/>
  <c r="C1072" i="1"/>
  <c r="B1072" i="1"/>
  <c r="A1072" i="1"/>
  <c r="C1071" i="1"/>
  <c r="B1071" i="1"/>
  <c r="A1071" i="1"/>
  <c r="C1070" i="1"/>
  <c r="B1070" i="1"/>
  <c r="A1070" i="1"/>
  <c r="C1069" i="1"/>
  <c r="B1069" i="1"/>
  <c r="A1069" i="1"/>
  <c r="C1068" i="1"/>
  <c r="B1068" i="1"/>
  <c r="A1068" i="1"/>
  <c r="C1067" i="1"/>
  <c r="B1067" i="1"/>
  <c r="A1067" i="1"/>
  <c r="C1066" i="1"/>
  <c r="B1066" i="1"/>
  <c r="A1066" i="1"/>
  <c r="C1065" i="1"/>
  <c r="B1065" i="1"/>
  <c r="A1065" i="1"/>
  <c r="C1064" i="1"/>
  <c r="B1064" i="1"/>
  <c r="A1064" i="1"/>
  <c r="C1063" i="1"/>
  <c r="B1063" i="1"/>
  <c r="A1063" i="1"/>
  <c r="C1062" i="1"/>
  <c r="B1062" i="1"/>
  <c r="A1062" i="1"/>
  <c r="C1061" i="1"/>
  <c r="B1061" i="1"/>
  <c r="A1061" i="1"/>
  <c r="C1060" i="1"/>
  <c r="B1060" i="1"/>
  <c r="A1060" i="1"/>
  <c r="C1059" i="1"/>
  <c r="B1059" i="1"/>
  <c r="A1059" i="1"/>
  <c r="C1058" i="1"/>
  <c r="B1058" i="1"/>
  <c r="A1058" i="1"/>
  <c r="C1057" i="1"/>
  <c r="B1057" i="1"/>
  <c r="A1057" i="1"/>
  <c r="C1056" i="1"/>
  <c r="B1056" i="1"/>
  <c r="A1056" i="1"/>
  <c r="C1055" i="1"/>
  <c r="B1055" i="1"/>
  <c r="A1055" i="1"/>
  <c r="C1054" i="1"/>
  <c r="B1054" i="1"/>
  <c r="A1054" i="1"/>
  <c r="C1053" i="1"/>
  <c r="B1053" i="1"/>
  <c r="A1053" i="1"/>
  <c r="C1052" i="1"/>
  <c r="B1052" i="1"/>
  <c r="A1052" i="1"/>
  <c r="C1051" i="1"/>
  <c r="B1051" i="1"/>
  <c r="A1051" i="1"/>
  <c r="C1050" i="1"/>
  <c r="B1050" i="1"/>
  <c r="A1050" i="1"/>
  <c r="C1049" i="1"/>
  <c r="B1049" i="1"/>
  <c r="A1049" i="1"/>
  <c r="C1048" i="1"/>
  <c r="B1048" i="1"/>
  <c r="A1048" i="1"/>
  <c r="C1047" i="1"/>
  <c r="B1047" i="1"/>
  <c r="A1047" i="1"/>
  <c r="C1046" i="1"/>
  <c r="B1046" i="1"/>
  <c r="A1046" i="1"/>
  <c r="C1045" i="1"/>
  <c r="B1045" i="1"/>
  <c r="A1045" i="1"/>
  <c r="C1044" i="1"/>
  <c r="B1044" i="1"/>
  <c r="A1044" i="1"/>
  <c r="C1043" i="1"/>
  <c r="B1043" i="1"/>
  <c r="A1043" i="1"/>
  <c r="C1042" i="1"/>
  <c r="B1042" i="1"/>
  <c r="A1042" i="1"/>
  <c r="C1041" i="1"/>
  <c r="B1041" i="1"/>
  <c r="A1041" i="1"/>
  <c r="C1040" i="1"/>
  <c r="B1040" i="1"/>
  <c r="A1040" i="1"/>
  <c r="C1039" i="1"/>
  <c r="B1039" i="1"/>
  <c r="A1039" i="1"/>
  <c r="C1038" i="1"/>
  <c r="B1038" i="1"/>
  <c r="A1038" i="1"/>
  <c r="C1037" i="1"/>
  <c r="B1037" i="1"/>
  <c r="A1037" i="1"/>
  <c r="C1036" i="1"/>
  <c r="B1036" i="1"/>
  <c r="A1036" i="1"/>
  <c r="C1035" i="1"/>
  <c r="B1035" i="1"/>
  <c r="A1035" i="1"/>
  <c r="C1034" i="1"/>
  <c r="B1034" i="1"/>
  <c r="A1034" i="1"/>
  <c r="C1033" i="1"/>
  <c r="B1033" i="1"/>
  <c r="A1033" i="1"/>
  <c r="C1032" i="1"/>
  <c r="B1032" i="1"/>
  <c r="A1032" i="1"/>
  <c r="C1031" i="1"/>
  <c r="B1031" i="1"/>
  <c r="A1031" i="1"/>
  <c r="C1030" i="1"/>
  <c r="B1030" i="1"/>
  <c r="A1030" i="1"/>
  <c r="C1029" i="1"/>
  <c r="B1029" i="1"/>
  <c r="A1029" i="1"/>
  <c r="C1028" i="1"/>
  <c r="B1028" i="1"/>
  <c r="A1028" i="1"/>
  <c r="C1027" i="1"/>
  <c r="B1027" i="1"/>
  <c r="A1027" i="1"/>
  <c r="C1026" i="1"/>
  <c r="B1026" i="1"/>
  <c r="A1026" i="1"/>
  <c r="C1025" i="1"/>
  <c r="B1025" i="1"/>
  <c r="A1025" i="1"/>
  <c r="C1024" i="1"/>
  <c r="B1024" i="1"/>
  <c r="A1024" i="1"/>
  <c r="C1023" i="1"/>
  <c r="B1023" i="1"/>
  <c r="A1023" i="1"/>
  <c r="C1022" i="1"/>
  <c r="B1022" i="1"/>
  <c r="A1022" i="1"/>
  <c r="C1021" i="1"/>
  <c r="B1021" i="1"/>
  <c r="A1021" i="1"/>
  <c r="C1020" i="1"/>
  <c r="B1020" i="1"/>
  <c r="A1020" i="1"/>
  <c r="C1019" i="1"/>
  <c r="B1019" i="1"/>
  <c r="A1019" i="1"/>
  <c r="C1018" i="1"/>
  <c r="B1018" i="1"/>
  <c r="A1018" i="1"/>
  <c r="C1017" i="1"/>
  <c r="B1017" i="1"/>
  <c r="A1017" i="1"/>
  <c r="C1016" i="1"/>
  <c r="B1016" i="1"/>
  <c r="A1016" i="1"/>
  <c r="C1015" i="1"/>
  <c r="B1015" i="1"/>
  <c r="A1015" i="1"/>
  <c r="C1014" i="1"/>
  <c r="B1014" i="1"/>
  <c r="A1014" i="1"/>
  <c r="C1013" i="1"/>
  <c r="B1013" i="1"/>
  <c r="A1013" i="1"/>
  <c r="C1012" i="1"/>
  <c r="B1012" i="1"/>
  <c r="A1012" i="1"/>
  <c r="C1011" i="1"/>
  <c r="B1011" i="1"/>
  <c r="A1011" i="1"/>
  <c r="C1010" i="1"/>
  <c r="B1010" i="1"/>
  <c r="A1010" i="1"/>
  <c r="C1009" i="1"/>
  <c r="B1009" i="1"/>
  <c r="A1009" i="1"/>
  <c r="C1008" i="1"/>
  <c r="B1008" i="1"/>
  <c r="A1008" i="1"/>
  <c r="C1007" i="1"/>
  <c r="B1007" i="1"/>
  <c r="A1007" i="1"/>
  <c r="C1006" i="1"/>
  <c r="B1006" i="1"/>
  <c r="A1006" i="1"/>
  <c r="C1005" i="1"/>
  <c r="B1005" i="1"/>
  <c r="A1005" i="1"/>
  <c r="C1004" i="1"/>
  <c r="B1004" i="1"/>
  <c r="A1004" i="1"/>
  <c r="C1003" i="1"/>
  <c r="B1003" i="1"/>
  <c r="A1003" i="1"/>
  <c r="C1002" i="1"/>
  <c r="B1002" i="1"/>
  <c r="A1002" i="1"/>
  <c r="C1001" i="1"/>
  <c r="B1001" i="1"/>
  <c r="A1001" i="1"/>
  <c r="C1000" i="1"/>
  <c r="B1000" i="1"/>
  <c r="A1000" i="1"/>
  <c r="C999" i="1"/>
  <c r="B999" i="1"/>
  <c r="A999" i="1"/>
  <c r="C998" i="1"/>
  <c r="B998" i="1"/>
  <c r="A998" i="1"/>
  <c r="C997" i="1"/>
  <c r="B997" i="1"/>
  <c r="A997" i="1"/>
  <c r="C996" i="1"/>
  <c r="B996" i="1"/>
  <c r="A996" i="1"/>
  <c r="C995" i="1"/>
  <c r="B995" i="1"/>
  <c r="A995" i="1"/>
  <c r="C994" i="1"/>
  <c r="B994" i="1"/>
  <c r="A994" i="1"/>
  <c r="C993" i="1"/>
  <c r="B993" i="1"/>
  <c r="A993" i="1"/>
  <c r="C992" i="1"/>
  <c r="B992" i="1"/>
  <c r="A992" i="1"/>
  <c r="C991" i="1"/>
  <c r="B991" i="1"/>
  <c r="A991" i="1"/>
  <c r="C990" i="1"/>
  <c r="B990" i="1"/>
  <c r="A990" i="1"/>
  <c r="C989" i="1"/>
  <c r="B989" i="1"/>
  <c r="A989" i="1"/>
  <c r="C988" i="1"/>
  <c r="B988" i="1"/>
  <c r="A988" i="1"/>
  <c r="C987" i="1"/>
  <c r="B987" i="1"/>
  <c r="A987" i="1"/>
  <c r="C986" i="1"/>
  <c r="B986" i="1"/>
  <c r="A986" i="1"/>
  <c r="C985" i="1"/>
  <c r="B985" i="1"/>
  <c r="A985" i="1"/>
  <c r="C984" i="1"/>
  <c r="B984" i="1"/>
  <c r="A984" i="1"/>
  <c r="C983" i="1"/>
  <c r="B983" i="1"/>
  <c r="A983" i="1"/>
  <c r="C982" i="1"/>
  <c r="B982" i="1"/>
  <c r="A982" i="1"/>
  <c r="C981" i="1"/>
  <c r="B981" i="1"/>
  <c r="A981" i="1"/>
  <c r="C980" i="1"/>
  <c r="B980" i="1"/>
  <c r="A980" i="1"/>
  <c r="C979" i="1"/>
  <c r="B979" i="1"/>
  <c r="A979" i="1"/>
  <c r="C978" i="1"/>
  <c r="B978" i="1"/>
  <c r="A978" i="1"/>
  <c r="C977" i="1"/>
  <c r="B977" i="1"/>
  <c r="A977" i="1"/>
  <c r="C976" i="1"/>
  <c r="B976" i="1"/>
  <c r="A976" i="1"/>
  <c r="C975" i="1"/>
  <c r="B975" i="1"/>
  <c r="A975" i="1"/>
  <c r="C974" i="1"/>
  <c r="B974" i="1"/>
  <c r="A974" i="1"/>
  <c r="C973" i="1"/>
  <c r="B973" i="1"/>
  <c r="A973" i="1"/>
  <c r="C972" i="1"/>
  <c r="B972" i="1"/>
  <c r="A972" i="1"/>
  <c r="C971" i="1"/>
  <c r="B971" i="1"/>
  <c r="A971" i="1"/>
  <c r="C970" i="1"/>
  <c r="B970" i="1"/>
  <c r="A970" i="1"/>
  <c r="C969" i="1"/>
  <c r="B969" i="1"/>
  <c r="A969" i="1"/>
  <c r="C968" i="1"/>
  <c r="B968" i="1"/>
  <c r="A968" i="1"/>
  <c r="C967" i="1"/>
  <c r="B967" i="1"/>
  <c r="A967" i="1"/>
  <c r="C966" i="1"/>
  <c r="B966" i="1"/>
  <c r="A966" i="1"/>
  <c r="C965" i="1"/>
  <c r="B965" i="1"/>
  <c r="A965" i="1"/>
  <c r="C964" i="1"/>
  <c r="B964" i="1"/>
  <c r="A964" i="1"/>
  <c r="C963" i="1"/>
  <c r="B963" i="1"/>
  <c r="A963" i="1"/>
  <c r="C962" i="1"/>
  <c r="B962" i="1"/>
  <c r="A962" i="1"/>
  <c r="C961" i="1"/>
  <c r="B961" i="1"/>
  <c r="A961" i="1"/>
  <c r="C960" i="1"/>
  <c r="B960" i="1"/>
  <c r="A960" i="1"/>
  <c r="C959" i="1"/>
  <c r="B959" i="1"/>
  <c r="A959" i="1"/>
  <c r="C958" i="1"/>
  <c r="B958" i="1"/>
  <c r="A958" i="1"/>
  <c r="C957" i="1"/>
  <c r="B957" i="1"/>
  <c r="A957" i="1"/>
  <c r="C956" i="1"/>
  <c r="B956" i="1"/>
  <c r="A956" i="1"/>
  <c r="C955" i="1"/>
  <c r="B955" i="1"/>
  <c r="A955" i="1"/>
  <c r="C954" i="1"/>
  <c r="B954" i="1"/>
  <c r="A954" i="1"/>
  <c r="C953" i="1"/>
  <c r="B953" i="1"/>
  <c r="A953" i="1"/>
  <c r="C952" i="1"/>
  <c r="B952" i="1"/>
  <c r="A952" i="1"/>
  <c r="C951" i="1"/>
  <c r="B951" i="1"/>
  <c r="A951" i="1"/>
  <c r="C950" i="1"/>
  <c r="B950" i="1"/>
  <c r="A950" i="1"/>
  <c r="C949" i="1"/>
  <c r="B949" i="1"/>
  <c r="A949" i="1"/>
  <c r="C948" i="1"/>
  <c r="B948" i="1"/>
  <c r="A948" i="1"/>
  <c r="C947" i="1"/>
  <c r="B947" i="1"/>
  <c r="A947" i="1"/>
  <c r="C946" i="1"/>
  <c r="B946" i="1"/>
  <c r="A946" i="1"/>
  <c r="C945" i="1"/>
  <c r="B945" i="1"/>
  <c r="A945" i="1"/>
  <c r="C944" i="1"/>
  <c r="B944" i="1"/>
  <c r="A944" i="1"/>
  <c r="C943" i="1"/>
  <c r="B943" i="1"/>
  <c r="A943" i="1"/>
  <c r="C942" i="1"/>
  <c r="B942" i="1"/>
  <c r="A942" i="1"/>
  <c r="C941" i="1"/>
  <c r="B941" i="1"/>
  <c r="A941" i="1"/>
  <c r="C940" i="1"/>
  <c r="B940" i="1"/>
  <c r="A940" i="1"/>
  <c r="C939" i="1"/>
  <c r="B939" i="1"/>
  <c r="A939" i="1"/>
  <c r="C938" i="1"/>
  <c r="B938" i="1"/>
  <c r="A938" i="1"/>
  <c r="C937" i="1"/>
  <c r="B937" i="1"/>
  <c r="A937" i="1"/>
  <c r="C936" i="1"/>
  <c r="B936" i="1"/>
  <c r="A936" i="1"/>
  <c r="C935" i="1"/>
  <c r="B935" i="1"/>
  <c r="A935" i="1"/>
  <c r="C934" i="1"/>
  <c r="B934" i="1"/>
  <c r="A934" i="1"/>
  <c r="C933" i="1"/>
  <c r="B933" i="1"/>
  <c r="A933" i="1"/>
  <c r="C932" i="1"/>
  <c r="B932" i="1"/>
  <c r="A932" i="1"/>
  <c r="C931" i="1"/>
  <c r="B931" i="1"/>
  <c r="A931" i="1"/>
  <c r="C930" i="1"/>
  <c r="B930" i="1"/>
  <c r="A930" i="1"/>
  <c r="C929" i="1"/>
  <c r="B929" i="1"/>
  <c r="A929" i="1"/>
  <c r="C928" i="1"/>
  <c r="B928" i="1"/>
  <c r="A928" i="1"/>
  <c r="C927" i="1"/>
  <c r="B927" i="1"/>
  <c r="A927" i="1"/>
  <c r="C926" i="1"/>
  <c r="B926" i="1"/>
  <c r="A926" i="1"/>
  <c r="C925" i="1"/>
  <c r="B925" i="1"/>
  <c r="A925" i="1"/>
  <c r="C924" i="1"/>
  <c r="B924" i="1"/>
  <c r="A924" i="1"/>
  <c r="C923" i="1"/>
  <c r="B923" i="1"/>
  <c r="A923" i="1"/>
  <c r="C922" i="1"/>
  <c r="B922" i="1"/>
  <c r="A922" i="1"/>
  <c r="C921" i="1"/>
  <c r="B921" i="1"/>
  <c r="A921" i="1"/>
  <c r="C920" i="1"/>
  <c r="B920" i="1"/>
  <c r="A920" i="1"/>
  <c r="C919" i="1"/>
  <c r="B919" i="1"/>
  <c r="A919" i="1"/>
  <c r="C918" i="1"/>
  <c r="B918" i="1"/>
  <c r="A918" i="1"/>
  <c r="C917" i="1"/>
  <c r="B917" i="1"/>
  <c r="A917" i="1"/>
  <c r="C916" i="1"/>
  <c r="B916" i="1"/>
  <c r="A916" i="1"/>
  <c r="C915" i="1"/>
  <c r="B915" i="1"/>
  <c r="A915" i="1"/>
  <c r="C914" i="1"/>
  <c r="B914" i="1"/>
  <c r="A914" i="1"/>
  <c r="C913" i="1"/>
  <c r="B913" i="1"/>
  <c r="A913" i="1"/>
  <c r="C912" i="1"/>
  <c r="B912" i="1"/>
  <c r="A912" i="1"/>
  <c r="C911" i="1"/>
  <c r="B911" i="1"/>
  <c r="A911" i="1"/>
  <c r="C910" i="1"/>
  <c r="B910" i="1"/>
  <c r="A910" i="1"/>
  <c r="C909" i="1"/>
  <c r="B909" i="1"/>
  <c r="A909" i="1"/>
  <c r="C908" i="1"/>
  <c r="B908" i="1"/>
  <c r="A908" i="1"/>
  <c r="C907" i="1"/>
  <c r="B907" i="1"/>
  <c r="A907" i="1"/>
  <c r="C906" i="1"/>
  <c r="B906" i="1"/>
  <c r="A906" i="1"/>
  <c r="C905" i="1"/>
  <c r="B905" i="1"/>
  <c r="A905" i="1"/>
  <c r="C904" i="1"/>
  <c r="B904" i="1"/>
  <c r="A904" i="1"/>
  <c r="C903" i="1"/>
  <c r="B903" i="1"/>
  <c r="A903" i="1"/>
  <c r="C902" i="1"/>
  <c r="B902" i="1"/>
  <c r="A902" i="1"/>
  <c r="C901" i="1"/>
  <c r="B901" i="1"/>
  <c r="A901" i="1"/>
  <c r="C900" i="1"/>
  <c r="B900" i="1"/>
  <c r="A900" i="1"/>
  <c r="C899" i="1"/>
  <c r="B899" i="1"/>
  <c r="A899" i="1"/>
  <c r="C898" i="1"/>
  <c r="B898" i="1"/>
  <c r="A898" i="1"/>
  <c r="C897" i="1"/>
  <c r="B897" i="1"/>
  <c r="A897" i="1"/>
  <c r="C896" i="1"/>
  <c r="B896" i="1"/>
  <c r="A896" i="1"/>
  <c r="C895" i="1"/>
  <c r="B895" i="1"/>
  <c r="A895" i="1"/>
  <c r="C894" i="1"/>
  <c r="B894" i="1"/>
  <c r="A894" i="1"/>
  <c r="C893" i="1"/>
  <c r="B893" i="1"/>
  <c r="A893" i="1"/>
  <c r="C892" i="1"/>
  <c r="B892" i="1"/>
  <c r="A892" i="1"/>
  <c r="C891" i="1"/>
  <c r="B891" i="1"/>
  <c r="A891" i="1"/>
  <c r="C890" i="1"/>
  <c r="B890" i="1"/>
  <c r="A890" i="1"/>
  <c r="C889" i="1"/>
  <c r="B889" i="1"/>
  <c r="A889" i="1"/>
  <c r="C888" i="1"/>
  <c r="B888" i="1"/>
  <c r="A888" i="1"/>
  <c r="C887" i="1"/>
  <c r="B887" i="1"/>
  <c r="A887" i="1"/>
  <c r="C886" i="1"/>
  <c r="B886" i="1"/>
  <c r="A886" i="1"/>
  <c r="C885" i="1"/>
  <c r="B885" i="1"/>
  <c r="A885" i="1"/>
  <c r="C884" i="1"/>
  <c r="B884" i="1"/>
  <c r="A884" i="1"/>
  <c r="C883" i="1"/>
  <c r="B883" i="1"/>
  <c r="A883" i="1"/>
  <c r="C882" i="1"/>
  <c r="B882" i="1"/>
  <c r="A882" i="1"/>
  <c r="C881" i="1"/>
  <c r="B881" i="1"/>
  <c r="A881" i="1"/>
  <c r="C880" i="1"/>
  <c r="B880" i="1"/>
  <c r="A880" i="1"/>
  <c r="C879" i="1"/>
  <c r="B879" i="1"/>
  <c r="A879" i="1"/>
  <c r="C878" i="1"/>
  <c r="B878" i="1"/>
  <c r="A878" i="1"/>
  <c r="C877" i="1"/>
  <c r="B877" i="1"/>
  <c r="A877" i="1"/>
  <c r="C876" i="1"/>
  <c r="B876" i="1"/>
  <c r="A876" i="1"/>
  <c r="C875" i="1"/>
  <c r="B875" i="1"/>
  <c r="A875" i="1"/>
  <c r="C874" i="1"/>
  <c r="B874" i="1"/>
  <c r="A874" i="1"/>
  <c r="C873" i="1"/>
  <c r="B873" i="1"/>
  <c r="A873" i="1"/>
  <c r="C872" i="1"/>
  <c r="B872" i="1"/>
  <c r="A872" i="1"/>
  <c r="C871" i="1"/>
  <c r="B871" i="1"/>
  <c r="A871" i="1"/>
  <c r="C870" i="1"/>
  <c r="B870" i="1"/>
  <c r="A870" i="1"/>
  <c r="C869" i="1"/>
  <c r="B869" i="1"/>
  <c r="A869" i="1"/>
  <c r="C868" i="1"/>
  <c r="B868" i="1"/>
  <c r="A868" i="1"/>
  <c r="C867" i="1"/>
  <c r="B867" i="1"/>
  <c r="A867" i="1"/>
  <c r="C866" i="1"/>
  <c r="B866" i="1"/>
  <c r="A866" i="1"/>
  <c r="C865" i="1"/>
  <c r="B865" i="1"/>
  <c r="A865" i="1"/>
  <c r="C864" i="1"/>
  <c r="B864" i="1"/>
  <c r="A864" i="1"/>
  <c r="C863" i="1"/>
  <c r="B863" i="1"/>
  <c r="A863" i="1"/>
  <c r="C862" i="1"/>
  <c r="B862" i="1"/>
  <c r="A862" i="1"/>
  <c r="C861" i="1"/>
  <c r="B861" i="1"/>
  <c r="A861" i="1"/>
  <c r="C860" i="1"/>
  <c r="B860" i="1"/>
  <c r="A860" i="1"/>
  <c r="C859" i="1"/>
  <c r="B859" i="1"/>
  <c r="A859" i="1"/>
  <c r="C858" i="1"/>
  <c r="B858" i="1"/>
  <c r="A858" i="1"/>
  <c r="C857" i="1"/>
  <c r="B857" i="1"/>
  <c r="A857" i="1"/>
  <c r="C856" i="1"/>
  <c r="B856" i="1"/>
  <c r="A856" i="1"/>
  <c r="C855" i="1"/>
  <c r="B855" i="1"/>
  <c r="A855" i="1"/>
  <c r="C854" i="1"/>
  <c r="B854" i="1"/>
  <c r="A854" i="1"/>
  <c r="C853" i="1"/>
  <c r="B853" i="1"/>
  <c r="A853" i="1"/>
  <c r="C852" i="1"/>
  <c r="B852" i="1"/>
  <c r="A852" i="1"/>
  <c r="C851" i="1"/>
  <c r="B851" i="1"/>
  <c r="A851" i="1"/>
  <c r="C850" i="1"/>
  <c r="B850" i="1"/>
  <c r="A850" i="1"/>
  <c r="C849" i="1"/>
  <c r="B849" i="1"/>
  <c r="A849" i="1"/>
  <c r="C848" i="1"/>
  <c r="B848" i="1"/>
  <c r="A848" i="1"/>
  <c r="C847" i="1"/>
  <c r="B847" i="1"/>
  <c r="A847" i="1"/>
  <c r="C846" i="1"/>
  <c r="B846" i="1"/>
  <c r="A846" i="1"/>
  <c r="C845" i="1"/>
  <c r="B845" i="1"/>
  <c r="A845" i="1"/>
  <c r="C844" i="1"/>
  <c r="B844" i="1"/>
  <c r="A844" i="1"/>
  <c r="C843" i="1"/>
  <c r="B843" i="1"/>
  <c r="A843" i="1"/>
  <c r="C842" i="1"/>
  <c r="B842" i="1"/>
  <c r="A842" i="1"/>
  <c r="C841" i="1"/>
  <c r="B841" i="1"/>
  <c r="A841" i="1"/>
  <c r="C840" i="1"/>
  <c r="B840" i="1"/>
  <c r="A840" i="1"/>
  <c r="C839" i="1"/>
  <c r="B839" i="1"/>
  <c r="A839" i="1"/>
  <c r="C838" i="1"/>
  <c r="B838" i="1"/>
  <c r="A838" i="1"/>
  <c r="C837" i="1"/>
  <c r="B837" i="1"/>
  <c r="A837" i="1"/>
  <c r="C836" i="1"/>
  <c r="B836" i="1"/>
  <c r="A836" i="1"/>
  <c r="C835" i="1"/>
  <c r="B835" i="1"/>
  <c r="A835" i="1"/>
  <c r="C834" i="1"/>
  <c r="B834" i="1"/>
  <c r="A834" i="1"/>
  <c r="C833" i="1"/>
  <c r="B833" i="1"/>
  <c r="A833" i="1"/>
  <c r="C832" i="1"/>
  <c r="B832" i="1"/>
  <c r="A832" i="1"/>
  <c r="C831" i="1"/>
  <c r="B831" i="1"/>
  <c r="A831" i="1"/>
  <c r="C830" i="1"/>
  <c r="B830" i="1"/>
  <c r="A830" i="1"/>
  <c r="C829" i="1"/>
  <c r="B829" i="1"/>
  <c r="A829" i="1"/>
  <c r="C828" i="1"/>
  <c r="B828" i="1"/>
  <c r="A828" i="1"/>
  <c r="C827" i="1"/>
  <c r="B827" i="1"/>
  <c r="A827" i="1"/>
  <c r="C826" i="1"/>
  <c r="B826" i="1"/>
  <c r="A826" i="1"/>
  <c r="C825" i="1"/>
  <c r="B825" i="1"/>
  <c r="A825" i="1"/>
  <c r="C824" i="1"/>
  <c r="B824" i="1"/>
  <c r="A824" i="1"/>
  <c r="C823" i="1"/>
  <c r="B823" i="1"/>
  <c r="A823" i="1"/>
  <c r="C822" i="1"/>
  <c r="B822" i="1"/>
  <c r="A822" i="1"/>
  <c r="C821" i="1"/>
  <c r="B821" i="1"/>
  <c r="A821" i="1"/>
  <c r="C820" i="1"/>
  <c r="B820" i="1"/>
  <c r="A820" i="1"/>
  <c r="C819" i="1"/>
  <c r="B819" i="1"/>
  <c r="A819" i="1"/>
  <c r="C818" i="1"/>
  <c r="B818" i="1"/>
  <c r="A818" i="1"/>
  <c r="C817" i="1"/>
  <c r="B817" i="1"/>
  <c r="A817" i="1"/>
  <c r="C816" i="1"/>
  <c r="B816" i="1"/>
  <c r="A816" i="1"/>
  <c r="C815" i="1"/>
  <c r="B815" i="1"/>
  <c r="A815" i="1"/>
  <c r="C814" i="1"/>
  <c r="B814" i="1"/>
  <c r="A814" i="1"/>
  <c r="C813" i="1"/>
  <c r="B813" i="1"/>
  <c r="A813" i="1"/>
  <c r="C812" i="1"/>
  <c r="B812" i="1"/>
  <c r="A812" i="1"/>
  <c r="C811" i="1"/>
  <c r="B811" i="1"/>
  <c r="A811" i="1"/>
  <c r="C810" i="1"/>
  <c r="B810" i="1"/>
  <c r="A810" i="1"/>
  <c r="C809" i="1"/>
  <c r="B809" i="1"/>
  <c r="A809" i="1"/>
  <c r="C808" i="1"/>
  <c r="B808" i="1"/>
  <c r="A808" i="1"/>
  <c r="C807" i="1"/>
  <c r="B807" i="1"/>
  <c r="A807" i="1"/>
  <c r="C806" i="1"/>
  <c r="B806" i="1"/>
  <c r="A806" i="1"/>
  <c r="C805" i="1"/>
  <c r="B805" i="1"/>
  <c r="A805" i="1"/>
  <c r="C804" i="1"/>
  <c r="B804" i="1"/>
  <c r="A804" i="1"/>
  <c r="C803" i="1"/>
  <c r="B803" i="1"/>
  <c r="A803" i="1"/>
  <c r="C802" i="1"/>
  <c r="B802" i="1"/>
  <c r="A802" i="1"/>
  <c r="C801" i="1"/>
  <c r="B801" i="1"/>
  <c r="A801" i="1"/>
  <c r="C800" i="1"/>
  <c r="B800" i="1"/>
  <c r="A800" i="1"/>
  <c r="C799" i="1"/>
  <c r="B799" i="1"/>
  <c r="A799" i="1"/>
  <c r="C798" i="1"/>
  <c r="B798" i="1"/>
  <c r="A798" i="1"/>
  <c r="C797" i="1"/>
  <c r="B797" i="1"/>
  <c r="A797" i="1"/>
  <c r="C796" i="1"/>
  <c r="B796" i="1"/>
  <c r="A796" i="1"/>
  <c r="C795" i="1"/>
  <c r="B795" i="1"/>
  <c r="A795" i="1"/>
  <c r="C794" i="1"/>
  <c r="B794" i="1"/>
  <c r="A794" i="1"/>
  <c r="C793" i="1"/>
  <c r="B793" i="1"/>
  <c r="A793" i="1"/>
  <c r="C792" i="1"/>
  <c r="B792" i="1"/>
  <c r="A792" i="1"/>
  <c r="C791" i="1"/>
  <c r="B791" i="1"/>
  <c r="A791" i="1"/>
  <c r="C790" i="1"/>
  <c r="B790" i="1"/>
  <c r="A790" i="1"/>
  <c r="C789" i="1"/>
  <c r="B789" i="1"/>
  <c r="A789" i="1"/>
  <c r="C788" i="1"/>
  <c r="B788" i="1"/>
  <c r="A788" i="1"/>
  <c r="C787" i="1"/>
  <c r="B787" i="1"/>
  <c r="A787" i="1"/>
  <c r="C786" i="1"/>
  <c r="B786" i="1"/>
  <c r="A786" i="1"/>
  <c r="C785" i="1"/>
  <c r="B785" i="1"/>
  <c r="A785" i="1"/>
  <c r="C784" i="1"/>
  <c r="B784" i="1"/>
  <c r="A784" i="1"/>
  <c r="C783" i="1"/>
  <c r="B783" i="1"/>
  <c r="A783" i="1"/>
  <c r="C782" i="1"/>
  <c r="B782" i="1"/>
  <c r="A782" i="1"/>
  <c r="C781" i="1"/>
  <c r="B781" i="1"/>
  <c r="A781" i="1"/>
  <c r="C780" i="1"/>
  <c r="B780" i="1"/>
  <c r="A780" i="1"/>
  <c r="C779" i="1"/>
  <c r="B779" i="1"/>
  <c r="A779" i="1"/>
  <c r="C778" i="1"/>
  <c r="B778" i="1"/>
  <c r="A778" i="1"/>
  <c r="C777" i="1"/>
  <c r="B777" i="1"/>
  <c r="A777" i="1"/>
  <c r="C776" i="1"/>
  <c r="B776" i="1"/>
  <c r="A776" i="1"/>
  <c r="C775" i="1"/>
  <c r="B775" i="1"/>
  <c r="A775" i="1"/>
  <c r="C774" i="1"/>
  <c r="B774" i="1"/>
  <c r="A774" i="1"/>
  <c r="C773" i="1"/>
  <c r="B773" i="1"/>
  <c r="A773" i="1"/>
  <c r="C772" i="1"/>
  <c r="B772" i="1"/>
  <c r="A772" i="1"/>
  <c r="C771" i="1"/>
  <c r="B771" i="1"/>
  <c r="A771" i="1"/>
  <c r="C770" i="1"/>
  <c r="B770" i="1"/>
  <c r="A770" i="1"/>
  <c r="C769" i="1"/>
  <c r="B769" i="1"/>
  <c r="A769" i="1"/>
  <c r="C768" i="1"/>
  <c r="B768" i="1"/>
  <c r="A768" i="1"/>
  <c r="C767" i="1"/>
  <c r="B767" i="1"/>
  <c r="A767" i="1"/>
  <c r="C766" i="1"/>
  <c r="B766" i="1"/>
  <c r="A766" i="1"/>
  <c r="C765" i="1"/>
  <c r="B765" i="1"/>
  <c r="A765" i="1"/>
  <c r="C764" i="1"/>
  <c r="B764" i="1"/>
  <c r="A764" i="1"/>
  <c r="C763" i="1"/>
  <c r="B763" i="1"/>
  <c r="A763" i="1"/>
  <c r="C762" i="1"/>
  <c r="B762" i="1"/>
  <c r="A762" i="1"/>
  <c r="C761" i="1"/>
  <c r="B761" i="1"/>
  <c r="A761" i="1"/>
  <c r="C760" i="1"/>
  <c r="B760" i="1"/>
  <c r="A760" i="1"/>
  <c r="C759" i="1"/>
  <c r="B759" i="1"/>
  <c r="A759" i="1"/>
  <c r="C758" i="1"/>
  <c r="B758" i="1"/>
  <c r="A758" i="1"/>
  <c r="C757" i="1"/>
  <c r="B757" i="1"/>
  <c r="A757" i="1"/>
  <c r="C756" i="1"/>
  <c r="B756" i="1"/>
  <c r="A756" i="1"/>
  <c r="C755" i="1"/>
  <c r="B755" i="1"/>
  <c r="A755" i="1"/>
  <c r="C754" i="1"/>
  <c r="B754" i="1"/>
  <c r="A754" i="1"/>
  <c r="C753" i="1"/>
  <c r="B753" i="1"/>
  <c r="A753" i="1"/>
  <c r="C752" i="1"/>
  <c r="B752" i="1"/>
  <c r="A752" i="1"/>
  <c r="C751" i="1"/>
  <c r="B751" i="1"/>
  <c r="A751" i="1"/>
  <c r="C750" i="1"/>
  <c r="B750" i="1"/>
  <c r="A750" i="1"/>
  <c r="C749" i="1"/>
  <c r="B749" i="1"/>
  <c r="A749" i="1"/>
  <c r="C748" i="1"/>
  <c r="B748" i="1"/>
  <c r="A748" i="1"/>
  <c r="C747" i="1"/>
  <c r="B747" i="1"/>
  <c r="A747" i="1"/>
  <c r="C746" i="1"/>
  <c r="B746" i="1"/>
  <c r="A746" i="1"/>
  <c r="C745" i="1"/>
  <c r="B745" i="1"/>
  <c r="A745" i="1"/>
  <c r="C744" i="1"/>
  <c r="B744" i="1"/>
  <c r="A744" i="1"/>
  <c r="C743" i="1"/>
  <c r="B743" i="1"/>
  <c r="A743" i="1"/>
  <c r="C742" i="1"/>
  <c r="B742" i="1"/>
  <c r="A742" i="1"/>
  <c r="C741" i="1"/>
  <c r="B741" i="1"/>
  <c r="A741" i="1"/>
  <c r="C740" i="1"/>
  <c r="B740" i="1"/>
  <c r="A740" i="1"/>
  <c r="C739" i="1"/>
  <c r="B739" i="1"/>
  <c r="A739" i="1"/>
  <c r="C738" i="1"/>
  <c r="B738" i="1"/>
  <c r="A738" i="1"/>
  <c r="C737" i="1"/>
  <c r="B737" i="1"/>
  <c r="A737" i="1"/>
  <c r="C736" i="1"/>
  <c r="B736" i="1"/>
  <c r="A736" i="1"/>
  <c r="C735" i="1"/>
  <c r="B735" i="1"/>
  <c r="A735" i="1"/>
  <c r="C734" i="1"/>
  <c r="B734" i="1"/>
  <c r="A734" i="1"/>
  <c r="C733" i="1"/>
  <c r="B733" i="1"/>
  <c r="A733" i="1"/>
  <c r="C732" i="1"/>
  <c r="B732" i="1"/>
  <c r="A732" i="1"/>
  <c r="C731" i="1"/>
  <c r="B731" i="1"/>
  <c r="A731" i="1"/>
  <c r="C730" i="1"/>
  <c r="B730" i="1"/>
  <c r="A730" i="1"/>
  <c r="C729" i="1"/>
  <c r="B729" i="1"/>
  <c r="A729" i="1"/>
  <c r="C728" i="1"/>
  <c r="B728" i="1"/>
  <c r="A728" i="1"/>
  <c r="C727" i="1"/>
  <c r="B727" i="1"/>
  <c r="A727" i="1"/>
  <c r="C726" i="1"/>
  <c r="B726" i="1"/>
  <c r="A726" i="1"/>
  <c r="C725" i="1"/>
  <c r="B725" i="1"/>
  <c r="A725" i="1"/>
  <c r="C724" i="1"/>
  <c r="B724" i="1"/>
  <c r="A724" i="1"/>
  <c r="C723" i="1"/>
  <c r="B723" i="1"/>
  <c r="A723" i="1"/>
  <c r="C722" i="1"/>
  <c r="B722" i="1"/>
  <c r="A722" i="1"/>
  <c r="C721" i="1"/>
  <c r="B721" i="1"/>
  <c r="A721" i="1"/>
  <c r="C720" i="1"/>
  <c r="B720" i="1"/>
  <c r="A720" i="1"/>
  <c r="C719" i="1"/>
  <c r="B719" i="1"/>
  <c r="A719" i="1"/>
  <c r="C718" i="1"/>
  <c r="B718" i="1"/>
  <c r="A718" i="1"/>
  <c r="C717" i="1"/>
  <c r="B717" i="1"/>
  <c r="A717" i="1"/>
  <c r="C716" i="1"/>
  <c r="B716" i="1"/>
  <c r="A716" i="1"/>
  <c r="C715" i="1"/>
  <c r="B715" i="1"/>
  <c r="A715" i="1"/>
  <c r="C714" i="1"/>
  <c r="B714" i="1"/>
  <c r="A714" i="1"/>
  <c r="C713" i="1"/>
  <c r="B713" i="1"/>
  <c r="A713" i="1"/>
  <c r="C712" i="1"/>
  <c r="B712" i="1"/>
  <c r="A712" i="1"/>
  <c r="C711" i="1"/>
  <c r="B711" i="1"/>
  <c r="A711" i="1"/>
  <c r="C710" i="1"/>
  <c r="B710" i="1"/>
  <c r="A710" i="1"/>
  <c r="C709" i="1"/>
  <c r="B709" i="1"/>
  <c r="A709" i="1"/>
  <c r="C708" i="1"/>
  <c r="B708" i="1"/>
  <c r="A708" i="1"/>
  <c r="C707" i="1"/>
  <c r="B707" i="1"/>
  <c r="A707" i="1"/>
  <c r="C706" i="1"/>
  <c r="B706" i="1"/>
  <c r="A706" i="1"/>
  <c r="C705" i="1"/>
  <c r="B705" i="1"/>
  <c r="A705" i="1"/>
  <c r="C704" i="1"/>
  <c r="B704" i="1"/>
  <c r="A704" i="1"/>
  <c r="C703" i="1"/>
  <c r="B703" i="1"/>
  <c r="A703" i="1"/>
  <c r="C702" i="1"/>
  <c r="B702" i="1"/>
  <c r="A702" i="1"/>
  <c r="C701" i="1"/>
  <c r="B701" i="1"/>
  <c r="A701" i="1"/>
  <c r="C700" i="1"/>
  <c r="B700" i="1"/>
  <c r="A700" i="1"/>
  <c r="C699" i="1"/>
  <c r="B699" i="1"/>
  <c r="A699" i="1"/>
  <c r="C698" i="1"/>
  <c r="B698" i="1"/>
  <c r="A698" i="1"/>
  <c r="C697" i="1"/>
  <c r="B697" i="1"/>
  <c r="A697" i="1"/>
  <c r="C696" i="1"/>
  <c r="B696" i="1"/>
  <c r="A696" i="1"/>
  <c r="C695" i="1"/>
  <c r="B695" i="1"/>
  <c r="A695" i="1"/>
  <c r="C694" i="1"/>
  <c r="B694" i="1"/>
  <c r="A694" i="1"/>
  <c r="C693" i="1"/>
  <c r="B693" i="1"/>
  <c r="A693" i="1"/>
  <c r="C692" i="1"/>
  <c r="B692" i="1"/>
  <c r="A692" i="1"/>
  <c r="C691" i="1"/>
  <c r="B691" i="1"/>
  <c r="A691" i="1"/>
  <c r="C690" i="1"/>
  <c r="B690" i="1"/>
  <c r="A690" i="1"/>
  <c r="C689" i="1"/>
  <c r="B689" i="1"/>
  <c r="A689" i="1"/>
  <c r="C688" i="1"/>
  <c r="B688" i="1"/>
  <c r="A688" i="1"/>
  <c r="C687" i="1"/>
  <c r="B687" i="1"/>
  <c r="A687" i="1"/>
  <c r="C686" i="1"/>
  <c r="B686" i="1"/>
  <c r="A686" i="1"/>
  <c r="C685" i="1"/>
  <c r="B685" i="1"/>
  <c r="A685" i="1"/>
  <c r="C684" i="1"/>
  <c r="B684" i="1"/>
  <c r="A684" i="1"/>
  <c r="C683" i="1"/>
  <c r="B683" i="1"/>
  <c r="A683" i="1"/>
  <c r="C682" i="1"/>
  <c r="B682" i="1"/>
  <c r="A682" i="1"/>
  <c r="C681" i="1"/>
  <c r="B681" i="1"/>
  <c r="A681" i="1"/>
  <c r="C680" i="1"/>
  <c r="B680" i="1"/>
  <c r="A680" i="1"/>
  <c r="C679" i="1"/>
  <c r="B679" i="1"/>
  <c r="A679" i="1"/>
  <c r="C678" i="1"/>
  <c r="B678" i="1"/>
  <c r="A678" i="1"/>
  <c r="C677" i="1"/>
  <c r="B677" i="1"/>
  <c r="A677" i="1"/>
  <c r="C676" i="1"/>
  <c r="B676" i="1"/>
  <c r="A676" i="1"/>
  <c r="C675" i="1"/>
  <c r="B675" i="1"/>
  <c r="A675" i="1"/>
  <c r="C674" i="1"/>
  <c r="B674" i="1"/>
  <c r="A674" i="1"/>
  <c r="C673" i="1"/>
  <c r="B673" i="1"/>
  <c r="A673" i="1"/>
  <c r="C672" i="1"/>
  <c r="B672" i="1"/>
  <c r="A672" i="1"/>
  <c r="C671" i="1"/>
  <c r="B671" i="1"/>
  <c r="A671" i="1"/>
  <c r="C670" i="1"/>
  <c r="B670" i="1"/>
  <c r="A670" i="1"/>
  <c r="C669" i="1"/>
  <c r="B669" i="1"/>
  <c r="A669" i="1"/>
  <c r="C668" i="1"/>
  <c r="B668" i="1"/>
  <c r="A668" i="1"/>
  <c r="C667" i="1"/>
  <c r="B667" i="1"/>
  <c r="A667" i="1"/>
  <c r="C666" i="1"/>
  <c r="B666" i="1"/>
  <c r="A666" i="1"/>
  <c r="C665" i="1"/>
  <c r="B665" i="1"/>
  <c r="A665" i="1"/>
  <c r="C664" i="1"/>
  <c r="B664" i="1"/>
  <c r="A664" i="1"/>
  <c r="C663" i="1"/>
  <c r="B663" i="1"/>
  <c r="A663" i="1"/>
  <c r="C662" i="1"/>
  <c r="B662" i="1"/>
  <c r="A662" i="1"/>
  <c r="C661" i="1"/>
  <c r="B661" i="1"/>
  <c r="A661" i="1"/>
  <c r="C660" i="1"/>
  <c r="B660" i="1"/>
  <c r="A660" i="1"/>
  <c r="C659" i="1"/>
  <c r="B659" i="1"/>
  <c r="A659" i="1"/>
  <c r="C658" i="1"/>
  <c r="B658" i="1"/>
  <c r="A658" i="1"/>
  <c r="C657" i="1"/>
  <c r="B657" i="1"/>
  <c r="A657" i="1"/>
  <c r="C656" i="1"/>
  <c r="B656" i="1"/>
  <c r="A656" i="1"/>
  <c r="C655" i="1"/>
  <c r="B655" i="1"/>
  <c r="A655" i="1"/>
  <c r="C654" i="1"/>
  <c r="B654" i="1"/>
  <c r="A654" i="1"/>
  <c r="C653" i="1"/>
  <c r="B653" i="1"/>
  <c r="A653" i="1"/>
  <c r="C652" i="1"/>
  <c r="B652" i="1"/>
  <c r="A652" i="1"/>
  <c r="C651" i="1"/>
  <c r="B651" i="1"/>
  <c r="A651" i="1"/>
  <c r="C650" i="1"/>
  <c r="B650" i="1"/>
  <c r="A650" i="1"/>
  <c r="C649" i="1"/>
  <c r="B649" i="1"/>
  <c r="A649" i="1"/>
  <c r="C648" i="1"/>
  <c r="B648" i="1"/>
  <c r="A648" i="1"/>
  <c r="C647" i="1"/>
  <c r="B647" i="1"/>
  <c r="A647" i="1"/>
  <c r="C646" i="1"/>
  <c r="B646" i="1"/>
  <c r="A646" i="1"/>
  <c r="C645" i="1"/>
  <c r="B645" i="1"/>
  <c r="A645" i="1"/>
  <c r="C644" i="1"/>
  <c r="B644" i="1"/>
  <c r="A644" i="1"/>
  <c r="C643" i="1"/>
  <c r="B643" i="1"/>
  <c r="A643" i="1"/>
  <c r="C642" i="1"/>
  <c r="B642" i="1"/>
  <c r="A642" i="1"/>
  <c r="C641" i="1"/>
  <c r="B641" i="1"/>
  <c r="A641" i="1"/>
  <c r="C640" i="1"/>
  <c r="B640" i="1"/>
  <c r="A640" i="1"/>
  <c r="C639" i="1"/>
  <c r="B639" i="1"/>
  <c r="A639" i="1"/>
  <c r="C638" i="1"/>
  <c r="B638" i="1"/>
  <c r="A638" i="1"/>
  <c r="C637" i="1"/>
  <c r="B637" i="1"/>
  <c r="A637" i="1"/>
  <c r="C636" i="1"/>
  <c r="B636" i="1"/>
  <c r="A636" i="1"/>
  <c r="C635" i="1"/>
  <c r="B635" i="1"/>
  <c r="A635" i="1"/>
  <c r="C634" i="1"/>
  <c r="B634" i="1"/>
  <c r="A634" i="1"/>
  <c r="C633" i="1"/>
  <c r="B633" i="1"/>
  <c r="A633" i="1"/>
  <c r="C632" i="1"/>
  <c r="B632" i="1"/>
  <c r="A632" i="1"/>
  <c r="C631" i="1"/>
  <c r="B631" i="1"/>
  <c r="A631" i="1"/>
  <c r="C630" i="1"/>
  <c r="B630" i="1"/>
  <c r="A630" i="1"/>
  <c r="C629" i="1"/>
  <c r="B629" i="1"/>
  <c r="A629" i="1"/>
  <c r="C628" i="1"/>
  <c r="B628" i="1"/>
  <c r="A628" i="1"/>
  <c r="C627" i="1"/>
  <c r="B627" i="1"/>
  <c r="A627" i="1"/>
  <c r="C626" i="1"/>
  <c r="B626" i="1"/>
  <c r="A626" i="1"/>
  <c r="C625" i="1"/>
  <c r="B625" i="1"/>
  <c r="A625" i="1"/>
  <c r="C624" i="1"/>
  <c r="B624" i="1"/>
  <c r="A624" i="1"/>
  <c r="C623" i="1"/>
  <c r="B623" i="1"/>
  <c r="A623" i="1"/>
  <c r="C622" i="1"/>
  <c r="B622" i="1"/>
  <c r="A622" i="1"/>
  <c r="C621" i="1"/>
  <c r="B621" i="1"/>
  <c r="A621" i="1"/>
  <c r="C620" i="1"/>
  <c r="B620" i="1"/>
  <c r="A620" i="1"/>
  <c r="C619" i="1"/>
  <c r="B619" i="1"/>
  <c r="A619" i="1"/>
  <c r="C618" i="1"/>
  <c r="B618" i="1"/>
  <c r="A618" i="1"/>
  <c r="C617" i="1"/>
  <c r="B617" i="1"/>
  <c r="A617" i="1"/>
  <c r="C616" i="1"/>
  <c r="B616" i="1"/>
  <c r="A616" i="1"/>
  <c r="C615" i="1"/>
  <c r="B615" i="1"/>
  <c r="A615" i="1"/>
  <c r="C614" i="1"/>
  <c r="B614" i="1"/>
  <c r="A614" i="1"/>
  <c r="C613" i="1"/>
  <c r="B613" i="1"/>
  <c r="A613" i="1"/>
  <c r="C612" i="1"/>
  <c r="B612" i="1"/>
  <c r="A612" i="1"/>
  <c r="C611" i="1"/>
  <c r="B611" i="1"/>
  <c r="A611" i="1"/>
  <c r="C610" i="1"/>
  <c r="B610" i="1"/>
  <c r="A610" i="1"/>
  <c r="C609" i="1"/>
  <c r="B609" i="1"/>
  <c r="A609" i="1"/>
  <c r="C608" i="1"/>
  <c r="B608" i="1"/>
  <c r="A608" i="1"/>
  <c r="C607" i="1"/>
  <c r="B607" i="1"/>
  <c r="A607" i="1"/>
  <c r="C606" i="1"/>
  <c r="B606" i="1"/>
  <c r="A606" i="1"/>
  <c r="C605" i="1"/>
  <c r="B605" i="1"/>
  <c r="A605" i="1"/>
  <c r="C604" i="1"/>
  <c r="B604" i="1"/>
  <c r="A604" i="1"/>
  <c r="C603" i="1"/>
  <c r="B603" i="1"/>
  <c r="A603" i="1"/>
  <c r="C602" i="1"/>
  <c r="B602" i="1"/>
  <c r="A602" i="1"/>
  <c r="C601" i="1"/>
  <c r="B601" i="1"/>
  <c r="A601" i="1"/>
  <c r="C600" i="1"/>
  <c r="B600" i="1"/>
  <c r="A600" i="1"/>
  <c r="C599" i="1"/>
  <c r="B599" i="1"/>
  <c r="A599" i="1"/>
  <c r="C598" i="1"/>
  <c r="B598" i="1"/>
  <c r="A598" i="1"/>
  <c r="C597" i="1"/>
  <c r="B597" i="1"/>
  <c r="A597" i="1"/>
  <c r="C596" i="1"/>
  <c r="B596" i="1"/>
  <c r="A596" i="1"/>
  <c r="C595" i="1"/>
  <c r="B595" i="1"/>
  <c r="A595" i="1"/>
  <c r="C594" i="1"/>
  <c r="B594" i="1"/>
  <c r="A594" i="1"/>
  <c r="C593" i="1"/>
  <c r="B593" i="1"/>
  <c r="A593" i="1"/>
  <c r="C592" i="1"/>
  <c r="B592" i="1"/>
  <c r="A592" i="1"/>
  <c r="C591" i="1"/>
  <c r="B591" i="1"/>
  <c r="A591" i="1"/>
  <c r="C590" i="1"/>
  <c r="B590" i="1"/>
  <c r="A590" i="1"/>
  <c r="C589" i="1"/>
  <c r="B589" i="1"/>
  <c r="A589" i="1"/>
  <c r="C588" i="1"/>
  <c r="B588" i="1"/>
  <c r="A588" i="1"/>
  <c r="C587" i="1"/>
  <c r="B587" i="1"/>
  <c r="A587" i="1"/>
  <c r="C586" i="1"/>
  <c r="B586" i="1"/>
  <c r="A586" i="1"/>
  <c r="C585" i="1"/>
  <c r="B585" i="1"/>
  <c r="A585" i="1"/>
  <c r="C584" i="1"/>
  <c r="B584" i="1"/>
  <c r="A584" i="1"/>
  <c r="C583" i="1"/>
  <c r="B583" i="1"/>
  <c r="A583" i="1"/>
  <c r="C582" i="1"/>
  <c r="B582" i="1"/>
  <c r="A582" i="1"/>
  <c r="C581" i="1"/>
  <c r="B581" i="1"/>
  <c r="A581" i="1"/>
  <c r="C580" i="1"/>
  <c r="B580" i="1"/>
  <c r="A580" i="1"/>
  <c r="C579" i="1"/>
  <c r="B579" i="1"/>
  <c r="A579" i="1"/>
  <c r="C578" i="1"/>
  <c r="B578" i="1"/>
  <c r="A578" i="1"/>
  <c r="C577" i="1"/>
  <c r="B577" i="1"/>
  <c r="A577" i="1"/>
  <c r="C576" i="1"/>
  <c r="B576" i="1"/>
  <c r="A576" i="1"/>
  <c r="C575" i="1"/>
  <c r="B575" i="1"/>
  <c r="A575" i="1"/>
  <c r="C574" i="1"/>
  <c r="B574" i="1"/>
  <c r="A574" i="1"/>
  <c r="C573" i="1"/>
  <c r="B573" i="1"/>
  <c r="A573" i="1"/>
  <c r="C572" i="1"/>
  <c r="B572" i="1"/>
  <c r="A572" i="1"/>
  <c r="C571" i="1"/>
  <c r="B571" i="1"/>
  <c r="A571" i="1"/>
  <c r="C570" i="1"/>
  <c r="B570" i="1"/>
  <c r="A570" i="1"/>
  <c r="C569" i="1"/>
  <c r="B569" i="1"/>
  <c r="A569" i="1"/>
  <c r="C568" i="1"/>
  <c r="B568" i="1"/>
  <c r="A568" i="1"/>
  <c r="C567" i="1"/>
  <c r="B567" i="1"/>
  <c r="A567" i="1"/>
  <c r="C566" i="1"/>
  <c r="B566" i="1"/>
  <c r="A566" i="1"/>
  <c r="C565" i="1"/>
  <c r="B565" i="1"/>
  <c r="A565" i="1"/>
  <c r="C564" i="1"/>
  <c r="B564" i="1"/>
  <c r="A564" i="1"/>
  <c r="C563" i="1"/>
  <c r="B563" i="1"/>
  <c r="A563" i="1"/>
  <c r="C562" i="1"/>
  <c r="B562" i="1"/>
  <c r="A562" i="1"/>
  <c r="C561" i="1"/>
  <c r="B561" i="1"/>
  <c r="A561" i="1"/>
  <c r="C560" i="1"/>
  <c r="B560" i="1"/>
  <c r="A560" i="1"/>
  <c r="C559" i="1"/>
  <c r="B559" i="1"/>
  <c r="A559" i="1"/>
  <c r="C558" i="1"/>
  <c r="B558" i="1"/>
  <c r="A558" i="1"/>
  <c r="C557" i="1"/>
  <c r="B557" i="1"/>
  <c r="A557" i="1"/>
  <c r="C556" i="1"/>
  <c r="B556" i="1"/>
  <c r="A556" i="1"/>
  <c r="C555" i="1"/>
  <c r="B555" i="1"/>
  <c r="A555" i="1"/>
  <c r="C554" i="1"/>
  <c r="B554" i="1"/>
  <c r="A554" i="1"/>
  <c r="C553" i="1"/>
  <c r="B553" i="1"/>
  <c r="A553" i="1"/>
  <c r="C552" i="1"/>
  <c r="B552" i="1"/>
  <c r="A552" i="1"/>
  <c r="C551" i="1"/>
  <c r="B551" i="1"/>
  <c r="A551" i="1"/>
  <c r="C550" i="1"/>
  <c r="B550" i="1"/>
  <c r="A550" i="1"/>
  <c r="C549" i="1"/>
  <c r="B549" i="1"/>
  <c r="A549" i="1"/>
  <c r="C548" i="1"/>
  <c r="B548" i="1"/>
  <c r="A548" i="1"/>
  <c r="C547" i="1"/>
  <c r="B547" i="1"/>
  <c r="A547" i="1"/>
  <c r="C546" i="1"/>
  <c r="B546" i="1"/>
  <c r="A546" i="1"/>
  <c r="C545" i="1"/>
  <c r="B545" i="1"/>
  <c r="A545" i="1"/>
  <c r="C544" i="1"/>
  <c r="B544" i="1"/>
  <c r="A544" i="1"/>
  <c r="C543" i="1"/>
  <c r="B543" i="1"/>
  <c r="A543" i="1"/>
  <c r="C542" i="1"/>
  <c r="B542" i="1"/>
  <c r="A542" i="1"/>
  <c r="C541" i="1"/>
  <c r="B541" i="1"/>
  <c r="A541" i="1"/>
  <c r="C540" i="1"/>
  <c r="B540" i="1"/>
  <c r="A540" i="1"/>
  <c r="C539" i="1"/>
  <c r="B539" i="1"/>
  <c r="A539" i="1"/>
  <c r="C538" i="1"/>
  <c r="B538" i="1"/>
  <c r="A538" i="1"/>
  <c r="C537" i="1"/>
  <c r="B537" i="1"/>
  <c r="A537" i="1"/>
  <c r="C536" i="1"/>
  <c r="B536" i="1"/>
  <c r="A536" i="1"/>
  <c r="C535" i="1"/>
  <c r="B535" i="1"/>
  <c r="A535" i="1"/>
  <c r="C534" i="1"/>
  <c r="B534" i="1"/>
  <c r="A534" i="1"/>
  <c r="C533" i="1"/>
  <c r="B533" i="1"/>
  <c r="A533" i="1"/>
  <c r="C532" i="1"/>
  <c r="B532" i="1"/>
  <c r="A532" i="1"/>
  <c r="C531" i="1"/>
  <c r="B531" i="1"/>
  <c r="A531" i="1"/>
  <c r="C530" i="1"/>
  <c r="B530" i="1"/>
  <c r="A530" i="1"/>
  <c r="C529" i="1"/>
  <c r="B529" i="1"/>
  <c r="A529" i="1"/>
  <c r="C528" i="1"/>
  <c r="B528" i="1"/>
  <c r="A528" i="1"/>
  <c r="C527" i="1"/>
  <c r="B527" i="1"/>
  <c r="A527" i="1"/>
  <c r="C526" i="1"/>
  <c r="B526" i="1"/>
  <c r="A526" i="1"/>
  <c r="C525" i="1"/>
  <c r="B525" i="1"/>
  <c r="A525" i="1"/>
  <c r="C524" i="1"/>
  <c r="B524" i="1"/>
  <c r="A524" i="1"/>
  <c r="C523" i="1"/>
  <c r="B523" i="1"/>
  <c r="A523" i="1"/>
  <c r="C522" i="1"/>
  <c r="B522" i="1"/>
  <c r="A522" i="1"/>
  <c r="C521" i="1"/>
  <c r="B521" i="1"/>
  <c r="A521" i="1"/>
  <c r="C520" i="1"/>
  <c r="B520" i="1"/>
  <c r="A520" i="1"/>
  <c r="C519" i="1"/>
  <c r="B519" i="1"/>
  <c r="A519" i="1"/>
  <c r="C518" i="1"/>
  <c r="B518" i="1"/>
  <c r="A518" i="1"/>
  <c r="C517" i="1"/>
  <c r="B517" i="1"/>
  <c r="A517" i="1"/>
  <c r="C516" i="1"/>
  <c r="B516" i="1"/>
  <c r="A516" i="1"/>
  <c r="C515" i="1"/>
  <c r="B515" i="1"/>
  <c r="A515" i="1"/>
  <c r="C514" i="1"/>
  <c r="B514" i="1"/>
  <c r="A514" i="1"/>
  <c r="C513" i="1"/>
  <c r="B513" i="1"/>
  <c r="A513" i="1"/>
  <c r="C512" i="1"/>
  <c r="B512" i="1"/>
  <c r="A512" i="1"/>
  <c r="C511" i="1"/>
  <c r="B511" i="1"/>
  <c r="A511" i="1"/>
  <c r="C510" i="1"/>
  <c r="B510" i="1"/>
  <c r="A510" i="1"/>
  <c r="C509" i="1"/>
  <c r="B509" i="1"/>
  <c r="A509" i="1"/>
  <c r="C508" i="1"/>
  <c r="B508" i="1"/>
  <c r="A508" i="1"/>
  <c r="C507" i="1"/>
  <c r="B507" i="1"/>
  <c r="A507" i="1"/>
  <c r="C506" i="1"/>
  <c r="B506" i="1"/>
  <c r="A506" i="1"/>
  <c r="C505" i="1"/>
  <c r="B505" i="1"/>
  <c r="A505" i="1"/>
  <c r="C504" i="1"/>
  <c r="B504" i="1"/>
  <c r="A504" i="1"/>
  <c r="C503" i="1"/>
  <c r="B503" i="1"/>
  <c r="A503" i="1"/>
  <c r="C502" i="1"/>
  <c r="B502" i="1"/>
  <c r="A502" i="1"/>
  <c r="C501" i="1"/>
  <c r="B501" i="1"/>
  <c r="A501" i="1"/>
  <c r="C500" i="1"/>
  <c r="B500" i="1"/>
  <c r="A500" i="1"/>
  <c r="C499" i="1"/>
  <c r="B499" i="1"/>
  <c r="A499" i="1"/>
  <c r="C498" i="1"/>
  <c r="B498" i="1"/>
  <c r="A498" i="1"/>
  <c r="C497" i="1"/>
  <c r="B497" i="1"/>
  <c r="A497" i="1"/>
  <c r="C496" i="1"/>
  <c r="B496" i="1"/>
  <c r="A496" i="1"/>
  <c r="C495" i="1"/>
  <c r="B495" i="1"/>
  <c r="A495" i="1"/>
  <c r="C494" i="1"/>
  <c r="B494" i="1"/>
  <c r="A494" i="1"/>
  <c r="C493" i="1"/>
  <c r="B493" i="1"/>
  <c r="A493" i="1"/>
  <c r="C492" i="1"/>
  <c r="B492" i="1"/>
  <c r="A492" i="1"/>
  <c r="C491" i="1"/>
  <c r="B491" i="1"/>
  <c r="A491" i="1"/>
  <c r="C490" i="1"/>
  <c r="B490" i="1"/>
  <c r="A490" i="1"/>
  <c r="C489" i="1"/>
  <c r="B489" i="1"/>
  <c r="A489" i="1"/>
  <c r="C488" i="1"/>
  <c r="B488" i="1"/>
  <c r="A488" i="1"/>
  <c r="C487" i="1"/>
  <c r="B487" i="1"/>
  <c r="A487" i="1"/>
  <c r="C486" i="1"/>
  <c r="B486" i="1"/>
  <c r="A486" i="1"/>
  <c r="C485" i="1"/>
  <c r="B485" i="1"/>
  <c r="A485" i="1"/>
  <c r="C484" i="1"/>
  <c r="B484" i="1"/>
  <c r="A484" i="1"/>
  <c r="C483" i="1"/>
  <c r="B483" i="1"/>
  <c r="A483" i="1"/>
  <c r="C482" i="1"/>
  <c r="B482" i="1"/>
  <c r="A482" i="1"/>
  <c r="C481" i="1"/>
  <c r="B481" i="1"/>
  <c r="A481" i="1"/>
  <c r="C480" i="1"/>
  <c r="B480" i="1"/>
  <c r="A480" i="1"/>
  <c r="C479" i="1"/>
  <c r="B479" i="1"/>
  <c r="A479" i="1"/>
  <c r="C478" i="1"/>
  <c r="B478" i="1"/>
  <c r="A478" i="1"/>
  <c r="C477" i="1"/>
  <c r="B477" i="1"/>
  <c r="A477" i="1"/>
  <c r="C476" i="1"/>
  <c r="B476" i="1"/>
  <c r="A476" i="1"/>
  <c r="C475" i="1"/>
  <c r="B475" i="1"/>
  <c r="A475" i="1"/>
  <c r="C474" i="1"/>
  <c r="B474" i="1"/>
  <c r="A474" i="1"/>
  <c r="C473" i="1"/>
  <c r="B473" i="1"/>
  <c r="A473" i="1"/>
  <c r="C472" i="1"/>
  <c r="B472" i="1"/>
  <c r="A472" i="1"/>
  <c r="C471" i="1"/>
  <c r="B471" i="1"/>
  <c r="A471" i="1"/>
  <c r="C470" i="1"/>
  <c r="B470" i="1"/>
  <c r="A470" i="1"/>
  <c r="C469" i="1"/>
  <c r="B469" i="1"/>
  <c r="A469" i="1"/>
  <c r="C468" i="1"/>
  <c r="B468" i="1"/>
  <c r="A468" i="1"/>
  <c r="C467" i="1"/>
  <c r="B467" i="1"/>
  <c r="A467" i="1"/>
  <c r="C466" i="1"/>
  <c r="B466" i="1"/>
  <c r="A466" i="1"/>
  <c r="C465" i="1"/>
  <c r="B465" i="1"/>
  <c r="A465" i="1"/>
  <c r="C464" i="1"/>
  <c r="B464" i="1"/>
  <c r="A464" i="1"/>
  <c r="C463" i="1"/>
  <c r="B463" i="1"/>
  <c r="A463" i="1"/>
  <c r="C462" i="1"/>
  <c r="B462" i="1"/>
  <c r="A462" i="1"/>
  <c r="C461" i="1"/>
  <c r="B461" i="1"/>
  <c r="A461" i="1"/>
  <c r="C460" i="1"/>
  <c r="B460" i="1"/>
  <c r="A460" i="1"/>
  <c r="C459" i="1"/>
  <c r="B459" i="1"/>
  <c r="A459" i="1"/>
  <c r="C458" i="1"/>
  <c r="B458" i="1"/>
  <c r="A458" i="1"/>
  <c r="C457" i="1"/>
  <c r="B457" i="1"/>
  <c r="A457" i="1"/>
  <c r="C456" i="1"/>
  <c r="B456" i="1"/>
  <c r="A456" i="1"/>
  <c r="C455" i="1"/>
  <c r="B455" i="1"/>
  <c r="A455" i="1"/>
  <c r="C454" i="1"/>
  <c r="B454" i="1"/>
  <c r="A454" i="1"/>
  <c r="C453" i="1"/>
  <c r="B453" i="1"/>
  <c r="A453" i="1"/>
  <c r="C452" i="1"/>
  <c r="B452" i="1"/>
  <c r="A452" i="1"/>
  <c r="C451" i="1"/>
  <c r="B451" i="1"/>
  <c r="A451" i="1"/>
  <c r="C450" i="1"/>
  <c r="B450" i="1"/>
  <c r="A450" i="1"/>
  <c r="C449" i="1"/>
  <c r="B449" i="1"/>
  <c r="A449" i="1"/>
  <c r="C448" i="1"/>
  <c r="B448" i="1"/>
  <c r="A448" i="1"/>
  <c r="C447" i="1"/>
  <c r="B447" i="1"/>
  <c r="A447" i="1"/>
  <c r="C446" i="1"/>
  <c r="B446" i="1"/>
  <c r="A446" i="1"/>
  <c r="C445" i="1"/>
  <c r="B445" i="1"/>
  <c r="A445" i="1"/>
  <c r="C444" i="1"/>
  <c r="B444" i="1"/>
  <c r="A444" i="1"/>
  <c r="C443" i="1"/>
  <c r="B443" i="1"/>
  <c r="A443" i="1"/>
  <c r="C442" i="1"/>
  <c r="B442" i="1"/>
  <c r="A442" i="1"/>
  <c r="C441" i="1"/>
  <c r="B441" i="1"/>
  <c r="A441" i="1"/>
  <c r="C440" i="1"/>
  <c r="B440" i="1"/>
  <c r="A440" i="1"/>
  <c r="C439" i="1"/>
  <c r="B439" i="1"/>
  <c r="A439" i="1"/>
  <c r="C438" i="1"/>
  <c r="B438" i="1"/>
  <c r="A438" i="1"/>
  <c r="C437" i="1"/>
  <c r="B437" i="1"/>
  <c r="A437" i="1"/>
  <c r="C436" i="1"/>
  <c r="B436" i="1"/>
  <c r="A436" i="1"/>
  <c r="C435" i="1"/>
  <c r="B435" i="1"/>
  <c r="A435" i="1"/>
  <c r="C434" i="1"/>
  <c r="B434" i="1"/>
  <c r="A434" i="1"/>
  <c r="C433" i="1"/>
  <c r="B433" i="1"/>
  <c r="A433" i="1"/>
  <c r="C432" i="1"/>
  <c r="B432" i="1"/>
  <c r="A432" i="1"/>
  <c r="C431" i="1"/>
  <c r="B431" i="1"/>
  <c r="A431" i="1"/>
  <c r="C430" i="1"/>
  <c r="B430" i="1"/>
  <c r="A430" i="1"/>
  <c r="C429" i="1"/>
  <c r="B429" i="1"/>
  <c r="A429" i="1"/>
  <c r="C428" i="1"/>
  <c r="B428" i="1"/>
  <c r="A428" i="1"/>
  <c r="C427" i="1"/>
  <c r="B427" i="1"/>
  <c r="A427" i="1"/>
  <c r="C426" i="1"/>
  <c r="B426" i="1"/>
  <c r="A426" i="1"/>
  <c r="C425" i="1"/>
  <c r="B425" i="1"/>
  <c r="A425" i="1"/>
  <c r="C424" i="1"/>
  <c r="B424" i="1"/>
  <c r="A424" i="1"/>
  <c r="C423" i="1"/>
  <c r="B423" i="1"/>
  <c r="A423" i="1"/>
  <c r="C422" i="1"/>
  <c r="B422" i="1"/>
  <c r="A422" i="1"/>
  <c r="C421" i="1"/>
  <c r="B421" i="1"/>
  <c r="A421" i="1"/>
  <c r="C420" i="1"/>
  <c r="B420" i="1"/>
  <c r="A420" i="1"/>
  <c r="C419" i="1"/>
  <c r="B419" i="1"/>
  <c r="A419" i="1"/>
  <c r="C418" i="1"/>
  <c r="B418" i="1"/>
  <c r="A418" i="1"/>
  <c r="C417" i="1"/>
  <c r="B417" i="1"/>
  <c r="A417" i="1"/>
  <c r="C416" i="1"/>
  <c r="B416" i="1"/>
  <c r="A416" i="1"/>
  <c r="C415" i="1"/>
  <c r="B415" i="1"/>
  <c r="A415" i="1"/>
  <c r="C414" i="1"/>
  <c r="B414" i="1"/>
  <c r="A414" i="1"/>
  <c r="C413" i="1"/>
  <c r="B413" i="1"/>
  <c r="A413" i="1"/>
  <c r="C412" i="1"/>
  <c r="B412" i="1"/>
  <c r="A412" i="1"/>
  <c r="C411" i="1"/>
  <c r="B411" i="1"/>
  <c r="A411" i="1"/>
  <c r="C410" i="1"/>
  <c r="B410" i="1"/>
  <c r="A410" i="1"/>
  <c r="C409" i="1"/>
  <c r="B409" i="1"/>
  <c r="A409" i="1"/>
  <c r="C408" i="1"/>
  <c r="B408" i="1"/>
  <c r="A408" i="1"/>
  <c r="C407" i="1"/>
  <c r="B407" i="1"/>
  <c r="A407" i="1"/>
  <c r="C406" i="1"/>
  <c r="B406" i="1"/>
  <c r="A406" i="1"/>
  <c r="C405" i="1"/>
  <c r="B405" i="1"/>
  <c r="A405" i="1"/>
  <c r="C404" i="1"/>
  <c r="B404" i="1"/>
  <c r="A404" i="1"/>
  <c r="C403" i="1"/>
  <c r="B403" i="1"/>
  <c r="A403" i="1"/>
  <c r="C402" i="1"/>
  <c r="B402" i="1"/>
  <c r="A402" i="1"/>
  <c r="C401" i="1"/>
  <c r="B401" i="1"/>
  <c r="A401" i="1"/>
  <c r="C400" i="1"/>
  <c r="B400" i="1"/>
  <c r="A400" i="1"/>
  <c r="C399" i="1"/>
  <c r="B399" i="1"/>
  <c r="A399" i="1"/>
  <c r="C398" i="1"/>
  <c r="B398" i="1"/>
  <c r="A398" i="1"/>
  <c r="C397" i="1"/>
  <c r="B397" i="1"/>
  <c r="A397" i="1"/>
  <c r="C396" i="1"/>
  <c r="B396" i="1"/>
  <c r="A396" i="1"/>
  <c r="C395" i="1"/>
  <c r="B395" i="1"/>
  <c r="A395" i="1"/>
  <c r="C394" i="1"/>
  <c r="B394" i="1"/>
  <c r="A394" i="1"/>
  <c r="C393" i="1"/>
  <c r="B393" i="1"/>
  <c r="A393" i="1"/>
  <c r="C392" i="1"/>
  <c r="B392" i="1"/>
  <c r="A392" i="1"/>
  <c r="C391" i="1"/>
  <c r="B391" i="1"/>
  <c r="A391" i="1"/>
  <c r="C390" i="1"/>
  <c r="B390" i="1"/>
  <c r="A390" i="1"/>
  <c r="C389" i="1"/>
  <c r="B389" i="1"/>
  <c r="A389" i="1"/>
  <c r="C388" i="1"/>
  <c r="B388" i="1"/>
  <c r="A388" i="1"/>
  <c r="C387" i="1"/>
  <c r="B387" i="1"/>
  <c r="A387" i="1"/>
  <c r="C386" i="1"/>
  <c r="B386" i="1"/>
  <c r="A386" i="1"/>
  <c r="C385" i="1"/>
  <c r="B385" i="1"/>
  <c r="A385" i="1"/>
  <c r="C384" i="1"/>
  <c r="B384" i="1"/>
  <c r="A384" i="1"/>
  <c r="C383" i="1"/>
  <c r="B383" i="1"/>
  <c r="A383" i="1"/>
  <c r="C382" i="1"/>
  <c r="B382" i="1"/>
  <c r="A382" i="1"/>
  <c r="C381" i="1"/>
  <c r="B381" i="1"/>
  <c r="A381" i="1"/>
  <c r="C380" i="1"/>
  <c r="B380" i="1"/>
  <c r="A380" i="1"/>
  <c r="C379" i="1"/>
  <c r="B379" i="1"/>
  <c r="A379" i="1"/>
  <c r="C378" i="1"/>
  <c r="B378" i="1"/>
  <c r="A378" i="1"/>
  <c r="C377" i="1"/>
  <c r="B377" i="1"/>
  <c r="A377" i="1"/>
  <c r="C376" i="1"/>
  <c r="B376" i="1"/>
  <c r="A376" i="1"/>
  <c r="C375" i="1"/>
  <c r="B375" i="1"/>
  <c r="A375" i="1"/>
  <c r="C374" i="1"/>
  <c r="B374" i="1"/>
  <c r="A374" i="1"/>
  <c r="C373" i="1"/>
  <c r="B373" i="1"/>
  <c r="A373" i="1"/>
  <c r="C372" i="1"/>
  <c r="B372" i="1"/>
  <c r="A372" i="1"/>
  <c r="C371" i="1"/>
  <c r="B371" i="1"/>
  <c r="A371" i="1"/>
  <c r="C370" i="1"/>
  <c r="B370" i="1"/>
  <c r="A370" i="1"/>
  <c r="C369" i="1"/>
  <c r="B369" i="1"/>
  <c r="A369" i="1"/>
  <c r="C368" i="1"/>
  <c r="B368" i="1"/>
  <c r="A368" i="1"/>
  <c r="C367" i="1"/>
  <c r="B367" i="1"/>
  <c r="A367" i="1"/>
  <c r="C366" i="1"/>
  <c r="B366" i="1"/>
  <c r="A366" i="1"/>
  <c r="C365" i="1"/>
  <c r="B365" i="1"/>
  <c r="A365" i="1"/>
  <c r="C364" i="1"/>
  <c r="B364" i="1"/>
  <c r="A364" i="1"/>
  <c r="C363" i="1"/>
  <c r="B363" i="1"/>
  <c r="A363" i="1"/>
  <c r="C362" i="1"/>
  <c r="B362" i="1"/>
  <c r="A362" i="1"/>
  <c r="C361" i="1"/>
  <c r="B361" i="1"/>
  <c r="A361" i="1"/>
  <c r="C360" i="1"/>
  <c r="B360" i="1"/>
  <c r="A360" i="1"/>
  <c r="C359" i="1"/>
  <c r="B359" i="1"/>
  <c r="A359" i="1"/>
  <c r="C358" i="1"/>
  <c r="B358" i="1"/>
  <c r="A358" i="1"/>
  <c r="C357" i="1"/>
  <c r="B357" i="1"/>
  <c r="A357" i="1"/>
  <c r="C356" i="1"/>
  <c r="B356" i="1"/>
  <c r="A356" i="1"/>
  <c r="C355" i="1"/>
  <c r="B355" i="1"/>
  <c r="A355" i="1"/>
  <c r="C354" i="1"/>
  <c r="B354" i="1"/>
  <c r="A354" i="1"/>
  <c r="C353" i="1"/>
  <c r="B353" i="1"/>
  <c r="A353" i="1"/>
  <c r="C352" i="1"/>
  <c r="B352" i="1"/>
  <c r="A352" i="1"/>
  <c r="C351" i="1"/>
  <c r="B351" i="1"/>
  <c r="A351" i="1"/>
  <c r="C350" i="1"/>
  <c r="B350" i="1"/>
  <c r="A350" i="1"/>
  <c r="C349" i="1"/>
  <c r="B349" i="1"/>
  <c r="A349" i="1"/>
  <c r="C348" i="1"/>
  <c r="B348" i="1"/>
  <c r="A348" i="1"/>
  <c r="C347" i="1"/>
  <c r="B347" i="1"/>
  <c r="A347" i="1"/>
  <c r="C346" i="1"/>
  <c r="B346" i="1"/>
  <c r="A346" i="1"/>
  <c r="C345" i="1"/>
  <c r="B345" i="1"/>
  <c r="A345" i="1"/>
  <c r="C344" i="1"/>
  <c r="B344" i="1"/>
  <c r="A344" i="1"/>
  <c r="C343" i="1"/>
  <c r="B343" i="1"/>
  <c r="A343" i="1"/>
  <c r="C342" i="1"/>
  <c r="B342" i="1"/>
  <c r="A342" i="1"/>
  <c r="C341" i="1"/>
  <c r="B341" i="1"/>
  <c r="A341" i="1"/>
  <c r="C340" i="1"/>
  <c r="B340" i="1"/>
  <c r="A340" i="1"/>
  <c r="C339" i="1"/>
  <c r="B339" i="1"/>
  <c r="A339" i="1"/>
  <c r="C338" i="1"/>
  <c r="B338" i="1"/>
  <c r="A338" i="1"/>
  <c r="C337" i="1"/>
  <c r="B337" i="1"/>
  <c r="A337" i="1"/>
  <c r="C336" i="1"/>
  <c r="B336" i="1"/>
  <c r="A336" i="1"/>
  <c r="C335" i="1"/>
  <c r="B335" i="1"/>
  <c r="A335" i="1"/>
  <c r="C334" i="1"/>
  <c r="B334" i="1"/>
  <c r="A334" i="1"/>
  <c r="C333" i="1"/>
  <c r="B333" i="1"/>
  <c r="A333" i="1"/>
  <c r="C332" i="1"/>
  <c r="B332" i="1"/>
  <c r="A332" i="1"/>
  <c r="C331" i="1"/>
  <c r="B331" i="1"/>
  <c r="A331" i="1"/>
  <c r="C330" i="1"/>
  <c r="B330" i="1"/>
  <c r="A330" i="1"/>
  <c r="C329" i="1"/>
  <c r="B329" i="1"/>
  <c r="A329" i="1"/>
  <c r="C328" i="1"/>
  <c r="B328" i="1"/>
  <c r="A328" i="1"/>
  <c r="C327" i="1"/>
  <c r="B327" i="1"/>
  <c r="A327" i="1"/>
  <c r="C326" i="1"/>
  <c r="B326" i="1"/>
  <c r="A326" i="1"/>
  <c r="C325" i="1"/>
  <c r="B325" i="1"/>
  <c r="A325" i="1"/>
  <c r="C324" i="1"/>
  <c r="B324" i="1"/>
  <c r="A324" i="1"/>
  <c r="C323" i="1"/>
  <c r="B323" i="1"/>
  <c r="A323" i="1"/>
  <c r="C322" i="1"/>
  <c r="B322" i="1"/>
  <c r="A322" i="1"/>
  <c r="C321" i="1"/>
  <c r="B321" i="1"/>
  <c r="A321" i="1"/>
  <c r="C320" i="1"/>
  <c r="B320" i="1"/>
  <c r="A320" i="1"/>
  <c r="C319" i="1"/>
  <c r="B319" i="1"/>
  <c r="A319" i="1"/>
  <c r="C318" i="1"/>
  <c r="B318" i="1"/>
  <c r="A318" i="1"/>
  <c r="C317" i="1"/>
  <c r="B317" i="1"/>
  <c r="A317" i="1"/>
  <c r="C316" i="1"/>
  <c r="B316" i="1"/>
  <c r="A316" i="1"/>
  <c r="C315" i="1"/>
  <c r="B315" i="1"/>
  <c r="A315" i="1"/>
  <c r="C314" i="1"/>
  <c r="B314" i="1"/>
  <c r="A314" i="1"/>
  <c r="C313" i="1"/>
  <c r="B313" i="1"/>
  <c r="A313" i="1"/>
  <c r="C312" i="1"/>
  <c r="B312" i="1"/>
  <c r="A312" i="1"/>
  <c r="C311" i="1"/>
  <c r="B311" i="1"/>
  <c r="A311" i="1"/>
  <c r="C310" i="1"/>
  <c r="B310" i="1"/>
  <c r="A310" i="1"/>
  <c r="C309" i="1"/>
  <c r="B309" i="1"/>
  <c r="A309" i="1"/>
  <c r="C308" i="1"/>
  <c r="B308" i="1"/>
  <c r="A308" i="1"/>
  <c r="C307" i="1"/>
  <c r="B307" i="1"/>
  <c r="A307" i="1"/>
  <c r="C306" i="1"/>
  <c r="B306" i="1"/>
  <c r="A306" i="1"/>
  <c r="C305" i="1"/>
  <c r="B305" i="1"/>
  <c r="A305" i="1"/>
  <c r="C304" i="1"/>
  <c r="B304" i="1"/>
  <c r="A304" i="1"/>
  <c r="C303" i="1"/>
  <c r="B303" i="1"/>
  <c r="A303" i="1"/>
  <c r="C302" i="1"/>
  <c r="B302" i="1"/>
  <c r="A302" i="1"/>
  <c r="C301" i="1"/>
  <c r="B301" i="1"/>
  <c r="A301" i="1"/>
  <c r="C300" i="1"/>
  <c r="B300" i="1"/>
  <c r="A300" i="1"/>
  <c r="C299" i="1"/>
  <c r="B299" i="1"/>
  <c r="A299" i="1"/>
  <c r="C298" i="1"/>
  <c r="B298" i="1"/>
  <c r="A298" i="1"/>
  <c r="C297" i="1"/>
  <c r="B297" i="1"/>
  <c r="A297" i="1"/>
  <c r="C296" i="1"/>
  <c r="B296" i="1"/>
  <c r="A296" i="1"/>
  <c r="C295" i="1"/>
  <c r="B295" i="1"/>
  <c r="A295" i="1"/>
  <c r="C294" i="1"/>
  <c r="B294" i="1"/>
  <c r="A294" i="1"/>
  <c r="C293" i="1"/>
  <c r="B293" i="1"/>
  <c r="A293" i="1"/>
  <c r="C292" i="1"/>
  <c r="B292" i="1"/>
  <c r="A292" i="1"/>
  <c r="C291" i="1"/>
  <c r="B291" i="1"/>
  <c r="A291" i="1"/>
  <c r="C290" i="1"/>
  <c r="B290" i="1"/>
  <c r="A290" i="1"/>
  <c r="C289" i="1"/>
  <c r="B289" i="1"/>
  <c r="A289" i="1"/>
  <c r="C288" i="1"/>
  <c r="B288" i="1"/>
  <c r="A288" i="1"/>
  <c r="C287" i="1"/>
  <c r="B287" i="1"/>
  <c r="A287" i="1"/>
  <c r="C286" i="1"/>
  <c r="B286" i="1"/>
  <c r="A286" i="1"/>
  <c r="C285" i="1"/>
  <c r="B285" i="1"/>
  <c r="A285" i="1"/>
  <c r="C284" i="1"/>
  <c r="B284" i="1"/>
  <c r="A284" i="1"/>
  <c r="C283" i="1"/>
  <c r="B283" i="1"/>
  <c r="A283" i="1"/>
  <c r="C282" i="1"/>
  <c r="B282" i="1"/>
  <c r="A282" i="1"/>
  <c r="C281" i="1"/>
  <c r="B281" i="1"/>
  <c r="A281" i="1"/>
  <c r="C280" i="1"/>
  <c r="B280" i="1"/>
  <c r="A280" i="1"/>
  <c r="C279" i="1"/>
  <c r="B279" i="1"/>
  <c r="A279" i="1"/>
  <c r="C278" i="1"/>
  <c r="B278" i="1"/>
  <c r="A278" i="1"/>
  <c r="C277" i="1"/>
  <c r="B277" i="1"/>
  <c r="A277" i="1"/>
  <c r="C276" i="1"/>
  <c r="B276" i="1"/>
  <c r="A276" i="1"/>
  <c r="C275" i="1"/>
  <c r="B275" i="1"/>
  <c r="A275" i="1"/>
  <c r="C274" i="1"/>
  <c r="B274" i="1"/>
  <c r="A274" i="1"/>
  <c r="C273" i="1"/>
  <c r="B273" i="1"/>
  <c r="A273" i="1"/>
  <c r="C272" i="1"/>
  <c r="B272" i="1"/>
  <c r="A272" i="1"/>
  <c r="C271" i="1"/>
  <c r="B271" i="1"/>
  <c r="A271" i="1"/>
  <c r="C270" i="1"/>
  <c r="B270" i="1"/>
  <c r="A270" i="1"/>
  <c r="C269" i="1"/>
  <c r="B269" i="1"/>
  <c r="A269" i="1"/>
  <c r="C268" i="1"/>
  <c r="B268" i="1"/>
  <c r="A268" i="1"/>
  <c r="C267" i="1"/>
  <c r="B267" i="1"/>
  <c r="A267" i="1"/>
  <c r="C266" i="1"/>
  <c r="B266" i="1"/>
  <c r="A266" i="1"/>
  <c r="C265" i="1"/>
  <c r="B265" i="1"/>
  <c r="A265" i="1"/>
  <c r="C264" i="1"/>
  <c r="B264" i="1"/>
  <c r="A264" i="1"/>
  <c r="C263" i="1"/>
  <c r="B263" i="1"/>
  <c r="A263" i="1"/>
  <c r="C262" i="1"/>
  <c r="B262" i="1"/>
  <c r="A262" i="1"/>
  <c r="C261" i="1"/>
  <c r="B261" i="1"/>
  <c r="A261" i="1"/>
  <c r="C260" i="1"/>
  <c r="B260" i="1"/>
  <c r="A260" i="1"/>
  <c r="C259" i="1"/>
  <c r="B259" i="1"/>
  <c r="A259" i="1"/>
  <c r="C258" i="1"/>
  <c r="B258" i="1"/>
  <c r="A258" i="1"/>
  <c r="C257" i="1"/>
  <c r="B257" i="1"/>
  <c r="A257" i="1"/>
  <c r="C256" i="1"/>
  <c r="B256" i="1"/>
  <c r="A256" i="1"/>
  <c r="C255" i="1"/>
  <c r="B255" i="1"/>
  <c r="A255" i="1"/>
  <c r="C254" i="1"/>
  <c r="B254" i="1"/>
  <c r="A254" i="1"/>
  <c r="C253" i="1"/>
  <c r="B253" i="1"/>
  <c r="A253" i="1"/>
  <c r="C252" i="1"/>
  <c r="B252" i="1"/>
  <c r="A252" i="1"/>
  <c r="C251" i="1"/>
  <c r="B251" i="1"/>
  <c r="A251" i="1"/>
  <c r="C250" i="1"/>
  <c r="B250" i="1"/>
  <c r="A250" i="1"/>
  <c r="C249" i="1"/>
  <c r="B249" i="1"/>
  <c r="A249" i="1"/>
  <c r="C248" i="1"/>
  <c r="B248" i="1"/>
  <c r="A248" i="1"/>
  <c r="C247" i="1"/>
  <c r="B247" i="1"/>
  <c r="A247" i="1"/>
  <c r="C246" i="1"/>
  <c r="B246" i="1"/>
  <c r="A246" i="1"/>
  <c r="C245" i="1"/>
  <c r="B245" i="1"/>
  <c r="A245" i="1"/>
  <c r="C244" i="1"/>
  <c r="B244" i="1"/>
  <c r="A244" i="1"/>
  <c r="C243" i="1"/>
  <c r="B243" i="1"/>
  <c r="A243" i="1"/>
  <c r="C242" i="1"/>
  <c r="B242" i="1"/>
  <c r="A242" i="1"/>
  <c r="C241" i="1"/>
  <c r="B241" i="1"/>
  <c r="A241" i="1"/>
  <c r="C240" i="1"/>
  <c r="B240" i="1"/>
  <c r="A240" i="1"/>
  <c r="C239" i="1"/>
  <c r="B239" i="1"/>
  <c r="A239" i="1"/>
  <c r="C238" i="1"/>
  <c r="B238" i="1"/>
  <c r="A238" i="1"/>
  <c r="C237" i="1"/>
  <c r="B237" i="1"/>
  <c r="A237" i="1"/>
  <c r="C236" i="1"/>
  <c r="B236" i="1"/>
  <c r="A236" i="1"/>
  <c r="C235" i="1"/>
  <c r="B235" i="1"/>
  <c r="A235" i="1"/>
  <c r="C234" i="1"/>
  <c r="B234" i="1"/>
  <c r="A234" i="1"/>
  <c r="C233" i="1"/>
  <c r="B233" i="1"/>
  <c r="A233" i="1"/>
  <c r="C232" i="1"/>
  <c r="B232" i="1"/>
  <c r="A232" i="1"/>
  <c r="C231" i="1"/>
  <c r="B231" i="1"/>
  <c r="A231" i="1"/>
  <c r="C230" i="1"/>
  <c r="B230" i="1"/>
  <c r="A230" i="1"/>
  <c r="C229" i="1"/>
  <c r="B229" i="1"/>
  <c r="A229" i="1"/>
  <c r="C228" i="1"/>
  <c r="B228" i="1"/>
  <c r="A228" i="1"/>
  <c r="C227" i="1"/>
  <c r="B227" i="1"/>
  <c r="A227" i="1"/>
  <c r="C226" i="1"/>
  <c r="B226" i="1"/>
  <c r="A226" i="1"/>
  <c r="C225" i="1"/>
  <c r="B225" i="1"/>
  <c r="A225" i="1"/>
  <c r="C224" i="1"/>
  <c r="B224" i="1"/>
  <c r="A224" i="1"/>
  <c r="C223" i="1"/>
  <c r="B223" i="1"/>
  <c r="A223" i="1"/>
  <c r="C222" i="1"/>
  <c r="B222" i="1"/>
  <c r="A222" i="1"/>
  <c r="C221" i="1"/>
  <c r="B221" i="1"/>
  <c r="A221" i="1"/>
  <c r="C220" i="1"/>
  <c r="B220" i="1"/>
  <c r="A220" i="1"/>
  <c r="C219" i="1"/>
  <c r="B219" i="1"/>
  <c r="A219" i="1"/>
  <c r="C218" i="1"/>
  <c r="B218" i="1"/>
  <c r="A218" i="1"/>
  <c r="C217" i="1"/>
  <c r="B217" i="1"/>
  <c r="A217" i="1"/>
  <c r="C216" i="1"/>
  <c r="B216" i="1"/>
  <c r="A216" i="1"/>
  <c r="C215" i="1"/>
  <c r="B215" i="1"/>
  <c r="A215" i="1"/>
  <c r="C214" i="1"/>
  <c r="B214" i="1"/>
  <c r="A214" i="1"/>
  <c r="C213" i="1"/>
  <c r="B213" i="1"/>
  <c r="A213" i="1"/>
  <c r="C212" i="1"/>
  <c r="B212" i="1"/>
  <c r="A212" i="1"/>
  <c r="C211" i="1"/>
  <c r="B211" i="1"/>
  <c r="A211" i="1"/>
  <c r="C210" i="1"/>
  <c r="B210" i="1"/>
  <c r="A210" i="1"/>
  <c r="C209" i="1"/>
  <c r="B209" i="1"/>
  <c r="A209" i="1"/>
  <c r="C208" i="1"/>
  <c r="B208" i="1"/>
  <c r="A208" i="1"/>
  <c r="C207" i="1"/>
  <c r="B207" i="1"/>
  <c r="A207" i="1"/>
  <c r="C206" i="1"/>
  <c r="B206" i="1"/>
  <c r="A206" i="1"/>
  <c r="C205" i="1"/>
  <c r="B205" i="1"/>
  <c r="A205" i="1"/>
  <c r="C204" i="1"/>
  <c r="B204" i="1"/>
  <c r="A204" i="1"/>
  <c r="C203" i="1"/>
  <c r="B203" i="1"/>
  <c r="A203" i="1"/>
  <c r="C202" i="1"/>
  <c r="B202" i="1"/>
  <c r="A202" i="1"/>
  <c r="C201" i="1"/>
  <c r="B201" i="1"/>
  <c r="A201" i="1"/>
  <c r="C200" i="1"/>
  <c r="B200" i="1"/>
  <c r="A200" i="1"/>
  <c r="C199" i="1"/>
  <c r="B199" i="1"/>
  <c r="A199" i="1"/>
  <c r="C198" i="1"/>
  <c r="B198" i="1"/>
  <c r="A198" i="1"/>
  <c r="C197" i="1"/>
  <c r="B197" i="1"/>
  <c r="A197" i="1"/>
  <c r="C196" i="1"/>
  <c r="B196" i="1"/>
  <c r="A196" i="1"/>
  <c r="C195" i="1"/>
  <c r="B195" i="1"/>
  <c r="A195" i="1"/>
  <c r="C194" i="1"/>
  <c r="B194" i="1"/>
  <c r="A194" i="1"/>
  <c r="C193" i="1"/>
  <c r="B193" i="1"/>
  <c r="A193" i="1"/>
  <c r="C192" i="1"/>
  <c r="B192" i="1"/>
  <c r="A192" i="1"/>
  <c r="C191" i="1"/>
  <c r="B191" i="1"/>
  <c r="A191" i="1"/>
  <c r="C190" i="1"/>
  <c r="B190" i="1"/>
  <c r="A190" i="1"/>
  <c r="C189" i="1"/>
  <c r="B189" i="1"/>
  <c r="A189" i="1"/>
  <c r="C188" i="1"/>
  <c r="B188" i="1"/>
  <c r="A188" i="1"/>
  <c r="C187" i="1"/>
  <c r="B187" i="1"/>
  <c r="A187" i="1"/>
  <c r="C186" i="1"/>
  <c r="B186" i="1"/>
  <c r="A186" i="1"/>
  <c r="C185" i="1"/>
  <c r="B185" i="1"/>
  <c r="A185" i="1"/>
  <c r="C184" i="1"/>
  <c r="B184" i="1"/>
  <c r="A184" i="1"/>
  <c r="C183" i="1"/>
  <c r="B183" i="1"/>
  <c r="A183" i="1"/>
  <c r="C182" i="1"/>
  <c r="B182" i="1"/>
  <c r="A182" i="1"/>
  <c r="C181" i="1"/>
  <c r="B181" i="1"/>
  <c r="A181" i="1"/>
  <c r="C180" i="1"/>
  <c r="B180" i="1"/>
  <c r="A180" i="1"/>
  <c r="C179" i="1"/>
  <c r="B179" i="1"/>
  <c r="A179" i="1"/>
  <c r="C178" i="1"/>
  <c r="B178" i="1"/>
  <c r="A178" i="1"/>
  <c r="C177" i="1"/>
  <c r="B177" i="1"/>
  <c r="A177" i="1"/>
  <c r="C176" i="1"/>
  <c r="B176" i="1"/>
  <c r="A176" i="1"/>
  <c r="C175" i="1"/>
  <c r="B175" i="1"/>
  <c r="A175" i="1"/>
  <c r="C174" i="1"/>
  <c r="B174" i="1"/>
  <c r="A174" i="1"/>
  <c r="C173" i="1"/>
  <c r="B173" i="1"/>
  <c r="A173" i="1"/>
  <c r="C172" i="1"/>
  <c r="B172" i="1"/>
  <c r="A172" i="1"/>
  <c r="C171" i="1"/>
  <c r="B171" i="1"/>
  <c r="A171" i="1"/>
  <c r="C170" i="1"/>
  <c r="B170" i="1"/>
  <c r="A170" i="1"/>
  <c r="C169" i="1"/>
  <c r="B169" i="1"/>
  <c r="A169" i="1"/>
  <c r="C168" i="1"/>
  <c r="B168" i="1"/>
  <c r="A168" i="1"/>
  <c r="C167" i="1"/>
  <c r="B167" i="1"/>
  <c r="A167" i="1"/>
  <c r="C166" i="1"/>
  <c r="B166" i="1"/>
  <c r="A166" i="1"/>
  <c r="C165" i="1"/>
  <c r="B165" i="1"/>
  <c r="A165" i="1"/>
  <c r="C164" i="1"/>
  <c r="B164" i="1"/>
  <c r="A164" i="1"/>
  <c r="C163" i="1"/>
  <c r="B163" i="1"/>
  <c r="A163" i="1"/>
  <c r="C162" i="1"/>
  <c r="B162" i="1"/>
  <c r="A162" i="1"/>
  <c r="C161" i="1"/>
  <c r="B161" i="1"/>
  <c r="A161" i="1"/>
  <c r="C160" i="1"/>
  <c r="B160" i="1"/>
  <c r="A160" i="1"/>
  <c r="C159" i="1"/>
  <c r="B159" i="1"/>
  <c r="A159" i="1"/>
  <c r="C158" i="1"/>
  <c r="B158" i="1"/>
  <c r="A158" i="1"/>
  <c r="C157" i="1"/>
  <c r="B157" i="1"/>
  <c r="A157" i="1"/>
  <c r="C156" i="1"/>
  <c r="B156" i="1"/>
  <c r="A156" i="1"/>
  <c r="C155" i="1"/>
  <c r="B155" i="1"/>
  <c r="A155" i="1"/>
  <c r="C154" i="1"/>
  <c r="B154" i="1"/>
  <c r="A154" i="1"/>
  <c r="C153" i="1"/>
  <c r="B153" i="1"/>
  <c r="A153" i="1"/>
  <c r="C152" i="1"/>
  <c r="B152" i="1"/>
  <c r="A152" i="1"/>
  <c r="C151" i="1"/>
  <c r="B151" i="1"/>
  <c r="A151" i="1"/>
  <c r="C150" i="1"/>
  <c r="B150" i="1"/>
  <c r="A150" i="1"/>
  <c r="C149" i="1"/>
  <c r="B149" i="1"/>
  <c r="A149" i="1"/>
  <c r="C148" i="1"/>
  <c r="B148" i="1"/>
  <c r="A148" i="1"/>
  <c r="C147" i="1"/>
  <c r="B147" i="1"/>
  <c r="A147" i="1"/>
  <c r="C146" i="1"/>
  <c r="B146" i="1"/>
  <c r="A146" i="1"/>
  <c r="C145" i="1"/>
  <c r="B145" i="1"/>
  <c r="A145" i="1"/>
  <c r="C144" i="1"/>
  <c r="B144" i="1"/>
  <c r="A144" i="1"/>
  <c r="C143" i="1"/>
  <c r="B143" i="1"/>
  <c r="A143" i="1"/>
  <c r="C142" i="1"/>
  <c r="B142" i="1"/>
  <c r="A142" i="1"/>
  <c r="C141" i="1"/>
  <c r="B141" i="1"/>
  <c r="A141" i="1"/>
  <c r="C140" i="1"/>
  <c r="B140" i="1"/>
  <c r="A140" i="1"/>
  <c r="C139" i="1"/>
  <c r="B139" i="1"/>
  <c r="A139" i="1"/>
  <c r="C138" i="1"/>
  <c r="B138" i="1"/>
  <c r="A138" i="1"/>
  <c r="C137" i="1"/>
  <c r="B137" i="1"/>
  <c r="A137" i="1"/>
  <c r="C136" i="1"/>
  <c r="B136" i="1"/>
  <c r="A136" i="1"/>
  <c r="C135" i="1"/>
  <c r="B135" i="1"/>
  <c r="A135" i="1"/>
  <c r="C134" i="1"/>
  <c r="B134" i="1"/>
  <c r="A134" i="1"/>
  <c r="C133" i="1"/>
  <c r="B133" i="1"/>
  <c r="A133" i="1"/>
  <c r="C132" i="1"/>
  <c r="B132" i="1"/>
  <c r="A132" i="1"/>
  <c r="C131" i="1"/>
  <c r="B131" i="1"/>
  <c r="A131" i="1"/>
  <c r="C130" i="1"/>
  <c r="B130" i="1"/>
  <c r="A130" i="1"/>
  <c r="C129" i="1"/>
  <c r="B129" i="1"/>
  <c r="A129" i="1"/>
  <c r="C128" i="1"/>
  <c r="B128" i="1"/>
  <c r="A128" i="1"/>
  <c r="C127" i="1"/>
  <c r="B127" i="1"/>
  <c r="A127" i="1"/>
  <c r="C126" i="1"/>
  <c r="B126" i="1"/>
  <c r="A126" i="1"/>
  <c r="C125" i="1"/>
  <c r="B125" i="1"/>
  <c r="A125" i="1"/>
  <c r="C124" i="1"/>
  <c r="B124" i="1"/>
  <c r="A124" i="1"/>
  <c r="C123" i="1"/>
  <c r="B123" i="1"/>
  <c r="A123" i="1"/>
  <c r="C122" i="1"/>
  <c r="B122" i="1"/>
  <c r="A122" i="1"/>
  <c r="C121" i="1"/>
  <c r="B121" i="1"/>
  <c r="A121" i="1"/>
  <c r="C120" i="1"/>
  <c r="B120" i="1"/>
  <c r="A120" i="1"/>
  <c r="C119" i="1"/>
  <c r="B119" i="1"/>
  <c r="A119" i="1"/>
  <c r="C118" i="1"/>
  <c r="B118" i="1"/>
  <c r="A118" i="1"/>
  <c r="C117" i="1"/>
  <c r="B117" i="1"/>
  <c r="A117" i="1"/>
  <c r="C116" i="1"/>
  <c r="B116" i="1"/>
  <c r="A116" i="1"/>
  <c r="C115" i="1"/>
  <c r="B115" i="1"/>
  <c r="A115" i="1"/>
  <c r="C114" i="1"/>
  <c r="B114" i="1"/>
  <c r="A114" i="1"/>
  <c r="C113" i="1"/>
  <c r="B113" i="1"/>
  <c r="A113" i="1"/>
  <c r="C112" i="1"/>
  <c r="B112" i="1"/>
  <c r="A112" i="1"/>
  <c r="C111" i="1"/>
  <c r="B111" i="1"/>
  <c r="A111" i="1"/>
  <c r="C110" i="1"/>
  <c r="B110" i="1"/>
  <c r="A110" i="1"/>
  <c r="C109" i="1"/>
  <c r="B109" i="1"/>
  <c r="A109" i="1"/>
  <c r="C108" i="1"/>
  <c r="B108" i="1"/>
  <c r="A108" i="1"/>
  <c r="C107" i="1"/>
  <c r="B107" i="1"/>
  <c r="A107" i="1"/>
  <c r="C106" i="1"/>
  <c r="B106" i="1"/>
  <c r="A106" i="1"/>
  <c r="C105" i="1"/>
  <c r="B105" i="1"/>
  <c r="A105" i="1"/>
  <c r="C104" i="1"/>
  <c r="B104" i="1"/>
  <c r="A104" i="1"/>
  <c r="C103" i="1"/>
  <c r="B103" i="1"/>
  <c r="A103" i="1"/>
  <c r="C102" i="1"/>
  <c r="B102" i="1"/>
  <c r="A102" i="1"/>
  <c r="C101" i="1"/>
  <c r="B101" i="1"/>
  <c r="A101" i="1"/>
  <c r="C100" i="1"/>
  <c r="B100" i="1"/>
  <c r="A100" i="1"/>
  <c r="C99" i="1"/>
  <c r="B99" i="1"/>
  <c r="A99" i="1"/>
  <c r="C98" i="1"/>
  <c r="B98" i="1"/>
  <c r="A98" i="1"/>
  <c r="C97" i="1"/>
  <c r="B97" i="1"/>
  <c r="A97" i="1"/>
  <c r="C96" i="1"/>
  <c r="B96" i="1"/>
  <c r="A96" i="1"/>
  <c r="C95" i="1"/>
  <c r="B95" i="1"/>
  <c r="A95" i="1"/>
  <c r="C94" i="1"/>
  <c r="B94" i="1"/>
  <c r="A94" i="1"/>
  <c r="C93" i="1"/>
  <c r="B93" i="1"/>
  <c r="A93" i="1"/>
  <c r="C92" i="1"/>
  <c r="B92" i="1"/>
  <c r="A92" i="1"/>
  <c r="C91" i="1"/>
  <c r="B91" i="1"/>
  <c r="A91" i="1"/>
  <c r="C90" i="1"/>
  <c r="B90" i="1"/>
  <c r="A90" i="1"/>
  <c r="C89" i="1"/>
  <c r="B89" i="1"/>
  <c r="A89" i="1"/>
  <c r="C88" i="1"/>
  <c r="B88" i="1"/>
  <c r="A88" i="1"/>
  <c r="C87" i="1"/>
  <c r="B87" i="1"/>
  <c r="A87" i="1"/>
  <c r="C86" i="1"/>
  <c r="B86" i="1"/>
  <c r="A86" i="1"/>
  <c r="C85" i="1"/>
  <c r="B85" i="1"/>
  <c r="A85" i="1"/>
  <c r="C84" i="1"/>
  <c r="B84" i="1"/>
  <c r="A84" i="1"/>
  <c r="C83" i="1"/>
  <c r="B83" i="1"/>
  <c r="A83" i="1"/>
  <c r="C82" i="1"/>
  <c r="B82" i="1"/>
  <c r="A82" i="1"/>
  <c r="C81" i="1"/>
  <c r="B81" i="1"/>
  <c r="A81" i="1"/>
  <c r="C80" i="1"/>
  <c r="B80" i="1"/>
  <c r="A80" i="1"/>
  <c r="C79" i="1"/>
  <c r="B79" i="1"/>
  <c r="A79" i="1"/>
  <c r="C78" i="1"/>
  <c r="B78" i="1"/>
  <c r="A78" i="1"/>
  <c r="C77" i="1"/>
  <c r="B77" i="1"/>
  <c r="A77" i="1"/>
  <c r="C76" i="1"/>
  <c r="B76" i="1"/>
  <c r="A76" i="1"/>
  <c r="C75" i="1"/>
  <c r="B75" i="1"/>
  <c r="A75" i="1"/>
  <c r="C74" i="1"/>
  <c r="B74" i="1"/>
  <c r="A74" i="1"/>
  <c r="C73" i="1"/>
  <c r="B73" i="1"/>
  <c r="A73" i="1"/>
  <c r="C72" i="1"/>
  <c r="B72" i="1"/>
  <c r="A72" i="1"/>
  <c r="C71" i="1"/>
  <c r="B71" i="1"/>
  <c r="A71" i="1"/>
  <c r="C70" i="1"/>
  <c r="B70" i="1"/>
  <c r="A70" i="1"/>
  <c r="C69" i="1"/>
  <c r="B69" i="1"/>
  <c r="A69" i="1"/>
  <c r="C68" i="1"/>
  <c r="B68" i="1"/>
  <c r="A68" i="1"/>
  <c r="C67" i="1"/>
  <c r="B67" i="1"/>
  <c r="A67" i="1"/>
  <c r="C66" i="1"/>
  <c r="B66" i="1"/>
  <c r="A66" i="1"/>
  <c r="C65" i="1"/>
  <c r="B65" i="1"/>
  <c r="A65" i="1"/>
  <c r="C64" i="1"/>
  <c r="B64" i="1"/>
  <c r="A64" i="1"/>
  <c r="C63" i="1"/>
  <c r="B63" i="1"/>
  <c r="A63" i="1"/>
  <c r="C62" i="1"/>
  <c r="B62" i="1"/>
  <c r="A62" i="1"/>
  <c r="C61" i="1"/>
  <c r="B61" i="1"/>
  <c r="A61" i="1"/>
  <c r="C60" i="1"/>
  <c r="B60" i="1"/>
  <c r="A60" i="1"/>
  <c r="C59" i="1"/>
  <c r="B59" i="1"/>
  <c r="A59" i="1"/>
  <c r="C58" i="1"/>
  <c r="B58" i="1"/>
  <c r="A58" i="1"/>
  <c r="C57" i="1"/>
  <c r="B57" i="1"/>
  <c r="A57" i="1"/>
  <c r="C56" i="1"/>
  <c r="B56" i="1"/>
  <c r="A56" i="1"/>
  <c r="C55" i="1"/>
  <c r="B55" i="1"/>
  <c r="A55" i="1"/>
  <c r="C54" i="1"/>
  <c r="B54" i="1"/>
  <c r="A54" i="1"/>
  <c r="C53" i="1"/>
  <c r="B53" i="1"/>
  <c r="A53" i="1"/>
  <c r="C52" i="1"/>
  <c r="B52" i="1"/>
  <c r="A52" i="1"/>
  <c r="C51" i="1"/>
  <c r="B51" i="1"/>
  <c r="A51" i="1"/>
  <c r="C50" i="1"/>
  <c r="B50" i="1"/>
  <c r="A50" i="1"/>
  <c r="C49" i="1"/>
  <c r="B49" i="1"/>
  <c r="A49" i="1"/>
  <c r="C48" i="1"/>
  <c r="B48" i="1"/>
  <c r="A48" i="1"/>
  <c r="C47" i="1"/>
  <c r="B47" i="1"/>
  <c r="A47" i="1"/>
  <c r="C46" i="1"/>
  <c r="B46" i="1"/>
  <c r="A46" i="1"/>
  <c r="C45" i="1"/>
  <c r="B45" i="1"/>
  <c r="A45" i="1"/>
  <c r="C44" i="1"/>
  <c r="B44" i="1"/>
  <c r="A44" i="1"/>
  <c r="C43" i="1"/>
  <c r="B43" i="1"/>
  <c r="A43" i="1"/>
  <c r="C42" i="1"/>
  <c r="B42" i="1"/>
  <c r="A42" i="1"/>
  <c r="C41" i="1"/>
  <c r="B41" i="1"/>
  <c r="A41" i="1"/>
  <c r="C40" i="1"/>
  <c r="B40" i="1"/>
  <c r="A40" i="1"/>
  <c r="C39" i="1"/>
  <c r="B39" i="1"/>
  <c r="A39" i="1"/>
  <c r="C38" i="1"/>
  <c r="B38" i="1"/>
  <c r="A38" i="1"/>
  <c r="C37" i="1"/>
  <c r="B37" i="1"/>
  <c r="A37" i="1"/>
  <c r="C36" i="1"/>
  <c r="B36" i="1"/>
  <c r="A36" i="1"/>
  <c r="C35" i="1"/>
  <c r="B35" i="1"/>
  <c r="A35" i="1"/>
  <c r="C34" i="1"/>
  <c r="B34" i="1"/>
  <c r="A34" i="1"/>
  <c r="C33" i="1"/>
  <c r="B33" i="1"/>
  <c r="A33" i="1"/>
  <c r="C32" i="1"/>
  <c r="B32" i="1"/>
  <c r="A32" i="1"/>
  <c r="C31" i="1"/>
  <c r="B31" i="1"/>
  <c r="A31" i="1"/>
  <c r="C30" i="1"/>
  <c r="B30" i="1"/>
  <c r="A30" i="1"/>
  <c r="C29" i="1"/>
  <c r="B29" i="1"/>
  <c r="A29" i="1"/>
  <c r="C28" i="1"/>
  <c r="B28" i="1"/>
  <c r="A28" i="1"/>
  <c r="C27" i="1"/>
  <c r="B27" i="1"/>
  <c r="A27" i="1"/>
  <c r="C26" i="1"/>
  <c r="B26" i="1"/>
  <c r="A26" i="1"/>
  <c r="C25" i="1"/>
  <c r="B25" i="1"/>
  <c r="A25" i="1"/>
  <c r="C24" i="1"/>
  <c r="B24" i="1"/>
  <c r="A24" i="1"/>
  <c r="C23" i="1"/>
  <c r="B23" i="1"/>
  <c r="A23" i="1"/>
  <c r="C22" i="1"/>
  <c r="B22" i="1"/>
  <c r="A22" i="1"/>
  <c r="C21" i="1"/>
  <c r="B21" i="1"/>
  <c r="A21" i="1"/>
  <c r="C20" i="1"/>
  <c r="B20" i="1"/>
  <c r="A20" i="1"/>
  <c r="C19" i="1"/>
  <c r="B19" i="1"/>
  <c r="A19" i="1"/>
  <c r="C18" i="1"/>
  <c r="B18" i="1"/>
  <c r="A18" i="1"/>
  <c r="C17" i="1"/>
  <c r="B17" i="1"/>
  <c r="A17" i="1"/>
  <c r="C16" i="1"/>
  <c r="B16" i="1"/>
  <c r="A16" i="1"/>
  <c r="C15" i="1"/>
  <c r="B15" i="1"/>
  <c r="A15" i="1"/>
  <c r="C14" i="1"/>
  <c r="B14" i="1"/>
  <c r="A14" i="1"/>
  <c r="C13" i="1"/>
  <c r="B13" i="1"/>
  <c r="A13" i="1"/>
  <c r="C12" i="1"/>
  <c r="B12" i="1"/>
  <c r="A12" i="1"/>
  <c r="C11" i="1"/>
  <c r="B11" i="1"/>
  <c r="A11" i="1"/>
  <c r="C10" i="1"/>
  <c r="B10" i="1"/>
  <c r="A10" i="1"/>
  <c r="C9" i="1"/>
  <c r="B9" i="1"/>
  <c r="A9" i="1"/>
  <c r="C8" i="1"/>
  <c r="B8" i="1"/>
  <c r="A8" i="1"/>
  <c r="C7" i="1"/>
  <c r="B7" i="1"/>
  <c r="A7" i="1"/>
  <c r="C6" i="1"/>
  <c r="B6" i="1"/>
  <c r="A6" i="1"/>
  <c r="C5" i="1"/>
  <c r="B5" i="1"/>
  <c r="A5" i="1"/>
  <c r="C4" i="1"/>
  <c r="B4" i="1"/>
  <c r="A4" i="1"/>
  <c r="C3" i="1"/>
  <c r="B3" i="1"/>
  <c r="A3" i="1"/>
  <c r="C2" i="1"/>
  <c r="B2" i="1"/>
  <c r="A2" i="1"/>
</calcChain>
</file>

<file path=xl/sharedStrings.xml><?xml version="1.0" encoding="utf-8"?>
<sst xmlns="http://schemas.openxmlformats.org/spreadsheetml/2006/main" count="195650" uniqueCount="26590">
  <si>
    <t>PropertyAppraiser</t>
  </si>
  <si>
    <t>TaxCollector</t>
  </si>
  <si>
    <t>GIS</t>
  </si>
  <si>
    <t>CertNotes</t>
  </si>
  <si>
    <t>State</t>
  </si>
  <si>
    <t>County</t>
  </si>
  <si>
    <t>Municipality</t>
  </si>
  <si>
    <t>Chapter99</t>
  </si>
  <si>
    <t>Penalty</t>
  </si>
  <si>
    <t>Calendar</t>
  </si>
  <si>
    <t>RAItemID</t>
  </si>
  <si>
    <t>NALFormat</t>
  </si>
  <si>
    <t>ALTKEYFormat</t>
  </si>
  <si>
    <t>PropertyAppraiserFormat</t>
  </si>
  <si>
    <t>TaxCollectorFormat</t>
  </si>
  <si>
    <t>ExtraFormat</t>
  </si>
  <si>
    <t>AuctionFormat</t>
  </si>
  <si>
    <t>MunicipalityCode</t>
  </si>
  <si>
    <t>Section/Block</t>
  </si>
  <si>
    <t>Lot</t>
  </si>
  <si>
    <t>Range/Qualifier</t>
  </si>
  <si>
    <t>AdvNumber</t>
  </si>
  <si>
    <t>BatchNumber</t>
  </si>
  <si>
    <t>DelinquentYR</t>
  </si>
  <si>
    <t>AuctionYR</t>
  </si>
  <si>
    <t>FaceValue</t>
  </si>
  <si>
    <t>ParcelTags</t>
  </si>
  <si>
    <t>BackTaxLastUpdated</t>
  </si>
  <si>
    <t>TaxDeedHistory</t>
  </si>
  <si>
    <t>CertHolderType_Parcel</t>
  </si>
  <si>
    <t>BackTaxOpenCount</t>
  </si>
  <si>
    <t>BackTaxClosedCount</t>
  </si>
  <si>
    <t>CloseRatio</t>
  </si>
  <si>
    <t>CloseRate</t>
  </si>
  <si>
    <t>RollupFace</t>
  </si>
  <si>
    <t>RollupInterest</t>
  </si>
  <si>
    <t>RollupTotal</t>
  </si>
  <si>
    <t>AssessedValue</t>
  </si>
  <si>
    <t>LandValue</t>
  </si>
  <si>
    <t>StructureValue</t>
  </si>
  <si>
    <t>TaxAmount</t>
  </si>
  <si>
    <t>TaxYear</t>
  </si>
  <si>
    <t>FVToAV</t>
  </si>
  <si>
    <t>RUtoAV</t>
  </si>
  <si>
    <t>PropertyStreet</t>
  </si>
  <si>
    <t>PropertyCity</t>
  </si>
  <si>
    <t>PropertyState</t>
  </si>
  <si>
    <t>PropertyZip</t>
  </si>
  <si>
    <t>HX</t>
  </si>
  <si>
    <t>ZoningCode</t>
  </si>
  <si>
    <t>DigipanZoning</t>
  </si>
  <si>
    <t>ZoningUseCode</t>
  </si>
  <si>
    <t>LandDescription</t>
  </si>
  <si>
    <t>Environmental</t>
  </si>
  <si>
    <t>NewParcel</t>
  </si>
  <si>
    <t>ReParceled</t>
  </si>
  <si>
    <t>LandAcres</t>
  </si>
  <si>
    <t>NumberOfBuildings</t>
  </si>
  <si>
    <t>NumberOfResUnits</t>
  </si>
  <si>
    <t>YearBuilt</t>
  </si>
  <si>
    <t>StructureSf</t>
  </si>
  <si>
    <t>ImprovedQuality</t>
  </si>
  <si>
    <t>ConstructionClass</t>
  </si>
  <si>
    <t>LastSaleAmount</t>
  </si>
  <si>
    <t>LastSaleYear</t>
  </si>
  <si>
    <t>MultiSale</t>
  </si>
  <si>
    <t>LenderName</t>
  </si>
  <si>
    <t>LenderAmount</t>
  </si>
  <si>
    <t>LenderType</t>
  </si>
  <si>
    <t>LoanType</t>
  </si>
  <si>
    <t>LoanRecordingDate</t>
  </si>
  <si>
    <t>LoanDueDate</t>
  </si>
  <si>
    <t>InCDD</t>
  </si>
  <si>
    <t>CDDName</t>
  </si>
  <si>
    <t>BondStatus</t>
  </si>
  <si>
    <t>TotalBondAmount</t>
  </si>
  <si>
    <t>BondLastDateUpdated</t>
  </si>
  <si>
    <t>GovtLien</t>
  </si>
  <si>
    <t>LisPendens</t>
  </si>
  <si>
    <t>Owner</t>
  </si>
  <si>
    <t>OwnerType</t>
  </si>
  <si>
    <t>OwnerChange</t>
  </si>
  <si>
    <t>MailingStreet</t>
  </si>
  <si>
    <t>MailingCity</t>
  </si>
  <si>
    <t>MailState</t>
  </si>
  <si>
    <t>MailingZip</t>
  </si>
  <si>
    <t>LegalAddress</t>
  </si>
  <si>
    <t>CertificateNo_1</t>
  </si>
  <si>
    <t>DelinquentYR_1</t>
  </si>
  <si>
    <t>IssuedDate_1</t>
  </si>
  <si>
    <t>FaceValue_1</t>
  </si>
  <si>
    <t>IR%_1</t>
  </si>
  <si>
    <t>CertificateHolderType_1</t>
  </si>
  <si>
    <t>CertificateStatus_1</t>
  </si>
  <si>
    <t>Age_1</t>
  </si>
  <si>
    <t>TaxDeedDetail_1</t>
  </si>
  <si>
    <t>RemptionDate_1</t>
  </si>
  <si>
    <t>CertificateNo_2</t>
  </si>
  <si>
    <t>DelinquentYR_2</t>
  </si>
  <si>
    <t>IssuedDate_2</t>
  </si>
  <si>
    <t>FaceValue_2</t>
  </si>
  <si>
    <t>IR%_2</t>
  </si>
  <si>
    <t>CertificateHolderType_2</t>
  </si>
  <si>
    <t>CertificateStatus_2</t>
  </si>
  <si>
    <t>Age_2</t>
  </si>
  <si>
    <t>TaxDeedDetail_2</t>
  </si>
  <si>
    <t>RemptionDate_2</t>
  </si>
  <si>
    <t>CertificateNo_3</t>
  </si>
  <si>
    <t>DelinquentYR_3</t>
  </si>
  <si>
    <t>IssuedDate_3</t>
  </si>
  <si>
    <t>FaceValue_3</t>
  </si>
  <si>
    <t>IR%_3</t>
  </si>
  <si>
    <t>CertificateHolderType_3</t>
  </si>
  <si>
    <t>CertificateStatus_3</t>
  </si>
  <si>
    <t>Age_3</t>
  </si>
  <si>
    <t>TaxDeedDetail_3</t>
  </si>
  <si>
    <t>RemptionDate_3</t>
  </si>
  <si>
    <t>CertificateNo_4</t>
  </si>
  <si>
    <t>DelinquentYR_4</t>
  </si>
  <si>
    <t>IssuedDate_4</t>
  </si>
  <si>
    <t>FaceValue_4</t>
  </si>
  <si>
    <t>IR%_4</t>
  </si>
  <si>
    <t>CertificateHolderType_4</t>
  </si>
  <si>
    <t>CertificateStatus_4</t>
  </si>
  <si>
    <t>Age_4</t>
  </si>
  <si>
    <t>TaxDeedDetail_4</t>
  </si>
  <si>
    <t>RemptionDate_4</t>
  </si>
  <si>
    <t>CertificateNo_5</t>
  </si>
  <si>
    <t>DelinquentYR_5</t>
  </si>
  <si>
    <t>IssuedDate_5</t>
  </si>
  <si>
    <t>FaceValue_5</t>
  </si>
  <si>
    <t>IR%_5</t>
  </si>
  <si>
    <t>CertificateHolderType_5</t>
  </si>
  <si>
    <t>CertificateStatus_5</t>
  </si>
  <si>
    <t>Age_5</t>
  </si>
  <si>
    <t>TaxDeedDetail_5</t>
  </si>
  <si>
    <t>RemptionDate_5</t>
  </si>
  <si>
    <t>CertificateNo_6</t>
  </si>
  <si>
    <t>DelinquentYR_6</t>
  </si>
  <si>
    <t>IssuedDate_6</t>
  </si>
  <si>
    <t>FaceValue_6</t>
  </si>
  <si>
    <t>IR%_6</t>
  </si>
  <si>
    <t>CertificateHolderType_6</t>
  </si>
  <si>
    <t>CertificateStatus_6</t>
  </si>
  <si>
    <t>Age_6</t>
  </si>
  <si>
    <t>TaxDeedDetail_6</t>
  </si>
  <si>
    <t>RemptionDate_6</t>
  </si>
  <si>
    <t>CertificateNo_7</t>
  </si>
  <si>
    <t>DelinquentYR_7</t>
  </si>
  <si>
    <t>IssuedDate_7</t>
  </si>
  <si>
    <t>FaceValue_7</t>
  </si>
  <si>
    <t>IR%_7</t>
  </si>
  <si>
    <t>CertificateHolderType_7</t>
  </si>
  <si>
    <t>CertificateStatus_7</t>
  </si>
  <si>
    <t>Age_7</t>
  </si>
  <si>
    <t>TaxDeedDetail_7</t>
  </si>
  <si>
    <t>RemptionDate_7</t>
  </si>
  <si>
    <t>CertificateNo_8</t>
  </si>
  <si>
    <t>DelinquentYR_8</t>
  </si>
  <si>
    <t>IssuedDate_8</t>
  </si>
  <si>
    <t>FaceValue_8</t>
  </si>
  <si>
    <t>IR%_8</t>
  </si>
  <si>
    <t>CertificateHolderType_8</t>
  </si>
  <si>
    <t>CertificateStatus_8</t>
  </si>
  <si>
    <t>Age_8</t>
  </si>
  <si>
    <t>TaxDeedDetail_8</t>
  </si>
  <si>
    <t>RemptionDate_8</t>
  </si>
  <si>
    <t>CertificateNo_9</t>
  </si>
  <si>
    <t>DelinquentYR_9</t>
  </si>
  <si>
    <t>IssuedDate_9</t>
  </si>
  <si>
    <t>FaceValue_9</t>
  </si>
  <si>
    <t>IR%_9</t>
  </si>
  <si>
    <t>CertificateHolderType_9</t>
  </si>
  <si>
    <t>CertificateStatus_9</t>
  </si>
  <si>
    <t>Age_9</t>
  </si>
  <si>
    <t>TaxDeedDetail_9</t>
  </si>
  <si>
    <t>RemptionDate_9</t>
  </si>
  <si>
    <t>Florida</t>
  </si>
  <si>
    <t>Nassau</t>
  </si>
  <si>
    <t>03-1N-23-0000-0008-0010</t>
  </si>
  <si>
    <t>031N23000000080010</t>
  </si>
  <si>
    <t>05/02/2018</t>
  </si>
  <si>
    <t>No</t>
  </si>
  <si>
    <t>Individual</t>
  </si>
  <si>
    <t>0/0</t>
  </si>
  <si>
    <t>2803 SR 2</t>
  </si>
  <si>
    <t>HILLIARD</t>
  </si>
  <si>
    <t>32046</t>
  </si>
  <si>
    <t>Residential</t>
  </si>
  <si>
    <t>2</t>
  </si>
  <si>
    <t>MOBILE HOME</t>
  </si>
  <si>
    <t>Without Environmental Issues</t>
  </si>
  <si>
    <t>2.40</t>
  </si>
  <si>
    <t>672</t>
  </si>
  <si>
    <t>Average</t>
  </si>
  <si>
    <t>Wood (include steel studs)</t>
  </si>
  <si>
    <t>35000</t>
  </si>
  <si>
    <t>2017</t>
  </si>
  <si>
    <t>None</t>
  </si>
  <si>
    <t>0</t>
  </si>
  <si>
    <t>TANNER IRIS C BRADDOCK</t>
  </si>
  <si>
    <t>Individual/Entity</t>
  </si>
  <si>
    <t>Yes</t>
  </si>
  <si>
    <t>2475 STATE ROAD</t>
  </si>
  <si>
    <t>Hilliard</t>
  </si>
  <si>
    <t>PT OR 111/723 L/E &amp;</t>
  </si>
  <si>
    <t>1</t>
  </si>
  <si>
    <t>2009</t>
  </si>
  <si>
    <t>06/01/2010</t>
  </si>
  <si>
    <t>1441.87</t>
  </si>
  <si>
    <t>10.25</t>
  </si>
  <si>
    <t>CLOSED</t>
  </si>
  <si>
    <t>11</t>
  </si>
  <si>
    <t>05/20/2011</t>
  </si>
  <si>
    <t>04-1N-23-0000-0001-0020</t>
  </si>
  <si>
    <t>041N23000000010020</t>
  </si>
  <si>
    <t>2/2</t>
  </si>
  <si>
    <t>18150 HOOT OWL HOLW</t>
  </si>
  <si>
    <t>Agriculture</t>
  </si>
  <si>
    <t>56</t>
  </si>
  <si>
    <t>TIMBERLAND 70-79</t>
  </si>
  <si>
    <t>35.03</t>
  </si>
  <si>
    <t>2468</t>
  </si>
  <si>
    <t>203500</t>
  </si>
  <si>
    <t>CLARK W MIXON</t>
  </si>
  <si>
    <t>225000.00</t>
  </si>
  <si>
    <t>SELLER</t>
  </si>
  <si>
    <t>SELLER TAKE-BACK</t>
  </si>
  <si>
    <t>01/01/1900</t>
  </si>
  <si>
    <t>MILLER SARAH ANN</t>
  </si>
  <si>
    <t>18150 HOOT OWL HOL</t>
  </si>
  <si>
    <t>IN OR 1627/431</t>
  </si>
  <si>
    <t>2016</t>
  </si>
  <si>
    <t>06/01/2017</t>
  </si>
  <si>
    <t>631.39</t>
  </si>
  <si>
    <t>0.25</t>
  </si>
  <si>
    <t>06/21/2017</t>
  </si>
  <si>
    <t>704</t>
  </si>
  <si>
    <t>2011</t>
  </si>
  <si>
    <t>06/01/2012</t>
  </si>
  <si>
    <t>1148.28</t>
  </si>
  <si>
    <t>06/26/2012</t>
  </si>
  <si>
    <t>04-1N-23-0000-0001-0080</t>
  </si>
  <si>
    <t>041N23000000010080</t>
  </si>
  <si>
    <t>18205 HOOT OWL HOLW</t>
  </si>
  <si>
    <t>60</t>
  </si>
  <si>
    <t>GRAZING SOIL CAP 1</t>
  </si>
  <si>
    <t>5.00</t>
  </si>
  <si>
    <t>Excellent</t>
  </si>
  <si>
    <t>PT GOVT LOTS 1 &amp; 2 OF</t>
  </si>
  <si>
    <t>3</t>
  </si>
  <si>
    <t>102.97</t>
  </si>
  <si>
    <t>705</t>
  </si>
  <si>
    <t>78.98</t>
  </si>
  <si>
    <t>8.75</t>
  </si>
  <si>
    <t>04-1N-23-0000-0003-0090</t>
  </si>
  <si>
    <t>041N23000000030090</t>
  </si>
  <si>
    <t>3/4</t>
  </si>
  <si>
    <t>2476 SR 2</t>
  </si>
  <si>
    <t>1.10</t>
  </si>
  <si>
    <t>1142</t>
  </si>
  <si>
    <t>HARTMAN GEORGE ALLEN JR</t>
  </si>
  <si>
    <t>2476 SR</t>
  </si>
  <si>
    <t>PT GOVT LOTS 7,8,10 &amp; 11 OF</t>
  </si>
  <si>
    <t>5</t>
  </si>
  <si>
    <t>745.67</t>
  </si>
  <si>
    <t>OPEN</t>
  </si>
  <si>
    <t>2014</t>
  </si>
  <si>
    <t>06/01/2015</t>
  </si>
  <si>
    <t>656.04</t>
  </si>
  <si>
    <t>10</t>
  </si>
  <si>
    <t>Paid Off</t>
  </si>
  <si>
    <t>04/15/2016</t>
  </si>
  <si>
    <t>2013</t>
  </si>
  <si>
    <t>06/01/2014</t>
  </si>
  <si>
    <t>614.86</t>
  </si>
  <si>
    <t>706</t>
  </si>
  <si>
    <t>887.59</t>
  </si>
  <si>
    <t>6.00</t>
  </si>
  <si>
    <t>05/28/2013</t>
  </si>
  <si>
    <t>04-1N-23-0000-0003-0120</t>
  </si>
  <si>
    <t>041N23000000030120</t>
  </si>
  <si>
    <t>4/6</t>
  </si>
  <si>
    <t>17465 WHEELING TR</t>
  </si>
  <si>
    <t>1488</t>
  </si>
  <si>
    <t>Below Average</t>
  </si>
  <si>
    <t>2007</t>
  </si>
  <si>
    <t>FERGUSON ROBERT DALE</t>
  </si>
  <si>
    <t>1480 UNCLE CHARLES CIRCL</t>
  </si>
  <si>
    <t>PT GOVT LOT 8 OF SEC 4-1N-23E</t>
  </si>
  <si>
    <t>7</t>
  </si>
  <si>
    <t>659.42</t>
  </si>
  <si>
    <t>2015</t>
  </si>
  <si>
    <t>06/01/2016</t>
  </si>
  <si>
    <t>645.44</t>
  </si>
  <si>
    <t>6.25</t>
  </si>
  <si>
    <t>4</t>
  </si>
  <si>
    <t>573.21</t>
  </si>
  <si>
    <t>20</t>
  </si>
  <si>
    <t>02/09/2017</t>
  </si>
  <si>
    <t>791.94</t>
  </si>
  <si>
    <t>07/22/2014</t>
  </si>
  <si>
    <t>2012</t>
  </si>
  <si>
    <t>06/01/2013</t>
  </si>
  <si>
    <t>837.89</t>
  </si>
  <si>
    <t>4.50</t>
  </si>
  <si>
    <t>13</t>
  </si>
  <si>
    <t>708</t>
  </si>
  <si>
    <t>1018.45</t>
  </si>
  <si>
    <t>04-1N-23-0000-0005-0010</t>
  </si>
  <si>
    <t>041N23000000050010</t>
  </si>
  <si>
    <t>SR 2</t>
  </si>
  <si>
    <t>Vacant Residential</t>
  </si>
  <si>
    <t>VACANT</t>
  </si>
  <si>
    <t>11.00</t>
  </si>
  <si>
    <t>Minimum/Low Cost</t>
  </si>
  <si>
    <t>IRIS TANNER ETAL</t>
  </si>
  <si>
    <t>30000.00</t>
  </si>
  <si>
    <t>TANNER IRIS BRADDOCK</t>
  </si>
  <si>
    <t>PT OR 328/413</t>
  </si>
  <si>
    <t>04-1N-23-0000-0005-0080</t>
  </si>
  <si>
    <t>041N23000000050080</t>
  </si>
  <si>
    <t>5/6</t>
  </si>
  <si>
    <t>17201 OAK HILL RD</t>
  </si>
  <si>
    <t>3.12</t>
  </si>
  <si>
    <t>2004</t>
  </si>
  <si>
    <t>BURNSED JAMES FENTON &amp;</t>
  </si>
  <si>
    <t>17201 OAK HILL R</t>
  </si>
  <si>
    <t>IN OR 1220/1889</t>
  </si>
  <si>
    <t>8</t>
  </si>
  <si>
    <t>545.00</t>
  </si>
  <si>
    <t>4.75</t>
  </si>
  <si>
    <t>554.91</t>
  </si>
  <si>
    <t>14.75</t>
  </si>
  <si>
    <t>23</t>
  </si>
  <si>
    <t>05/01/2018</t>
  </si>
  <si>
    <t>533.30</t>
  </si>
  <si>
    <t>22</t>
  </si>
  <si>
    <t>04/11/2017</t>
  </si>
  <si>
    <t>6</t>
  </si>
  <si>
    <t>508.20</t>
  </si>
  <si>
    <t>9.75</t>
  </si>
  <si>
    <t>9</t>
  </si>
  <si>
    <t>03/23/2015</t>
  </si>
  <si>
    <t>544.64</t>
  </si>
  <si>
    <t>21</t>
  </si>
  <si>
    <t>2010</t>
  </si>
  <si>
    <t>06/01/2011</t>
  </si>
  <si>
    <t>666.67</t>
  </si>
  <si>
    <t>03/05/2012</t>
  </si>
  <si>
    <t>637.00</t>
  </si>
  <si>
    <t>13.50</t>
  </si>
  <si>
    <t>04-1N-23-0000-0005-0090</t>
  </si>
  <si>
    <t>041N23000000050090</t>
  </si>
  <si>
    <t>2475 SR 2</t>
  </si>
  <si>
    <t>SINGLE FAMILY</t>
  </si>
  <si>
    <t>6.59</t>
  </si>
  <si>
    <t>2214</t>
  </si>
  <si>
    <t>1900</t>
  </si>
  <si>
    <t>PT OR 328 PG 413</t>
  </si>
  <si>
    <t>867.38</t>
  </si>
  <si>
    <t>04-1N-23-0000-0005-0130</t>
  </si>
  <si>
    <t>041N23000000050130</t>
  </si>
  <si>
    <t>2/3</t>
  </si>
  <si>
    <t>17324 OAK HILL RD</t>
  </si>
  <si>
    <t>2.00</t>
  </si>
  <si>
    <t>1890</t>
  </si>
  <si>
    <t>44300</t>
  </si>
  <si>
    <t>2001</t>
  </si>
  <si>
    <t>TANNER IRIS C &amp;</t>
  </si>
  <si>
    <t>2655 CRENSHAW LN</t>
  </si>
  <si>
    <t>32034</t>
  </si>
  <si>
    <t>IN OR 968/787</t>
  </si>
  <si>
    <t>1008.92</t>
  </si>
  <si>
    <t>981.05</t>
  </si>
  <si>
    <t>03/01/2018</t>
  </si>
  <si>
    <t>711</t>
  </si>
  <si>
    <t>1035.73</t>
  </si>
  <si>
    <t>07/02/2012</t>
  </si>
  <si>
    <t>04-1N-23-0000-0005-0240</t>
  </si>
  <si>
    <t>041N23000000050240</t>
  </si>
  <si>
    <t>3/3</t>
  </si>
  <si>
    <t>OAK HILL RD</t>
  </si>
  <si>
    <t>1.00</t>
  </si>
  <si>
    <t>TANNER IRIS</t>
  </si>
  <si>
    <t>IN OR 2097/1746</t>
  </si>
  <si>
    <t>204.56</t>
  </si>
  <si>
    <t>15.25</t>
  </si>
  <si>
    <t>173.96</t>
  </si>
  <si>
    <t>15.75</t>
  </si>
  <si>
    <t>151.43</t>
  </si>
  <si>
    <t>7.00</t>
  </si>
  <si>
    <t>03/30/2016</t>
  </si>
  <si>
    <t>04-1N-23-0000-0005-0270</t>
  </si>
  <si>
    <t>041N23000000050270</t>
  </si>
  <si>
    <t>OFF SR 2</t>
  </si>
  <si>
    <t>Above Average</t>
  </si>
  <si>
    <t>IN OR 2097/1745</t>
  </si>
  <si>
    <t>387.12</t>
  </si>
  <si>
    <t>325.92</t>
  </si>
  <si>
    <t>15.50</t>
  </si>
  <si>
    <t>280.84</t>
  </si>
  <si>
    <t>12.00</t>
  </si>
  <si>
    <t>04-1N-23-0000-0005-0280</t>
  </si>
  <si>
    <t>4.20</t>
  </si>
  <si>
    <t>05-1N-23-0000-0001-0030</t>
  </si>
  <si>
    <t>051N23000000010030</t>
  </si>
  <si>
    <t>16540 OAK HILL RD</t>
  </si>
  <si>
    <t>15.00</t>
  </si>
  <si>
    <t>1960</t>
  </si>
  <si>
    <t>2003</t>
  </si>
  <si>
    <t>BERKE JOSEPH F JR</t>
  </si>
  <si>
    <t>10435 GEORGE TABOR LAN</t>
  </si>
  <si>
    <t>Jacksonville</t>
  </si>
  <si>
    <t>32218</t>
  </si>
  <si>
    <t>IN OR 1144/1708 &amp;</t>
  </si>
  <si>
    <t>12-1N-23-0000-0007-0010</t>
  </si>
  <si>
    <t>121N23000000070010</t>
  </si>
  <si>
    <t>6/7</t>
  </si>
  <si>
    <t>15552 HOWARD RD</t>
  </si>
  <si>
    <t>BRYCEVILLE</t>
  </si>
  <si>
    <t>32009</t>
  </si>
  <si>
    <t>1926</t>
  </si>
  <si>
    <t>GORDON MICHAEL VERNON &amp;</t>
  </si>
  <si>
    <t>15552 HOWARD R</t>
  </si>
  <si>
    <t>Bryceville</t>
  </si>
  <si>
    <t>PT OF GOVT LOT 8</t>
  </si>
  <si>
    <t>12</t>
  </si>
  <si>
    <t>436.08</t>
  </si>
  <si>
    <t>457.02</t>
  </si>
  <si>
    <t>02/22/2018</t>
  </si>
  <si>
    <t>841.99</t>
  </si>
  <si>
    <t>02/17/2017</t>
  </si>
  <si>
    <t>932.67</t>
  </si>
  <si>
    <t>02/17/2016</t>
  </si>
  <si>
    <t>990.82</t>
  </si>
  <si>
    <t>3.50</t>
  </si>
  <si>
    <t>02/25/2015</t>
  </si>
  <si>
    <t>1153</t>
  </si>
  <si>
    <t>994.16</t>
  </si>
  <si>
    <t>5.75</t>
  </si>
  <si>
    <t>02/24/2014</t>
  </si>
  <si>
    <t>1007.12</t>
  </si>
  <si>
    <t>02/20/2013</t>
  </si>
  <si>
    <t>16</t>
  </si>
  <si>
    <t>1204.31</t>
  </si>
  <si>
    <t>02/22/2012</t>
  </si>
  <si>
    <t>12-1N-23-0000-0008-0040</t>
  </si>
  <si>
    <t>121N23000000080040</t>
  </si>
  <si>
    <t>15358 HOWARD RD</t>
  </si>
  <si>
    <t>1620</t>
  </si>
  <si>
    <t>1994</t>
  </si>
  <si>
    <t>SNOWDEN DENISE B</t>
  </si>
  <si>
    <t>15358 HOWARD ROA</t>
  </si>
  <si>
    <t>PT OF GOVT LOT 2</t>
  </si>
  <si>
    <t>670.53</t>
  </si>
  <si>
    <t>712.44</t>
  </si>
  <si>
    <t>02/28/2018</t>
  </si>
  <si>
    <t>579.54</t>
  </si>
  <si>
    <t>02/28/2017</t>
  </si>
  <si>
    <t>14</t>
  </si>
  <si>
    <t>695.75</t>
  </si>
  <si>
    <t>02/26/2016</t>
  </si>
  <si>
    <t>742.70</t>
  </si>
  <si>
    <t>02/26/2015</t>
  </si>
  <si>
    <t>1154</t>
  </si>
  <si>
    <t>390.26</t>
  </si>
  <si>
    <t>02/28/2014</t>
  </si>
  <si>
    <t>398.06</t>
  </si>
  <si>
    <t>8.00</t>
  </si>
  <si>
    <t>02/26/2013</t>
  </si>
  <si>
    <t>17</t>
  </si>
  <si>
    <t>520.55</t>
  </si>
  <si>
    <t>13.75</t>
  </si>
  <si>
    <t>02/28/2012</t>
  </si>
  <si>
    <t>12-1N-23-0000-0009-0010</t>
  </si>
  <si>
    <t>121N23000000090010</t>
  </si>
  <si>
    <t>HOWARD RD</t>
  </si>
  <si>
    <t>0.18</t>
  </si>
  <si>
    <t>BARBER GLENDA S</t>
  </si>
  <si>
    <t>OR 529/1110 &amp; OR 1542/1145</t>
  </si>
  <si>
    <t>61.64</t>
  </si>
  <si>
    <t>18.00</t>
  </si>
  <si>
    <t>55.77</t>
  </si>
  <si>
    <t>14.00</t>
  </si>
  <si>
    <t>50.90</t>
  </si>
  <si>
    <t>17.75</t>
  </si>
  <si>
    <t>15</t>
  </si>
  <si>
    <t>56.33</t>
  </si>
  <si>
    <t>75.09</t>
  </si>
  <si>
    <t>1155</t>
  </si>
  <si>
    <t>73.37</t>
  </si>
  <si>
    <t>72.24</t>
  </si>
  <si>
    <t>18</t>
  </si>
  <si>
    <t>89.14</t>
  </si>
  <si>
    <t>19-1N-23-0000-0006-0010</t>
  </si>
  <si>
    <t>191N23000000060010</t>
  </si>
  <si>
    <t>14739 CR 121</t>
  </si>
  <si>
    <t>0.61</t>
  </si>
  <si>
    <t>1176</t>
  </si>
  <si>
    <t>11800</t>
  </si>
  <si>
    <t>1999</t>
  </si>
  <si>
    <t xml:space="preserve"> HOUSEHOLD FINANCE CORP III</t>
  </si>
  <si>
    <t>18556.00</t>
  </si>
  <si>
    <t>10/28/2004</t>
  </si>
  <si>
    <t>GILL JIMMY LEWIS</t>
  </si>
  <si>
    <t>14739 COUNTY ROAD 12</t>
  </si>
  <si>
    <t>PT N1/2 OF N1/2 OF SW1/4 OF</t>
  </si>
  <si>
    <t>433.04</t>
  </si>
  <si>
    <t>446.00</t>
  </si>
  <si>
    <t>416.00</t>
  </si>
  <si>
    <t>3.75</t>
  </si>
  <si>
    <t>04/19/2016</t>
  </si>
  <si>
    <t>505.48</t>
  </si>
  <si>
    <t>2.25</t>
  </si>
  <si>
    <t>10/03/2014</t>
  </si>
  <si>
    <t>529.74</t>
  </si>
  <si>
    <t>1345</t>
  </si>
  <si>
    <t>435.82</t>
  </si>
  <si>
    <t>16.00</t>
  </si>
  <si>
    <t>02/14/2014</t>
  </si>
  <si>
    <t>462.48</t>
  </si>
  <si>
    <t>02/14/2013</t>
  </si>
  <si>
    <t>19</t>
  </si>
  <si>
    <t>459.39</t>
  </si>
  <si>
    <t>32</t>
  </si>
  <si>
    <t>19-1N-23-0000-0007-0030</t>
  </si>
  <si>
    <t>191N23000000070030</t>
  </si>
  <si>
    <t>6/6</t>
  </si>
  <si>
    <t>14621 CR 121</t>
  </si>
  <si>
    <t>Split</t>
  </si>
  <si>
    <t>1.40</t>
  </si>
  <si>
    <t>1288</t>
  </si>
  <si>
    <t>2005</t>
  </si>
  <si>
    <t>JOHNS AUDREY H</t>
  </si>
  <si>
    <t>6063 ACRE ROA</t>
  </si>
  <si>
    <t>Macclenny</t>
  </si>
  <si>
    <t>32063</t>
  </si>
  <si>
    <t>NI/2 OF S1/4 OF SW1/4 OF SW1/4</t>
  </si>
  <si>
    <t>513.19</t>
  </si>
  <si>
    <t>04/02/2018</t>
  </si>
  <si>
    <t>570.42</t>
  </si>
  <si>
    <t>03/31/2017</t>
  </si>
  <si>
    <t>726.26</t>
  </si>
  <si>
    <t>04/01/2016</t>
  </si>
  <si>
    <t>715.76</t>
  </si>
  <si>
    <t>02/13/2014</t>
  </si>
  <si>
    <t>1346</t>
  </si>
  <si>
    <t>826.91</t>
  </si>
  <si>
    <t>08/28/2013</t>
  </si>
  <si>
    <t>859.31</t>
  </si>
  <si>
    <t>03/19/2012</t>
  </si>
  <si>
    <t>999.86</t>
  </si>
  <si>
    <t>03/21/2011</t>
  </si>
  <si>
    <t>20-1N-23-0000-0003-0080</t>
  </si>
  <si>
    <t>201N23000000030080</t>
  </si>
  <si>
    <t>2527 JIMMY CONNER PL</t>
  </si>
  <si>
    <t>10.27</t>
  </si>
  <si>
    <t>4691</t>
  </si>
  <si>
    <t>2006</t>
  </si>
  <si>
    <t>TAYLOR BEAN &amp; WHITAKER MORTGAGE CORP</t>
  </si>
  <si>
    <t>175000.00</t>
  </si>
  <si>
    <t>MORTGAGE COMPANY</t>
  </si>
  <si>
    <t>UNKNOWN</t>
  </si>
  <si>
    <t>12/01/2036</t>
  </si>
  <si>
    <t>MUMFORD MELISSA D &amp; HARRY J</t>
  </si>
  <si>
    <t>2527 JIMMY CONNER PLAC</t>
  </si>
  <si>
    <t>PT OF GOVT LOT 6</t>
  </si>
  <si>
    <t>3057.05</t>
  </si>
  <si>
    <t>07/03/2014</t>
  </si>
  <si>
    <t>3455.36</t>
  </si>
  <si>
    <t>06/29/2011</t>
  </si>
  <si>
    <t>4010.75</t>
  </si>
  <si>
    <t>07/13/2010</t>
  </si>
  <si>
    <t>20-1N-23-0000-0009-0010</t>
  </si>
  <si>
    <t>13421 FOX TAIL LN</t>
  </si>
  <si>
    <t>10.00</t>
  </si>
  <si>
    <t>2494</t>
  </si>
  <si>
    <t>125000</t>
  </si>
  <si>
    <t>FARMERS FEDERAL CREDIT UNION</t>
  </si>
  <si>
    <t>140000.00</t>
  </si>
  <si>
    <t>NOT KNOWN</t>
  </si>
  <si>
    <t>NEW CONVENTIONAL</t>
  </si>
  <si>
    <t>02/01/2031</t>
  </si>
  <si>
    <t>MUMFORD JAMES &amp; KAITLAN</t>
  </si>
  <si>
    <t>13421 PAINTED PONY L</t>
  </si>
  <si>
    <t>PT GOVT LOT 8</t>
  </si>
  <si>
    <t>20-1N-23-0000-0009-0030</t>
  </si>
  <si>
    <t>2668 PARMENTER RD</t>
  </si>
  <si>
    <t>50</t>
  </si>
  <si>
    <t>IMPROVED AGRICULTURE</t>
  </si>
  <si>
    <t>1644</t>
  </si>
  <si>
    <t>100</t>
  </si>
  <si>
    <t>ROBINSON STEPHEN L &amp; DENISE B</t>
  </si>
  <si>
    <t>2658 PARMENTER R</t>
  </si>
  <si>
    <t>PT OF GOVT LOT 15 OF</t>
  </si>
  <si>
    <t>23-1N-23-034D-0003-0000</t>
  </si>
  <si>
    <t>231N23034D00030000</t>
  </si>
  <si>
    <t>DEEP CREEK DR</t>
  </si>
  <si>
    <t>2.44</t>
  </si>
  <si>
    <t>69900</t>
  </si>
  <si>
    <t>CAPITAL SOLUTIONS IV LLC</t>
  </si>
  <si>
    <t>825000.00</t>
  </si>
  <si>
    <t>OTHER (COMPANY OR CORPORATION)</t>
  </si>
  <si>
    <t>06/12/2015</t>
  </si>
  <si>
    <t>BERNHARDT JOSE M &amp; SARA M</t>
  </si>
  <si>
    <t>1870 AUGUSTE S</t>
  </si>
  <si>
    <t>Port Allen</t>
  </si>
  <si>
    <t>Louisiana</t>
  </si>
  <si>
    <t>70767</t>
  </si>
  <si>
    <t>LOT 3</t>
  </si>
  <si>
    <t>1475</t>
  </si>
  <si>
    <t>1005.05</t>
  </si>
  <si>
    <t>10/26/2012</t>
  </si>
  <si>
    <t>662.58</t>
  </si>
  <si>
    <t>8.25</t>
  </si>
  <si>
    <t>27</t>
  </si>
  <si>
    <t>640.30</t>
  </si>
  <si>
    <t>13.00</t>
  </si>
  <si>
    <t>03/22/2012</t>
  </si>
  <si>
    <t>23-1N-23-034D-0004-0000</t>
  </si>
  <si>
    <t>231N23034D00040000</t>
  </si>
  <si>
    <t>3.42</t>
  </si>
  <si>
    <t>34900</t>
  </si>
  <si>
    <t>FABRIZIO ANTHONY JR &amp;</t>
  </si>
  <si>
    <t>19 WALNUT GROVE R</t>
  </si>
  <si>
    <t>Ridgefield</t>
  </si>
  <si>
    <t>Connecticut</t>
  </si>
  <si>
    <t>06877</t>
  </si>
  <si>
    <t>LOT 4</t>
  </si>
  <si>
    <t>504.15</t>
  </si>
  <si>
    <t>1476</t>
  </si>
  <si>
    <t>934.19</t>
  </si>
  <si>
    <t>24</t>
  </si>
  <si>
    <t>652.48</t>
  </si>
  <si>
    <t>28</t>
  </si>
  <si>
    <t>631.34</t>
  </si>
  <si>
    <t>23-1N-23-034D-0013-0000</t>
  </si>
  <si>
    <t>231N23034D00130000</t>
  </si>
  <si>
    <t>12.45</t>
  </si>
  <si>
    <t>59900</t>
  </si>
  <si>
    <t>FLORIDA DEEP CREEK PLANTATION LLC</t>
  </si>
  <si>
    <t>47900.00</t>
  </si>
  <si>
    <t>BALLOON</t>
  </si>
  <si>
    <t>08/05/2017</t>
  </si>
  <si>
    <t>PIAZZA YOLANDE &amp;</t>
  </si>
  <si>
    <t>104 STRONG BRANCH D</t>
  </si>
  <si>
    <t>Ponte Vedra</t>
  </si>
  <si>
    <t>32082</t>
  </si>
  <si>
    <t>LOT 13</t>
  </si>
  <si>
    <t>240.63</t>
  </si>
  <si>
    <t>11/08/2015</t>
  </si>
  <si>
    <t>1484</t>
  </si>
  <si>
    <t>1235.09</t>
  </si>
  <si>
    <t>857.02</t>
  </si>
  <si>
    <t>36</t>
  </si>
  <si>
    <t>818.19</t>
  </si>
  <si>
    <t>23-1N-23-034D-0037-0000</t>
  </si>
  <si>
    <t>231N23034D00370000</t>
  </si>
  <si>
    <t>DUNROVEN DR</t>
  </si>
  <si>
    <t>11.84</t>
  </si>
  <si>
    <t>29900.00</t>
  </si>
  <si>
    <t>MARRERO JOSE R &amp;</t>
  </si>
  <si>
    <t>5629 SR 16 WES</t>
  </si>
  <si>
    <t>Starke</t>
  </si>
  <si>
    <t>32091</t>
  </si>
  <si>
    <t>PT LOTS 37,87 &amp; 88 IN</t>
  </si>
  <si>
    <t>811.73</t>
  </si>
  <si>
    <t>07/14/2017</t>
  </si>
  <si>
    <t>1500</t>
  </si>
  <si>
    <t>1505.54</t>
  </si>
  <si>
    <t>49</t>
  </si>
  <si>
    <t>992.99</t>
  </si>
  <si>
    <t>53</t>
  </si>
  <si>
    <t>991.99</t>
  </si>
  <si>
    <t>23-1N-23-034D-0039-0000</t>
  </si>
  <si>
    <t>231N23034D00390000</t>
  </si>
  <si>
    <t>6.15</t>
  </si>
  <si>
    <t>133600</t>
  </si>
  <si>
    <t>2008</t>
  </si>
  <si>
    <t>BANK OF NORTH FLORIDA</t>
  </si>
  <si>
    <t>126920.00</t>
  </si>
  <si>
    <t>01/03/2011</t>
  </si>
  <si>
    <t>HERITAGE INVESTMENT CO LLC</t>
  </si>
  <si>
    <t>50 NORTH LAURA STREETSUITE 285</t>
  </si>
  <si>
    <t>32202</t>
  </si>
  <si>
    <t>LOT 39</t>
  </si>
  <si>
    <t>413.23</t>
  </si>
  <si>
    <t>6.50</t>
  </si>
  <si>
    <t>414.15</t>
  </si>
  <si>
    <t>10/12/2016</t>
  </si>
  <si>
    <t>169.16</t>
  </si>
  <si>
    <t>04/20/2015</t>
  </si>
  <si>
    <t>23-1N-23-034D-0062-0000</t>
  </si>
  <si>
    <t>231N23034D00620000</t>
  </si>
  <si>
    <t>DEACON DR</t>
  </si>
  <si>
    <t>8.14</t>
  </si>
  <si>
    <t>54900</t>
  </si>
  <si>
    <t>43920.00</t>
  </si>
  <si>
    <t>09/17/2017</t>
  </si>
  <si>
    <t>SCHULZE WALTER W III &amp; SANDRA</t>
  </si>
  <si>
    <t>1400 NE 57TH C</t>
  </si>
  <si>
    <t>Ft Lauderdale</t>
  </si>
  <si>
    <t>33334</t>
  </si>
  <si>
    <t>LOT 62</t>
  </si>
  <si>
    <t>1518</t>
  </si>
  <si>
    <t>478.70</t>
  </si>
  <si>
    <t>67</t>
  </si>
  <si>
    <t>563.04</t>
  </si>
  <si>
    <t>71</t>
  </si>
  <si>
    <t>552.13</t>
  </si>
  <si>
    <t>23-1N-23-034D-0069-0000</t>
  </si>
  <si>
    <t>231N23034D00690000</t>
  </si>
  <si>
    <t>5.42</t>
  </si>
  <si>
    <t>59999</t>
  </si>
  <si>
    <t>GOLDEN PHILIP G &amp;</t>
  </si>
  <si>
    <t>20608 NW STATE ROAD 1</t>
  </si>
  <si>
    <t>LOT 69</t>
  </si>
  <si>
    <t>1523</t>
  </si>
  <si>
    <t>1097.47</t>
  </si>
  <si>
    <t>72</t>
  </si>
  <si>
    <t>836.12</t>
  </si>
  <si>
    <t>76</t>
  </si>
  <si>
    <t>835.12</t>
  </si>
  <si>
    <t>23-1N-23-034D-0082-0000</t>
  </si>
  <si>
    <t>231N23034D00820000</t>
  </si>
  <si>
    <t>5.64</t>
  </si>
  <si>
    <t>49900</t>
  </si>
  <si>
    <t xml:space="preserve"> CAPITAL SOLUTIONS IV LLC</t>
  </si>
  <si>
    <t>12/13/2013</t>
  </si>
  <si>
    <t>COX GROVER CLEVELAND &amp; EVA M</t>
  </si>
  <si>
    <t>8007 HASTINGS S</t>
  </si>
  <si>
    <t>32220</t>
  </si>
  <si>
    <t>LOT 82</t>
  </si>
  <si>
    <t>642.60</t>
  </si>
  <si>
    <t>06/28/2017</t>
  </si>
  <si>
    <t>1533</t>
  </si>
  <si>
    <t>1222.19</t>
  </si>
  <si>
    <t>82</t>
  </si>
  <si>
    <t>858.36</t>
  </si>
  <si>
    <t>86</t>
  </si>
  <si>
    <t>820.61</t>
  </si>
  <si>
    <t>23-1N-23-034D-0083-0000</t>
  </si>
  <si>
    <t>231N23034D00830000</t>
  </si>
  <si>
    <t>4/4</t>
  </si>
  <si>
    <t>BULLOCK BLUFF RD</t>
  </si>
  <si>
    <t>7.31</t>
  </si>
  <si>
    <t>EL-BAHRI ANDRE</t>
  </si>
  <si>
    <t>3624 BRIDGEWOOD D</t>
  </si>
  <si>
    <t>32277</t>
  </si>
  <si>
    <t>LOT 83</t>
  </si>
  <si>
    <t>903.58</t>
  </si>
  <si>
    <t>04/13/2018</t>
  </si>
  <si>
    <t>919.87</t>
  </si>
  <si>
    <t>1534</t>
  </si>
  <si>
    <t>1352.00</t>
  </si>
  <si>
    <t>83</t>
  </si>
  <si>
    <t>888.41</t>
  </si>
  <si>
    <t>87</t>
  </si>
  <si>
    <t>887.41</t>
  </si>
  <si>
    <t>23-1N-23-034D-0091-0000</t>
  </si>
  <si>
    <t>231N23034D00910000</t>
  </si>
  <si>
    <t>2/4</t>
  </si>
  <si>
    <t>5.86</t>
  </si>
  <si>
    <t>85000</t>
  </si>
  <si>
    <t>MCMILLAN JAMES M &amp;</t>
  </si>
  <si>
    <t>2570 BROWARD R</t>
  </si>
  <si>
    <t>LOTS 90 &amp; 91</t>
  </si>
  <si>
    <t>29</t>
  </si>
  <si>
    <t>924.11</t>
  </si>
  <si>
    <t>940.90</t>
  </si>
  <si>
    <t>1541</t>
  </si>
  <si>
    <t>1423.21</t>
  </si>
  <si>
    <t>90</t>
  </si>
  <si>
    <t>818.78</t>
  </si>
  <si>
    <t>94</t>
  </si>
  <si>
    <t>785.83</t>
  </si>
  <si>
    <t>23-1N-23-034D-0094-0000</t>
  </si>
  <si>
    <t>231N23034D00940000</t>
  </si>
  <si>
    <t>7.56</t>
  </si>
  <si>
    <t>HOWARD NATASCHA FIEGE &amp; JAMES</t>
  </si>
  <si>
    <t>13541 VALBUENA C</t>
  </si>
  <si>
    <t>32224</t>
  </si>
  <si>
    <t>LOT 94</t>
  </si>
  <si>
    <t>1011.81</t>
  </si>
  <si>
    <t>03/30/2017</t>
  </si>
  <si>
    <t>1543</t>
  </si>
  <si>
    <t>1448.22</t>
  </si>
  <si>
    <t>92</t>
  </si>
  <si>
    <t>913.93</t>
  </si>
  <si>
    <t>96</t>
  </si>
  <si>
    <t>873.54</t>
  </si>
  <si>
    <t>24-1N-23-0000-0001-0060</t>
  </si>
  <si>
    <t>241N23000000010060</t>
  </si>
  <si>
    <t>5/7</t>
  </si>
  <si>
    <t>3783 HAMP HICKS RD</t>
  </si>
  <si>
    <t>3.00</t>
  </si>
  <si>
    <t>55000</t>
  </si>
  <si>
    <t>UNION FEDERAL BANK OF INDIANAPOLIS</t>
  </si>
  <si>
    <t>109250.00</t>
  </si>
  <si>
    <t>BANK</t>
  </si>
  <si>
    <t>06/01/2032</t>
  </si>
  <si>
    <t>HAMMOND HOLDINGS OF</t>
  </si>
  <si>
    <t>665 DAY AV</t>
  </si>
  <si>
    <t>32205</t>
  </si>
  <si>
    <t>PT OF NE1/4</t>
  </si>
  <si>
    <t>31</t>
  </si>
  <si>
    <t>927.07</t>
  </si>
  <si>
    <t>25</t>
  </si>
  <si>
    <t>955.02</t>
  </si>
  <si>
    <t>838.19</t>
  </si>
  <si>
    <t>06/23/2015</t>
  </si>
  <si>
    <t>920.57</t>
  </si>
  <si>
    <t>1115.96</t>
  </si>
  <si>
    <t>1576</t>
  </si>
  <si>
    <t>1172.75</t>
  </si>
  <si>
    <t>5.25</t>
  </si>
  <si>
    <t>103</t>
  </si>
  <si>
    <t>610.24</t>
  </si>
  <si>
    <t>24-1N-23-0000-0001-0130</t>
  </si>
  <si>
    <t>241N23000000010130</t>
  </si>
  <si>
    <t>1/1</t>
  </si>
  <si>
    <t>3991 HAMP HICKS RD</t>
  </si>
  <si>
    <t>5.02</t>
  </si>
  <si>
    <t>80000</t>
  </si>
  <si>
    <t>JAMES H HOWARD ETUX</t>
  </si>
  <si>
    <t>78000.00</t>
  </si>
  <si>
    <t>10/23/2034</t>
  </si>
  <si>
    <t>STARR FRANKLIN P &amp; LINDA J</t>
  </si>
  <si>
    <t>3439 HAMP HICK</t>
  </si>
  <si>
    <t>PT OF NE1/4   R583655</t>
  </si>
  <si>
    <t>105</t>
  </si>
  <si>
    <t>980.08</t>
  </si>
  <si>
    <t>7.25</t>
  </si>
  <si>
    <t>09/23/2011</t>
  </si>
  <si>
    <t>24-1N-23-0000-0001-0180</t>
  </si>
  <si>
    <t>241N23000000010180</t>
  </si>
  <si>
    <t>3342 STARDUST RD</t>
  </si>
  <si>
    <t>2.50</t>
  </si>
  <si>
    <t>1680</t>
  </si>
  <si>
    <t>Masonry</t>
  </si>
  <si>
    <t>15000</t>
  </si>
  <si>
    <t xml:space="preserve"> WELLS FARGO HOME MORTGAGE INC</t>
  </si>
  <si>
    <t>53955.00</t>
  </si>
  <si>
    <t>05/14/2002</t>
  </si>
  <si>
    <t>PORTER JOHN C II</t>
  </si>
  <si>
    <t>3342 STARDUST ROA</t>
  </si>
  <si>
    <t>26</t>
  </si>
  <si>
    <t>1362.49</t>
  </si>
  <si>
    <t>10/27/2016</t>
  </si>
  <si>
    <t>701.11</t>
  </si>
  <si>
    <t>04/27/2015</t>
  </si>
  <si>
    <t>1578</t>
  </si>
  <si>
    <t>869.18</t>
  </si>
  <si>
    <t>09/11/2012</t>
  </si>
  <si>
    <t>109</t>
  </si>
  <si>
    <t>1047.72</t>
  </si>
  <si>
    <t>01/25/2011</t>
  </si>
  <si>
    <t>24-1N-23-0000-0001-0190</t>
  </si>
  <si>
    <t>241N23000000010190</t>
  </si>
  <si>
    <t>3330 STARDUST RD</t>
  </si>
  <si>
    <t>1456</t>
  </si>
  <si>
    <t>27900</t>
  </si>
  <si>
    <t>GAMBRELL ROBERT J</t>
  </si>
  <si>
    <t>3330 STAR DUST ROA</t>
  </si>
  <si>
    <t>33</t>
  </si>
  <si>
    <t>423.55</t>
  </si>
  <si>
    <t>462.62</t>
  </si>
  <si>
    <t>02/03/2017</t>
  </si>
  <si>
    <t>462.78</t>
  </si>
  <si>
    <t>444.56</t>
  </si>
  <si>
    <t>02/10/2016</t>
  </si>
  <si>
    <t>452.11</t>
  </si>
  <si>
    <t>1579</t>
  </si>
  <si>
    <t>602.32</t>
  </si>
  <si>
    <t>02/10/2014</t>
  </si>
  <si>
    <t>107</t>
  </si>
  <si>
    <t>614.55</t>
  </si>
  <si>
    <t>02/28/2013</t>
  </si>
  <si>
    <t>04-1S-23-0000-0007-0010</t>
  </si>
  <si>
    <t>041S23000000070010</t>
  </si>
  <si>
    <t>2187 KINARD RD</t>
  </si>
  <si>
    <t>1.15</t>
  </si>
  <si>
    <t>2356</t>
  </si>
  <si>
    <t>95000</t>
  </si>
  <si>
    <t>RONALD L MULLIS</t>
  </si>
  <si>
    <t>93000.00</t>
  </si>
  <si>
    <t>08/28/2012</t>
  </si>
  <si>
    <t>HYGEMA DAVID P &amp; SHARON L</t>
  </si>
  <si>
    <t>2187 KINARD ROA</t>
  </si>
  <si>
    <t>PT OF SW1/4  2003 MERIT DW/MH</t>
  </si>
  <si>
    <t>637.80</t>
  </si>
  <si>
    <t>05/12/2014</t>
  </si>
  <si>
    <t>738</t>
  </si>
  <si>
    <t>976.96</t>
  </si>
  <si>
    <t>08/06/2012</t>
  </si>
  <si>
    <t>04-1S-23-0000-0007-0020</t>
  </si>
  <si>
    <t>041S23000000070020</t>
  </si>
  <si>
    <t>2191 KINARD RD</t>
  </si>
  <si>
    <t>1.01</t>
  </si>
  <si>
    <t>1800</t>
  </si>
  <si>
    <t>88200</t>
  </si>
  <si>
    <t>GEORGE L RAMSEY</t>
  </si>
  <si>
    <t>18700.00</t>
  </si>
  <si>
    <t>PRIVATE PARTY (INDIVIDUAL)</t>
  </si>
  <si>
    <t>12/17/2017</t>
  </si>
  <si>
    <t>MARTIN ROBERT RYAN &amp;</t>
  </si>
  <si>
    <t>2191 KINARD ROA</t>
  </si>
  <si>
    <t>PT OF SW1/4      2002 KING DW</t>
  </si>
  <si>
    <t>34</t>
  </si>
  <si>
    <t>1007.18</t>
  </si>
  <si>
    <t>1006.74</t>
  </si>
  <si>
    <t>820.60</t>
  </si>
  <si>
    <t>06/20/2017</t>
  </si>
  <si>
    <t>573.00</t>
  </si>
  <si>
    <t>05/01/2014</t>
  </si>
  <si>
    <t>739</t>
  </si>
  <si>
    <t>832.63</t>
  </si>
  <si>
    <t>05/15/2013</t>
  </si>
  <si>
    <t>880.08</t>
  </si>
  <si>
    <t>110</t>
  </si>
  <si>
    <t>997.03</t>
  </si>
  <si>
    <t>11.75</t>
  </si>
  <si>
    <t>12/07/2011</t>
  </si>
  <si>
    <t>04-1S-23-0000-0009-0210</t>
  </si>
  <si>
    <t>041S23000000090210</t>
  </si>
  <si>
    <t>2662 EASTWOOD DR</t>
  </si>
  <si>
    <t>4.00</t>
  </si>
  <si>
    <t>4761</t>
  </si>
  <si>
    <t>3778</t>
  </si>
  <si>
    <t>1983</t>
  </si>
  <si>
    <t>RAULERSON STEPHEN M &amp; DOROTHY</t>
  </si>
  <si>
    <t>2662 EASTWOOD DRIV</t>
  </si>
  <si>
    <t>IN OR 393 PG 71</t>
  </si>
  <si>
    <t>04-1S-23-0000-0009-0260</t>
  </si>
  <si>
    <t>3009 EASTWOOD DR</t>
  </si>
  <si>
    <t>2.80</t>
  </si>
  <si>
    <t>1688</t>
  </si>
  <si>
    <t>45000</t>
  </si>
  <si>
    <t>COLEMAN JACOB</t>
  </si>
  <si>
    <t>3009 EASTWOOD D</t>
  </si>
  <si>
    <t>IN OR 1880/96</t>
  </si>
  <si>
    <t>07-1S-23-0000-0001-0030</t>
  </si>
  <si>
    <t>BRIE WAY</t>
  </si>
  <si>
    <t>7000</t>
  </si>
  <si>
    <t>1992</t>
  </si>
  <si>
    <t>BRYANT GLENN R SR &amp; TERESA T</t>
  </si>
  <si>
    <t>1060 BRIE WA</t>
  </si>
  <si>
    <t>PT OR 658 PG 540</t>
  </si>
  <si>
    <t>08-1S-23-0000-0001-0020</t>
  </si>
  <si>
    <t>081S23000000010020</t>
  </si>
  <si>
    <t>4/5</t>
  </si>
  <si>
    <t>1848 DB HICKS RD</t>
  </si>
  <si>
    <t>4.61</t>
  </si>
  <si>
    <t>40900</t>
  </si>
  <si>
    <t>PATRICK J GALLAGHER</t>
  </si>
  <si>
    <t>35000.00</t>
  </si>
  <si>
    <t>08/04/2010</t>
  </si>
  <si>
    <t>AGUILERA ADAM &amp;</t>
  </si>
  <si>
    <t>108 JUPITER L</t>
  </si>
  <si>
    <t>Orange Park</t>
  </si>
  <si>
    <t>32073</t>
  </si>
  <si>
    <t>PT OF S1/2 OF NE1/4 OF NE1/4</t>
  </si>
  <si>
    <t>39</t>
  </si>
  <si>
    <t>1653.00</t>
  </si>
  <si>
    <t>1618.28</t>
  </si>
  <si>
    <t>30</t>
  </si>
  <si>
    <t>1471.92</t>
  </si>
  <si>
    <t>880</t>
  </si>
  <si>
    <t>1613.52</t>
  </si>
  <si>
    <t>05/06/2013</t>
  </si>
  <si>
    <t>118</t>
  </si>
  <si>
    <t>1700.54</t>
  </si>
  <si>
    <t>121</t>
  </si>
  <si>
    <t>1986.71</t>
  </si>
  <si>
    <t>08/02/2010</t>
  </si>
  <si>
    <t>08-1S-23-0000-0001-0050</t>
  </si>
  <si>
    <t>081S23000000010050</t>
  </si>
  <si>
    <t>1682 PALTO PL</t>
  </si>
  <si>
    <t>2389</t>
  </si>
  <si>
    <t>8500</t>
  </si>
  <si>
    <t>1986</t>
  </si>
  <si>
    <t xml:space="preserve"> FIRST UNION NATIONAL BANK</t>
  </si>
  <si>
    <t>130000.00</t>
  </si>
  <si>
    <t>01/08/2001</t>
  </si>
  <si>
    <t>WILSON GARY M</t>
  </si>
  <si>
    <t>1682 PALTO PLAC</t>
  </si>
  <si>
    <t>IN OR 478 PG 485</t>
  </si>
  <si>
    <t>40</t>
  </si>
  <si>
    <t>1753.54</t>
  </si>
  <si>
    <t>11/29/2017</t>
  </si>
  <si>
    <t>1778.81</t>
  </si>
  <si>
    <t>1769.19</t>
  </si>
  <si>
    <t>03/22/2016</t>
  </si>
  <si>
    <t>122</t>
  </si>
  <si>
    <t>2209.99</t>
  </si>
  <si>
    <t>06/23/2010</t>
  </si>
  <si>
    <t>08-1S-23-0000-0001-0080</t>
  </si>
  <si>
    <t>081S23000000010080</t>
  </si>
  <si>
    <t>1776 DB HICKS RD</t>
  </si>
  <si>
    <t>7.62</t>
  </si>
  <si>
    <t>2241</t>
  </si>
  <si>
    <t>1000</t>
  </si>
  <si>
    <t>1981</t>
  </si>
  <si>
    <t>WILKINSON LUCIA ROSE MARIE</t>
  </si>
  <si>
    <t>1776 D B HICKS ROA</t>
  </si>
  <si>
    <t>41</t>
  </si>
  <si>
    <t>1749.79</t>
  </si>
  <si>
    <t>06/15/2017</t>
  </si>
  <si>
    <t>1765.37</t>
  </si>
  <si>
    <t>07/23/2015</t>
  </si>
  <si>
    <t>1652.83</t>
  </si>
  <si>
    <t>06/29/2015</t>
  </si>
  <si>
    <t>1637.77</t>
  </si>
  <si>
    <t>01/22/2015</t>
  </si>
  <si>
    <t>881</t>
  </si>
  <si>
    <t>1595.53</t>
  </si>
  <si>
    <t>01/28/2013</t>
  </si>
  <si>
    <t>119</t>
  </si>
  <si>
    <t>1536.57</t>
  </si>
  <si>
    <t>01/30/2012</t>
  </si>
  <si>
    <t>08-1S-23-0000-0002-0020</t>
  </si>
  <si>
    <t>1505 WILLS LN</t>
  </si>
  <si>
    <t>15.90</t>
  </si>
  <si>
    <t>2514</t>
  </si>
  <si>
    <t>91500</t>
  </si>
  <si>
    <t>1971</t>
  </si>
  <si>
    <t>HRABEL WM F</t>
  </si>
  <si>
    <t>36002 RUSTIC ACRES WA</t>
  </si>
  <si>
    <t>Callahan</t>
  </si>
  <si>
    <t>32011</t>
  </si>
  <si>
    <t>PT OF W 1/2 OF NE 1/4</t>
  </si>
  <si>
    <t>42</t>
  </si>
  <si>
    <t>304.73</t>
  </si>
  <si>
    <t>10/24/2017</t>
  </si>
  <si>
    <t>08-1S-23-0000-0006-0180</t>
  </si>
  <si>
    <t>081S23000000060180</t>
  </si>
  <si>
    <t>Mixed</t>
  </si>
  <si>
    <t>0/7</t>
  </si>
  <si>
    <t>CORTEZ RD</t>
  </si>
  <si>
    <t>1.72</t>
  </si>
  <si>
    <t>2002</t>
  </si>
  <si>
    <t>BARNES REBECCA E &amp;</t>
  </si>
  <si>
    <t>4242 RENDALE DRIV</t>
  </si>
  <si>
    <t>32210</t>
  </si>
  <si>
    <t>IN OR 1036/1746 &amp; OR 2112/1727</t>
  </si>
  <si>
    <t>43</t>
  </si>
  <si>
    <t>61.27</t>
  </si>
  <si>
    <t>55.50</t>
  </si>
  <si>
    <t>51.40</t>
  </si>
  <si>
    <t>49.81</t>
  </si>
  <si>
    <t>54.40</t>
  </si>
  <si>
    <t>17.00</t>
  </si>
  <si>
    <t>886</t>
  </si>
  <si>
    <t>52.70</t>
  </si>
  <si>
    <t>56.24</t>
  </si>
  <si>
    <t>11.50</t>
  </si>
  <si>
    <t>08-1S-23-0000-0006-0250</t>
  </si>
  <si>
    <t>081S23000000060250</t>
  </si>
  <si>
    <t>7/7</t>
  </si>
  <si>
    <t>OFF BUCKS WAY</t>
  </si>
  <si>
    <t>PERRY JUSTIN O</t>
  </si>
  <si>
    <t>10190 BUCKS WA</t>
  </si>
  <si>
    <t>PT OF S1/2 OF SW1/4</t>
  </si>
  <si>
    <t>44</t>
  </si>
  <si>
    <t>213.72</t>
  </si>
  <si>
    <t>02/26/2018</t>
  </si>
  <si>
    <t>35</t>
  </si>
  <si>
    <t>03/15/2017</t>
  </si>
  <si>
    <t>02/29/2016</t>
  </si>
  <si>
    <t>163.29</t>
  </si>
  <si>
    <t>02/12/2015</t>
  </si>
  <si>
    <t>887</t>
  </si>
  <si>
    <t>182.75</t>
  </si>
  <si>
    <t>16.25</t>
  </si>
  <si>
    <t>264.37</t>
  </si>
  <si>
    <t>08-1S-23-1830-0009-0000</t>
  </si>
  <si>
    <t>081S23183000090000</t>
  </si>
  <si>
    <t>11514 CR 121</t>
  </si>
  <si>
    <t>3.34</t>
  </si>
  <si>
    <t>1803</t>
  </si>
  <si>
    <t>24000</t>
  </si>
  <si>
    <t>CLANTON PATRICIA</t>
  </si>
  <si>
    <t>11514 CR 12</t>
  </si>
  <si>
    <t>LOT 9     OR 672 PG 1518</t>
  </si>
  <si>
    <t>45</t>
  </si>
  <si>
    <t>675.84</t>
  </si>
  <si>
    <t>690.25</t>
  </si>
  <si>
    <t>03/29/2018</t>
  </si>
  <si>
    <t>37</t>
  </si>
  <si>
    <t>767.94</t>
  </si>
  <si>
    <t>01/11/2016</t>
  </si>
  <si>
    <t>1139.25</t>
  </si>
  <si>
    <t>1127.84</t>
  </si>
  <si>
    <t>03/24/2015</t>
  </si>
  <si>
    <t>889</t>
  </si>
  <si>
    <t>1094.22</t>
  </si>
  <si>
    <t>03/31/2014</t>
  </si>
  <si>
    <t>125</t>
  </si>
  <si>
    <t>1137.27</t>
  </si>
  <si>
    <t>02/22/2013</t>
  </si>
  <si>
    <t>128</t>
  </si>
  <si>
    <t>1070.77</t>
  </si>
  <si>
    <t>06/17/2010</t>
  </si>
  <si>
    <t>08-1S-23-1830-0015-0000</t>
  </si>
  <si>
    <t>081S23183000150000</t>
  </si>
  <si>
    <t>11837 CR 121</t>
  </si>
  <si>
    <t>2.53</t>
  </si>
  <si>
    <t>2348</t>
  </si>
  <si>
    <t>44000</t>
  </si>
  <si>
    <t>95000.00</t>
  </si>
  <si>
    <t>08/08/2012</t>
  </si>
  <si>
    <t>HUBBARD SHARON</t>
  </si>
  <si>
    <t>11837 CR 12</t>
  </si>
  <si>
    <t>LOT 15</t>
  </si>
  <si>
    <t>1458.45</t>
  </si>
  <si>
    <t>07/13/2016</t>
  </si>
  <si>
    <t>08-1S-23-1830-0017-0000</t>
  </si>
  <si>
    <t>081S23183000170000</t>
  </si>
  <si>
    <t>11761 CR 121</t>
  </si>
  <si>
    <t>2805</t>
  </si>
  <si>
    <t>STOKES NASSAU INC</t>
  </si>
  <si>
    <t>14700.00</t>
  </si>
  <si>
    <t>CONVENTIONAL</t>
  </si>
  <si>
    <t>04/14/1994</t>
  </si>
  <si>
    <t>COMBS CATHERINE &amp;</t>
  </si>
  <si>
    <t>11761 CR 12</t>
  </si>
  <si>
    <t>LOT 17</t>
  </si>
  <si>
    <t>46</t>
  </si>
  <si>
    <t>498.78</t>
  </si>
  <si>
    <t>458.67</t>
  </si>
  <si>
    <t>02/18/2015</t>
  </si>
  <si>
    <t>534.40</t>
  </si>
  <si>
    <t>02/18/2014</t>
  </si>
  <si>
    <t>890</t>
  </si>
  <si>
    <t>434.90</t>
  </si>
  <si>
    <t>02/12/2013</t>
  </si>
  <si>
    <t>126</t>
  </si>
  <si>
    <t>520.53</t>
  </si>
  <si>
    <t>02/09/2012</t>
  </si>
  <si>
    <t>08-1S-23-1830-0038-0000</t>
  </si>
  <si>
    <t>081S23183000380000</t>
  </si>
  <si>
    <t>11003 CR 121</t>
  </si>
  <si>
    <t>1560</t>
  </si>
  <si>
    <t>18000</t>
  </si>
  <si>
    <t xml:space="preserve"> CENTRAL PACIFIC MORTGAGE CO</t>
  </si>
  <si>
    <t>89600.00</t>
  </si>
  <si>
    <t>11/26/2002</t>
  </si>
  <si>
    <t>KEITH THOMAS</t>
  </si>
  <si>
    <t>11003 COUNTY ROAD 12</t>
  </si>
  <si>
    <t>LOT 38     2002 FTWD DW/MH</t>
  </si>
  <si>
    <t>08-1S-23-1830-0055-0000</t>
  </si>
  <si>
    <t>081S23183000550000</t>
  </si>
  <si>
    <t>CR 119</t>
  </si>
  <si>
    <t>2.65</t>
  </si>
  <si>
    <t>19500</t>
  </si>
  <si>
    <t>1996</t>
  </si>
  <si>
    <t>VAUGHN WEYMAN E &amp; THERESA A</t>
  </si>
  <si>
    <t>15451 WEST BEAVER STREE</t>
  </si>
  <si>
    <t>Baldwin</t>
  </si>
  <si>
    <t>32234</t>
  </si>
  <si>
    <t>LOT 55</t>
  </si>
  <si>
    <t>48</t>
  </si>
  <si>
    <t>290.97</t>
  </si>
  <si>
    <t>5.50</t>
  </si>
  <si>
    <t>248.45</t>
  </si>
  <si>
    <t>129</t>
  </si>
  <si>
    <t>02/29/2012</t>
  </si>
  <si>
    <t>08-1S-23-1830-0056-0000</t>
  </si>
  <si>
    <t>081S23183000560000</t>
  </si>
  <si>
    <t>LOT 56</t>
  </si>
  <si>
    <t>326.52</t>
  </si>
  <si>
    <t>280.24</t>
  </si>
  <si>
    <t>130</t>
  </si>
  <si>
    <t>08-1S-23-1830-0057-0000</t>
  </si>
  <si>
    <t>081S23183000570000</t>
  </si>
  <si>
    <t>17600.00</t>
  </si>
  <si>
    <t>05/09/1996</t>
  </si>
  <si>
    <t>LOT 57</t>
  </si>
  <si>
    <t>183.77</t>
  </si>
  <si>
    <t>13.25</t>
  </si>
  <si>
    <t>131</t>
  </si>
  <si>
    <t>08-1S-23-1830-0058-0000</t>
  </si>
  <si>
    <t>081S23183000580000</t>
  </si>
  <si>
    <t>LOT 58</t>
  </si>
  <si>
    <t>51</t>
  </si>
  <si>
    <t>132</t>
  </si>
  <si>
    <t>08-1S-23-1830-0059-0000</t>
  </si>
  <si>
    <t>081S23183000590000</t>
  </si>
  <si>
    <t>LOT 59</t>
  </si>
  <si>
    <t>52</t>
  </si>
  <si>
    <t>133</t>
  </si>
  <si>
    <t>08-1S-23-1830-0060-0000</t>
  </si>
  <si>
    <t>081S23183000600000</t>
  </si>
  <si>
    <t>LOT 60</t>
  </si>
  <si>
    <t>226.22</t>
  </si>
  <si>
    <t>192.91</t>
  </si>
  <si>
    <t>134</t>
  </si>
  <si>
    <t>08-1S-23-1830-0066-0000</t>
  </si>
  <si>
    <t>081S23183000660000</t>
  </si>
  <si>
    <t>0/1</t>
  </si>
  <si>
    <t>1680 CR 119</t>
  </si>
  <si>
    <t>784</t>
  </si>
  <si>
    <t>61500</t>
  </si>
  <si>
    <t>WACHOVIA BANK NA</t>
  </si>
  <si>
    <t>52637.00</t>
  </si>
  <si>
    <t>01/16/2024</t>
  </si>
  <si>
    <t>WILSON GARY M &amp; PAMELA T</t>
  </si>
  <si>
    <t>LOT 66    R407739</t>
  </si>
  <si>
    <t>54</t>
  </si>
  <si>
    <t>553.00</t>
  </si>
  <si>
    <t>745.04</t>
  </si>
  <si>
    <t>08-1S-23-1830-0073-0000</t>
  </si>
  <si>
    <t>2250 CR 119</t>
  </si>
  <si>
    <t>2.18</t>
  </si>
  <si>
    <t>1622</t>
  </si>
  <si>
    <t>MEEKS WALTER C JR EST</t>
  </si>
  <si>
    <t>BOX 33</t>
  </si>
  <si>
    <t>LOT 73</t>
  </si>
  <si>
    <t>526.89</t>
  </si>
  <si>
    <t>08-1S-23-1830-0074-0000</t>
  </si>
  <si>
    <t>081S23183000740000</t>
  </si>
  <si>
    <t>2286 CR 119</t>
  </si>
  <si>
    <t>1.18</t>
  </si>
  <si>
    <t>1700</t>
  </si>
  <si>
    <t>3000</t>
  </si>
  <si>
    <t>REGIONS MTG INC</t>
  </si>
  <si>
    <t>126000.00</t>
  </si>
  <si>
    <t>09/01/2032</t>
  </si>
  <si>
    <t>SISLEY JASON WILLIAM</t>
  </si>
  <si>
    <t>2286 CR 11</t>
  </si>
  <si>
    <t>PT OF LOT 74</t>
  </si>
  <si>
    <t>57</t>
  </si>
  <si>
    <t>930.63</t>
  </si>
  <si>
    <t>941.77</t>
  </si>
  <si>
    <t>02/16/2018</t>
  </si>
  <si>
    <t>878.10</t>
  </si>
  <si>
    <t>07/18/2014</t>
  </si>
  <si>
    <t>08-1S-23-1830-0094-0000</t>
  </si>
  <si>
    <t>081S23183000940000</t>
  </si>
  <si>
    <t>1719 CR 119</t>
  </si>
  <si>
    <t>GILBERT ALICE FAYE &amp; EARL E</t>
  </si>
  <si>
    <t>3118 DALEHURST DR WES</t>
  </si>
  <si>
    <t>LOT 94 IN OR 1781/111</t>
  </si>
  <si>
    <t>08-1S-23-1830-0097-0000</t>
  </si>
  <si>
    <t>081S23183000970000</t>
  </si>
  <si>
    <t>1647 CR 119</t>
  </si>
  <si>
    <t>4.68</t>
  </si>
  <si>
    <t>2076</t>
  </si>
  <si>
    <t>35500</t>
  </si>
  <si>
    <t>THOMAS RALPH M &amp; BEVERLY J</t>
  </si>
  <si>
    <t>1647 CR 11</t>
  </si>
  <si>
    <t>LOTS 97 &amp; 98</t>
  </si>
  <si>
    <t>58</t>
  </si>
  <si>
    <t>568.58</t>
  </si>
  <si>
    <t>576.75</t>
  </si>
  <si>
    <t>575.90</t>
  </si>
  <si>
    <t>547.76</t>
  </si>
  <si>
    <t>03/17/2016</t>
  </si>
  <si>
    <t>740.96</t>
  </si>
  <si>
    <t>04/09/2015</t>
  </si>
  <si>
    <t>895</t>
  </si>
  <si>
    <t>943.26</t>
  </si>
  <si>
    <t>69</t>
  </si>
  <si>
    <t>03/26/2018</t>
  </si>
  <si>
    <t>138</t>
  </si>
  <si>
    <t>1015.91</t>
  </si>
  <si>
    <t>898.23</t>
  </si>
  <si>
    <t>03/14/2012</t>
  </si>
  <si>
    <t>08-1S-23-1830-0113-0000</t>
  </si>
  <si>
    <t>10033 CR 121</t>
  </si>
  <si>
    <t>1216</t>
  </si>
  <si>
    <t>BARNCORD PATRICIA</t>
  </si>
  <si>
    <t>5124 MARLENE AV</t>
  </si>
  <si>
    <t>LOT 113    R622097</t>
  </si>
  <si>
    <t>59</t>
  </si>
  <si>
    <t>1151.88</t>
  </si>
  <si>
    <t>17-1S-23-0000-0003-0000</t>
  </si>
  <si>
    <t>171S23000000030000</t>
  </si>
  <si>
    <t>9823 SIERRA GATEWAY</t>
  </si>
  <si>
    <t>45.63</t>
  </si>
  <si>
    <t>4418</t>
  </si>
  <si>
    <t>210000</t>
  </si>
  <si>
    <t>JAX FCU</t>
  </si>
  <si>
    <t>19250.00</t>
  </si>
  <si>
    <t>CREDIT UNION</t>
  </si>
  <si>
    <t>09/01/2013</t>
  </si>
  <si>
    <t>WIGHTMAN MARK &amp; JANNETTE</t>
  </si>
  <si>
    <t>8549 WALDEN R</t>
  </si>
  <si>
    <t>32244</t>
  </si>
  <si>
    <t>PT OF NW1/4</t>
  </si>
  <si>
    <t>1296</t>
  </si>
  <si>
    <t>2707.21</t>
  </si>
  <si>
    <t>07/03/2012</t>
  </si>
  <si>
    <t>17-1S-23-0000-0003-0030</t>
  </si>
  <si>
    <t>1032 SIERRA WOODS RD</t>
  </si>
  <si>
    <t>10.50</t>
  </si>
  <si>
    <t>2658</t>
  </si>
  <si>
    <t>127100</t>
  </si>
  <si>
    <t>PENTAGON FCU</t>
  </si>
  <si>
    <t>STAND ALONE SECOND</t>
  </si>
  <si>
    <t>09/14/2012</t>
  </si>
  <si>
    <t>BRANNAN RONNIE &amp;</t>
  </si>
  <si>
    <t>1032 SIERRA WOODS R</t>
  </si>
  <si>
    <t>3061.79</t>
  </si>
  <si>
    <t>17-1S-23-0270-0004-0000</t>
  </si>
  <si>
    <t>171S23027000040000</t>
  </si>
  <si>
    <t>1328 COUNTRYSIDE ACRES AVE</t>
  </si>
  <si>
    <t>1.68</t>
  </si>
  <si>
    <t>1850</t>
  </si>
  <si>
    <t>16000</t>
  </si>
  <si>
    <t>1998</t>
  </si>
  <si>
    <t>15700.00</t>
  </si>
  <si>
    <t>05/06/1998</t>
  </si>
  <si>
    <t>04/15/2013</t>
  </si>
  <si>
    <t>EDENFIELD CLAYTON A</t>
  </si>
  <si>
    <t>1328 COUNTRYSIDE ACRES A</t>
  </si>
  <si>
    <t>61</t>
  </si>
  <si>
    <t>490.44</t>
  </si>
  <si>
    <t>510.26</t>
  </si>
  <si>
    <t>1298</t>
  </si>
  <si>
    <t>570.61</t>
  </si>
  <si>
    <t>142</t>
  </si>
  <si>
    <t>619.50</t>
  </si>
  <si>
    <t>02/21/2012</t>
  </si>
  <si>
    <t>626.05</t>
  </si>
  <si>
    <t>17-1S-23-0270-0011-0000</t>
  </si>
  <si>
    <t>171S23027000110000</t>
  </si>
  <si>
    <t>1540 COUNTRYSIDE ACRES AV</t>
  </si>
  <si>
    <t>1.98</t>
  </si>
  <si>
    <t>2184</t>
  </si>
  <si>
    <t>14000</t>
  </si>
  <si>
    <t>2000</t>
  </si>
  <si>
    <t>GORDON JEAN &amp;</t>
  </si>
  <si>
    <t>6796 COUNTY ROAD 11</t>
  </si>
  <si>
    <t>LOT 11</t>
  </si>
  <si>
    <t>63</t>
  </si>
  <si>
    <t>1184.22</t>
  </si>
  <si>
    <t>1168.32</t>
  </si>
  <si>
    <t>11/07/2017</t>
  </si>
  <si>
    <t>446.15</t>
  </si>
  <si>
    <t>4.25</t>
  </si>
  <si>
    <t>12/09/2016</t>
  </si>
  <si>
    <t>382.28</t>
  </si>
  <si>
    <t>01/29/2016</t>
  </si>
  <si>
    <t>483.83</t>
  </si>
  <si>
    <t>02/20/2015</t>
  </si>
  <si>
    <t>1300</t>
  </si>
  <si>
    <t>441.07</t>
  </si>
  <si>
    <t>04/01/2014</t>
  </si>
  <si>
    <t>144</t>
  </si>
  <si>
    <t>526.78</t>
  </si>
  <si>
    <t>04/01/2013</t>
  </si>
  <si>
    <t>140</t>
  </si>
  <si>
    <t>559.73</t>
  </si>
  <si>
    <t>03/30/2012</t>
  </si>
  <si>
    <t>17-1S-23-0270-0012-0000</t>
  </si>
  <si>
    <t>171S23027000120000</t>
  </si>
  <si>
    <t>1582 COUNTRYSIDE ACRES AVE</t>
  </si>
  <si>
    <t>3.01</t>
  </si>
  <si>
    <t>1552</t>
  </si>
  <si>
    <t>16500</t>
  </si>
  <si>
    <t>SHROWDER JAMES WADE &amp;</t>
  </si>
  <si>
    <t>1582 COUNTRYSIDE ACRES AV</t>
  </si>
  <si>
    <t>LOT 12</t>
  </si>
  <si>
    <t>64</t>
  </si>
  <si>
    <t>514.47</t>
  </si>
  <si>
    <t>520.17</t>
  </si>
  <si>
    <t>47</t>
  </si>
  <si>
    <t>519.27</t>
  </si>
  <si>
    <t>577.49</t>
  </si>
  <si>
    <t>593.92</t>
  </si>
  <si>
    <t>03/27/2015</t>
  </si>
  <si>
    <t>1301</t>
  </si>
  <si>
    <t>543.58</t>
  </si>
  <si>
    <t>03/14/2014</t>
  </si>
  <si>
    <t>145</t>
  </si>
  <si>
    <t>584.31</t>
  </si>
  <si>
    <t>05/23/2013</t>
  </si>
  <si>
    <t>141</t>
  </si>
  <si>
    <t>630.61</t>
  </si>
  <si>
    <t>02/14/2012</t>
  </si>
  <si>
    <t>19-1S-23-0000-0005-0050</t>
  </si>
  <si>
    <t>191S23000000050050</t>
  </si>
  <si>
    <t>631 PEACE LILY LN</t>
  </si>
  <si>
    <t>1.03</t>
  </si>
  <si>
    <t>2409</t>
  </si>
  <si>
    <t>1993</t>
  </si>
  <si>
    <t>MEEKS-JOHNSON SARA MELANIE</t>
  </si>
  <si>
    <t>631 PEACELILY LAN</t>
  </si>
  <si>
    <t>PT OF GOVT LOT 3</t>
  </si>
  <si>
    <t>1249.25</t>
  </si>
  <si>
    <t>10/20/2016</t>
  </si>
  <si>
    <t>1241.17</t>
  </si>
  <si>
    <t>1200.82</t>
  </si>
  <si>
    <t>05/16/2014</t>
  </si>
  <si>
    <t>148</t>
  </si>
  <si>
    <t>1332.69</t>
  </si>
  <si>
    <t>04/16/2012</t>
  </si>
  <si>
    <t>33-1S-23-0000-0003-0000</t>
  </si>
  <si>
    <t>331S23000000030000</t>
  </si>
  <si>
    <t>8035 WILDCAT WAY</t>
  </si>
  <si>
    <t>6966</t>
  </si>
  <si>
    <t>H &amp; R BLOCK MORTGAGE CORP</t>
  </si>
  <si>
    <t>233750.00</t>
  </si>
  <si>
    <t>07/01/2034</t>
  </si>
  <si>
    <t>8035 WILDCAT LAND TRUST</t>
  </si>
  <si>
    <t>Complicated Owner</t>
  </si>
  <si>
    <t>8035 WILDCAT LAND TRUST3658 BLUEBERRY L</t>
  </si>
  <si>
    <t>PT GOVT LOT 4 OF SEC 33-1S-23E</t>
  </si>
  <si>
    <t>1360.54</t>
  </si>
  <si>
    <t>1390.97</t>
  </si>
  <si>
    <t>1543.71</t>
  </si>
  <si>
    <t>05/02/2014</t>
  </si>
  <si>
    <t>1984</t>
  </si>
  <si>
    <t>1594.58</t>
  </si>
  <si>
    <t>3283</t>
  </si>
  <si>
    <t>2941.23</t>
  </si>
  <si>
    <t>2874.53</t>
  </si>
  <si>
    <t>03/01/2012</t>
  </si>
  <si>
    <t>33-1S-23-0000-0005-0010</t>
  </si>
  <si>
    <t>331S23000000050010</t>
  </si>
  <si>
    <t>6654 CR 121</t>
  </si>
  <si>
    <t>1.82</t>
  </si>
  <si>
    <t>GREEN TREE FINANCIAL CORP</t>
  </si>
  <si>
    <t>55092.00</t>
  </si>
  <si>
    <t>Funding/Finance Company</t>
  </si>
  <si>
    <t>08/25/1999</t>
  </si>
  <si>
    <t>MANSER JACK</t>
  </si>
  <si>
    <t>6654 COUNTY ROAD 12</t>
  </si>
  <si>
    <t>IN OR 896/1470</t>
  </si>
  <si>
    <t>266.18</t>
  </si>
  <si>
    <t>02/16/2016</t>
  </si>
  <si>
    <t>366.54</t>
  </si>
  <si>
    <t>426.32</t>
  </si>
  <si>
    <t>37-1S-23-0000-0006-0020</t>
  </si>
  <si>
    <t>371S23000000060020</t>
  </si>
  <si>
    <t>6914 CR 121</t>
  </si>
  <si>
    <t>3.90</t>
  </si>
  <si>
    <t>10500</t>
  </si>
  <si>
    <t>LAMPRECHT FRED WILLIAM</t>
  </si>
  <si>
    <t>6914 COUNTY ROAD 12</t>
  </si>
  <si>
    <t>IN OR 654 PG 961</t>
  </si>
  <si>
    <t>70</t>
  </si>
  <si>
    <t>302.14</t>
  </si>
  <si>
    <t>01/04/2018</t>
  </si>
  <si>
    <t>271.70</t>
  </si>
  <si>
    <t>04/24/2015</t>
  </si>
  <si>
    <t>317.39</t>
  </si>
  <si>
    <t>06/13/2013</t>
  </si>
  <si>
    <t>3232</t>
  </si>
  <si>
    <t>239.17</t>
  </si>
  <si>
    <t>07/31/2012</t>
  </si>
  <si>
    <t>02-2N-23-0000-0002-0000</t>
  </si>
  <si>
    <t>022N23-00000002-0000</t>
  </si>
  <si>
    <t>4489 CR 108</t>
  </si>
  <si>
    <t>17.27</t>
  </si>
  <si>
    <t>3845</t>
  </si>
  <si>
    <t>170000</t>
  </si>
  <si>
    <t xml:space="preserve"> ALIVE CU</t>
  </si>
  <si>
    <t>266663.00</t>
  </si>
  <si>
    <t>HELOC</t>
  </si>
  <si>
    <t>09/08/2015</t>
  </si>
  <si>
    <t>MCDANIEL LONNIE J &amp; KIMBERLY L</t>
  </si>
  <si>
    <t>4489 CR 10</t>
  </si>
  <si>
    <t>PT SW1/4 OF NE1/4 OF</t>
  </si>
  <si>
    <t>3818.50</t>
  </si>
  <si>
    <t>10/10/2017</t>
  </si>
  <si>
    <t>3916.68</t>
  </si>
  <si>
    <t>02-2N-23-0000-0005-0030</t>
  </si>
  <si>
    <t>022N23000000050030</t>
  </si>
  <si>
    <t>SMITH RD</t>
  </si>
  <si>
    <t>3.88</t>
  </si>
  <si>
    <t>4700</t>
  </si>
  <si>
    <t>1991</t>
  </si>
  <si>
    <t>AFSHAR JAMES</t>
  </si>
  <si>
    <t>400 MERAVAN C</t>
  </si>
  <si>
    <t>Palm Harbor</t>
  </si>
  <si>
    <t>34683</t>
  </si>
  <si>
    <t>PT OF NW1/4 OF SW1/4</t>
  </si>
  <si>
    <t>73</t>
  </si>
  <si>
    <t>542.32</t>
  </si>
  <si>
    <t>549.84</t>
  </si>
  <si>
    <t>06/20/2016</t>
  </si>
  <si>
    <t>519.36</t>
  </si>
  <si>
    <t>492.76</t>
  </si>
  <si>
    <t>04/22/2015</t>
  </si>
  <si>
    <t>533.60</t>
  </si>
  <si>
    <t>07/22/2013</t>
  </si>
  <si>
    <t>639</t>
  </si>
  <si>
    <t>625.08</t>
  </si>
  <si>
    <t>6.75</t>
  </si>
  <si>
    <t>03-2N-23-0000-0005-0040</t>
  </si>
  <si>
    <t>032N23000000050040</t>
  </si>
  <si>
    <t>CR 121</t>
  </si>
  <si>
    <t>1.30</t>
  </si>
  <si>
    <t>ADAMS MARY RETHA L/E</t>
  </si>
  <si>
    <t>24892 CR 12</t>
  </si>
  <si>
    <t>PT OF E 1/2 OF SW 1/4</t>
  </si>
  <si>
    <t>75</t>
  </si>
  <si>
    <t>285.99</t>
  </si>
  <si>
    <t>08/28/2017</t>
  </si>
  <si>
    <t>161</t>
  </si>
  <si>
    <t>339.77</t>
  </si>
  <si>
    <t>06/03/2011</t>
  </si>
  <si>
    <t>03-2N-23-0000-0007-0000</t>
  </si>
  <si>
    <t>032N23000000070000</t>
  </si>
  <si>
    <t>24892 CR 121</t>
  </si>
  <si>
    <t>TIMBERLAND NON-CLASS</t>
  </si>
  <si>
    <t>16.04</t>
  </si>
  <si>
    <t>AMERICAS WHOLESALE LENDER</t>
  </si>
  <si>
    <t>60700.00</t>
  </si>
  <si>
    <t>05/04/1995</t>
  </si>
  <si>
    <t>PT OF N1/2 OF SW1/4</t>
  </si>
  <si>
    <t>407.57</t>
  </si>
  <si>
    <t>03-2N-23-0000-0007-0030</t>
  </si>
  <si>
    <t>1.83</t>
  </si>
  <si>
    <t>27000</t>
  </si>
  <si>
    <t>FLORIDA FEDERAL LAND BANK ASSOC FLCA</t>
  </si>
  <si>
    <t>131250.00</t>
  </si>
  <si>
    <t>LENDING INSTITUTION</t>
  </si>
  <si>
    <t>ADAMS MARK WESLEY</t>
  </si>
  <si>
    <t>PT NW1/4 OF SW1/4 OF</t>
  </si>
  <si>
    <t>77</t>
  </si>
  <si>
    <t>84.36</t>
  </si>
  <si>
    <t>12/29/2017</t>
  </si>
  <si>
    <t>03-2N-23-0000-0007-0050</t>
  </si>
  <si>
    <t>25014 CR 121</t>
  </si>
  <si>
    <t>Parcel Split</t>
  </si>
  <si>
    <t>1.80</t>
  </si>
  <si>
    <t>1152</t>
  </si>
  <si>
    <t>FOURNIER LORAINE L/E</t>
  </si>
  <si>
    <t>25014 CR 12</t>
  </si>
  <si>
    <t>78</t>
  </si>
  <si>
    <t>580.34</t>
  </si>
  <si>
    <t>03-2N-23-0000-0007-0060</t>
  </si>
  <si>
    <t>3.96</t>
  </si>
  <si>
    <t>79</t>
  </si>
  <si>
    <t>36.64</t>
  </si>
  <si>
    <t>03-2N-23-0000-0007-0080</t>
  </si>
  <si>
    <t>032N23000000070080</t>
  </si>
  <si>
    <t>24892 COUNTY ROAD 12</t>
  </si>
  <si>
    <t>PT OR 706/411 &amp; PT OR 890/775</t>
  </si>
  <si>
    <t>80</t>
  </si>
  <si>
    <t>558.26</t>
  </si>
  <si>
    <t>566.15</t>
  </si>
  <si>
    <t>09/07/2016</t>
  </si>
  <si>
    <t>65</t>
  </si>
  <si>
    <t>507.32</t>
  </si>
  <si>
    <t>164</t>
  </si>
  <si>
    <t>716.79</t>
  </si>
  <si>
    <t>7.75</t>
  </si>
  <si>
    <t>09-2N-23-0000-0002-0000</t>
  </si>
  <si>
    <t>092N23000000020000</t>
  </si>
  <si>
    <t>2496 SIKES DR</t>
  </si>
  <si>
    <t>2974</t>
  </si>
  <si>
    <t>FIRST UNION NATL BK</t>
  </si>
  <si>
    <t>41370.00</t>
  </si>
  <si>
    <t>04/29/1993</t>
  </si>
  <si>
    <t>HARRIS SHERRI SIKES</t>
  </si>
  <si>
    <t>2496 SIKES DRIV</t>
  </si>
  <si>
    <t>IN OR 1490/561</t>
  </si>
  <si>
    <t>1459.25</t>
  </si>
  <si>
    <t>06/25/2014</t>
  </si>
  <si>
    <t>990</t>
  </si>
  <si>
    <t>1561.21</t>
  </si>
  <si>
    <t>12/07/2012</t>
  </si>
  <si>
    <t>169</t>
  </si>
  <si>
    <t>2234.72</t>
  </si>
  <si>
    <t>09-2N-23-0000-0003-0000</t>
  </si>
  <si>
    <t>092N23000000030000</t>
  </si>
  <si>
    <t>SIKES DR</t>
  </si>
  <si>
    <t>174.00</t>
  </si>
  <si>
    <t>M G &amp; D D HIGGINBOTHAM</t>
  </si>
  <si>
    <t>60000.00</t>
  </si>
  <si>
    <t>Other</t>
  </si>
  <si>
    <t>12/20/2011</t>
  </si>
  <si>
    <t>DEGARMO KEEGHAN</t>
  </si>
  <si>
    <t>13241 LIAHONA L</t>
  </si>
  <si>
    <t>32225</t>
  </si>
  <si>
    <t>IN OR 1889/1240</t>
  </si>
  <si>
    <t>987.87</t>
  </si>
  <si>
    <t>02/07/2017</t>
  </si>
  <si>
    <t>949.98</t>
  </si>
  <si>
    <t>66</t>
  </si>
  <si>
    <t>890.40</t>
  </si>
  <si>
    <t>3.25</t>
  </si>
  <si>
    <t>12/06/2013</t>
  </si>
  <si>
    <t>170</t>
  </si>
  <si>
    <t>905.63</t>
  </si>
  <si>
    <t>12/19/2011</t>
  </si>
  <si>
    <t>154</t>
  </si>
  <si>
    <t>923.54</t>
  </si>
  <si>
    <t>09-2N-23-0000-0005-0000</t>
  </si>
  <si>
    <t>092N23000000050000</t>
  </si>
  <si>
    <t>RUBY LN</t>
  </si>
  <si>
    <t>0.79</t>
  </si>
  <si>
    <t>165000</t>
  </si>
  <si>
    <t>1979</t>
  </si>
  <si>
    <t>MANGES HARRY E</t>
  </si>
  <si>
    <t>2303 SLIPPERY ROCK CIRCL</t>
  </si>
  <si>
    <t>Blackshear</t>
  </si>
  <si>
    <t>Georgia</t>
  </si>
  <si>
    <t>31516</t>
  </si>
  <si>
    <t>PARCEL 5 (EX 5-2 THRU 5-6)</t>
  </si>
  <si>
    <t>184.38</t>
  </si>
  <si>
    <t>14.50</t>
  </si>
  <si>
    <t>175.90</t>
  </si>
  <si>
    <t>17.50</t>
  </si>
  <si>
    <t>03/28/2018</t>
  </si>
  <si>
    <t>157.03</t>
  </si>
  <si>
    <t>02/21/2017</t>
  </si>
  <si>
    <t>149.81</t>
  </si>
  <si>
    <t>03/24/2016</t>
  </si>
  <si>
    <t>170.82</t>
  </si>
  <si>
    <t>16.75</t>
  </si>
  <si>
    <t>02/24/2015</t>
  </si>
  <si>
    <t>991</t>
  </si>
  <si>
    <t>191.73</t>
  </si>
  <si>
    <t>02/20/2014</t>
  </si>
  <si>
    <t>171</t>
  </si>
  <si>
    <t>211.58</t>
  </si>
  <si>
    <t>02/27/2013</t>
  </si>
  <si>
    <t>156</t>
  </si>
  <si>
    <t>250.29</t>
  </si>
  <si>
    <t>10-2N-23-0000-0003-0010</t>
  </si>
  <si>
    <t>3364 JESSIE RD</t>
  </si>
  <si>
    <t>CANADAY ARTHUR L &amp;</t>
  </si>
  <si>
    <t>3364 JESSIE R</t>
  </si>
  <si>
    <t>IN OR 1073/1943</t>
  </si>
  <si>
    <t>505.02</t>
  </si>
  <si>
    <t>10-2N-23-0000-0007-0000</t>
  </si>
  <si>
    <t>102N23000000070000</t>
  </si>
  <si>
    <t>24355 CR 121</t>
  </si>
  <si>
    <t>1816</t>
  </si>
  <si>
    <t>DYAL KENNETH MYRON</t>
  </si>
  <si>
    <t>24355 COUNTY ROAD 12</t>
  </si>
  <si>
    <t>PT OF N1/2 OF NW1/4</t>
  </si>
  <si>
    <t>84</t>
  </si>
  <si>
    <t>2073.21</t>
  </si>
  <si>
    <t>2123.64</t>
  </si>
  <si>
    <t>02/27/2018</t>
  </si>
  <si>
    <t>1971.43</t>
  </si>
  <si>
    <t>74</t>
  </si>
  <si>
    <t>1785.86</t>
  </si>
  <si>
    <t>02/12/2016</t>
  </si>
  <si>
    <t>174</t>
  </si>
  <si>
    <t>647.44</t>
  </si>
  <si>
    <t>06/24/2011</t>
  </si>
  <si>
    <t>10-2N-23-0000-0008-0000</t>
  </si>
  <si>
    <t>102N23000000080000</t>
  </si>
  <si>
    <t>13.72</t>
  </si>
  <si>
    <t xml:space="preserve"> COAST BANK OF FLORIDA</t>
  </si>
  <si>
    <t>138000.00</t>
  </si>
  <si>
    <t>04/24/2003</t>
  </si>
  <si>
    <t>DYAL KENNETH</t>
  </si>
  <si>
    <t>PT N1/2 OF NW1/4 OF</t>
  </si>
  <si>
    <t>85</t>
  </si>
  <si>
    <t>1279.79</t>
  </si>
  <si>
    <t>68</t>
  </si>
  <si>
    <t>1305.22</t>
  </si>
  <si>
    <t>1194.46</t>
  </si>
  <si>
    <t>1131.76</t>
  </si>
  <si>
    <t>175</t>
  </si>
  <si>
    <t>1564.92</t>
  </si>
  <si>
    <t>10-2N-23-0000-0008-0060</t>
  </si>
  <si>
    <t>102N23000000080060</t>
  </si>
  <si>
    <t>ROY SIKES RD</t>
  </si>
  <si>
    <t xml:space="preserve"> SOUTHEASTERN BANK</t>
  </si>
  <si>
    <t>13000.00</t>
  </si>
  <si>
    <t>05/23/2005</t>
  </si>
  <si>
    <t>DYAL KENNETH M</t>
  </si>
  <si>
    <t>24412 CR 12</t>
  </si>
  <si>
    <t>338.27</t>
  </si>
  <si>
    <t>325.51</t>
  </si>
  <si>
    <t>281.78</t>
  </si>
  <si>
    <t>9.50</t>
  </si>
  <si>
    <t>254.95</t>
  </si>
  <si>
    <t>176</t>
  </si>
  <si>
    <t>334.73</t>
  </si>
  <si>
    <t>10-2N-23-0000-0013-0000</t>
  </si>
  <si>
    <t>25012 WILSON CARROLL LN</t>
  </si>
  <si>
    <t>55</t>
  </si>
  <si>
    <t>TIMBERLAND 80-89</t>
  </si>
  <si>
    <t>7.19</t>
  </si>
  <si>
    <t>1231</t>
  </si>
  <si>
    <t>CARROLL WOODROW W &amp;</t>
  </si>
  <si>
    <t>25012 WILSON CARROLL LAN</t>
  </si>
  <si>
    <t>IN OR 1605/369</t>
  </si>
  <si>
    <t>10-2N-23-0000-0015-0020</t>
  </si>
  <si>
    <t>102N23000000150020</t>
  </si>
  <si>
    <t>2744 SIKES DR</t>
  </si>
  <si>
    <t>7.92</t>
  </si>
  <si>
    <t>644</t>
  </si>
  <si>
    <t>96900</t>
  </si>
  <si>
    <t>COUNTRY FCU</t>
  </si>
  <si>
    <t>40000.00</t>
  </si>
  <si>
    <t>06/01/2025</t>
  </si>
  <si>
    <t>ANDERSON JOSEPH M &amp; BILLIE JO</t>
  </si>
  <si>
    <t>PO BOX 187</t>
  </si>
  <si>
    <t>PT OF SW1/4</t>
  </si>
  <si>
    <t>179</t>
  </si>
  <si>
    <t>1447.51</t>
  </si>
  <si>
    <t>03/29/2012</t>
  </si>
  <si>
    <t>1692.65</t>
  </si>
  <si>
    <t>01/04/2011</t>
  </si>
  <si>
    <t>11-2N-23-0000-0005-0020</t>
  </si>
  <si>
    <t>23356 SMITH RD N</t>
  </si>
  <si>
    <t>3.30</t>
  </si>
  <si>
    <t>2280</t>
  </si>
  <si>
    <t>FNB SOUTH</t>
  </si>
  <si>
    <t>69895.00</t>
  </si>
  <si>
    <t>12/04/2021</t>
  </si>
  <si>
    <t>REID JUSTIN SCOT &amp; KRISTEN L</t>
  </si>
  <si>
    <t>3307 RIVER R</t>
  </si>
  <si>
    <t>PT GOVT LOTS 3 &amp; 4 OF</t>
  </si>
  <si>
    <t>13-2N-23-0000-0002-0000</t>
  </si>
  <si>
    <t>132N23000000020000</t>
  </si>
  <si>
    <t>RIVER RD</t>
  </si>
  <si>
    <t>160.00</t>
  </si>
  <si>
    <t>75000</t>
  </si>
  <si>
    <t>PRIVATE INDIVIDUAL</t>
  </si>
  <si>
    <t>0.00</t>
  </si>
  <si>
    <t>PRIVATE PARTY LENDER</t>
  </si>
  <si>
    <t>01/10/2003</t>
  </si>
  <si>
    <t>RNHJ HOLDINGS INC</t>
  </si>
  <si>
    <t>PO BOX 45</t>
  </si>
  <si>
    <t>S1/2 OF S1/2</t>
  </si>
  <si>
    <t>91</t>
  </si>
  <si>
    <t>711.01</t>
  </si>
  <si>
    <t>592.27</t>
  </si>
  <si>
    <t>07/17/2015</t>
  </si>
  <si>
    <t>399.13</t>
  </si>
  <si>
    <t>1172</t>
  </si>
  <si>
    <t>397.73</t>
  </si>
  <si>
    <t>15-2N-23-0000-0005-0270</t>
  </si>
  <si>
    <t>152N23-00000005-0270</t>
  </si>
  <si>
    <t>0/2</t>
  </si>
  <si>
    <t>23291 CR 121</t>
  </si>
  <si>
    <t>8.43</t>
  </si>
  <si>
    <t>3016</t>
  </si>
  <si>
    <t>60000</t>
  </si>
  <si>
    <t>1982</t>
  </si>
  <si>
    <t>WHITFIELD MARIE I CACERES</t>
  </si>
  <si>
    <t>23291 COUNTY ROAD 12</t>
  </si>
  <si>
    <t>PT OF E1/2 OF NW1/4</t>
  </si>
  <si>
    <t>1737.61</t>
  </si>
  <si>
    <t>1762.61</t>
  </si>
  <si>
    <t>15-2N-23-0000-0006-0020</t>
  </si>
  <si>
    <t>152N23000000060020</t>
  </si>
  <si>
    <t>22090 CREWS RD</t>
  </si>
  <si>
    <t>4.14</t>
  </si>
  <si>
    <t>910</t>
  </si>
  <si>
    <t>40000</t>
  </si>
  <si>
    <t>CASTLEBERRY MARVIN C JR &amp;</t>
  </si>
  <si>
    <t>22090 CREWS R</t>
  </si>
  <si>
    <t>IN OR 680/711   R673246</t>
  </si>
  <si>
    <t>93</t>
  </si>
  <si>
    <t>388.23</t>
  </si>
  <si>
    <t>385.44</t>
  </si>
  <si>
    <t>02/21/2018</t>
  </si>
  <si>
    <t>349.03</t>
  </si>
  <si>
    <t>81</t>
  </si>
  <si>
    <t>369.89</t>
  </si>
  <si>
    <t>401.72</t>
  </si>
  <si>
    <t>02/06/2015</t>
  </si>
  <si>
    <t>1226</t>
  </si>
  <si>
    <t>461.01</t>
  </si>
  <si>
    <t>185</t>
  </si>
  <si>
    <t>499.01</t>
  </si>
  <si>
    <t>02/10/2012</t>
  </si>
  <si>
    <t>168</t>
  </si>
  <si>
    <t>593.03</t>
  </si>
  <si>
    <t>11/03/2010</t>
  </si>
  <si>
    <t>15-2N-23-0000-0006-0040</t>
  </si>
  <si>
    <t>152N23000000060040</t>
  </si>
  <si>
    <t>4/7</t>
  </si>
  <si>
    <t>2638 FOLLY LN</t>
  </si>
  <si>
    <t>1.33</t>
  </si>
  <si>
    <t>1989</t>
  </si>
  <si>
    <t>BURNSED JAMES F &amp; CHERYL O</t>
  </si>
  <si>
    <t>2562 FOLLY LAN</t>
  </si>
  <si>
    <t>PT OF OR 578 PG 921</t>
  </si>
  <si>
    <t>335.32</t>
  </si>
  <si>
    <t>337.97</t>
  </si>
  <si>
    <t>317.17</t>
  </si>
  <si>
    <t>323.35</t>
  </si>
  <si>
    <t>08/28/2014</t>
  </si>
  <si>
    <t>360.38</t>
  </si>
  <si>
    <t>05/30/2014</t>
  </si>
  <si>
    <t>1227</t>
  </si>
  <si>
    <t>404.04</t>
  </si>
  <si>
    <t>186</t>
  </si>
  <si>
    <t>439.66</t>
  </si>
  <si>
    <t>02/26/2014</t>
  </si>
  <si>
    <t>506.55</t>
  </si>
  <si>
    <t>06/21/2010</t>
  </si>
  <si>
    <t>15-2N-23-0000-0006-0080</t>
  </si>
  <si>
    <t>152N23000000060080</t>
  </si>
  <si>
    <t>2691 FOLLY LN</t>
  </si>
  <si>
    <t>1892</t>
  </si>
  <si>
    <t>62000</t>
  </si>
  <si>
    <t>CASTLEBERRY MARVIN C</t>
  </si>
  <si>
    <t>2691 FOLLY LAN</t>
  </si>
  <si>
    <t>PT OR 835/1051</t>
  </si>
  <si>
    <t>95</t>
  </si>
  <si>
    <t>1061.12</t>
  </si>
  <si>
    <t>1074.45</t>
  </si>
  <si>
    <t>1066.80</t>
  </si>
  <si>
    <t>01/10/2017</t>
  </si>
  <si>
    <t>1001.26</t>
  </si>
  <si>
    <t>02/19/2016</t>
  </si>
  <si>
    <t>997.16</t>
  </si>
  <si>
    <t>1228</t>
  </si>
  <si>
    <t>962.69</t>
  </si>
  <si>
    <t>02/27/2014</t>
  </si>
  <si>
    <t>187</t>
  </si>
  <si>
    <t>942.40</t>
  </si>
  <si>
    <t>02/19/2013</t>
  </si>
  <si>
    <t>15-2N-23-0000-0006-0100</t>
  </si>
  <si>
    <t>152N23000000060100</t>
  </si>
  <si>
    <t>22246 CREWS RD</t>
  </si>
  <si>
    <t>5.84</t>
  </si>
  <si>
    <t>2411</t>
  </si>
  <si>
    <t>42000</t>
  </si>
  <si>
    <t>1997</t>
  </si>
  <si>
    <t>94976.00</t>
  </si>
  <si>
    <t>08/13/2014</t>
  </si>
  <si>
    <t>BEAUDRY ROBERT &amp; DONNA E</t>
  </si>
  <si>
    <t>PO BOX 11</t>
  </si>
  <si>
    <t>PT OR 781/1513</t>
  </si>
  <si>
    <t>1202.23</t>
  </si>
  <si>
    <t>1228.17</t>
  </si>
  <si>
    <t>08/19/2015</t>
  </si>
  <si>
    <t>1259.71</t>
  </si>
  <si>
    <t>08/07/2014</t>
  </si>
  <si>
    <t>1347.32</t>
  </si>
  <si>
    <t>09/30/2013</t>
  </si>
  <si>
    <t>1229</t>
  </si>
  <si>
    <t>1431.84</t>
  </si>
  <si>
    <t>188</t>
  </si>
  <si>
    <t>1554.48</t>
  </si>
  <si>
    <t>15-2N-23-0000-0006-0120</t>
  </si>
  <si>
    <t>22330 CREWS RD</t>
  </si>
  <si>
    <t>1.26</t>
  </si>
  <si>
    <t>METRO NORTH FEDERAL CREDIT UNION</t>
  </si>
  <si>
    <t>21000.00</t>
  </si>
  <si>
    <t>01/01/2020</t>
  </si>
  <si>
    <t>WALKER JASON M &amp; CHRISTY M</t>
  </si>
  <si>
    <t>22342 CREWS ROA</t>
  </si>
  <si>
    <t>PT OF NW1/4 OF NW1/4</t>
  </si>
  <si>
    <t>15-2N-23-0000-0007-0000</t>
  </si>
  <si>
    <t>152N23000000070000</t>
  </si>
  <si>
    <t>21964 CREWS RD</t>
  </si>
  <si>
    <t>55500</t>
  </si>
  <si>
    <t>WELLS FARGO BANK NA</t>
  </si>
  <si>
    <t>66400.00</t>
  </si>
  <si>
    <t>BUILDING OR CONSTRUCTION LOAN</t>
  </si>
  <si>
    <t>07/19/2004</t>
  </si>
  <si>
    <t>11/01/2034</t>
  </si>
  <si>
    <t>NAYLOR GREGORY R &amp; ELIZABETH D</t>
  </si>
  <si>
    <t>21964 CREWS R</t>
  </si>
  <si>
    <t>SW1/4 OF NW1/4</t>
  </si>
  <si>
    <t>937.27</t>
  </si>
  <si>
    <t>08/26/2013</t>
  </si>
  <si>
    <t>15-2N-23-0000-0008-0000</t>
  </si>
  <si>
    <t>152N23000000080000</t>
  </si>
  <si>
    <t>22870 CR 121</t>
  </si>
  <si>
    <t>Commercial Hazardous Waste Handlers</t>
  </si>
  <si>
    <t>0.95</t>
  </si>
  <si>
    <t>2018</t>
  </si>
  <si>
    <t>MILLIKIN PATRICIA A</t>
  </si>
  <si>
    <t>22928 CR 12</t>
  </si>
  <si>
    <t>SW1/4 (EX 8-10)</t>
  </si>
  <si>
    <t>663.57</t>
  </si>
  <si>
    <t>997.02</t>
  </si>
  <si>
    <t>189</t>
  </si>
  <si>
    <t>1046.47</t>
  </si>
  <si>
    <t>11/21/2011</t>
  </si>
  <si>
    <t>1780.08</t>
  </si>
  <si>
    <t>02/28/2011</t>
  </si>
  <si>
    <t>15-2N-23-0000-0008-0100</t>
  </si>
  <si>
    <t>152N23-00000008-0100</t>
  </si>
  <si>
    <t>22866 CR 121</t>
  </si>
  <si>
    <t>0.99</t>
  </si>
  <si>
    <t>ROWELL DAPHNE M</t>
  </si>
  <si>
    <t>22864 CR 12</t>
  </si>
  <si>
    <t>CASE #45-2011-CP-000289</t>
  </si>
  <si>
    <t>322.45</t>
  </si>
  <si>
    <t>11/27/2016</t>
  </si>
  <si>
    <t>15-2N-23-0000-0009-0110</t>
  </si>
  <si>
    <t>152N23000000090110</t>
  </si>
  <si>
    <t>22717 CR 121</t>
  </si>
  <si>
    <t>1402</t>
  </si>
  <si>
    <t>AMERIQUEST MORTGAGE CO</t>
  </si>
  <si>
    <t>66500.00</t>
  </si>
  <si>
    <t>SUBPRIME LENDER</t>
  </si>
  <si>
    <t>FANNIE MAE/FREDDIE MAC</t>
  </si>
  <si>
    <t>06/01/2035</t>
  </si>
  <si>
    <t>WILSON DAVID</t>
  </si>
  <si>
    <t>646 N BROAD S</t>
  </si>
  <si>
    <t>Grove City</t>
  </si>
  <si>
    <t>Pennsylvania</t>
  </si>
  <si>
    <t>16217</t>
  </si>
  <si>
    <t>PT OF SW1/4 OF SEC 15-2N-23E</t>
  </si>
  <si>
    <t>98</t>
  </si>
  <si>
    <t>465.27</t>
  </si>
  <si>
    <t>455.35</t>
  </si>
  <si>
    <t>585.13</t>
  </si>
  <si>
    <t>630.30</t>
  </si>
  <si>
    <t>16-2N-23-0000-0001-0110</t>
  </si>
  <si>
    <t>162N23000000010110</t>
  </si>
  <si>
    <t>0.86</t>
  </si>
  <si>
    <t>58620.00</t>
  </si>
  <si>
    <t>05/29/1998</t>
  </si>
  <si>
    <t>198.34</t>
  </si>
  <si>
    <t>175.81</t>
  </si>
  <si>
    <t>11/30/2015</t>
  </si>
  <si>
    <t>88</t>
  </si>
  <si>
    <t>161.13</t>
  </si>
  <si>
    <t>183.99</t>
  </si>
  <si>
    <t>1272</t>
  </si>
  <si>
    <t>207.50</t>
  </si>
  <si>
    <t>194</t>
  </si>
  <si>
    <t>229.17</t>
  </si>
  <si>
    <t>173</t>
  </si>
  <si>
    <t>271.41</t>
  </si>
  <si>
    <t>16-2N-23-0000-0001-0130</t>
  </si>
  <si>
    <t>162N23000000010130</t>
  </si>
  <si>
    <t>2595 CHOLERTON LN</t>
  </si>
  <si>
    <t>1.60</t>
  </si>
  <si>
    <t>1188</t>
  </si>
  <si>
    <t>PT OR 781 PG 1513</t>
  </si>
  <si>
    <t>1002.46</t>
  </si>
  <si>
    <t>840.00</t>
  </si>
  <si>
    <t>89</t>
  </si>
  <si>
    <t>808.18</t>
  </si>
  <si>
    <t>968.25</t>
  </si>
  <si>
    <t>1273</t>
  </si>
  <si>
    <t>1166.74</t>
  </si>
  <si>
    <t>195</t>
  </si>
  <si>
    <t>415.19</t>
  </si>
  <si>
    <t>16-2N-23-0000-0001-0160</t>
  </si>
  <si>
    <t>2449 CHOLERTON LN</t>
  </si>
  <si>
    <t>4.67</t>
  </si>
  <si>
    <t>Superior</t>
  </si>
  <si>
    <t>MASTERS RALPH R SR &amp; DIANE M</t>
  </si>
  <si>
    <t>2496 CHOLERTON L</t>
  </si>
  <si>
    <t>PT GOVT LOT 1 IN SEC 16-2N-23E</t>
  </si>
  <si>
    <t>101</t>
  </si>
  <si>
    <t>606.22</t>
  </si>
  <si>
    <t>16-2N-23-1850-0001-0000</t>
  </si>
  <si>
    <t>162N23185000010000</t>
  </si>
  <si>
    <t>CHOLERTON LN</t>
  </si>
  <si>
    <t>4.06</t>
  </si>
  <si>
    <t>LOT 1</t>
  </si>
  <si>
    <t>102</t>
  </si>
  <si>
    <t>566.24</t>
  </si>
  <si>
    <t>574.33</t>
  </si>
  <si>
    <t>542.43</t>
  </si>
  <si>
    <t>514.60</t>
  </si>
  <si>
    <t>519.08</t>
  </si>
  <si>
    <t>1274</t>
  </si>
  <si>
    <t>607.74</t>
  </si>
  <si>
    <t>196</t>
  </si>
  <si>
    <t>676.35</t>
  </si>
  <si>
    <t>9.00</t>
  </si>
  <si>
    <t>808.01</t>
  </si>
  <si>
    <t>12.25</t>
  </si>
  <si>
    <t>16-2N-23-1850-0002-0000</t>
  </si>
  <si>
    <t>162N23185000020000</t>
  </si>
  <si>
    <t>4.03</t>
  </si>
  <si>
    <t>LOT 2</t>
  </si>
  <si>
    <t>562.25</t>
  </si>
  <si>
    <t>570.25</t>
  </si>
  <si>
    <t>538.58</t>
  </si>
  <si>
    <t>510.94</t>
  </si>
  <si>
    <t>515.43</t>
  </si>
  <si>
    <t>1275</t>
  </si>
  <si>
    <t>603.38</t>
  </si>
  <si>
    <t>197</t>
  </si>
  <si>
    <t>671.43</t>
  </si>
  <si>
    <t>802.14</t>
  </si>
  <si>
    <t>16-2N-23-1850-0003-0000</t>
  </si>
  <si>
    <t>162N23185000030000</t>
  </si>
  <si>
    <t>4.29</t>
  </si>
  <si>
    <t>104</t>
  </si>
  <si>
    <t>596.78</t>
  </si>
  <si>
    <t>605.61</t>
  </si>
  <si>
    <t>571.90</t>
  </si>
  <si>
    <t>542.50</t>
  </si>
  <si>
    <t>547.24</t>
  </si>
  <si>
    <t>1276</t>
  </si>
  <si>
    <t>641.38</t>
  </si>
  <si>
    <t>198</t>
  </si>
  <si>
    <t>713.91</t>
  </si>
  <si>
    <t>853.09</t>
  </si>
  <si>
    <t>16-2N-23-1850-0004-0000</t>
  </si>
  <si>
    <t>162N23185000040000</t>
  </si>
  <si>
    <t>691.08</t>
  </si>
  <si>
    <t>702.21</t>
  </si>
  <si>
    <t>662.92</t>
  </si>
  <si>
    <t>628.64</t>
  </si>
  <si>
    <t>634.18</t>
  </si>
  <si>
    <t>1277</t>
  </si>
  <si>
    <t>745.22</t>
  </si>
  <si>
    <t>199</t>
  </si>
  <si>
    <t>829.92</t>
  </si>
  <si>
    <t>177</t>
  </si>
  <si>
    <t>992.31</t>
  </si>
  <si>
    <t>22-2N-23-0000-0002-0000</t>
  </si>
  <si>
    <t>222N23000000020000</t>
  </si>
  <si>
    <t>21967 CR 121</t>
  </si>
  <si>
    <t>ORNAMENTALS/MISC</t>
  </si>
  <si>
    <t>82.99</t>
  </si>
  <si>
    <t>FIRST FEDERAL BANK OF FLORIDA</t>
  </si>
  <si>
    <t>165000.00</t>
  </si>
  <si>
    <t>07/01/2047</t>
  </si>
  <si>
    <t>CONNER RICHARD</t>
  </si>
  <si>
    <t>14456 RUTH L</t>
  </si>
  <si>
    <t>S1/2 OF NE1/4 &amp;</t>
  </si>
  <si>
    <t>181</t>
  </si>
  <si>
    <t>592.72</t>
  </si>
  <si>
    <t>06/07/2010</t>
  </si>
  <si>
    <t>23-2N-23-0000-0001-0050</t>
  </si>
  <si>
    <t>232N23000000010050</t>
  </si>
  <si>
    <t>4548 RIVER RD</t>
  </si>
  <si>
    <t>10.64</t>
  </si>
  <si>
    <t>1581</t>
  </si>
  <si>
    <t>155000</t>
  </si>
  <si>
    <t xml:space="preserve"> FARMERS FCU</t>
  </si>
  <si>
    <t>112000.00</t>
  </si>
  <si>
    <t>05/28/2008</t>
  </si>
  <si>
    <t>ASHLEY CHRISTOPHER S &amp; SHANNON</t>
  </si>
  <si>
    <t>4548 RIVER ROA</t>
  </si>
  <si>
    <t>891.87</t>
  </si>
  <si>
    <t>06/11/2016</t>
  </si>
  <si>
    <t>1094.28</t>
  </si>
  <si>
    <t>06/17/2013</t>
  </si>
  <si>
    <t>517.24</t>
  </si>
  <si>
    <t>09/10/2012</t>
  </si>
  <si>
    <t>23-2N-23-1803-0005-0010</t>
  </si>
  <si>
    <t>232N23180300050010</t>
  </si>
  <si>
    <t>4359 RIVER RD</t>
  </si>
  <si>
    <t>HORNE CRAIG L &amp; LYDIA R</t>
  </si>
  <si>
    <t>4357 RIVER ROA</t>
  </si>
  <si>
    <t>PT OF LOT 5 (S-1)</t>
  </si>
  <si>
    <t>25-2N-23-0000-0002-0010</t>
  </si>
  <si>
    <t>252N23000000020010</t>
  </si>
  <si>
    <t>6134 RIVER RD</t>
  </si>
  <si>
    <t>30000</t>
  </si>
  <si>
    <t>JOSEPH BARRESI JR</t>
  </si>
  <si>
    <t>26000.00</t>
  </si>
  <si>
    <t>ET AL (AND OTHERS)</t>
  </si>
  <si>
    <t>TARRIS BOB TRUSTEE</t>
  </si>
  <si>
    <t>6134PO BOX 744</t>
  </si>
  <si>
    <t>32238</t>
  </si>
  <si>
    <t>IN OR 1059/996</t>
  </si>
  <si>
    <t>666.94</t>
  </si>
  <si>
    <t>629.22</t>
  </si>
  <si>
    <t>12/06/2016</t>
  </si>
  <si>
    <t>1632</t>
  </si>
  <si>
    <t>451.49</t>
  </si>
  <si>
    <t>06/25/2012</t>
  </si>
  <si>
    <t>204</t>
  </si>
  <si>
    <t>524.10</t>
  </si>
  <si>
    <t>11/17/2011</t>
  </si>
  <si>
    <t>512.41</t>
  </si>
  <si>
    <t>04/14/2011</t>
  </si>
  <si>
    <t>26-2N-23-0000-0002-0000</t>
  </si>
  <si>
    <t>262N23000000020000</t>
  </si>
  <si>
    <t>4413 ROWE CUTOFF RD</t>
  </si>
  <si>
    <t>Parcel Combine</t>
  </si>
  <si>
    <t>35.96</t>
  </si>
  <si>
    <t>3044</t>
  </si>
  <si>
    <t>50000</t>
  </si>
  <si>
    <t>PT OF NE1/4 IN OR 1551/865 &amp;</t>
  </si>
  <si>
    <t>111</t>
  </si>
  <si>
    <t>2623.73</t>
  </si>
  <si>
    <t>2323</t>
  </si>
  <si>
    <t>2693.60</t>
  </si>
  <si>
    <t>2287.07</t>
  </si>
  <si>
    <t>1669</t>
  </si>
  <si>
    <t>2374.30</t>
  </si>
  <si>
    <t>04/29/2014</t>
  </si>
  <si>
    <t>26-2N-23-0000-0002-0010</t>
  </si>
  <si>
    <t>262N23000000020010</t>
  </si>
  <si>
    <t>1/3</t>
  </si>
  <si>
    <t>OFF ROWE CUT-OFF RD</t>
  </si>
  <si>
    <t>TIMBERLAND 90+</t>
  </si>
  <si>
    <t>6.77</t>
  </si>
  <si>
    <t>PARCEL 2-1</t>
  </si>
  <si>
    <t>112</t>
  </si>
  <si>
    <t>94.44</t>
  </si>
  <si>
    <t>91.09</t>
  </si>
  <si>
    <t>89.10</t>
  </si>
  <si>
    <t>02/27/2017</t>
  </si>
  <si>
    <t>26-2N-23-0000-0005-0020</t>
  </si>
  <si>
    <t>4000 HASSELL LN</t>
  </si>
  <si>
    <t>43.06</t>
  </si>
  <si>
    <t>CONNER GERALD DALE EST</t>
  </si>
  <si>
    <t>3800 CONNER COLLINS R</t>
  </si>
  <si>
    <t>SE1/4 OF NW1/4</t>
  </si>
  <si>
    <t>26-2N-23-0000-0005-0150</t>
  </si>
  <si>
    <t>CONNER COLLINS RD</t>
  </si>
  <si>
    <t>40.00</t>
  </si>
  <si>
    <t>NE1/4 OF SW1/4 PT OR 648/438</t>
  </si>
  <si>
    <t>27-2N-23-0000-0001-0000</t>
  </si>
  <si>
    <t>20.85</t>
  </si>
  <si>
    <t>142975</t>
  </si>
  <si>
    <t>NASSAU TIMBER &amp; LAND HOLDINGS</t>
  </si>
  <si>
    <t>PO BOX 169</t>
  </si>
  <si>
    <t>PT GOVT LOT 1 &amp; PT OF E1/2 OF</t>
  </si>
  <si>
    <t>27-2N-23-0000-0001-0070</t>
  </si>
  <si>
    <t>7.86</t>
  </si>
  <si>
    <t>32000</t>
  </si>
  <si>
    <t>OCEAN'S EIGHT CREATIVE</t>
  </si>
  <si>
    <t>450027 OLD DIXIE HW</t>
  </si>
  <si>
    <t>PT OF SW1/4 OF SE1/4 OF</t>
  </si>
  <si>
    <t>27-2N-23-0000-0001-0130</t>
  </si>
  <si>
    <t>33.25</t>
  </si>
  <si>
    <t>147900</t>
  </si>
  <si>
    <t>OCEAN'S EIGHT CREATIVE GROUP</t>
  </si>
  <si>
    <t>PO BOX 891</t>
  </si>
  <si>
    <t>32239</t>
  </si>
  <si>
    <t>PT OF SW1/4 OF NE1/4 &amp; PT OF</t>
  </si>
  <si>
    <t>27-2N-23-0000-0001-0190</t>
  </si>
  <si>
    <t>HENRY LEE RD</t>
  </si>
  <si>
    <t>30.89</t>
  </si>
  <si>
    <t>143000</t>
  </si>
  <si>
    <t>27-2N-23-0000-0001-0210</t>
  </si>
  <si>
    <t>27-2N-23-0000-0001-0220</t>
  </si>
  <si>
    <t>20.00</t>
  </si>
  <si>
    <t>27-2N-23-0000-0005-0100</t>
  </si>
  <si>
    <t>20106 JAGUAR DR</t>
  </si>
  <si>
    <t>1.28</t>
  </si>
  <si>
    <t>2116</t>
  </si>
  <si>
    <t>SHOTT KELLY LYNN &amp; CHRISTOPHER</t>
  </si>
  <si>
    <t>20106 JAGUAR D</t>
  </si>
  <si>
    <t>PT OF SEC 27-2N-23E</t>
  </si>
  <si>
    <t>27-2N-23-0000-0006-0020</t>
  </si>
  <si>
    <t>272N23000000060020</t>
  </si>
  <si>
    <t>2974 JANE LN</t>
  </si>
  <si>
    <t>1144</t>
  </si>
  <si>
    <t xml:space="preserve"> FALCON INVESTMENT INC</t>
  </si>
  <si>
    <t>43500.00</t>
  </si>
  <si>
    <t>04/11/2007</t>
  </si>
  <si>
    <t>PT OF NE1/4 OF SW1/4</t>
  </si>
  <si>
    <t>895.80</t>
  </si>
  <si>
    <t>06/08/2017</t>
  </si>
  <si>
    <t>778.17</t>
  </si>
  <si>
    <t>02/14/2017</t>
  </si>
  <si>
    <t>856.00</t>
  </si>
  <si>
    <t>985.65</t>
  </si>
  <si>
    <t>01/24/2014</t>
  </si>
  <si>
    <t>1689</t>
  </si>
  <si>
    <t>1148.92</t>
  </si>
  <si>
    <t>01/23/2014</t>
  </si>
  <si>
    <t>207</t>
  </si>
  <si>
    <t>1222.84</t>
  </si>
  <si>
    <t>09/28/2012</t>
  </si>
  <si>
    <t>191</t>
  </si>
  <si>
    <t>1421.42</t>
  </si>
  <si>
    <t>09/20/2010</t>
  </si>
  <si>
    <t>27-2N-23-0000-0007-0060</t>
  </si>
  <si>
    <t>272N23000000070060</t>
  </si>
  <si>
    <t>3458 BARBARA LN</t>
  </si>
  <si>
    <t>1.34</t>
  </si>
  <si>
    <t>1212</t>
  </si>
  <si>
    <t>KERI DAVIS</t>
  </si>
  <si>
    <t>13500.00</t>
  </si>
  <si>
    <t>04/05/2014</t>
  </si>
  <si>
    <t>CONLEY DARRELL S JR &amp; CRYSTAL</t>
  </si>
  <si>
    <t>3458 BARBARA L</t>
  </si>
  <si>
    <t>IN OR 1734/248</t>
  </si>
  <si>
    <t>115</t>
  </si>
  <si>
    <t>420.69</t>
  </si>
  <si>
    <t>03/07/2018</t>
  </si>
  <si>
    <t>405.31</t>
  </si>
  <si>
    <t>02/22/2017</t>
  </si>
  <si>
    <t>356.58</t>
  </si>
  <si>
    <t>97</t>
  </si>
  <si>
    <t>364.76</t>
  </si>
  <si>
    <t>398.68</t>
  </si>
  <si>
    <t>02/09/2015</t>
  </si>
  <si>
    <t>1690</t>
  </si>
  <si>
    <t>470.97</t>
  </si>
  <si>
    <t>27-2N-23-0000-0007-0180</t>
  </si>
  <si>
    <t>272N23000000070180</t>
  </si>
  <si>
    <t>19295 ASHCRAFT LN</t>
  </si>
  <si>
    <t>864</t>
  </si>
  <si>
    <t>10000</t>
  </si>
  <si>
    <t>CONSECO BANK INC</t>
  </si>
  <si>
    <t>41746.00</t>
  </si>
  <si>
    <t>RODRIGUEZ NOWELL D &amp; KIMBER N</t>
  </si>
  <si>
    <t>27210 KRISTIE CIRCLE</t>
  </si>
  <si>
    <t>IN OR 1872/849</t>
  </si>
  <si>
    <t>362.77</t>
  </si>
  <si>
    <t>03/23/2017</t>
  </si>
  <si>
    <t>1691</t>
  </si>
  <si>
    <t>499.60</t>
  </si>
  <si>
    <t>03/12/2013</t>
  </si>
  <si>
    <t>208</t>
  </si>
  <si>
    <t>523.13</t>
  </si>
  <si>
    <t>605.08</t>
  </si>
  <si>
    <t>27-2N-23-0000-0009-0000</t>
  </si>
  <si>
    <t>272N23000000090000</t>
  </si>
  <si>
    <t>20362 CR 121</t>
  </si>
  <si>
    <t>2.12</t>
  </si>
  <si>
    <t>924</t>
  </si>
  <si>
    <t>71100</t>
  </si>
  <si>
    <t>HOWARD JAMES H &amp; DONNIE R</t>
  </si>
  <si>
    <t>29500.00</t>
  </si>
  <si>
    <t>03/30/2000</t>
  </si>
  <si>
    <t>RING STEVEN CHARLES</t>
  </si>
  <si>
    <t>20362 CR 12</t>
  </si>
  <si>
    <t>PARCEL 9 IN SEC 27-2N-23E &amp;</t>
  </si>
  <si>
    <t>117</t>
  </si>
  <si>
    <t>1145.13</t>
  </si>
  <si>
    <t>06/22/2017</t>
  </si>
  <si>
    <t>27-2N-23-0000-0009-0040</t>
  </si>
  <si>
    <t>272N23000000090040</t>
  </si>
  <si>
    <t>1/2</t>
  </si>
  <si>
    <t>20460 CR 121</t>
  </si>
  <si>
    <t>2.30</t>
  </si>
  <si>
    <t>1735</t>
  </si>
  <si>
    <t>HOUSEHOLD FINANCE CORPORATION III</t>
  </si>
  <si>
    <t>FINANCE COMPANY</t>
  </si>
  <si>
    <t>CLEMONS KELLY G &amp; EVELYN L</t>
  </si>
  <si>
    <t>20460 CR 12</t>
  </si>
  <si>
    <t>SE1/4 OF SE1/4</t>
  </si>
  <si>
    <t>445.10</t>
  </si>
  <si>
    <t>493.78</t>
  </si>
  <si>
    <t>04/23/2015</t>
  </si>
  <si>
    <t>28-2N-23-0000-0003-0010</t>
  </si>
  <si>
    <t>282N23000000030010</t>
  </si>
  <si>
    <t>19288 SCENIC RIVER DR</t>
  </si>
  <si>
    <t>1591</t>
  </si>
  <si>
    <t>CREWS RHONDA M &amp; JOHN G</t>
  </si>
  <si>
    <t>19288 SCENIC RIVER DRIV</t>
  </si>
  <si>
    <t>PT OF SE1/4 OF SE1/4</t>
  </si>
  <si>
    <t>611.04</t>
  </si>
  <si>
    <t>99</t>
  </si>
  <si>
    <t>592.40</t>
  </si>
  <si>
    <t>04/13/2015</t>
  </si>
  <si>
    <t>617.21</t>
  </si>
  <si>
    <t>1751</t>
  </si>
  <si>
    <t>644.75</t>
  </si>
  <si>
    <t>209</t>
  </si>
  <si>
    <t>678.09</t>
  </si>
  <si>
    <t>01/08/2013</t>
  </si>
  <si>
    <t>33-2N-23-0000-0001-0010</t>
  </si>
  <si>
    <t>332N23000000010010</t>
  </si>
  <si>
    <t>2892 BARBARA LN</t>
  </si>
  <si>
    <t>4.70</t>
  </si>
  <si>
    <t>824</t>
  </si>
  <si>
    <t>PENDERGRASS SANDRA J &amp; JOHN M</t>
  </si>
  <si>
    <t>2892 BARBARA LAN</t>
  </si>
  <si>
    <t>PT OF E1/2 OF NE1/4</t>
  </si>
  <si>
    <t>120</t>
  </si>
  <si>
    <t>587.06</t>
  </si>
  <si>
    <t>596.04</t>
  </si>
  <si>
    <t>07/11/2017</t>
  </si>
  <si>
    <t>595.21</t>
  </si>
  <si>
    <t>01/11/2017</t>
  </si>
  <si>
    <t>567.17</t>
  </si>
  <si>
    <t>05/20/2015</t>
  </si>
  <si>
    <t>566.51</t>
  </si>
  <si>
    <t>11/04/2014</t>
  </si>
  <si>
    <t>1988</t>
  </si>
  <si>
    <t>554.06</t>
  </si>
  <si>
    <t>10/28/2013</t>
  </si>
  <si>
    <t>210</t>
  </si>
  <si>
    <t>547.29</t>
  </si>
  <si>
    <t>11/29/2011</t>
  </si>
  <si>
    <t>336.49</t>
  </si>
  <si>
    <t>11/19/2010</t>
  </si>
  <si>
    <t>34-2N-23-0000-0001-0080</t>
  </si>
  <si>
    <t>342N23-00000001-0080</t>
  </si>
  <si>
    <t>20346 CR 121</t>
  </si>
  <si>
    <t>1.38</t>
  </si>
  <si>
    <t>65000</t>
  </si>
  <si>
    <t>61000.00</t>
  </si>
  <si>
    <t>04/01/2035</t>
  </si>
  <si>
    <t>RING STEVEN C &amp; SANDRA S</t>
  </si>
  <si>
    <t>20346 CR 12</t>
  </si>
  <si>
    <t>PT SEC 34-2N-23E RECD IN</t>
  </si>
  <si>
    <t>123</t>
  </si>
  <si>
    <t>699.99</t>
  </si>
  <si>
    <t>34-2N-23-0000-0002-0060</t>
  </si>
  <si>
    <t>342N23000000020060</t>
  </si>
  <si>
    <t>1.62</t>
  </si>
  <si>
    <t>MCLENDON LUTHER S III &amp; SUSAN</t>
  </si>
  <si>
    <t>18401 CONNER ROA</t>
  </si>
  <si>
    <t>IN OR 1726/1495</t>
  </si>
  <si>
    <t>124</t>
  </si>
  <si>
    <t>36.00</t>
  </si>
  <si>
    <t>31.65</t>
  </si>
  <si>
    <t>03/15/2018</t>
  </si>
  <si>
    <t>37.38</t>
  </si>
  <si>
    <t>34-2N-23-0000-0002-0080</t>
  </si>
  <si>
    <t>342N23000000020080</t>
  </si>
  <si>
    <t>CONNER RD</t>
  </si>
  <si>
    <t>35.33</t>
  </si>
  <si>
    <t>99000</t>
  </si>
  <si>
    <t>18401 CONNER R</t>
  </si>
  <si>
    <t>PT S1/2 &amp; N1/2 OF SEC 34</t>
  </si>
  <si>
    <t>201.56</t>
  </si>
  <si>
    <t>206.43</t>
  </si>
  <si>
    <t>187.30</t>
  </si>
  <si>
    <t>106</t>
  </si>
  <si>
    <t>116.77</t>
  </si>
  <si>
    <t>09/20/2013</t>
  </si>
  <si>
    <t>34-2N-23-0000-0003-0030</t>
  </si>
  <si>
    <t>19861 CR 121</t>
  </si>
  <si>
    <t>1.58</t>
  </si>
  <si>
    <t>PREMIER MORTGAGE FUNDING INC</t>
  </si>
  <si>
    <t>140413.00</t>
  </si>
  <si>
    <t>FHA</t>
  </si>
  <si>
    <t>02/01/2037</t>
  </si>
  <si>
    <t>FLINK STEVE W</t>
  </si>
  <si>
    <t>PO BOX 58</t>
  </si>
  <si>
    <t>IN OR 2049/1165</t>
  </si>
  <si>
    <t>1219.34</t>
  </si>
  <si>
    <t>34-2N-23-0000-0005-0100</t>
  </si>
  <si>
    <t>342N23000000050100</t>
  </si>
  <si>
    <t>PAINT HORSE TR</t>
  </si>
  <si>
    <t>5.39</t>
  </si>
  <si>
    <t xml:space="preserve"> FIRST COAST COMMUNITY BANK</t>
  </si>
  <si>
    <t>228800.00</t>
  </si>
  <si>
    <t>05/17/2007</t>
  </si>
  <si>
    <t>RAULERSON STEPHEN D</t>
  </si>
  <si>
    <t>28158 VIEUX CARR</t>
  </si>
  <si>
    <t>Yulee</t>
  </si>
  <si>
    <t>32097</t>
  </si>
  <si>
    <t>PT OF W1/2 OF NW1/4</t>
  </si>
  <si>
    <t>755.27</t>
  </si>
  <si>
    <t>05/22/2017</t>
  </si>
  <si>
    <t>675.96</t>
  </si>
  <si>
    <t>11/30/2014</t>
  </si>
  <si>
    <t>108</t>
  </si>
  <si>
    <t>732.68</t>
  </si>
  <si>
    <t>11/12/2013</t>
  </si>
  <si>
    <t>200</t>
  </si>
  <si>
    <t>1150.07</t>
  </si>
  <si>
    <t>04/28/2011</t>
  </si>
  <si>
    <t>34-2N-23-0000-0007-0110</t>
  </si>
  <si>
    <t>342N23000000070110</t>
  </si>
  <si>
    <t>18401 CONNER RD</t>
  </si>
  <si>
    <t>9.10</t>
  </si>
  <si>
    <t>Frame</t>
  </si>
  <si>
    <t>1995</t>
  </si>
  <si>
    <t>MCLENDON LUTHER S &amp; SUSAN A</t>
  </si>
  <si>
    <t>IN OR 729/309</t>
  </si>
  <si>
    <t>127</t>
  </si>
  <si>
    <t>1034.80</t>
  </si>
  <si>
    <t>254.32</t>
  </si>
  <si>
    <t>327.72</t>
  </si>
  <si>
    <t>590.45</t>
  </si>
  <si>
    <t>02/27/2015</t>
  </si>
  <si>
    <t>201</t>
  </si>
  <si>
    <t>641.91</t>
  </si>
  <si>
    <t>11/24/2010</t>
  </si>
  <si>
    <t>34-2N-23-0000-0008-0000</t>
  </si>
  <si>
    <t>342N23000000080000</t>
  </si>
  <si>
    <t>RUTH LN</t>
  </si>
  <si>
    <t>26.44</t>
  </si>
  <si>
    <t>EMBASSY MORTGAGE CORP</t>
  </si>
  <si>
    <t>218700.00</t>
  </si>
  <si>
    <t>01/01/2033</t>
  </si>
  <si>
    <t>CONNER RICHARD A</t>
  </si>
  <si>
    <t>NW1/4 OF SW1/4 OF</t>
  </si>
  <si>
    <t>202</t>
  </si>
  <si>
    <t>58.57</t>
  </si>
  <si>
    <t>05-2S-23-0000-0003-0170</t>
  </si>
  <si>
    <t>052S23000000030170</t>
  </si>
  <si>
    <t>3/5</t>
  </si>
  <si>
    <t>HORSESHOE CIR</t>
  </si>
  <si>
    <t>PINER JAMES F JR</t>
  </si>
  <si>
    <t>12525 STERLING RUN COUR</t>
  </si>
  <si>
    <t>PT OF GOVT LOT 4</t>
  </si>
  <si>
    <t>345.75</t>
  </si>
  <si>
    <t>344.90</t>
  </si>
  <si>
    <t>114</t>
  </si>
  <si>
    <t>445.83</t>
  </si>
  <si>
    <t>788</t>
  </si>
  <si>
    <t>469.62</t>
  </si>
  <si>
    <t>218</t>
  </si>
  <si>
    <t>522.02</t>
  </si>
  <si>
    <t>622.82</t>
  </si>
  <si>
    <t>05-2S-23-1500-0007-0000</t>
  </si>
  <si>
    <t>052S23150000070000</t>
  </si>
  <si>
    <t>5937 PRINGLE RD</t>
  </si>
  <si>
    <t>1.14</t>
  </si>
  <si>
    <t>1360</t>
  </si>
  <si>
    <t>25000</t>
  </si>
  <si>
    <t>SMITHS INVESTMENT CORPORATION</t>
  </si>
  <si>
    <t>2283 S BROOK DRIV</t>
  </si>
  <si>
    <t>32003</t>
  </si>
  <si>
    <t>LOT 7</t>
  </si>
  <si>
    <t>525.00</t>
  </si>
  <si>
    <t>573.10</t>
  </si>
  <si>
    <t>02/18/2018</t>
  </si>
  <si>
    <t>459.76</t>
  </si>
  <si>
    <t>06/10/2015</t>
  </si>
  <si>
    <t>634.90</t>
  </si>
  <si>
    <t>116</t>
  </si>
  <si>
    <t>662.64</t>
  </si>
  <si>
    <t>08/08/2013</t>
  </si>
  <si>
    <t>790</t>
  </si>
  <si>
    <t>696.32</t>
  </si>
  <si>
    <t>219</t>
  </si>
  <si>
    <t>725.41</t>
  </si>
  <si>
    <t>817.55</t>
  </si>
  <si>
    <t>01/24/2011</t>
  </si>
  <si>
    <t>06-2S-23-0000-0006-0000</t>
  </si>
  <si>
    <t>062S23000000060000</t>
  </si>
  <si>
    <t>892 MIDDLE RD</t>
  </si>
  <si>
    <t>1657</t>
  </si>
  <si>
    <t>21500</t>
  </si>
  <si>
    <t xml:space="preserve"> NORTH AMERICAN MORTGAGE</t>
  </si>
  <si>
    <t>50000.00</t>
  </si>
  <si>
    <t>06/21/1996</t>
  </si>
  <si>
    <t>AVERY TANGIE J</t>
  </si>
  <si>
    <t>892 MIDDLE ROA</t>
  </si>
  <si>
    <t>881.67</t>
  </si>
  <si>
    <t>896.63</t>
  </si>
  <si>
    <t>895.43</t>
  </si>
  <si>
    <t>02/23/2017</t>
  </si>
  <si>
    <t>1380.66</t>
  </si>
  <si>
    <t>02/28/2016</t>
  </si>
  <si>
    <t>1415.82</t>
  </si>
  <si>
    <t>03/05/2015</t>
  </si>
  <si>
    <t>853</t>
  </si>
  <si>
    <t>672.26</t>
  </si>
  <si>
    <t>03/04/2014</t>
  </si>
  <si>
    <t>222</t>
  </si>
  <si>
    <t>671.56</t>
  </si>
  <si>
    <t>06/13/2012</t>
  </si>
  <si>
    <t>07-2S-23-0000-0004-0070</t>
  </si>
  <si>
    <t>072S23000000040070</t>
  </si>
  <si>
    <t>575 WHOA LN</t>
  </si>
  <si>
    <t>3.64</t>
  </si>
  <si>
    <t>1506</t>
  </si>
  <si>
    <t>PRICE BONNIE J &amp; DARYL B</t>
  </si>
  <si>
    <t>575 WHOA LAN</t>
  </si>
  <si>
    <t>PARCELS 4-7 &amp; 1-8 IN SEC 18</t>
  </si>
  <si>
    <t>135</t>
  </si>
  <si>
    <t>629.37</t>
  </si>
  <si>
    <t>638.17</t>
  </si>
  <si>
    <t>637.38</t>
  </si>
  <si>
    <t>866</t>
  </si>
  <si>
    <t>738.86</t>
  </si>
  <si>
    <t>08-2S-23-0000-0002-0050</t>
  </si>
  <si>
    <t>12.69</t>
  </si>
  <si>
    <t>TRAVIS RICHARD A</t>
  </si>
  <si>
    <t>8080 GREAT VALLEY T</t>
  </si>
  <si>
    <t>PT SEC 7-2S-23E &amp; 8-2S-23E</t>
  </si>
  <si>
    <t>15-2S-23-0000-0001-0020</t>
  </si>
  <si>
    <t>152S23000000010020</t>
  </si>
  <si>
    <t>WOODCHUCK PL</t>
  </si>
  <si>
    <t>BALDWIN</t>
  </si>
  <si>
    <t>7.60</t>
  </si>
  <si>
    <t>FIRST UNION NATL BK/FL</t>
  </si>
  <si>
    <t>21866.00</t>
  </si>
  <si>
    <t>03/14/1996</t>
  </si>
  <si>
    <t>TOMLIN DANIEL S &amp; DONNA M</t>
  </si>
  <si>
    <t>3525 COUNTY ROAD 12</t>
  </si>
  <si>
    <t>PT SW1/4 OF SEC 15-2S-23E &amp; PT</t>
  </si>
  <si>
    <t>31.07</t>
  </si>
  <si>
    <t>08/29/2014</t>
  </si>
  <si>
    <t>1237</t>
  </si>
  <si>
    <t>21.40</t>
  </si>
  <si>
    <t>02/15/2013</t>
  </si>
  <si>
    <t>224</t>
  </si>
  <si>
    <t>19.41</t>
  </si>
  <si>
    <t>16-2S-23-0000-0002-0020</t>
  </si>
  <si>
    <t>162S23000000020020</t>
  </si>
  <si>
    <t>3470 CR 121</t>
  </si>
  <si>
    <t>STEWART MATTHEW &amp; FELICIA</t>
  </si>
  <si>
    <t>3470 CR 12</t>
  </si>
  <si>
    <t>PT OF S1/2 OF S1/2 OF GOVT</t>
  </si>
  <si>
    <t>136</t>
  </si>
  <si>
    <t>710.55</t>
  </si>
  <si>
    <t>725.50</t>
  </si>
  <si>
    <t>03/30/2018</t>
  </si>
  <si>
    <t>701.68</t>
  </si>
  <si>
    <t>674.97</t>
  </si>
  <si>
    <t>04/18/2016</t>
  </si>
  <si>
    <t>732.17</t>
  </si>
  <si>
    <t>03/31/2015</t>
  </si>
  <si>
    <t>1284</t>
  </si>
  <si>
    <t>843.19</t>
  </si>
  <si>
    <t>03/21/2014</t>
  </si>
  <si>
    <t>225</t>
  </si>
  <si>
    <t>933.77</t>
  </si>
  <si>
    <t>03/25/2013</t>
  </si>
  <si>
    <t>216</t>
  </si>
  <si>
    <t>1090.16</t>
  </si>
  <si>
    <t>10.75</t>
  </si>
  <si>
    <t>21-2S-23-0000-0002-0010</t>
  </si>
  <si>
    <t>212S23000000020010</t>
  </si>
  <si>
    <t>3417 CR 121</t>
  </si>
  <si>
    <t>0.45</t>
  </si>
  <si>
    <t>CRAWFORD WILLIAM R EST</t>
  </si>
  <si>
    <t>3347 COUNTY ROAD 12</t>
  </si>
  <si>
    <t>PT OF N1/2 OF NW1/4 OF NE1/4</t>
  </si>
  <si>
    <t>21-2S-23-0000-0002-0040</t>
  </si>
  <si>
    <t>212S23000000020040</t>
  </si>
  <si>
    <t>CRAWFORD WILLIAM R L/E</t>
  </si>
  <si>
    <t>3417 COUNTY ROAD 12</t>
  </si>
  <si>
    <t>361.07</t>
  </si>
  <si>
    <t>11/07/2013</t>
  </si>
  <si>
    <t>226</t>
  </si>
  <si>
    <t>465.45</t>
  </si>
  <si>
    <t>7.50</t>
  </si>
  <si>
    <t>03/27/2012</t>
  </si>
  <si>
    <t>217</t>
  </si>
  <si>
    <t>554.94</t>
  </si>
  <si>
    <t>21-2S-23-0000-0002-0060</t>
  </si>
  <si>
    <t>212S23000000020060</t>
  </si>
  <si>
    <t>3407 CR 121</t>
  </si>
  <si>
    <t>1157</t>
  </si>
  <si>
    <t>HODGES WENDY LEE</t>
  </si>
  <si>
    <t>3407 COUNTY ROAD 12</t>
  </si>
  <si>
    <t>PT N1/2 OF NW1/4 OF NE1/4</t>
  </si>
  <si>
    <t>137</t>
  </si>
  <si>
    <t>526.13</t>
  </si>
  <si>
    <t>1451</t>
  </si>
  <si>
    <t>352.42</t>
  </si>
  <si>
    <t>12/14/2012</t>
  </si>
  <si>
    <t>227</t>
  </si>
  <si>
    <t>342.04</t>
  </si>
  <si>
    <t>321.38</t>
  </si>
  <si>
    <t>03/09/2012</t>
  </si>
  <si>
    <t>21-2S-23-0000-0003-0000</t>
  </si>
  <si>
    <t>212S23000000030000</t>
  </si>
  <si>
    <t>3402 CR 121</t>
  </si>
  <si>
    <t>14.47</t>
  </si>
  <si>
    <t>3878</t>
  </si>
  <si>
    <t>1974</t>
  </si>
  <si>
    <t>JOHN W OCONNOR</t>
  </si>
  <si>
    <t>10000.00</t>
  </si>
  <si>
    <t>03/05/2019</t>
  </si>
  <si>
    <t>STEWART MADGE D</t>
  </si>
  <si>
    <t>1590-28 ISLAND LAS</t>
  </si>
  <si>
    <t>Fleming Island</t>
  </si>
  <si>
    <t>N1/2 OF NE1/4 OF NW1/4 &amp;</t>
  </si>
  <si>
    <t>2484.17</t>
  </si>
  <si>
    <t>2526.92</t>
  </si>
  <si>
    <t>04/14/2016</t>
  </si>
  <si>
    <t>2366.47</t>
  </si>
  <si>
    <t>2438.76</t>
  </si>
  <si>
    <t>03/26/2015</t>
  </si>
  <si>
    <t>1452</t>
  </si>
  <si>
    <t>2566.62</t>
  </si>
  <si>
    <t>228</t>
  </si>
  <si>
    <t>2627.44</t>
  </si>
  <si>
    <t>3061.34</t>
  </si>
  <si>
    <t>21-2S-23-0000-0003-0020</t>
  </si>
  <si>
    <t>212S23000000030020</t>
  </si>
  <si>
    <t>2361 PRAIRIE DOG LN</t>
  </si>
  <si>
    <t>5.81</t>
  </si>
  <si>
    <t>960</t>
  </si>
  <si>
    <t>2361 PRAIRIE DOG LAN</t>
  </si>
  <si>
    <t>PT OF NW1/4 IN OR 1319/573</t>
  </si>
  <si>
    <t>139</t>
  </si>
  <si>
    <t>570.67</t>
  </si>
  <si>
    <t>576.67</t>
  </si>
  <si>
    <t>596.83</t>
  </si>
  <si>
    <t>606.92</t>
  </si>
  <si>
    <t>1453</t>
  </si>
  <si>
    <t>691.52</t>
  </si>
  <si>
    <t>229</t>
  </si>
  <si>
    <t>757.83</t>
  </si>
  <si>
    <t>220</t>
  </si>
  <si>
    <t>851.09</t>
  </si>
  <si>
    <t>21-2S-23-0000-0007-0040</t>
  </si>
  <si>
    <t>2333 CARTER ST</t>
  </si>
  <si>
    <t>1.53</t>
  </si>
  <si>
    <t>1491</t>
  </si>
  <si>
    <t>12500</t>
  </si>
  <si>
    <t>1978</t>
  </si>
  <si>
    <t>BECK JAMES D EST</t>
  </si>
  <si>
    <t>2333 CARTER STREE</t>
  </si>
  <si>
    <t>PT SW1/4 OF SEC 21-2S-23E</t>
  </si>
  <si>
    <t>21-2S-23-0000-0008-0000</t>
  </si>
  <si>
    <t>212S23000000080000</t>
  </si>
  <si>
    <t>2310 CARTER ST</t>
  </si>
  <si>
    <t>1.50</t>
  </si>
  <si>
    <t>BROOKS BOBBY ELBERT</t>
  </si>
  <si>
    <t>2310 CARTER S</t>
  </si>
  <si>
    <t>PT OF NE1/4 OF NE1/4 OF SW1/4</t>
  </si>
  <si>
    <t>318.82</t>
  </si>
  <si>
    <t>113</t>
  </si>
  <si>
    <t>306.54</t>
  </si>
  <si>
    <t>265.56</t>
  </si>
  <si>
    <t>252.53</t>
  </si>
  <si>
    <t>03/30/2015</t>
  </si>
  <si>
    <t>21-2S-23-0000-0009-0020</t>
  </si>
  <si>
    <t>212S23000000090020</t>
  </si>
  <si>
    <t>0/4</t>
  </si>
  <si>
    <t>CANAL RD</t>
  </si>
  <si>
    <t>4500</t>
  </si>
  <si>
    <t>1976</t>
  </si>
  <si>
    <t>DEDMON DERRY W &amp; M L</t>
  </si>
  <si>
    <t>2896 RIVER OAK DRIV</t>
  </si>
  <si>
    <t>PT SW1/4 OF SW1/4 OF</t>
  </si>
  <si>
    <t>106.67</t>
  </si>
  <si>
    <t>99.91</t>
  </si>
  <si>
    <t>90.38</t>
  </si>
  <si>
    <t>86.70</t>
  </si>
  <si>
    <t>02-3N-23-2020-0010-0010</t>
  </si>
  <si>
    <t>023N23202000100010</t>
  </si>
  <si>
    <t>17805 CORNERSTONE RD</t>
  </si>
  <si>
    <t>1347</t>
  </si>
  <si>
    <t xml:space="preserve"> SCHONBRUN HARVEY (TE)</t>
  </si>
  <si>
    <t>02/22/2005</t>
  </si>
  <si>
    <t>SCHONBRUN HARVEY TRUSTEE</t>
  </si>
  <si>
    <t>1802 NORTH MORGAN STREE</t>
  </si>
  <si>
    <t>Tampa</t>
  </si>
  <si>
    <t>33602</t>
  </si>
  <si>
    <t>W243 FT OF S210 FT OF LOT 10</t>
  </si>
  <si>
    <t>1170.50</t>
  </si>
  <si>
    <t>1178.86</t>
  </si>
  <si>
    <t>10/12/2017</t>
  </si>
  <si>
    <t>1065.68</t>
  </si>
  <si>
    <t>09/19/2016</t>
  </si>
  <si>
    <t>931.97</t>
  </si>
  <si>
    <t>08/24/2015</t>
  </si>
  <si>
    <t>800.12</t>
  </si>
  <si>
    <t>08/21/2013</t>
  </si>
  <si>
    <t>648</t>
  </si>
  <si>
    <t>836.29</t>
  </si>
  <si>
    <t>233</t>
  </si>
  <si>
    <t>862.39</t>
  </si>
  <si>
    <t>997.23</t>
  </si>
  <si>
    <t>08/05/2010</t>
  </si>
  <si>
    <t>02-3N-23-2020-0018-0000</t>
  </si>
  <si>
    <t>023N23202000180000</t>
  </si>
  <si>
    <t>CORNERSTONE RD</t>
  </si>
  <si>
    <t>COAST TO COAST INC</t>
  </si>
  <si>
    <t>523 SOUTH ELLIS ROA</t>
  </si>
  <si>
    <t>32254</t>
  </si>
  <si>
    <t>LOTS 18 19 20 &amp; 21</t>
  </si>
  <si>
    <t>143</t>
  </si>
  <si>
    <t>196.34</t>
  </si>
  <si>
    <t>188.65</t>
  </si>
  <si>
    <t>04/03/2018</t>
  </si>
  <si>
    <t>04-3N-23-0000-0002-0040</t>
  </si>
  <si>
    <t>31599 CR 121</t>
  </si>
  <si>
    <t>3.70</t>
  </si>
  <si>
    <t>2304</t>
  </si>
  <si>
    <t>TAYLOR ASHLEY DIANNE</t>
  </si>
  <si>
    <t>31599 COUNTY ROAD 12</t>
  </si>
  <si>
    <t>PT OF N615 FT OF W2078.52 FT</t>
  </si>
  <si>
    <t>09-3N-23-2020-0041-0000</t>
  </si>
  <si>
    <t>093N23202000410000</t>
  </si>
  <si>
    <t>17252 WHISTLER SPRING LN</t>
  </si>
  <si>
    <t>22100</t>
  </si>
  <si>
    <t xml:space="preserve"> FNB SOUTH</t>
  </si>
  <si>
    <t>51407.00</t>
  </si>
  <si>
    <t>09/01/2009</t>
  </si>
  <si>
    <t>GUYNN SHELTON J</t>
  </si>
  <si>
    <t>17416 WHISTLER SPRING LAN</t>
  </si>
  <si>
    <t>LOTS 41 THRU 44</t>
  </si>
  <si>
    <t>147</t>
  </si>
  <si>
    <t>510.34</t>
  </si>
  <si>
    <t>513.84</t>
  </si>
  <si>
    <t>516.58</t>
  </si>
  <si>
    <t>02/15/2017</t>
  </si>
  <si>
    <t>598.28</t>
  </si>
  <si>
    <t>04/07/2016</t>
  </si>
  <si>
    <t>604.92</t>
  </si>
  <si>
    <t>1099</t>
  </si>
  <si>
    <t>759.40</t>
  </si>
  <si>
    <t>03/10/2014</t>
  </si>
  <si>
    <t>238</t>
  </si>
  <si>
    <t>777.60</t>
  </si>
  <si>
    <t>8.50</t>
  </si>
  <si>
    <t>930.20</t>
  </si>
  <si>
    <t>04/07/2011</t>
  </si>
  <si>
    <t>09-3N-23-2020-0041-0010</t>
  </si>
  <si>
    <t>093N23202000410010</t>
  </si>
  <si>
    <t>17416 WHISTLER SPRING LN</t>
  </si>
  <si>
    <t>15000.00</t>
  </si>
  <si>
    <t>08/23/2010</t>
  </si>
  <si>
    <t>GUYNN SHELTON J &amp; RHONDA L</t>
  </si>
  <si>
    <t>17416 WHISTLER SPRING L</t>
  </si>
  <si>
    <t>E1/2 OF LOTS 41 THRU 44</t>
  </si>
  <si>
    <t>1086.28</t>
  </si>
  <si>
    <t>1099.16</t>
  </si>
  <si>
    <t>1018.95</t>
  </si>
  <si>
    <t>1280.28</t>
  </si>
  <si>
    <t>1100</t>
  </si>
  <si>
    <t>1353.39</t>
  </si>
  <si>
    <t>09/11/2013</t>
  </si>
  <si>
    <t>239</t>
  </si>
  <si>
    <t>1399.00</t>
  </si>
  <si>
    <t>02/06/2013</t>
  </si>
  <si>
    <t>230</t>
  </si>
  <si>
    <t>1602.25</t>
  </si>
  <si>
    <t>09-3N-23-2020-0045-0010</t>
  </si>
  <si>
    <t>093N23202000450010</t>
  </si>
  <si>
    <t>17153 WHISTLER SPRING LN</t>
  </si>
  <si>
    <t>24.00</t>
  </si>
  <si>
    <t>2507</t>
  </si>
  <si>
    <t>19560</t>
  </si>
  <si>
    <t>PT LOTS 45,45,47,48 &amp; LOT 52</t>
  </si>
  <si>
    <t>149</t>
  </si>
  <si>
    <t>2693.41</t>
  </si>
  <si>
    <t>2787.92</t>
  </si>
  <si>
    <t>10-3N-23-2020-0013-0010</t>
  </si>
  <si>
    <t>103N23202000130010</t>
  </si>
  <si>
    <t>17194 BUCKSKIN RD</t>
  </si>
  <si>
    <t>3.54</t>
  </si>
  <si>
    <t>1404</t>
  </si>
  <si>
    <t>53500</t>
  </si>
  <si>
    <t>FNB SOUTH FOLKSTON</t>
  </si>
  <si>
    <t>79000.00</t>
  </si>
  <si>
    <t>10/15/2020</t>
  </si>
  <si>
    <t>MOODY WILLIAM A &amp; BECKY &amp;</t>
  </si>
  <si>
    <t>17194 BUCKSKIN R</t>
  </si>
  <si>
    <t>W1/2 OF E1/2 OF LOT 13 &amp;</t>
  </si>
  <si>
    <t>151</t>
  </si>
  <si>
    <t>489.50</t>
  </si>
  <si>
    <t>240</t>
  </si>
  <si>
    <t>465.74</t>
  </si>
  <si>
    <t>10/21/2011</t>
  </si>
  <si>
    <t>231</t>
  </si>
  <si>
    <t>701.29</t>
  </si>
  <si>
    <t>12-3N-23-2020-0018-0010</t>
  </si>
  <si>
    <t>123N23202000180010</t>
  </si>
  <si>
    <t>27065 PEE WEE LN</t>
  </si>
  <si>
    <t>3952</t>
  </si>
  <si>
    <t>225000</t>
  </si>
  <si>
    <t>CARL R SIKES JR</t>
  </si>
  <si>
    <t>125000.00</t>
  </si>
  <si>
    <t>11/01/2017</t>
  </si>
  <si>
    <t>SIKES CLAUDE R &amp; TERESA B</t>
  </si>
  <si>
    <t>27065 PEE WEE LAN</t>
  </si>
  <si>
    <t>S200 FT OF W217.8 FT OF E1/2</t>
  </si>
  <si>
    <t>152</t>
  </si>
  <si>
    <t>1720.39</t>
  </si>
  <si>
    <t>1745.09</t>
  </si>
  <si>
    <t>01/26/2018</t>
  </si>
  <si>
    <t>1735.57</t>
  </si>
  <si>
    <t>01/13/2017</t>
  </si>
  <si>
    <t>1625.02</t>
  </si>
  <si>
    <t>02/05/2016</t>
  </si>
  <si>
    <t>1689.56</t>
  </si>
  <si>
    <t>1168</t>
  </si>
  <si>
    <t>1766.02</t>
  </si>
  <si>
    <t>03/28/2014</t>
  </si>
  <si>
    <t>242</t>
  </si>
  <si>
    <t>1976.49</t>
  </si>
  <si>
    <t>02/08/2013</t>
  </si>
  <si>
    <t>2543.54</t>
  </si>
  <si>
    <t>14-3N-23-2020-0020-0000</t>
  </si>
  <si>
    <t>143N23202000200000</t>
  </si>
  <si>
    <t>27769 GOODWIN RD</t>
  </si>
  <si>
    <t>18.30</t>
  </si>
  <si>
    <t>1200</t>
  </si>
  <si>
    <t>287500</t>
  </si>
  <si>
    <t>STEPHEN G HARRELL</t>
  </si>
  <si>
    <t>257500.00</t>
  </si>
  <si>
    <t>CORNWALL DAWN &amp;</t>
  </si>
  <si>
    <t>PO BOX 23</t>
  </si>
  <si>
    <t>Dryden</t>
  </si>
  <si>
    <t>New York</t>
  </si>
  <si>
    <t>13053</t>
  </si>
  <si>
    <t>LOTS 20 &amp; 21</t>
  </si>
  <si>
    <t>153</t>
  </si>
  <si>
    <t>1594.60</t>
  </si>
  <si>
    <t>06/07/2017</t>
  </si>
  <si>
    <t>1617.15</t>
  </si>
  <si>
    <t>05/31/2017</t>
  </si>
  <si>
    <t>1607.98</t>
  </si>
  <si>
    <t>1753.92</t>
  </si>
  <si>
    <t>1551.35</t>
  </si>
  <si>
    <t>07/21/2014</t>
  </si>
  <si>
    <t>1217</t>
  </si>
  <si>
    <t>1885.37</t>
  </si>
  <si>
    <t>06/26/2013</t>
  </si>
  <si>
    <t>243</t>
  </si>
  <si>
    <t>2076.78</t>
  </si>
  <si>
    <t>04/30/2012</t>
  </si>
  <si>
    <t>16-3N-23-2020-0029-0000</t>
  </si>
  <si>
    <t>17146 LARAMIE TR</t>
  </si>
  <si>
    <t>7.74</t>
  </si>
  <si>
    <t>2470</t>
  </si>
  <si>
    <t>VANDERBILT MORTGAGE &amp; FINANCE INC</t>
  </si>
  <si>
    <t>93292.00</t>
  </si>
  <si>
    <t>09/01/2037</t>
  </si>
  <si>
    <t>GEIGER RICHARD A &amp; KRISTIN C</t>
  </si>
  <si>
    <t>PO BOX 20</t>
  </si>
  <si>
    <t>LOT 29</t>
  </si>
  <si>
    <t>33-3N-23-0000-0002-0030</t>
  </si>
  <si>
    <t>333N23000000020030</t>
  </si>
  <si>
    <t>24374 TUGGLE RD</t>
  </si>
  <si>
    <t>0.94</t>
  </si>
  <si>
    <t>100000</t>
  </si>
  <si>
    <t>5890.00</t>
  </si>
  <si>
    <t>06/05/2008</t>
  </si>
  <si>
    <t>BROWN NANCY VANZANT</t>
  </si>
  <si>
    <t>31555 CR 12</t>
  </si>
  <si>
    <t>PT GOVT LOT 4 OF SEC 33-3N-23E</t>
  </si>
  <si>
    <t>634.02</t>
  </si>
  <si>
    <t>04/24/2017</t>
  </si>
  <si>
    <t>587.67</t>
  </si>
  <si>
    <t>640.03</t>
  </si>
  <si>
    <t>701.48</t>
  </si>
  <si>
    <t>501.95</t>
  </si>
  <si>
    <t>245</t>
  </si>
  <si>
    <t>510.16</t>
  </si>
  <si>
    <t>236</t>
  </si>
  <si>
    <t>570.72</t>
  </si>
  <si>
    <t>37-3N-23-0000-0001-0030</t>
  </si>
  <si>
    <t>373N23000000010030</t>
  </si>
  <si>
    <t>29570 NICK BAY LN</t>
  </si>
  <si>
    <t>10.60</t>
  </si>
  <si>
    <t>TAYLOR JIMMY DALE</t>
  </si>
  <si>
    <t>29570 NICK BAY LAN</t>
  </si>
  <si>
    <t>IN OR 1852/1242</t>
  </si>
  <si>
    <t>1470.67</t>
  </si>
  <si>
    <t>03/02/2018</t>
  </si>
  <si>
    <t>37-3N-23-0000-0001-0200</t>
  </si>
  <si>
    <t>373N23000000010200</t>
  </si>
  <si>
    <t>10955 MULBERRY LANDING ANX</t>
  </si>
  <si>
    <t>BOBBY FRANKLIN</t>
  </si>
  <si>
    <t>6100.00</t>
  </si>
  <si>
    <t>05/26/2006</t>
  </si>
  <si>
    <t>TYSON JACK</t>
  </si>
  <si>
    <t>10132 MULBERRY LANDING ANNE</t>
  </si>
  <si>
    <t>IN OR 2018/475</t>
  </si>
  <si>
    <t>524.01</t>
  </si>
  <si>
    <t>468.08</t>
  </si>
  <si>
    <t>380.63</t>
  </si>
  <si>
    <t>492.80</t>
  </si>
  <si>
    <t>2200</t>
  </si>
  <si>
    <t>755.56</t>
  </si>
  <si>
    <t>03/08/2013</t>
  </si>
  <si>
    <t>241</t>
  </si>
  <si>
    <t>928.63</t>
  </si>
  <si>
    <t>03/16/2011</t>
  </si>
  <si>
    <t>37-3N-23-0000-0001-0330</t>
  </si>
  <si>
    <t>373N23000000010330</t>
  </si>
  <si>
    <t>17094 MCCAULEY LN</t>
  </si>
  <si>
    <t>5.17</t>
  </si>
  <si>
    <t>MCCAULEY JAMES &amp; AMANDA</t>
  </si>
  <si>
    <t>17094 MCCAULEY L</t>
  </si>
  <si>
    <t>IN OR 1581/625</t>
  </si>
  <si>
    <t>443.29</t>
  </si>
  <si>
    <t>444.05</t>
  </si>
  <si>
    <t>439.43</t>
  </si>
  <si>
    <t>413.95</t>
  </si>
  <si>
    <t>02/22/2016</t>
  </si>
  <si>
    <t>405.37</t>
  </si>
  <si>
    <t>2203</t>
  </si>
  <si>
    <t>380.59</t>
  </si>
  <si>
    <t>37-3N-23-0000-0001-0510</t>
  </si>
  <si>
    <t>373N23000000010510</t>
  </si>
  <si>
    <t>10975 MULBERRY LANDING ANX</t>
  </si>
  <si>
    <t>06/01/2008</t>
  </si>
  <si>
    <t>IN OR 1846/423</t>
  </si>
  <si>
    <t>158</t>
  </si>
  <si>
    <t>239.18</t>
  </si>
  <si>
    <t>227.20</t>
  </si>
  <si>
    <t>200.25</t>
  </si>
  <si>
    <t>183.12</t>
  </si>
  <si>
    <t>37-3N-23-0000-0001-0530</t>
  </si>
  <si>
    <t>MULBERRY LANDING ANX</t>
  </si>
  <si>
    <t>SIMMONS JAMES ANDREW</t>
  </si>
  <si>
    <t>508 BAISDEN R</t>
  </si>
  <si>
    <t>PT OF SEC 37-3N-23E IN</t>
  </si>
  <si>
    <t>159</t>
  </si>
  <si>
    <t>425.44</t>
  </si>
  <si>
    <t>37-3N-23-2070-0001-0000</t>
  </si>
  <si>
    <t>31718 CR 121</t>
  </si>
  <si>
    <t>1.48</t>
  </si>
  <si>
    <t>1369</t>
  </si>
  <si>
    <t>HAROLD C MCCLARRIE ETUX</t>
  </si>
  <si>
    <t>09/01/2020</t>
  </si>
  <si>
    <t>KISER ALAN L &amp; WENDY D</t>
  </si>
  <si>
    <t>31718 COUNTY ROAD 12</t>
  </si>
  <si>
    <t>160</t>
  </si>
  <si>
    <t>382.80</t>
  </si>
  <si>
    <t>12/27/2017</t>
  </si>
  <si>
    <t>37-3N-23-2070-0002-0000</t>
  </si>
  <si>
    <t>373N23207000020000</t>
  </si>
  <si>
    <t>31688 CR 121</t>
  </si>
  <si>
    <t>33500</t>
  </si>
  <si>
    <t>34277.00</t>
  </si>
  <si>
    <t>08/22/1996</t>
  </si>
  <si>
    <t>PEDERSEN ROBERT L JR</t>
  </si>
  <si>
    <t>31688 COUNTY ROAD 12</t>
  </si>
  <si>
    <t>453.07</t>
  </si>
  <si>
    <t>04/19/2018</t>
  </si>
  <si>
    <t>362.27</t>
  </si>
  <si>
    <t>07/29/2015</t>
  </si>
  <si>
    <t>489.10</t>
  </si>
  <si>
    <t>505.06</t>
  </si>
  <si>
    <t>2205</t>
  </si>
  <si>
    <t>616.27</t>
  </si>
  <si>
    <t>02/21/2014</t>
  </si>
  <si>
    <t>256</t>
  </si>
  <si>
    <t>614.77</t>
  </si>
  <si>
    <t>37-3N-23-2070-0026-0000</t>
  </si>
  <si>
    <t>373N23207000260000</t>
  </si>
  <si>
    <t>1037 MULBERRY LANDING RD</t>
  </si>
  <si>
    <t>JAMES SHUMAN</t>
  </si>
  <si>
    <t>20000.00</t>
  </si>
  <si>
    <t>12/05/2011</t>
  </si>
  <si>
    <t>STOKES MICHAEL T &amp; JESSICA D</t>
  </si>
  <si>
    <t>1019 MULBERRY LANDING ROA</t>
  </si>
  <si>
    <t>LOT 26</t>
  </si>
  <si>
    <t>351.01</t>
  </si>
  <si>
    <t>03/13/2017</t>
  </si>
  <si>
    <t>387.30</t>
  </si>
  <si>
    <t>03/21/2015</t>
  </si>
  <si>
    <t>2207</t>
  </si>
  <si>
    <t>326.85</t>
  </si>
  <si>
    <t>06/28/2012</t>
  </si>
  <si>
    <t>258</t>
  </si>
  <si>
    <t>329.50</t>
  </si>
  <si>
    <t>246</t>
  </si>
  <si>
    <t>416.20</t>
  </si>
  <si>
    <t>02/16/2012</t>
  </si>
  <si>
    <t>37-3N-23-2070-0030-0000</t>
  </si>
  <si>
    <t>373N23207000300000</t>
  </si>
  <si>
    <t>29620 NICK BAY LN</t>
  </si>
  <si>
    <t>2.07</t>
  </si>
  <si>
    <t>TAYLOR NICHOLAS A</t>
  </si>
  <si>
    <t>29620 NICK BAY LAN</t>
  </si>
  <si>
    <t>LOTS 30 &amp; 31</t>
  </si>
  <si>
    <t>37-3N-23-2070-0053-0000</t>
  </si>
  <si>
    <t>373N23207000530000</t>
  </si>
  <si>
    <t>MULBERRY LANDING RD N</t>
  </si>
  <si>
    <t>1.45</t>
  </si>
  <si>
    <t>2500</t>
  </si>
  <si>
    <t>PARMLEY CHANCIE &amp;</t>
  </si>
  <si>
    <t>28104 JACKSON TRAI</t>
  </si>
  <si>
    <t>LOT 53 &amp; W 60 FT OF 54</t>
  </si>
  <si>
    <t>163</t>
  </si>
  <si>
    <t>221.57</t>
  </si>
  <si>
    <t>211.70</t>
  </si>
  <si>
    <t>06/30/2016</t>
  </si>
  <si>
    <t>189.43</t>
  </si>
  <si>
    <t>150</t>
  </si>
  <si>
    <t>191.53</t>
  </si>
  <si>
    <t>09/09/2013</t>
  </si>
  <si>
    <t>2210</t>
  </si>
  <si>
    <t>238.99</t>
  </si>
  <si>
    <t>261</t>
  </si>
  <si>
    <t>248</t>
  </si>
  <si>
    <t>313.64</t>
  </si>
  <si>
    <t>39-3N-23-1860-0006-0000</t>
  </si>
  <si>
    <t>393N23186000060000</t>
  </si>
  <si>
    <t>29984 CR 121</t>
  </si>
  <si>
    <t>1755</t>
  </si>
  <si>
    <t>12000</t>
  </si>
  <si>
    <t>THE CIT GROUP-CONSUMER FINANCE INC</t>
  </si>
  <si>
    <t>98000.00</t>
  </si>
  <si>
    <t>10/01/2035</t>
  </si>
  <si>
    <t>HOLLEY MARCUS &amp; NICOLA</t>
  </si>
  <si>
    <t>17671 HOLLEY OAKS L</t>
  </si>
  <si>
    <t>LOT 6     IN OR 1800/1945</t>
  </si>
  <si>
    <t>788.86</t>
  </si>
  <si>
    <t>155</t>
  </si>
  <si>
    <t>830.47</t>
  </si>
  <si>
    <t>879.96</t>
  </si>
  <si>
    <t>04/30/2014</t>
  </si>
  <si>
    <t>12-4N-23-0000-0001-0000</t>
  </si>
  <si>
    <t>28154 LAKE HAMPTON RD</t>
  </si>
  <si>
    <t>1.78</t>
  </si>
  <si>
    <t>89600</t>
  </si>
  <si>
    <t>FIRST NATIONAL BANK</t>
  </si>
  <si>
    <t>119700.00</t>
  </si>
  <si>
    <t>06/01/2033</t>
  </si>
  <si>
    <t>SWORD LOIS C</t>
  </si>
  <si>
    <t>28180 LAKE HAMPTON ROA</t>
  </si>
  <si>
    <t>TRACT A</t>
  </si>
  <si>
    <t>12-4N-23-0000-0002-0000</t>
  </si>
  <si>
    <t>124N23000000020000</t>
  </si>
  <si>
    <t>LAKE HAMPTON RD</t>
  </si>
  <si>
    <t>3.09</t>
  </si>
  <si>
    <t>TRANSLAND FINANCIAL SERVICES INC</t>
  </si>
  <si>
    <t>133010.00</t>
  </si>
  <si>
    <t>01/01/2037</t>
  </si>
  <si>
    <t>JPMORGAN CHASE BANK</t>
  </si>
  <si>
    <t>7255 BAYMEADOWS WA</t>
  </si>
  <si>
    <t>32256</t>
  </si>
  <si>
    <t>PT GOVT LOT 1 SEC 12-4N-23E</t>
  </si>
  <si>
    <t>166</t>
  </si>
  <si>
    <t>437.40</t>
  </si>
  <si>
    <t>146</t>
  </si>
  <si>
    <t>442.37</t>
  </si>
  <si>
    <t>269</t>
  </si>
  <si>
    <t>2471.58</t>
  </si>
  <si>
    <t>01/11/2012</t>
  </si>
  <si>
    <t>14-4N-23-0000-0005-0000</t>
  </si>
  <si>
    <t>144N23000000050000</t>
  </si>
  <si>
    <t>28131 CHURCH DR</t>
  </si>
  <si>
    <t>6.26</t>
  </si>
  <si>
    <t>1871</t>
  </si>
  <si>
    <t>15400</t>
  </si>
  <si>
    <t>WACTER STEVE E</t>
  </si>
  <si>
    <t>28132 CHURCH DRIV</t>
  </si>
  <si>
    <t>14-4N-23-0000-0006-0000</t>
  </si>
  <si>
    <t>144N23000000060000</t>
  </si>
  <si>
    <t>241965 CR 121</t>
  </si>
  <si>
    <t>2316</t>
  </si>
  <si>
    <t>SOUTHEASTERN BANK</t>
  </si>
  <si>
    <t>83000.00</t>
  </si>
  <si>
    <t>10/15/2005</t>
  </si>
  <si>
    <t>WAITE RONALD W &amp;</t>
  </si>
  <si>
    <t>241965 CR 12</t>
  </si>
  <si>
    <t>IN OR 1476/491</t>
  </si>
  <si>
    <t>167</t>
  </si>
  <si>
    <t>288.25</t>
  </si>
  <si>
    <t>285.73</t>
  </si>
  <si>
    <t>04/13/2017</t>
  </si>
  <si>
    <t>282.62</t>
  </si>
  <si>
    <t>260.95</t>
  </si>
  <si>
    <t>02/04/2015</t>
  </si>
  <si>
    <t>157</t>
  </si>
  <si>
    <t>255.18</t>
  </si>
  <si>
    <t>11/15/2013</t>
  </si>
  <si>
    <t>3197</t>
  </si>
  <si>
    <t>263.36</t>
  </si>
  <si>
    <t>272</t>
  </si>
  <si>
    <t>238.75</t>
  </si>
  <si>
    <t>10/31/2011</t>
  </si>
  <si>
    <t>14-4N-23-0000-0016-0060</t>
  </si>
  <si>
    <t>241884 CR 121</t>
  </si>
  <si>
    <t>2337</t>
  </si>
  <si>
    <t>MCINTOSH ELIZABETH ANN &amp;</t>
  </si>
  <si>
    <t>241884 COUNTY ROAD 12</t>
  </si>
  <si>
    <t>IN OR 1080/1794</t>
  </si>
  <si>
    <t>14-4N-23-0190-0001-0000</t>
  </si>
  <si>
    <t>144N23019000010000</t>
  </si>
  <si>
    <t>28154 ORLEANS RD</t>
  </si>
  <si>
    <t>3.52</t>
  </si>
  <si>
    <t>1536</t>
  </si>
  <si>
    <t xml:space="preserve"> NATIONAL CITY MORTGAGE CO</t>
  </si>
  <si>
    <t>63000.00</t>
  </si>
  <si>
    <t>04/03/2003</t>
  </si>
  <si>
    <t>MUSGROVE MICHAEL</t>
  </si>
  <si>
    <t>28154 ORLEANS ROA</t>
  </si>
  <si>
    <t>PT LOT 1 IN OR 682/161  (EX PT</t>
  </si>
  <si>
    <t>1105.67</t>
  </si>
  <si>
    <t>07/07/2017</t>
  </si>
  <si>
    <t>1142.32</t>
  </si>
  <si>
    <t>858.63</t>
  </si>
  <si>
    <t>2120.69</t>
  </si>
  <si>
    <t>10/04/2016</t>
  </si>
  <si>
    <t>2605.97</t>
  </si>
  <si>
    <t>1221</t>
  </si>
  <si>
    <t>2361.67</t>
  </si>
  <si>
    <t>02/05/2014</t>
  </si>
  <si>
    <t>275</t>
  </si>
  <si>
    <t>2507.99</t>
  </si>
  <si>
    <t>03/20/2013</t>
  </si>
  <si>
    <t>255</t>
  </si>
  <si>
    <t>2916.72</t>
  </si>
  <si>
    <t>03/21/2012</t>
  </si>
  <si>
    <t>22-4N-23-0000-0002-0070</t>
  </si>
  <si>
    <t>JOHNSON RD</t>
  </si>
  <si>
    <t>26900</t>
  </si>
  <si>
    <t>BLALOCK RICKY B</t>
  </si>
  <si>
    <t>18359 JOHNSON ROA</t>
  </si>
  <si>
    <t>NW1/4 OF NW1/4 OF NE1/4</t>
  </si>
  <si>
    <t>22-4N-23-0000-0003-0030</t>
  </si>
  <si>
    <t>224N23000000030030</t>
  </si>
  <si>
    <t>TRIGG RD</t>
  </si>
  <si>
    <t>LISTER STEVEN E &amp;</t>
  </si>
  <si>
    <t>1100 SEAGATE AV # 13</t>
  </si>
  <si>
    <t>Neptune Beach</t>
  </si>
  <si>
    <t>32266</t>
  </si>
  <si>
    <t>IN OR 1770/251</t>
  </si>
  <si>
    <t>216.80</t>
  </si>
  <si>
    <t>08/15/2016</t>
  </si>
  <si>
    <t>276</t>
  </si>
  <si>
    <t>01/31/2012</t>
  </si>
  <si>
    <t>22-4N-23-0000-0003-0080</t>
  </si>
  <si>
    <t>224N23000000030080</t>
  </si>
  <si>
    <t>28853 TRIGG RD</t>
  </si>
  <si>
    <t>6800</t>
  </si>
  <si>
    <t>HARRIS JAMES E</t>
  </si>
  <si>
    <t>28853 TRIGG R</t>
  </si>
  <si>
    <t>OR 181 PG 153</t>
  </si>
  <si>
    <t>172</t>
  </si>
  <si>
    <t>692.12</t>
  </si>
  <si>
    <t>699.17</t>
  </si>
  <si>
    <t>692.67</t>
  </si>
  <si>
    <t>03/22/2018</t>
  </si>
  <si>
    <t>1467</t>
  </si>
  <si>
    <t>923.02</t>
  </si>
  <si>
    <t>09/19/2012</t>
  </si>
  <si>
    <t>257</t>
  </si>
  <si>
    <t>654.55</t>
  </si>
  <si>
    <t>03/14/2011</t>
  </si>
  <si>
    <t>23-4N-23-0000-0007-0060</t>
  </si>
  <si>
    <t>28325 CHARITY LN</t>
  </si>
  <si>
    <t>1896</t>
  </si>
  <si>
    <t>43900</t>
  </si>
  <si>
    <t>MICHAEL O SELLERS ETUX</t>
  </si>
  <si>
    <t>48350.00</t>
  </si>
  <si>
    <t>STAND ALONE FIRST</t>
  </si>
  <si>
    <t>12/01/2028</t>
  </si>
  <si>
    <t>COOPER MEGEN</t>
  </si>
  <si>
    <t>28325 CHARITY L</t>
  </si>
  <si>
    <t>PT OF S1/2 OF SE1/4 OF NE1/4</t>
  </si>
  <si>
    <t>699.80</t>
  </si>
  <si>
    <t>23-4N-23-0000-0013-0010</t>
  </si>
  <si>
    <t>234N23000000130010</t>
  </si>
  <si>
    <t>241835 CR 121</t>
  </si>
  <si>
    <t>961</t>
  </si>
  <si>
    <t>YARBERRY REX ALLEN</t>
  </si>
  <si>
    <t>241835 CR 12</t>
  </si>
  <si>
    <t>IN NE 1/4 OF SE 1/4 OF NW1/4</t>
  </si>
  <si>
    <t>360.43</t>
  </si>
  <si>
    <t>366.63</t>
  </si>
  <si>
    <t>02/02/2018</t>
  </si>
  <si>
    <t>362.24</t>
  </si>
  <si>
    <t>03/24/2017</t>
  </si>
  <si>
    <t>23-4N-23-0000-0013-0020</t>
  </si>
  <si>
    <t>241836 CR 121</t>
  </si>
  <si>
    <t>MORGAN PHILLIP BRUCE L/E</t>
  </si>
  <si>
    <t>241836 COUNTY ROAD 12</t>
  </si>
  <si>
    <t>NE1/4 OF SE1/4 OF NW1/4</t>
  </si>
  <si>
    <t>178</t>
  </si>
  <si>
    <t>404.35</t>
  </si>
  <si>
    <t>23-4N-23-0000-0013-0030</t>
  </si>
  <si>
    <t>234N23000000130030</t>
  </si>
  <si>
    <t>28100 TRIGG RD</t>
  </si>
  <si>
    <t>MADDOX TEISHA</t>
  </si>
  <si>
    <t>28100 TRIGG R</t>
  </si>
  <si>
    <t>1150.14</t>
  </si>
  <si>
    <t>1092.34</t>
  </si>
  <si>
    <t>01/19/2018</t>
  </si>
  <si>
    <t>922.33</t>
  </si>
  <si>
    <t>881.52</t>
  </si>
  <si>
    <t>02/02/2015</t>
  </si>
  <si>
    <t>1041.12</t>
  </si>
  <si>
    <t>23-4N-23-2020-0020-0020</t>
  </si>
  <si>
    <t>234N23202000200020</t>
  </si>
  <si>
    <t>4.63</t>
  </si>
  <si>
    <t>29900</t>
  </si>
  <si>
    <t>59500.00</t>
  </si>
  <si>
    <t>12/02/2003</t>
  </si>
  <si>
    <t>DEWITT DOUGLASS E EST &amp;</t>
  </si>
  <si>
    <t>748 LEE ROA</t>
  </si>
  <si>
    <t>PT OF LOT 20  (EX S-3)</t>
  </si>
  <si>
    <t>180</t>
  </si>
  <si>
    <t>641.94</t>
  </si>
  <si>
    <t>651.87</t>
  </si>
  <si>
    <t>03/08/2018</t>
  </si>
  <si>
    <t>615.50</t>
  </si>
  <si>
    <t>583.75</t>
  </si>
  <si>
    <t>545.26</t>
  </si>
  <si>
    <t>05/01/2015</t>
  </si>
  <si>
    <t>1570</t>
  </si>
  <si>
    <t>639.02</t>
  </si>
  <si>
    <t>285</t>
  </si>
  <si>
    <t>711.29</t>
  </si>
  <si>
    <t>02/25/2013</t>
  </si>
  <si>
    <t>271</t>
  </si>
  <si>
    <t>849.94</t>
  </si>
  <si>
    <t>03/28/2012</t>
  </si>
  <si>
    <t>23-4N-23-2020-0021-0020</t>
  </si>
  <si>
    <t>234N23202000210020</t>
  </si>
  <si>
    <t>241797 CR 121</t>
  </si>
  <si>
    <t>5.93</t>
  </si>
  <si>
    <t>2512</t>
  </si>
  <si>
    <t>25900</t>
  </si>
  <si>
    <t>CROCKETT EARLAND M &amp; SARAH J</t>
  </si>
  <si>
    <t>PO BOX 75</t>
  </si>
  <si>
    <t>32041</t>
  </si>
  <si>
    <t>PT OF LOT 21</t>
  </si>
  <si>
    <t>23-4N-23-2020-0023-0010</t>
  </si>
  <si>
    <t>234N23-20200023-0010</t>
  </si>
  <si>
    <t>241811 CR 121</t>
  </si>
  <si>
    <t>4.33</t>
  </si>
  <si>
    <t xml:space="preserve"> BANK OF AMERICA</t>
  </si>
  <si>
    <t>119973.00</t>
  </si>
  <si>
    <t>11/21/2007</t>
  </si>
  <si>
    <t>PHILLIPS GARY &amp; MONICA</t>
  </si>
  <si>
    <t>241811 CR 12</t>
  </si>
  <si>
    <t>PT OF LOT 23</t>
  </si>
  <si>
    <t>162</t>
  </si>
  <si>
    <t>1423.61</t>
  </si>
  <si>
    <t>10/17/2016</t>
  </si>
  <si>
    <t>23-4N-23-2020-0050-0010</t>
  </si>
  <si>
    <t>234N23202000500010</t>
  </si>
  <si>
    <t>281101 SUNDBERG RD</t>
  </si>
  <si>
    <t>1817</t>
  </si>
  <si>
    <t>43500</t>
  </si>
  <si>
    <t>ROBLING BETTY JEAN L/E</t>
  </si>
  <si>
    <t>281101 SUNDBERG ROA</t>
  </si>
  <si>
    <t>PT OF LOT 50 IN OR 2078/1715</t>
  </si>
  <si>
    <t>182</t>
  </si>
  <si>
    <t>897.02</t>
  </si>
  <si>
    <t>907.59</t>
  </si>
  <si>
    <t>02/05/2018</t>
  </si>
  <si>
    <t>900.49</t>
  </si>
  <si>
    <t>12/02/2016</t>
  </si>
  <si>
    <t>24-4N-23-0000-0002-0000</t>
  </si>
  <si>
    <t>244N23000000020000</t>
  </si>
  <si>
    <t>US HWY 1</t>
  </si>
  <si>
    <t>YULEE</t>
  </si>
  <si>
    <t xml:space="preserve">Vacant Commercial </t>
  </si>
  <si>
    <t>VACANT COMMERCIAL</t>
  </si>
  <si>
    <t>ANDREU ALAN A</t>
  </si>
  <si>
    <t>554041 US HWY 1 NORT</t>
  </si>
  <si>
    <t>GOVT LOT 6 OF SEC 24-4N-23E</t>
  </si>
  <si>
    <t>910.30</t>
  </si>
  <si>
    <t>944.77</t>
  </si>
  <si>
    <t>967.50</t>
  </si>
  <si>
    <t>797.16</t>
  </si>
  <si>
    <t>905.03</t>
  </si>
  <si>
    <t>01/20/2015</t>
  </si>
  <si>
    <t>1630</t>
  </si>
  <si>
    <t>1042.36</t>
  </si>
  <si>
    <t>288</t>
  </si>
  <si>
    <t>1145.57</t>
  </si>
  <si>
    <t>03/18/2013</t>
  </si>
  <si>
    <t>1333.88</t>
  </si>
  <si>
    <t>25-4N-23-0000-0003-0040</t>
  </si>
  <si>
    <t>28063 POTOCHNIK RD</t>
  </si>
  <si>
    <t>2.26</t>
  </si>
  <si>
    <t>1322</t>
  </si>
  <si>
    <t>132000</t>
  </si>
  <si>
    <t>SOUTHTRUST MTG CORP</t>
  </si>
  <si>
    <t>45000.00</t>
  </si>
  <si>
    <t>STONE CHERYL A</t>
  </si>
  <si>
    <t>28063 POTOCHINK R</t>
  </si>
  <si>
    <t>PT OF E1/2 OF SW1/4 OF SE1/4</t>
  </si>
  <si>
    <t>25-4N-23-2020-0016-0030</t>
  </si>
  <si>
    <t>254N23202000160030</t>
  </si>
  <si>
    <t>171361 ANDREWS RD</t>
  </si>
  <si>
    <t>1.23</t>
  </si>
  <si>
    <t>70350</t>
  </si>
  <si>
    <t>SOUTHSTAR FUNDING</t>
  </si>
  <si>
    <t>129600.00</t>
  </si>
  <si>
    <t>11/01/2035</t>
  </si>
  <si>
    <t>HADDOCK TIMBER INC</t>
  </si>
  <si>
    <t>27359 GEIGER R</t>
  </si>
  <si>
    <t>PT OF LOT 16 (S-3)</t>
  </si>
  <si>
    <t>1893.27</t>
  </si>
  <si>
    <t>1755.31</t>
  </si>
  <si>
    <t>08/23/2016</t>
  </si>
  <si>
    <t>25-4N-23-2020-0029-0000</t>
  </si>
  <si>
    <t>254N23202000290000</t>
  </si>
  <si>
    <t>AMBER JACK LN</t>
  </si>
  <si>
    <t>6.84</t>
  </si>
  <si>
    <t>STRICKLAND ASHLEY L DONN &amp;</t>
  </si>
  <si>
    <t>28456 AMBER JACK L</t>
  </si>
  <si>
    <t>LOT 29  (EX S-1 &amp; S-2 &amp; S-3)</t>
  </si>
  <si>
    <t>285.49</t>
  </si>
  <si>
    <t>274.51</t>
  </si>
  <si>
    <t>06/07/2016</t>
  </si>
  <si>
    <t>232.43</t>
  </si>
  <si>
    <t>320.77</t>
  </si>
  <si>
    <t>26-4N-23-0000-0001-0040</t>
  </si>
  <si>
    <t>264N23000000010040</t>
  </si>
  <si>
    <t>5/5</t>
  </si>
  <si>
    <t>28805 SUNDBERG RD</t>
  </si>
  <si>
    <t>3.11</t>
  </si>
  <si>
    <t>DYAL JARRETT LEE</t>
  </si>
  <si>
    <t>28805 SUNBURG R</t>
  </si>
  <si>
    <t>IN OR 2090/1288</t>
  </si>
  <si>
    <t>597.12</t>
  </si>
  <si>
    <t>123.02</t>
  </si>
  <si>
    <t>119.32</t>
  </si>
  <si>
    <t>02/18/2016</t>
  </si>
  <si>
    <t>278.67</t>
  </si>
  <si>
    <t>02/12/2014</t>
  </si>
  <si>
    <t>1682</t>
  </si>
  <si>
    <t>298.91</t>
  </si>
  <si>
    <t>07/12/2013</t>
  </si>
  <si>
    <t>26-4N-23-0000-0001-0050</t>
  </si>
  <si>
    <t>264N23000000010050</t>
  </si>
  <si>
    <t>28897 SUNDBERG RD</t>
  </si>
  <si>
    <t>3.24</t>
  </si>
  <si>
    <t>1619</t>
  </si>
  <si>
    <t>BURKETT DALE E &amp; JUDY ANN</t>
  </si>
  <si>
    <t>28897 SUNDBERG ROA</t>
  </si>
  <si>
    <t>IN OR 481/764</t>
  </si>
  <si>
    <t>371.61</t>
  </si>
  <si>
    <t>369.56</t>
  </si>
  <si>
    <t>11/30/2016</t>
  </si>
  <si>
    <t>365.16</t>
  </si>
  <si>
    <t>05/09/2016</t>
  </si>
  <si>
    <t>521.86</t>
  </si>
  <si>
    <t>09/04/2015</t>
  </si>
  <si>
    <t>291</t>
  </si>
  <si>
    <t>557.78</t>
  </si>
  <si>
    <t>26-4N-23-0000-0001-0150</t>
  </si>
  <si>
    <t>264N23000000010150</t>
  </si>
  <si>
    <t>241738 CR 121</t>
  </si>
  <si>
    <t>4.80</t>
  </si>
  <si>
    <t>2040</t>
  </si>
  <si>
    <t>37299</t>
  </si>
  <si>
    <t>KING SANDY</t>
  </si>
  <si>
    <t>241738 N CR 12</t>
  </si>
  <si>
    <t>IN OR 1869/275</t>
  </si>
  <si>
    <t>190</t>
  </si>
  <si>
    <t>766.79</t>
  </si>
  <si>
    <t>854.57</t>
  </si>
  <si>
    <t>863.51</t>
  </si>
  <si>
    <t>26-4N-23-0000-0001-0250</t>
  </si>
  <si>
    <t>264N23000000010250</t>
  </si>
  <si>
    <t>241756 CR 121</t>
  </si>
  <si>
    <t>14.68</t>
  </si>
  <si>
    <t>SIEMER BRUCE &amp; CONSUELA</t>
  </si>
  <si>
    <t>PO BOX 38</t>
  </si>
  <si>
    <t>PT OR 829/1766</t>
  </si>
  <si>
    <t>1582.87</t>
  </si>
  <si>
    <t>04/26/2017</t>
  </si>
  <si>
    <t>1415.77</t>
  </si>
  <si>
    <t>2325</t>
  </si>
  <si>
    <t>1711.66</t>
  </si>
  <si>
    <t>2369</t>
  </si>
  <si>
    <t>2051.56</t>
  </si>
  <si>
    <t>2370</t>
  </si>
  <si>
    <t>2724.82</t>
  </si>
  <si>
    <t>280</t>
  </si>
  <si>
    <t>2257.10</t>
  </si>
  <si>
    <t>12/30/2011</t>
  </si>
  <si>
    <t>26-4N-23-0000-0001-0340</t>
  </si>
  <si>
    <t>264N23000000010340</t>
  </si>
  <si>
    <t>18110 GERANIUM LN</t>
  </si>
  <si>
    <t>1344</t>
  </si>
  <si>
    <t xml:space="preserve"> SUNTRUST MORTGAGE INC</t>
  </si>
  <si>
    <t>24429.00</t>
  </si>
  <si>
    <t>POPE JAMES MATTHEW &amp; CHRISTINA</t>
  </si>
  <si>
    <t>18110 GERANIUM L</t>
  </si>
  <si>
    <t>IN OR 1923/621</t>
  </si>
  <si>
    <t>267.88</t>
  </si>
  <si>
    <t>03/05/2017</t>
  </si>
  <si>
    <t>501.20</t>
  </si>
  <si>
    <t>2.75</t>
  </si>
  <si>
    <t>07/10/2015</t>
  </si>
  <si>
    <t>281</t>
  </si>
  <si>
    <t>810.28</t>
  </si>
  <si>
    <t>09/08/2010</t>
  </si>
  <si>
    <t>26-4N-23-0000-0001-0380</t>
  </si>
  <si>
    <t>264N23000000010380</t>
  </si>
  <si>
    <t>241716 CR 121</t>
  </si>
  <si>
    <t>ROWE REGINA DAWN</t>
  </si>
  <si>
    <t>241716 CR 12</t>
  </si>
  <si>
    <t>IN OR 2051/1850</t>
  </si>
  <si>
    <t>356.16</t>
  </si>
  <si>
    <t>313.71</t>
  </si>
  <si>
    <t>184</t>
  </si>
  <si>
    <t>403.33</t>
  </si>
  <si>
    <t>436.88</t>
  </si>
  <si>
    <t>1683</t>
  </si>
  <si>
    <t>496.79</t>
  </si>
  <si>
    <t>26-4N-23-0000-0001-0410</t>
  </si>
  <si>
    <t>27165 PAWNEE TRL</t>
  </si>
  <si>
    <t>33800</t>
  </si>
  <si>
    <t>FIRST FLORIDA CREDIT UNION</t>
  </si>
  <si>
    <t>148500.00</t>
  </si>
  <si>
    <t>03/01/2024</t>
  </si>
  <si>
    <t>BARLANTI ROBERT A &amp; KIMBERLY Z</t>
  </si>
  <si>
    <t>434 KIRKLAND C</t>
  </si>
  <si>
    <t>32065</t>
  </si>
  <si>
    <t>PT OF SE1/4 OF SW1/4 OF</t>
  </si>
  <si>
    <t>27-4N-23-0000-0002-0010</t>
  </si>
  <si>
    <t>274N23000000020010</t>
  </si>
  <si>
    <t>171057 HODGES RD</t>
  </si>
  <si>
    <t>2215</t>
  </si>
  <si>
    <t>110000</t>
  </si>
  <si>
    <t>MICHAEL D HARRIS</t>
  </si>
  <si>
    <t>106000.00</t>
  </si>
  <si>
    <t>03/17/2009</t>
  </si>
  <si>
    <t>JOHNSON KELLY &amp; BRITTANY</t>
  </si>
  <si>
    <t>171057 HODGES ROA</t>
  </si>
  <si>
    <t>PT OF NE1/4 &amp; NW1/4</t>
  </si>
  <si>
    <t>193</t>
  </si>
  <si>
    <t>768.30</t>
  </si>
  <si>
    <t>777.61</t>
  </si>
  <si>
    <t>845.29</t>
  </si>
  <si>
    <t>1457.64</t>
  </si>
  <si>
    <t>1742</t>
  </si>
  <si>
    <t>1550.62</t>
  </si>
  <si>
    <t>03/05/2014</t>
  </si>
  <si>
    <t>292</t>
  </si>
  <si>
    <t>1555.47</t>
  </si>
  <si>
    <t>03/01/2013</t>
  </si>
  <si>
    <t>27-4N-23-0000-0007-0010</t>
  </si>
  <si>
    <t>274N23000000070010</t>
  </si>
  <si>
    <t>HODGES RD</t>
  </si>
  <si>
    <t>12.50</t>
  </si>
  <si>
    <t xml:space="preserve"> CNB NATIONAL BANK</t>
  </si>
  <si>
    <t>46000.00</t>
  </si>
  <si>
    <t>04/27/2004</t>
  </si>
  <si>
    <t>LEE JOSEPH E &amp; KAREN D</t>
  </si>
  <si>
    <t>18214 JOSEPH L</t>
  </si>
  <si>
    <t>PT OF NW1/4 OF SE1/4 OF</t>
  </si>
  <si>
    <t>772.45</t>
  </si>
  <si>
    <t>06/27/2017</t>
  </si>
  <si>
    <t>1021.16</t>
  </si>
  <si>
    <t>07/05/2016</t>
  </si>
  <si>
    <t>165</t>
  </si>
  <si>
    <t>906.47</t>
  </si>
  <si>
    <t>02/23/2016</t>
  </si>
  <si>
    <t>815.49</t>
  </si>
  <si>
    <t>08/21/2014</t>
  </si>
  <si>
    <t>27-4N-23-0000-0007-0100</t>
  </si>
  <si>
    <t>OFF HODGES RD</t>
  </si>
  <si>
    <t>21ST MORTGAGE CORPORATION</t>
  </si>
  <si>
    <t>21ST MORTGAGE CORPORATION420 S ORANGE AVE SUITE 700PO BOX 234</t>
  </si>
  <si>
    <t>Orlando</t>
  </si>
  <si>
    <t>32801</t>
  </si>
  <si>
    <t>508.46</t>
  </si>
  <si>
    <t>27-4N-23-0000-0008-0050</t>
  </si>
  <si>
    <t>274N23000000080050</t>
  </si>
  <si>
    <t>3/7</t>
  </si>
  <si>
    <t>BROKEN ARROW RD</t>
  </si>
  <si>
    <t>4.65</t>
  </si>
  <si>
    <t>JEANPIERRE FRANCENOR &amp; VIOLENE</t>
  </si>
  <si>
    <t>1713 S KIRKMAN RD  APT 11</t>
  </si>
  <si>
    <t>32811</t>
  </si>
  <si>
    <t>PT E1/2 OF NW1/4 OF SW1/4 OF</t>
  </si>
  <si>
    <t>519.40</t>
  </si>
  <si>
    <t>512.88</t>
  </si>
  <si>
    <t>466.10</t>
  </si>
  <si>
    <t>414.37</t>
  </si>
  <si>
    <t>352.92</t>
  </si>
  <si>
    <t>1746</t>
  </si>
  <si>
    <t>409.26</t>
  </si>
  <si>
    <t>297</t>
  </si>
  <si>
    <t>405.53</t>
  </si>
  <si>
    <t>284</t>
  </si>
  <si>
    <t>600.79</t>
  </si>
  <si>
    <t>27-4N-23-0000-0011-0000</t>
  </si>
  <si>
    <t>274N23000000110000</t>
  </si>
  <si>
    <t>HINES MARVIN LEE</t>
  </si>
  <si>
    <t>11118 PINE ESTATES RD</t>
  </si>
  <si>
    <t>NE1/4 OF SE1/4</t>
  </si>
  <si>
    <t>07/20/2017</t>
  </si>
  <si>
    <t>210.01</t>
  </si>
  <si>
    <t>06/09/2015</t>
  </si>
  <si>
    <t>128.46</t>
  </si>
  <si>
    <t>07/10/2013</t>
  </si>
  <si>
    <t>28-4N-23-0000-0007-0010</t>
  </si>
  <si>
    <t>284N23000000070010</t>
  </si>
  <si>
    <t>18520 BROKEN ARROW RD</t>
  </si>
  <si>
    <t>70.00</t>
  </si>
  <si>
    <t>2928</t>
  </si>
  <si>
    <t>335000</t>
  </si>
  <si>
    <t>169248.00</t>
  </si>
  <si>
    <t>08/26/2015</t>
  </si>
  <si>
    <t>SMITH BARRY D</t>
  </si>
  <si>
    <t>18520 BROKEN ARROW R</t>
  </si>
  <si>
    <t>SE1/4 OF SE1/4  E1/2 OF</t>
  </si>
  <si>
    <t>6236.94</t>
  </si>
  <si>
    <t>05/18/2017</t>
  </si>
  <si>
    <t>5509.56</t>
  </si>
  <si>
    <t>08/13/2015</t>
  </si>
  <si>
    <t>192</t>
  </si>
  <si>
    <t>5306.36</t>
  </si>
  <si>
    <t>2532.07</t>
  </si>
  <si>
    <t>07/18/2013</t>
  </si>
  <si>
    <t>298</t>
  </si>
  <si>
    <t>3346.62</t>
  </si>
  <si>
    <t>286</t>
  </si>
  <si>
    <t>3831.51</t>
  </si>
  <si>
    <t>33-4N-23-0000-0006-0020</t>
  </si>
  <si>
    <t>334N23000000060020</t>
  </si>
  <si>
    <t>1942 TOMPKINS LANDING RD</t>
  </si>
  <si>
    <t>1860</t>
  </si>
  <si>
    <t xml:space="preserve"> 21ST MORTGAGE CORP</t>
  </si>
  <si>
    <t>68455.00</t>
  </si>
  <si>
    <t>11/22/2002</t>
  </si>
  <si>
    <t>BROWN JOHN WAYNE EST</t>
  </si>
  <si>
    <t>1964 THOMPKINS LANDING ROA</t>
  </si>
  <si>
    <t>183</t>
  </si>
  <si>
    <t>750.81</t>
  </si>
  <si>
    <t>02/12/2018</t>
  </si>
  <si>
    <t>633.00</t>
  </si>
  <si>
    <t>33-4N-23-2020-0044-0000</t>
  </si>
  <si>
    <t>334N23202000440000</t>
  </si>
  <si>
    <t>KNIGHT RD</t>
  </si>
  <si>
    <t>252000</t>
  </si>
  <si>
    <t xml:space="preserve"> COMMUNITY FIRST CU FL</t>
  </si>
  <si>
    <t>09/28/2006</t>
  </si>
  <si>
    <t>BELL RONALD LESTER</t>
  </si>
  <si>
    <t>272832 CONNER NELSON R</t>
  </si>
  <si>
    <t>PT OF LOTS 44 45 46 47 53</t>
  </si>
  <si>
    <t>256.56</t>
  </si>
  <si>
    <t>245.85</t>
  </si>
  <si>
    <t>02/08/2018</t>
  </si>
  <si>
    <t>213.59</t>
  </si>
  <si>
    <t>212.90</t>
  </si>
  <si>
    <t>244.27</t>
  </si>
  <si>
    <t>02/23/2015</t>
  </si>
  <si>
    <t>279.48</t>
  </si>
  <si>
    <t>02/25/2014</t>
  </si>
  <si>
    <t>306</t>
  </si>
  <si>
    <t>309.61</t>
  </si>
  <si>
    <t>294</t>
  </si>
  <si>
    <t>367.92</t>
  </si>
  <si>
    <t>33-4N-23-2020-0045-0020</t>
  </si>
  <si>
    <t>334N23202000450020</t>
  </si>
  <si>
    <t>272832 CONNER NELSON RD</t>
  </si>
  <si>
    <t>18.95</t>
  </si>
  <si>
    <t>3512</t>
  </si>
  <si>
    <t>07/24/2008</t>
  </si>
  <si>
    <t>272832 CONNER NELSON ROA</t>
  </si>
  <si>
    <t>PT OF LOTS 45 46 47 &amp; 48</t>
  </si>
  <si>
    <t>2451.26</t>
  </si>
  <si>
    <t>2488.51</t>
  </si>
  <si>
    <t>2476.78</t>
  </si>
  <si>
    <t>2316.25</t>
  </si>
  <si>
    <t>2322.38</t>
  </si>
  <si>
    <t>2554.82</t>
  </si>
  <si>
    <t>307</t>
  </si>
  <si>
    <t>2716.68</t>
  </si>
  <si>
    <t>295</t>
  </si>
  <si>
    <t>3269.64</t>
  </si>
  <si>
    <t>33-4N-23-2020-0049-0010</t>
  </si>
  <si>
    <t>3.60</t>
  </si>
  <si>
    <t>74900</t>
  </si>
  <si>
    <t>JAMES TOMMY L &amp; KRISTINA G</t>
  </si>
  <si>
    <t>76397 LONGLEAF LOO</t>
  </si>
  <si>
    <t>PT OF LOTS 49 50 51 52 &amp; 53</t>
  </si>
  <si>
    <t>34-4N-23-0000-0001-0080</t>
  </si>
  <si>
    <t>344N23000000010080</t>
  </si>
  <si>
    <t>241614 CR 121</t>
  </si>
  <si>
    <t>2.52</t>
  </si>
  <si>
    <t>WHITTLE PATRICIA JEAN</t>
  </si>
  <si>
    <t>29131 SAINT MARYS CIRCL</t>
  </si>
  <si>
    <t>PT OF W1/2 OF NE1/4</t>
  </si>
  <si>
    <t>791.79</t>
  </si>
  <si>
    <t>638.00</t>
  </si>
  <si>
    <t>03/29/2016</t>
  </si>
  <si>
    <t>828.91</t>
  </si>
  <si>
    <t>897.75</t>
  </si>
  <si>
    <t>2026</t>
  </si>
  <si>
    <t>1070.42</t>
  </si>
  <si>
    <t>310</t>
  </si>
  <si>
    <t>1117.47</t>
  </si>
  <si>
    <t>34-4N-23-0000-0001-0090</t>
  </si>
  <si>
    <t>14.60</t>
  </si>
  <si>
    <t>36800</t>
  </si>
  <si>
    <t>MCCULLOUGH DOUGLAS MARK</t>
  </si>
  <si>
    <t>15561 CR 10</t>
  </si>
  <si>
    <t>PT OF SEC 34-4N-23E</t>
  </si>
  <si>
    <t>203</t>
  </si>
  <si>
    <t>189.27</t>
  </si>
  <si>
    <t>34-4N-23-0000-0002-0060</t>
  </si>
  <si>
    <t>344N23000000020060</t>
  </si>
  <si>
    <t xml:space="preserve"> FIRST FLORIDA CU</t>
  </si>
  <si>
    <t>22000.00</t>
  </si>
  <si>
    <t>05/23/2012</t>
  </si>
  <si>
    <t>LOTT NICOLE</t>
  </si>
  <si>
    <t>814 NW 65TH AVENU</t>
  </si>
  <si>
    <t>Plantation</t>
  </si>
  <si>
    <t>33317</t>
  </si>
  <si>
    <t>PT OF W1/2 OF SW1/4</t>
  </si>
  <si>
    <t>552.96</t>
  </si>
  <si>
    <t>560.72</t>
  </si>
  <si>
    <t>529.61</t>
  </si>
  <si>
    <t>02/26/2017</t>
  </si>
  <si>
    <t>506.86</t>
  </si>
  <si>
    <t>07/13/2015</t>
  </si>
  <si>
    <t>2027</t>
  </si>
  <si>
    <t>593.13</t>
  </si>
  <si>
    <t>06/15/2012</t>
  </si>
  <si>
    <t>311</t>
  </si>
  <si>
    <t>660.01</t>
  </si>
  <si>
    <t>05/29/2012</t>
  </si>
  <si>
    <t>788.41</t>
  </si>
  <si>
    <t>11/28/2011</t>
  </si>
  <si>
    <t>34-4N-23-2020-0025-0010</t>
  </si>
  <si>
    <t>344N23202000250010</t>
  </si>
  <si>
    <t>241583 CR 121</t>
  </si>
  <si>
    <t>1887</t>
  </si>
  <si>
    <t>WHITTLE JEAN WILDES</t>
  </si>
  <si>
    <t>241583 CR 12</t>
  </si>
  <si>
    <t>LOT 25 LYING EAST OF 121 R/W</t>
  </si>
  <si>
    <t>205</t>
  </si>
  <si>
    <t>560.58</t>
  </si>
  <si>
    <t>568.38</t>
  </si>
  <si>
    <t>02/15/2018</t>
  </si>
  <si>
    <t>567.52</t>
  </si>
  <si>
    <t>09/16/2015</t>
  </si>
  <si>
    <t>617.86</t>
  </si>
  <si>
    <t>690.76</t>
  </si>
  <si>
    <t>2028</t>
  </si>
  <si>
    <t>723.98</t>
  </si>
  <si>
    <t>35-4N-23-2020-0033-0070</t>
  </si>
  <si>
    <t>354N23202000330070</t>
  </si>
  <si>
    <t>17801 ANDREWS RD</t>
  </si>
  <si>
    <t>1.42</t>
  </si>
  <si>
    <t>HENDERSON MARTY C</t>
  </si>
  <si>
    <t>17801 ANDREWS ROA</t>
  </si>
  <si>
    <t>PT OF LOT 33 (S-7)</t>
  </si>
  <si>
    <t>377.29</t>
  </si>
  <si>
    <t>372.86</t>
  </si>
  <si>
    <t>447.67</t>
  </si>
  <si>
    <t>489.53</t>
  </si>
  <si>
    <t>2056</t>
  </si>
  <si>
    <t>502.24</t>
  </si>
  <si>
    <t>36-4N-23-2020-0001-0000</t>
  </si>
  <si>
    <t>GEIGER RD</t>
  </si>
  <si>
    <t>HADDOCK RODNEY</t>
  </si>
  <si>
    <t>94.07</t>
  </si>
  <si>
    <t>36-4N-23-2020-0002-0010</t>
  </si>
  <si>
    <t>364N23202000020010</t>
  </si>
  <si>
    <t>27359 GEIGER RD</t>
  </si>
  <si>
    <t>2300</t>
  </si>
  <si>
    <t>34000</t>
  </si>
  <si>
    <t>ONIS LINWOOD HOLLEY ETUX</t>
  </si>
  <si>
    <t>208468.00</t>
  </si>
  <si>
    <t>08/26/2044</t>
  </si>
  <si>
    <t>HADDOCK RODNEY D &amp; BRANDI DALE</t>
  </si>
  <si>
    <t>PT LOT 2 &amp; N1/2 OF LOT 3</t>
  </si>
  <si>
    <t>3754.52</t>
  </si>
  <si>
    <t>2637.52</t>
  </si>
  <si>
    <t>3287</t>
  </si>
  <si>
    <t>318.11</t>
  </si>
  <si>
    <t>10/05/2012</t>
  </si>
  <si>
    <t>36-4N-23-2020-0003-0020</t>
  </si>
  <si>
    <t>364N23202000030020</t>
  </si>
  <si>
    <t>5.10</t>
  </si>
  <si>
    <t>HADDOCK BRANDI DALE</t>
  </si>
  <si>
    <t>S1/2 OF LOT 3 IN OR 2031/307</t>
  </si>
  <si>
    <t>49.86</t>
  </si>
  <si>
    <t>2095</t>
  </si>
  <si>
    <t>29.29</t>
  </si>
  <si>
    <t>12/05/2012</t>
  </si>
  <si>
    <t>317</t>
  </si>
  <si>
    <t>32.89</t>
  </si>
  <si>
    <t>41-4N-23-0000-0001-0050</t>
  </si>
  <si>
    <t>414N23000000010050</t>
  </si>
  <si>
    <t>29506 SCOTTS LANDING RD</t>
  </si>
  <si>
    <t xml:space="preserve">Commercial </t>
  </si>
  <si>
    <t>TOUR ATTRACT-PERM</t>
  </si>
  <si>
    <t>Steel Frame/incombustible walls/roof</t>
  </si>
  <si>
    <t>1987</t>
  </si>
  <si>
    <t>BECK KAREN LYNN</t>
  </si>
  <si>
    <t>23 SHARMAN STREE</t>
  </si>
  <si>
    <t>IN OR 522 PG 561</t>
  </si>
  <si>
    <t>4173.84</t>
  </si>
  <si>
    <t>3966.57</t>
  </si>
  <si>
    <t>04/26/2016</t>
  </si>
  <si>
    <t>3659.33</t>
  </si>
  <si>
    <t>11/10/2015</t>
  </si>
  <si>
    <t>2735.82</t>
  </si>
  <si>
    <t>12/11/2014</t>
  </si>
  <si>
    <t>2547</t>
  </si>
  <si>
    <t>2418.84</t>
  </si>
  <si>
    <t>03/24/2014</t>
  </si>
  <si>
    <t>320</t>
  </si>
  <si>
    <t>2436.84</t>
  </si>
  <si>
    <t>06/06/2013</t>
  </si>
  <si>
    <t>41-4N-23-1210-0008-0000</t>
  </si>
  <si>
    <t>414N23121000080000</t>
  </si>
  <si>
    <t>28123 COFFEE MILL LN</t>
  </si>
  <si>
    <t>93.52</t>
  </si>
  <si>
    <t>4181</t>
  </si>
  <si>
    <t>53800</t>
  </si>
  <si>
    <t>84300.00</t>
  </si>
  <si>
    <t>08/31/1999</t>
  </si>
  <si>
    <t>HUCKLEBY RHONDA L</t>
  </si>
  <si>
    <t>PO BOX 142</t>
  </si>
  <si>
    <t>LOT 8       OR 648/340</t>
  </si>
  <si>
    <t>211</t>
  </si>
  <si>
    <t>1971.85</t>
  </si>
  <si>
    <t>2000.53</t>
  </si>
  <si>
    <t>1949.28</t>
  </si>
  <si>
    <t>03/21/2016</t>
  </si>
  <si>
    <t>2548</t>
  </si>
  <si>
    <t>1976.15</t>
  </si>
  <si>
    <t>04/19/2013</t>
  </si>
  <si>
    <t>41-4N-23-2100-0003-0050</t>
  </si>
  <si>
    <t>414N23210000030050</t>
  </si>
  <si>
    <t>0.34</t>
  </si>
  <si>
    <t>FIRST UNION NATIONAL BANK</t>
  </si>
  <si>
    <t>76638.00</t>
  </si>
  <si>
    <t>07/13/2011</t>
  </si>
  <si>
    <t>HADDOCK BRANDI DALE &amp;</t>
  </si>
  <si>
    <t>BLOCK 3 LOT 5</t>
  </si>
  <si>
    <t>2550</t>
  </si>
  <si>
    <t>55.67</t>
  </si>
  <si>
    <t>324</t>
  </si>
  <si>
    <t>54.71</t>
  </si>
  <si>
    <t>12/29/2011</t>
  </si>
  <si>
    <t>41-4N-23-2100-0004-0070</t>
  </si>
  <si>
    <t>414N23210000040070</t>
  </si>
  <si>
    <t>29131 ST MARYS CIR</t>
  </si>
  <si>
    <t>0.36</t>
  </si>
  <si>
    <t>2538</t>
  </si>
  <si>
    <t>29131 ST MARYS CIRCL</t>
  </si>
  <si>
    <t>BLOCK 4 LOT 7</t>
  </si>
  <si>
    <t>213</t>
  </si>
  <si>
    <t>1841.37</t>
  </si>
  <si>
    <t>1855.83</t>
  </si>
  <si>
    <t>02/20/2018</t>
  </si>
  <si>
    <t>1668.77</t>
  </si>
  <si>
    <t>11/29/2016</t>
  </si>
  <si>
    <t>1504.09</t>
  </si>
  <si>
    <t>1749.15</t>
  </si>
  <si>
    <t>2551</t>
  </si>
  <si>
    <t>2042.81</t>
  </si>
  <si>
    <t>41-4N-23-2100-0004-0080</t>
  </si>
  <si>
    <t>TWO WATERS LN</t>
  </si>
  <si>
    <t>EQUITY TRUST COMPANY CUSTODIAN</t>
  </si>
  <si>
    <t>770 A1A BEACH BLV</t>
  </si>
  <si>
    <t>Saint Augustine</t>
  </si>
  <si>
    <t>32080</t>
  </si>
  <si>
    <t>BLOCK 4 LOT 8</t>
  </si>
  <si>
    <t>214</t>
  </si>
  <si>
    <t>321.77</t>
  </si>
  <si>
    <t>08/08/2017</t>
  </si>
  <si>
    <t>41-4N-23-2100-0005-0020</t>
  </si>
  <si>
    <t>414N23210000050020</t>
  </si>
  <si>
    <t>ST MARYS CIR</t>
  </si>
  <si>
    <t>HARVILL LINDA</t>
  </si>
  <si>
    <t>PO BOX 78</t>
  </si>
  <si>
    <t>BLOCK 5 LOT 2</t>
  </si>
  <si>
    <t>177.86</t>
  </si>
  <si>
    <t>02/25/2016</t>
  </si>
  <si>
    <t>144.84</t>
  </si>
  <si>
    <t>47-4N-23-0000-0001-0040</t>
  </si>
  <si>
    <t>474N23000000010040</t>
  </si>
  <si>
    <t>TRACEY RD</t>
  </si>
  <si>
    <t>2.70</t>
  </si>
  <si>
    <t>THIGPEN LORITA J</t>
  </si>
  <si>
    <t>2113 JERSEY STREE</t>
  </si>
  <si>
    <t>IN OR 921/1215-1217</t>
  </si>
  <si>
    <t>309</t>
  </si>
  <si>
    <t>06/22/2010</t>
  </si>
  <si>
    <t>49-4N-23-0000-0007-0010</t>
  </si>
  <si>
    <t>494N23000000070010</t>
  </si>
  <si>
    <t>2845 FOXGLOVE PL</t>
  </si>
  <si>
    <t>BOUCHARD JOSEPH E IV &amp;</t>
  </si>
  <si>
    <t>2845 FOXGLOVE PLAC</t>
  </si>
  <si>
    <t>IN OR 1299/550</t>
  </si>
  <si>
    <t>01-1N-24-0000-0001-0020</t>
  </si>
  <si>
    <t>011N24000000010020</t>
  </si>
  <si>
    <t>44191 KINGBIRD DR</t>
  </si>
  <si>
    <t>CALLAHAN</t>
  </si>
  <si>
    <t>3072</t>
  </si>
  <si>
    <t>112000</t>
  </si>
  <si>
    <t>PINNACLE FINANCIAL CORP</t>
  </si>
  <si>
    <t>104900.00</t>
  </si>
  <si>
    <t>10/01/2032</t>
  </si>
  <si>
    <t>TYNER ALBERT J &amp; MARGARET S</t>
  </si>
  <si>
    <t>44191 KINGBIRD DRIV</t>
  </si>
  <si>
    <t>IN OR 1269/1152</t>
  </si>
  <si>
    <t>215</t>
  </si>
  <si>
    <t>1456.81</t>
  </si>
  <si>
    <t>06/30/2017</t>
  </si>
  <si>
    <t>1599.05</t>
  </si>
  <si>
    <t>1602.13</t>
  </si>
  <si>
    <t>1917.96</t>
  </si>
  <si>
    <t>03/06/2015</t>
  </si>
  <si>
    <t>329</t>
  </si>
  <si>
    <t>2497.39</t>
  </si>
  <si>
    <t>10/14/2011</t>
  </si>
  <si>
    <t>01-1N-24-0000-0002-0130</t>
  </si>
  <si>
    <t>44110 SANDY FORD RD</t>
  </si>
  <si>
    <t>29000</t>
  </si>
  <si>
    <t>FLORIDA COMMERCE CU</t>
  </si>
  <si>
    <t>07/01/2012</t>
  </si>
  <si>
    <t>REAVES SHAWN C</t>
  </si>
  <si>
    <t>44110 SANDY FORD R</t>
  </si>
  <si>
    <t>IN OR 1997/953</t>
  </si>
  <si>
    <t>01-1N-24-0000-0003-0100</t>
  </si>
  <si>
    <t>44244 HIGGINBOTHAM DR</t>
  </si>
  <si>
    <t>1629</t>
  </si>
  <si>
    <t>DENMARK DARRELL A</t>
  </si>
  <si>
    <t>44244 HIGGINBOTHAM DRIV</t>
  </si>
  <si>
    <t>IN OR 763/610 &amp; OR 1799/522</t>
  </si>
  <si>
    <t>600.16</t>
  </si>
  <si>
    <t>01-1N-24-0000-0003-0230</t>
  </si>
  <si>
    <t>HIGGINBOTHAM RD</t>
  </si>
  <si>
    <t>1.07</t>
  </si>
  <si>
    <t>DENMARK DARRELL A &amp; GINA L</t>
  </si>
  <si>
    <t>IN OR 730 PG 1339</t>
  </si>
  <si>
    <t>01-1N-24-1370-0011-0000</t>
  </si>
  <si>
    <t>34295 DAYBREAK DR</t>
  </si>
  <si>
    <t>3021</t>
  </si>
  <si>
    <t>308000</t>
  </si>
  <si>
    <t>52700.00</t>
  </si>
  <si>
    <t>GREGG JOSHUA D &amp;</t>
  </si>
  <si>
    <t>34295 DAYBREAK DRIV</t>
  </si>
  <si>
    <t>02-1N-24-2180-1377-0000</t>
  </si>
  <si>
    <t>021N24218013770000</t>
  </si>
  <si>
    <t>34143 OLD BALDWIN RD</t>
  </si>
  <si>
    <t>2508</t>
  </si>
  <si>
    <t>MEADOWS CARSON D &amp; BELVA L</t>
  </si>
  <si>
    <t>PO BOX 44008</t>
  </si>
  <si>
    <t>32222</t>
  </si>
  <si>
    <t>LOT 1377  (EX S-1 &amp; S-2)</t>
  </si>
  <si>
    <t>786.17</t>
  </si>
  <si>
    <t>798.52</t>
  </si>
  <si>
    <t>728.69</t>
  </si>
  <si>
    <t>988.19</t>
  </si>
  <si>
    <t>03/04/2016</t>
  </si>
  <si>
    <t>1054.27</t>
  </si>
  <si>
    <t>03/02/2015</t>
  </si>
  <si>
    <t>630</t>
  </si>
  <si>
    <t>1133.84</t>
  </si>
  <si>
    <t>338</t>
  </si>
  <si>
    <t>1199.80</t>
  </si>
  <si>
    <t>11-1N-24-2180-0014-0000</t>
  </si>
  <si>
    <t>111N24218000140000</t>
  </si>
  <si>
    <t>34505 LEMONWOOD LN</t>
  </si>
  <si>
    <t>330000</t>
  </si>
  <si>
    <t>STEWART WILLIAM</t>
  </si>
  <si>
    <t>PO BOX 115</t>
  </si>
  <si>
    <t>LOT 14</t>
  </si>
  <si>
    <t>221</t>
  </si>
  <si>
    <t>310.42</t>
  </si>
  <si>
    <t>252.74</t>
  </si>
  <si>
    <t>240.57</t>
  </si>
  <si>
    <t>210.38</t>
  </si>
  <si>
    <t>1140</t>
  </si>
  <si>
    <t>03/27/2014</t>
  </si>
  <si>
    <t>342</t>
  </si>
  <si>
    <t>333</t>
  </si>
  <si>
    <t>11-1N-24-2180-0040-0040</t>
  </si>
  <si>
    <t>111N24218000400040</t>
  </si>
  <si>
    <t>33681 WOODS LN</t>
  </si>
  <si>
    <t>0.44</t>
  </si>
  <si>
    <t>989</t>
  </si>
  <si>
    <t>MCSWAIN JON DAMIEN &amp;</t>
  </si>
  <si>
    <t>33681 WOOD L</t>
  </si>
  <si>
    <t>PT OF LOT 40</t>
  </si>
  <si>
    <t>465.84</t>
  </si>
  <si>
    <t>11-1N-24-2180-0040-0050</t>
  </si>
  <si>
    <t>111N24218000400050</t>
  </si>
  <si>
    <t>33685 WOODS LN</t>
  </si>
  <si>
    <t>928</t>
  </si>
  <si>
    <t>5900</t>
  </si>
  <si>
    <t xml:space="preserve"> WACHOVIA BANK NA</t>
  </si>
  <si>
    <t>24499.00</t>
  </si>
  <si>
    <t>03/27/2006</t>
  </si>
  <si>
    <t>PRESCOTT ARNOLD L EST</t>
  </si>
  <si>
    <t>33685 WOODS L</t>
  </si>
  <si>
    <t>772.21</t>
  </si>
  <si>
    <t>777.21</t>
  </si>
  <si>
    <t>07/26/2016</t>
  </si>
  <si>
    <t>700.16</t>
  </si>
  <si>
    <t>04/17/2015</t>
  </si>
  <si>
    <t>232</t>
  </si>
  <si>
    <t>684.19</t>
  </si>
  <si>
    <t>336</t>
  </si>
  <si>
    <t>820.95</t>
  </si>
  <si>
    <t>05/17/2011</t>
  </si>
  <si>
    <t>11-1N-24-2180-0053-0030</t>
  </si>
  <si>
    <t>111N24218000530030</t>
  </si>
  <si>
    <t>3/6</t>
  </si>
  <si>
    <t>CRAWFORD RD</t>
  </si>
  <si>
    <t>0.15</t>
  </si>
  <si>
    <t>ZAKRZEWSKI RANDY J &amp; SUSAN G</t>
  </si>
  <si>
    <t>24966 CRAWFORD ROA</t>
  </si>
  <si>
    <t>PT OF LOT 53 (S-3)</t>
  </si>
  <si>
    <t>223</t>
  </si>
  <si>
    <t>65.69</t>
  </si>
  <si>
    <t>51.22</t>
  </si>
  <si>
    <t>54.58</t>
  </si>
  <si>
    <t>50.25</t>
  </si>
  <si>
    <t>1143</t>
  </si>
  <si>
    <t>47.75</t>
  </si>
  <si>
    <t>346</t>
  </si>
  <si>
    <t>50.73</t>
  </si>
  <si>
    <t>339</t>
  </si>
  <si>
    <t>57.23</t>
  </si>
  <si>
    <t>11-1N-24-2180-0056-0010</t>
  </si>
  <si>
    <t>24890 CRAWFORD RD</t>
  </si>
  <si>
    <t>1.25</t>
  </si>
  <si>
    <t>18500</t>
  </si>
  <si>
    <t>DONNIE R STARLING</t>
  </si>
  <si>
    <t>17000.00</t>
  </si>
  <si>
    <t>01/29/2009</t>
  </si>
  <si>
    <t>MILLER TRACY DENIEL EST</t>
  </si>
  <si>
    <t>24890 CRAWFORD ROA</t>
  </si>
  <si>
    <t>PT OF LOT 56   1999 SW/MH BELL</t>
  </si>
  <si>
    <t>14-1N-24-2180-0089-0000</t>
  </si>
  <si>
    <t>141N24-21800089-0000</t>
  </si>
  <si>
    <t>US HWY 301</t>
  </si>
  <si>
    <t>0.93</t>
  </si>
  <si>
    <t>PICKETT CHARLES A EST</t>
  </si>
  <si>
    <t>542586 US HWY</t>
  </si>
  <si>
    <t>LOTS 89,90,91,92,93,94,95 &amp; 96</t>
  </si>
  <si>
    <t>28.65</t>
  </si>
  <si>
    <t>01/25/2017</t>
  </si>
  <si>
    <t>14-1N-24-2180-0106-0000</t>
  </si>
  <si>
    <t>141N24218001060000</t>
  </si>
  <si>
    <t>0.68</t>
  </si>
  <si>
    <t>LOTS 104,105,106,107,108,109,</t>
  </si>
  <si>
    <t>443.01</t>
  </si>
  <si>
    <t>206</t>
  </si>
  <si>
    <t>451.05</t>
  </si>
  <si>
    <t>701.74</t>
  </si>
  <si>
    <t>237</t>
  </si>
  <si>
    <t>353.55</t>
  </si>
  <si>
    <t>05/14/2014</t>
  </si>
  <si>
    <t>14-1N-24-2180-0517-0000</t>
  </si>
  <si>
    <t>0.12</t>
  </si>
  <si>
    <t>ZINN RICHARD L</t>
  </si>
  <si>
    <t>3707 SAGE WA</t>
  </si>
  <si>
    <t>Oceanside</t>
  </si>
  <si>
    <t>California</t>
  </si>
  <si>
    <t>92057</t>
  </si>
  <si>
    <t>LOT 517 &amp; E1/2 OF ABAND ST IN</t>
  </si>
  <si>
    <t>14-1N-24-2180-0539-0000</t>
  </si>
  <si>
    <t>LOT 539</t>
  </si>
  <si>
    <t>14-1N-24-2180-0699-0000</t>
  </si>
  <si>
    <t>141N24218006990000</t>
  </si>
  <si>
    <t>0.07</t>
  </si>
  <si>
    <t>HOBBS KATHRYN M</t>
  </si>
  <si>
    <t>7050 SUNSET DR SOUTH #40</t>
  </si>
  <si>
    <t>South Pasadena</t>
  </si>
  <si>
    <t>33707</t>
  </si>
  <si>
    <t>LOT 699</t>
  </si>
  <si>
    <t>1189</t>
  </si>
  <si>
    <t>19.50</t>
  </si>
  <si>
    <t>351</t>
  </si>
  <si>
    <t>27.97</t>
  </si>
  <si>
    <t>14-1N-24-2180-0749-0000</t>
  </si>
  <si>
    <t>141N24218007490000</t>
  </si>
  <si>
    <t>0.11</t>
  </si>
  <si>
    <t>KUNTZ WALTER F &amp; KENNETH J</t>
  </si>
  <si>
    <t>6916 PAR WA</t>
  </si>
  <si>
    <t>Ft Myers</t>
  </si>
  <si>
    <t>33919</t>
  </si>
  <si>
    <t>LOT 749</t>
  </si>
  <si>
    <t>34.65</t>
  </si>
  <si>
    <t>29.50</t>
  </si>
  <si>
    <t>28.57</t>
  </si>
  <si>
    <t>28.23</t>
  </si>
  <si>
    <t>29.26</t>
  </si>
  <si>
    <t>1190</t>
  </si>
  <si>
    <t>22.65</t>
  </si>
  <si>
    <t>352</t>
  </si>
  <si>
    <t>31.98</t>
  </si>
  <si>
    <t>14-1N-24-2180-0761-0000</t>
  </si>
  <si>
    <t>141N24218007610000</t>
  </si>
  <si>
    <t>SHIRK G M MRS EST OF</t>
  </si>
  <si>
    <t>34172 PICKETT FAMILY COUR</t>
  </si>
  <si>
    <t>LOT 761</t>
  </si>
  <si>
    <t>1191</t>
  </si>
  <si>
    <t>353</t>
  </si>
  <si>
    <t>30.28</t>
  </si>
  <si>
    <t>14-1N-24-2180-1046-0000</t>
  </si>
  <si>
    <t>141N24218010460000</t>
  </si>
  <si>
    <t>0/6</t>
  </si>
  <si>
    <t>0.23</t>
  </si>
  <si>
    <t>1980</t>
  </si>
  <si>
    <t>SNYDER DONALD</t>
  </si>
  <si>
    <t>1430 FARNHAM R</t>
  </si>
  <si>
    <t>Troy</t>
  </si>
  <si>
    <t>Ohio</t>
  </si>
  <si>
    <t>45373</t>
  </si>
  <si>
    <t>LOTS 1046 &amp; 1047</t>
  </si>
  <si>
    <t>61.19</t>
  </si>
  <si>
    <t>56.02</t>
  </si>
  <si>
    <t>42.94</t>
  </si>
  <si>
    <t>41.81</t>
  </si>
  <si>
    <t>45.07</t>
  </si>
  <si>
    <t>1196</t>
  </si>
  <si>
    <t>41.55</t>
  </si>
  <si>
    <t>14-1N-24-2180-1049-0000</t>
  </si>
  <si>
    <t>141N24-21801049-0000</t>
  </si>
  <si>
    <t>LOT 1049</t>
  </si>
  <si>
    <t>58.60</t>
  </si>
  <si>
    <t>45.67</t>
  </si>
  <si>
    <t>14-1N-24-2180-1184-0000</t>
  </si>
  <si>
    <t>33600 CROSSFIRE TR</t>
  </si>
  <si>
    <t>LINDSEY JAMES &amp;</t>
  </si>
  <si>
    <t>PO BOX 229</t>
  </si>
  <si>
    <t>LOT 1184</t>
  </si>
  <si>
    <t>14-1N-24-2180-1190-0000</t>
  </si>
  <si>
    <t>141N24218011900000</t>
  </si>
  <si>
    <t>33575 RATTLESNAKE TRL</t>
  </si>
  <si>
    <t>57000</t>
  </si>
  <si>
    <t>LINDSEY CHARLES R</t>
  </si>
  <si>
    <t>8881 ROSEHILL DR</t>
  </si>
  <si>
    <t>32221</t>
  </si>
  <si>
    <t>LOT 1190</t>
  </si>
  <si>
    <t>1428.14</t>
  </si>
  <si>
    <t>212</t>
  </si>
  <si>
    <t>1372.75</t>
  </si>
  <si>
    <t>06/22/2016</t>
  </si>
  <si>
    <t>1198.56</t>
  </si>
  <si>
    <t>59.21</t>
  </si>
  <si>
    <t>14-1N-24-2180-1191-0010</t>
  </si>
  <si>
    <t>33350 CRIPPLE HORSE TRL</t>
  </si>
  <si>
    <t>4.57</t>
  </si>
  <si>
    <t>1956</t>
  </si>
  <si>
    <t>CHURCH KIM</t>
  </si>
  <si>
    <t>33350 CRIPPLE HORSE TRAI</t>
  </si>
  <si>
    <t>PT LOT 1191</t>
  </si>
  <si>
    <t>14-1N-24-2180-1191-0020</t>
  </si>
  <si>
    <t>SAGEBRUSH LN</t>
  </si>
  <si>
    <t>CHURCH JOSEPH R &amp; KIM</t>
  </si>
  <si>
    <t>36100 SAGEBRUSH LAN</t>
  </si>
  <si>
    <t>15-1N-24-2180-1229-0020</t>
  </si>
  <si>
    <t>34477 WELCH RD</t>
  </si>
  <si>
    <t>1486</t>
  </si>
  <si>
    <t>20000</t>
  </si>
  <si>
    <t>WELCH LESLEY JUNIOR EST</t>
  </si>
  <si>
    <t>34477 WELCH ROA</t>
  </si>
  <si>
    <t>S1/2 LOT 1229</t>
  </si>
  <si>
    <t>235</t>
  </si>
  <si>
    <t>730.72</t>
  </si>
  <si>
    <t>15-1N-24-2180-1235-0020</t>
  </si>
  <si>
    <t>151N24218012350020</t>
  </si>
  <si>
    <t>33414 WOODS LN</t>
  </si>
  <si>
    <t>874</t>
  </si>
  <si>
    <t>HIGGINBOTHAM CHARLES</t>
  </si>
  <si>
    <t>33414 WOODS LAN</t>
  </si>
  <si>
    <t>PT OF LOT 1235</t>
  </si>
  <si>
    <t>521.58</t>
  </si>
  <si>
    <t>02/23/2018</t>
  </si>
  <si>
    <t>527.59</t>
  </si>
  <si>
    <t>01/19/2017</t>
  </si>
  <si>
    <t>16-1N-24-2090-0001-0000</t>
  </si>
  <si>
    <t>161N24209000010000</t>
  </si>
  <si>
    <t>33247 TUPELO LN</t>
  </si>
  <si>
    <t>8.90</t>
  </si>
  <si>
    <t>HARRISON THOMAS J &amp; CARRIE A</t>
  </si>
  <si>
    <t>PO BOX 5</t>
  </si>
  <si>
    <t>824.90</t>
  </si>
  <si>
    <t>820.00</t>
  </si>
  <si>
    <t>347</t>
  </si>
  <si>
    <t>1622.73</t>
  </si>
  <si>
    <t>03/29/2011</t>
  </si>
  <si>
    <t>16-1N-24-2090-0010-0000</t>
  </si>
  <si>
    <t>161N24209000100000</t>
  </si>
  <si>
    <t>WIREGRASS WAY</t>
  </si>
  <si>
    <t>10.20</t>
  </si>
  <si>
    <t>COMMERCIAL</t>
  </si>
  <si>
    <t>DEMPSEY ROBERT T</t>
  </si>
  <si>
    <t>4446 HENDRICKS AVE #22</t>
  </si>
  <si>
    <t>32207</t>
  </si>
  <si>
    <t>LOT 10</t>
  </si>
  <si>
    <t>16-1N-24-2090-0013-0000</t>
  </si>
  <si>
    <t>33348 HALF HITCH DR</t>
  </si>
  <si>
    <t>10.30</t>
  </si>
  <si>
    <t>CHRISTINE M EMMONS</t>
  </si>
  <si>
    <t>44500.00</t>
  </si>
  <si>
    <t>CONGER GARY DANIEL &amp;</t>
  </si>
  <si>
    <t>27258 W 1ST AVENU</t>
  </si>
  <si>
    <t>16-1N-24-2090-0020-0000</t>
  </si>
  <si>
    <t>161N24209000200000</t>
  </si>
  <si>
    <t>33250 WIREGRASS WAY</t>
  </si>
  <si>
    <t>52155</t>
  </si>
  <si>
    <t>BAHRI NABIL &amp; SOHA</t>
  </si>
  <si>
    <t>7433 TRAILS EN</t>
  </si>
  <si>
    <t>LOT 20</t>
  </si>
  <si>
    <t>833.02</t>
  </si>
  <si>
    <t>06/14/2017</t>
  </si>
  <si>
    <t>810.68</t>
  </si>
  <si>
    <t>664.81</t>
  </si>
  <si>
    <t>16-1N-24-2090-0038-0000</t>
  </si>
  <si>
    <t>161N24209000380000</t>
  </si>
  <si>
    <t>34978 STEEPLE CHASE WAY</t>
  </si>
  <si>
    <t>13.20</t>
  </si>
  <si>
    <t>BLAISE JORDYNE &amp;</t>
  </si>
  <si>
    <t>12350 NW 2ND S</t>
  </si>
  <si>
    <t>33325</t>
  </si>
  <si>
    <t>LOT 38</t>
  </si>
  <si>
    <t>675.48</t>
  </si>
  <si>
    <t>16-1N-24-2090-0071-0000</t>
  </si>
  <si>
    <t>161N24209000710000</t>
  </si>
  <si>
    <t>33250 TUPELO LN</t>
  </si>
  <si>
    <t>9.90</t>
  </si>
  <si>
    <t>JOEL MARTIN SANDERS JR ETAL</t>
  </si>
  <si>
    <t>44910.00</t>
  </si>
  <si>
    <t>03/01/2022</t>
  </si>
  <si>
    <t>MCKENZIE JAY</t>
  </si>
  <si>
    <t>12583 SHALLOW BROOKE CIRCL</t>
  </si>
  <si>
    <t>LOT 71</t>
  </si>
  <si>
    <t>17-1N-24-2091-0003-0000</t>
  </si>
  <si>
    <t>34507 MITIGATION TR</t>
  </si>
  <si>
    <t>6.20</t>
  </si>
  <si>
    <t>39900</t>
  </si>
  <si>
    <t>WOODARD CATHERINE P &amp; BOBBY W</t>
  </si>
  <si>
    <t>10070 CHESTERTON R</t>
  </si>
  <si>
    <t>32246</t>
  </si>
  <si>
    <t>17-1N-24-2091-0005-0000</t>
  </si>
  <si>
    <t>171N24209100050000</t>
  </si>
  <si>
    <t>34483 MITIGATION TR</t>
  </si>
  <si>
    <t>4.34</t>
  </si>
  <si>
    <t>42900</t>
  </si>
  <si>
    <t>RAMIREZ KAREN</t>
  </si>
  <si>
    <t>6500 NW 114 AVE APT 103</t>
  </si>
  <si>
    <t>Miami</t>
  </si>
  <si>
    <t>33178</t>
  </si>
  <si>
    <t>LOT 5</t>
  </si>
  <si>
    <t>631.24</t>
  </si>
  <si>
    <t>12/18/2017</t>
  </si>
  <si>
    <t>640.91</t>
  </si>
  <si>
    <t>03/22/2017</t>
  </si>
  <si>
    <t>460.69</t>
  </si>
  <si>
    <t>04/11/2016</t>
  </si>
  <si>
    <t>17-1N-24-2091-0025-0000</t>
  </si>
  <si>
    <t>171N24209100250000</t>
  </si>
  <si>
    <t>35030 HEARTHSTONE WAY</t>
  </si>
  <si>
    <t>3.56</t>
  </si>
  <si>
    <t>TUPELO PLANTATION LLC</t>
  </si>
  <si>
    <t>28744.00</t>
  </si>
  <si>
    <t>GRAY DANIEL J &amp; AMANDA K</t>
  </si>
  <si>
    <t>3866 WALSH S</t>
  </si>
  <si>
    <t>LOT 25</t>
  </si>
  <si>
    <t>558.94</t>
  </si>
  <si>
    <t>566.86</t>
  </si>
  <si>
    <t>455.52</t>
  </si>
  <si>
    <t>10/20/2015</t>
  </si>
  <si>
    <t>20-1N-24-0000-0002-0090</t>
  </si>
  <si>
    <t>201N24000000020090</t>
  </si>
  <si>
    <t>33354 CONLEY RD</t>
  </si>
  <si>
    <t>1104</t>
  </si>
  <si>
    <t xml:space="preserve"> AMERICAN GENERAL HOME EQUITY</t>
  </si>
  <si>
    <t>7000.00</t>
  </si>
  <si>
    <t>06/30/2006</t>
  </si>
  <si>
    <t>CONLEY DARRELL JR &amp; CRYSTAL</t>
  </si>
  <si>
    <t>IN OR 1140/1850</t>
  </si>
  <si>
    <t>247</t>
  </si>
  <si>
    <t>717.96</t>
  </si>
  <si>
    <t>727.83</t>
  </si>
  <si>
    <t>667.52</t>
  </si>
  <si>
    <t>575.40</t>
  </si>
  <si>
    <t>562.30</t>
  </si>
  <si>
    <t>1416</t>
  </si>
  <si>
    <t>647.54</t>
  </si>
  <si>
    <t>358</t>
  </si>
  <si>
    <t>713.30</t>
  </si>
  <si>
    <t>349</t>
  </si>
  <si>
    <t>838.43</t>
  </si>
  <si>
    <t>23-1N-24-2180-1270-0010</t>
  </si>
  <si>
    <t>231N24218012700010</t>
  </si>
  <si>
    <t>33480 RATTLESNAKE TRL</t>
  </si>
  <si>
    <t>2108</t>
  </si>
  <si>
    <t>LIGHTSEY LARRY L</t>
  </si>
  <si>
    <t>33480 RATTLESNAKE TRAI</t>
  </si>
  <si>
    <t>N1/2 OF N1/2 OF LOT 1270</t>
  </si>
  <si>
    <t>1554</t>
  </si>
  <si>
    <t>1717.52</t>
  </si>
  <si>
    <t>07/16/2012</t>
  </si>
  <si>
    <t>23-1N-24-2180-1273-0000</t>
  </si>
  <si>
    <t>231N24218012730000</t>
  </si>
  <si>
    <t>34100 BREADCRUMB TRL</t>
  </si>
  <si>
    <t>NELSON BRIAN EDWARD</t>
  </si>
  <si>
    <t>2787 HIDDEN VILLAGE DRIV</t>
  </si>
  <si>
    <t>32216</t>
  </si>
  <si>
    <t>LOT 1273</t>
  </si>
  <si>
    <t>250</t>
  </si>
  <si>
    <t>1023.11</t>
  </si>
  <si>
    <t>995.98</t>
  </si>
  <si>
    <t>876.57</t>
  </si>
  <si>
    <t>03/06/2017</t>
  </si>
  <si>
    <t>992.63</t>
  </si>
  <si>
    <t>04/02/2016</t>
  </si>
  <si>
    <t>963.82</t>
  </si>
  <si>
    <t>02/15/2015</t>
  </si>
  <si>
    <t>1555</t>
  </si>
  <si>
    <t>1138.96</t>
  </si>
  <si>
    <t>360</t>
  </si>
  <si>
    <t>1269.83</t>
  </si>
  <si>
    <t>03/11/2013</t>
  </si>
  <si>
    <t>1520.19</t>
  </si>
  <si>
    <t>23-1N-24-2180-1287-0000</t>
  </si>
  <si>
    <t>231N24218012870000</t>
  </si>
  <si>
    <t>33136 RATTLESNAKE TRL</t>
  </si>
  <si>
    <t>5.08</t>
  </si>
  <si>
    <t>167000</t>
  </si>
  <si>
    <t xml:space="preserve"> CITIFINANCIAL EQUITY SVCS INC</t>
  </si>
  <si>
    <t>13930.00</t>
  </si>
  <si>
    <t>09/29/2003</t>
  </si>
  <si>
    <t>GRIFFIS LAURA MARIE</t>
  </si>
  <si>
    <t>33136 RATTLESNAKE TRAI</t>
  </si>
  <si>
    <t>LOT 1287 (EX S-1 &amp; S-2)</t>
  </si>
  <si>
    <t>991.78</t>
  </si>
  <si>
    <t>984.44</t>
  </si>
  <si>
    <t>09/10/2015</t>
  </si>
  <si>
    <t>23-1N-24-2180-1296-0050</t>
  </si>
  <si>
    <t>231N24218012960050</t>
  </si>
  <si>
    <t>MEADOWS LN</t>
  </si>
  <si>
    <t>TRUGLIO JOSEPH ANTHONY</t>
  </si>
  <si>
    <t>55211 SPENCERVILLE ROA</t>
  </si>
  <si>
    <t>PT OF LOT 1296 IN OR 2119/884</t>
  </si>
  <si>
    <t>252</t>
  </si>
  <si>
    <t>172.23</t>
  </si>
  <si>
    <t>164.00</t>
  </si>
  <si>
    <t>146.60</t>
  </si>
  <si>
    <t>249</t>
  </si>
  <si>
    <t>159.31</t>
  </si>
  <si>
    <t>01/07/2014</t>
  </si>
  <si>
    <t>23-1N-24-2180-1299-0030</t>
  </si>
  <si>
    <t>33585 MEADOWS LN</t>
  </si>
  <si>
    <t>136687.00</t>
  </si>
  <si>
    <t>10/01/2038</t>
  </si>
  <si>
    <t>HENDRICKS DANIEL R</t>
  </si>
  <si>
    <t>33585 MEADOWS L</t>
  </si>
  <si>
    <t>PT OF LOT 1299 (S-3)</t>
  </si>
  <si>
    <t>23-1N-24-2180-1299-0050</t>
  </si>
  <si>
    <t>231N24-21801299-0050</t>
  </si>
  <si>
    <t>33599 MEADOWS LN</t>
  </si>
  <si>
    <t>1568</t>
  </si>
  <si>
    <t>26000</t>
  </si>
  <si>
    <t>CHASE MANHATTAN MORTGAGE CORP</t>
  </si>
  <si>
    <t>50150.00</t>
  </si>
  <si>
    <t>44500 CATIES WA</t>
  </si>
  <si>
    <t>PT OF LOT 1299 (S-5)</t>
  </si>
  <si>
    <t>253</t>
  </si>
  <si>
    <t>511.00</t>
  </si>
  <si>
    <t>640.01</t>
  </si>
  <si>
    <t>10/18/2016</t>
  </si>
  <si>
    <t>23-1N-24-2180-1300-0050</t>
  </si>
  <si>
    <t>33695 MEADOWS LN</t>
  </si>
  <si>
    <t>1.29</t>
  </si>
  <si>
    <t>840</t>
  </si>
  <si>
    <t>STRICKLAND RICHARD G</t>
  </si>
  <si>
    <t>20 MANOUS CIRCL</t>
  </si>
  <si>
    <t>Hinesville</t>
  </si>
  <si>
    <t>31313</t>
  </si>
  <si>
    <t>E'LY 160 FT OF S'LY 272.25 FT</t>
  </si>
  <si>
    <t>23-1N-24-2180-1300-0070</t>
  </si>
  <si>
    <t>231N24218013000070</t>
  </si>
  <si>
    <t>1.86</t>
  </si>
  <si>
    <t>20756.00</t>
  </si>
  <si>
    <t>09/22/2004</t>
  </si>
  <si>
    <t>TRUGLIO JOSEPH</t>
  </si>
  <si>
    <t>PT OF LOT 1300 (S-7)</t>
  </si>
  <si>
    <t>352.67</t>
  </si>
  <si>
    <t>339.55</t>
  </si>
  <si>
    <t>293.81</t>
  </si>
  <si>
    <t>305.77</t>
  </si>
  <si>
    <t>23-1N-24-2180-1307-0000</t>
  </si>
  <si>
    <t>231N24218013070000</t>
  </si>
  <si>
    <t>10.18</t>
  </si>
  <si>
    <t>LOT 1307 &amp; E1/2 OF ABND R/W</t>
  </si>
  <si>
    <t>1041.05</t>
  </si>
  <si>
    <t>1013.50</t>
  </si>
  <si>
    <t>891.94</t>
  </si>
  <si>
    <t>984.38</t>
  </si>
  <si>
    <t>05/27/2015</t>
  </si>
  <si>
    <t>884.90</t>
  </si>
  <si>
    <t>363</t>
  </si>
  <si>
    <t>1164.48</t>
  </si>
  <si>
    <t>07/11/2011</t>
  </si>
  <si>
    <t>24-1N-24-0150-0001-0000</t>
  </si>
  <si>
    <t>241N24015000010000</t>
  </si>
  <si>
    <t>43235 BLAIR CT</t>
  </si>
  <si>
    <t>18.16</t>
  </si>
  <si>
    <t>1145</t>
  </si>
  <si>
    <t>MARVIN E HIGGINBOTHAM</t>
  </si>
  <si>
    <t>NIGHTINGALE THATCHER C</t>
  </si>
  <si>
    <t>43235 BLAIR C</t>
  </si>
  <si>
    <t>LOTS 1 (EX S-1) &amp; 13</t>
  </si>
  <si>
    <t>316.52</t>
  </si>
  <si>
    <t>08/22/2017</t>
  </si>
  <si>
    <t>309.28</t>
  </si>
  <si>
    <t>08/22/2016</t>
  </si>
  <si>
    <t>303.99</t>
  </si>
  <si>
    <t>06/25/2015</t>
  </si>
  <si>
    <t>365.96</t>
  </si>
  <si>
    <t>09/18/2014</t>
  </si>
  <si>
    <t>24-1N-24-0150-0008-0000</t>
  </si>
  <si>
    <t>241N24015000080000</t>
  </si>
  <si>
    <t>43428 THOMAS CREEK RD</t>
  </si>
  <si>
    <t>1.27</t>
  </si>
  <si>
    <t>31000</t>
  </si>
  <si>
    <t>MARVIN E HIGGINBOTHAM ETUX</t>
  </si>
  <si>
    <t>42500.00</t>
  </si>
  <si>
    <t>06/15/2013</t>
  </si>
  <si>
    <t>SPENCER ZACHARY W &amp; CANDICE J</t>
  </si>
  <si>
    <t>43428 THOMAS CREEK R</t>
  </si>
  <si>
    <t>LOT 8    2000/FTWD/SW/MH</t>
  </si>
  <si>
    <t>601.95</t>
  </si>
  <si>
    <t>24-1N-24-0150-0012-0000</t>
  </si>
  <si>
    <t>241N24015000120000</t>
  </si>
  <si>
    <t>43180 BLAIR CT</t>
  </si>
  <si>
    <t>1.44</t>
  </si>
  <si>
    <t>27270.00</t>
  </si>
  <si>
    <t>TINDOL BOBBY C</t>
  </si>
  <si>
    <t>3067 WEST 19TH STREE</t>
  </si>
  <si>
    <t>259</t>
  </si>
  <si>
    <t>626.77</t>
  </si>
  <si>
    <t>234</t>
  </si>
  <si>
    <t>691.02</t>
  </si>
  <si>
    <t>597.37</t>
  </si>
  <si>
    <t>659.93</t>
  </si>
  <si>
    <t>728.27</t>
  </si>
  <si>
    <t>364</t>
  </si>
  <si>
    <t>493.09</t>
  </si>
  <si>
    <t>02/17/2012</t>
  </si>
  <si>
    <t>356</t>
  </si>
  <si>
    <t>565.68</t>
  </si>
  <si>
    <t>24-1N-24-0750-0001-0091</t>
  </si>
  <si>
    <t>43338 THOMAS CREEK RD</t>
  </si>
  <si>
    <t>38000</t>
  </si>
  <si>
    <t>FLORIDA HOUSING FINANCE CORP</t>
  </si>
  <si>
    <t>6986.00</t>
  </si>
  <si>
    <t>RODRIGUEZ MELISSA L</t>
  </si>
  <si>
    <t>43338 THOMAS CREEK R</t>
  </si>
  <si>
    <t>BLOCK 1 PT OF LOT 9 (S-1)</t>
  </si>
  <si>
    <t>24-1N-24-0750-0002-0013</t>
  </si>
  <si>
    <t>241N24075000020013</t>
  </si>
  <si>
    <t>431066 KEEN CEMETERY RD</t>
  </si>
  <si>
    <t>3.69</t>
  </si>
  <si>
    <t>DANIEL A CONNER</t>
  </si>
  <si>
    <t>34000.00</t>
  </si>
  <si>
    <t>EBY PETER JOHN &amp;</t>
  </si>
  <si>
    <t>431042 KEEN CEMETERY R</t>
  </si>
  <si>
    <t>BLOCK 2 PT OF LOT 1</t>
  </si>
  <si>
    <t>24-1N-24-0750-0003-0080</t>
  </si>
  <si>
    <t>241N24075000030080</t>
  </si>
  <si>
    <t>43257 CLAXTON CIR</t>
  </si>
  <si>
    <t>2526</t>
  </si>
  <si>
    <t>01/28/2003</t>
  </si>
  <si>
    <t>JARVIS KENNETH &amp; ANNETTE</t>
  </si>
  <si>
    <t>43257 CLAXTON CIRCL</t>
  </si>
  <si>
    <t>BLOCK 3 LOT 8 (EX S-1)</t>
  </si>
  <si>
    <t>3437.07</t>
  </si>
  <si>
    <t>3543.58</t>
  </si>
  <si>
    <t>1218.46</t>
  </si>
  <si>
    <t>11/09/2015</t>
  </si>
  <si>
    <t>24-1N-24-0750-0003-0124</t>
  </si>
  <si>
    <t>IMAGINE LN</t>
  </si>
  <si>
    <t>1.65</t>
  </si>
  <si>
    <t>TANNER JUSTIN E &amp;</t>
  </si>
  <si>
    <t>44108 OAKWOOD L</t>
  </si>
  <si>
    <t>BLK 3 PT OF LOT 12</t>
  </si>
  <si>
    <t>24-1N-24-0750-0003-0282</t>
  </si>
  <si>
    <t>241N24075000030282</t>
  </si>
  <si>
    <t>43013 LARSEN RD</t>
  </si>
  <si>
    <t>2976</t>
  </si>
  <si>
    <t xml:space="preserve"> BENEFICIAL FLORIDA INC</t>
  </si>
  <si>
    <t>116547.00</t>
  </si>
  <si>
    <t>08/01/2007</t>
  </si>
  <si>
    <t>LAND THOMAS F JR</t>
  </si>
  <si>
    <t>43013 LARSEN ROA</t>
  </si>
  <si>
    <t>BLOCK 3 PT OF LOT 28  R787732</t>
  </si>
  <si>
    <t>263</t>
  </si>
  <si>
    <t>749.12</t>
  </si>
  <si>
    <t>09/22/2017</t>
  </si>
  <si>
    <t>798.91</t>
  </si>
  <si>
    <t>06/27/2016</t>
  </si>
  <si>
    <t>756.69</t>
  </si>
  <si>
    <t>260</t>
  </si>
  <si>
    <t>933.54</t>
  </si>
  <si>
    <t>07/24/2013</t>
  </si>
  <si>
    <t>1582</t>
  </si>
  <si>
    <t>1309.08</t>
  </si>
  <si>
    <t>367</t>
  </si>
  <si>
    <t>1288.96</t>
  </si>
  <si>
    <t>08/10/2011</t>
  </si>
  <si>
    <t>1272.97</t>
  </si>
  <si>
    <t>24-1N-24-0750-0003-0285</t>
  </si>
  <si>
    <t>241N24075000030285</t>
  </si>
  <si>
    <t>43212 THOMAS CREEK RD</t>
  </si>
  <si>
    <t>1.75</t>
  </si>
  <si>
    <t>1096</t>
  </si>
  <si>
    <t>52000</t>
  </si>
  <si>
    <t>31266.00</t>
  </si>
  <si>
    <t>01/16/2008</t>
  </si>
  <si>
    <t>SHELBY ASHLEY R</t>
  </si>
  <si>
    <t>43212 THOMAS CREEK R</t>
  </si>
  <si>
    <t>BLK 3 PT OF LOT 28</t>
  </si>
  <si>
    <t>264</t>
  </si>
  <si>
    <t>593.24</t>
  </si>
  <si>
    <t>649.06</t>
  </si>
  <si>
    <t>09/27/2016</t>
  </si>
  <si>
    <t>579.11</t>
  </si>
  <si>
    <t>244</t>
  </si>
  <si>
    <t>275.86</t>
  </si>
  <si>
    <t>337.35</t>
  </si>
  <si>
    <t>02/13/2015</t>
  </si>
  <si>
    <t>24-1N-24-0750-0004-0072</t>
  </si>
  <si>
    <t>241N24075000040072</t>
  </si>
  <si>
    <t>43114 MORRIS DR</t>
  </si>
  <si>
    <t>3.26</t>
  </si>
  <si>
    <t>2243</t>
  </si>
  <si>
    <t xml:space="preserve"> FLORIDA TELCO FCU</t>
  </si>
  <si>
    <t>167500.00</t>
  </si>
  <si>
    <t>04/09/2008</t>
  </si>
  <si>
    <t>MORRIS DENNIS E &amp; MARY M</t>
  </si>
  <si>
    <t>PO BOX 154</t>
  </si>
  <si>
    <t>BLOCK 4 PT OF LOT 7 (S-2)</t>
  </si>
  <si>
    <t>24-1N-24-0750-0004-0090</t>
  </si>
  <si>
    <t>241N24075000040090</t>
  </si>
  <si>
    <t>43002 KIDS COACH LN</t>
  </si>
  <si>
    <t>11.56</t>
  </si>
  <si>
    <t>9320</t>
  </si>
  <si>
    <t>WILKES SHEILA D L/E</t>
  </si>
  <si>
    <t>43002 KIDS COACH LAN</t>
  </si>
  <si>
    <t>BLOCK 4 LOT 9   (19-1N-25)</t>
  </si>
  <si>
    <t>266</t>
  </si>
  <si>
    <t>1762.89</t>
  </si>
  <si>
    <t>1788.35</t>
  </si>
  <si>
    <t>1778.69</t>
  </si>
  <si>
    <t>1665.24</t>
  </si>
  <si>
    <t>1650.14</t>
  </si>
  <si>
    <t>03/18/2015</t>
  </si>
  <si>
    <t>1584</t>
  </si>
  <si>
    <t>1607.74</t>
  </si>
  <si>
    <t>03/25/2014</t>
  </si>
  <si>
    <t>369</t>
  </si>
  <si>
    <t>1600.79</t>
  </si>
  <si>
    <t>04/12/2013</t>
  </si>
  <si>
    <t>1721.36</t>
  </si>
  <si>
    <t>08/06/2010</t>
  </si>
  <si>
    <t>24-1N-24-0750-0004-0101</t>
  </si>
  <si>
    <t>241N24075000040101</t>
  </si>
  <si>
    <t>43087 KIDS COACH LN</t>
  </si>
  <si>
    <t>10.81</t>
  </si>
  <si>
    <t xml:space="preserve"> DALE BALD SHOLWATER MERCIER</t>
  </si>
  <si>
    <t>08/27/2010</t>
  </si>
  <si>
    <t>WILKES SHEILA D &amp;</t>
  </si>
  <si>
    <t>BLOCK 4 S-1 &amp; S-2 OF LOT 10</t>
  </si>
  <si>
    <t>267</t>
  </si>
  <si>
    <t>1128.70</t>
  </si>
  <si>
    <t>1150.46</t>
  </si>
  <si>
    <t>1156.18</t>
  </si>
  <si>
    <t>1069.42</t>
  </si>
  <si>
    <t>962.85</t>
  </si>
  <si>
    <t>1585</t>
  </si>
  <si>
    <t>914.57</t>
  </si>
  <si>
    <t>370</t>
  </si>
  <si>
    <t>57.15</t>
  </si>
  <si>
    <t>53.43</t>
  </si>
  <si>
    <t>24-1N-24-0750-0004-0152</t>
  </si>
  <si>
    <t>241N24075000040152</t>
  </si>
  <si>
    <t>43377 LARSEN RD</t>
  </si>
  <si>
    <t>BUDZEAK ALAN</t>
  </si>
  <si>
    <t>10644 MEADOWLEA D</t>
  </si>
  <si>
    <t>BLOCK 4 PT OF LOT 15 (S-2)</t>
  </si>
  <si>
    <t>268</t>
  </si>
  <si>
    <t>521.49</t>
  </si>
  <si>
    <t>459.59</t>
  </si>
  <si>
    <t>628.40</t>
  </si>
  <si>
    <t>698.79</t>
  </si>
  <si>
    <t>08/05/2013</t>
  </si>
  <si>
    <t>24-1N-24-0750-0004-0161</t>
  </si>
  <si>
    <t>241N24075000040161</t>
  </si>
  <si>
    <t>BRANDON WAY</t>
  </si>
  <si>
    <t>2.88</t>
  </si>
  <si>
    <t>156300</t>
  </si>
  <si>
    <t>WILKES SHEILA D</t>
  </si>
  <si>
    <t>BLK 4 E1/2 LOT 16 IN</t>
  </si>
  <si>
    <t>299.09</t>
  </si>
  <si>
    <t>07/19/2017</t>
  </si>
  <si>
    <t>287.83</t>
  </si>
  <si>
    <t>243.51</t>
  </si>
  <si>
    <t>714.15</t>
  </si>
  <si>
    <t>07/01/2014</t>
  </si>
  <si>
    <t>1588</t>
  </si>
  <si>
    <t>1834.91</t>
  </si>
  <si>
    <t>03/03/2014</t>
  </si>
  <si>
    <t>374</t>
  </si>
  <si>
    <t>1610.14</t>
  </si>
  <si>
    <t>24-1N-24-0750-0004-0170</t>
  </si>
  <si>
    <t>241N24075000040170</t>
  </si>
  <si>
    <t>43075 CHEROKEE TRL</t>
  </si>
  <si>
    <t>2149</t>
  </si>
  <si>
    <t>JOHN R MERCHANT ETAL</t>
  </si>
  <si>
    <t>MERCHANT JOHN R &amp;</t>
  </si>
  <si>
    <t>43075 CHEROKEE TRAI</t>
  </si>
  <si>
    <t>BLOCK 4 LOT 17   SKYO 1999 TW</t>
  </si>
  <si>
    <t>376</t>
  </si>
  <si>
    <t>1364.68</t>
  </si>
  <si>
    <t>09/02/2011</t>
  </si>
  <si>
    <t>25-1N-24-0080-0001-0000</t>
  </si>
  <si>
    <t>251N24008000010000</t>
  </si>
  <si>
    <t>43201 ELLIS AVE</t>
  </si>
  <si>
    <t>8.78</t>
  </si>
  <si>
    <t>2931</t>
  </si>
  <si>
    <t>ARENBURGH WILLIAM PAUL</t>
  </si>
  <si>
    <t>43201 ELLIS AV</t>
  </si>
  <si>
    <t>558.95</t>
  </si>
  <si>
    <t>565.95</t>
  </si>
  <si>
    <t>03/31/2016</t>
  </si>
  <si>
    <t>25-1N-24-0080-0004-0000</t>
  </si>
  <si>
    <t>HARVEY DR</t>
  </si>
  <si>
    <t>TIMBERLAND 60-69</t>
  </si>
  <si>
    <t>ARENBURGH SUSAN</t>
  </si>
  <si>
    <t>8622 HARE AV</t>
  </si>
  <si>
    <t>32211</t>
  </si>
  <si>
    <t>28-1N-24-0000-0001-0210</t>
  </si>
  <si>
    <t>BROOKS RD</t>
  </si>
  <si>
    <t>2.59</t>
  </si>
  <si>
    <t>ROWLAND WENDELL D</t>
  </si>
  <si>
    <t>8236 BROOKS R</t>
  </si>
  <si>
    <t>PT OF NE1/4 OF SW1/4 OF</t>
  </si>
  <si>
    <t>33-1N-24-0000-0001-0140</t>
  </si>
  <si>
    <t>331N24000000010140</t>
  </si>
  <si>
    <t>13499 OPUS RD</t>
  </si>
  <si>
    <t>3781</t>
  </si>
  <si>
    <t>LEON P SPIVEY</t>
  </si>
  <si>
    <t>06/15/2009</t>
  </si>
  <si>
    <t>BUSTION GERALD W &amp; CYNTHIA A</t>
  </si>
  <si>
    <t>7901 PODER PLAC</t>
  </si>
  <si>
    <t>PT OR 690/827</t>
  </si>
  <si>
    <t>1479.21</t>
  </si>
  <si>
    <t>1571.04</t>
  </si>
  <si>
    <t>02/19/2018</t>
  </si>
  <si>
    <t>1374.49</t>
  </si>
  <si>
    <t>03/08/2017</t>
  </si>
  <si>
    <t>1695.33</t>
  </si>
  <si>
    <t>1783.28</t>
  </si>
  <si>
    <t>03/19/2015</t>
  </si>
  <si>
    <t>1969</t>
  </si>
  <si>
    <t>1901.74</t>
  </si>
  <si>
    <t>379</t>
  </si>
  <si>
    <t>1930.06</t>
  </si>
  <si>
    <t>03/22/2013</t>
  </si>
  <si>
    <t>371</t>
  </si>
  <si>
    <t>2163.75</t>
  </si>
  <si>
    <t>03/02/2012</t>
  </si>
  <si>
    <t>33-1N-24-2050-0007-0000</t>
  </si>
  <si>
    <t>331N24205000070000</t>
  </si>
  <si>
    <t>13268 US HWY 301</t>
  </si>
  <si>
    <t>SMITH JULIE A</t>
  </si>
  <si>
    <t>701 SPANISH MAIN DR # 23</t>
  </si>
  <si>
    <t>Cudjoe Key</t>
  </si>
  <si>
    <t>33042</t>
  </si>
  <si>
    <t>324.56</t>
  </si>
  <si>
    <t>294.74</t>
  </si>
  <si>
    <t>336.95</t>
  </si>
  <si>
    <t>341.05</t>
  </si>
  <si>
    <t>363.81</t>
  </si>
  <si>
    <t>05/12/2015</t>
  </si>
  <si>
    <t>383</t>
  </si>
  <si>
    <t>364.91</t>
  </si>
  <si>
    <t>33-1N-24-2050-0011-0000</t>
  </si>
  <si>
    <t>13128 US HWY 301</t>
  </si>
  <si>
    <t>ERVIN-HURD PATRICIA F</t>
  </si>
  <si>
    <t>13086 US HWY 30</t>
  </si>
  <si>
    <t>LOT 11       R107667</t>
  </si>
  <si>
    <t>33-1N-24-2050-0014-0000</t>
  </si>
  <si>
    <t>331N24205000140000</t>
  </si>
  <si>
    <t>8095 PODER PL</t>
  </si>
  <si>
    <t>LEON F SPIVEY</t>
  </si>
  <si>
    <t>03/08/2012</t>
  </si>
  <si>
    <t>LOT 14  PT OR 690/827</t>
  </si>
  <si>
    <t>278</t>
  </si>
  <si>
    <t>390.06</t>
  </si>
  <si>
    <t>419.64</t>
  </si>
  <si>
    <t>03/25/2018</t>
  </si>
  <si>
    <t>368.44</t>
  </si>
  <si>
    <t>467.92</t>
  </si>
  <si>
    <t>480.90</t>
  </si>
  <si>
    <t>1975</t>
  </si>
  <si>
    <t>534.97</t>
  </si>
  <si>
    <t>384</t>
  </si>
  <si>
    <t>545.35</t>
  </si>
  <si>
    <t>33-1N-24-2050-0017-0000</t>
  </si>
  <si>
    <t>12918 US HWY 301</t>
  </si>
  <si>
    <t>1944</t>
  </si>
  <si>
    <t>28100</t>
  </si>
  <si>
    <t>LONG BEACH MTG COMPANY</t>
  </si>
  <si>
    <t>97750.00</t>
  </si>
  <si>
    <t>09/01/2031</t>
  </si>
  <si>
    <t>MOODY WANELL</t>
  </si>
  <si>
    <t>586 DEENS LANDING R</t>
  </si>
  <si>
    <t>Baxley</t>
  </si>
  <si>
    <t>31513</t>
  </si>
  <si>
    <t>279</t>
  </si>
  <si>
    <t>998.85</t>
  </si>
  <si>
    <t>07/28/2017</t>
  </si>
  <si>
    <t>33-1N-24-2050-0020-0000</t>
  </si>
  <si>
    <t>331N24205000200000</t>
  </si>
  <si>
    <t>12808 US HWY 301</t>
  </si>
  <si>
    <t>THOMAS ADRAIN R</t>
  </si>
  <si>
    <t>12808 US HWY 30</t>
  </si>
  <si>
    <t>LOT 20       R360131</t>
  </si>
  <si>
    <t>330.61</t>
  </si>
  <si>
    <t>282.36</t>
  </si>
  <si>
    <t>387.13</t>
  </si>
  <si>
    <t>406.00</t>
  </si>
  <si>
    <t>461.27</t>
  </si>
  <si>
    <t>386</t>
  </si>
  <si>
    <t>463.64</t>
  </si>
  <si>
    <t>548.22</t>
  </si>
  <si>
    <t>33-1N-24-2051-0005-0000</t>
  </si>
  <si>
    <t>331N24205100050000</t>
  </si>
  <si>
    <t>12801 US HWY 301</t>
  </si>
  <si>
    <t>TOM FORD BUILDERS LLC</t>
  </si>
  <si>
    <t>2120 CORPORATE SQUARE BLV</t>
  </si>
  <si>
    <t>256.09</t>
  </si>
  <si>
    <t>246.00</t>
  </si>
  <si>
    <t>218.55</t>
  </si>
  <si>
    <t>240.40</t>
  </si>
  <si>
    <t>16.50</t>
  </si>
  <si>
    <t>243.12</t>
  </si>
  <si>
    <t>1977</t>
  </si>
  <si>
    <t>264.02</t>
  </si>
  <si>
    <t>387</t>
  </si>
  <si>
    <t>348.16</t>
  </si>
  <si>
    <t>33-1N-24-2051-000A-0000</t>
  </si>
  <si>
    <t>331N242051000A0000</t>
  </si>
  <si>
    <t>12775 US HWY 301</t>
  </si>
  <si>
    <t>1.08</t>
  </si>
  <si>
    <t>251</t>
  </si>
  <si>
    <t>232.38</t>
  </si>
  <si>
    <t>206.58</t>
  </si>
  <si>
    <t>345.56</t>
  </si>
  <si>
    <t>349.60</t>
  </si>
  <si>
    <t>347.33</t>
  </si>
  <si>
    <t>388</t>
  </si>
  <si>
    <t>389.06</t>
  </si>
  <si>
    <t>33-1N-24-2052-0006-0000</t>
  </si>
  <si>
    <t>331N24205200060000</t>
  </si>
  <si>
    <t>13397 US HWY 301</t>
  </si>
  <si>
    <t>55300</t>
  </si>
  <si>
    <t>FIRST RESIDENTIAL MTG NETWORK INC</t>
  </si>
  <si>
    <t>87360.00</t>
  </si>
  <si>
    <t>05/03/2032</t>
  </si>
  <si>
    <t>WYATT LUKEVA F EST &amp;</t>
  </si>
  <si>
    <t>13397 US HIGHWAY 30</t>
  </si>
  <si>
    <t>LOT 6</t>
  </si>
  <si>
    <t>167.35</t>
  </si>
  <si>
    <t>445.47</t>
  </si>
  <si>
    <t>01/26/2016</t>
  </si>
  <si>
    <t>262</t>
  </si>
  <si>
    <t>622.65</t>
  </si>
  <si>
    <t>282</t>
  </si>
  <si>
    <t>682.70</t>
  </si>
  <si>
    <t>674.89</t>
  </si>
  <si>
    <t>02/21/2013</t>
  </si>
  <si>
    <t>389</t>
  </si>
  <si>
    <t>748.80</t>
  </si>
  <si>
    <t>06/04/2012</t>
  </si>
  <si>
    <t>33-1N-24-2052-0025-0000</t>
  </si>
  <si>
    <t>331N24205200250000</t>
  </si>
  <si>
    <t>BILLY &amp; ASHLEY DENTON</t>
  </si>
  <si>
    <t>115000.00</t>
  </si>
  <si>
    <t>08/18/2008</t>
  </si>
  <si>
    <t>244.05</t>
  </si>
  <si>
    <t>216.84</t>
  </si>
  <si>
    <t>283</t>
  </si>
  <si>
    <t>390</t>
  </si>
  <si>
    <t>381</t>
  </si>
  <si>
    <t>33-1N-24-2052-0026-0000</t>
  </si>
  <si>
    <t>331N24205200260000</t>
  </si>
  <si>
    <t>5000</t>
  </si>
  <si>
    <t>230.43</t>
  </si>
  <si>
    <t>204.88</t>
  </si>
  <si>
    <t>185.79</t>
  </si>
  <si>
    <t>187.84</t>
  </si>
  <si>
    <t>201.50</t>
  </si>
  <si>
    <t>391</t>
  </si>
  <si>
    <t>382</t>
  </si>
  <si>
    <t>294.78</t>
  </si>
  <si>
    <t>04/02/2012</t>
  </si>
  <si>
    <t>33-1N-24-2052-0027-0000</t>
  </si>
  <si>
    <t>331N24205200270000</t>
  </si>
  <si>
    <t>LOT 27</t>
  </si>
  <si>
    <t>254</t>
  </si>
  <si>
    <t>265</t>
  </si>
  <si>
    <t>392</t>
  </si>
  <si>
    <t>33-1N-24-2052-0028-0000</t>
  </si>
  <si>
    <t>331N24205200280000</t>
  </si>
  <si>
    <t>12909 US HWY 301</t>
  </si>
  <si>
    <t>2.28</t>
  </si>
  <si>
    <t>2052</t>
  </si>
  <si>
    <t>MANNING WILLIAM A &amp; ALLISON J</t>
  </si>
  <si>
    <t>12909 HWY 301 NORT</t>
  </si>
  <si>
    <t>LOTS 28 &amp; 29</t>
  </si>
  <si>
    <t>598.84</t>
  </si>
  <si>
    <t>04/03/2015</t>
  </si>
  <si>
    <t>621.88</t>
  </si>
  <si>
    <t>642.99</t>
  </si>
  <si>
    <t>393</t>
  </si>
  <si>
    <t>781.97</t>
  </si>
  <si>
    <t>37-1N-24-2220-0002-0070</t>
  </si>
  <si>
    <t>371N24222000020070</t>
  </si>
  <si>
    <t>445073 US HWY 301</t>
  </si>
  <si>
    <t>39500</t>
  </si>
  <si>
    <t>126666.00</t>
  </si>
  <si>
    <t>VA</t>
  </si>
  <si>
    <t>06/01/2038</t>
  </si>
  <si>
    <t>GARNER DAVID M</t>
  </si>
  <si>
    <t>445073 US HWY 30</t>
  </si>
  <si>
    <t>PT OF LOT 2 (S-7 &amp; S-8)</t>
  </si>
  <si>
    <t>588.60</t>
  </si>
  <si>
    <t>07/07/2016</t>
  </si>
  <si>
    <t>1369.53</t>
  </si>
  <si>
    <t>02-1S-24-0000-0001-0120</t>
  </si>
  <si>
    <t>021S24000000010120</t>
  </si>
  <si>
    <t>12076 THORNHILL PL</t>
  </si>
  <si>
    <t>10.12</t>
  </si>
  <si>
    <t>1320</t>
  </si>
  <si>
    <t>ELLIS TIMOTHY D &amp; TERESA H</t>
  </si>
  <si>
    <t>01/09/2007</t>
  </si>
  <si>
    <t>01/09/2009</t>
  </si>
  <si>
    <t>KREDELL SAMUEL</t>
  </si>
  <si>
    <t>1122 WOODRUFF AVE #</t>
  </si>
  <si>
    <t>IN OR 1472/701</t>
  </si>
  <si>
    <t>1221.90</t>
  </si>
  <si>
    <t>1029.50</t>
  </si>
  <si>
    <t>06/24/2014</t>
  </si>
  <si>
    <t>635</t>
  </si>
  <si>
    <t>1358.64</t>
  </si>
  <si>
    <t>06/04/2013</t>
  </si>
  <si>
    <t>401</t>
  </si>
  <si>
    <t>1520.15</t>
  </si>
  <si>
    <t>02-1S-24-0000-0002-0050</t>
  </si>
  <si>
    <t>11385 GOLDEN EAGLE PL</t>
  </si>
  <si>
    <t>1498</t>
  </si>
  <si>
    <t>180000</t>
  </si>
  <si>
    <t>WORLD SAVINGS BANK FSB</t>
  </si>
  <si>
    <t>100000.00</t>
  </si>
  <si>
    <t>NEGATIVE AMORTIZATION</t>
  </si>
  <si>
    <t>05/15/2037</t>
  </si>
  <si>
    <t>GANDY JAMES N JR ETAL</t>
  </si>
  <si>
    <t>11385 GOLDEN EAGLE PLAC</t>
  </si>
  <si>
    <t>02-1S-24-1990-0017-0000</t>
  </si>
  <si>
    <t>021S24199000170000</t>
  </si>
  <si>
    <t>11773 SUNOWA SPRINGS TR</t>
  </si>
  <si>
    <t>2.54</t>
  </si>
  <si>
    <t>752</t>
  </si>
  <si>
    <t>1985</t>
  </si>
  <si>
    <t>CARTER ARTHUR M &amp; DONNA LYNN</t>
  </si>
  <si>
    <t>11773 SUNOWA SPRINGS TRAI</t>
  </si>
  <si>
    <t>287</t>
  </si>
  <si>
    <t>409.65</t>
  </si>
  <si>
    <t>408.25</t>
  </si>
  <si>
    <t>09/21/2017</t>
  </si>
  <si>
    <t>403.74</t>
  </si>
  <si>
    <t>04/08/2016</t>
  </si>
  <si>
    <t>372.00</t>
  </si>
  <si>
    <t>07/12/2015</t>
  </si>
  <si>
    <t>353.37</t>
  </si>
  <si>
    <t>637</t>
  </si>
  <si>
    <t>329.22</t>
  </si>
  <si>
    <t>403</t>
  </si>
  <si>
    <t>319.08</t>
  </si>
  <si>
    <t>09/16/2011</t>
  </si>
  <si>
    <t>299.01</t>
  </si>
  <si>
    <t>03-1S-24-0000-0002-0100</t>
  </si>
  <si>
    <t>11331 WATERLOO LN</t>
  </si>
  <si>
    <t>0.65</t>
  </si>
  <si>
    <t>1671</t>
  </si>
  <si>
    <t>AAMES HOME LOAN</t>
  </si>
  <si>
    <t>90000.00</t>
  </si>
  <si>
    <t>07/01/2033</t>
  </si>
  <si>
    <t>CANTRELL WILLIAM &amp; TERESA</t>
  </si>
  <si>
    <t>11331 WATERLOO P</t>
  </si>
  <si>
    <t>PT OF SE1/4 OF SE1/4 OF</t>
  </si>
  <si>
    <t>04-1S-24-0000-0007-0010</t>
  </si>
  <si>
    <t>041S24000000070010</t>
  </si>
  <si>
    <t>8278 FORD RD</t>
  </si>
  <si>
    <t>17.73</t>
  </si>
  <si>
    <t>4563</t>
  </si>
  <si>
    <t>PARKER MARIAN S EST</t>
  </si>
  <si>
    <t>8278 FORD R</t>
  </si>
  <si>
    <t>IN OR 259 PG 26</t>
  </si>
  <si>
    <t>289</t>
  </si>
  <si>
    <t>2992.00</t>
  </si>
  <si>
    <t>2943.23</t>
  </si>
  <si>
    <t>2833.63</t>
  </si>
  <si>
    <t>273</t>
  </si>
  <si>
    <t>2645.35</t>
  </si>
  <si>
    <t>2649.60</t>
  </si>
  <si>
    <t>743</t>
  </si>
  <si>
    <t>2617.50</t>
  </si>
  <si>
    <t>405</t>
  </si>
  <si>
    <t>2596.23</t>
  </si>
  <si>
    <t>2550.92</t>
  </si>
  <si>
    <t>02/15/2012</t>
  </si>
  <si>
    <t>04-1S-24-0000-0007-0060</t>
  </si>
  <si>
    <t>041S24000000070060</t>
  </si>
  <si>
    <t>11313 VERDIE CEMETERY RD</t>
  </si>
  <si>
    <t>1232</t>
  </si>
  <si>
    <t>FRITTON ARTHUR J EST</t>
  </si>
  <si>
    <t>IN OR 304 PG 127</t>
  </si>
  <si>
    <t>290</t>
  </si>
  <si>
    <t>1243.64</t>
  </si>
  <si>
    <t>1258.32</t>
  </si>
  <si>
    <t>09/22/2016</t>
  </si>
  <si>
    <t>1141.86</t>
  </si>
  <si>
    <t>274</t>
  </si>
  <si>
    <t>1009.97</t>
  </si>
  <si>
    <t>10/08/2014</t>
  </si>
  <si>
    <t>1053.17</t>
  </si>
  <si>
    <t>744</t>
  </si>
  <si>
    <t>1065.65</t>
  </si>
  <si>
    <t>406</t>
  </si>
  <si>
    <t>1100.65</t>
  </si>
  <si>
    <t>1275.55</t>
  </si>
  <si>
    <t>05-1S-24-0000-0004-0180</t>
  </si>
  <si>
    <t>051S24000000040180</t>
  </si>
  <si>
    <t>12039 US HWY 301</t>
  </si>
  <si>
    <t>TRNKA KRISTINA BROWN</t>
  </si>
  <si>
    <t>12033 HWY 30</t>
  </si>
  <si>
    <t>PT OF E'LY 1/2</t>
  </si>
  <si>
    <t>369.11</t>
  </si>
  <si>
    <t>04/27/2017</t>
  </si>
  <si>
    <t>267.45</t>
  </si>
  <si>
    <t>412</t>
  </si>
  <si>
    <t>613.20</t>
  </si>
  <si>
    <t>03/14/2013</t>
  </si>
  <si>
    <t>396</t>
  </si>
  <si>
    <t>698.03</t>
  </si>
  <si>
    <t>10/05/2010</t>
  </si>
  <si>
    <t>05-1S-24-0000-0004-0190</t>
  </si>
  <si>
    <t>11935 US HWY 301</t>
  </si>
  <si>
    <t>3.91</t>
  </si>
  <si>
    <t>2423</t>
  </si>
  <si>
    <t>53600</t>
  </si>
  <si>
    <t>SUNTRUST MORTGAGE INC</t>
  </si>
  <si>
    <t>222400.00</t>
  </si>
  <si>
    <t>06/01/2036</t>
  </si>
  <si>
    <t>GRIFFIN VICKY &amp;</t>
  </si>
  <si>
    <t>11935 US HWY 30</t>
  </si>
  <si>
    <t>05-1S-24-0000-0014-0010</t>
  </si>
  <si>
    <t>051S24000000140010</t>
  </si>
  <si>
    <t>7790 FORD RD</t>
  </si>
  <si>
    <t>7.88</t>
  </si>
  <si>
    <t>1733</t>
  </si>
  <si>
    <t>FORD THOMAS R</t>
  </si>
  <si>
    <t>7790 FORD ROA</t>
  </si>
  <si>
    <t>1210.11</t>
  </si>
  <si>
    <t>1226.06</t>
  </si>
  <si>
    <t>270</t>
  </si>
  <si>
    <t>1218.02</t>
  </si>
  <si>
    <t>10/06/2015</t>
  </si>
  <si>
    <t>299</t>
  </si>
  <si>
    <t>1071.44</t>
  </si>
  <si>
    <t>12/30/2013</t>
  </si>
  <si>
    <t>777</t>
  </si>
  <si>
    <t>1036.08</t>
  </si>
  <si>
    <t>414</t>
  </si>
  <si>
    <t>1015.10</t>
  </si>
  <si>
    <t>08-1S-24-1610-0008-0000</t>
  </si>
  <si>
    <t>081S24161000080000</t>
  </si>
  <si>
    <t>11143 HWY 301</t>
  </si>
  <si>
    <t>4.85</t>
  </si>
  <si>
    <t>GREEN RONALD L SR &amp; LYNN W</t>
  </si>
  <si>
    <t>11143 US HWY 30</t>
  </si>
  <si>
    <t>LOT 8</t>
  </si>
  <si>
    <t>671.14</t>
  </si>
  <si>
    <t>681.79</t>
  </si>
  <si>
    <t>610.43</t>
  </si>
  <si>
    <t>01/27/2015</t>
  </si>
  <si>
    <t>300</t>
  </si>
  <si>
    <t>772.70</t>
  </si>
  <si>
    <t>899</t>
  </si>
  <si>
    <t>777.83</t>
  </si>
  <si>
    <t>416</t>
  </si>
  <si>
    <t>866.37</t>
  </si>
  <si>
    <t>398</t>
  </si>
  <si>
    <t>1036.05</t>
  </si>
  <si>
    <t>02/02/2012</t>
  </si>
  <si>
    <t>19-1S-24-0000-0004-0170</t>
  </si>
  <si>
    <t>191S24000000040170</t>
  </si>
  <si>
    <t>6625 CR 119</t>
  </si>
  <si>
    <t>2.60</t>
  </si>
  <si>
    <t>1497</t>
  </si>
  <si>
    <t>17388.00</t>
  </si>
  <si>
    <t>12/15/2005</t>
  </si>
  <si>
    <t>WHITTEMORE MANCIL</t>
  </si>
  <si>
    <t>6593 CR 11</t>
  </si>
  <si>
    <t>OR 1917/1730</t>
  </si>
  <si>
    <t>1151.66</t>
  </si>
  <si>
    <t>01/11/2018</t>
  </si>
  <si>
    <t>1137.11</t>
  </si>
  <si>
    <t>1024.05</t>
  </si>
  <si>
    <t>04/20/2016</t>
  </si>
  <si>
    <t>870.57</t>
  </si>
  <si>
    <t>05/08/2015</t>
  </si>
  <si>
    <t>303</t>
  </si>
  <si>
    <t>965.92</t>
  </si>
  <si>
    <t>09/14/2014</t>
  </si>
  <si>
    <t>1348</t>
  </si>
  <si>
    <t>1049.27</t>
  </si>
  <si>
    <t>421</t>
  </si>
  <si>
    <t>1111.49</t>
  </si>
  <si>
    <t>29-1S-24-0000-0003-0130</t>
  </si>
  <si>
    <t>291S24000000030130</t>
  </si>
  <si>
    <t>8070 ANDREA PL</t>
  </si>
  <si>
    <t>WILLIAMS TERRI E ETAL</t>
  </si>
  <si>
    <t>8020 ANDREA PLAC</t>
  </si>
  <si>
    <t>W135 FT OF E1485 FT OF N485.17</t>
  </si>
  <si>
    <t>778.11</t>
  </si>
  <si>
    <t>786.09</t>
  </si>
  <si>
    <t>712.05</t>
  </si>
  <si>
    <t>01/30/2017</t>
  </si>
  <si>
    <t>651.48</t>
  </si>
  <si>
    <t>05/07/2015</t>
  </si>
  <si>
    <t>701.25</t>
  </si>
  <si>
    <t>04/23/2014</t>
  </si>
  <si>
    <t>1769</t>
  </si>
  <si>
    <t>760.22</t>
  </si>
  <si>
    <t>03/19/2013</t>
  </si>
  <si>
    <t>30-1S-24-0000-0018-0050</t>
  </si>
  <si>
    <t>7998 RAILROAD RD</t>
  </si>
  <si>
    <t>CARR RONALD LEWIS JR</t>
  </si>
  <si>
    <t>2112 LA VALLE D</t>
  </si>
  <si>
    <t>PT OF N1/4 OF SEC 30-1S-24E</t>
  </si>
  <si>
    <t>30-1S-24-2120-0020-0000</t>
  </si>
  <si>
    <t>301S24212000200000</t>
  </si>
  <si>
    <t>7699 US HWY 301</t>
  </si>
  <si>
    <t>1.06</t>
  </si>
  <si>
    <t>4663</t>
  </si>
  <si>
    <t>ABERNATHY MIA L &amp; PAUL E</t>
  </si>
  <si>
    <t>7699 HWY 30</t>
  </si>
  <si>
    <t>LOTS 20 21 36 &amp; 37</t>
  </si>
  <si>
    <t>301</t>
  </si>
  <si>
    <t>3106.02</t>
  </si>
  <si>
    <t>3204.77</t>
  </si>
  <si>
    <t>02/14/2018</t>
  </si>
  <si>
    <t>1880.13</t>
  </si>
  <si>
    <t>04/15/2015</t>
  </si>
  <si>
    <t>30-1S-24-2120-0022-0000</t>
  </si>
  <si>
    <t>301S24212000220000</t>
  </si>
  <si>
    <t>7677 US HY 301</t>
  </si>
  <si>
    <t>OFF BLDG 1 STORY</t>
  </si>
  <si>
    <t>LOTS 22 23 34 35</t>
  </si>
  <si>
    <t>302</t>
  </si>
  <si>
    <t>500.66</t>
  </si>
  <si>
    <t>465.11</t>
  </si>
  <si>
    <t>495.58</t>
  </si>
  <si>
    <t>02-2N-24-0000-0001-0070</t>
  </si>
  <si>
    <t>022N24000000010070</t>
  </si>
  <si>
    <t>36227 FAIRVIEW LN</t>
  </si>
  <si>
    <t>CHADWICK BROCK</t>
  </si>
  <si>
    <t>05/11/2019</t>
  </si>
  <si>
    <t>RAY RICHARD C &amp; DARA L</t>
  </si>
  <si>
    <t>85294 TRINITY CI</t>
  </si>
  <si>
    <t>277</t>
  </si>
  <si>
    <t>878.09</t>
  </si>
  <si>
    <t>499.69</t>
  </si>
  <si>
    <t>314</t>
  </si>
  <si>
    <t>620.73</t>
  </si>
  <si>
    <t>02-2N-24-0000-0003-0040</t>
  </si>
  <si>
    <t>022N24000000030040</t>
  </si>
  <si>
    <t>36070 DYAL RD</t>
  </si>
  <si>
    <t>1064</t>
  </si>
  <si>
    <t>SAWYER MICHAEL J</t>
  </si>
  <si>
    <t>36070 DYAL R</t>
  </si>
  <si>
    <t>PT OF SW1/4     R672153</t>
  </si>
  <si>
    <t>407.86</t>
  </si>
  <si>
    <t>446.01</t>
  </si>
  <si>
    <t>455.62</t>
  </si>
  <si>
    <t>315</t>
  </si>
  <si>
    <t>536.94</t>
  </si>
  <si>
    <t>02-2N-24-0000-0003-0090</t>
  </si>
  <si>
    <t>022N24000000030090</t>
  </si>
  <si>
    <t>452314 OLD DIXIE HWY</t>
  </si>
  <si>
    <t>3.37</t>
  </si>
  <si>
    <t>1743</t>
  </si>
  <si>
    <t>GRIFFIN CAROLYN A &amp;</t>
  </si>
  <si>
    <t>452322 OLD DIXIE HW</t>
  </si>
  <si>
    <t>IN OR 1655/826</t>
  </si>
  <si>
    <t>293</t>
  </si>
  <si>
    <t>831.12</t>
  </si>
  <si>
    <t>06/23/2014</t>
  </si>
  <si>
    <t>02-2N-24-0000-0003-0100</t>
  </si>
  <si>
    <t>022N24000000030100</t>
  </si>
  <si>
    <t>36160 FAIRVIEW LN</t>
  </si>
  <si>
    <t>BRANDT STEPHEN &amp;</t>
  </si>
  <si>
    <t>36160 FAIRVIEW L</t>
  </si>
  <si>
    <t>PT SEC 2-2N-24E</t>
  </si>
  <si>
    <t>05/26/2015</t>
  </si>
  <si>
    <t>685.38</t>
  </si>
  <si>
    <t>11-2N-24-0000-0004-0000</t>
  </si>
  <si>
    <t>112N24000000040000</t>
  </si>
  <si>
    <t>35502 GLORY RD</t>
  </si>
  <si>
    <t>2.05</t>
  </si>
  <si>
    <t>1990</t>
  </si>
  <si>
    <t>100215.00</t>
  </si>
  <si>
    <t>02/10/2005</t>
  </si>
  <si>
    <t>JOHNSON MARVIN EDWIN &amp; TONIA R</t>
  </si>
  <si>
    <t>35502 GLORY ROA</t>
  </si>
  <si>
    <t>PT OF E1/2 OF SE1/4 OF SE1/4</t>
  </si>
  <si>
    <t>436.32</t>
  </si>
  <si>
    <t>435.40</t>
  </si>
  <si>
    <t>430.82</t>
  </si>
  <si>
    <t>04/05/2016</t>
  </si>
  <si>
    <t>475.51</t>
  </si>
  <si>
    <t>04/21/2015</t>
  </si>
  <si>
    <t>547.40</t>
  </si>
  <si>
    <t>05/19/2014</t>
  </si>
  <si>
    <t>1146</t>
  </si>
  <si>
    <t>535.65</t>
  </si>
  <si>
    <t>436</t>
  </si>
  <si>
    <t>530.29</t>
  </si>
  <si>
    <t>557.46</t>
  </si>
  <si>
    <t>11-2N-24-1641-0002-0000</t>
  </si>
  <si>
    <t>35121 PERRET PLANTATION RD</t>
  </si>
  <si>
    <t>32500</t>
  </si>
  <si>
    <t>CONSECO FINANCE SERVICING CORP</t>
  </si>
  <si>
    <t>68801.00</t>
  </si>
  <si>
    <t>GODWIN NADINE TAYLOR</t>
  </si>
  <si>
    <t>35121 PERRET PLANTATION ROA</t>
  </si>
  <si>
    <t>LOT 2    2001 SKYLINE DW/MH</t>
  </si>
  <si>
    <t>345.42</t>
  </si>
  <si>
    <t>11-2N-24-1641-0010-0000</t>
  </si>
  <si>
    <t>112N24164100100000</t>
  </si>
  <si>
    <t>35041 DUCKPOND CT</t>
  </si>
  <si>
    <t>THE CIT GROUP/CONSUMER FINANCE INC</t>
  </si>
  <si>
    <t>08/29/2032</t>
  </si>
  <si>
    <t>BELL DIANE &amp;</t>
  </si>
  <si>
    <t>35041 DUCKPOND C</t>
  </si>
  <si>
    <t>313</t>
  </si>
  <si>
    <t>1044.62</t>
  </si>
  <si>
    <t>932.63</t>
  </si>
  <si>
    <t>326</t>
  </si>
  <si>
    <t>1097.15</t>
  </si>
  <si>
    <t>09/26/2013</t>
  </si>
  <si>
    <t>12-2N-24-0000-0003-0080</t>
  </si>
  <si>
    <t>122N24000000030080</t>
  </si>
  <si>
    <t>35488 BRADDOCK RD</t>
  </si>
  <si>
    <t>2242</t>
  </si>
  <si>
    <t>FOURAKER JOYCE B</t>
  </si>
  <si>
    <t>35488 BRADDOCK R</t>
  </si>
  <si>
    <t>PT SE1/4 &amp; SW 1/4 OF NW 1/4</t>
  </si>
  <si>
    <t>1022.65</t>
  </si>
  <si>
    <t>1035.32</t>
  </si>
  <si>
    <t>1036.34</t>
  </si>
  <si>
    <t>328</t>
  </si>
  <si>
    <t>910.01</t>
  </si>
  <si>
    <t>04/16/2014</t>
  </si>
  <si>
    <t>12-2N-24-0000-0003-0120</t>
  </si>
  <si>
    <t>122N24-00000003-0120</t>
  </si>
  <si>
    <t>35086 BRADDOCK RD</t>
  </si>
  <si>
    <t>1.36</t>
  </si>
  <si>
    <t>1897</t>
  </si>
  <si>
    <t>378000</t>
  </si>
  <si>
    <t>BIANCO RICHARD &amp; EILEEN</t>
  </si>
  <si>
    <t>35086 BRADDOCK ROA</t>
  </si>
  <si>
    <t>PT OF SEC 11-2N-24E &amp;</t>
  </si>
  <si>
    <t>316</t>
  </si>
  <si>
    <t>3427.08</t>
  </si>
  <si>
    <t>3935.09</t>
  </si>
  <si>
    <t>06/15/2016</t>
  </si>
  <si>
    <t>12-2N-24-0000-0003-0140</t>
  </si>
  <si>
    <t>122N24000000030140</t>
  </si>
  <si>
    <t>35518 BRADDOCK RD</t>
  </si>
  <si>
    <t>1480</t>
  </si>
  <si>
    <t>FOURAKER BRANDON &amp; SALLY</t>
  </si>
  <si>
    <t>NW1/4 OF NW1/4 &amp;</t>
  </si>
  <si>
    <t>425.71</t>
  </si>
  <si>
    <t>375.25</t>
  </si>
  <si>
    <t>332.60</t>
  </si>
  <si>
    <t>12-2N-24-0000-0003-0150</t>
  </si>
  <si>
    <t>122N24-00000003-0150</t>
  </si>
  <si>
    <t>BRADDOCK RD</t>
  </si>
  <si>
    <t>NON-AG ACREAGE</t>
  </si>
  <si>
    <t>59.61</t>
  </si>
  <si>
    <t>222000</t>
  </si>
  <si>
    <t>BIG PINE RIDGE LLC</t>
  </si>
  <si>
    <t>177600.00</t>
  </si>
  <si>
    <t>05/16/2019</t>
  </si>
  <si>
    <t>GRAHAM SHARI T</t>
  </si>
  <si>
    <t>BOX 169</t>
  </si>
  <si>
    <t>PT W1/2 &amp; PT OF SE1/4 OF</t>
  </si>
  <si>
    <t>318</t>
  </si>
  <si>
    <t>4309.33</t>
  </si>
  <si>
    <t>4408.32</t>
  </si>
  <si>
    <t>06/05/2017</t>
  </si>
  <si>
    <t>12-2N-24-0000-0003-0220</t>
  </si>
  <si>
    <t>28.27</t>
  </si>
  <si>
    <t>MAXWELL KYLE &amp; GENEVA N</t>
  </si>
  <si>
    <t>615720 RIVER ROA</t>
  </si>
  <si>
    <t>PT OF SEC 12-2N-24E</t>
  </si>
  <si>
    <t>12-2N-24-0000-0003-0230</t>
  </si>
  <si>
    <t>OLD DIXIE HWY</t>
  </si>
  <si>
    <t>G&amp;H LAND &amp; TIMBER INVESTMENTS</t>
  </si>
  <si>
    <t>12-2N-24-0000-0004-0070</t>
  </si>
  <si>
    <t>122N24000000040070</t>
  </si>
  <si>
    <t>2.64</t>
  </si>
  <si>
    <t>BRADDOCK DOROTHY T L/E</t>
  </si>
  <si>
    <t>35427 BRADDOCK R</t>
  </si>
  <si>
    <t>PT SE1/4 OF NW1/4</t>
  </si>
  <si>
    <t>360.40</t>
  </si>
  <si>
    <t>12-2N-24-1640-0009-0000</t>
  </si>
  <si>
    <t>122N24164000090000</t>
  </si>
  <si>
    <t>451431 OLD DIXIE HWY</t>
  </si>
  <si>
    <t>1684</t>
  </si>
  <si>
    <t>84033.00</t>
  </si>
  <si>
    <t>REGISTER CHARLES D</t>
  </si>
  <si>
    <t>451431 OLD DIXIE HIGHWA</t>
  </si>
  <si>
    <t>LOT 9   IN OR 942/190</t>
  </si>
  <si>
    <t>319</t>
  </si>
  <si>
    <t>406.89</t>
  </si>
  <si>
    <t>405.47</t>
  </si>
  <si>
    <t>470.20</t>
  </si>
  <si>
    <t>473.58</t>
  </si>
  <si>
    <t>331</t>
  </si>
  <si>
    <t>502.27</t>
  </si>
  <si>
    <t>1160</t>
  </si>
  <si>
    <t>597.80</t>
  </si>
  <si>
    <t>541</t>
  </si>
  <si>
    <t>610.02</t>
  </si>
  <si>
    <t>519</t>
  </si>
  <si>
    <t>454.34</t>
  </si>
  <si>
    <t>02/24/2012</t>
  </si>
  <si>
    <t>12-2N-24-1640-0014-0000</t>
  </si>
  <si>
    <t>122N24164000140000</t>
  </si>
  <si>
    <t>35579 GLORY RD</t>
  </si>
  <si>
    <t>27500</t>
  </si>
  <si>
    <t>86955.00</t>
  </si>
  <si>
    <t>05/03/2006</t>
  </si>
  <si>
    <t>LAURAMORE RODNEY W</t>
  </si>
  <si>
    <t>35579 GLORY R</t>
  </si>
  <si>
    <t>334.59</t>
  </si>
  <si>
    <t>03/21/2017</t>
  </si>
  <si>
    <t>305</t>
  </si>
  <si>
    <t>367.36</t>
  </si>
  <si>
    <t>1162</t>
  </si>
  <si>
    <t>449.91</t>
  </si>
  <si>
    <t>05/14/2013</t>
  </si>
  <si>
    <t>13-2N-24-0000-0002-0200</t>
  </si>
  <si>
    <t>450827 OLD DIXIE HWY</t>
  </si>
  <si>
    <t>1714</t>
  </si>
  <si>
    <t>HALL NANCY J &amp; DARRELL L</t>
  </si>
  <si>
    <t>35286 CHESTNUT L</t>
  </si>
  <si>
    <t>IN OR 2131/1459</t>
  </si>
  <si>
    <t>13-2N-24-0212-0024-0000</t>
  </si>
  <si>
    <t>132N24021200240000</t>
  </si>
  <si>
    <t>45272 GAIL DR</t>
  </si>
  <si>
    <t>1573</t>
  </si>
  <si>
    <t>WHALEY KENNETH M &amp;</t>
  </si>
  <si>
    <t>BOX 215</t>
  </si>
  <si>
    <t>LOT 24</t>
  </si>
  <si>
    <t>322</t>
  </si>
  <si>
    <t>520.66</t>
  </si>
  <si>
    <t>580.05</t>
  </si>
  <si>
    <t>435.06</t>
  </si>
  <si>
    <t>610.70</t>
  </si>
  <si>
    <t>678.68</t>
  </si>
  <si>
    <t>12/29/2015</t>
  </si>
  <si>
    <t>1179</t>
  </si>
  <si>
    <t>754.61</t>
  </si>
  <si>
    <t>528</t>
  </si>
  <si>
    <t>935.17</t>
  </si>
  <si>
    <t>02/07/2011</t>
  </si>
  <si>
    <t>14-2N-24-0000-0004-0100</t>
  </si>
  <si>
    <t>142N24000000040100</t>
  </si>
  <si>
    <t>35027 QUAIL RD</t>
  </si>
  <si>
    <t>1.02</t>
  </si>
  <si>
    <t>1766</t>
  </si>
  <si>
    <t>47200.00</t>
  </si>
  <si>
    <t>08/29/2005</t>
  </si>
  <si>
    <t>HESSONG JOHN &amp; CONSTANCE</t>
  </si>
  <si>
    <t>35027 QUAIL ROA</t>
  </si>
  <si>
    <t>IN OR 236 PG 666</t>
  </si>
  <si>
    <t>608.95</t>
  </si>
  <si>
    <t>619.07</t>
  </si>
  <si>
    <t>01/31/2018</t>
  </si>
  <si>
    <t>620.04</t>
  </si>
  <si>
    <t>586.43</t>
  </si>
  <si>
    <t>1199</t>
  </si>
  <si>
    <t>621.56</t>
  </si>
  <si>
    <t>04/02/2013</t>
  </si>
  <si>
    <t>560</t>
  </si>
  <si>
    <t>617.77</t>
  </si>
  <si>
    <t>14-2N-24-0000-0004-0110</t>
  </si>
  <si>
    <t>142N24000000040110</t>
  </si>
  <si>
    <t>8/9</t>
  </si>
  <si>
    <t>35033 QUAIL RD</t>
  </si>
  <si>
    <t>MCRAE DAVID A &amp; PATRICIA A</t>
  </si>
  <si>
    <t>35033 QUAIL R</t>
  </si>
  <si>
    <t>SW1/4</t>
  </si>
  <si>
    <t>327</t>
  </si>
  <si>
    <t>318.55</t>
  </si>
  <si>
    <t>805.70</t>
  </si>
  <si>
    <t>289.19</t>
  </si>
  <si>
    <t>390.84</t>
  </si>
  <si>
    <t>343</t>
  </si>
  <si>
    <t>479.84</t>
  </si>
  <si>
    <t>468.86</t>
  </si>
  <si>
    <t>561</t>
  </si>
  <si>
    <t>478.40</t>
  </si>
  <si>
    <t>03/28/2013</t>
  </si>
  <si>
    <t>537</t>
  </si>
  <si>
    <t>497.36</t>
  </si>
  <si>
    <t>3898</t>
  </si>
  <si>
    <t>654.61</t>
  </si>
  <si>
    <t>14-2N-24-0000-0004-0120</t>
  </si>
  <si>
    <t>142N24000000040120</t>
  </si>
  <si>
    <t>35023 QUAIL RD</t>
  </si>
  <si>
    <t>1851</t>
  </si>
  <si>
    <t xml:space="preserve"> AEGIS FUNDING CORP</t>
  </si>
  <si>
    <t>96000.00</t>
  </si>
  <si>
    <t>11/12/2003</t>
  </si>
  <si>
    <t>COPE MORGAN &amp; KATHY</t>
  </si>
  <si>
    <t>35023 QUAIL ROA</t>
  </si>
  <si>
    <t>972.51</t>
  </si>
  <si>
    <t>10/30/2017</t>
  </si>
  <si>
    <t>01/17/2017</t>
  </si>
  <si>
    <t>977.05</t>
  </si>
  <si>
    <t>01/25/2016</t>
  </si>
  <si>
    <t>917.70</t>
  </si>
  <si>
    <t>10/15/2014</t>
  </si>
  <si>
    <t>344</t>
  </si>
  <si>
    <t>1032.48</t>
  </si>
  <si>
    <t>1201</t>
  </si>
  <si>
    <t>1058.46</t>
  </si>
  <si>
    <t>562</t>
  </si>
  <si>
    <t>1098.43</t>
  </si>
  <si>
    <t>538</t>
  </si>
  <si>
    <t>1355.03</t>
  </si>
  <si>
    <t>02/23/2012</t>
  </si>
  <si>
    <t>23-2N-24-0000-0001-0220</t>
  </si>
  <si>
    <t>232N24000000010220</t>
  </si>
  <si>
    <t>QUAIL RD</t>
  </si>
  <si>
    <t>1.52</t>
  </si>
  <si>
    <t>FRESHWATER CHARLES &amp; JENNIFER</t>
  </si>
  <si>
    <t>PO BOX 5104</t>
  </si>
  <si>
    <t>Jacksonville Beach</t>
  </si>
  <si>
    <t>32240</t>
  </si>
  <si>
    <t>PT OF NE1/4 IN OR 1572/476</t>
  </si>
  <si>
    <t>565</t>
  </si>
  <si>
    <t>337.21</t>
  </si>
  <si>
    <t>10/04/2011</t>
  </si>
  <si>
    <t>542</t>
  </si>
  <si>
    <t>253.30</t>
  </si>
  <si>
    <t>06/11/2010</t>
  </si>
  <si>
    <t>24-2N-24-0000-0011-0000</t>
  </si>
  <si>
    <t>242N24000000110000</t>
  </si>
  <si>
    <t>6029 QUAIL RD</t>
  </si>
  <si>
    <t>8.66</t>
  </si>
  <si>
    <t>JOHNSON JOHN K III &amp; TAMMY R</t>
  </si>
  <si>
    <t>35739 QUAIL R</t>
  </si>
  <si>
    <t>IN OR 1945/1098</t>
  </si>
  <si>
    <t>330</t>
  </si>
  <si>
    <t>472.43</t>
  </si>
  <si>
    <t>478.25</t>
  </si>
  <si>
    <t>480.56</t>
  </si>
  <si>
    <t>350</t>
  </si>
  <si>
    <t>514.64</t>
  </si>
  <si>
    <t>12/05/2013</t>
  </si>
  <si>
    <t>1595</t>
  </si>
  <si>
    <t>515.24</t>
  </si>
  <si>
    <t>571</t>
  </si>
  <si>
    <t>571.42</t>
  </si>
  <si>
    <t>09/08/2011</t>
  </si>
  <si>
    <t>550</t>
  </si>
  <si>
    <t>679.25</t>
  </si>
  <si>
    <t>24-2N-24-0000-0012-0010</t>
  </si>
  <si>
    <t>242N24000000120010</t>
  </si>
  <si>
    <t>35752 QUAIL RD</t>
  </si>
  <si>
    <t>Combination</t>
  </si>
  <si>
    <t>2.87</t>
  </si>
  <si>
    <t>1297</t>
  </si>
  <si>
    <t>CLINE MARK ALLEN</t>
  </si>
  <si>
    <t>35752 QUAIL ROA</t>
  </si>
  <si>
    <t>PT OF E1/2 OF SE1/4 OF NE1/4</t>
  </si>
  <si>
    <t>1152.28</t>
  </si>
  <si>
    <t>11/12/2015</t>
  </si>
  <si>
    <t>899.61</t>
  </si>
  <si>
    <t>06/28/2013</t>
  </si>
  <si>
    <t>1597</t>
  </si>
  <si>
    <t>1008.72</t>
  </si>
  <si>
    <t>573</t>
  </si>
  <si>
    <t>1048.81</t>
  </si>
  <si>
    <t>551</t>
  </si>
  <si>
    <t>1172.94</t>
  </si>
  <si>
    <t>24-2N-24-0000-0014-0050</t>
  </si>
  <si>
    <t>242N24000000140050</t>
  </si>
  <si>
    <t>OFF QUAIL RD</t>
  </si>
  <si>
    <t>9.72</t>
  </si>
  <si>
    <t>SIMMONS IDELIA</t>
  </si>
  <si>
    <t>450225 OLD DIXIE HW</t>
  </si>
  <si>
    <t>PT OF SE1/4</t>
  </si>
  <si>
    <t>335</t>
  </si>
  <si>
    <t>801.59</t>
  </si>
  <si>
    <t>779.37</t>
  </si>
  <si>
    <t>686.49</t>
  </si>
  <si>
    <t>07/09/2015</t>
  </si>
  <si>
    <t>749.21</t>
  </si>
  <si>
    <t>11/06/2014</t>
  </si>
  <si>
    <t>24-2N-24-0000-0014-0060</t>
  </si>
  <si>
    <t>242N24000000140060</t>
  </si>
  <si>
    <t>45275 BROWNS FARM RD</t>
  </si>
  <si>
    <t>3.81</t>
  </si>
  <si>
    <t>1566</t>
  </si>
  <si>
    <t>11000</t>
  </si>
  <si>
    <t>RAYSOR CHARLES H &amp; PAULINE F</t>
  </si>
  <si>
    <t>BOX 20</t>
  </si>
  <si>
    <t>PT NW1/4 OF SEC 24-2N-24E</t>
  </si>
  <si>
    <t>534.60</t>
  </si>
  <si>
    <t>312</t>
  </si>
  <si>
    <t>582.53</t>
  </si>
  <si>
    <t>609.30</t>
  </si>
  <si>
    <t>04/15/2014</t>
  </si>
  <si>
    <t>1601</t>
  </si>
  <si>
    <t>720.38</t>
  </si>
  <si>
    <t>04/18/2013</t>
  </si>
  <si>
    <t>553</t>
  </si>
  <si>
    <t>713.01</t>
  </si>
  <si>
    <t>04/06/2011</t>
  </si>
  <si>
    <t>24-2N-24-0000-0014-0110</t>
  </si>
  <si>
    <t>47.63</t>
  </si>
  <si>
    <t>RAY E NELSON</t>
  </si>
  <si>
    <t>5000.00</t>
  </si>
  <si>
    <t>03/31/2008</t>
  </si>
  <si>
    <t>NELSON FREDEVA M (1/2 INT) &amp;</t>
  </si>
  <si>
    <t>1/2 INT) &amp;NELSON CAROL L (1/4 INT) &amp;ELLIS RAY (1/4 INT</t>
  </si>
  <si>
    <t>Oxford</t>
  </si>
  <si>
    <t>30054</t>
  </si>
  <si>
    <t>24-2N-24-0000-0014-0150</t>
  </si>
  <si>
    <t>242N24000000140150</t>
  </si>
  <si>
    <t>SIMMONS DERREL L</t>
  </si>
  <si>
    <t>450225 OLD DIXIE HIGHWA</t>
  </si>
  <si>
    <t>IN OR 672/144</t>
  </si>
  <si>
    <t>10/16/2017</t>
  </si>
  <si>
    <t>04/14/2015</t>
  </si>
  <si>
    <t>397.90</t>
  </si>
  <si>
    <t>04/21/2014</t>
  </si>
  <si>
    <t>1602</t>
  </si>
  <si>
    <t>396.47</t>
  </si>
  <si>
    <t>08/02/2012</t>
  </si>
  <si>
    <t>579</t>
  </si>
  <si>
    <t>440.31</t>
  </si>
  <si>
    <t>555</t>
  </si>
  <si>
    <t>524.77</t>
  </si>
  <si>
    <t>01/27/2011</t>
  </si>
  <si>
    <t>24-2N-24-0000-0016-0060</t>
  </si>
  <si>
    <t>242N24000000160060</t>
  </si>
  <si>
    <t>VYSTAR CU</t>
  </si>
  <si>
    <t>31500.00</t>
  </si>
  <si>
    <t>09/01/2022</t>
  </si>
  <si>
    <t>BALDERSON JERRY M</t>
  </si>
  <si>
    <t>PO BOX 1514</t>
  </si>
  <si>
    <t>Fernandina Beach</t>
  </si>
  <si>
    <t>32035</t>
  </si>
  <si>
    <t>IN OR 1358/1820</t>
  </si>
  <si>
    <t>340</t>
  </si>
  <si>
    <t>132.59</t>
  </si>
  <si>
    <t>125.24</t>
  </si>
  <si>
    <t>107.74</t>
  </si>
  <si>
    <t>06/20/2014</t>
  </si>
  <si>
    <t>24-2N-24-0000-0018-0010</t>
  </si>
  <si>
    <t>242N24000000180010</t>
  </si>
  <si>
    <t>29.40</t>
  </si>
  <si>
    <t>PT OF S1/2</t>
  </si>
  <si>
    <t>341</t>
  </si>
  <si>
    <t>39.20</t>
  </si>
  <si>
    <t>34.57</t>
  </si>
  <si>
    <t>33.90</t>
  </si>
  <si>
    <t>25-2N-24-0000-0017-0010</t>
  </si>
  <si>
    <t>252N24000000170010</t>
  </si>
  <si>
    <t>34706 HATHAWAY DR</t>
  </si>
  <si>
    <t>9.53</t>
  </si>
  <si>
    <t>46571</t>
  </si>
  <si>
    <t>PERRET MARY S</t>
  </si>
  <si>
    <t>615550 RIVER R</t>
  </si>
  <si>
    <t>IN OR 1852/822    (EX 17-4)</t>
  </si>
  <si>
    <t>1236.45</t>
  </si>
  <si>
    <t>12/28/2016</t>
  </si>
  <si>
    <t>1114.13</t>
  </si>
  <si>
    <t>08/06/2015</t>
  </si>
  <si>
    <t>501.31</t>
  </si>
  <si>
    <t>365</t>
  </si>
  <si>
    <t>555.57</t>
  </si>
  <si>
    <t>1635</t>
  </si>
  <si>
    <t>937.77</t>
  </si>
  <si>
    <t>583</t>
  </si>
  <si>
    <t>1042.74</t>
  </si>
  <si>
    <t>25-2N-24-0000-0017-0040</t>
  </si>
  <si>
    <t>252N24000000170040</t>
  </si>
  <si>
    <t>615550 RIVER RD</t>
  </si>
  <si>
    <t>0.69</t>
  </si>
  <si>
    <t>2135</t>
  </si>
  <si>
    <t>181500</t>
  </si>
  <si>
    <t xml:space="preserve"> COMPASS BANK</t>
  </si>
  <si>
    <t>52000.00</t>
  </si>
  <si>
    <t>04/03/2007</t>
  </si>
  <si>
    <t>PERRET MICHAEL E JR</t>
  </si>
  <si>
    <t>615550 RIVER ROA</t>
  </si>
  <si>
    <t>1088.27</t>
  </si>
  <si>
    <t>1102.14</t>
  </si>
  <si>
    <t>321</t>
  </si>
  <si>
    <t>1094.47</t>
  </si>
  <si>
    <t>25-2N-24-0000-0017-0070</t>
  </si>
  <si>
    <t>8.09</t>
  </si>
  <si>
    <t>PT JOHN LOWE MILL GRANT</t>
  </si>
  <si>
    <t>25-2N-24-226B-0060-0040</t>
  </si>
  <si>
    <t>35262 GOODBREAD RD</t>
  </si>
  <si>
    <t>2039</t>
  </si>
  <si>
    <t>SUNTRUST BANK</t>
  </si>
  <si>
    <t>REDDISH LINDA SUE &amp;</t>
  </si>
  <si>
    <t>PT OF LOT 60</t>
  </si>
  <si>
    <t>26-2N-24-0000-0004-0140</t>
  </si>
  <si>
    <t>262N24000000040140</t>
  </si>
  <si>
    <t>35056 MARY RD</t>
  </si>
  <si>
    <t>1719</t>
  </si>
  <si>
    <t>HURST RONNIE HOWARD JR</t>
  </si>
  <si>
    <t>35056 MARY ROA</t>
  </si>
  <si>
    <t>IN OR 1770/38</t>
  </si>
  <si>
    <t>564.58</t>
  </si>
  <si>
    <t>572.55</t>
  </si>
  <si>
    <t>1672</t>
  </si>
  <si>
    <t>495.39</t>
  </si>
  <si>
    <t>26-2N-24-0000-0004-0170</t>
  </si>
  <si>
    <t>262N24000000040170</t>
  </si>
  <si>
    <t>35019 MARY RD</t>
  </si>
  <si>
    <t>2193</t>
  </si>
  <si>
    <t>120000</t>
  </si>
  <si>
    <t>EDUCATIONAL COMMUNITY CU</t>
  </si>
  <si>
    <t>143700.00</t>
  </si>
  <si>
    <t>HURST RONNIE &amp; HEATHER</t>
  </si>
  <si>
    <t>35019 MARY R</t>
  </si>
  <si>
    <t>PT NE 1/4 OF SW 1/4 OF</t>
  </si>
  <si>
    <t>2312.16</t>
  </si>
  <si>
    <t>2104.38</t>
  </si>
  <si>
    <t>06/30/2015</t>
  </si>
  <si>
    <t>26-2N-24-0000-0015-0000</t>
  </si>
  <si>
    <t>262N24000000150000</t>
  </si>
  <si>
    <t xml:space="preserve">- </t>
  </si>
  <si>
    <t>345</t>
  </si>
  <si>
    <t>50.91</t>
  </si>
  <si>
    <t>45.37</t>
  </si>
  <si>
    <t>42.51</t>
  </si>
  <si>
    <t>55.10</t>
  </si>
  <si>
    <t>372</t>
  </si>
  <si>
    <t>48.54</t>
  </si>
  <si>
    <t>1674</t>
  </si>
  <si>
    <t>41.01</t>
  </si>
  <si>
    <t>590</t>
  </si>
  <si>
    <t>52.00</t>
  </si>
  <si>
    <t>27-2N-24-0000-0002-0060</t>
  </si>
  <si>
    <t>272N24000000020060</t>
  </si>
  <si>
    <t>613386 RIVER RD</t>
  </si>
  <si>
    <t>2.04</t>
  </si>
  <si>
    <t>2408</t>
  </si>
  <si>
    <t>232000</t>
  </si>
  <si>
    <t xml:space="preserve"> BANK OF SAN ANTONIO</t>
  </si>
  <si>
    <t>324000.00</t>
  </si>
  <si>
    <t>11/26/2008</t>
  </si>
  <si>
    <t>SMITH DAVID P</t>
  </si>
  <si>
    <t>613386 RIVER ROA</t>
  </si>
  <si>
    <t>IN OR 1625/1846</t>
  </si>
  <si>
    <t>1821.16</t>
  </si>
  <si>
    <t>323</t>
  </si>
  <si>
    <t>1880.07</t>
  </si>
  <si>
    <t>04/23/2018</t>
  </si>
  <si>
    <t>2364.28</t>
  </si>
  <si>
    <t>2029.84</t>
  </si>
  <si>
    <t>27-2N-24-228D-0059-0030</t>
  </si>
  <si>
    <t>WALTER ERNEST ESTATE</t>
  </si>
  <si>
    <t>155 S HIDDENBROOKE D</t>
  </si>
  <si>
    <t>Advance</t>
  </si>
  <si>
    <t>North Carolina</t>
  </si>
  <si>
    <t>27006</t>
  </si>
  <si>
    <t>BLK 59 LOTS 3 &amp; 4</t>
  </si>
  <si>
    <t>28-2N-24-0000-0007-0040</t>
  </si>
  <si>
    <t>282N24000000070040</t>
  </si>
  <si>
    <t>613048 RIVER RD</t>
  </si>
  <si>
    <t>4.40</t>
  </si>
  <si>
    <t>6168</t>
  </si>
  <si>
    <t>SOUTHTRUST MORTGAGE CORP</t>
  </si>
  <si>
    <t>120000.00</t>
  </si>
  <si>
    <t>Mortgage Company</t>
  </si>
  <si>
    <t>12/31/1998</t>
  </si>
  <si>
    <t>613048 RIVER ROA</t>
  </si>
  <si>
    <t>3768.69</t>
  </si>
  <si>
    <t>3834.51</t>
  </si>
  <si>
    <t>09/11/2015</t>
  </si>
  <si>
    <t>3598.01</t>
  </si>
  <si>
    <t>1752</t>
  </si>
  <si>
    <t>3360.49</t>
  </si>
  <si>
    <t>01/31/2013</t>
  </si>
  <si>
    <t>35-2N-24-0000-0002-0080</t>
  </si>
  <si>
    <t>352N24000000020080</t>
  </si>
  <si>
    <t>34002 SIX CAR LN</t>
  </si>
  <si>
    <t>DYAL TERRANCE WARREN JR</t>
  </si>
  <si>
    <t>34002 SIX CAR L</t>
  </si>
  <si>
    <t>PT OF SW1/4 OF NW1/4</t>
  </si>
  <si>
    <t>348</t>
  </si>
  <si>
    <t>356.69</t>
  </si>
  <si>
    <t>325</t>
  </si>
  <si>
    <t>354.81</t>
  </si>
  <si>
    <t>03/21/2018</t>
  </si>
  <si>
    <t>350.91</t>
  </si>
  <si>
    <t>05/10/2017</t>
  </si>
  <si>
    <t>376.89</t>
  </si>
  <si>
    <t>02/24/2016</t>
  </si>
  <si>
    <t>502.40</t>
  </si>
  <si>
    <t>2032</t>
  </si>
  <si>
    <t>517.12</t>
  </si>
  <si>
    <t>594</t>
  </si>
  <si>
    <t>553.65</t>
  </si>
  <si>
    <t>572</t>
  </si>
  <si>
    <t>539.87</t>
  </si>
  <si>
    <t>02/27/2012</t>
  </si>
  <si>
    <t>36-2N-24-0000-0003-0030</t>
  </si>
  <si>
    <t>COQUINA WAY</t>
  </si>
  <si>
    <t>2.23</t>
  </si>
  <si>
    <t>BARBER ROY E</t>
  </si>
  <si>
    <t>6213 ALFREDO DRIVE WES</t>
  </si>
  <si>
    <t>PT S1/2 OF NE1/4 OF NW1/4 OF</t>
  </si>
  <si>
    <t>38-2N-24-0000-0002-0040</t>
  </si>
  <si>
    <t>382N24000000020040</t>
  </si>
  <si>
    <t>36059 ATKINSON LN</t>
  </si>
  <si>
    <t>1.95</t>
  </si>
  <si>
    <t>3100</t>
  </si>
  <si>
    <t>150000</t>
  </si>
  <si>
    <t xml:space="preserve"> MERCANTILE BANK</t>
  </si>
  <si>
    <t>51000.00</t>
  </si>
  <si>
    <t>09/08/2008</t>
  </si>
  <si>
    <t>MIZELL WALTER S</t>
  </si>
  <si>
    <t>45200 DORMAN PLAC</t>
  </si>
  <si>
    <t>IN OR 1627/1643</t>
  </si>
  <si>
    <t>1067.03</t>
  </si>
  <si>
    <t>07/17/2017</t>
  </si>
  <si>
    <t>38-2N-24-0000-0002-0100</t>
  </si>
  <si>
    <t>382N24000000020100</t>
  </si>
  <si>
    <t>36160 COTTONMOUTH LN</t>
  </si>
  <si>
    <t>8.02</t>
  </si>
  <si>
    <t>HIGGINBOTHAM CHRISTINE &amp;</t>
  </si>
  <si>
    <t>3518 WOODMERE LAN</t>
  </si>
  <si>
    <t>Sugarland</t>
  </si>
  <si>
    <t>Texas</t>
  </si>
  <si>
    <t>77478</t>
  </si>
  <si>
    <t>IN OR 1009/1139</t>
  </si>
  <si>
    <t>1223.98</t>
  </si>
  <si>
    <t>1333.42</t>
  </si>
  <si>
    <t>332</t>
  </si>
  <si>
    <t>1397.80</t>
  </si>
  <si>
    <t>1454.23</t>
  </si>
  <si>
    <t>375</t>
  </si>
  <si>
    <t>1991.84</t>
  </si>
  <si>
    <t>2365</t>
  </si>
  <si>
    <t>2274.81</t>
  </si>
  <si>
    <t>597</t>
  </si>
  <si>
    <t>2459.36</t>
  </si>
  <si>
    <t>582</t>
  </si>
  <si>
    <t>2763.12</t>
  </si>
  <si>
    <t>03-3N-24-0000-0001-0030</t>
  </si>
  <si>
    <t>033N24000000010030</t>
  </si>
  <si>
    <t>37572 PINERIDGE RD</t>
  </si>
  <si>
    <t>1280</t>
  </si>
  <si>
    <t>36000</t>
  </si>
  <si>
    <t>37928.00</t>
  </si>
  <si>
    <t>04/06/2010</t>
  </si>
  <si>
    <t>REED HUBERT E</t>
  </si>
  <si>
    <t>37610 PINERIDGE DRIV</t>
  </si>
  <si>
    <t>IN OR 1670/970</t>
  </si>
  <si>
    <t>03-3N-24-0000-0001-0050</t>
  </si>
  <si>
    <t>033N24000000010050</t>
  </si>
  <si>
    <t>37610 PINERIDGE RD</t>
  </si>
  <si>
    <t>1.89</t>
  </si>
  <si>
    <t>2153</t>
  </si>
  <si>
    <t>04/03/2012</t>
  </si>
  <si>
    <t>REED HUBERT E JR &amp; DEBBIE SUE</t>
  </si>
  <si>
    <t>37610 PINERIDGE ROA</t>
  </si>
  <si>
    <t>PT OF NW1/4 OF SE1/4</t>
  </si>
  <si>
    <t>1019.20</t>
  </si>
  <si>
    <t>05/24/2016</t>
  </si>
  <si>
    <t>03-3N-24-0000-0001-0060</t>
  </si>
  <si>
    <t>37595 OLD PINERIDGE RD</t>
  </si>
  <si>
    <t>4010</t>
  </si>
  <si>
    <t>55000.00</t>
  </si>
  <si>
    <t>01/05/2016</t>
  </si>
  <si>
    <t>KINCADE RALPH R &amp; DREMA D</t>
  </si>
  <si>
    <t>26393 SHEARED STOKES R</t>
  </si>
  <si>
    <t>IN OR 1839/633</t>
  </si>
  <si>
    <t>03-3N-24-2020-0023-0110</t>
  </si>
  <si>
    <t>033N24202000230110</t>
  </si>
  <si>
    <t>37402 OLD PINERIDGE RD</t>
  </si>
  <si>
    <t>25060.00</t>
  </si>
  <si>
    <t>11/08/1999</t>
  </si>
  <si>
    <t>DAUGHTRY CHARLES E &amp; MONICA S</t>
  </si>
  <si>
    <t>545605 US HWY</t>
  </si>
  <si>
    <t>PT LOT 23</t>
  </si>
  <si>
    <t>355</t>
  </si>
  <si>
    <t>939.22</t>
  </si>
  <si>
    <t>913.56</t>
  </si>
  <si>
    <t>829.61</t>
  </si>
  <si>
    <t>671.04</t>
  </si>
  <si>
    <t>378</t>
  </si>
  <si>
    <t>790.13</t>
  </si>
  <si>
    <t>03/17/2015</t>
  </si>
  <si>
    <t>700</t>
  </si>
  <si>
    <t>893.91</t>
  </si>
  <si>
    <t>03-3N-24-2300-0017-0030</t>
  </si>
  <si>
    <t>033N24230000170030</t>
  </si>
  <si>
    <t>37179 COYOTE DR</t>
  </si>
  <si>
    <t>WADE TONYA M</t>
  </si>
  <si>
    <t>37810 OLD PINERIDGE R</t>
  </si>
  <si>
    <t>E1/2 OF W1/2 OF SE1/4 OF SW1/4</t>
  </si>
  <si>
    <t>149.58</t>
  </si>
  <si>
    <t>139.78</t>
  </si>
  <si>
    <t>04-3N-24-0000-0004-0090</t>
  </si>
  <si>
    <t>043N24000000040090</t>
  </si>
  <si>
    <t>KINGS FERRY RD</t>
  </si>
  <si>
    <t>24.80</t>
  </si>
  <si>
    <t>PEARSON STEVEN C</t>
  </si>
  <si>
    <t>6115 NORTH RAGLAND C</t>
  </si>
  <si>
    <t>Arlington</t>
  </si>
  <si>
    <t>Tennessee</t>
  </si>
  <si>
    <t>38002</t>
  </si>
  <si>
    <t>S1/2 OF N1/2 OF SE1/4</t>
  </si>
  <si>
    <t>1742.47</t>
  </si>
  <si>
    <t>07/05/2017</t>
  </si>
  <si>
    <t>1763.95</t>
  </si>
  <si>
    <t>1599.37</t>
  </si>
  <si>
    <t>05-3N-24-0000-0007-0010</t>
  </si>
  <si>
    <t>053N24000000070010</t>
  </si>
  <si>
    <t>SWEARINGEN RD</t>
  </si>
  <si>
    <t>0.21</t>
  </si>
  <si>
    <t>MASON WILBUR</t>
  </si>
  <si>
    <t>80 KLYONA AV</t>
  </si>
  <si>
    <t>Phoenixville</t>
  </si>
  <si>
    <t>19460</t>
  </si>
  <si>
    <t>BLOCK 11 LOTS 1-2-3-4</t>
  </si>
  <si>
    <t>359</t>
  </si>
  <si>
    <t>177.40</t>
  </si>
  <si>
    <t>243.07</t>
  </si>
  <si>
    <t>244.17</t>
  </si>
  <si>
    <t>232.29</t>
  </si>
  <si>
    <t>385</t>
  </si>
  <si>
    <t>234.94</t>
  </si>
  <si>
    <t>795</t>
  </si>
  <si>
    <t>605</t>
  </si>
  <si>
    <t>289.51</t>
  </si>
  <si>
    <t>05-3N-24-0000-0017-0020</t>
  </si>
  <si>
    <t>053N24000000170020</t>
  </si>
  <si>
    <t>552355 US HWY 1</t>
  </si>
  <si>
    <t>1801</t>
  </si>
  <si>
    <t>6900</t>
  </si>
  <si>
    <t>MCDONALD HENDRIX</t>
  </si>
  <si>
    <t>52696.00</t>
  </si>
  <si>
    <t>06/23/2009</t>
  </si>
  <si>
    <t>MUSSELMAN DIANA FREDIA &amp;</t>
  </si>
  <si>
    <t>552355 US HWY</t>
  </si>
  <si>
    <t>IN OR 1909/1677</t>
  </si>
  <si>
    <t>438.11</t>
  </si>
  <si>
    <t>442.05</t>
  </si>
  <si>
    <t>441.79</t>
  </si>
  <si>
    <t>354</t>
  </si>
  <si>
    <t>360.51</t>
  </si>
  <si>
    <t>370.98</t>
  </si>
  <si>
    <t>798</t>
  </si>
  <si>
    <t>397.93</t>
  </si>
  <si>
    <t>11/27/2012</t>
  </si>
  <si>
    <t>608</t>
  </si>
  <si>
    <t>413.16</t>
  </si>
  <si>
    <t>05-3N-24-0000-0029-0030</t>
  </si>
  <si>
    <t>053N24000000290030</t>
  </si>
  <si>
    <t>552169 US HWY 1</t>
  </si>
  <si>
    <t>0.70</t>
  </si>
  <si>
    <t>2060</t>
  </si>
  <si>
    <t>NEW CENTURY MORTGAGE CORP</t>
  </si>
  <si>
    <t>58005.00</t>
  </si>
  <si>
    <t>06/01/2034</t>
  </si>
  <si>
    <t>YOUNG DARIN P &amp;</t>
  </si>
  <si>
    <t>552169 US HWY</t>
  </si>
  <si>
    <t>362</t>
  </si>
  <si>
    <t>801.45</t>
  </si>
  <si>
    <t>812.44</t>
  </si>
  <si>
    <t>807.33</t>
  </si>
  <si>
    <t>05-3N-24-0000-0031-0000</t>
  </si>
  <si>
    <t>053N24000000310000</t>
  </si>
  <si>
    <t>552121 US HWY 1</t>
  </si>
  <si>
    <t>Industrial</t>
  </si>
  <si>
    <t>LIGHT MANUFACTURE</t>
  </si>
  <si>
    <t>3.20</t>
  </si>
  <si>
    <t>17120</t>
  </si>
  <si>
    <t>400000</t>
  </si>
  <si>
    <t>ALBERT WADE AKIN</t>
  </si>
  <si>
    <t>275000.00</t>
  </si>
  <si>
    <t>09/01/2010</t>
  </si>
  <si>
    <t>32045</t>
  </si>
  <si>
    <t>IN OR 1341/703</t>
  </si>
  <si>
    <t>7504.56</t>
  </si>
  <si>
    <t>6126.07</t>
  </si>
  <si>
    <t>03/01/2016</t>
  </si>
  <si>
    <t>5698.98</t>
  </si>
  <si>
    <t>11/07/2014</t>
  </si>
  <si>
    <t>5167.53</t>
  </si>
  <si>
    <t>802</t>
  </si>
  <si>
    <t>5047.33</t>
  </si>
  <si>
    <t>610</t>
  </si>
  <si>
    <t>5174.01</t>
  </si>
  <si>
    <t>08/12/2011</t>
  </si>
  <si>
    <t>601</t>
  </si>
  <si>
    <t>5517.48</t>
  </si>
  <si>
    <t>01/19/2011</t>
  </si>
  <si>
    <t>05-3N-24-0000-0031-0010</t>
  </si>
  <si>
    <t>053N24000000310010</t>
  </si>
  <si>
    <t>0.28</t>
  </si>
  <si>
    <t>SMITH ROBERTA A</t>
  </si>
  <si>
    <t>PO BOX 33</t>
  </si>
  <si>
    <t>PT OR 1483/454</t>
  </si>
  <si>
    <t>190.28</t>
  </si>
  <si>
    <t>184.78</t>
  </si>
  <si>
    <t>357</t>
  </si>
  <si>
    <t>172.49</t>
  </si>
  <si>
    <t>219.86</t>
  </si>
  <si>
    <t>803</t>
  </si>
  <si>
    <t>110.96</t>
  </si>
  <si>
    <t>611</t>
  </si>
  <si>
    <t>124.45</t>
  </si>
  <si>
    <t>602</t>
  </si>
  <si>
    <t>168.39</t>
  </si>
  <si>
    <t>05-3N-24-0000-0031-0030</t>
  </si>
  <si>
    <t>053N24000000310030</t>
  </si>
  <si>
    <t>EIGHTH AV</t>
  </si>
  <si>
    <t>803.35</t>
  </si>
  <si>
    <t>777.75</t>
  </si>
  <si>
    <t>720.74</t>
  </si>
  <si>
    <t>940.63</t>
  </si>
  <si>
    <t>804</t>
  </si>
  <si>
    <t>464.14</t>
  </si>
  <si>
    <t>612</t>
  </si>
  <si>
    <t>530.52</t>
  </si>
  <si>
    <t>603</t>
  </si>
  <si>
    <t>738.06</t>
  </si>
  <si>
    <t>05-3N-24-0000-0033-0000</t>
  </si>
  <si>
    <t>552073 US HWY 1</t>
  </si>
  <si>
    <t>6408</t>
  </si>
  <si>
    <t>LIBBY ARTHUR DALE &amp; JANICE P</t>
  </si>
  <si>
    <t>552073 US HWY 1 NORT</t>
  </si>
  <si>
    <t>PT OF BLKS 25,27 &amp; PT ABND 8TH</t>
  </si>
  <si>
    <t>2408.32</t>
  </si>
  <si>
    <t>05-3N-24-0000-0035-0000</t>
  </si>
  <si>
    <t>053N24000000350000</t>
  </si>
  <si>
    <t>552110 US HWY 1</t>
  </si>
  <si>
    <t>2.69</t>
  </si>
  <si>
    <t>3190</t>
  </si>
  <si>
    <t>ALLPHIN TRUDI</t>
  </si>
  <si>
    <t>552210 US HWY</t>
  </si>
  <si>
    <t>IN OR 1822/1974 (EX 35-1)</t>
  </si>
  <si>
    <t>395</t>
  </si>
  <si>
    <t>744.70</t>
  </si>
  <si>
    <t>08/16/2013</t>
  </si>
  <si>
    <t>05-3N-24-0000-0035-0010</t>
  </si>
  <si>
    <t>053N24000000350010</t>
  </si>
  <si>
    <t>0.04</t>
  </si>
  <si>
    <t>500</t>
  </si>
  <si>
    <t>HARGROVE ALTAMESE G</t>
  </si>
  <si>
    <t>1411 W 6TH S</t>
  </si>
  <si>
    <t>32209</t>
  </si>
  <si>
    <t>IN OR 649 PG 1129</t>
  </si>
  <si>
    <t>45.20</t>
  </si>
  <si>
    <t>40.42</t>
  </si>
  <si>
    <t>40.11</t>
  </si>
  <si>
    <t>39.43</t>
  </si>
  <si>
    <t>28.99</t>
  </si>
  <si>
    <t>806</t>
  </si>
  <si>
    <t>22.36</t>
  </si>
  <si>
    <t>614</t>
  </si>
  <si>
    <t>29.92</t>
  </si>
  <si>
    <t>05-3N-24-2020-0001-0010</t>
  </si>
  <si>
    <t>OFF GEORGIA ST</t>
  </si>
  <si>
    <t>PAMELA S DOLAN</t>
  </si>
  <si>
    <t>27600.00</t>
  </si>
  <si>
    <t>04/22/2026</t>
  </si>
  <si>
    <t>CICERO JOSEPH S</t>
  </si>
  <si>
    <t>272011 GEORGIA S</t>
  </si>
  <si>
    <t>PT OF LOT 1 (S-1)</t>
  </si>
  <si>
    <t>525.07</t>
  </si>
  <si>
    <t>05-3N-24-2020-0011-0000</t>
  </si>
  <si>
    <t>053N24202000110000</t>
  </si>
  <si>
    <t>27093 ROWE LN</t>
  </si>
  <si>
    <t>1304</t>
  </si>
  <si>
    <t>ROWE MELVERINE EST</t>
  </si>
  <si>
    <t>27093 ROWE LAN</t>
  </si>
  <si>
    <t>LOT 11  (EX S-1 S-2 &amp; S-3)</t>
  </si>
  <si>
    <t>366</t>
  </si>
  <si>
    <t>620.44</t>
  </si>
  <si>
    <t>607.19</t>
  </si>
  <si>
    <t>02/13/2018</t>
  </si>
  <si>
    <t>533.55</t>
  </si>
  <si>
    <t>06/03/2016</t>
  </si>
  <si>
    <t>433.30</t>
  </si>
  <si>
    <t>615</t>
  </si>
  <si>
    <t>129.06</t>
  </si>
  <si>
    <t>04/05/2012</t>
  </si>
  <si>
    <t>107.33</t>
  </si>
  <si>
    <t>05-3N-24-2020-0011-0010</t>
  </si>
  <si>
    <t>053N24202000110010</t>
  </si>
  <si>
    <t>271363 GEORGIA ST</t>
  </si>
  <si>
    <t>1050</t>
  </si>
  <si>
    <t>7960.00</t>
  </si>
  <si>
    <t>Bank</t>
  </si>
  <si>
    <t>Unknown</t>
  </si>
  <si>
    <t>08/23/2004</t>
  </si>
  <si>
    <t>08/15/2007</t>
  </si>
  <si>
    <t>CURRIN SHERRIE L &amp;</t>
  </si>
  <si>
    <t>18543 ALABAMA HWY 3</t>
  </si>
  <si>
    <t>Scottsboro</t>
  </si>
  <si>
    <t>Alabama</t>
  </si>
  <si>
    <t>35768</t>
  </si>
  <si>
    <t>W1/2 OF W1/2 OF LOT 11</t>
  </si>
  <si>
    <t>515.47</t>
  </si>
  <si>
    <t>3185</t>
  </si>
  <si>
    <t>157.91</t>
  </si>
  <si>
    <t>05-3N-24-2020-0011-0030</t>
  </si>
  <si>
    <t>053N24202000110030</t>
  </si>
  <si>
    <t>ROWE LN</t>
  </si>
  <si>
    <t>DAY KATRIENA V E EST</t>
  </si>
  <si>
    <t>PT OF LOT 11  CASE 99-1071-CA</t>
  </si>
  <si>
    <t>368</t>
  </si>
  <si>
    <t>326.76</t>
  </si>
  <si>
    <t>316.79</t>
  </si>
  <si>
    <t>280.39</t>
  </si>
  <si>
    <t>02/08/2017</t>
  </si>
  <si>
    <t>361</t>
  </si>
  <si>
    <t>265.73</t>
  </si>
  <si>
    <t>06/05/2015</t>
  </si>
  <si>
    <t>807</t>
  </si>
  <si>
    <t>353.11</t>
  </si>
  <si>
    <t>02/13/2013</t>
  </si>
  <si>
    <t>616</t>
  </si>
  <si>
    <t>392.04</t>
  </si>
  <si>
    <t>606</t>
  </si>
  <si>
    <t>465.78</t>
  </si>
  <si>
    <t>05-3N-24-2020-0012-0010</t>
  </si>
  <si>
    <t>053N24202000120010</t>
  </si>
  <si>
    <t>271315 GEORGIA ST</t>
  </si>
  <si>
    <t>5.05</t>
  </si>
  <si>
    <t>BELL SENIE D</t>
  </si>
  <si>
    <t>35041 DUCK POND C</t>
  </si>
  <si>
    <t>N1/2 OF LOT 12</t>
  </si>
  <si>
    <t>596.74</t>
  </si>
  <si>
    <t>530.38</t>
  </si>
  <si>
    <t>375.19</t>
  </si>
  <si>
    <t>617</t>
  </si>
  <si>
    <t>484.18</t>
  </si>
  <si>
    <t>05/01/2012</t>
  </si>
  <si>
    <t>05-3N-24-2330-0026-0000</t>
  </si>
  <si>
    <t>053N24233000260000</t>
  </si>
  <si>
    <t>27245 KARA CIR</t>
  </si>
  <si>
    <t>COBB LINDA L EST</t>
  </si>
  <si>
    <t>27245 KARA CI</t>
  </si>
  <si>
    <t>3186</t>
  </si>
  <si>
    <t>114.61</t>
  </si>
  <si>
    <t>3811</t>
  </si>
  <si>
    <t>45.25</t>
  </si>
  <si>
    <t>06/10/2011</t>
  </si>
  <si>
    <t>05-3N-24-2340-0003-0020</t>
  </si>
  <si>
    <t>053N24234000030020</t>
  </si>
  <si>
    <t>371145 OXFORD ST</t>
  </si>
  <si>
    <t>0.77</t>
  </si>
  <si>
    <t>975</t>
  </si>
  <si>
    <t>DONLEY HOLMAN EST</t>
  </si>
  <si>
    <t>BOX 34</t>
  </si>
  <si>
    <t>S PT OF LOT 3</t>
  </si>
  <si>
    <t>845.96</t>
  </si>
  <si>
    <t>854.52</t>
  </si>
  <si>
    <t>769.39</t>
  </si>
  <si>
    <t>400</t>
  </si>
  <si>
    <t>746.00</t>
  </si>
  <si>
    <t>808</t>
  </si>
  <si>
    <t>788.06</t>
  </si>
  <si>
    <t>09/06/2012</t>
  </si>
  <si>
    <t>619</t>
  </si>
  <si>
    <t>794.18</t>
  </si>
  <si>
    <t>609</t>
  </si>
  <si>
    <t>896.88</t>
  </si>
  <si>
    <t>05-3N-24-2340-0013-0030</t>
  </si>
  <si>
    <t>053N24234000130030</t>
  </si>
  <si>
    <t>OXFORD ST</t>
  </si>
  <si>
    <t>DONELY ARTHUR &amp; SHEILA</t>
  </si>
  <si>
    <t>410 25TH AV</t>
  </si>
  <si>
    <t>Vero Beach</t>
  </si>
  <si>
    <t>32962</t>
  </si>
  <si>
    <t>PT OF LOT 13</t>
  </si>
  <si>
    <t>46.22</t>
  </si>
  <si>
    <t>41.75</t>
  </si>
  <si>
    <t>158.35</t>
  </si>
  <si>
    <t>150.63</t>
  </si>
  <si>
    <t>152.39</t>
  </si>
  <si>
    <t>811</t>
  </si>
  <si>
    <t>165.49</t>
  </si>
  <si>
    <t>622</t>
  </si>
  <si>
    <t>179.09</t>
  </si>
  <si>
    <t>05-3N-24-2340-0014-0040</t>
  </si>
  <si>
    <t>053N24234000140040</t>
  </si>
  <si>
    <t>3737 WEBB ST</t>
  </si>
  <si>
    <t>0.30</t>
  </si>
  <si>
    <t>BROWN LATASHIA &amp;</t>
  </si>
  <si>
    <t>W1/2 OF E1/2 OF LOT 14</t>
  </si>
  <si>
    <t>293.57</t>
  </si>
  <si>
    <t>315.35</t>
  </si>
  <si>
    <t>325.43</t>
  </si>
  <si>
    <t>313.68</t>
  </si>
  <si>
    <t>293.53</t>
  </si>
  <si>
    <t>03/11/2014</t>
  </si>
  <si>
    <t>812</t>
  </si>
  <si>
    <t>331.79</t>
  </si>
  <si>
    <t>624</t>
  </si>
  <si>
    <t>336.18</t>
  </si>
  <si>
    <t>03/06/2012</t>
  </si>
  <si>
    <t>05-3N-24-2360-0015-0000</t>
  </si>
  <si>
    <t>053N24236000150000</t>
  </si>
  <si>
    <t>552367 US HWY 1</t>
  </si>
  <si>
    <t>1376</t>
  </si>
  <si>
    <t>77000</t>
  </si>
  <si>
    <t>75000.00</t>
  </si>
  <si>
    <t>PADGETT CHRISTINA FAY</t>
  </si>
  <si>
    <t>PO BOX 174</t>
  </si>
  <si>
    <t>LOT 15 (EX S-1) &amp; PAR 17-3</t>
  </si>
  <si>
    <t>496.93</t>
  </si>
  <si>
    <t>503.54</t>
  </si>
  <si>
    <t>503.34</t>
  </si>
  <si>
    <t>475.30</t>
  </si>
  <si>
    <t>02/08/2016</t>
  </si>
  <si>
    <t>07-3N-24-2020-0050-0000</t>
  </si>
  <si>
    <t>073N24202000500000</t>
  </si>
  <si>
    <t>27092 GEORGIA ST</t>
  </si>
  <si>
    <t>2094</t>
  </si>
  <si>
    <t>39000</t>
  </si>
  <si>
    <t>MCCONNELL RICHARD W &amp; JANET L</t>
  </si>
  <si>
    <t>27092 GEORGIA STREE</t>
  </si>
  <si>
    <t>LOT 50</t>
  </si>
  <si>
    <t>911.08</t>
  </si>
  <si>
    <t>921.89</t>
  </si>
  <si>
    <t>914.75</t>
  </si>
  <si>
    <t>02/24/2017</t>
  </si>
  <si>
    <t>1092.20</t>
  </si>
  <si>
    <t>1132.22</t>
  </si>
  <si>
    <t>867</t>
  </si>
  <si>
    <t>1275.28</t>
  </si>
  <si>
    <t>626</t>
  </si>
  <si>
    <t>1315.42</t>
  </si>
  <si>
    <t>613</t>
  </si>
  <si>
    <t>1263.68</t>
  </si>
  <si>
    <t>07-3N-24-2020-0059-0000</t>
  </si>
  <si>
    <t>073N24-20200059-0000</t>
  </si>
  <si>
    <t>27664 GEORGIA ST</t>
  </si>
  <si>
    <t>1505</t>
  </si>
  <si>
    <t>ROBINSON EARL L &amp; SYLVIA I</t>
  </si>
  <si>
    <t>547.45</t>
  </si>
  <si>
    <t>07-3N-24-2020-0060-0010</t>
  </si>
  <si>
    <t>GEORGIA ST</t>
  </si>
  <si>
    <t>SADESKY STEVE JR &amp; SHARON</t>
  </si>
  <si>
    <t>PO BOX 2</t>
  </si>
  <si>
    <t>N1/2 OF LOT 60</t>
  </si>
  <si>
    <t>07-3N-24-2020-0060-0020</t>
  </si>
  <si>
    <t>27708 GEORGIA ST</t>
  </si>
  <si>
    <t>1430</t>
  </si>
  <si>
    <t>SADESKY STEVE P JR</t>
  </si>
  <si>
    <t>27708 GEORGIA S</t>
  </si>
  <si>
    <t>S 1/2 OF LOT 60</t>
  </si>
  <si>
    <t>08-3N-24-2380-0009-0022</t>
  </si>
  <si>
    <t>37461 FIRST ST W</t>
  </si>
  <si>
    <t>WAREHOUSE STOR/DIST</t>
  </si>
  <si>
    <t>0.46</t>
  </si>
  <si>
    <t>3240</t>
  </si>
  <si>
    <t>HARRIS ELMO A</t>
  </si>
  <si>
    <t>PO BOX 107</t>
  </si>
  <si>
    <t>BLOCK 9 SWLY 200 FT OF LOT 2</t>
  </si>
  <si>
    <t>08-3N-24-2380-0009-0030</t>
  </si>
  <si>
    <t>FIRST ST W</t>
  </si>
  <si>
    <t>BLOCK 9 SWLY 200 FT OF LOT 3</t>
  </si>
  <si>
    <t>08-3N-24-2380-0010-0033</t>
  </si>
  <si>
    <t>083N24238000100033</t>
  </si>
  <si>
    <t>551690 US HWY 1</t>
  </si>
  <si>
    <t>STORES. 1 STORY</t>
  </si>
  <si>
    <t>1395</t>
  </si>
  <si>
    <t>GUYNN GERALD J &amp; DAPHNE M</t>
  </si>
  <si>
    <t>PO BOX 134</t>
  </si>
  <si>
    <t>BLK 10 PT OF LOT 3 IN</t>
  </si>
  <si>
    <t>426.93</t>
  </si>
  <si>
    <t>05/21/2017</t>
  </si>
  <si>
    <t>411.37</t>
  </si>
  <si>
    <t>03/07/2016</t>
  </si>
  <si>
    <t>407</t>
  </si>
  <si>
    <t>396.63</t>
  </si>
  <si>
    <t>06/24/2013</t>
  </si>
  <si>
    <t>903</t>
  </si>
  <si>
    <t>357.77</t>
  </si>
  <si>
    <t>08-3N-24-2380-0010-0034</t>
  </si>
  <si>
    <t>083N24238000100034</t>
  </si>
  <si>
    <t>0.14</t>
  </si>
  <si>
    <t>215.23</t>
  </si>
  <si>
    <t>05/13/2017</t>
  </si>
  <si>
    <t>216.62</t>
  </si>
  <si>
    <t>408</t>
  </si>
  <si>
    <t>201.55</t>
  </si>
  <si>
    <t>904</t>
  </si>
  <si>
    <t>172.92</t>
  </si>
  <si>
    <t>08-3N-24-2380-0011-0023</t>
  </si>
  <si>
    <t>W FIRST ST</t>
  </si>
  <si>
    <t>0.08</t>
  </si>
  <si>
    <t>6500</t>
  </si>
  <si>
    <t>37059 PECAN S</t>
  </si>
  <si>
    <t>BLK 11 PT OF LOT 2 IN</t>
  </si>
  <si>
    <t>08-3N-24-2380-0012-0032</t>
  </si>
  <si>
    <t>083N24238000120032</t>
  </si>
  <si>
    <t>551722 US HWY 1</t>
  </si>
  <si>
    <t>0.24</t>
  </si>
  <si>
    <t>3010</t>
  </si>
  <si>
    <t>15600</t>
  </si>
  <si>
    <t>HOFFMAN JAMES</t>
  </si>
  <si>
    <t>PO BOX 81</t>
  </si>
  <si>
    <t>BLOCK 12 LOT S1/4 OF 3</t>
  </si>
  <si>
    <t>895.83</t>
  </si>
  <si>
    <t>11/16/2017</t>
  </si>
  <si>
    <t>758.92</t>
  </si>
  <si>
    <t>11/28/2016</t>
  </si>
  <si>
    <t>739.55</t>
  </si>
  <si>
    <t>698.85</t>
  </si>
  <si>
    <t>06/11/2015</t>
  </si>
  <si>
    <t>08-3N-24-2380-0012-0041</t>
  </si>
  <si>
    <t>083N24238000120041</t>
  </si>
  <si>
    <t>37090 ORANGE ST</t>
  </si>
  <si>
    <t>0.26</t>
  </si>
  <si>
    <t>BLOCK 12 S50 FT OF LOT 4</t>
  </si>
  <si>
    <t>436.25</t>
  </si>
  <si>
    <t>444.12</t>
  </si>
  <si>
    <t>448.94</t>
  </si>
  <si>
    <t>426.39</t>
  </si>
  <si>
    <t>02/04/2016</t>
  </si>
  <si>
    <t>08-3N-24-2380-0018-0044</t>
  </si>
  <si>
    <t>083N24238000180044</t>
  </si>
  <si>
    <t>37039 FOURTH ST W</t>
  </si>
  <si>
    <t>861</t>
  </si>
  <si>
    <t>LARGIN JAMES A EST</t>
  </si>
  <si>
    <t>37039 W 4TH STREE</t>
  </si>
  <si>
    <t>BLOCK 18 PT OF LOT 4</t>
  </si>
  <si>
    <t>380</t>
  </si>
  <si>
    <t>672.98</t>
  </si>
  <si>
    <t>04/24/2018</t>
  </si>
  <si>
    <t>685.26</t>
  </si>
  <si>
    <t>626.50</t>
  </si>
  <si>
    <t>04/22/2016</t>
  </si>
  <si>
    <t>560.55</t>
  </si>
  <si>
    <t>08-3N-24-2380-0019-0042</t>
  </si>
  <si>
    <t>083N24238000190042</t>
  </si>
  <si>
    <t>551943 US HWY 1</t>
  </si>
  <si>
    <t>SUPERMARKET</t>
  </si>
  <si>
    <t>SAM YAZJI</t>
  </si>
  <si>
    <t>171200.00</t>
  </si>
  <si>
    <t>FIRST STOP FLORIDA LLC</t>
  </si>
  <si>
    <t>5953 FEATHER L</t>
  </si>
  <si>
    <t>Sanford</t>
  </si>
  <si>
    <t>32771</t>
  </si>
  <si>
    <t>BLOCK 19  S-2 OF LOTS 4 &amp; 1</t>
  </si>
  <si>
    <t>1218.24</t>
  </si>
  <si>
    <t>1220.10</t>
  </si>
  <si>
    <t>Sold</t>
  </si>
  <si>
    <t>11/03/2015</t>
  </si>
  <si>
    <t>1318.67</t>
  </si>
  <si>
    <t>409</t>
  </si>
  <si>
    <t>1302.41</t>
  </si>
  <si>
    <t>08-3N-24-2380-0023-0010</t>
  </si>
  <si>
    <t>083N24-23800023-0010</t>
  </si>
  <si>
    <t>552017 US HWY 1</t>
  </si>
  <si>
    <t>1.24</t>
  </si>
  <si>
    <t>9100</t>
  </si>
  <si>
    <t>130000</t>
  </si>
  <si>
    <t>SCOTT JEANNE</t>
  </si>
  <si>
    <t>BOX  119</t>
  </si>
  <si>
    <t>BLOCK 23 LOTS 1 &amp; PT OF 2</t>
  </si>
  <si>
    <t>2947.26</t>
  </si>
  <si>
    <t>08-3N-24-2380-0023-0032</t>
  </si>
  <si>
    <t>37046 SEVENTH ST W</t>
  </si>
  <si>
    <t>CLIFTON H ROBERSON ETUX</t>
  </si>
  <si>
    <t>ROBERSON CLIFTON H &amp; ELAINE M</t>
  </si>
  <si>
    <t>PO BOX 113</t>
  </si>
  <si>
    <t>Woodbine</t>
  </si>
  <si>
    <t>31569</t>
  </si>
  <si>
    <t>BLOCK 23 PT LOTS 3 &amp; 4 (S-2) &amp;</t>
  </si>
  <si>
    <t>1340.59</t>
  </si>
  <si>
    <t>08-3N-24-2380-0023-0034</t>
  </si>
  <si>
    <t>ROBERSON CLIFTON H &amp; ELAINE D</t>
  </si>
  <si>
    <t>BLOCK 23 PT OF LOTS 3 &amp; 4</t>
  </si>
  <si>
    <t>307.39</t>
  </si>
  <si>
    <t>08-3N-24-2380-0023-0035</t>
  </si>
  <si>
    <t>552035 US HWY 1</t>
  </si>
  <si>
    <t>VEHICLE SL/SERV/RENT</t>
  </si>
  <si>
    <t>0.71</t>
  </si>
  <si>
    <t>HADDOCK RODNEY DEWAYNE</t>
  </si>
  <si>
    <t>BLK 23 PT LOT 4 &amp; ABND 7TH ST</t>
  </si>
  <si>
    <t>1948.47</t>
  </si>
  <si>
    <t>08-3N-24-2380-0025-0011</t>
  </si>
  <si>
    <t>552085 US HY 1</t>
  </si>
  <si>
    <t>ONIS LINWOOD HOLLEY ETAL</t>
  </si>
  <si>
    <t>44788.00</t>
  </si>
  <si>
    <t>BLK 25 PT OF LOTS 1,2 &amp; 3</t>
  </si>
  <si>
    <t>308.23</t>
  </si>
  <si>
    <t>08-3N-24-2380-0025-0013</t>
  </si>
  <si>
    <t>552047 US HWY 1</t>
  </si>
  <si>
    <t>0.51</t>
  </si>
  <si>
    <t>1125</t>
  </si>
  <si>
    <t>HADDOCK TIMBER INC &amp;</t>
  </si>
  <si>
    <t>27359 GIEGER R</t>
  </si>
  <si>
    <t>BLOCK 25 PT OF LOT 1 &amp; PT</t>
  </si>
  <si>
    <t>08-3N-24-2380-0063-0010</t>
  </si>
  <si>
    <t>083N24238000630010</t>
  </si>
  <si>
    <t>3.04</t>
  </si>
  <si>
    <t>CALHOUN JOE &amp; SHIRLEY MAE</t>
  </si>
  <si>
    <t>10247 ALLENE ROA</t>
  </si>
  <si>
    <t>32219</t>
  </si>
  <si>
    <t>BLOCK 63 LOTS 1 2 4 &amp;</t>
  </si>
  <si>
    <t>1007.45</t>
  </si>
  <si>
    <t>1024.38</t>
  </si>
  <si>
    <t>695.66</t>
  </si>
  <si>
    <t>657.44</t>
  </si>
  <si>
    <t>666.15</t>
  </si>
  <si>
    <t>1099.69</t>
  </si>
  <si>
    <t>1105.18</t>
  </si>
  <si>
    <t>08-3N-24-2380-0063-0033</t>
  </si>
  <si>
    <t>083N24238000630033</t>
  </si>
  <si>
    <t>HALL STEPHANIE</t>
  </si>
  <si>
    <t>43 PRESCOTT ROA</t>
  </si>
  <si>
    <t>Folkston</t>
  </si>
  <si>
    <t>31537</t>
  </si>
  <si>
    <t>BLOCK 63 PT OF LOT 3 (S-3)</t>
  </si>
  <si>
    <t>38.53</t>
  </si>
  <si>
    <t>33.84</t>
  </si>
  <si>
    <t>83.31</t>
  </si>
  <si>
    <t>88.85</t>
  </si>
  <si>
    <t>417</t>
  </si>
  <si>
    <t>78.28</t>
  </si>
  <si>
    <t>06/06/2014</t>
  </si>
  <si>
    <t>911</t>
  </si>
  <si>
    <t>48.32</t>
  </si>
  <si>
    <t>04/22/2013</t>
  </si>
  <si>
    <t>636</t>
  </si>
  <si>
    <t>52.48</t>
  </si>
  <si>
    <t>09/01/2011</t>
  </si>
  <si>
    <t>625</t>
  </si>
  <si>
    <t>67.36</t>
  </si>
  <si>
    <t>09/09/2010</t>
  </si>
  <si>
    <t>08-3N-24-2380-0065-0020</t>
  </si>
  <si>
    <t>083N24238000650020</t>
  </si>
  <si>
    <t>37937 OXFORD ST</t>
  </si>
  <si>
    <t>4409</t>
  </si>
  <si>
    <t>BLOCK 65 PT OF LOT 2 &amp;</t>
  </si>
  <si>
    <t>3100.60</t>
  </si>
  <si>
    <t>3196.60</t>
  </si>
  <si>
    <t>3015.71</t>
  </si>
  <si>
    <t>2675.40</t>
  </si>
  <si>
    <t>418</t>
  </si>
  <si>
    <t>2723.58</t>
  </si>
  <si>
    <t>912</t>
  </si>
  <si>
    <t>2798.43</t>
  </si>
  <si>
    <t>638</t>
  </si>
  <si>
    <t>2705.31</t>
  </si>
  <si>
    <t>06/21/2011</t>
  </si>
  <si>
    <t>2295.60</t>
  </si>
  <si>
    <t>08-3N-24-2380-0066-0032</t>
  </si>
  <si>
    <t>083N24238000660032</t>
  </si>
  <si>
    <t>PINE ST</t>
  </si>
  <si>
    <t>SMITH CHARLENE R &amp; REGINALD SR</t>
  </si>
  <si>
    <t>361963 PINE STREE</t>
  </si>
  <si>
    <t>BLOCK 66 N1/2 OF LOT 3</t>
  </si>
  <si>
    <t>299.96</t>
  </si>
  <si>
    <t>302.73</t>
  </si>
  <si>
    <t>06/10/2016</t>
  </si>
  <si>
    <t>08-3N-24-2380-0067-0031</t>
  </si>
  <si>
    <t>083N24-23800067-0031</t>
  </si>
  <si>
    <t>37988 OXFORD ST</t>
  </si>
  <si>
    <t>0.80</t>
  </si>
  <si>
    <t>GORDON JACKIE L</t>
  </si>
  <si>
    <t>BOX 134</t>
  </si>
  <si>
    <t>BLOCK 67 LOT E1/2 OF 3</t>
  </si>
  <si>
    <t>373</t>
  </si>
  <si>
    <t>949.51</t>
  </si>
  <si>
    <t>03/01/2017</t>
  </si>
  <si>
    <t>2800</t>
  </si>
  <si>
    <t>44.47</t>
  </si>
  <si>
    <t>06/12/2013</t>
  </si>
  <si>
    <t>08-3N-24-2380-0072-0040</t>
  </si>
  <si>
    <t>083N24238000720040</t>
  </si>
  <si>
    <t>361930 PINE ST</t>
  </si>
  <si>
    <t>1853</t>
  </si>
  <si>
    <t>JACKSON ALFRED &amp; BARBARA</t>
  </si>
  <si>
    <t>PO BOX 18</t>
  </si>
  <si>
    <t>BLOCK 72 LOT 4</t>
  </si>
  <si>
    <t>764.47</t>
  </si>
  <si>
    <t>642</t>
  </si>
  <si>
    <t>547.72</t>
  </si>
  <si>
    <t>530.88</t>
  </si>
  <si>
    <t>08-3N-24-2380-0074-0023</t>
  </si>
  <si>
    <t>083N24238000740023</t>
  </si>
  <si>
    <t>37601 NEW OAK ST</t>
  </si>
  <si>
    <t>0.17</t>
  </si>
  <si>
    <t>13300</t>
  </si>
  <si>
    <t>KELLY JOANNE</t>
  </si>
  <si>
    <t>PO BOX 54</t>
  </si>
  <si>
    <t>BLOCK 74 PT LOT 2</t>
  </si>
  <si>
    <t>172.26</t>
  </si>
  <si>
    <t>171.21</t>
  </si>
  <si>
    <t>477.62</t>
  </si>
  <si>
    <t>12/31/2014</t>
  </si>
  <si>
    <t>465.21</t>
  </si>
  <si>
    <t>917</t>
  </si>
  <si>
    <t>488.57</t>
  </si>
  <si>
    <t>643</t>
  </si>
  <si>
    <t>491.62</t>
  </si>
  <si>
    <t>08-3N-24-2380-0074-0024</t>
  </si>
  <si>
    <t>083N24238000740024</t>
  </si>
  <si>
    <t>37293 W FIFTH ST</t>
  </si>
  <si>
    <t>1011</t>
  </si>
  <si>
    <t>JAMES B NUTTER &amp; CO</t>
  </si>
  <si>
    <t>139500.00</t>
  </si>
  <si>
    <t>REVERSE MORTGAGE</t>
  </si>
  <si>
    <t>07/01/2092</t>
  </si>
  <si>
    <t>BARNES J T &amp; BARBARA</t>
  </si>
  <si>
    <t>37293 WEST FIFTH STREE</t>
  </si>
  <si>
    <t>BLOCK 74 PT OF LOT 2</t>
  </si>
  <si>
    <t>394</t>
  </si>
  <si>
    <t>791.59</t>
  </si>
  <si>
    <t>08-3N-24-2380-0074-0025</t>
  </si>
  <si>
    <t>083N24238000740025</t>
  </si>
  <si>
    <t>37313 FIFTH ST W</t>
  </si>
  <si>
    <t>894</t>
  </si>
  <si>
    <t>28000</t>
  </si>
  <si>
    <t>JAMES W GOODWIN</t>
  </si>
  <si>
    <t>27000.00</t>
  </si>
  <si>
    <t>08/27/2004</t>
  </si>
  <si>
    <t>02/01/2017</t>
  </si>
  <si>
    <t>BLOCK 74 W'LY 140 FT OF S1/2</t>
  </si>
  <si>
    <t>144.44</t>
  </si>
  <si>
    <t>135.80</t>
  </si>
  <si>
    <t>2521</t>
  </si>
  <si>
    <t>122.21</t>
  </si>
  <si>
    <t>2801</t>
  </si>
  <si>
    <t>284.82</t>
  </si>
  <si>
    <t>256.33</t>
  </si>
  <si>
    <t>08-3N-24-2380-0074-0031</t>
  </si>
  <si>
    <t>37392 SIXTH ST W</t>
  </si>
  <si>
    <t>8000</t>
  </si>
  <si>
    <t>MITCHELL LARRY D &amp; SHARON</t>
  </si>
  <si>
    <t>PO BOX 125</t>
  </si>
  <si>
    <t>BLOCK 74 E1/2 OF LOT 3</t>
  </si>
  <si>
    <t>690.83</t>
  </si>
  <si>
    <t>09/05/2017</t>
  </si>
  <si>
    <t>08-3N-24-2380-0076-0080</t>
  </si>
  <si>
    <t>083N24238000760080</t>
  </si>
  <si>
    <t>37505 NEW OAK ST</t>
  </si>
  <si>
    <t>1782</t>
  </si>
  <si>
    <t>JONES DAVID J &amp; KEISHA M</t>
  </si>
  <si>
    <t>BOX 3</t>
  </si>
  <si>
    <t>BLOCK 76 LOT 8 (EX S'LY 1/2)</t>
  </si>
  <si>
    <t>397</t>
  </si>
  <si>
    <t>814.67</t>
  </si>
  <si>
    <t>795.93</t>
  </si>
  <si>
    <t>674.01</t>
  </si>
  <si>
    <t>05/23/2017</t>
  </si>
  <si>
    <t>738.11</t>
  </si>
  <si>
    <t>423</t>
  </si>
  <si>
    <t>754.85</t>
  </si>
  <si>
    <t>05/04/2015</t>
  </si>
  <si>
    <t>918</t>
  </si>
  <si>
    <t>965.47</t>
  </si>
  <si>
    <t>11.25</t>
  </si>
  <si>
    <t>01/09/2015</t>
  </si>
  <si>
    <t>960.45</t>
  </si>
  <si>
    <t>631</t>
  </si>
  <si>
    <t>1051.99</t>
  </si>
  <si>
    <t>08-3N-24-2380-0076-0082</t>
  </si>
  <si>
    <t>083N24-23800076-0082</t>
  </si>
  <si>
    <t>37495 NEW OAK ST</t>
  </si>
  <si>
    <t>720</t>
  </si>
  <si>
    <t>EDWARDS VIRGINIA JORDAN EST</t>
  </si>
  <si>
    <t>PO BOX 3</t>
  </si>
  <si>
    <t>BLOCK 76 SE'LY 1/2 OF LOT 8</t>
  </si>
  <si>
    <t>325.45</t>
  </si>
  <si>
    <t>328.54</t>
  </si>
  <si>
    <t>08-3N-24-2380-0077-0010</t>
  </si>
  <si>
    <t>37054 FOURTH ST W</t>
  </si>
  <si>
    <t>1448</t>
  </si>
  <si>
    <t>BLOCK 77 LOTS 1 3 &amp; S1/2 OF 5</t>
  </si>
  <si>
    <t>08-3N-24-2380-0077-0060</t>
  </si>
  <si>
    <t>083N24238000770060</t>
  </si>
  <si>
    <t>OAK ST</t>
  </si>
  <si>
    <t>4.05</t>
  </si>
  <si>
    <t>MITCHELL EDDIE EST</t>
  </si>
  <si>
    <t>37498 NEW OAK STREE</t>
  </si>
  <si>
    <t>BLOCK 77 LOTS 6 8 9 10</t>
  </si>
  <si>
    <t>910.27</t>
  </si>
  <si>
    <t>919</t>
  </si>
  <si>
    <t>828.13</t>
  </si>
  <si>
    <t>645</t>
  </si>
  <si>
    <t>832.01</t>
  </si>
  <si>
    <t>632</t>
  </si>
  <si>
    <t>931.23</t>
  </si>
  <si>
    <t>08-3N-24-2380-0083-0011</t>
  </si>
  <si>
    <t>083N24238000830011</t>
  </si>
  <si>
    <t>37092 NEW OAK ST</t>
  </si>
  <si>
    <t>1473</t>
  </si>
  <si>
    <t>51500</t>
  </si>
  <si>
    <t>63401.00</t>
  </si>
  <si>
    <t>08/20/2024</t>
  </si>
  <si>
    <t>EASTER TIMOTHY DALE</t>
  </si>
  <si>
    <t>PO BOX 31</t>
  </si>
  <si>
    <t>Broad Brook</t>
  </si>
  <si>
    <t>06016</t>
  </si>
  <si>
    <t>BLOCK 83 N1/2 OF LOT 1</t>
  </si>
  <si>
    <t>951.01</t>
  </si>
  <si>
    <t>975.59</t>
  </si>
  <si>
    <t>947.44</t>
  </si>
  <si>
    <t>426</t>
  </si>
  <si>
    <t>878.25</t>
  </si>
  <si>
    <t>920</t>
  </si>
  <si>
    <t>646</t>
  </si>
  <si>
    <t>831.35</t>
  </si>
  <si>
    <t>08-3N-24-2380-0085-0042</t>
  </si>
  <si>
    <t>083N24238000850042</t>
  </si>
  <si>
    <t>37055 FIRST ST W</t>
  </si>
  <si>
    <t>0.43</t>
  </si>
  <si>
    <t>970</t>
  </si>
  <si>
    <t>ATKINSON MARYANN &amp;</t>
  </si>
  <si>
    <t>37055 W 1ST ST</t>
  </si>
  <si>
    <t>BLOCK 85 PT OF LOT 4</t>
  </si>
  <si>
    <t>669.12</t>
  </si>
  <si>
    <t>684.42</t>
  </si>
  <si>
    <t>03/20/2018</t>
  </si>
  <si>
    <t>667.80</t>
  </si>
  <si>
    <t>598.64</t>
  </si>
  <si>
    <t>09/21/2015</t>
  </si>
  <si>
    <t>428</t>
  </si>
  <si>
    <t>578.34</t>
  </si>
  <si>
    <t>01/15/2015</t>
  </si>
  <si>
    <t>922</t>
  </si>
  <si>
    <t>605.30</t>
  </si>
  <si>
    <t>08-3N-24-2380-0094-0080</t>
  </si>
  <si>
    <t>083N24238000940080</t>
  </si>
  <si>
    <t>MOON JEAN</t>
  </si>
  <si>
    <t>1545 NORTH STIRLING AVENU</t>
  </si>
  <si>
    <t>Pontiac</t>
  </si>
  <si>
    <t>Michigan</t>
  </si>
  <si>
    <t>48340</t>
  </si>
  <si>
    <t>BLOCK 94 LOT 8</t>
  </si>
  <si>
    <t>402</t>
  </si>
  <si>
    <t>36.60</t>
  </si>
  <si>
    <t>31.86</t>
  </si>
  <si>
    <t>39.96</t>
  </si>
  <si>
    <t>37.23</t>
  </si>
  <si>
    <t>429</t>
  </si>
  <si>
    <t>36.49</t>
  </si>
  <si>
    <t>923</t>
  </si>
  <si>
    <t>78.13</t>
  </si>
  <si>
    <t>647</t>
  </si>
  <si>
    <t>77.54</t>
  </si>
  <si>
    <t>08-3N-24-2380-0102-0020</t>
  </si>
  <si>
    <t>083N24238001020020</t>
  </si>
  <si>
    <t>POPE W  ET AL</t>
  </si>
  <si>
    <t>661 US HWY 17 NORT</t>
  </si>
  <si>
    <t>BLOCK 102 LOT 2</t>
  </si>
  <si>
    <t>32.07</t>
  </si>
  <si>
    <t>31.50</t>
  </si>
  <si>
    <t>431</t>
  </si>
  <si>
    <t>31.64</t>
  </si>
  <si>
    <t>925</t>
  </si>
  <si>
    <t>46.08</t>
  </si>
  <si>
    <t>649</t>
  </si>
  <si>
    <t>52.19</t>
  </si>
  <si>
    <t>08-3N-24-2380-0103-0070</t>
  </si>
  <si>
    <t>083N24238001030070</t>
  </si>
  <si>
    <t>SEVENTH AV</t>
  </si>
  <si>
    <t>THOMAS W L JR &amp; LAFAYNE</t>
  </si>
  <si>
    <t>BOX 23</t>
  </si>
  <si>
    <t>BLOCK 103 LOT 7</t>
  </si>
  <si>
    <t>404</t>
  </si>
  <si>
    <t>432</t>
  </si>
  <si>
    <t>926</t>
  </si>
  <si>
    <t>650</t>
  </si>
  <si>
    <t>89.61</t>
  </si>
  <si>
    <t>08-3N-24-2380-0103-0110</t>
  </si>
  <si>
    <t>083N24238001030110</t>
  </si>
  <si>
    <t>RAM PROPERTIES</t>
  </si>
  <si>
    <t>PO BOX 5627</t>
  </si>
  <si>
    <t>32241</t>
  </si>
  <si>
    <t>BLOCK 103 LOTS 11 &amp; 12</t>
  </si>
  <si>
    <t>47.70</t>
  </si>
  <si>
    <t>56.60</t>
  </si>
  <si>
    <t>08-3N-24-2380-0104-0010</t>
  </si>
  <si>
    <t>8300 W SEVENTH AV</t>
  </si>
  <si>
    <t>PARK LOTS. M/H PARKS</t>
  </si>
  <si>
    <t>1.79</t>
  </si>
  <si>
    <t>6410</t>
  </si>
  <si>
    <t>140000</t>
  </si>
  <si>
    <t>MERCANTILE BANK</t>
  </si>
  <si>
    <t>ROCK N LEE LLC</t>
  </si>
  <si>
    <t>515 S 6TH S</t>
  </si>
  <si>
    <t>BLOCK 104 LOTS 1-6 13-19 20-24</t>
  </si>
  <si>
    <t>08-3N-24-2380-0108-0200</t>
  </si>
  <si>
    <t>083N24238001080200</t>
  </si>
  <si>
    <t>SIXTH AV</t>
  </si>
  <si>
    <t>BARROW ALMA M EST</t>
  </si>
  <si>
    <t>BLOCK 108 LOT 20</t>
  </si>
  <si>
    <t>43.78</t>
  </si>
  <si>
    <t>434</t>
  </si>
  <si>
    <t>42.67</t>
  </si>
  <si>
    <t>652</t>
  </si>
  <si>
    <t>57.62</t>
  </si>
  <si>
    <t>08-3N-24-2380-0110-0090</t>
  </si>
  <si>
    <t>083N24238001100090</t>
  </si>
  <si>
    <t>5100</t>
  </si>
  <si>
    <t>BLOCK 110 LOTS 9 &amp; 10</t>
  </si>
  <si>
    <t>76.81</t>
  </si>
  <si>
    <t>399</t>
  </si>
  <si>
    <t>102.92</t>
  </si>
  <si>
    <t>71.75</t>
  </si>
  <si>
    <t>930</t>
  </si>
  <si>
    <t>08-3N-24-2380-0114-0040</t>
  </si>
  <si>
    <t>5700</t>
  </si>
  <si>
    <t>BLOCK 114 LOTS 4 THRU 9 &amp;</t>
  </si>
  <si>
    <t>08-3N-24-2380-0115-0070</t>
  </si>
  <si>
    <t>083N24238001150070</t>
  </si>
  <si>
    <t>FIFTH AV</t>
  </si>
  <si>
    <t>BLOCK 115 LOT 7</t>
  </si>
  <si>
    <t>437</t>
  </si>
  <si>
    <t>931</t>
  </si>
  <si>
    <t>653</t>
  </si>
  <si>
    <t>08-3N-24-2380-0117-0090</t>
  </si>
  <si>
    <t>083N24238001170090</t>
  </si>
  <si>
    <t>0/3</t>
  </si>
  <si>
    <t>BULLOCK LOUIS A EST</t>
  </si>
  <si>
    <t>16435 EUCLID AV</t>
  </si>
  <si>
    <t>Bainbridge Island</t>
  </si>
  <si>
    <t>Washington</t>
  </si>
  <si>
    <t>98110</t>
  </si>
  <si>
    <t>BLOCK 117 LOTS 9 10</t>
  </si>
  <si>
    <t>410</t>
  </si>
  <si>
    <t>54.55</t>
  </si>
  <si>
    <t>73.42</t>
  </si>
  <si>
    <t>08-3N-24-2380-0117-0190</t>
  </si>
  <si>
    <t>083N24238001170190</t>
  </si>
  <si>
    <t>REUSS EMILY EST</t>
  </si>
  <si>
    <t>34 THISTLE HILL D</t>
  </si>
  <si>
    <t>Hinesburg</t>
  </si>
  <si>
    <t>Vermont</t>
  </si>
  <si>
    <t>05461</t>
  </si>
  <si>
    <t>BLOCK 117 LOT 19</t>
  </si>
  <si>
    <t>411</t>
  </si>
  <si>
    <t>38.59</t>
  </si>
  <si>
    <t>63.25</t>
  </si>
  <si>
    <t>66.45</t>
  </si>
  <si>
    <t>438</t>
  </si>
  <si>
    <t>932</t>
  </si>
  <si>
    <t>654</t>
  </si>
  <si>
    <t>45.26</t>
  </si>
  <si>
    <t>08-3N-24-2380-0120-0130</t>
  </si>
  <si>
    <t>083N24238001200130</t>
  </si>
  <si>
    <t>27201 FIFTH AVE W</t>
  </si>
  <si>
    <t>37494.00</t>
  </si>
  <si>
    <t>02/04/2002</t>
  </si>
  <si>
    <t>HIGGINBOTHAM DEAN E &amp; ANN M</t>
  </si>
  <si>
    <t>27201 W 5TH AV</t>
  </si>
  <si>
    <t>BLOCK 120 LOTS 13 THRU 18</t>
  </si>
  <si>
    <t>326.65</t>
  </si>
  <si>
    <t>04/09/2017</t>
  </si>
  <si>
    <t>08-3N-24-2380-0123-0010</t>
  </si>
  <si>
    <t>083N24238001230010</t>
  </si>
  <si>
    <t>27254 FIFTH AVE W</t>
  </si>
  <si>
    <t>FARMERS FCU</t>
  </si>
  <si>
    <t>41600.00</t>
  </si>
  <si>
    <t>02/15/2001</t>
  </si>
  <si>
    <t>02/15/2031</t>
  </si>
  <si>
    <t>GEOGHAGAN DANIEL A &amp; MELISSA B</t>
  </si>
  <si>
    <t>27254 W 5TH S</t>
  </si>
  <si>
    <t>BLOCK 123 LOTS 1 2 3 4 &amp; 5</t>
  </si>
  <si>
    <t>400.87</t>
  </si>
  <si>
    <t>934</t>
  </si>
  <si>
    <t>748.09</t>
  </si>
  <si>
    <t>656</t>
  </si>
  <si>
    <t>758.77</t>
  </si>
  <si>
    <t>01/25/2013</t>
  </si>
  <si>
    <t>08-3N-24-2380-0123-0060</t>
  </si>
  <si>
    <t>083N24238001230060</t>
  </si>
  <si>
    <t>County Held</t>
  </si>
  <si>
    <t>27236 FIFTH AVE W</t>
  </si>
  <si>
    <t>1014</t>
  </si>
  <si>
    <t>HIGGINBOTHAM LELAND KIRK</t>
  </si>
  <si>
    <t>27236 WEST 5TH AV</t>
  </si>
  <si>
    <t>BLOCK 123 LOTS 6 &amp; 7</t>
  </si>
  <si>
    <t>2802</t>
  </si>
  <si>
    <t>82.80</t>
  </si>
  <si>
    <t>08-3N-24-2380-0128-0130</t>
  </si>
  <si>
    <t>FOURTH &amp; FIFTH AV</t>
  </si>
  <si>
    <t>BLOCK 128 LOTS 13 THRU 18</t>
  </si>
  <si>
    <t>08-3N-24-2380-0130-0040</t>
  </si>
  <si>
    <t>083N24238001300040</t>
  </si>
  <si>
    <t>27106 FIFTH AVE W</t>
  </si>
  <si>
    <t>MIXON RICHARD E JR</t>
  </si>
  <si>
    <t>5557 MILMAR DRIVE NORT</t>
  </si>
  <si>
    <t>BLOCK 130 LOTS 4 &amp; 5</t>
  </si>
  <si>
    <t>53.16</t>
  </si>
  <si>
    <t>53.01</t>
  </si>
  <si>
    <t>131.76</t>
  </si>
  <si>
    <t>120.05</t>
  </si>
  <si>
    <t>02/21/2016</t>
  </si>
  <si>
    <t>439</t>
  </si>
  <si>
    <t>180.37</t>
  </si>
  <si>
    <t>935</t>
  </si>
  <si>
    <t>202.28</t>
  </si>
  <si>
    <t>658</t>
  </si>
  <si>
    <t>202.40</t>
  </si>
  <si>
    <t>229.83</t>
  </si>
  <si>
    <t>08-3N-24-2380-0130-0060</t>
  </si>
  <si>
    <t>083N24238001300060</t>
  </si>
  <si>
    <t>BLOCK 130 LOTS 6 &amp; 7</t>
  </si>
  <si>
    <t>415</t>
  </si>
  <si>
    <t>54.26</t>
  </si>
  <si>
    <t>440</t>
  </si>
  <si>
    <t>121.39</t>
  </si>
  <si>
    <t>936</t>
  </si>
  <si>
    <t>142.31</t>
  </si>
  <si>
    <t>659</t>
  </si>
  <si>
    <t>150.45</t>
  </si>
  <si>
    <t>167.81</t>
  </si>
  <si>
    <t>08-3N-24-2380-0133-0180</t>
  </si>
  <si>
    <t>083N24238001330180</t>
  </si>
  <si>
    <t>1/7</t>
  </si>
  <si>
    <t>THIRD AV</t>
  </si>
  <si>
    <t>BLOCK 133 LOT 18</t>
  </si>
  <si>
    <t>49.39</t>
  </si>
  <si>
    <t>61.18</t>
  </si>
  <si>
    <t>447</t>
  </si>
  <si>
    <t>46.87</t>
  </si>
  <si>
    <t>943</t>
  </si>
  <si>
    <t>666</t>
  </si>
  <si>
    <t>48.19</t>
  </si>
  <si>
    <t>08-3N-24-2380-0134-0010</t>
  </si>
  <si>
    <t>083N24-23800134-0010</t>
  </si>
  <si>
    <t>27302 MONTANA ST</t>
  </si>
  <si>
    <t>0.29</t>
  </si>
  <si>
    <t>1406</t>
  </si>
  <si>
    <t>LAWSON ROBERT &amp; JOSETTA</t>
  </si>
  <si>
    <t>27302 MONTANA STREE</t>
  </si>
  <si>
    <t>BLOCK 134 LOTS 1 THRU 4</t>
  </si>
  <si>
    <t>10/31/2017</t>
  </si>
  <si>
    <t>08-3N-24-2380-0134-0050</t>
  </si>
  <si>
    <t>083N24238001340050</t>
  </si>
  <si>
    <t>27173 FOURTH AVE W</t>
  </si>
  <si>
    <t>984</t>
  </si>
  <si>
    <t>PENSA ROBERT P</t>
  </si>
  <si>
    <t>27173 WEST 4TH AV</t>
  </si>
  <si>
    <t>BLOCK 134 LOTS 5 6 7 &amp; 8</t>
  </si>
  <si>
    <t>419</t>
  </si>
  <si>
    <t>385.72</t>
  </si>
  <si>
    <t>385.14</t>
  </si>
  <si>
    <t>381.69</t>
  </si>
  <si>
    <t>350.72</t>
  </si>
  <si>
    <t>448</t>
  </si>
  <si>
    <t>343.28</t>
  </si>
  <si>
    <t>944</t>
  </si>
  <si>
    <t>667</t>
  </si>
  <si>
    <t>373.58</t>
  </si>
  <si>
    <t>651</t>
  </si>
  <si>
    <t>435.19</t>
  </si>
  <si>
    <t>03/23/2012</t>
  </si>
  <si>
    <t>08-3N-24-2380-0134-0130</t>
  </si>
  <si>
    <t>083N24238001340130</t>
  </si>
  <si>
    <t>W THIRD AV</t>
  </si>
  <si>
    <t>800</t>
  </si>
  <si>
    <t>BLOCK 134 LOTS 13 14 15 &amp; 16</t>
  </si>
  <si>
    <t>08-3N-24-2380-0134-0170</t>
  </si>
  <si>
    <t>083N24238001340170</t>
  </si>
  <si>
    <t>27272 MONTANA ST</t>
  </si>
  <si>
    <t>0.57</t>
  </si>
  <si>
    <t>1600</t>
  </si>
  <si>
    <t>BLOCK 134 17 THRU 24</t>
  </si>
  <si>
    <t>08-3N-24-2380-0135-0200</t>
  </si>
  <si>
    <t>083N24238001350200</t>
  </si>
  <si>
    <t>YOUNG R E</t>
  </si>
  <si>
    <t>2685 EVERETT D</t>
  </si>
  <si>
    <t>Reno</t>
  </si>
  <si>
    <t>Nevada</t>
  </si>
  <si>
    <t>89503</t>
  </si>
  <si>
    <t>BLOCK 135 LOT 20</t>
  </si>
  <si>
    <t>420</t>
  </si>
  <si>
    <t>65.27</t>
  </si>
  <si>
    <t>54.89</t>
  </si>
  <si>
    <t>08-3N-24-2380-0138-0130</t>
  </si>
  <si>
    <t>083N24238001380130</t>
  </si>
  <si>
    <t>27273 W THIRD AV</t>
  </si>
  <si>
    <t>1848</t>
  </si>
  <si>
    <t>63000</t>
  </si>
  <si>
    <t>03/10/2008</t>
  </si>
  <si>
    <t>PO BOX 94</t>
  </si>
  <si>
    <t>BLOCK 138 LOTS 13 TO 18</t>
  </si>
  <si>
    <t>674.72</t>
  </si>
  <si>
    <t>03/14/2017</t>
  </si>
  <si>
    <t>521.89</t>
  </si>
  <si>
    <t>692.91</t>
  </si>
  <si>
    <t>450</t>
  </si>
  <si>
    <t>676.32</t>
  </si>
  <si>
    <t>669</t>
  </si>
  <si>
    <t>800.69</t>
  </si>
  <si>
    <t>893.57</t>
  </si>
  <si>
    <t>03/31/2011</t>
  </si>
  <si>
    <t>08-3N-24-2380-0140-0110</t>
  </si>
  <si>
    <t>083N24238001400110</t>
  </si>
  <si>
    <t>FOURTH AV</t>
  </si>
  <si>
    <t>BADER ULRICH</t>
  </si>
  <si>
    <t>804 EMERALD BA</t>
  </si>
  <si>
    <t>Laguna Beach</t>
  </si>
  <si>
    <t>92657</t>
  </si>
  <si>
    <t>BLOCK 140 LOTS 11 12</t>
  </si>
  <si>
    <t>79.73</t>
  </si>
  <si>
    <t>76.45</t>
  </si>
  <si>
    <t>451</t>
  </si>
  <si>
    <t>77.21</t>
  </si>
  <si>
    <t>946</t>
  </si>
  <si>
    <t>670</t>
  </si>
  <si>
    <t>84.95</t>
  </si>
  <si>
    <t>08-3N-24-2380-0145-0070</t>
  </si>
  <si>
    <t>083N24238001450070</t>
  </si>
  <si>
    <t>27247 THIRD AVE W</t>
  </si>
  <si>
    <t>21600.00</t>
  </si>
  <si>
    <t>04/11/2011</t>
  </si>
  <si>
    <t>HOLLEY MARCUS W</t>
  </si>
  <si>
    <t>BLOCK 145 LOTS 7 8 9 10 11 12</t>
  </si>
  <si>
    <t>657.51</t>
  </si>
  <si>
    <t>702.45</t>
  </si>
  <si>
    <t>452</t>
  </si>
  <si>
    <t>737.06</t>
  </si>
  <si>
    <t>08-3N-24-2380-0147-0180</t>
  </si>
  <si>
    <t>083N24-23800147-0180</t>
  </si>
  <si>
    <t>27206 MISSOURI ST</t>
  </si>
  <si>
    <t>0.50</t>
  </si>
  <si>
    <t>LAURENDINE KEE &amp; BENITA F &amp;</t>
  </si>
  <si>
    <t>27206 MISSOURI STREE</t>
  </si>
  <si>
    <t>BLOCK 147 LOTS 18 19 20 21 22</t>
  </si>
  <si>
    <t>424</t>
  </si>
  <si>
    <t>607.85</t>
  </si>
  <si>
    <t>609.58</t>
  </si>
  <si>
    <t>08-3N-24-2380-0148-0190</t>
  </si>
  <si>
    <t>083N24238001480190</t>
  </si>
  <si>
    <t>SECOND AV</t>
  </si>
  <si>
    <t>9900</t>
  </si>
  <si>
    <t>N R L L EAST LLC</t>
  </si>
  <si>
    <t>9533.00</t>
  </si>
  <si>
    <t>HAQUE MOHAMMED</t>
  </si>
  <si>
    <t>3552 STEINWAY ST  APT</t>
  </si>
  <si>
    <t>Long Island City</t>
  </si>
  <si>
    <t>11101</t>
  </si>
  <si>
    <t>BLOCK 148 LOTS 19 &amp; 20</t>
  </si>
  <si>
    <t>425</t>
  </si>
  <si>
    <t>48.63</t>
  </si>
  <si>
    <t>413</t>
  </si>
  <si>
    <t>454</t>
  </si>
  <si>
    <t>947</t>
  </si>
  <si>
    <t>17.25</t>
  </si>
  <si>
    <t>08-3N-24-2380-0150-0010</t>
  </si>
  <si>
    <t>083N24238001500010</t>
  </si>
  <si>
    <t>27185 THIRD AVE W</t>
  </si>
  <si>
    <t>1392</t>
  </si>
  <si>
    <t>12000.00</t>
  </si>
  <si>
    <t>HARVILL LINDA G</t>
  </si>
  <si>
    <t>BLOCK 150 LOTS 1 2 3 &amp; 4</t>
  </si>
  <si>
    <t>510.39</t>
  </si>
  <si>
    <t>482.37</t>
  </si>
  <si>
    <t>455</t>
  </si>
  <si>
    <t>481.38</t>
  </si>
  <si>
    <t>08-3N-24-2380-0150-0050</t>
  </si>
  <si>
    <t>083N24238001500050</t>
  </si>
  <si>
    <t>3RD &amp; KENTUCKY ST</t>
  </si>
  <si>
    <t>4000</t>
  </si>
  <si>
    <t>BLOCK 150 LOTS 5 THRU 12</t>
  </si>
  <si>
    <t>08-3N-24-2380-0151-0160</t>
  </si>
  <si>
    <t>083N24238001510160</t>
  </si>
  <si>
    <t>BLOCK 151 LOTS 16 &amp; 17</t>
  </si>
  <si>
    <t>456</t>
  </si>
  <si>
    <t>948</t>
  </si>
  <si>
    <t>673</t>
  </si>
  <si>
    <t>08-3N-24-2380-0154-0010</t>
  </si>
  <si>
    <t>083N24238001540010</t>
  </si>
  <si>
    <t>27130 KENTUCKY ST</t>
  </si>
  <si>
    <t>ISHAM ROBERT J &amp; ALANA</t>
  </si>
  <si>
    <t>27146 WEST 2ND AV</t>
  </si>
  <si>
    <t>BLK 154 LOTS 1 THRU 12</t>
  </si>
  <si>
    <t>08-3N-24-2380-0155-0130</t>
  </si>
  <si>
    <t>083N24238001550130</t>
  </si>
  <si>
    <t>27146 FIRST AVE W</t>
  </si>
  <si>
    <t>0.22</t>
  </si>
  <si>
    <t>STETSON THEODORE EST</t>
  </si>
  <si>
    <t>BLK 155 LOTS 13,14 &amp; 15</t>
  </si>
  <si>
    <t>266.63</t>
  </si>
  <si>
    <t>313.79</t>
  </si>
  <si>
    <t>208.61</t>
  </si>
  <si>
    <t>229.32</t>
  </si>
  <si>
    <t>457</t>
  </si>
  <si>
    <t>232.16</t>
  </si>
  <si>
    <t>949</t>
  </si>
  <si>
    <t>313.80</t>
  </si>
  <si>
    <t>674</t>
  </si>
  <si>
    <t>331.15</t>
  </si>
  <si>
    <t>380.80</t>
  </si>
  <si>
    <t>02/08/2012</t>
  </si>
  <si>
    <t>08-3N-24-2380-0157-0180</t>
  </si>
  <si>
    <t>083N24-23800157-0180</t>
  </si>
  <si>
    <t>27312 FIRST AVE W</t>
  </si>
  <si>
    <t>1053</t>
  </si>
  <si>
    <t>17000</t>
  </si>
  <si>
    <t>ROBERT EDWARD TAYLOR</t>
  </si>
  <si>
    <t>BRUCE JOHNNIE F &amp;</t>
  </si>
  <si>
    <t>27312 W FIRST A</t>
  </si>
  <si>
    <t>BLOCK 157 LOTS 18 THRU 24</t>
  </si>
  <si>
    <t>1087.06</t>
  </si>
  <si>
    <t>08-3N-24-2380-0168-0050</t>
  </si>
  <si>
    <t>083N24238001680050</t>
  </si>
  <si>
    <t>27427 FIRST AVE W</t>
  </si>
  <si>
    <t>2568</t>
  </si>
  <si>
    <t>91000</t>
  </si>
  <si>
    <t>CUMBERLAND NATIONAL BANK</t>
  </si>
  <si>
    <t>91000.00</t>
  </si>
  <si>
    <t>01/16/2016</t>
  </si>
  <si>
    <t>BULLARD LUCAS D &amp; CHRISTINE E</t>
  </si>
  <si>
    <t>27427 WEST 1ST AV</t>
  </si>
  <si>
    <t>BLOCK 168 LOTS 5 THRU 12</t>
  </si>
  <si>
    <t>1120.92</t>
  </si>
  <si>
    <t>04/18/2017</t>
  </si>
  <si>
    <t>604.14</t>
  </si>
  <si>
    <t>462</t>
  </si>
  <si>
    <t>1034.43</t>
  </si>
  <si>
    <t>954</t>
  </si>
  <si>
    <t>1000.64</t>
  </si>
  <si>
    <t>01/31/2014</t>
  </si>
  <si>
    <t>678</t>
  </si>
  <si>
    <t>1579.64</t>
  </si>
  <si>
    <t>08-3N-24-2380-0173-0040</t>
  </si>
  <si>
    <t>083N24238001730040</t>
  </si>
  <si>
    <t>W FIRST AV</t>
  </si>
  <si>
    <t>HOFFMAN JAMES J &amp;</t>
  </si>
  <si>
    <t>BLOCK 173 LOT 4</t>
  </si>
  <si>
    <t>422</t>
  </si>
  <si>
    <t>62.86</t>
  </si>
  <si>
    <t>464</t>
  </si>
  <si>
    <t>49.59</t>
  </si>
  <si>
    <t>08-3N-24-2380-0173-0050</t>
  </si>
  <si>
    <t>083N24238001730050</t>
  </si>
  <si>
    <t>27103 FIRST AVE W</t>
  </si>
  <si>
    <t>LEE LARRY F EST &amp;</t>
  </si>
  <si>
    <t>56256 COLBY DRIV</t>
  </si>
  <si>
    <t>BLOCK 173 LOTS 5 6 &amp; 7</t>
  </si>
  <si>
    <t>448.09</t>
  </si>
  <si>
    <t>452.35</t>
  </si>
  <si>
    <t>420.09</t>
  </si>
  <si>
    <t>358.37</t>
  </si>
  <si>
    <t>680</t>
  </si>
  <si>
    <t>383.66</t>
  </si>
  <si>
    <t>663</t>
  </si>
  <si>
    <t>431.49</t>
  </si>
  <si>
    <t>08-3N-24-2380-0176-0070</t>
  </si>
  <si>
    <t>NEW FRONT ST</t>
  </si>
  <si>
    <t>MIKKELSON CARL G EST</t>
  </si>
  <si>
    <t>3756 WEST 3RD STREE</t>
  </si>
  <si>
    <t>BLOCK 176 LOT 7</t>
  </si>
  <si>
    <t>08-3N-24-2380-0178-0170</t>
  </si>
  <si>
    <t>083N24238001780170</t>
  </si>
  <si>
    <t>BAY RD</t>
  </si>
  <si>
    <t>DOHR LILAS H TRUSTEE</t>
  </si>
  <si>
    <t>321 SOUTH WALNUT STREE</t>
  </si>
  <si>
    <t>Appleton</t>
  </si>
  <si>
    <t>Wisconsin</t>
  </si>
  <si>
    <t>54911</t>
  </si>
  <si>
    <t>BLOCK 178 LOT 17 (LESS S5 FT)</t>
  </si>
  <si>
    <t>433</t>
  </si>
  <si>
    <t>50.85</t>
  </si>
  <si>
    <t>427</t>
  </si>
  <si>
    <t>49.23</t>
  </si>
  <si>
    <t>468</t>
  </si>
  <si>
    <t>959</t>
  </si>
  <si>
    <t>684</t>
  </si>
  <si>
    <t>56.94</t>
  </si>
  <si>
    <t>08-3N-24-2380-0180-0090</t>
  </si>
  <si>
    <t>27353 NEW FRONT ST</t>
  </si>
  <si>
    <t>1772</t>
  </si>
  <si>
    <t>PIERSON KRISTINA</t>
  </si>
  <si>
    <t>27353 NEW FRONT S</t>
  </si>
  <si>
    <t>BLOCK 180 LOTS 9 THRU 12</t>
  </si>
  <si>
    <t>1506.82</t>
  </si>
  <si>
    <t>08-3N-24-2380-0183-0130</t>
  </si>
  <si>
    <t>27071 INDIANA ST</t>
  </si>
  <si>
    <t>MULTI-FAM &lt;10 UNITS</t>
  </si>
  <si>
    <t>2466</t>
  </si>
  <si>
    <t>FNB OF SOUTH FOLKSTON</t>
  </si>
  <si>
    <t>15541.00</t>
  </si>
  <si>
    <t>STAND ALONE REFI</t>
  </si>
  <si>
    <t>02/29/2008</t>
  </si>
  <si>
    <t>CALHOUN PAULINE</t>
  </si>
  <si>
    <t>27071 INDIANA ST APT 10</t>
  </si>
  <si>
    <t>BLOCK 183 LOTS 13 THRU 17</t>
  </si>
  <si>
    <t>08-3N-24-2380-0184-0180</t>
  </si>
  <si>
    <t>083N24238001840180</t>
  </si>
  <si>
    <t>MOLLY LN</t>
  </si>
  <si>
    <t>BALLARD BERENDA F</t>
  </si>
  <si>
    <t>2497 DAVIS S</t>
  </si>
  <si>
    <t>Fenton</t>
  </si>
  <si>
    <t>48430</t>
  </si>
  <si>
    <t>BLOCK 184 LOT 18</t>
  </si>
  <si>
    <t>435</t>
  </si>
  <si>
    <t>430</t>
  </si>
  <si>
    <t>478</t>
  </si>
  <si>
    <t>963</t>
  </si>
  <si>
    <t>689</t>
  </si>
  <si>
    <t>08-3N-24-2380-0184-0200</t>
  </si>
  <si>
    <t>083N24238001840200</t>
  </si>
  <si>
    <t>1/4</t>
  </si>
  <si>
    <t>HOWARD A E ESTATE</t>
  </si>
  <si>
    <t>702 NEW PORT STREE</t>
  </si>
  <si>
    <t>BLOCK 184 LOT 20</t>
  </si>
  <si>
    <t>43.40</t>
  </si>
  <si>
    <t>46.81</t>
  </si>
  <si>
    <t>07/29/2014</t>
  </si>
  <si>
    <t>08-3N-24-2380-0197-0080</t>
  </si>
  <si>
    <t>083N24238001970080</t>
  </si>
  <si>
    <t>11TH AV</t>
  </si>
  <si>
    <t>STOCKTON C B</t>
  </si>
  <si>
    <t>2951 LA PAZ AV</t>
  </si>
  <si>
    <t>Hemet</t>
  </si>
  <si>
    <t>92545</t>
  </si>
  <si>
    <t>BLOCK 197 LOT 8</t>
  </si>
  <si>
    <t>31.60</t>
  </si>
  <si>
    <t>42.36</t>
  </si>
  <si>
    <t>480</t>
  </si>
  <si>
    <t>30.72</t>
  </si>
  <si>
    <t>964</t>
  </si>
  <si>
    <t>36.48</t>
  </si>
  <si>
    <t>691</t>
  </si>
  <si>
    <t>46.68</t>
  </si>
  <si>
    <t>08-3N-24-2380-0199-0140</t>
  </si>
  <si>
    <t>083N24238001990140</t>
  </si>
  <si>
    <t>W TENTH AV</t>
  </si>
  <si>
    <t>BRYCE ROBERT W SR HEIRS' TRUST</t>
  </si>
  <si>
    <t>305 KNOLL STREET N</t>
  </si>
  <si>
    <t>Vienna</t>
  </si>
  <si>
    <t>Virginia</t>
  </si>
  <si>
    <t>22180</t>
  </si>
  <si>
    <t>BLOCK 199 LOTS 14 &amp; 15</t>
  </si>
  <si>
    <t>50.93</t>
  </si>
  <si>
    <t>49.29</t>
  </si>
  <si>
    <t>481</t>
  </si>
  <si>
    <t>49.67</t>
  </si>
  <si>
    <t>965</t>
  </si>
  <si>
    <t>692</t>
  </si>
  <si>
    <t>08-3N-24-2380-0199-0220</t>
  </si>
  <si>
    <t>083N24238001990220</t>
  </si>
  <si>
    <t>BELL RONALD WAYNE &amp;</t>
  </si>
  <si>
    <t>45219 MICKLER S</t>
  </si>
  <si>
    <t>BLOCK 199 LOTS 22 &amp; 23</t>
  </si>
  <si>
    <t>61.00</t>
  </si>
  <si>
    <t>482</t>
  </si>
  <si>
    <t>03/26/2014</t>
  </si>
  <si>
    <t>08-3N-24-2380-0201-0130</t>
  </si>
  <si>
    <t>083N24238002010130</t>
  </si>
  <si>
    <t>27426 W 10TH AV</t>
  </si>
  <si>
    <t>1425</t>
  </si>
  <si>
    <t>JOHNSON HAROLD F</t>
  </si>
  <si>
    <t>PO BOX 170</t>
  </si>
  <si>
    <t>BLOCK 201 LOTS 13 THRU 24</t>
  </si>
  <si>
    <t>945.79</t>
  </si>
  <si>
    <t>03/05/2018</t>
  </si>
  <si>
    <t>934.12</t>
  </si>
  <si>
    <t>12/13/2016</t>
  </si>
  <si>
    <t>780.32</t>
  </si>
  <si>
    <t>10/02/2015</t>
  </si>
  <si>
    <t>833.88</t>
  </si>
  <si>
    <t>06/17/2014</t>
  </si>
  <si>
    <t>483</t>
  </si>
  <si>
    <t>438.76</t>
  </si>
  <si>
    <t>07/23/2013</t>
  </si>
  <si>
    <t>693</t>
  </si>
  <si>
    <t>541.14</t>
  </si>
  <si>
    <t>04/09/2012</t>
  </si>
  <si>
    <t>08-3N-24-2380-0208-0040</t>
  </si>
  <si>
    <t>083N24238002080040</t>
  </si>
  <si>
    <t>12TH AV</t>
  </si>
  <si>
    <t>KELLY JEAN VALERIE</t>
  </si>
  <si>
    <t>1220 PARK AVE #7</t>
  </si>
  <si>
    <t>10128</t>
  </si>
  <si>
    <t>BLOCK 208 LOT 4</t>
  </si>
  <si>
    <t>444</t>
  </si>
  <si>
    <t>30.60</t>
  </si>
  <si>
    <t>487</t>
  </si>
  <si>
    <t>968</t>
  </si>
  <si>
    <t>08-3N-24-2380-0218-0010</t>
  </si>
  <si>
    <t>083N24238002180010</t>
  </si>
  <si>
    <t>27193 FOURTEENTH AVE W</t>
  </si>
  <si>
    <t>75500</t>
  </si>
  <si>
    <t>R B LOYD</t>
  </si>
  <si>
    <t>SCAFF CHARLES R II</t>
  </si>
  <si>
    <t>27193 FOURTEENTH AVE</t>
  </si>
  <si>
    <t>BLOCK 218 LOTS 1 TO 6</t>
  </si>
  <si>
    <t>1703.06</t>
  </si>
  <si>
    <t>441</t>
  </si>
  <si>
    <t>1387.38</t>
  </si>
  <si>
    <t>11/24/2014</t>
  </si>
  <si>
    <t>489</t>
  </si>
  <si>
    <t>1412.23</t>
  </si>
  <si>
    <t>08-3N-24-2380-0219-0210</t>
  </si>
  <si>
    <t>083N24238002190210</t>
  </si>
  <si>
    <t>27730 KENTUCKY ST</t>
  </si>
  <si>
    <t>84209.00</t>
  </si>
  <si>
    <t>05/05/2003</t>
  </si>
  <si>
    <t>HESS JEANNIE</t>
  </si>
  <si>
    <t>27730 KENTUCKY S</t>
  </si>
  <si>
    <t>BLOCK 219 LOTS 21 THRU 24 &amp;</t>
  </si>
  <si>
    <t>285.20</t>
  </si>
  <si>
    <t>08-3N-24-2381-0001-0000</t>
  </si>
  <si>
    <t>083N24238100010000</t>
  </si>
  <si>
    <t>37059 PECAN ST</t>
  </si>
  <si>
    <t>4352</t>
  </si>
  <si>
    <t>LOTS 1 &amp; 2</t>
  </si>
  <si>
    <t>742.72</t>
  </si>
  <si>
    <t>443</t>
  </si>
  <si>
    <t>756.58</t>
  </si>
  <si>
    <t>490</t>
  </si>
  <si>
    <t>718.59</t>
  </si>
  <si>
    <t>08-3N-24-2381-0003-0000</t>
  </si>
  <si>
    <t>083N24238100030000</t>
  </si>
  <si>
    <t>37085 PECAN ST</t>
  </si>
  <si>
    <t>410.77</t>
  </si>
  <si>
    <t>417.25</t>
  </si>
  <si>
    <t>491</t>
  </si>
  <si>
    <t>228.28</t>
  </si>
  <si>
    <t>08-3N-24-2420-000E-0140</t>
  </si>
  <si>
    <t>083N242420000E0140</t>
  </si>
  <si>
    <t>2406 CYPRESS ST</t>
  </si>
  <si>
    <t>5500</t>
  </si>
  <si>
    <t>SAMPSON JAMES A &amp; STACY LEIGH</t>
  </si>
  <si>
    <t>37207 CYPRESS STREE</t>
  </si>
  <si>
    <t>159.82</t>
  </si>
  <si>
    <t>04/20/2017</t>
  </si>
  <si>
    <t>445</t>
  </si>
  <si>
    <t>188.94</t>
  </si>
  <si>
    <t>442</t>
  </si>
  <si>
    <t>179.48</t>
  </si>
  <si>
    <t>494</t>
  </si>
  <si>
    <t>181.65</t>
  </si>
  <si>
    <t>699</t>
  </si>
  <si>
    <t>199.60</t>
  </si>
  <si>
    <t>682</t>
  </si>
  <si>
    <t>221.42</t>
  </si>
  <si>
    <t>07/15/2011</t>
  </si>
  <si>
    <t>08-3N-24-2440-0006-0020</t>
  </si>
  <si>
    <t>083N24244000060020</t>
  </si>
  <si>
    <t>37134 WALKER ST</t>
  </si>
  <si>
    <t>1515</t>
  </si>
  <si>
    <t>FOSSICK DEBORAH G</t>
  </si>
  <si>
    <t>PO BOX 100</t>
  </si>
  <si>
    <t>SUB LOT E WALKER SUB UNR</t>
  </si>
  <si>
    <t>531.58</t>
  </si>
  <si>
    <t>539.91</t>
  </si>
  <si>
    <t>446</t>
  </si>
  <si>
    <t>539.69</t>
  </si>
  <si>
    <t>512.31</t>
  </si>
  <si>
    <t>495</t>
  </si>
  <si>
    <t>513.06</t>
  </si>
  <si>
    <t>499.57</t>
  </si>
  <si>
    <t>702</t>
  </si>
  <si>
    <t>493.03</t>
  </si>
  <si>
    <t>686</t>
  </si>
  <si>
    <t>477.43</t>
  </si>
  <si>
    <t>09-3N-24-0000-0004-0070</t>
  </si>
  <si>
    <t>093N24000000040070</t>
  </si>
  <si>
    <t>371440 EASTWOOD RD</t>
  </si>
  <si>
    <t>2033</t>
  </si>
  <si>
    <t>MICHAEL SELDOMRIDGE</t>
  </si>
  <si>
    <t>TERRELL ALVIN D JR &amp; BARBARA L</t>
  </si>
  <si>
    <t>371440 EASTWOOD R</t>
  </si>
  <si>
    <t>449</t>
  </si>
  <si>
    <t>1030.80</t>
  </si>
  <si>
    <t>1545.95</t>
  </si>
  <si>
    <t>1365.43</t>
  </si>
  <si>
    <t>496</t>
  </si>
  <si>
    <t>856.76</t>
  </si>
  <si>
    <t>08/03/2015</t>
  </si>
  <si>
    <t>09-3N-24-0000-0020-0000</t>
  </si>
  <si>
    <t>093N24000000200000</t>
  </si>
  <si>
    <t>DONELY DAVID EST</t>
  </si>
  <si>
    <t>37060 OXFORD S</t>
  </si>
  <si>
    <t>IN OR 3 PG 408 CO REC</t>
  </si>
  <si>
    <t>103.23</t>
  </si>
  <si>
    <t>05/09/2017</t>
  </si>
  <si>
    <t>86.52</t>
  </si>
  <si>
    <t>497</t>
  </si>
  <si>
    <t>419.94</t>
  </si>
  <si>
    <t>1101</t>
  </si>
  <si>
    <t>419.63</t>
  </si>
  <si>
    <t>06/19/2012</t>
  </si>
  <si>
    <t>422.10</t>
  </si>
  <si>
    <t>690</t>
  </si>
  <si>
    <t>463.05</t>
  </si>
  <si>
    <t>09-3N-24-0000-0022-0010</t>
  </si>
  <si>
    <t>093N24000000220010</t>
  </si>
  <si>
    <t>37013 OXFORD ST</t>
  </si>
  <si>
    <t>0.20</t>
  </si>
  <si>
    <t>ANDERSON JAMES A</t>
  </si>
  <si>
    <t>PO BOX 84</t>
  </si>
  <si>
    <t>IN OR 790 PG 1794</t>
  </si>
  <si>
    <t>55.82</t>
  </si>
  <si>
    <t>51.60</t>
  </si>
  <si>
    <t>63.08</t>
  </si>
  <si>
    <t>77.94</t>
  </si>
  <si>
    <t>498</t>
  </si>
  <si>
    <t>1102</t>
  </si>
  <si>
    <t>53.94</t>
  </si>
  <si>
    <t>66.37</t>
  </si>
  <si>
    <t>09-3N-24-2480-0018-0010</t>
  </si>
  <si>
    <t>MILL ST</t>
  </si>
  <si>
    <t>3500</t>
  </si>
  <si>
    <t>MCLEMORE CHARLES L &amp; EVELYN L</t>
  </si>
  <si>
    <t>37286 MILL STREE</t>
  </si>
  <si>
    <t>N1/2 OF LOT 18</t>
  </si>
  <si>
    <t>10-3N-24-073A-0001-0000</t>
  </si>
  <si>
    <t>151040 CR 108</t>
  </si>
  <si>
    <t>1248</t>
  </si>
  <si>
    <t>21000</t>
  </si>
  <si>
    <t>GREENWELL KEVIN</t>
  </si>
  <si>
    <t>151040 COUNTY ROAD 10</t>
  </si>
  <si>
    <t>257.09</t>
  </si>
  <si>
    <t>02/02/2017</t>
  </si>
  <si>
    <t>697</t>
  </si>
  <si>
    <t>456.24</t>
  </si>
  <si>
    <t>07/23/2010</t>
  </si>
  <si>
    <t>10-3N-24-0775-0005-0000</t>
  </si>
  <si>
    <t>103N24077500050000</t>
  </si>
  <si>
    <t>151084 CR 108</t>
  </si>
  <si>
    <t>19400</t>
  </si>
  <si>
    <t>DUBOSE KAREN</t>
  </si>
  <si>
    <t>151084 CR 10</t>
  </si>
  <si>
    <t>386.80</t>
  </si>
  <si>
    <t>422.91</t>
  </si>
  <si>
    <t>02/18/2017</t>
  </si>
  <si>
    <t>503</t>
  </si>
  <si>
    <t>381.76</t>
  </si>
  <si>
    <t>2871</t>
  </si>
  <si>
    <t>407.81</t>
  </si>
  <si>
    <t>2890</t>
  </si>
  <si>
    <t>504.39</t>
  </si>
  <si>
    <t>2900</t>
  </si>
  <si>
    <t>649.35</t>
  </si>
  <si>
    <t>10-3N-24-2320-0040-0020</t>
  </si>
  <si>
    <t>103N24232000400020</t>
  </si>
  <si>
    <t>37076 MUNDEE PL</t>
  </si>
  <si>
    <t>2289</t>
  </si>
  <si>
    <t>WACHOVIA BK NA</t>
  </si>
  <si>
    <t>30012.00</t>
  </si>
  <si>
    <t>11/18/2005</t>
  </si>
  <si>
    <t>12/17/2015</t>
  </si>
  <si>
    <t>SMITH BRANDON K &amp; DEANNA M</t>
  </si>
  <si>
    <t>37076 MUNDEE PLAC</t>
  </si>
  <si>
    <t>590.10</t>
  </si>
  <si>
    <t>03/10/2015</t>
  </si>
  <si>
    <t>1133</t>
  </si>
  <si>
    <t>812.16</t>
  </si>
  <si>
    <t>10-3N-24-2320-0040-0040</t>
  </si>
  <si>
    <t>103N24232000400040</t>
  </si>
  <si>
    <t>37362 BULFORD RD</t>
  </si>
  <si>
    <t>1.12</t>
  </si>
  <si>
    <t>ROBERTSON CYNTHIA T</t>
  </si>
  <si>
    <t>PO BOX 55</t>
  </si>
  <si>
    <t>492.05</t>
  </si>
  <si>
    <t>477.98</t>
  </si>
  <si>
    <t>482.91</t>
  </si>
  <si>
    <t>506</t>
  </si>
  <si>
    <t>368.68</t>
  </si>
  <si>
    <t>1134</t>
  </si>
  <si>
    <t>411.35</t>
  </si>
  <si>
    <t>717</t>
  </si>
  <si>
    <t>446.73</t>
  </si>
  <si>
    <t>508.18</t>
  </si>
  <si>
    <t>10-3N-24-2320-0043-0030</t>
  </si>
  <si>
    <t>103N24232000430030</t>
  </si>
  <si>
    <t>37172 BULFORD RD</t>
  </si>
  <si>
    <t>2.77</t>
  </si>
  <si>
    <t>SELLERS TINA &amp;</t>
  </si>
  <si>
    <t>37172 BULFORD ROA</t>
  </si>
  <si>
    <t>PT OF LOT 43</t>
  </si>
  <si>
    <t>853.89</t>
  </si>
  <si>
    <t>458</t>
  </si>
  <si>
    <t>705.35</t>
  </si>
  <si>
    <t>546.27</t>
  </si>
  <si>
    <t>614.07</t>
  </si>
  <si>
    <t>15-3N-24-0000-0002-0000</t>
  </si>
  <si>
    <t>ESMT OFF ALICE ST</t>
  </si>
  <si>
    <t>OKEFENOKEE II L C</t>
  </si>
  <si>
    <t>PO BOX 5033</t>
  </si>
  <si>
    <t>PT OF NW1/4 OF NW1/4 OF</t>
  </si>
  <si>
    <t>15-3N-24-0000-0002-0040</t>
  </si>
  <si>
    <t>EASTWOOD RD</t>
  </si>
  <si>
    <t>25.27</t>
  </si>
  <si>
    <t>200300</t>
  </si>
  <si>
    <t>OKEFENOKEE II LC</t>
  </si>
  <si>
    <t>32250</t>
  </si>
  <si>
    <t>PT OF NW1/4 OF SEC 15-3N-24E</t>
  </si>
  <si>
    <t>15-3N-24-0000-0002-0050</t>
  </si>
  <si>
    <t>33900</t>
  </si>
  <si>
    <t>PT OR 956/1102</t>
  </si>
  <si>
    <t>15-3N-24-0000-0002-0060</t>
  </si>
  <si>
    <t>ALICE ST</t>
  </si>
  <si>
    <t>15-3N-24-0000-0006-0000</t>
  </si>
  <si>
    <t>551091 US HWY 1</t>
  </si>
  <si>
    <t>MIXED USE</t>
  </si>
  <si>
    <t>WELLS VIRGINIA J EST</t>
  </si>
  <si>
    <t>551090 US HWY</t>
  </si>
  <si>
    <t>IN OR 1114/852</t>
  </si>
  <si>
    <t>15-3N-24-2320-0017-0030</t>
  </si>
  <si>
    <t>153N24232000170030</t>
  </si>
  <si>
    <t>37093 TESTONE LN</t>
  </si>
  <si>
    <t>MULTI-FAM 10+ UNITS</t>
  </si>
  <si>
    <t>4.15</t>
  </si>
  <si>
    <t>7935</t>
  </si>
  <si>
    <t>35812.00</t>
  </si>
  <si>
    <t>03/06/2002</t>
  </si>
  <si>
    <t>HAMMAGE &amp; SKEET LLC</t>
  </si>
  <si>
    <t>4225 N PEARL STREE</t>
  </si>
  <si>
    <t>32206</t>
  </si>
  <si>
    <t>ALL LOT 17 W OF HWY &amp;</t>
  </si>
  <si>
    <t>3162.64</t>
  </si>
  <si>
    <t>461</t>
  </si>
  <si>
    <t>2932.09</t>
  </si>
  <si>
    <t>510</t>
  </si>
  <si>
    <t>2698.71</t>
  </si>
  <si>
    <t>05/13/2014</t>
  </si>
  <si>
    <t>16-3N-24-0000-0006-0270</t>
  </si>
  <si>
    <t>163N24000000060270</t>
  </si>
  <si>
    <t>3786 JOY LN</t>
  </si>
  <si>
    <t>1.09</t>
  </si>
  <si>
    <t>SIMS PATRICK E</t>
  </si>
  <si>
    <t>3786 JOY LAN</t>
  </si>
  <si>
    <t>PT OF NE1/4 OF NW1/4</t>
  </si>
  <si>
    <t>751.94</t>
  </si>
  <si>
    <t>10/25/2017</t>
  </si>
  <si>
    <t>761.96</t>
  </si>
  <si>
    <t>463</t>
  </si>
  <si>
    <t>756.88</t>
  </si>
  <si>
    <t>453</t>
  </si>
  <si>
    <t>711.51</t>
  </si>
  <si>
    <t>11/03/2014</t>
  </si>
  <si>
    <t>514</t>
  </si>
  <si>
    <t>767.99</t>
  </si>
  <si>
    <t>1286</t>
  </si>
  <si>
    <t>818.68</t>
  </si>
  <si>
    <t>727</t>
  </si>
  <si>
    <t>912.16</t>
  </si>
  <si>
    <t>16-3N-24-0000-0006-0290</t>
  </si>
  <si>
    <t>163N24000000060290</t>
  </si>
  <si>
    <t>SIMS PATRICK</t>
  </si>
  <si>
    <t>263.55</t>
  </si>
  <si>
    <t>266.70</t>
  </si>
  <si>
    <t>02/02/2016</t>
  </si>
  <si>
    <t>252.81</t>
  </si>
  <si>
    <t>01/28/2016</t>
  </si>
  <si>
    <t>515</t>
  </si>
  <si>
    <t>278.79</t>
  </si>
  <si>
    <t>08/27/2014</t>
  </si>
  <si>
    <t>1287</t>
  </si>
  <si>
    <t>305.99</t>
  </si>
  <si>
    <t>728</t>
  </si>
  <si>
    <t>330.07</t>
  </si>
  <si>
    <t>16-3N-24-0000-0015-0000</t>
  </si>
  <si>
    <t>163N24000000150000</t>
  </si>
  <si>
    <t>37551 INGHAM RD</t>
  </si>
  <si>
    <t>1.77</t>
  </si>
  <si>
    <t>1972</t>
  </si>
  <si>
    <t>NICKS JAMES C JR &amp; BETTY M</t>
  </si>
  <si>
    <t>15801 CR 10</t>
  </si>
  <si>
    <t>IN OR 137 PG 42</t>
  </si>
  <si>
    <t>16-3N-24-0000-0015-0010</t>
  </si>
  <si>
    <t>163N24000000150010</t>
  </si>
  <si>
    <t>INGHAM RD</t>
  </si>
  <si>
    <t>83356.00</t>
  </si>
  <si>
    <t>01/09/2004</t>
  </si>
  <si>
    <t>GUYNN SHELTON</t>
  </si>
  <si>
    <t>17106 GUYNN D</t>
  </si>
  <si>
    <t>IN OR 2040/1339</t>
  </si>
  <si>
    <t>641.30</t>
  </si>
  <si>
    <t>16-3N-24-0000-0024-0050</t>
  </si>
  <si>
    <t>163N24000000240050</t>
  </si>
  <si>
    <t>37405 HENRY SMITH RD</t>
  </si>
  <si>
    <t>Vacant Industrial</t>
  </si>
  <si>
    <t>VACANT INDUSTRIAL</t>
  </si>
  <si>
    <t>SMALLWOOD CHARLES A</t>
  </si>
  <si>
    <t>540 NE 45TH C</t>
  </si>
  <si>
    <t>Ocala</t>
  </si>
  <si>
    <t>34470</t>
  </si>
  <si>
    <t>PT OF S1/2 OF NE1/4 OF SE1/4</t>
  </si>
  <si>
    <t>215.06</t>
  </si>
  <si>
    <t>516</t>
  </si>
  <si>
    <t>196.86</t>
  </si>
  <si>
    <t>222.68</t>
  </si>
  <si>
    <t>729</t>
  </si>
  <si>
    <t>246.27</t>
  </si>
  <si>
    <t>291.26</t>
  </si>
  <si>
    <t>16-3N-24-1270-0004-0000</t>
  </si>
  <si>
    <t>163N24127000040000</t>
  </si>
  <si>
    <t>37166 LORENA DR</t>
  </si>
  <si>
    <t>0.33</t>
  </si>
  <si>
    <t>1777</t>
  </si>
  <si>
    <t>177000</t>
  </si>
  <si>
    <t>AMERICAS WHOLESALE LNDR</t>
  </si>
  <si>
    <t>103950.00</t>
  </si>
  <si>
    <t>12/01/2031</t>
  </si>
  <si>
    <t>ALESSI MICHAEL</t>
  </si>
  <si>
    <t>37166 LORENA DRIV</t>
  </si>
  <si>
    <t>730</t>
  </si>
  <si>
    <t>1809.89</t>
  </si>
  <si>
    <t>06/06/2011</t>
  </si>
  <si>
    <t>16-3N-24-1270-0014-0000</t>
  </si>
  <si>
    <t>163N24127000140000</t>
  </si>
  <si>
    <t>3755 LORENA DR</t>
  </si>
  <si>
    <t>1762</t>
  </si>
  <si>
    <t>133000</t>
  </si>
  <si>
    <t>HOMESOUTH MORTGAGE CORP</t>
  </si>
  <si>
    <t>92150.00</t>
  </si>
  <si>
    <t>02/01/2033</t>
  </si>
  <si>
    <t>MUMFORD MELISSA</t>
  </si>
  <si>
    <t>3755 LORENA AV</t>
  </si>
  <si>
    <t>1200.43</t>
  </si>
  <si>
    <t>05/29/2015</t>
  </si>
  <si>
    <t>712</t>
  </si>
  <si>
    <t>1790.62</t>
  </si>
  <si>
    <t>02/25/2011</t>
  </si>
  <si>
    <t>16-3N-24-2020-0034-0030</t>
  </si>
  <si>
    <t>163N24-20200034-0030</t>
  </si>
  <si>
    <t>551378 US HWY 1</t>
  </si>
  <si>
    <t>LATHAM EMILY EST</t>
  </si>
  <si>
    <t>45208 BISMARK RD</t>
  </si>
  <si>
    <t>PT OF LOT 34 IN DBK 272/54</t>
  </si>
  <si>
    <t>920.59</t>
  </si>
  <si>
    <t>06/17/2016</t>
  </si>
  <si>
    <t>16-3N-24-2320-0001-0000</t>
  </si>
  <si>
    <t>163N24-23200001-0000</t>
  </si>
  <si>
    <t>7624 NYRENS WY</t>
  </si>
  <si>
    <t>16.54</t>
  </si>
  <si>
    <t>22500</t>
  </si>
  <si>
    <t>NYREN GERALD</t>
  </si>
  <si>
    <t>3911 PARK STREE</t>
  </si>
  <si>
    <t>LOTS 1 &amp; PT OF LOTS 2 &amp; 3</t>
  </si>
  <si>
    <t>602.87</t>
  </si>
  <si>
    <t>16-3N-24-2320-0001-0020</t>
  </si>
  <si>
    <t>163N24-23200001-0020</t>
  </si>
  <si>
    <t>NYRENS WY</t>
  </si>
  <si>
    <t>PT OF LOTS 1 &amp; 2 (S-2)</t>
  </si>
  <si>
    <t>203.41</t>
  </si>
  <si>
    <t>16-3N-24-2320-0002-0010</t>
  </si>
  <si>
    <t>NYRENS WAY</t>
  </si>
  <si>
    <t>PT OF LOTS 2 &amp; 3</t>
  </si>
  <si>
    <t>16-3N-24-2320-0003-0020</t>
  </si>
  <si>
    <t>163N24-23200003-0020</t>
  </si>
  <si>
    <t>PT OF LOT 3 (S-2)</t>
  </si>
  <si>
    <t>70.93</t>
  </si>
  <si>
    <t>16-3N-24-2580-0029-0020</t>
  </si>
  <si>
    <t>163N24258000290020</t>
  </si>
  <si>
    <t>37017 LITTLE MAGNOLIA CT</t>
  </si>
  <si>
    <t>1.04</t>
  </si>
  <si>
    <t>1640</t>
  </si>
  <si>
    <t>THE LENDING CONNECTION INC</t>
  </si>
  <si>
    <t>103125.00</t>
  </si>
  <si>
    <t>06/01/2046</t>
  </si>
  <si>
    <t>BOWMAN WENDY</t>
  </si>
  <si>
    <t>37017 LITTLE MAGNOLIA C</t>
  </si>
  <si>
    <t>PT OF LOT 29 &amp; 30</t>
  </si>
  <si>
    <t>855.26</t>
  </si>
  <si>
    <t>03/09/2018</t>
  </si>
  <si>
    <t>17-3N-24-2020-0022-0040</t>
  </si>
  <si>
    <t>2783 GARTH LN</t>
  </si>
  <si>
    <t>1.05</t>
  </si>
  <si>
    <t>1225</t>
  </si>
  <si>
    <t>FIRST NATIONAL BANK OF AMERICA</t>
  </si>
  <si>
    <t>08/25/2038</t>
  </si>
  <si>
    <t>RIVER CITY HOLDINGS LLC</t>
  </si>
  <si>
    <t>9378 ARLINGTON EXPRESSWAY #31</t>
  </si>
  <si>
    <t>PT OF THE N1/2 OF THE S1/2 OF</t>
  </si>
  <si>
    <t>17-3N-24-2020-0037-0000</t>
  </si>
  <si>
    <t>173N24202000370000</t>
  </si>
  <si>
    <t>27138 BENT CREEK CIR</t>
  </si>
  <si>
    <t>1436</t>
  </si>
  <si>
    <t>STOKES RAYMOND CHRISTOPHER</t>
  </si>
  <si>
    <t>27138 BENT CREEK CIRCL</t>
  </si>
  <si>
    <t>LOT 37</t>
  </si>
  <si>
    <t>721</t>
  </si>
  <si>
    <t>548.14</t>
  </si>
  <si>
    <t>17-3N-24-2020-0053-0100</t>
  </si>
  <si>
    <t>173N24202000530100</t>
  </si>
  <si>
    <t>2/5</t>
  </si>
  <si>
    <t>FRIENDSHIP CIR</t>
  </si>
  <si>
    <t>0.75</t>
  </si>
  <si>
    <t>5200</t>
  </si>
  <si>
    <t>HOLDEN DAVID &amp; MELISSA</t>
  </si>
  <si>
    <t>3799 FRIENDSHIP D</t>
  </si>
  <si>
    <t>PT OF LOT 53 (S-10)</t>
  </si>
  <si>
    <t>465</t>
  </si>
  <si>
    <t>199.95</t>
  </si>
  <si>
    <t>2233</t>
  </si>
  <si>
    <t>234.90</t>
  </si>
  <si>
    <t>2246</t>
  </si>
  <si>
    <t>230.88</t>
  </si>
  <si>
    <t>523</t>
  </si>
  <si>
    <t>170.62</t>
  </si>
  <si>
    <t>220.68</t>
  </si>
  <si>
    <t>725</t>
  </si>
  <si>
    <t>249.37</t>
  </si>
  <si>
    <t>17-3N-24-2020-0055-0020</t>
  </si>
  <si>
    <t>36422 PINE ST</t>
  </si>
  <si>
    <t>WEST JAMIE L L/E</t>
  </si>
  <si>
    <t>36433 PINE S</t>
  </si>
  <si>
    <t>PT LOT 55 IN OR 2061/72</t>
  </si>
  <si>
    <t>17-3N-24-2020-0057-0000</t>
  </si>
  <si>
    <t>173N24202000570000</t>
  </si>
  <si>
    <t>3714 RAVEN DR</t>
  </si>
  <si>
    <t>9128</t>
  </si>
  <si>
    <t>FIRST COAST CMNTY BK</t>
  </si>
  <si>
    <t>262500.00</t>
  </si>
  <si>
    <t>06/01/2004</t>
  </si>
  <si>
    <t>HILLIARD LLC</t>
  </si>
  <si>
    <t>5639 COLDSTREAM C</t>
  </si>
  <si>
    <t>LOTS 57 58 59 &amp; 60</t>
  </si>
  <si>
    <t>466</t>
  </si>
  <si>
    <t>6098.73</t>
  </si>
  <si>
    <t>17-3N-24-2640-0002-0100</t>
  </si>
  <si>
    <t>173N24264000020100</t>
  </si>
  <si>
    <t>0/5</t>
  </si>
  <si>
    <t>CR 108</t>
  </si>
  <si>
    <t>CHRISTENSEN EMMA MRS</t>
  </si>
  <si>
    <t>3350 LAKEVIEW DRIV</t>
  </si>
  <si>
    <t>Suamico</t>
  </si>
  <si>
    <t>54173</t>
  </si>
  <si>
    <t>BLOCK 2 LOT 10</t>
  </si>
  <si>
    <t>39.92</t>
  </si>
  <si>
    <t>34.68</t>
  </si>
  <si>
    <t>472</t>
  </si>
  <si>
    <t>33.13</t>
  </si>
  <si>
    <t>32.50</t>
  </si>
  <si>
    <t>524</t>
  </si>
  <si>
    <t>34.24</t>
  </si>
  <si>
    <t>20-3N-24-0000-0007-0000</t>
  </si>
  <si>
    <t>203N24000000070000</t>
  </si>
  <si>
    <t>37341 TOM BROWN RD</t>
  </si>
  <si>
    <t xml:space="preserve"> SOUTHEASTERN BANK OF FOLKSTON</t>
  </si>
  <si>
    <t>27939.00</t>
  </si>
  <si>
    <t>04/15/1998</t>
  </si>
  <si>
    <t>REWIS BILLY CHARLES</t>
  </si>
  <si>
    <t>37263 TOM BROWN ROA</t>
  </si>
  <si>
    <t>PT OF SE1/4 OF NE1/4</t>
  </si>
  <si>
    <t>470</t>
  </si>
  <si>
    <t>808.28</t>
  </si>
  <si>
    <t>900.13</t>
  </si>
  <si>
    <t>474</t>
  </si>
  <si>
    <t>795.49</t>
  </si>
  <si>
    <t>894.53</t>
  </si>
  <si>
    <t>01/30/2016</t>
  </si>
  <si>
    <t>526</t>
  </si>
  <si>
    <t>658.96</t>
  </si>
  <si>
    <t>505.88</t>
  </si>
  <si>
    <t>20-3N-24-0000-0007-0020</t>
  </si>
  <si>
    <t>203N24000000070020</t>
  </si>
  <si>
    <t>37263 TOM BROWN RD</t>
  </si>
  <si>
    <t>1450</t>
  </si>
  <si>
    <t>471</t>
  </si>
  <si>
    <t>760.35</t>
  </si>
  <si>
    <t>475</t>
  </si>
  <si>
    <t>761.88</t>
  </si>
  <si>
    <t>717.05</t>
  </si>
  <si>
    <t>10/19/2014</t>
  </si>
  <si>
    <t>527</t>
  </si>
  <si>
    <t>706.14</t>
  </si>
  <si>
    <t>20-3N-24-2020-0023-0010</t>
  </si>
  <si>
    <t>15616 CR 108</t>
  </si>
  <si>
    <t>HOBBS BENJAMIN FRANKLIN &amp;</t>
  </si>
  <si>
    <t>15616 CR 10</t>
  </si>
  <si>
    <t>E 290' OF LOT 23</t>
  </si>
  <si>
    <t>20-3N-24-2020-0046-0000</t>
  </si>
  <si>
    <t>203N24202000460000</t>
  </si>
  <si>
    <t>15595 CR 108</t>
  </si>
  <si>
    <t>45823.00</t>
  </si>
  <si>
    <t>08/26/2005</t>
  </si>
  <si>
    <t>HODGES WILL RANDALL &amp; LISA K &amp;</t>
  </si>
  <si>
    <t>15595 COUNTY ROAD 10</t>
  </si>
  <si>
    <t>LOT 46   IN OR 1195/801</t>
  </si>
  <si>
    <t>469</t>
  </si>
  <si>
    <t>423.00</t>
  </si>
  <si>
    <t>529</t>
  </si>
  <si>
    <t>416.82</t>
  </si>
  <si>
    <t>04/17/2014</t>
  </si>
  <si>
    <t>1427</t>
  </si>
  <si>
    <t>464.70</t>
  </si>
  <si>
    <t>07/23/2012</t>
  </si>
  <si>
    <t>20-3N-24-2020-0047-0000</t>
  </si>
  <si>
    <t>203N24202000470000</t>
  </si>
  <si>
    <t>15585 CR 108</t>
  </si>
  <si>
    <t>51366.00</t>
  </si>
  <si>
    <t>06/20/2012</t>
  </si>
  <si>
    <t>GILL TROY V SR &amp; DONNA E H</t>
  </si>
  <si>
    <t>15585 CR 10</t>
  </si>
  <si>
    <t>LOT 47</t>
  </si>
  <si>
    <t>518.79</t>
  </si>
  <si>
    <t>11/21/2016</t>
  </si>
  <si>
    <t>477</t>
  </si>
  <si>
    <t>517.92</t>
  </si>
  <si>
    <t>530</t>
  </si>
  <si>
    <t>488.23</t>
  </si>
  <si>
    <t>469.77</t>
  </si>
  <si>
    <t>05/02/2012</t>
  </si>
  <si>
    <t>731</t>
  </si>
  <si>
    <t>456.69</t>
  </si>
  <si>
    <t>07/12/2010</t>
  </si>
  <si>
    <t>22-3N-24-2320-0006-0010</t>
  </si>
  <si>
    <t>36507 PRATT SIDING RD</t>
  </si>
  <si>
    <t>BEST CAROLINE EST</t>
  </si>
  <si>
    <t>94070 WINTERBERRY AV</t>
  </si>
  <si>
    <t>PT LOTS 6,7 &amp; 8 PAR 6-1</t>
  </si>
  <si>
    <t>22-3N-24-2320-0010-0020</t>
  </si>
  <si>
    <t>223N24-23200010-0020</t>
  </si>
  <si>
    <t>550602 US HWY 1</t>
  </si>
  <si>
    <t>NIGHTCLUBS/BARS</t>
  </si>
  <si>
    <t>0.31</t>
  </si>
  <si>
    <t>3372</t>
  </si>
  <si>
    <t xml:space="preserve"> GALNES TRUST</t>
  </si>
  <si>
    <t>09/22/2003</t>
  </si>
  <si>
    <t>PO BOX 119</t>
  </si>
  <si>
    <t>PT OF LOTS 10 &amp; 11 PAR 10-2</t>
  </si>
  <si>
    <t>467</t>
  </si>
  <si>
    <t>1421.74</t>
  </si>
  <si>
    <t>26-3N-24-2300-0018-0030</t>
  </si>
  <si>
    <t>263N24230000180030</t>
  </si>
  <si>
    <t>36624 PATSY LN</t>
  </si>
  <si>
    <t>3129</t>
  </si>
  <si>
    <t>VANDERBUILT MORTGAGE &amp; FINANCE INC</t>
  </si>
  <si>
    <t>73207.00</t>
  </si>
  <si>
    <t>05/01/2028</t>
  </si>
  <si>
    <t>PERKINS SANDRA M &amp;</t>
  </si>
  <si>
    <t>36624 PATSY LAN</t>
  </si>
  <si>
    <t>E1/2 OF LOT 18 (S-3)</t>
  </si>
  <si>
    <t>460.99</t>
  </si>
  <si>
    <t>468.20</t>
  </si>
  <si>
    <t>494.26</t>
  </si>
  <si>
    <t>03/03/2016</t>
  </si>
  <si>
    <t>755</t>
  </si>
  <si>
    <t>376.51</t>
  </si>
  <si>
    <t>483.85</t>
  </si>
  <si>
    <t>26-3N-24-2300-0022-0040</t>
  </si>
  <si>
    <t>36328 PATSY LN</t>
  </si>
  <si>
    <t>1464</t>
  </si>
  <si>
    <t>113630.00</t>
  </si>
  <si>
    <t>10/01/2036</t>
  </si>
  <si>
    <t>BOYLES GLEN E</t>
  </si>
  <si>
    <t>36328 PATSY L</t>
  </si>
  <si>
    <t>S116 FT OF W375 FT OF N264 FT</t>
  </si>
  <si>
    <t>27-3N-24-0000-0001-0000</t>
  </si>
  <si>
    <t>273N24000000010000</t>
  </si>
  <si>
    <t>36144 PRATT SIDING RD</t>
  </si>
  <si>
    <t>1285</t>
  </si>
  <si>
    <t>62298.00</t>
  </si>
  <si>
    <t>02/14/2008</t>
  </si>
  <si>
    <t>MILLER DWAINE K</t>
  </si>
  <si>
    <t>36144 PRATT SIDING ROA</t>
  </si>
  <si>
    <t>PT OF NW1/4 OF NE1/4</t>
  </si>
  <si>
    <t>479</t>
  </si>
  <si>
    <t>642.42</t>
  </si>
  <si>
    <t>02/07/2018</t>
  </si>
  <si>
    <t>648.64</t>
  </si>
  <si>
    <t>03/02/2017</t>
  </si>
  <si>
    <t>643.44</t>
  </si>
  <si>
    <t>611.34</t>
  </si>
  <si>
    <t>756</t>
  </si>
  <si>
    <t>654.32</t>
  </si>
  <si>
    <t>27-3N-24-0000-0001-0040</t>
  </si>
  <si>
    <t>36270 PRATT SIDING RD</t>
  </si>
  <si>
    <t>ALAN D BENNETT ETAL</t>
  </si>
  <si>
    <t>28000.00</t>
  </si>
  <si>
    <t>07/21/2018</t>
  </si>
  <si>
    <t>FIGUEIRA FELIPE &amp;</t>
  </si>
  <si>
    <t>141 E 44TH S</t>
  </si>
  <si>
    <t>32208</t>
  </si>
  <si>
    <t>1162.00</t>
  </si>
  <si>
    <t>06/12/2017</t>
  </si>
  <si>
    <t>27-3N-24-2020-0037-0010</t>
  </si>
  <si>
    <t>273N24202000370010</t>
  </si>
  <si>
    <t>36748 WEDGEWOOD WAY</t>
  </si>
  <si>
    <t>3.10</t>
  </si>
  <si>
    <t>MANN ROBERT D</t>
  </si>
  <si>
    <t>36748 WEDGEWOOD WA</t>
  </si>
  <si>
    <t>PT OF LOT 37</t>
  </si>
  <si>
    <t>651.51</t>
  </si>
  <si>
    <t>03/28/2016</t>
  </si>
  <si>
    <t>476</t>
  </si>
  <si>
    <t>795.54</t>
  </si>
  <si>
    <t>539</t>
  </si>
  <si>
    <t>899.12</t>
  </si>
  <si>
    <t>949.87</t>
  </si>
  <si>
    <t>9.25</t>
  </si>
  <si>
    <t>757</t>
  </si>
  <si>
    <t>967.83</t>
  </si>
  <si>
    <t>1264.07</t>
  </si>
  <si>
    <t>09/24/2013</t>
  </si>
  <si>
    <t>27-3N-24-2020-0057-0010</t>
  </si>
  <si>
    <t>273N24202000570010</t>
  </si>
  <si>
    <t>37170 PEANUT TRL</t>
  </si>
  <si>
    <t>6.87</t>
  </si>
  <si>
    <t>98000</t>
  </si>
  <si>
    <t>95333.00</t>
  </si>
  <si>
    <t>09/03/2008</t>
  </si>
  <si>
    <t>WILKES PAUL B</t>
  </si>
  <si>
    <t>BOX 141</t>
  </si>
  <si>
    <t>PT OF LOT 57 (S-1) &amp; PT OF LOT</t>
  </si>
  <si>
    <t>390.18</t>
  </si>
  <si>
    <t>388.47</t>
  </si>
  <si>
    <t>484</t>
  </si>
  <si>
    <t>384.02</t>
  </si>
  <si>
    <t>02/13/2017</t>
  </si>
  <si>
    <t>459.84</t>
  </si>
  <si>
    <t>02/11/2016</t>
  </si>
  <si>
    <t>1736</t>
  </si>
  <si>
    <t>578.54</t>
  </si>
  <si>
    <t>758</t>
  </si>
  <si>
    <t>572.35</t>
  </si>
  <si>
    <t>12/13/2011</t>
  </si>
  <si>
    <t>740</t>
  </si>
  <si>
    <t>819.16</t>
  </si>
  <si>
    <t>27-3N-24-2020-0061-0020</t>
  </si>
  <si>
    <t>273N24202000610020</t>
  </si>
  <si>
    <t>36117 VICTORY LN</t>
  </si>
  <si>
    <t>3300</t>
  </si>
  <si>
    <t>NAPLES CLASSIC MORTGAGE LLC</t>
  </si>
  <si>
    <t>187500.00</t>
  </si>
  <si>
    <t>11/25/2093</t>
  </si>
  <si>
    <t>HENRY ANNETTE A</t>
  </si>
  <si>
    <t>36117 VICTORY L</t>
  </si>
  <si>
    <t>W1/2 OF LOTS 61 62 &amp; 63</t>
  </si>
  <si>
    <t>1046.82</t>
  </si>
  <si>
    <t>485</t>
  </si>
  <si>
    <t>1433.50</t>
  </si>
  <si>
    <t>1585.17</t>
  </si>
  <si>
    <t>540</t>
  </si>
  <si>
    <t>358.13</t>
  </si>
  <si>
    <t>02/06/2014</t>
  </si>
  <si>
    <t>1737</t>
  </si>
  <si>
    <t>1845.99</t>
  </si>
  <si>
    <t>759</t>
  </si>
  <si>
    <t>1870.12</t>
  </si>
  <si>
    <t>742</t>
  </si>
  <si>
    <t>1891.28</t>
  </si>
  <si>
    <t>09/30/2010</t>
  </si>
  <si>
    <t>27-3N-24-2020-0062-0020</t>
  </si>
  <si>
    <t>273N24202000620020</t>
  </si>
  <si>
    <t>36001 ALDERWOOD ST</t>
  </si>
  <si>
    <t>2607</t>
  </si>
  <si>
    <t>88000</t>
  </si>
  <si>
    <t xml:space="preserve"> US BANK NA ND</t>
  </si>
  <si>
    <t>09/25/2008</t>
  </si>
  <si>
    <t>PORTER MATTHEW B &amp; CONNIE FAYE</t>
  </si>
  <si>
    <t>36001 ALDERWOOD STREE</t>
  </si>
  <si>
    <t>PT OF LOTS 62 63 &amp; 64</t>
  </si>
  <si>
    <t>2780.67</t>
  </si>
  <si>
    <t>2790.19</t>
  </si>
  <si>
    <t>03/03/2017</t>
  </si>
  <si>
    <t>486</t>
  </si>
  <si>
    <t>2501.61</t>
  </si>
  <si>
    <t>2427.10</t>
  </si>
  <si>
    <t>2449.81</t>
  </si>
  <si>
    <t>1739</t>
  </si>
  <si>
    <t>2648.42</t>
  </si>
  <si>
    <t>01/10/2014</t>
  </si>
  <si>
    <t>761</t>
  </si>
  <si>
    <t>2788.35</t>
  </si>
  <si>
    <t>03/20/2012</t>
  </si>
  <si>
    <t>28-3N-24-0000-0001-0100</t>
  </si>
  <si>
    <t>36124 UTOPIA TL</t>
  </si>
  <si>
    <t>CRANE THOMAS PAUL</t>
  </si>
  <si>
    <t>618351 MARTIN LUTHER KING AV</t>
  </si>
  <si>
    <t>PT OF NE1/4 OF SE1/4</t>
  </si>
  <si>
    <t>2525</t>
  </si>
  <si>
    <t>66.87</t>
  </si>
  <si>
    <t>07/02/2014</t>
  </si>
  <si>
    <t>28-3N-24-0000-0001-0200</t>
  </si>
  <si>
    <t>283N24000000010200</t>
  </si>
  <si>
    <t>36027 BETTS RD</t>
  </si>
  <si>
    <t>782</t>
  </si>
  <si>
    <t>331.69</t>
  </si>
  <si>
    <t>28-3N-24-2020-0043-0020</t>
  </si>
  <si>
    <t>283N24202000430020</t>
  </si>
  <si>
    <t>VIOLET LN</t>
  </si>
  <si>
    <t>2.19</t>
  </si>
  <si>
    <t>SKELTON MARCUS E &amp; KATIE MARIE</t>
  </si>
  <si>
    <t>37191 S OAK STREE</t>
  </si>
  <si>
    <t>E1/2 OF LOT 43</t>
  </si>
  <si>
    <t>488</t>
  </si>
  <si>
    <t>403.52</t>
  </si>
  <si>
    <t>392.32</t>
  </si>
  <si>
    <t>327.96</t>
  </si>
  <si>
    <t>28-3N-24-2020-0044-0010</t>
  </si>
  <si>
    <t>283N24202000440010</t>
  </si>
  <si>
    <t>36325 BETTS RD</t>
  </si>
  <si>
    <t>1.97</t>
  </si>
  <si>
    <t>7300</t>
  </si>
  <si>
    <t>PT OF LOT 44 PT OR 1749/1421</t>
  </si>
  <si>
    <t>737.50</t>
  </si>
  <si>
    <t>721.70</t>
  </si>
  <si>
    <t>613.68</t>
  </si>
  <si>
    <t>29-3N-24-0000-0003-0060</t>
  </si>
  <si>
    <t>26216 H A STOKES RD</t>
  </si>
  <si>
    <t>1049</t>
  </si>
  <si>
    <t>06/12/2027</t>
  </si>
  <si>
    <t>CARTER KENNETH WYATT</t>
  </si>
  <si>
    <t>26216 H A STOKES R</t>
  </si>
  <si>
    <t>PT OF SE1/4 OF NW1/4</t>
  </si>
  <si>
    <t>29-3N-24-2020-0012-0020</t>
  </si>
  <si>
    <t>26544 WILLIE HODGES RD</t>
  </si>
  <si>
    <t>0.84</t>
  </si>
  <si>
    <t>898</t>
  </si>
  <si>
    <t>BROWN IDA E STOKES EST</t>
  </si>
  <si>
    <t>11321 LANDING ESTATES D</t>
  </si>
  <si>
    <t>32257</t>
  </si>
  <si>
    <t>PT OF LOTS 12 &amp; 13 (EX 12-4)</t>
  </si>
  <si>
    <t>287.00</t>
  </si>
  <si>
    <t>29-3N-24-2020-0020-0000</t>
  </si>
  <si>
    <t>Not Available</t>
  </si>
  <si>
    <t>29-3N-24-2020-0032-0030</t>
  </si>
  <si>
    <t>293N24202000320030</t>
  </si>
  <si>
    <t>15561 CR 108</t>
  </si>
  <si>
    <t>5.16</t>
  </si>
  <si>
    <t>2049</t>
  </si>
  <si>
    <t>69500</t>
  </si>
  <si>
    <t>CITIZENS STATE BANK</t>
  </si>
  <si>
    <t>14350.00</t>
  </si>
  <si>
    <t>09/23/2008</t>
  </si>
  <si>
    <t>MCCULLOUGH DOUGLAS M</t>
  </si>
  <si>
    <t>PT OF LOT 32 (S-3)</t>
  </si>
  <si>
    <t>493</t>
  </si>
  <si>
    <t>1610.50</t>
  </si>
  <si>
    <t>01/27/2016</t>
  </si>
  <si>
    <t>29-3N-24-2020-0032-0040</t>
  </si>
  <si>
    <t>293N24202000320040</t>
  </si>
  <si>
    <t>1.49</t>
  </si>
  <si>
    <t>PT OF LOT 32 (S-4)</t>
  </si>
  <si>
    <t>326.06</t>
  </si>
  <si>
    <t>251.18</t>
  </si>
  <si>
    <t>30-3N-24-0000-0007-0020</t>
  </si>
  <si>
    <t>303N24000000070020</t>
  </si>
  <si>
    <t>WILLIE HODGES RD</t>
  </si>
  <si>
    <t xml:space="preserve"> KASEL TRUST</t>
  </si>
  <si>
    <t>04/28/1999</t>
  </si>
  <si>
    <t>SPANN GARY H &amp; ELIZABETH A</t>
  </si>
  <si>
    <t>3131 COSBY HIGHWA</t>
  </si>
  <si>
    <t>Cosby</t>
  </si>
  <si>
    <t>37722</t>
  </si>
  <si>
    <t>35.58</t>
  </si>
  <si>
    <t>39.82</t>
  </si>
  <si>
    <t>29.34</t>
  </si>
  <si>
    <t>492</t>
  </si>
  <si>
    <t>40.40</t>
  </si>
  <si>
    <t>548</t>
  </si>
  <si>
    <t>30.07</t>
  </si>
  <si>
    <t>1832</t>
  </si>
  <si>
    <t>30.62</t>
  </si>
  <si>
    <t>765</t>
  </si>
  <si>
    <t>32.91</t>
  </si>
  <si>
    <t>36-3N-24-0000-0001-0000</t>
  </si>
  <si>
    <t>363N24000000010000</t>
  </si>
  <si>
    <t>361293 M SIKES RD</t>
  </si>
  <si>
    <t>74.94</t>
  </si>
  <si>
    <t>1796</t>
  </si>
  <si>
    <t>JONES DOUGLAS Z</t>
  </si>
  <si>
    <t>361293 M SIKES ROA</t>
  </si>
  <si>
    <t>NE1/4 OF NE1/4</t>
  </si>
  <si>
    <t>2163.29</t>
  </si>
  <si>
    <t>2196.41</t>
  </si>
  <si>
    <t>03/19/2018</t>
  </si>
  <si>
    <t>1191.96</t>
  </si>
  <si>
    <t>1096.63</t>
  </si>
  <si>
    <t>02/27/2016</t>
  </si>
  <si>
    <t>549</t>
  </si>
  <si>
    <t>1040.91</t>
  </si>
  <si>
    <t>2091</t>
  </si>
  <si>
    <t>1089.87</t>
  </si>
  <si>
    <t>37-3N-24-0000-0003-0000</t>
  </si>
  <si>
    <t>373N24000000030000</t>
  </si>
  <si>
    <t>545760 US HWY 1</t>
  </si>
  <si>
    <t>5758</t>
  </si>
  <si>
    <t>90000</t>
  </si>
  <si>
    <t>TANNER HENRY</t>
  </si>
  <si>
    <t>545760 US HWY</t>
  </si>
  <si>
    <t>IN OR 1621/1092 &amp; OR 1941/441</t>
  </si>
  <si>
    <t>2803.57</t>
  </si>
  <si>
    <t>2213</t>
  </si>
  <si>
    <t>2057.39</t>
  </si>
  <si>
    <t>767</t>
  </si>
  <si>
    <t>2155.02</t>
  </si>
  <si>
    <t>750</t>
  </si>
  <si>
    <t>2239.38</t>
  </si>
  <si>
    <t>01/17/2012</t>
  </si>
  <si>
    <t>37-3N-24-0000-0005-0000</t>
  </si>
  <si>
    <t>373N24000000050000</t>
  </si>
  <si>
    <t>0.58</t>
  </si>
  <si>
    <t>HENDERSON CECIL R &amp; BETTIE H</t>
  </si>
  <si>
    <t>36363 PRATT SIDING RD</t>
  </si>
  <si>
    <t>IN OR 787/1058</t>
  </si>
  <si>
    <t>501</t>
  </si>
  <si>
    <t>219.59</t>
  </si>
  <si>
    <t>219.27</t>
  </si>
  <si>
    <t>220.27</t>
  </si>
  <si>
    <t>209.68</t>
  </si>
  <si>
    <t>208.03</t>
  </si>
  <si>
    <t>195.05</t>
  </si>
  <si>
    <t>769</t>
  </si>
  <si>
    <t>206.92</t>
  </si>
  <si>
    <t>751</t>
  </si>
  <si>
    <t>151.95</t>
  </si>
  <si>
    <t>02/13/2012</t>
  </si>
  <si>
    <t>37-3N-24-0000-0005-0010</t>
  </si>
  <si>
    <t>373N24000000050010</t>
  </si>
  <si>
    <t>545740 US HWY 1</t>
  </si>
  <si>
    <t>7065</t>
  </si>
  <si>
    <t>36363 PRATT SIDING ROA</t>
  </si>
  <si>
    <t>IN OR 1361/728</t>
  </si>
  <si>
    <t>502</t>
  </si>
  <si>
    <t>1272.04</t>
  </si>
  <si>
    <t>1317.99</t>
  </si>
  <si>
    <t>499</t>
  </si>
  <si>
    <t>1605.39</t>
  </si>
  <si>
    <t>1527.68</t>
  </si>
  <si>
    <t>1553.72</t>
  </si>
  <si>
    <t>2216</t>
  </si>
  <si>
    <t>1580.02</t>
  </si>
  <si>
    <t>770</t>
  </si>
  <si>
    <t>1663.74</t>
  </si>
  <si>
    <t>37-3N-24-0000-0010-0030</t>
  </si>
  <si>
    <t>373N24000000100030</t>
  </si>
  <si>
    <t>36001 RANMART WAY</t>
  </si>
  <si>
    <t>2.55</t>
  </si>
  <si>
    <t>1724</t>
  </si>
  <si>
    <t xml:space="preserve"> CONSECO FINANCE SERVICING CORP</t>
  </si>
  <si>
    <t>49100.00</t>
  </si>
  <si>
    <t>05/26/2000</t>
  </si>
  <si>
    <t>KELLY RANDY P &amp; ROBIN</t>
  </si>
  <si>
    <t>36001 RANMART WA</t>
  </si>
  <si>
    <t>PT WILLIAM SPARKMAN GRANT</t>
  </si>
  <si>
    <t>318.72</t>
  </si>
  <si>
    <t>315.78</t>
  </si>
  <si>
    <t>08/04/2016</t>
  </si>
  <si>
    <t>311.52</t>
  </si>
  <si>
    <t>436.58</t>
  </si>
  <si>
    <t>09/24/2014</t>
  </si>
  <si>
    <t>552</t>
  </si>
  <si>
    <t>490.78</t>
  </si>
  <si>
    <t>10/16/2013</t>
  </si>
  <si>
    <t>1397.66</t>
  </si>
  <si>
    <t>06/08/2010</t>
  </si>
  <si>
    <t>37-3N-24-0000-0013-0020</t>
  </si>
  <si>
    <t>373N24-00000013-0020</t>
  </si>
  <si>
    <t>545605 US HWY 1</t>
  </si>
  <si>
    <t>3.21</t>
  </si>
  <si>
    <t>BREWER DORIS L LIVING TRUST</t>
  </si>
  <si>
    <t>36176 J W ELLIOTT D</t>
  </si>
  <si>
    <t>37-3N-24-0000-0016-0030</t>
  </si>
  <si>
    <t>373N24000000160030</t>
  </si>
  <si>
    <t>545819 US HWY 1</t>
  </si>
  <si>
    <t>5409</t>
  </si>
  <si>
    <t>HOLLEY VIVIAN C (1/4 INT) &amp;</t>
  </si>
  <si>
    <t>1/4 INT) &amp;HOLLEY JOHN O EST (1/4 INT) &amp;S TRANSPORTATION INC ETA</t>
  </si>
  <si>
    <t>IN OR 239/243 &amp; OR 268/549 &amp;</t>
  </si>
  <si>
    <t>504</t>
  </si>
  <si>
    <t>838.48</t>
  </si>
  <si>
    <t>747.78</t>
  </si>
  <si>
    <t>1113.94</t>
  </si>
  <si>
    <t>1057.18</t>
  </si>
  <si>
    <t>554</t>
  </si>
  <si>
    <t>1060.02</t>
  </si>
  <si>
    <t>2219</t>
  </si>
  <si>
    <t>964.12</t>
  </si>
  <si>
    <t>773</t>
  </si>
  <si>
    <t>1036.41</t>
  </si>
  <si>
    <t>37-3N-24-2710-0002-0000</t>
  </si>
  <si>
    <t>373N24271000020000</t>
  </si>
  <si>
    <t>36341 HOLIDAY DR</t>
  </si>
  <si>
    <t>1.20</t>
  </si>
  <si>
    <t>SAPP MELODY L</t>
  </si>
  <si>
    <t>36341 HOLIDAY DRIV</t>
  </si>
  <si>
    <t>505</t>
  </si>
  <si>
    <t>313.83</t>
  </si>
  <si>
    <t>310.79</t>
  </si>
  <si>
    <t>306.56</t>
  </si>
  <si>
    <t>462.90</t>
  </si>
  <si>
    <t>495.32</t>
  </si>
  <si>
    <t>2220</t>
  </si>
  <si>
    <t>498.41</t>
  </si>
  <si>
    <t>774</t>
  </si>
  <si>
    <t>492.46</t>
  </si>
  <si>
    <t>02/04/2013</t>
  </si>
  <si>
    <t>478.78</t>
  </si>
  <si>
    <t>06/25/2010</t>
  </si>
  <si>
    <t>37-3N-24-2710-0003-0000</t>
  </si>
  <si>
    <t>373N24271000030000</t>
  </si>
  <si>
    <t>36315 HOLIDAY DR</t>
  </si>
  <si>
    <t>DWIGHT G GRIFFIS ETAL</t>
  </si>
  <si>
    <t>184000.00</t>
  </si>
  <si>
    <t>02/17/2009</t>
  </si>
  <si>
    <t>04/01/2009</t>
  </si>
  <si>
    <t>SHAW DONALD GRAHAM &amp; DAWN L</t>
  </si>
  <si>
    <t>36315 HOLIDAY D</t>
  </si>
  <si>
    <t>1814.71</t>
  </si>
  <si>
    <t>37-3N-24-2710-0014-0000</t>
  </si>
  <si>
    <t>373N24271000140000</t>
  </si>
  <si>
    <t>36031 HOLIDAY DR</t>
  </si>
  <si>
    <t>17500</t>
  </si>
  <si>
    <t>FIRST ALLIANCE BANK FSB</t>
  </si>
  <si>
    <t>12370.00</t>
  </si>
  <si>
    <t>11/11/2006</t>
  </si>
  <si>
    <t>BANNISTER ERNEST M &amp; DENISE M</t>
  </si>
  <si>
    <t>36031 HOLIDAY D</t>
  </si>
  <si>
    <t>LOT 14    R567598</t>
  </si>
  <si>
    <t>368.37</t>
  </si>
  <si>
    <t>307.47</t>
  </si>
  <si>
    <t>04/13/2016</t>
  </si>
  <si>
    <t>378.13</t>
  </si>
  <si>
    <t>01/02/2015</t>
  </si>
  <si>
    <t>556</t>
  </si>
  <si>
    <t>414.47</t>
  </si>
  <si>
    <t>11/21/2013</t>
  </si>
  <si>
    <t>443.33</t>
  </si>
  <si>
    <t>04/15/2011</t>
  </si>
  <si>
    <t>37-3N-24-2710-0018-0000</t>
  </si>
  <si>
    <t>36064 HOLIDAY DR</t>
  </si>
  <si>
    <t>3.62</t>
  </si>
  <si>
    <t>15500</t>
  </si>
  <si>
    <t>NEVES RAYMOND H EST</t>
  </si>
  <si>
    <t>36064 HOLIDAY DRIVE EAS</t>
  </si>
  <si>
    <t>LOTS 18 &amp; 19   R498297</t>
  </si>
  <si>
    <t>37-3N-24-2710-0027-0000</t>
  </si>
  <si>
    <t>373N24271000270000</t>
  </si>
  <si>
    <t>36366 HOLIDAY DR</t>
  </si>
  <si>
    <t>995</t>
  </si>
  <si>
    <t>GATLIN LINDA</t>
  </si>
  <si>
    <t>PO BOX 71</t>
  </si>
  <si>
    <t>406.54</t>
  </si>
  <si>
    <t>10/13/2016</t>
  </si>
  <si>
    <t>532.01</t>
  </si>
  <si>
    <t>557</t>
  </si>
  <si>
    <t>573.23</t>
  </si>
  <si>
    <t>2221</t>
  </si>
  <si>
    <t>579.82</t>
  </si>
  <si>
    <t>3754</t>
  </si>
  <si>
    <t>64.09</t>
  </si>
  <si>
    <t>06/28/2010</t>
  </si>
  <si>
    <t>37-3N-24-2720-0005-0020</t>
  </si>
  <si>
    <t>J W ELLIOTT DR</t>
  </si>
  <si>
    <t>GILDNER AMY &amp;</t>
  </si>
  <si>
    <t>45121 BROWN ST APT 10</t>
  </si>
  <si>
    <t>PT OF LOTS 5 &amp; 6 (EX S-3)</t>
  </si>
  <si>
    <t>508</t>
  </si>
  <si>
    <t>126.61</t>
  </si>
  <si>
    <t>38-3N-24-0000-0004-0000</t>
  </si>
  <si>
    <t>383N24000000040000</t>
  </si>
  <si>
    <t>DYAL RD</t>
  </si>
  <si>
    <t>EVERLY JOHNNY &amp; MAXINE</t>
  </si>
  <si>
    <t>36583 DYAL R</t>
  </si>
  <si>
    <t>L/E IN OR 699/1685</t>
  </si>
  <si>
    <t>509</t>
  </si>
  <si>
    <t>375.97</t>
  </si>
  <si>
    <t>379.45</t>
  </si>
  <si>
    <t>381.27</t>
  </si>
  <si>
    <t>362.05</t>
  </si>
  <si>
    <t>405.66</t>
  </si>
  <si>
    <t>05/15/2015</t>
  </si>
  <si>
    <t>2392</t>
  </si>
  <si>
    <t>457.76</t>
  </si>
  <si>
    <t>778</t>
  </si>
  <si>
    <t>499.47</t>
  </si>
  <si>
    <t>579.02</t>
  </si>
  <si>
    <t>03/26/2012</t>
  </si>
  <si>
    <t>38-3N-24-0000-0004-0010</t>
  </si>
  <si>
    <t>36583 DYAL RD</t>
  </si>
  <si>
    <t>1130</t>
  </si>
  <si>
    <t>EQUITY ONE INC</t>
  </si>
  <si>
    <t>97300.00</t>
  </si>
  <si>
    <t>09/01/2018</t>
  </si>
  <si>
    <t>OR 188 PG 206</t>
  </si>
  <si>
    <t>531.71</t>
  </si>
  <si>
    <t>05-4N-24-0000-0001-0010</t>
  </si>
  <si>
    <t>054N24000000010010</t>
  </si>
  <si>
    <t>PENNY HADDOCK RD</t>
  </si>
  <si>
    <t>SCOTT JEANNE H &amp;</t>
  </si>
  <si>
    <t>PT OF SE1/4 OF NW1/4 OF</t>
  </si>
  <si>
    <t>66.88</t>
  </si>
  <si>
    <t>05-4N-24-0000-0001-0040</t>
  </si>
  <si>
    <t>THORNTON ARTHUR PAUL</t>
  </si>
  <si>
    <t>BOX 119</t>
  </si>
  <si>
    <t>PT OF SW1/4 OF NE1/4 OF</t>
  </si>
  <si>
    <t>05-4N-24-0000-0006-0020</t>
  </si>
  <si>
    <t>054N24000000060020</t>
  </si>
  <si>
    <t>PT OF SE1/4 OF NW/14</t>
  </si>
  <si>
    <t>68.12</t>
  </si>
  <si>
    <t>05-4N-24-0000-0006-0030</t>
  </si>
  <si>
    <t>054N24000000060030</t>
  </si>
  <si>
    <t>29964 KARA LYNN LN</t>
  </si>
  <si>
    <t>190000</t>
  </si>
  <si>
    <t>471.59</t>
  </si>
  <si>
    <t>507</t>
  </si>
  <si>
    <t>475.01</t>
  </si>
  <si>
    <t>05-4N-24-1630-0009-0000</t>
  </si>
  <si>
    <t>054N24163000090000</t>
  </si>
  <si>
    <t>291395 PENNY HADDOCK RD</t>
  </si>
  <si>
    <t>27.13</t>
  </si>
  <si>
    <t>46200</t>
  </si>
  <si>
    <t>DAVIS MARK L EST</t>
  </si>
  <si>
    <t>291395 PENNY HADDOCK ROA</t>
  </si>
  <si>
    <t>LOT 9</t>
  </si>
  <si>
    <t>511</t>
  </si>
  <si>
    <t>453.85</t>
  </si>
  <si>
    <t>439.29</t>
  </si>
  <si>
    <t>397.55</t>
  </si>
  <si>
    <t>370.54</t>
  </si>
  <si>
    <t>369.29</t>
  </si>
  <si>
    <t>815</t>
  </si>
  <si>
    <t>400.72</t>
  </si>
  <si>
    <t>780</t>
  </si>
  <si>
    <t>416.02</t>
  </si>
  <si>
    <t>456.53</t>
  </si>
  <si>
    <t>05-4N-24-1630-0013-0000</t>
  </si>
  <si>
    <t>292041 PENNY HADDOCK RD</t>
  </si>
  <si>
    <t>20.03</t>
  </si>
  <si>
    <t>LOT 13 (IN SEC 32-5N-24)</t>
  </si>
  <si>
    <t>07-4N-24-0000-0006-0150</t>
  </si>
  <si>
    <t>29114 PIGEON CREEK RD</t>
  </si>
  <si>
    <t>390000</t>
  </si>
  <si>
    <t>WILLIAM B PURVIS ETUX</t>
  </si>
  <si>
    <t>39000.00</t>
  </si>
  <si>
    <t>PURVIS WILLIAM B &amp; SYBIL H</t>
  </si>
  <si>
    <t>36002 DUSDEE WILLOWS LAN</t>
  </si>
  <si>
    <t>PT GOVT LOT 4 OF SEC 7-4N-24E</t>
  </si>
  <si>
    <t>07-4N-24-0000-0009-0000</t>
  </si>
  <si>
    <t>074N24000000090000</t>
  </si>
  <si>
    <t>282085 LAKE HAMPTON RD</t>
  </si>
  <si>
    <t>2.46</t>
  </si>
  <si>
    <t>26100</t>
  </si>
  <si>
    <t>KEENE HAL L JR</t>
  </si>
  <si>
    <t>282131 LAKE HAMPTON ROA</t>
  </si>
  <si>
    <t>IN OR 1498/1525</t>
  </si>
  <si>
    <t>333.48</t>
  </si>
  <si>
    <t>295.29</t>
  </si>
  <si>
    <t>280.68</t>
  </si>
  <si>
    <t>563</t>
  </si>
  <si>
    <t>323.18</t>
  </si>
  <si>
    <t>877</t>
  </si>
  <si>
    <t>373.76</t>
  </si>
  <si>
    <t>763</t>
  </si>
  <si>
    <t>494.32</t>
  </si>
  <si>
    <t>06/09/2010</t>
  </si>
  <si>
    <t>09-4N-24-0000-0002-0030</t>
  </si>
  <si>
    <t>094N24000000020030</t>
  </si>
  <si>
    <t>39107 HIERS WAY</t>
  </si>
  <si>
    <t>4240</t>
  </si>
  <si>
    <t>86200</t>
  </si>
  <si>
    <t>47657.00</t>
  </si>
  <si>
    <t>05/20/2013</t>
  </si>
  <si>
    <t>JORDAN THEODORE C &amp;</t>
  </si>
  <si>
    <t>39107 HIERS WA</t>
  </si>
  <si>
    <t>NE1/4 OF NW1/4 OF SEC 9</t>
  </si>
  <si>
    <t>513</t>
  </si>
  <si>
    <t>2048.99</t>
  </si>
  <si>
    <t>2085.55</t>
  </si>
  <si>
    <t>512</t>
  </si>
  <si>
    <t>1382.49</t>
  </si>
  <si>
    <t>1246.42</t>
  </si>
  <si>
    <t>09-4N-24-0000-0002-0140</t>
  </si>
  <si>
    <t>094N24000000020140</t>
  </si>
  <si>
    <t>39313 KOLARS FERRY RD</t>
  </si>
  <si>
    <t>2.48</t>
  </si>
  <si>
    <t>1836</t>
  </si>
  <si>
    <t>17400</t>
  </si>
  <si>
    <t>EADY WILLIAM JR &amp; LISA</t>
  </si>
  <si>
    <t>39313 KOLARS FERRY ROA</t>
  </si>
  <si>
    <t>PT OF NE1/4 OF NE1/4</t>
  </si>
  <si>
    <t>554.71</t>
  </si>
  <si>
    <t>574.89</t>
  </si>
  <si>
    <t>07/25/2017</t>
  </si>
  <si>
    <t>577.73</t>
  </si>
  <si>
    <t>566</t>
  </si>
  <si>
    <t>1105</t>
  </si>
  <si>
    <t>807.94</t>
  </si>
  <si>
    <t>789.08</t>
  </si>
  <si>
    <t>751.21</t>
  </si>
  <si>
    <t>05/06/2011</t>
  </si>
  <si>
    <t>16-4N-24-0000-0007-0000</t>
  </si>
  <si>
    <t>164N24000000070000</t>
  </si>
  <si>
    <t>MURRHEE RD</t>
  </si>
  <si>
    <t>ROBERT L KELLEY</t>
  </si>
  <si>
    <t>KELLEY ROBERT L</t>
  </si>
  <si>
    <t>2347 WILMONT AV</t>
  </si>
  <si>
    <t>IN OR 1351/1203</t>
  </si>
  <si>
    <t>275.23</t>
  </si>
  <si>
    <t>04/20/2018</t>
  </si>
  <si>
    <t>567</t>
  </si>
  <si>
    <t>266.88</t>
  </si>
  <si>
    <t>1293</t>
  </si>
  <si>
    <t>306.49</t>
  </si>
  <si>
    <t>04/22/2014</t>
  </si>
  <si>
    <t>787</t>
  </si>
  <si>
    <t>404.12</t>
  </si>
  <si>
    <t>16-4N-24-0180-0004-0000</t>
  </si>
  <si>
    <t>273491 MURRHEE RD</t>
  </si>
  <si>
    <t>1080</t>
  </si>
  <si>
    <t>HOLSOMBACH HELEN A</t>
  </si>
  <si>
    <t>TRACT 4     SEC 16-4N-24</t>
  </si>
  <si>
    <t>16-4N-24-0180-0005-0000</t>
  </si>
  <si>
    <t>164N24018000050000</t>
  </si>
  <si>
    <t>273471 MURRHEE RD</t>
  </si>
  <si>
    <t>HANNAH CLYDE C JR</t>
  </si>
  <si>
    <t>55193 WHITE OAK PLAC</t>
  </si>
  <si>
    <t>517</t>
  </si>
  <si>
    <t>535.58</t>
  </si>
  <si>
    <t>572.53</t>
  </si>
  <si>
    <t>03/31/2018</t>
  </si>
  <si>
    <t>498.71</t>
  </si>
  <si>
    <t>523.91</t>
  </si>
  <si>
    <t>01/04/2016</t>
  </si>
  <si>
    <t>568</t>
  </si>
  <si>
    <t>583.16</t>
  </si>
  <si>
    <t>1294</t>
  </si>
  <si>
    <t>679.72</t>
  </si>
  <si>
    <t>712.01</t>
  </si>
  <si>
    <t>771</t>
  </si>
  <si>
    <t>836.52</t>
  </si>
  <si>
    <t>17-4N-24-0000-0001-0020</t>
  </si>
  <si>
    <t>174N24000000010020</t>
  </si>
  <si>
    <t>274000 MURRHEE RD</t>
  </si>
  <si>
    <t>CITICORP TRUST BANK FSB</t>
  </si>
  <si>
    <t>58812.00</t>
  </si>
  <si>
    <t>11/18/2012</t>
  </si>
  <si>
    <t>SALIS JAMES &amp; KAREN</t>
  </si>
  <si>
    <t>274000 MURRHEE R</t>
  </si>
  <si>
    <t>942.10</t>
  </si>
  <si>
    <t>17-4N-24-0000-0008-0010</t>
  </si>
  <si>
    <t>174N24000000080010</t>
  </si>
  <si>
    <t>3846 COLLECTION PL</t>
  </si>
  <si>
    <t>PARKER DOREEN EST</t>
  </si>
  <si>
    <t>3846 COLLECTION PLAC</t>
  </si>
  <si>
    <t>PT SE1/4 OF SE1/4 OF</t>
  </si>
  <si>
    <t>518</t>
  </si>
  <si>
    <t>422.12</t>
  </si>
  <si>
    <t>406.30</t>
  </si>
  <si>
    <t>377.43</t>
  </si>
  <si>
    <t>349.67</t>
  </si>
  <si>
    <t>05/06/2015</t>
  </si>
  <si>
    <t>3205</t>
  </si>
  <si>
    <t>109.89</t>
  </si>
  <si>
    <t>792</t>
  </si>
  <si>
    <t>118.66</t>
  </si>
  <si>
    <t>18-4N-24-0000-0004-0010</t>
  </si>
  <si>
    <t>184N24000000040010</t>
  </si>
  <si>
    <t>29946 PIGEON CREEK RD</t>
  </si>
  <si>
    <t>1875</t>
  </si>
  <si>
    <t>10/09/2009</t>
  </si>
  <si>
    <t>WILCOX RICHARD T &amp;</t>
  </si>
  <si>
    <t>29946 PIGEON CREEK R</t>
  </si>
  <si>
    <t>PARCELS 4-1 &amp; 4</t>
  </si>
  <si>
    <t>1036.20</t>
  </si>
  <si>
    <t>07/08/2016</t>
  </si>
  <si>
    <t>520</t>
  </si>
  <si>
    <t>965.50</t>
  </si>
  <si>
    <t>857.53</t>
  </si>
  <si>
    <t>570</t>
  </si>
  <si>
    <t>994.78</t>
  </si>
  <si>
    <t>1339</t>
  </si>
  <si>
    <t>1077.14</t>
  </si>
  <si>
    <t>931.00</t>
  </si>
  <si>
    <t>1147.30</t>
  </si>
  <si>
    <t>19-4N-24-0000-0004-0030</t>
  </si>
  <si>
    <t>194N24000000040030</t>
  </si>
  <si>
    <t>554041 US HWY 1</t>
  </si>
  <si>
    <t>25.00</t>
  </si>
  <si>
    <t>48400</t>
  </si>
  <si>
    <t>PT GOVT LOTS 11 &amp; 12 OF</t>
  </si>
  <si>
    <t>2026.10</t>
  </si>
  <si>
    <t>2468.94</t>
  </si>
  <si>
    <t>522</t>
  </si>
  <si>
    <t>2249.60</t>
  </si>
  <si>
    <t>03/20/2017</t>
  </si>
  <si>
    <t>1824.17</t>
  </si>
  <si>
    <t>1288.01</t>
  </si>
  <si>
    <t>1410</t>
  </si>
  <si>
    <t>1392.56</t>
  </si>
  <si>
    <t>1492.22</t>
  </si>
  <si>
    <t>779</t>
  </si>
  <si>
    <t>1704.39</t>
  </si>
  <si>
    <t>19-4N-24-1212-0015-0000</t>
  </si>
  <si>
    <t>553936 US HWY 1</t>
  </si>
  <si>
    <t>STUTSMAN KELLI ELAINE</t>
  </si>
  <si>
    <t>553936 US HWY</t>
  </si>
  <si>
    <t>21-4N-24-0000-0005-0010</t>
  </si>
  <si>
    <t>214N24000000050010</t>
  </si>
  <si>
    <t>MCLENDON LUTHER SPAULDING III&amp;</t>
  </si>
  <si>
    <t>PARCELS 5-1 &amp; 6-2 IN 21-4N-24</t>
  </si>
  <si>
    <t>809.96</t>
  </si>
  <si>
    <t>787.54</t>
  </si>
  <si>
    <t>784.92</t>
  </si>
  <si>
    <t>576</t>
  </si>
  <si>
    <t>836.31</t>
  </si>
  <si>
    <t>02/03/2014</t>
  </si>
  <si>
    <t>986.63</t>
  </si>
  <si>
    <t>1099.63</t>
  </si>
  <si>
    <t>785</t>
  </si>
  <si>
    <t>1315.96</t>
  </si>
  <si>
    <t>21-4N-24-0000-0005-0020</t>
  </si>
  <si>
    <t>0.41</t>
  </si>
  <si>
    <t>KING SHAUN ALAN &amp; AMBER NICOLE</t>
  </si>
  <si>
    <t>680 SNOWDEN R</t>
  </si>
  <si>
    <t>PT GOVT LOT 5</t>
  </si>
  <si>
    <t>24-4N-24-0000-0006-0010</t>
  </si>
  <si>
    <t>244N24000000060010</t>
  </si>
  <si>
    <t>375037 KINGS FERRY RD</t>
  </si>
  <si>
    <t>BRADDOCK CLAUDINE P EST</t>
  </si>
  <si>
    <t>45134 BOOTH S</t>
  </si>
  <si>
    <t>PT GOVT LOT 3 IN OR 391/300</t>
  </si>
  <si>
    <t>1224.82</t>
  </si>
  <si>
    <t>1067.68</t>
  </si>
  <si>
    <t>577</t>
  </si>
  <si>
    <t>1631</t>
  </si>
  <si>
    <t>1056.73</t>
  </si>
  <si>
    <t>805</t>
  </si>
  <si>
    <t>1175.22</t>
  </si>
  <si>
    <t>786</t>
  </si>
  <si>
    <t>1401.13</t>
  </si>
  <si>
    <t>25-4N-24-2020-0003-0010</t>
  </si>
  <si>
    <t>254N24202000030010</t>
  </si>
  <si>
    <t>38084 DAHOMA RD</t>
  </si>
  <si>
    <t>6.64</t>
  </si>
  <si>
    <t>25400</t>
  </si>
  <si>
    <t>FOLEY PETER BRUCE EST</t>
  </si>
  <si>
    <t>38084 DAHOMA R</t>
  </si>
  <si>
    <t>PT OF LOT 3  EX S-4</t>
  </si>
  <si>
    <t>525</t>
  </si>
  <si>
    <t>959.87</t>
  </si>
  <si>
    <t>938.50</t>
  </si>
  <si>
    <t>824.10</t>
  </si>
  <si>
    <t>455.11</t>
  </si>
  <si>
    <t>578</t>
  </si>
  <si>
    <t>453.57</t>
  </si>
  <si>
    <t>1667</t>
  </si>
  <si>
    <t>519.56</t>
  </si>
  <si>
    <t>09/12/2014</t>
  </si>
  <si>
    <t>568.07</t>
  </si>
  <si>
    <t>06/18/2013</t>
  </si>
  <si>
    <t>28-4N-24-2020-0004-0030</t>
  </si>
  <si>
    <t>284N24202000040030</t>
  </si>
  <si>
    <t>PERMIS PASCAL &amp; MICHELINE</t>
  </si>
  <si>
    <t>15248 SW MYRTLE D</t>
  </si>
  <si>
    <t>Indian Town</t>
  </si>
  <si>
    <t>34956</t>
  </si>
  <si>
    <t>LOTS 4 5 &amp; 6 LYING WEST OF &amp;</t>
  </si>
  <si>
    <t>644.59</t>
  </si>
  <si>
    <t>625.87</t>
  </si>
  <si>
    <t>531</t>
  </si>
  <si>
    <t>551.84</t>
  </si>
  <si>
    <t>623.79</t>
  </si>
  <si>
    <t>581</t>
  </si>
  <si>
    <t>605.93</t>
  </si>
  <si>
    <t>02/11/2015</t>
  </si>
  <si>
    <t>1765</t>
  </si>
  <si>
    <t>711.46</t>
  </si>
  <si>
    <t>810</t>
  </si>
  <si>
    <t>792.23</t>
  </si>
  <si>
    <t>789</t>
  </si>
  <si>
    <t>947.08</t>
  </si>
  <si>
    <t>30-4N-24-0000-0004-0000</t>
  </si>
  <si>
    <t>304N24000000040000</t>
  </si>
  <si>
    <t>553584 US HWY 1</t>
  </si>
  <si>
    <t>6976</t>
  </si>
  <si>
    <t>300000</t>
  </si>
  <si>
    <t>KATHY CROWDER</t>
  </si>
  <si>
    <t>MUHEISEN NAJHY</t>
  </si>
  <si>
    <t>4046 MISSION HILL</t>
  </si>
  <si>
    <t>IN OR 2010/1108</t>
  </si>
  <si>
    <t>3673.71</t>
  </si>
  <si>
    <t>2046.86</t>
  </si>
  <si>
    <t>534</t>
  </si>
  <si>
    <t>1890.44</t>
  </si>
  <si>
    <t>09/30/2015</t>
  </si>
  <si>
    <t>546</t>
  </si>
  <si>
    <t>1780.98</t>
  </si>
  <si>
    <t>1532.73</t>
  </si>
  <si>
    <t>1835</t>
  </si>
  <si>
    <t>1537.32</t>
  </si>
  <si>
    <t>816</t>
  </si>
  <si>
    <t>1755.81</t>
  </si>
  <si>
    <t>12/14/2011</t>
  </si>
  <si>
    <t>30-4N-24-0000-0008-0000</t>
  </si>
  <si>
    <t>304N24000000080000</t>
  </si>
  <si>
    <t>HOLOKA NAOMI EST</t>
  </si>
  <si>
    <t>1341 WOODRUFF AV</t>
  </si>
  <si>
    <t>PT GOVT LOT 3 OF SEC 30-4N-24E</t>
  </si>
  <si>
    <t>686.14</t>
  </si>
  <si>
    <t>03/27/2018</t>
  </si>
  <si>
    <t>535</t>
  </si>
  <si>
    <t>637.74</t>
  </si>
  <si>
    <t>547</t>
  </si>
  <si>
    <t>580.36</t>
  </si>
  <si>
    <t>584</t>
  </si>
  <si>
    <t>492.90</t>
  </si>
  <si>
    <t>576.47</t>
  </si>
  <si>
    <t>03/07/2014</t>
  </si>
  <si>
    <t>817</t>
  </si>
  <si>
    <t>641.40</t>
  </si>
  <si>
    <t>766.10</t>
  </si>
  <si>
    <t>03/12/2012</t>
  </si>
  <si>
    <t>30-4N-24-0000-0009-0000</t>
  </si>
  <si>
    <t>304N24000000090000</t>
  </si>
  <si>
    <t>553777 US HWY 1</t>
  </si>
  <si>
    <t>HOTELS AND MOTELS</t>
  </si>
  <si>
    <t>2.72</t>
  </si>
  <si>
    <t>5512</t>
  </si>
  <si>
    <t>1965</t>
  </si>
  <si>
    <t>PT GOVT LOTS 3,6 SEC 30-4N-24E</t>
  </si>
  <si>
    <t>1610.04</t>
  </si>
  <si>
    <t>521</t>
  </si>
  <si>
    <t>1858.22</t>
  </si>
  <si>
    <t>536</t>
  </si>
  <si>
    <t>1802.71</t>
  </si>
  <si>
    <t>1658.35</t>
  </si>
  <si>
    <t>585</t>
  </si>
  <si>
    <t>1965.94</t>
  </si>
  <si>
    <t>1837</t>
  </si>
  <si>
    <t>1961.81</t>
  </si>
  <si>
    <t>818</t>
  </si>
  <si>
    <t>2060.78</t>
  </si>
  <si>
    <t>30-4N-24-0000-0013-0010</t>
  </si>
  <si>
    <t>28104 JACKSON TRL</t>
  </si>
  <si>
    <t>75170.00</t>
  </si>
  <si>
    <t>HOGAN LARRY</t>
  </si>
  <si>
    <t>30-4N-24-2740-0001-0000</t>
  </si>
  <si>
    <t>304N24274000010000</t>
  </si>
  <si>
    <t>58000</t>
  </si>
  <si>
    <t>TIFTON BANKING CO</t>
  </si>
  <si>
    <t>39950.00</t>
  </si>
  <si>
    <t>09/10/2008</t>
  </si>
  <si>
    <t>914.76</t>
  </si>
  <si>
    <t>919.29</t>
  </si>
  <si>
    <t>871.31</t>
  </si>
  <si>
    <t>587</t>
  </si>
  <si>
    <t>881.92</t>
  </si>
  <si>
    <t>820</t>
  </si>
  <si>
    <t>1007.96</t>
  </si>
  <si>
    <t>794</t>
  </si>
  <si>
    <t>860.35</t>
  </si>
  <si>
    <t>30-4N-24-2740-0003-0000</t>
  </si>
  <si>
    <t>553519 US HWY 1</t>
  </si>
  <si>
    <t>3.08</t>
  </si>
  <si>
    <t>SNIPES VELAR O EST</t>
  </si>
  <si>
    <t>10222 WESTMAR R</t>
  </si>
  <si>
    <t>LOTS 3 &amp; 4</t>
  </si>
  <si>
    <t>30-4N-24-2740-0020-0010</t>
  </si>
  <si>
    <t>304N24274000200010</t>
  </si>
  <si>
    <t>553408 US HY 1</t>
  </si>
  <si>
    <t>14.22</t>
  </si>
  <si>
    <t>100100</t>
  </si>
  <si>
    <t>27359 GEIGER ROA</t>
  </si>
  <si>
    <t>PT OF LOT 20 &amp;</t>
  </si>
  <si>
    <t>798.80</t>
  </si>
  <si>
    <t>753.93</t>
  </si>
  <si>
    <t>689.33</t>
  </si>
  <si>
    <t>588</t>
  </si>
  <si>
    <t>613.54</t>
  </si>
  <si>
    <t>12/02/2013</t>
  </si>
  <si>
    <t>1840</t>
  </si>
  <si>
    <t>720.59</t>
  </si>
  <si>
    <t>822</t>
  </si>
  <si>
    <t>802.41</t>
  </si>
  <si>
    <t>31-4N-24-0000-0002-0000</t>
  </si>
  <si>
    <t>314N24000000020000</t>
  </si>
  <si>
    <t>553079 US HWY 1</t>
  </si>
  <si>
    <t>1.94</t>
  </si>
  <si>
    <t>PRIMESOUTH BANK</t>
  </si>
  <si>
    <t>246712.00</t>
  </si>
  <si>
    <t>Construction</t>
  </si>
  <si>
    <t>12/15/2008</t>
  </si>
  <si>
    <t>HADDOCK RODNEY D</t>
  </si>
  <si>
    <t>533</t>
  </si>
  <si>
    <t>2407.91</t>
  </si>
  <si>
    <t>2956.94</t>
  </si>
  <si>
    <t>2916.64</t>
  </si>
  <si>
    <t>823</t>
  </si>
  <si>
    <t>2887.56</t>
  </si>
  <si>
    <t>31-4N-24-2020-0062-0020</t>
  </si>
  <si>
    <t>314N24202000620020</t>
  </si>
  <si>
    <t>112500</t>
  </si>
  <si>
    <t>28779.00</t>
  </si>
  <si>
    <t>09/10/2001</t>
  </si>
  <si>
    <t>DEMAGGIO PETE</t>
  </si>
  <si>
    <t>3760 HIGGINBOTHAM ROA</t>
  </si>
  <si>
    <t>LOT 62 W OF US 1 (S-2)</t>
  </si>
  <si>
    <t>84.44</t>
  </si>
  <si>
    <t>68.76</t>
  </si>
  <si>
    <t>63.02</t>
  </si>
  <si>
    <t>60.84</t>
  </si>
  <si>
    <t>67.20</t>
  </si>
  <si>
    <t>1873</t>
  </si>
  <si>
    <t>76.29</t>
  </si>
  <si>
    <t>825</t>
  </si>
  <si>
    <t>80.67</t>
  </si>
  <si>
    <t>32-4N-24-0000-0003-0020</t>
  </si>
  <si>
    <t>324N24000000030020</t>
  </si>
  <si>
    <t>ALDERMAN KENNETH W</t>
  </si>
  <si>
    <t>27184 MURRHEE ROA</t>
  </si>
  <si>
    <t>32-4N-24-0000-0005-0010</t>
  </si>
  <si>
    <t>324N24000000050010</t>
  </si>
  <si>
    <t>7.55</t>
  </si>
  <si>
    <t>IN OR 1988/773</t>
  </si>
  <si>
    <t>1907.16</t>
  </si>
  <si>
    <t>1964</t>
  </si>
  <si>
    <t>1744.13</t>
  </si>
  <si>
    <t>826</t>
  </si>
  <si>
    <t>2056.98</t>
  </si>
  <si>
    <t>2018.38</t>
  </si>
  <si>
    <t>32-4N-24-0000-0017-0040</t>
  </si>
  <si>
    <t>324N24000000170040</t>
  </si>
  <si>
    <t>37116 POWER DR</t>
  </si>
  <si>
    <t xml:space="preserve"> SYNOVUS MORTGAGE CORP</t>
  </si>
  <si>
    <t>03/22/2002</t>
  </si>
  <si>
    <t>LOWERY LEE D &amp; DOROTHY O</t>
  </si>
  <si>
    <t>37116 POWER DRIV</t>
  </si>
  <si>
    <t>674.04</t>
  </si>
  <si>
    <t>653.85</t>
  </si>
  <si>
    <t>02/09/2018</t>
  </si>
  <si>
    <t>558.21</t>
  </si>
  <si>
    <t>02/10/2017</t>
  </si>
  <si>
    <t>503.01</t>
  </si>
  <si>
    <t>593</t>
  </si>
  <si>
    <t>547.02</t>
  </si>
  <si>
    <t>32-4N-24-2020-0008-0020</t>
  </si>
  <si>
    <t>324N24-20200008-0020</t>
  </si>
  <si>
    <t>552959 US HWY 1</t>
  </si>
  <si>
    <t>3357</t>
  </si>
  <si>
    <t>DANNY A FREISE</t>
  </si>
  <si>
    <t>25000.00</t>
  </si>
  <si>
    <t>12/01/2026</t>
  </si>
  <si>
    <t>MOWERY JOSEPH L</t>
  </si>
  <si>
    <t>2550 PLOVER R</t>
  </si>
  <si>
    <t>Wisconsin Rapids</t>
  </si>
  <si>
    <t>54494</t>
  </si>
  <si>
    <t>N PT OF LOT 8 W OF HWY</t>
  </si>
  <si>
    <t>928.30</t>
  </si>
  <si>
    <t>34-4N-24-2020-0005-0000</t>
  </si>
  <si>
    <t>344N24202000050000</t>
  </si>
  <si>
    <t>SR 115</t>
  </si>
  <si>
    <t>72584.00</t>
  </si>
  <si>
    <t>06/09/2000</t>
  </si>
  <si>
    <t>LSF9 MASTER PARTICIPATION TRST</t>
  </si>
  <si>
    <t>9 MASTER PARTICIPATION TRSTUS BANK TRUST N A TRUSTEE3701 REGENT BLV</t>
  </si>
  <si>
    <t>Irving</t>
  </si>
  <si>
    <t>75063</t>
  </si>
  <si>
    <t>PT OF TRACT 5</t>
  </si>
  <si>
    <t>52.87</t>
  </si>
  <si>
    <t>48.37</t>
  </si>
  <si>
    <t>06/20/2013</t>
  </si>
  <si>
    <t>2030</t>
  </si>
  <si>
    <t>45.50</t>
  </si>
  <si>
    <t>830</t>
  </si>
  <si>
    <t>48.20</t>
  </si>
  <si>
    <t>34-4N-24-2020-0008-0020</t>
  </si>
  <si>
    <t>344N24202000080020</t>
  </si>
  <si>
    <t>37168 ABERCORN RD</t>
  </si>
  <si>
    <t>5.58</t>
  </si>
  <si>
    <t>SAMUEL EDWARD JOHNSON REVOCABLE TRUST</t>
  </si>
  <si>
    <t>36000.00</t>
  </si>
  <si>
    <t>12/21/2020</t>
  </si>
  <si>
    <t>JOHNSON VERNON</t>
  </si>
  <si>
    <t>3658 BLUEBERRY L</t>
  </si>
  <si>
    <t>PT OF LOTS 8 &amp; 9 (S-2)</t>
  </si>
  <si>
    <t>1571.11</t>
  </si>
  <si>
    <t>1546.19</t>
  </si>
  <si>
    <t>10/29/2014</t>
  </si>
  <si>
    <t>598</t>
  </si>
  <si>
    <t>1545.30</t>
  </si>
  <si>
    <t>07/05/2013</t>
  </si>
  <si>
    <t>34-4N-24-2020-0011-0010</t>
  </si>
  <si>
    <t>344N24202000110010</t>
  </si>
  <si>
    <t>LIBBY RD</t>
  </si>
  <si>
    <t>11.66</t>
  </si>
  <si>
    <t>REED FLAVIUS THOMAS</t>
  </si>
  <si>
    <t>37028 TRACTOR L</t>
  </si>
  <si>
    <t>E1/2 LOT 11,PT E1/2 OF LOT 12</t>
  </si>
  <si>
    <t>97.29</t>
  </si>
  <si>
    <t>89.06</t>
  </si>
  <si>
    <t>544</t>
  </si>
  <si>
    <t>87.92</t>
  </si>
  <si>
    <t>72.20</t>
  </si>
  <si>
    <t>07/17/2014</t>
  </si>
  <si>
    <t>599</t>
  </si>
  <si>
    <t>58.38</t>
  </si>
  <si>
    <t>833</t>
  </si>
  <si>
    <t>39.37</t>
  </si>
  <si>
    <t>28-5N-24-0000-0001-0020</t>
  </si>
  <si>
    <t>285N24000000010020</t>
  </si>
  <si>
    <t>392273 PROSPECT LANDING RD</t>
  </si>
  <si>
    <t>2.13</t>
  </si>
  <si>
    <t>115000</t>
  </si>
  <si>
    <t>POTURICH NICHOLAS J &amp; TONI A</t>
  </si>
  <si>
    <t>210 CAHOON ROA</t>
  </si>
  <si>
    <t>IN OR 1520/472</t>
  </si>
  <si>
    <t>1014.40</t>
  </si>
  <si>
    <t>532</t>
  </si>
  <si>
    <t>1040.05</t>
  </si>
  <si>
    <t>802.48</t>
  </si>
  <si>
    <t>762.23</t>
  </si>
  <si>
    <t>770.94</t>
  </si>
  <si>
    <t>806.98</t>
  </si>
  <si>
    <t>837</t>
  </si>
  <si>
    <t>837.57</t>
  </si>
  <si>
    <t>829.68</t>
  </si>
  <si>
    <t>07/20/2011</t>
  </si>
  <si>
    <t>03-1N-25-0000-0001-0060</t>
  </si>
  <si>
    <t>031N25000000010060</t>
  </si>
  <si>
    <t>54163 CRAVEY RD</t>
  </si>
  <si>
    <t>1852</t>
  </si>
  <si>
    <t>DAVIS BILLY WAYNE</t>
  </si>
  <si>
    <t>12605 GILLESPIE R</t>
  </si>
  <si>
    <t>PT SE1/4 OF SW1/4 EX 1-43</t>
  </si>
  <si>
    <t>543</t>
  </si>
  <si>
    <t>580.38</t>
  </si>
  <si>
    <t>01/08/2018</t>
  </si>
  <si>
    <t>569</t>
  </si>
  <si>
    <t>389.09</t>
  </si>
  <si>
    <t>12/22/2015</t>
  </si>
  <si>
    <t>448.64</t>
  </si>
  <si>
    <t>661</t>
  </si>
  <si>
    <t>494.87</t>
  </si>
  <si>
    <t>04/04/2014</t>
  </si>
  <si>
    <t>838</t>
  </si>
  <si>
    <t>504.41</t>
  </si>
  <si>
    <t>03/04/2013</t>
  </si>
  <si>
    <t>519.66</t>
  </si>
  <si>
    <t>03-1N-25-0000-0001-0270</t>
  </si>
  <si>
    <t>031N25000000010270</t>
  </si>
  <si>
    <t>CHURCH RD</t>
  </si>
  <si>
    <t>BAKER SUSAN B</t>
  </si>
  <si>
    <t>PO BOX 34</t>
  </si>
  <si>
    <t>IN OR 854/55</t>
  </si>
  <si>
    <t>233.58</t>
  </si>
  <si>
    <t>235.68</t>
  </si>
  <si>
    <t>226.80</t>
  </si>
  <si>
    <t>05/24/2011</t>
  </si>
  <si>
    <t>03-1N-25-0000-0003-0060</t>
  </si>
  <si>
    <t>031N25000000030060</t>
  </si>
  <si>
    <t>54123 CHURCH RD</t>
  </si>
  <si>
    <t xml:space="preserve"> BLUE WORLD POOLS INC</t>
  </si>
  <si>
    <t>14404.00</t>
  </si>
  <si>
    <t>09/24/2007</t>
  </si>
  <si>
    <t>HALL EUGENE &amp;</t>
  </si>
  <si>
    <t>54123 CHURCH R</t>
  </si>
  <si>
    <t>IN OR 1077/853</t>
  </si>
  <si>
    <t>510.70</t>
  </si>
  <si>
    <t>10/23/2017</t>
  </si>
  <si>
    <t>561.07</t>
  </si>
  <si>
    <t>495.36</t>
  </si>
  <si>
    <t>05/25/2016</t>
  </si>
  <si>
    <t>521.23</t>
  </si>
  <si>
    <t>635.05</t>
  </si>
  <si>
    <t>844</t>
  </si>
  <si>
    <t>221.72</t>
  </si>
  <si>
    <t>05/25/2012</t>
  </si>
  <si>
    <t>205.44</t>
  </si>
  <si>
    <t>03-1N-25-0620-0001-0000</t>
  </si>
  <si>
    <t>031N25-06200001-0000</t>
  </si>
  <si>
    <t>54143 HONEYSUCKLE LN</t>
  </si>
  <si>
    <t>660</t>
  </si>
  <si>
    <t>MEEKS GARY L</t>
  </si>
  <si>
    <t>54143 HONEYSUCKLE LAN</t>
  </si>
  <si>
    <t>LOT 1    R497590</t>
  </si>
  <si>
    <t>340.77</t>
  </si>
  <si>
    <t>329.51</t>
  </si>
  <si>
    <t>3741</t>
  </si>
  <si>
    <t>17.54</t>
  </si>
  <si>
    <t>03-1N-25-0620-0006-0000</t>
  </si>
  <si>
    <t>031N25062000060000</t>
  </si>
  <si>
    <t>54051 HONEYSUCKLE LN</t>
  </si>
  <si>
    <t>2160</t>
  </si>
  <si>
    <t xml:space="preserve"> CIT GROUP CONSUMER FINANCE INC</t>
  </si>
  <si>
    <t>89250.00</t>
  </si>
  <si>
    <t>08/14/2003</t>
  </si>
  <si>
    <t>54051 HONEYSUCKLE LAN</t>
  </si>
  <si>
    <t>LOT 6     2001 FLEETWOOD DW</t>
  </si>
  <si>
    <t>472.37</t>
  </si>
  <si>
    <t>514.98</t>
  </si>
  <si>
    <t>821.73</t>
  </si>
  <si>
    <t>08/21/2012</t>
  </si>
  <si>
    <t>03-1N-25-1421-0004-0000</t>
  </si>
  <si>
    <t>031N25142100040000</t>
  </si>
  <si>
    <t>54267 CHURCH RD</t>
  </si>
  <si>
    <t>1.16</t>
  </si>
  <si>
    <t>1776</t>
  </si>
  <si>
    <t>JOHNSON TONY M &amp; TONI D</t>
  </si>
  <si>
    <t>54267 CHURCH R</t>
  </si>
  <si>
    <t>LOT 4    2001 FLTWD DW</t>
  </si>
  <si>
    <t>445.56</t>
  </si>
  <si>
    <t>480.17</t>
  </si>
  <si>
    <t>03/29/2017</t>
  </si>
  <si>
    <t>528.38</t>
  </si>
  <si>
    <t>575</t>
  </si>
  <si>
    <t>524.33</t>
  </si>
  <si>
    <t>02/19/2015</t>
  </si>
  <si>
    <t>556.96</t>
  </si>
  <si>
    <t>674.26</t>
  </si>
  <si>
    <t>03-1N-25-2750-0003-0000</t>
  </si>
  <si>
    <t>031N25275000030000</t>
  </si>
  <si>
    <t>54310 CHURCH RD</t>
  </si>
  <si>
    <t>1661</t>
  </si>
  <si>
    <t>42500</t>
  </si>
  <si>
    <t>BROWN ROBYN L</t>
  </si>
  <si>
    <t>85362 JOANN ROA</t>
  </si>
  <si>
    <t>TRACT 3   (EX S-2)</t>
  </si>
  <si>
    <t>541.99</t>
  </si>
  <si>
    <t>525.51</t>
  </si>
  <si>
    <t>437.30</t>
  </si>
  <si>
    <t>04/17/2016</t>
  </si>
  <si>
    <t>03-1N-25-2752-0017-0000</t>
  </si>
  <si>
    <t>031N25275200170000</t>
  </si>
  <si>
    <t>54460 CHURCH RD</t>
  </si>
  <si>
    <t>2416</t>
  </si>
  <si>
    <t>COUNTRYWIDE BANK FSB</t>
  </si>
  <si>
    <t>03/27/2008</t>
  </si>
  <si>
    <t>04/01/2023</t>
  </si>
  <si>
    <t>HELBERT SEAN</t>
  </si>
  <si>
    <t>77089 PARKER R</t>
  </si>
  <si>
    <t>LOT 17   2003 MERT DW</t>
  </si>
  <si>
    <t>1087.19</t>
  </si>
  <si>
    <t>03-1N-25-2752-0027-0000</t>
  </si>
  <si>
    <t>54572 CHURCH RD</t>
  </si>
  <si>
    <t>3670</t>
  </si>
  <si>
    <t>MYERS CHARLES R &amp;</t>
  </si>
  <si>
    <t>54572 CHURCH ROA</t>
  </si>
  <si>
    <t>1381.61</t>
  </si>
  <si>
    <t>03-1N-25-2752-0042-0000</t>
  </si>
  <si>
    <t>031N25275200420000</t>
  </si>
  <si>
    <t>54439 CHURCH RD</t>
  </si>
  <si>
    <t>1503</t>
  </si>
  <si>
    <t>GORDEN MARY &amp; BARRY</t>
  </si>
  <si>
    <t>1101 W 1ST S</t>
  </si>
  <si>
    <t>Midway</t>
  </si>
  <si>
    <t>31320</t>
  </si>
  <si>
    <t>LOT 42      R106966</t>
  </si>
  <si>
    <t>559</t>
  </si>
  <si>
    <t>574.98</t>
  </si>
  <si>
    <t>10/11/2017</t>
  </si>
  <si>
    <t>567.08</t>
  </si>
  <si>
    <t>07/14/2016</t>
  </si>
  <si>
    <t>507.67</t>
  </si>
  <si>
    <t>09/06/2015</t>
  </si>
  <si>
    <t>04-1N-25-0000-0006-0000</t>
  </si>
  <si>
    <t>44097 CUSHMAN RD</t>
  </si>
  <si>
    <t>1654</t>
  </si>
  <si>
    <t>OWENS MICHAEL S</t>
  </si>
  <si>
    <t>44062 ADA ELIZABETH L</t>
  </si>
  <si>
    <t>IN OR 2078/111</t>
  </si>
  <si>
    <t>04-1N-25-2755-0020-0000</t>
  </si>
  <si>
    <t>041N25275500200000</t>
  </si>
  <si>
    <t>44303 CHARWOOD DR</t>
  </si>
  <si>
    <t>2180</t>
  </si>
  <si>
    <t>RICHARD H WYSE TESTAMENTARY TRUST</t>
  </si>
  <si>
    <t>MILLER BRIAN K &amp;</t>
  </si>
  <si>
    <t>BOX 114</t>
  </si>
  <si>
    <t>TRACT 20</t>
  </si>
  <si>
    <t>726.71</t>
  </si>
  <si>
    <t>849.78</t>
  </si>
  <si>
    <t>771.05</t>
  </si>
  <si>
    <t>05/16/2017</t>
  </si>
  <si>
    <t>580</t>
  </si>
  <si>
    <t>1058.64</t>
  </si>
  <si>
    <t>355.97</t>
  </si>
  <si>
    <t>715</t>
  </si>
  <si>
    <t>382.32</t>
  </si>
  <si>
    <t>855</t>
  </si>
  <si>
    <t>383.34</t>
  </si>
  <si>
    <t>439.64</t>
  </si>
  <si>
    <t>04-1N-25-2755-0035-0000</t>
  </si>
  <si>
    <t>041N25-27550035-0000</t>
  </si>
  <si>
    <t>44002 CHARWOOD DR</t>
  </si>
  <si>
    <t>PETERS CLINTON</t>
  </si>
  <si>
    <t>482 15TH AVE SOUT</t>
  </si>
  <si>
    <t>TRACT 35</t>
  </si>
  <si>
    <t>294.33</t>
  </si>
  <si>
    <t>284.62</t>
  </si>
  <si>
    <t>04-1N-25-2760-0008-0030</t>
  </si>
  <si>
    <t>041N25276000080030</t>
  </si>
  <si>
    <t>44136 MCKENDREE DR</t>
  </si>
  <si>
    <t>4.26</t>
  </si>
  <si>
    <t>1520</t>
  </si>
  <si>
    <t>MCKENDREE JOSEPH WADE &amp;</t>
  </si>
  <si>
    <t>35199 QUAIL R</t>
  </si>
  <si>
    <t>PT LOTS 8 &amp; 9 IN OR 1932/64</t>
  </si>
  <si>
    <t>1469.88</t>
  </si>
  <si>
    <t>545</t>
  </si>
  <si>
    <t>1502.96</t>
  </si>
  <si>
    <t>11/13/2017</t>
  </si>
  <si>
    <t>718</t>
  </si>
  <si>
    <t>595.08</t>
  </si>
  <si>
    <t>11/16/2012</t>
  </si>
  <si>
    <t>858</t>
  </si>
  <si>
    <t>587.70</t>
  </si>
  <si>
    <t>571.51</t>
  </si>
  <si>
    <t>04-1N-25-2760-0009-0030</t>
  </si>
  <si>
    <t>041N25276000090030</t>
  </si>
  <si>
    <t>44182 MCKENDREE DR</t>
  </si>
  <si>
    <t>1546</t>
  </si>
  <si>
    <t>MCBEE MICHAEL E &amp; JANE M</t>
  </si>
  <si>
    <t>44182 MCKENDREE DRIV</t>
  </si>
  <si>
    <t>PT OF LOTS 9 &amp; 10</t>
  </si>
  <si>
    <t>761.14</t>
  </si>
  <si>
    <t>762.69</t>
  </si>
  <si>
    <t>717.79</t>
  </si>
  <si>
    <t>02/03/2016</t>
  </si>
  <si>
    <t>618</t>
  </si>
  <si>
    <t>779.62</t>
  </si>
  <si>
    <t>03/20/2015</t>
  </si>
  <si>
    <t>719</t>
  </si>
  <si>
    <t>780.48</t>
  </si>
  <si>
    <t>859</t>
  </si>
  <si>
    <t>761.90</t>
  </si>
  <si>
    <t>03/21/2013</t>
  </si>
  <si>
    <t>827</t>
  </si>
  <si>
    <t>695.95</t>
  </si>
  <si>
    <t>04-1N-25-2760-0013-0020</t>
  </si>
  <si>
    <t>041N25276000130020</t>
  </si>
  <si>
    <t>541064 US HWY 1</t>
  </si>
  <si>
    <t>4.07</t>
  </si>
  <si>
    <t>7096</t>
  </si>
  <si>
    <t>295000</t>
  </si>
  <si>
    <t>FIRST COAST COMMUNITY BANK</t>
  </si>
  <si>
    <t>390000.00</t>
  </si>
  <si>
    <t>GREEN JOSEPH BRIAN</t>
  </si>
  <si>
    <t>541064 US HIGHWAY 1</t>
  </si>
  <si>
    <t>SW 313 FT OF LOT 13 EX R/W</t>
  </si>
  <si>
    <t>5735.18</t>
  </si>
  <si>
    <t>5928.13</t>
  </si>
  <si>
    <t>5869.00</t>
  </si>
  <si>
    <t>08/30/2016</t>
  </si>
  <si>
    <t>5609.64</t>
  </si>
  <si>
    <t>620</t>
  </si>
  <si>
    <t>5456.77</t>
  </si>
  <si>
    <t>5597.63</t>
  </si>
  <si>
    <t>860</t>
  </si>
  <si>
    <t>5642.23</t>
  </si>
  <si>
    <t>829</t>
  </si>
  <si>
    <t>6354.66</t>
  </si>
  <si>
    <t>04-1N-25-2760-0014-0040</t>
  </si>
  <si>
    <t>041N25276000140040</t>
  </si>
  <si>
    <t>44127 MCKENDREE DR</t>
  </si>
  <si>
    <t>2.41</t>
  </si>
  <si>
    <t>3018</t>
  </si>
  <si>
    <t>10/23/2045</t>
  </si>
  <si>
    <t>DENHAM PERRY P &amp; JENNIFER L</t>
  </si>
  <si>
    <t>44127 MCKENDREE DRIV</t>
  </si>
  <si>
    <t>PT OF LOT 14 (S-4)</t>
  </si>
  <si>
    <t>04-1N-25-276C-0010-0000</t>
  </si>
  <si>
    <t>041N25276C00100000</t>
  </si>
  <si>
    <t>44839 PINEBREEZE CIR</t>
  </si>
  <si>
    <t>2299</t>
  </si>
  <si>
    <t>LUKE KENNETH CARLTON</t>
  </si>
  <si>
    <t>44839 PINE BREEZE CI</t>
  </si>
  <si>
    <t>LOT 10     R672991 &amp; R672992</t>
  </si>
  <si>
    <t>656.87</t>
  </si>
  <si>
    <t>665.65</t>
  </si>
  <si>
    <t>664.79</t>
  </si>
  <si>
    <t>586</t>
  </si>
  <si>
    <t>809.88</t>
  </si>
  <si>
    <t>898.30</t>
  </si>
  <si>
    <t>02/10/2015</t>
  </si>
  <si>
    <t>722</t>
  </si>
  <si>
    <t>1112.49</t>
  </si>
  <si>
    <t>1135.23</t>
  </si>
  <si>
    <t>648.96</t>
  </si>
  <si>
    <t>04-1N-25-276C-0018-0000</t>
  </si>
  <si>
    <t>041N25276C00180000</t>
  </si>
  <si>
    <t>44609 PINEBREEZE CIR</t>
  </si>
  <si>
    <t>2.27</t>
  </si>
  <si>
    <t>FLORIDA TELCO CU</t>
  </si>
  <si>
    <t>46750.00</t>
  </si>
  <si>
    <t>CROCCO BARTHOLOMEW L &amp;</t>
  </si>
  <si>
    <t>3518 LENCZYK DR</t>
  </si>
  <si>
    <t>LOT 18   SEC 5-1N-25</t>
  </si>
  <si>
    <t>479.24</t>
  </si>
  <si>
    <t>464.19</t>
  </si>
  <si>
    <t>409.96</t>
  </si>
  <si>
    <t>09/13/2015</t>
  </si>
  <si>
    <t>444.30</t>
  </si>
  <si>
    <t>623</t>
  </si>
  <si>
    <t>398.45</t>
  </si>
  <si>
    <t>04-1N-25-276C-0029-0000</t>
  </si>
  <si>
    <t>041N25276C00290000</t>
  </si>
  <si>
    <t>44536 PINEBREEZE CIR</t>
  </si>
  <si>
    <t>2204</t>
  </si>
  <si>
    <t>BANK OF AMERICA NA</t>
  </si>
  <si>
    <t>20348.00</t>
  </si>
  <si>
    <t>11/14/2017</t>
  </si>
  <si>
    <t>MULLIGAN FRANK</t>
  </si>
  <si>
    <t>4179 SANDHILL CRANE TERRAC</t>
  </si>
  <si>
    <t>Middleburg</t>
  </si>
  <si>
    <t>32068</t>
  </si>
  <si>
    <t>LOT 29   SEC 5-1N-25</t>
  </si>
  <si>
    <t>1644.63</t>
  </si>
  <si>
    <t>589</t>
  </si>
  <si>
    <t>208.05</t>
  </si>
  <si>
    <t>04-1N-25-276C-0042-0000</t>
  </si>
  <si>
    <t>041N25276C00420000</t>
  </si>
  <si>
    <t>44802 PINEBREEZE CIR</t>
  </si>
  <si>
    <t>STRINE TRACEY H</t>
  </si>
  <si>
    <t>44802 PINEBREEZE CI</t>
  </si>
  <si>
    <t>LOT 42    R673579</t>
  </si>
  <si>
    <t>314.95</t>
  </si>
  <si>
    <t>02/01/2018</t>
  </si>
  <si>
    <t>452.57</t>
  </si>
  <si>
    <t>10/09/2013</t>
  </si>
  <si>
    <t>726</t>
  </si>
  <si>
    <t>497.98</t>
  </si>
  <si>
    <t>865</t>
  </si>
  <si>
    <t>492.02</t>
  </si>
  <si>
    <t>02/07/2013</t>
  </si>
  <si>
    <t>04-1N-25-2780-0002-0000</t>
  </si>
  <si>
    <t>041N25278000020000</t>
  </si>
  <si>
    <t>44014 CUSHMAN RD</t>
  </si>
  <si>
    <t>SWEAT CHARLES &amp;</t>
  </si>
  <si>
    <t>44014 CUSHMAN R</t>
  </si>
  <si>
    <t>LOT 2 (EX S-1)</t>
  </si>
  <si>
    <t>567.47</t>
  </si>
  <si>
    <t>587.92</t>
  </si>
  <si>
    <t>485.97</t>
  </si>
  <si>
    <t>591</t>
  </si>
  <si>
    <t>592.08</t>
  </si>
  <si>
    <t>04-1N-25-2780-0003-0010</t>
  </si>
  <si>
    <t>041N25278000030010</t>
  </si>
  <si>
    <t>44002 CUSHMAN RD</t>
  </si>
  <si>
    <t>SWEAT ROBYN M EST</t>
  </si>
  <si>
    <t>45227 ROBINWOOD CIRCL</t>
  </si>
  <si>
    <t>N1/2 OF LOT 3 (S-1)</t>
  </si>
  <si>
    <t>460.34</t>
  </si>
  <si>
    <t>524.81</t>
  </si>
  <si>
    <t>444.50</t>
  </si>
  <si>
    <t>592</t>
  </si>
  <si>
    <t>603.18</t>
  </si>
  <si>
    <t>04-1N-25-2780-0004-0000</t>
  </si>
  <si>
    <t>041N25278000040000</t>
  </si>
  <si>
    <t>44725 ARTESIAN BLVD</t>
  </si>
  <si>
    <t>FENCIK KRISTIE LEEANN</t>
  </si>
  <si>
    <t>44725 ARTESIAN BLV</t>
  </si>
  <si>
    <t>04-1N-25-2786-0017-0000</t>
  </si>
  <si>
    <t>041N25278600170000</t>
  </si>
  <si>
    <t>44329 PINEBREEZE CIR</t>
  </si>
  <si>
    <t>1701</t>
  </si>
  <si>
    <t>COMMUNITY FIRST CREDIT UNION OF FLORIDA</t>
  </si>
  <si>
    <t>05/14/2023</t>
  </si>
  <si>
    <t>POWELL TANYA NYE</t>
  </si>
  <si>
    <t>44329 PINEBREEZE CI</t>
  </si>
  <si>
    <t>LOT 17    1998 FLEET DW/MH</t>
  </si>
  <si>
    <t>959.52</t>
  </si>
  <si>
    <t>504.55</t>
  </si>
  <si>
    <t>596</t>
  </si>
  <si>
    <t>525.02</t>
  </si>
  <si>
    <t>04/10/2015</t>
  </si>
  <si>
    <t>569.40</t>
  </si>
  <si>
    <t>10/31/2014</t>
  </si>
  <si>
    <t>732</t>
  </si>
  <si>
    <t>589.67</t>
  </si>
  <si>
    <t>11/26/2013</t>
  </si>
  <si>
    <t>872</t>
  </si>
  <si>
    <t>596.58</t>
  </si>
  <si>
    <t>11/01/2012</t>
  </si>
  <si>
    <t>767.60</t>
  </si>
  <si>
    <t>04-1N-25-2786-0024-0000</t>
  </si>
  <si>
    <t>041N25278600240000</t>
  </si>
  <si>
    <t>44187 PINEBREEZE CIR</t>
  </si>
  <si>
    <t>1916</t>
  </si>
  <si>
    <t>OLDAKER KATHY W</t>
  </si>
  <si>
    <t>44187 PINEBREEZE CIRCL</t>
  </si>
  <si>
    <t>558.32</t>
  </si>
  <si>
    <t>10/28/2016</t>
  </si>
  <si>
    <t>557.45</t>
  </si>
  <si>
    <t>610.25</t>
  </si>
  <si>
    <t>1179.17</t>
  </si>
  <si>
    <t>841</t>
  </si>
  <si>
    <t>1386.61</t>
  </si>
  <si>
    <t>03/07/2011</t>
  </si>
  <si>
    <t>04-1N-25-2786-0026-0000</t>
  </si>
  <si>
    <t>041N25278600260000</t>
  </si>
  <si>
    <t>44145 PINEBREEZE CIR</t>
  </si>
  <si>
    <t>20900</t>
  </si>
  <si>
    <t>MONCRIEF JULIE S</t>
  </si>
  <si>
    <t>44145 PINEBREEZE CIRCL</t>
  </si>
  <si>
    <t>LOT 26   R673186 &amp; R673187</t>
  </si>
  <si>
    <t>432.93</t>
  </si>
  <si>
    <t>452.54</t>
  </si>
  <si>
    <t>451.61</t>
  </si>
  <si>
    <t>487.80</t>
  </si>
  <si>
    <t>634</t>
  </si>
  <si>
    <t>526.56</t>
  </si>
  <si>
    <t>876</t>
  </si>
  <si>
    <t>534.05</t>
  </si>
  <si>
    <t>842</t>
  </si>
  <si>
    <t>623.24</t>
  </si>
  <si>
    <t>04-1N-25-2800-0046-0000</t>
  </si>
  <si>
    <t>041N25280000460000</t>
  </si>
  <si>
    <t>44329 LEE DR</t>
  </si>
  <si>
    <t>0.98</t>
  </si>
  <si>
    <t>1511</t>
  </si>
  <si>
    <t>84607.00</t>
  </si>
  <si>
    <t>09/05/2007</t>
  </si>
  <si>
    <t>HART JOHN D</t>
  </si>
  <si>
    <t>55407 SHUG R</t>
  </si>
  <si>
    <t>LOTS 46 &amp; 47   R 673131</t>
  </si>
  <si>
    <t>574</t>
  </si>
  <si>
    <t>469.59</t>
  </si>
  <si>
    <t>513.46</t>
  </si>
  <si>
    <t>458.87</t>
  </si>
  <si>
    <t>12/22/2016</t>
  </si>
  <si>
    <t>04-1N-25-2800-0051-0000</t>
  </si>
  <si>
    <t>041N25280000510000</t>
  </si>
  <si>
    <t>44257 LEE DR</t>
  </si>
  <si>
    <t>1.39</t>
  </si>
  <si>
    <t>3984</t>
  </si>
  <si>
    <t>RODGERS ANN M</t>
  </si>
  <si>
    <t>44257 LEE DRIV</t>
  </si>
  <si>
    <t>LOTS 51 52 &amp; 53</t>
  </si>
  <si>
    <t>1771.10</t>
  </si>
  <si>
    <t>07/21/2017</t>
  </si>
  <si>
    <t>737</t>
  </si>
  <si>
    <t>1767.88</t>
  </si>
  <si>
    <t>12/28/2012</t>
  </si>
  <si>
    <t>2189.82</t>
  </si>
  <si>
    <t>07/05/2011</t>
  </si>
  <si>
    <t>2157.34</t>
  </si>
  <si>
    <t>04-1N-25-2800-0063-0000</t>
  </si>
  <si>
    <t>44041 LEE DR</t>
  </si>
  <si>
    <t>1244</t>
  </si>
  <si>
    <t>THE ABT &amp; DHT FAMILY PARTNERSHIP LTD</t>
  </si>
  <si>
    <t>07/28/2027</t>
  </si>
  <si>
    <t>SELF ROBERT SEAN</t>
  </si>
  <si>
    <t>44041 LEE D</t>
  </si>
  <si>
    <t>LOT 63   (EX S-1 &amp; S-2)</t>
  </si>
  <si>
    <t>04-1N-25-2820-0013-0000</t>
  </si>
  <si>
    <t>44086 BECKER AVE</t>
  </si>
  <si>
    <t>1821</t>
  </si>
  <si>
    <t>48600.00</t>
  </si>
  <si>
    <t>06/01/2030</t>
  </si>
  <si>
    <t>FRAME CHARLES</t>
  </si>
  <si>
    <t>44086 BECKER AV</t>
  </si>
  <si>
    <t>LOTS 13 14 &amp; 15</t>
  </si>
  <si>
    <t>06-1N-25-0973-0002-0000</t>
  </si>
  <si>
    <t>061N25097300020000</t>
  </si>
  <si>
    <t>44170 DALES PL</t>
  </si>
  <si>
    <t>2534</t>
  </si>
  <si>
    <t xml:space="preserve"> OAK STREET MORTGAGE LLC</t>
  </si>
  <si>
    <t>105000.00</t>
  </si>
  <si>
    <t>08/13/2004</t>
  </si>
  <si>
    <t>TALLMAN RANDY &amp; TARRA</t>
  </si>
  <si>
    <t>44170 DALES PLAC</t>
  </si>
  <si>
    <t>1051.04</t>
  </si>
  <si>
    <t>07/31/2017</t>
  </si>
  <si>
    <t>1222.26</t>
  </si>
  <si>
    <t>05/17/2016</t>
  </si>
  <si>
    <t>931.74</t>
  </si>
  <si>
    <t>994.75</t>
  </si>
  <si>
    <t>1038.20</t>
  </si>
  <si>
    <t>1063.56</t>
  </si>
  <si>
    <t>850</t>
  </si>
  <si>
    <t>1283.50</t>
  </si>
  <si>
    <t>06/30/2011</t>
  </si>
  <si>
    <t>06-1N-25-199S-0001-0230</t>
  </si>
  <si>
    <t>061N25199S00010230</t>
  </si>
  <si>
    <t>44140 QUAIL RIDGE DR</t>
  </si>
  <si>
    <t>73500</t>
  </si>
  <si>
    <t>62500.00</t>
  </si>
  <si>
    <t>01/19/2009</t>
  </si>
  <si>
    <t>JAN INVESTMENT GROUP INC</t>
  </si>
  <si>
    <t>BLOCK 1 LOT 23</t>
  </si>
  <si>
    <t>1423.73</t>
  </si>
  <si>
    <t>604</t>
  </si>
  <si>
    <t>1184.62</t>
  </si>
  <si>
    <t>1204.60</t>
  </si>
  <si>
    <t>821</t>
  </si>
  <si>
    <t>1222.87</t>
  </si>
  <si>
    <t>854</t>
  </si>
  <si>
    <t>1501.89</t>
  </si>
  <si>
    <t>06-1N-25-199S-0049-0000</t>
  </si>
  <si>
    <t>061N25199S00490000</t>
  </si>
  <si>
    <t>SWALLOWFORK AV</t>
  </si>
  <si>
    <t>0.53</t>
  </si>
  <si>
    <t>NORWOOD E HIGGINBOTHAM</t>
  </si>
  <si>
    <t>6750.00</t>
  </si>
  <si>
    <t>MARTIN BERNARD KYLE</t>
  </si>
  <si>
    <t>44387 SWALLOWFORK AV</t>
  </si>
  <si>
    <t>LOT 49 PT OR 1645/1177</t>
  </si>
  <si>
    <t>207.94</t>
  </si>
  <si>
    <t>170.81</t>
  </si>
  <si>
    <t>164.07</t>
  </si>
  <si>
    <t>06-1N-25-199S-0107-0000</t>
  </si>
  <si>
    <t>061N25199S01070000</t>
  </si>
  <si>
    <t>44965 SWALLOWFORK AVE</t>
  </si>
  <si>
    <t>1214</t>
  </si>
  <si>
    <t>31948.00</t>
  </si>
  <si>
    <t>03/28/2005</t>
  </si>
  <si>
    <t>WEAKLEY ANGELA</t>
  </si>
  <si>
    <t>95135 RAINTREE LAN</t>
  </si>
  <si>
    <t>LOTS 107 &amp; 108</t>
  </si>
  <si>
    <t>987.14</t>
  </si>
  <si>
    <t>947.83</t>
  </si>
  <si>
    <t>06-1N-25-199S-0117-0000</t>
  </si>
  <si>
    <t>061N25199S01170000</t>
  </si>
  <si>
    <t>44061 MAYHAW LN</t>
  </si>
  <si>
    <t>0.55</t>
  </si>
  <si>
    <t>65000.00</t>
  </si>
  <si>
    <t>SLUDER RALPH L JR &amp; LISA M</t>
  </si>
  <si>
    <t>44079 MAYHAW LAN</t>
  </si>
  <si>
    <t>LOT 117</t>
  </si>
  <si>
    <t>220.64</t>
  </si>
  <si>
    <t>192.05</t>
  </si>
  <si>
    <t>169.41</t>
  </si>
  <si>
    <t>163.98</t>
  </si>
  <si>
    <t>885</t>
  </si>
  <si>
    <t>182.73</t>
  </si>
  <si>
    <t>171.49</t>
  </si>
  <si>
    <t>06-1N-25-199S-0118-0000</t>
  </si>
  <si>
    <t>061N25199S01180000</t>
  </si>
  <si>
    <t>44079 MAYHAW LN</t>
  </si>
  <si>
    <t>LOT 118</t>
  </si>
  <si>
    <t>429.07</t>
  </si>
  <si>
    <t>425.48</t>
  </si>
  <si>
    <t>366.36</t>
  </si>
  <si>
    <t>507.55</t>
  </si>
  <si>
    <t>560.99</t>
  </si>
  <si>
    <t>567.49</t>
  </si>
  <si>
    <t>604.43</t>
  </si>
  <si>
    <t>06-1N-25-199S-0149-0000</t>
  </si>
  <si>
    <t>061N25199S01490000</t>
  </si>
  <si>
    <t>44866 SWALLOWFORK AVE</t>
  </si>
  <si>
    <t>45900</t>
  </si>
  <si>
    <t>72000.00</t>
  </si>
  <si>
    <t>01/28/2026</t>
  </si>
  <si>
    <t>SIMPKINS CREGG A</t>
  </si>
  <si>
    <t>6172 MILTONDALE R</t>
  </si>
  <si>
    <t>LOTS 149 &amp; 150</t>
  </si>
  <si>
    <t>976.42</t>
  </si>
  <si>
    <t>493.14</t>
  </si>
  <si>
    <t>01/14/2015</t>
  </si>
  <si>
    <t>493.39</t>
  </si>
  <si>
    <t>574.32</t>
  </si>
  <si>
    <t>06-1N-25-199S-0168-0000</t>
  </si>
  <si>
    <t>44039 BAYBERRY CT</t>
  </si>
  <si>
    <t>109000</t>
  </si>
  <si>
    <t>DOLORES HIGGINBOTHAM WILLIAMS</t>
  </si>
  <si>
    <t>DALTON SEAN ALLAN FLOYD &amp;</t>
  </si>
  <si>
    <t>44039 BAYBERRY C</t>
  </si>
  <si>
    <t>Calahan</t>
  </si>
  <si>
    <t>LOTS 168 &amp; 169</t>
  </si>
  <si>
    <t>06-1N-25-199S-0187-0000</t>
  </si>
  <si>
    <t>061N25199S01870000</t>
  </si>
  <si>
    <t>44100 WILLOW LN</t>
  </si>
  <si>
    <t>1282</t>
  </si>
  <si>
    <t>13500</t>
  </si>
  <si>
    <t>NORWOOD E</t>
  </si>
  <si>
    <t>04/10/2001</t>
  </si>
  <si>
    <t>SHEARER MATTHEW A</t>
  </si>
  <si>
    <t>4384 BATTLECREEK CT</t>
  </si>
  <si>
    <t>32258</t>
  </si>
  <si>
    <t>LOTS 187 &amp; 188</t>
  </si>
  <si>
    <t>410.46</t>
  </si>
  <si>
    <t>329.48</t>
  </si>
  <si>
    <t>04/18/2011</t>
  </si>
  <si>
    <t>06-1N-25-199S-0195-0000</t>
  </si>
  <si>
    <t>061N25199S01950000</t>
  </si>
  <si>
    <t>44059 RED OAK CT</t>
  </si>
  <si>
    <t xml:space="preserve"> GLOUNER DONALD C TRUST</t>
  </si>
  <si>
    <t>37478.00</t>
  </si>
  <si>
    <t>10/20/2006</t>
  </si>
  <si>
    <t>GLOUNER GREGORY D</t>
  </si>
  <si>
    <t>44059 RED OAK COUR</t>
  </si>
  <si>
    <t>LOT 195</t>
  </si>
  <si>
    <t>595.82</t>
  </si>
  <si>
    <t>652.63</t>
  </si>
  <si>
    <t>613.89</t>
  </si>
  <si>
    <t>679.92</t>
  </si>
  <si>
    <t>09/03/2014</t>
  </si>
  <si>
    <t>722.48</t>
  </si>
  <si>
    <t>888</t>
  </si>
  <si>
    <t>714.88</t>
  </si>
  <si>
    <t>02/06/2012</t>
  </si>
  <si>
    <t>863</t>
  </si>
  <si>
    <t>775.80</t>
  </si>
  <si>
    <t>06-1N-25-199S-0211-0000</t>
  </si>
  <si>
    <t>061N25199S02110000</t>
  </si>
  <si>
    <t>RED OAK CT</t>
  </si>
  <si>
    <t>JONES GWEN W</t>
  </si>
  <si>
    <t>44001 GWEN AV</t>
  </si>
  <si>
    <t>LOT 211</t>
  </si>
  <si>
    <t>78.88</t>
  </si>
  <si>
    <t>2234</t>
  </si>
  <si>
    <t>89.42</t>
  </si>
  <si>
    <t>2247</t>
  </si>
  <si>
    <t>95.63</t>
  </si>
  <si>
    <t>67.48</t>
  </si>
  <si>
    <t>68.05</t>
  </si>
  <si>
    <t>828</t>
  </si>
  <si>
    <t>60.86</t>
  </si>
  <si>
    <t>06-1N-25-199S-0216-0000</t>
  </si>
  <si>
    <t>061N25199S02160000</t>
  </si>
  <si>
    <t>44013 LITTLE LIVE OAK LN</t>
  </si>
  <si>
    <t>1577</t>
  </si>
  <si>
    <t>48600</t>
  </si>
  <si>
    <t>127991.00</t>
  </si>
  <si>
    <t>07/01/2036</t>
  </si>
  <si>
    <t>BRIGMOND WANELL K</t>
  </si>
  <si>
    <t>44013 LITTLE LIVE OAK DRIV</t>
  </si>
  <si>
    <t>LOTS 216 &amp; 217</t>
  </si>
  <si>
    <t>1190.76</t>
  </si>
  <si>
    <t>06-1N-25-199S-0238-0000</t>
  </si>
  <si>
    <t>061N25199S02380000</t>
  </si>
  <si>
    <t>BREEZY LN</t>
  </si>
  <si>
    <t>WOODARD RUSSELL &amp;</t>
  </si>
  <si>
    <t>1 RIDGEWAY C</t>
  </si>
  <si>
    <t>West Orange</t>
  </si>
  <si>
    <t>New Jersey</t>
  </si>
  <si>
    <t>07052</t>
  </si>
  <si>
    <t>LOT 238</t>
  </si>
  <si>
    <t>167.58</t>
  </si>
  <si>
    <t>147.74</t>
  </si>
  <si>
    <t>04/05/2011</t>
  </si>
  <si>
    <t>06-1N-25-199S-0239-0000</t>
  </si>
  <si>
    <t>061N25199S02390000</t>
  </si>
  <si>
    <t>LOT 239</t>
  </si>
  <si>
    <t>868</t>
  </si>
  <si>
    <t>06-1N-25-199S-0240-0000</t>
  </si>
  <si>
    <t>061N25199S02400000</t>
  </si>
  <si>
    <t>PARKER-CREIGHTON MILLICENT</t>
  </si>
  <si>
    <t>14434 LAKE UNDERHILL ROA</t>
  </si>
  <si>
    <t>32828</t>
  </si>
  <si>
    <t>LOT 240</t>
  </si>
  <si>
    <t>831</t>
  </si>
  <si>
    <t>04/16/2013</t>
  </si>
  <si>
    <t>06-1N-25-199S-0241-0000</t>
  </si>
  <si>
    <t>061N25199S02410000</t>
  </si>
  <si>
    <t>LOT 241</t>
  </si>
  <si>
    <t>832</t>
  </si>
  <si>
    <t>06-1N-25-199S-0277-0000</t>
  </si>
  <si>
    <t>061N25199S02770000</t>
  </si>
  <si>
    <t>MAGNOLIA LN</t>
  </si>
  <si>
    <t>15300</t>
  </si>
  <si>
    <t>JUDY M HIGGINBOTHAM</t>
  </si>
  <si>
    <t>15300.00</t>
  </si>
  <si>
    <t>11/10/2005</t>
  </si>
  <si>
    <t>BAILEY LAUREL</t>
  </si>
  <si>
    <t>143-43 110 AVENU</t>
  </si>
  <si>
    <t>Jamaica</t>
  </si>
  <si>
    <t>11435</t>
  </si>
  <si>
    <t>LOT 277</t>
  </si>
  <si>
    <t>595</t>
  </si>
  <si>
    <t>113.42</t>
  </si>
  <si>
    <t>06-1N-25-2920-0001-0033</t>
  </si>
  <si>
    <t>061N25292000010033</t>
  </si>
  <si>
    <t>44092 DALES PL</t>
  </si>
  <si>
    <t>1.51</t>
  </si>
  <si>
    <t>1713</t>
  </si>
  <si>
    <t>22000</t>
  </si>
  <si>
    <t>HARTMAN KATHRYN ANNE &amp;</t>
  </si>
  <si>
    <t>44092 DALES P</t>
  </si>
  <si>
    <t>BLOCK 1 PT LOT 4 PAR S-3</t>
  </si>
  <si>
    <t>866.15</t>
  </si>
  <si>
    <t>04/09/2018</t>
  </si>
  <si>
    <t>905.21</t>
  </si>
  <si>
    <t>1034.06</t>
  </si>
  <si>
    <t>09/18/2012</t>
  </si>
  <si>
    <t>06-1N-25-2920-0001-0092</t>
  </si>
  <si>
    <t>061N25292000010092</t>
  </si>
  <si>
    <t>44001 GWEN AVE</t>
  </si>
  <si>
    <t>2.97</t>
  </si>
  <si>
    <t>13600</t>
  </si>
  <si>
    <t>JONES DAVID HENRY</t>
  </si>
  <si>
    <t>BLOCK 1 PT OF LOT 9</t>
  </si>
  <si>
    <t>903.59</t>
  </si>
  <si>
    <t>1016.88</t>
  </si>
  <si>
    <t>1074.82</t>
  </si>
  <si>
    <t>01/06/2015</t>
  </si>
  <si>
    <t>06-1N-25-2920-0002-0072</t>
  </si>
  <si>
    <t>061N25292000020072</t>
  </si>
  <si>
    <t>44055 SWALLOWFORK AVE</t>
  </si>
  <si>
    <t>1374</t>
  </si>
  <si>
    <t xml:space="preserve"> DITECH COM</t>
  </si>
  <si>
    <t>01/28/2000</t>
  </si>
  <si>
    <t>WIGGINS JESSICA K</t>
  </si>
  <si>
    <t>44055 SWALLOWFORK AV</t>
  </si>
  <si>
    <t>BLOCK 2 PT OF LOT 7</t>
  </si>
  <si>
    <t>508.91</t>
  </si>
  <si>
    <t>514.35</t>
  </si>
  <si>
    <t>513.44</t>
  </si>
  <si>
    <t>657</t>
  </si>
  <si>
    <t>566.38</t>
  </si>
  <si>
    <t>08/19/2013</t>
  </si>
  <si>
    <t>839</t>
  </si>
  <si>
    <t>578.56</t>
  </si>
  <si>
    <t>10/03/2012</t>
  </si>
  <si>
    <t>572.58</t>
  </si>
  <si>
    <t>871</t>
  </si>
  <si>
    <t>634.53</t>
  </si>
  <si>
    <t>08/31/2010</t>
  </si>
  <si>
    <t>06-1N-25-2920-0002-0092</t>
  </si>
  <si>
    <t>061N25292000020092</t>
  </si>
  <si>
    <t>CALLAHAN AV</t>
  </si>
  <si>
    <t>JACKMAN CHRIS</t>
  </si>
  <si>
    <t>258 EDMANDS ROA</t>
  </si>
  <si>
    <t>Framingham</t>
  </si>
  <si>
    <t>Massachusetts</t>
  </si>
  <si>
    <t>01701</t>
  </si>
  <si>
    <t>BLOCK 2 PT OF S1/2 OF LOT 9</t>
  </si>
  <si>
    <t>245.51</t>
  </si>
  <si>
    <t>246.12</t>
  </si>
  <si>
    <t>249.24</t>
  </si>
  <si>
    <t>229.94</t>
  </si>
  <si>
    <t>231.82</t>
  </si>
  <si>
    <t>11/01/2013</t>
  </si>
  <si>
    <t>09-1N-25-0670-0001-0010</t>
  </si>
  <si>
    <t>091N25067000010010</t>
  </si>
  <si>
    <t>44134 CATIES WAY</t>
  </si>
  <si>
    <t>1898</t>
  </si>
  <si>
    <t>LOUDERMILK ROBERT W</t>
  </si>
  <si>
    <t>44134 CATIES WA</t>
  </si>
  <si>
    <t>BLOCK 1 LOT 1</t>
  </si>
  <si>
    <t>558.43</t>
  </si>
  <si>
    <t>566.12</t>
  </si>
  <si>
    <t>600</t>
  </si>
  <si>
    <t>565.27</t>
  </si>
  <si>
    <t>532.89</t>
  </si>
  <si>
    <t>07/07/2014</t>
  </si>
  <si>
    <t>531.96</t>
  </si>
  <si>
    <t>988</t>
  </si>
  <si>
    <t>553.43</t>
  </si>
  <si>
    <t>12/13/2012</t>
  </si>
  <si>
    <t>09-1N-25-0670-0002-0060</t>
  </si>
  <si>
    <t>091N25067000020060</t>
  </si>
  <si>
    <t>44320 CATIES WAY</t>
  </si>
  <si>
    <t>2021</t>
  </si>
  <si>
    <t>41236.00</t>
  </si>
  <si>
    <t>07/01/2025</t>
  </si>
  <si>
    <t>GROGAN CHAD E &amp; SHELLY D &amp;</t>
  </si>
  <si>
    <t>307 E OHIO AVE  APT 70</t>
  </si>
  <si>
    <t>BLOCK 2 LOT 6</t>
  </si>
  <si>
    <t>2197.64</t>
  </si>
  <si>
    <t>2549.63</t>
  </si>
  <si>
    <t>09-1N-25-0670-0002-0130</t>
  </si>
  <si>
    <t>091N25067000020130</t>
  </si>
  <si>
    <t>44500 CATIES WAY</t>
  </si>
  <si>
    <t>2455</t>
  </si>
  <si>
    <t>145000</t>
  </si>
  <si>
    <t>MBNA AMERICA (DE)</t>
  </si>
  <si>
    <t>HENDRICKS DANIEL</t>
  </si>
  <si>
    <t>BLOCK 2 LOT 13  IN OR 972/892</t>
  </si>
  <si>
    <t>621</t>
  </si>
  <si>
    <t>1801.62</t>
  </si>
  <si>
    <t>07/08/2014</t>
  </si>
  <si>
    <t>09-1N-25-0672-0016-0000</t>
  </si>
  <si>
    <t>44904 GREEN MEADOWS LN</t>
  </si>
  <si>
    <t>1.76</t>
  </si>
  <si>
    <t>152100</t>
  </si>
  <si>
    <t>230072.00</t>
  </si>
  <si>
    <t>04/03/2027</t>
  </si>
  <si>
    <t>MCCOY MARC &amp; KIMBERLY</t>
  </si>
  <si>
    <t>44904 GREEN MEADOWS LAN</t>
  </si>
  <si>
    <t>LOT 16</t>
  </si>
  <si>
    <t>09-1N-25-0672-0030-0000</t>
  </si>
  <si>
    <t>091N25067200300000</t>
  </si>
  <si>
    <t>44959 GREEN MEADOWS LN</t>
  </si>
  <si>
    <t>SOLID WASTE</t>
  </si>
  <si>
    <t>2.11</t>
  </si>
  <si>
    <t>3493</t>
  </si>
  <si>
    <t>250000.00</t>
  </si>
  <si>
    <t>05/10/2037</t>
  </si>
  <si>
    <t>GREENE KENNETH L JR</t>
  </si>
  <si>
    <t>44959 GREEN MEADOWS LAN</t>
  </si>
  <si>
    <t>LOT 30</t>
  </si>
  <si>
    <t>2694.72</t>
  </si>
  <si>
    <t>02/19/2014</t>
  </si>
  <si>
    <t>897</t>
  </si>
  <si>
    <t>3494.84</t>
  </si>
  <si>
    <t>11/22/2011</t>
  </si>
  <si>
    <t>10-1N-25-0000-0012-0000</t>
  </si>
  <si>
    <t>101N25000000120000</t>
  </si>
  <si>
    <t>7.15</t>
  </si>
  <si>
    <t>JOSEPH MICHAEL MOORE</t>
  </si>
  <si>
    <t>06/26/2014</t>
  </si>
  <si>
    <t>AL ABD AHMAD I</t>
  </si>
  <si>
    <t>1544 NORTH MAIN S</t>
  </si>
  <si>
    <t>PT OR 2025/622</t>
  </si>
  <si>
    <t>751.52</t>
  </si>
  <si>
    <t>12/15/2016</t>
  </si>
  <si>
    <t>755.22</t>
  </si>
  <si>
    <t>773.85</t>
  </si>
  <si>
    <t>12/28/2015</t>
  </si>
  <si>
    <t>1427.36</t>
  </si>
  <si>
    <t>1108</t>
  </si>
  <si>
    <t>1801.43</t>
  </si>
  <si>
    <t>10/02/2012</t>
  </si>
  <si>
    <t>1810.23</t>
  </si>
  <si>
    <t>10-1N-25-022H-0003-0000</t>
  </si>
  <si>
    <t>101N25022H00030000</t>
  </si>
  <si>
    <t>2.35</t>
  </si>
  <si>
    <t>208600</t>
  </si>
  <si>
    <t>SMITH ALLISON &amp;</t>
  </si>
  <si>
    <t>54100 CHURCH R</t>
  </si>
  <si>
    <t>495.18</t>
  </si>
  <si>
    <t>10-1N-25-022H-0005-0000</t>
  </si>
  <si>
    <t>54100 CHURCH RD</t>
  </si>
  <si>
    <t>2501</t>
  </si>
  <si>
    <t>PEOPLES FIRST COMMUNITY BANK</t>
  </si>
  <si>
    <t>255375.00</t>
  </si>
  <si>
    <t>08/01/2039</t>
  </si>
  <si>
    <t>SAWYER THOMAS L &amp;</t>
  </si>
  <si>
    <t>10-1N-25-022H-0006-0000</t>
  </si>
  <si>
    <t>101N25022H00060000</t>
  </si>
  <si>
    <t>10-1N-25-2880-0002-0060</t>
  </si>
  <si>
    <t>101N25288000020060</t>
  </si>
  <si>
    <t>54162 HERON RD</t>
  </si>
  <si>
    <t>FINCH NINA</t>
  </si>
  <si>
    <t>54162 HERON ROA</t>
  </si>
  <si>
    <t>341.79</t>
  </si>
  <si>
    <t>345.09</t>
  </si>
  <si>
    <t>10-1N-25-2880-0003-0030</t>
  </si>
  <si>
    <t>101N25288000030030</t>
  </si>
  <si>
    <t>54080 PELICAN RD</t>
  </si>
  <si>
    <t>TERESA L PRICE</t>
  </si>
  <si>
    <t>KEEFER RONALD L &amp; SARAH B</t>
  </si>
  <si>
    <t>54080 PELICAN ROA</t>
  </si>
  <si>
    <t>BLOCK 3 LOT 3</t>
  </si>
  <si>
    <t>989.33</t>
  </si>
  <si>
    <t>536.89</t>
  </si>
  <si>
    <t>10-1N-25-2880-0003-0130</t>
  </si>
  <si>
    <t>101N25288000030130</t>
  </si>
  <si>
    <t>54360 PELICAN RD</t>
  </si>
  <si>
    <t>2611</t>
  </si>
  <si>
    <t>9000</t>
  </si>
  <si>
    <t>MESSER LINDA C EST</t>
  </si>
  <si>
    <t>54360 PELICAN R</t>
  </si>
  <si>
    <t>BLOCK 3 LOT 13</t>
  </si>
  <si>
    <t>10-1N-25-2880-0003-0140</t>
  </si>
  <si>
    <t>101N25288000030140</t>
  </si>
  <si>
    <t>54388 PELICAN RD</t>
  </si>
  <si>
    <t>1137</t>
  </si>
  <si>
    <t>39100</t>
  </si>
  <si>
    <t>70000.00</t>
  </si>
  <si>
    <t>01/01/2030</t>
  </si>
  <si>
    <t>HARGROVE DAVID G &amp; TERRY</t>
  </si>
  <si>
    <t>54388 PELICAN ROA</t>
  </si>
  <si>
    <t>BLOCK 3 LOT 14</t>
  </si>
  <si>
    <t>506.44</t>
  </si>
  <si>
    <t>671</t>
  </si>
  <si>
    <t>481.11</t>
  </si>
  <si>
    <t>12/10/2013</t>
  </si>
  <si>
    <t>1114</t>
  </si>
  <si>
    <t>468.22</t>
  </si>
  <si>
    <t>08/30/2012</t>
  </si>
  <si>
    <t>883</t>
  </si>
  <si>
    <t>449.82</t>
  </si>
  <si>
    <t>07/27/2010</t>
  </si>
  <si>
    <t>10-1N-25-2880-0004-0030</t>
  </si>
  <si>
    <t>101N25288000040030</t>
  </si>
  <si>
    <t>54076 SEAGULL DR</t>
  </si>
  <si>
    <t>1.90</t>
  </si>
  <si>
    <t>1432</t>
  </si>
  <si>
    <t>29500</t>
  </si>
  <si>
    <t>COUNTRYWIDE HM LNS INC</t>
  </si>
  <si>
    <t>50124.00</t>
  </si>
  <si>
    <t>FEDERAL HOUSING AUTHORITY</t>
  </si>
  <si>
    <t>03/13/1998</t>
  </si>
  <si>
    <t>03/01/2028</t>
  </si>
  <si>
    <t>GULBRANDSEN RICHARD</t>
  </si>
  <si>
    <t>7651 OWL R</t>
  </si>
  <si>
    <t>BLOCK 4 LOT 3 &amp; PT OF TRACT C</t>
  </si>
  <si>
    <t>628</t>
  </si>
  <si>
    <t>695.61</t>
  </si>
  <si>
    <t>10/23/2014</t>
  </si>
  <si>
    <t>305.70</t>
  </si>
  <si>
    <t>10-1N-25-2880-0006-0040</t>
  </si>
  <si>
    <t>101N25288000060040</t>
  </si>
  <si>
    <t>54203 PLANTATION RD</t>
  </si>
  <si>
    <t>1057</t>
  </si>
  <si>
    <t>GANGER TAMMY LYNN</t>
  </si>
  <si>
    <t>54203 PLANTATION R</t>
  </si>
  <si>
    <t>BLOCK 6 LOT 4</t>
  </si>
  <si>
    <t>421.70</t>
  </si>
  <si>
    <t>420.44</t>
  </si>
  <si>
    <t>415.82</t>
  </si>
  <si>
    <t>03/17/2017</t>
  </si>
  <si>
    <t>884</t>
  </si>
  <si>
    <t>519.70</t>
  </si>
  <si>
    <t>04/20/2011</t>
  </si>
  <si>
    <t>10-1N-25-2880-0006-0080</t>
  </si>
  <si>
    <t>101N25288000060080</t>
  </si>
  <si>
    <t>54083 PLANTATION RD</t>
  </si>
  <si>
    <t>MILLER JOE W &amp; EVA LEE</t>
  </si>
  <si>
    <t>54083 PLANTATION ROA</t>
  </si>
  <si>
    <t>BLOCK 6 LOT 8</t>
  </si>
  <si>
    <t>687.94</t>
  </si>
  <si>
    <t>03/09/2017</t>
  </si>
  <si>
    <t>906</t>
  </si>
  <si>
    <t>947.76</t>
  </si>
  <si>
    <t>1008.50</t>
  </si>
  <si>
    <t>10-1N-25-2882-0006-0000</t>
  </si>
  <si>
    <t>101N25288200060000</t>
  </si>
  <si>
    <t>54115 SUNSHINE DR</t>
  </si>
  <si>
    <t>1240</t>
  </si>
  <si>
    <t>79500</t>
  </si>
  <si>
    <t xml:space="preserve"> FREMONT INVESTMENT &amp; LOAN</t>
  </si>
  <si>
    <t>51076.00</t>
  </si>
  <si>
    <t>11/08/2002</t>
  </si>
  <si>
    <t>SWAIN CYNTHIA</t>
  </si>
  <si>
    <t>54115 SUNSHINE DRIV</t>
  </si>
  <si>
    <t>607</t>
  </si>
  <si>
    <t>438.98</t>
  </si>
  <si>
    <t>437.63</t>
  </si>
  <si>
    <t>382.23</t>
  </si>
  <si>
    <t>321.27</t>
  </si>
  <si>
    <t>325.02</t>
  </si>
  <si>
    <t>1119</t>
  </si>
  <si>
    <t>472.31</t>
  </si>
  <si>
    <t>573.36</t>
  </si>
  <si>
    <t>04/25/2011</t>
  </si>
  <si>
    <t>10-1N-25-2882-0011-0000</t>
  </si>
  <si>
    <t>101N25288200110000</t>
  </si>
  <si>
    <t>54072 SUNSHINE DR</t>
  </si>
  <si>
    <t>MATHIS GLORIA L &amp;</t>
  </si>
  <si>
    <t>54072 SUNSHINE DRIV</t>
  </si>
  <si>
    <t>270.71</t>
  </si>
  <si>
    <t>312.89</t>
  </si>
  <si>
    <t>531.16</t>
  </si>
  <si>
    <t>12/21/2011</t>
  </si>
  <si>
    <t>567.44</t>
  </si>
  <si>
    <t>10-1N-25-2882-0015-0000</t>
  </si>
  <si>
    <t>54180 SUNSHINE DR</t>
  </si>
  <si>
    <t>MOLTON ALLEN &amp; WILLIAMS MTG CO LLC</t>
  </si>
  <si>
    <t>34800.00</t>
  </si>
  <si>
    <t>FARMER DANIEL C SR</t>
  </si>
  <si>
    <t>54180 SUNSHINE D</t>
  </si>
  <si>
    <t>2810</t>
  </si>
  <si>
    <t>231.19</t>
  </si>
  <si>
    <t>09/04/2013</t>
  </si>
  <si>
    <t>16-1N-25-0000-0001-0220</t>
  </si>
  <si>
    <t>161N25000000010220</t>
  </si>
  <si>
    <t>HURST RD</t>
  </si>
  <si>
    <t>CARROLL JODY LEE &amp; SHELLEY B</t>
  </si>
  <si>
    <t>45068 IRIS BLV</t>
  </si>
  <si>
    <t>IN OR 972/490</t>
  </si>
  <si>
    <t>300.95</t>
  </si>
  <si>
    <t>302.59</t>
  </si>
  <si>
    <t>304.01</t>
  </si>
  <si>
    <t>16-1N-25-0000-0001-0350</t>
  </si>
  <si>
    <t>161N25000000010350</t>
  </si>
  <si>
    <t>54366 HURST RD</t>
  </si>
  <si>
    <t>2024</t>
  </si>
  <si>
    <t>78000</t>
  </si>
  <si>
    <t>24900.00</t>
  </si>
  <si>
    <t>06/01/2021</t>
  </si>
  <si>
    <t>WARREN WILLIAM</t>
  </si>
  <si>
    <t>54366 HURST R</t>
  </si>
  <si>
    <t>IN OR 2109/1492</t>
  </si>
  <si>
    <t>16-1N-25-0000-0001-0380</t>
  </si>
  <si>
    <t>44011 MCSWAIN CIR</t>
  </si>
  <si>
    <t>1867</t>
  </si>
  <si>
    <t>SHEPARD STEPHEN M &amp; HEATHER L</t>
  </si>
  <si>
    <t>44011 MCSWAIN CIRCL</t>
  </si>
  <si>
    <t>IN OR 1762/965</t>
  </si>
  <si>
    <t>16-1N-25-2900-0004-0020</t>
  </si>
  <si>
    <t>161N25290000040020</t>
  </si>
  <si>
    <t>43303 RATLIFF RD</t>
  </si>
  <si>
    <t>2.57</t>
  </si>
  <si>
    <t>1593</t>
  </si>
  <si>
    <t>SUSAN LYON</t>
  </si>
  <si>
    <t>85000.00</t>
  </si>
  <si>
    <t>BALOUTA RAFAT &amp; ANGEL</t>
  </si>
  <si>
    <t>43303 RATLIFF R</t>
  </si>
  <si>
    <t>ET'LY 170 FT OF LOT 4</t>
  </si>
  <si>
    <t>911.92</t>
  </si>
  <si>
    <t>933.51</t>
  </si>
  <si>
    <t>921.69</t>
  </si>
  <si>
    <t>683</t>
  </si>
  <si>
    <t>846.37</t>
  </si>
  <si>
    <t>06/21/2013</t>
  </si>
  <si>
    <t>914</t>
  </si>
  <si>
    <t>1206.26</t>
  </si>
  <si>
    <t>1543.79</t>
  </si>
  <si>
    <t>16-1N-25-2900-0010-0000</t>
  </si>
  <si>
    <t>161N25290000100000</t>
  </si>
  <si>
    <t>43383 RATLIFF RD</t>
  </si>
  <si>
    <t>4.19</t>
  </si>
  <si>
    <t>4631</t>
  </si>
  <si>
    <t>MOSER GRACE E &amp;</t>
  </si>
  <si>
    <t>43383 RATLIFF ROA</t>
  </si>
  <si>
    <t>LOT 10   (EX S-1)</t>
  </si>
  <si>
    <t>1579.79</t>
  </si>
  <si>
    <t>11/02/2017</t>
  </si>
  <si>
    <t>1694.61</t>
  </si>
  <si>
    <t>1500.17</t>
  </si>
  <si>
    <t>640</t>
  </si>
  <si>
    <t>1199.29</t>
  </si>
  <si>
    <t>16-1N-25-2900-0010-0010</t>
  </si>
  <si>
    <t>161N25290000100010</t>
  </si>
  <si>
    <t>43056 PINEWOOD CT</t>
  </si>
  <si>
    <t>VICKERS JUDY K</t>
  </si>
  <si>
    <t>43056 PINEWOOD COUR</t>
  </si>
  <si>
    <t>PT OF LOT 10</t>
  </si>
  <si>
    <t>403.72</t>
  </si>
  <si>
    <t>397.72</t>
  </si>
  <si>
    <t>641</t>
  </si>
  <si>
    <t>474.29</t>
  </si>
  <si>
    <t>16-1N-25-2900-0013-0020</t>
  </si>
  <si>
    <t>161N25290000130020</t>
  </si>
  <si>
    <t>43433 RATLIFF RD</t>
  </si>
  <si>
    <t>4.62</t>
  </si>
  <si>
    <t>3841</t>
  </si>
  <si>
    <t>05/07/1999</t>
  </si>
  <si>
    <t>AMOS CHRISTY L</t>
  </si>
  <si>
    <t>43433 RATLIFF R</t>
  </si>
  <si>
    <t>2196.79</t>
  </si>
  <si>
    <t>2229.68</t>
  </si>
  <si>
    <t>02/06/2018</t>
  </si>
  <si>
    <t>2218.73</t>
  </si>
  <si>
    <t>02/09/2016</t>
  </si>
  <si>
    <t>2075.61</t>
  </si>
  <si>
    <t>685</t>
  </si>
  <si>
    <t>2419.87</t>
  </si>
  <si>
    <t>2686.09</t>
  </si>
  <si>
    <t>03/20/2014</t>
  </si>
  <si>
    <t>16-1N-25-2900-0017-0000</t>
  </si>
  <si>
    <t>161N25290000170000</t>
  </si>
  <si>
    <t>43501 RATLIFF RD</t>
  </si>
  <si>
    <t>3324</t>
  </si>
  <si>
    <t>11/13/2003</t>
  </si>
  <si>
    <t>HUNT DEBORAH M</t>
  </si>
  <si>
    <t>PO BOX 143</t>
  </si>
  <si>
    <t>Callhan</t>
  </si>
  <si>
    <t>LOT 17    R106937</t>
  </si>
  <si>
    <t>1607.83</t>
  </si>
  <si>
    <t>1715.29</t>
  </si>
  <si>
    <t>04/17/2018</t>
  </si>
  <si>
    <t>1818.41</t>
  </si>
  <si>
    <t>1246</t>
  </si>
  <si>
    <t>1623.05</t>
  </si>
  <si>
    <t>07/27/2012</t>
  </si>
  <si>
    <t>16-1N-25-2900-0027-0010</t>
  </si>
  <si>
    <t>161N25290000270010</t>
  </si>
  <si>
    <t>43434 RATLIFF RD</t>
  </si>
  <si>
    <t>2.01</t>
  </si>
  <si>
    <t>CHER FL LLC</t>
  </si>
  <si>
    <t>07/01/2011</t>
  </si>
  <si>
    <t>PT OF LOT 27</t>
  </si>
  <si>
    <t>902.64</t>
  </si>
  <si>
    <t>931.43</t>
  </si>
  <si>
    <t>827.38</t>
  </si>
  <si>
    <t>845.74</t>
  </si>
  <si>
    <t>688</t>
  </si>
  <si>
    <t>857.28</t>
  </si>
  <si>
    <t>1223.90</t>
  </si>
  <si>
    <t>1260.26</t>
  </si>
  <si>
    <t>900</t>
  </si>
  <si>
    <t>1428.87</t>
  </si>
  <si>
    <t>16-1N-25-2900-0028-0010</t>
  </si>
  <si>
    <t>161N25290000280010</t>
  </si>
  <si>
    <t>43416 RATLIFF RD</t>
  </si>
  <si>
    <t>4.16</t>
  </si>
  <si>
    <t>PT OF LOT 28 (S-1)</t>
  </si>
  <si>
    <t>779.28</t>
  </si>
  <si>
    <t>835.86</t>
  </si>
  <si>
    <t>756.07</t>
  </si>
  <si>
    <t>889.68</t>
  </si>
  <si>
    <t>834.35</t>
  </si>
  <si>
    <t>1250</t>
  </si>
  <si>
    <t>1259.43</t>
  </si>
  <si>
    <t>1260.83</t>
  </si>
  <si>
    <t>902</t>
  </si>
  <si>
    <t>1618.90</t>
  </si>
  <si>
    <t>16-1N-25-2910-0008-0000</t>
  </si>
  <si>
    <t>161N25291000080000</t>
  </si>
  <si>
    <t>43755 FREEDOM DR</t>
  </si>
  <si>
    <t>3.94</t>
  </si>
  <si>
    <t>SHRADER RORIE J &amp; JACQUELINE A</t>
  </si>
  <si>
    <t>43765 FREEDOM D</t>
  </si>
  <si>
    <t>657.37</t>
  </si>
  <si>
    <t>2891</t>
  </si>
  <si>
    <t>1293.40</t>
  </si>
  <si>
    <t>08/13/2013</t>
  </si>
  <si>
    <t>16-1N-25-2910-0019-0000</t>
  </si>
  <si>
    <t>161N25291000190000</t>
  </si>
  <si>
    <t>43111 FREEDOM DR</t>
  </si>
  <si>
    <t>3.59</t>
  </si>
  <si>
    <t>4325</t>
  </si>
  <si>
    <t>EVANS GLORIA</t>
  </si>
  <si>
    <t>43111 FREEDOM DRIV</t>
  </si>
  <si>
    <t>PT OF LOT 19</t>
  </si>
  <si>
    <t>1544.24</t>
  </si>
  <si>
    <t>16-1N-25-2910-0019-0020</t>
  </si>
  <si>
    <t>161N25291000190020</t>
  </si>
  <si>
    <t>FREEDOM DR</t>
  </si>
  <si>
    <t>EVANS GLORIA JEAN</t>
  </si>
  <si>
    <t>43111 FREEDOM D</t>
  </si>
  <si>
    <t>PT OF LOT 19 (S-2)</t>
  </si>
  <si>
    <t>226.06</t>
  </si>
  <si>
    <t>227.10</t>
  </si>
  <si>
    <t>16-1N-25-2912-0003-0090</t>
  </si>
  <si>
    <t>161N25291200030090</t>
  </si>
  <si>
    <t>44090 WOODLAND CIR</t>
  </si>
  <si>
    <t>GMAC MORTGAGE CORP</t>
  </si>
  <si>
    <t>270000.00</t>
  </si>
  <si>
    <t>12/01/2034</t>
  </si>
  <si>
    <t>HARRISON THOMAS &amp; CARRIE</t>
  </si>
  <si>
    <t>44090 WOODLAND AVENU</t>
  </si>
  <si>
    <t>BLOCK 3 LOT 9 &amp; S-1 OF LOT 8</t>
  </si>
  <si>
    <t>919.16</t>
  </si>
  <si>
    <t>963.35</t>
  </si>
  <si>
    <t>912.75</t>
  </si>
  <si>
    <t>1257</t>
  </si>
  <si>
    <t>1005.83</t>
  </si>
  <si>
    <t>04/24/2013</t>
  </si>
  <si>
    <t>1019.69</t>
  </si>
  <si>
    <t>908</t>
  </si>
  <si>
    <t>1161.26</t>
  </si>
  <si>
    <t>16-1N-25-2912-0004-0090</t>
  </si>
  <si>
    <t>161N25291200040090</t>
  </si>
  <si>
    <t>44752 WOODLAND CIR</t>
  </si>
  <si>
    <t>1531</t>
  </si>
  <si>
    <t>9500</t>
  </si>
  <si>
    <t xml:space="preserve"> CROWN BANK</t>
  </si>
  <si>
    <t>39750.00</t>
  </si>
  <si>
    <t>05/16/1997</t>
  </si>
  <si>
    <t>NETTLES AL W &amp; JANICE M</t>
  </si>
  <si>
    <t>44752 WOODLAND CI</t>
  </si>
  <si>
    <t>BLOCK 4 LOT 9</t>
  </si>
  <si>
    <t>280.59</t>
  </si>
  <si>
    <t>286.37</t>
  </si>
  <si>
    <t>04/07/2017</t>
  </si>
  <si>
    <t>655</t>
  </si>
  <si>
    <t>438.67</t>
  </si>
  <si>
    <t>01/21/2015</t>
  </si>
  <si>
    <t>16-1N-25-2912-0005-0070</t>
  </si>
  <si>
    <t>161N25291200050070</t>
  </si>
  <si>
    <t>44467 WOODRIDGE DR</t>
  </si>
  <si>
    <t>2126</t>
  </si>
  <si>
    <t>31200</t>
  </si>
  <si>
    <t>CONNOR KAREN H</t>
  </si>
  <si>
    <t>44467 WOODRIDGE D</t>
  </si>
  <si>
    <t>BLOCK 5 LOT 7</t>
  </si>
  <si>
    <t>790.76</t>
  </si>
  <si>
    <t>807.95</t>
  </si>
  <si>
    <t>801.14</t>
  </si>
  <si>
    <t>753.66</t>
  </si>
  <si>
    <t>03/15/2016</t>
  </si>
  <si>
    <t>696.71</t>
  </si>
  <si>
    <t>03/12/2015</t>
  </si>
  <si>
    <t>1260</t>
  </si>
  <si>
    <t>665.88</t>
  </si>
  <si>
    <t>927</t>
  </si>
  <si>
    <t>648.39</t>
  </si>
  <si>
    <t>04/10/2013</t>
  </si>
  <si>
    <t>628.04</t>
  </si>
  <si>
    <t>05/10/2012</t>
  </si>
  <si>
    <t>16-1N-25-2912-0006-0130</t>
  </si>
  <si>
    <t>161N25291200060130</t>
  </si>
  <si>
    <t>44013 WOODLAND CIR</t>
  </si>
  <si>
    <t>1352</t>
  </si>
  <si>
    <t>31045.00</t>
  </si>
  <si>
    <t>02/28/2003</t>
  </si>
  <si>
    <t>SIKES JACQUELINE</t>
  </si>
  <si>
    <t>43111 HILLTOP LAN</t>
  </si>
  <si>
    <t>BLOCK 6 LOT 13</t>
  </si>
  <si>
    <t>552.89</t>
  </si>
  <si>
    <t>561.47</t>
  </si>
  <si>
    <t>543.76</t>
  </si>
  <si>
    <t>08/10/2016</t>
  </si>
  <si>
    <t>498.81</t>
  </si>
  <si>
    <t>701</t>
  </si>
  <si>
    <t>427.77</t>
  </si>
  <si>
    <t>1264</t>
  </si>
  <si>
    <t>683.97</t>
  </si>
  <si>
    <t>1151.93</t>
  </si>
  <si>
    <t>11/23/2010</t>
  </si>
  <si>
    <t>16-1N-25-2912-0007-0040</t>
  </si>
  <si>
    <t>161N25291200070040</t>
  </si>
  <si>
    <t>44099 OAKWOOD LN</t>
  </si>
  <si>
    <t>DEBRA THOMPSON</t>
  </si>
  <si>
    <t>11/05/2030</t>
  </si>
  <si>
    <t>BOWEN STEVEN &amp; TIFFANY</t>
  </si>
  <si>
    <t>44099 OAKWOOD L</t>
  </si>
  <si>
    <t>BLOCK 7 LOT 4</t>
  </si>
  <si>
    <t>418.67</t>
  </si>
  <si>
    <t>08/30/2017</t>
  </si>
  <si>
    <t>915</t>
  </si>
  <si>
    <t>469.16</t>
  </si>
  <si>
    <t>04/26/2011</t>
  </si>
  <si>
    <t>16-1N-25-2912-0008-0120</t>
  </si>
  <si>
    <t>161N25291200080120</t>
  </si>
  <si>
    <t>43247 PINEWOOD CT</t>
  </si>
  <si>
    <t>38.08</t>
  </si>
  <si>
    <t>3733</t>
  </si>
  <si>
    <t>SKY ENTERPRISES DE LLC</t>
  </si>
  <si>
    <t>300000.00</t>
  </si>
  <si>
    <t>FUTURE ADVANCE CLAUSE / OPEN END MORTGAGE</t>
  </si>
  <si>
    <t>10/19/2017</t>
  </si>
  <si>
    <t>KOSTENSKI SUZANNE D</t>
  </si>
  <si>
    <t>320 N 1ST STREET STE #70</t>
  </si>
  <si>
    <t>BLOCK 8 LOTS 12 &amp; 13</t>
  </si>
  <si>
    <t>2834.78</t>
  </si>
  <si>
    <t>2991.55</t>
  </si>
  <si>
    <t>2880.57</t>
  </si>
  <si>
    <t>2936.16</t>
  </si>
  <si>
    <t>2592.12</t>
  </si>
  <si>
    <t>08/07/2013</t>
  </si>
  <si>
    <t>1269</t>
  </si>
  <si>
    <t>3717.11</t>
  </si>
  <si>
    <t>3812.51</t>
  </si>
  <si>
    <t>04/17/2012</t>
  </si>
  <si>
    <t>20-1N-25-0000-0006-0010</t>
  </si>
  <si>
    <t>201N25000000060010</t>
  </si>
  <si>
    <t>43239 RATLIFF RD</t>
  </si>
  <si>
    <t>3084</t>
  </si>
  <si>
    <t>169400</t>
  </si>
  <si>
    <t>144000.00</t>
  </si>
  <si>
    <t>11/01/2032</t>
  </si>
  <si>
    <t>CROSBY JOHN B JR &amp; KELLY ANN</t>
  </si>
  <si>
    <t>43239 RATLIFF ROA</t>
  </si>
  <si>
    <t>IN OR 1503/392</t>
  </si>
  <si>
    <t>633</t>
  </si>
  <si>
    <t>1780.40</t>
  </si>
  <si>
    <t>1806.73</t>
  </si>
  <si>
    <t>1797.68</t>
  </si>
  <si>
    <t>1684.15</t>
  </si>
  <si>
    <t>703</t>
  </si>
  <si>
    <t>1670.33</t>
  </si>
  <si>
    <t>12/23/2013</t>
  </si>
  <si>
    <t>1419</t>
  </si>
  <si>
    <t>1937.54</t>
  </si>
  <si>
    <t>01/22/2013</t>
  </si>
  <si>
    <t>933</t>
  </si>
  <si>
    <t>1960.90</t>
  </si>
  <si>
    <t>921</t>
  </si>
  <si>
    <t>2634.07</t>
  </si>
  <si>
    <t>20-1N-25-0000-0006-0020</t>
  </si>
  <si>
    <t>43162 SMITTY RD</t>
  </si>
  <si>
    <t>3.71</t>
  </si>
  <si>
    <t>4732</t>
  </si>
  <si>
    <t>FRIER FINANCE INC</t>
  </si>
  <si>
    <t>50289.00</t>
  </si>
  <si>
    <t>10/12/2033</t>
  </si>
  <si>
    <t>LOVETT JOYCE F &amp;</t>
  </si>
  <si>
    <t>43162 SMITTY R</t>
  </si>
  <si>
    <t>29-1N-25-0000-0002-0000</t>
  </si>
  <si>
    <t>291N25000000020000</t>
  </si>
  <si>
    <t>43624 LARSEN RD</t>
  </si>
  <si>
    <t>6097</t>
  </si>
  <si>
    <t>BARBER CAROLYN ELIZABETH</t>
  </si>
  <si>
    <t>43624 LARSEN R</t>
  </si>
  <si>
    <t>NW1/4 OF NW1/4</t>
  </si>
  <si>
    <t>2837.71</t>
  </si>
  <si>
    <t>2938.28</t>
  </si>
  <si>
    <t>2931.40</t>
  </si>
  <si>
    <t>664</t>
  </si>
  <si>
    <t>2902.96</t>
  </si>
  <si>
    <t>2822.81</t>
  </si>
  <si>
    <t>1767</t>
  </si>
  <si>
    <t>3230.05</t>
  </si>
  <si>
    <t>3284.23</t>
  </si>
  <si>
    <t>3895.75</t>
  </si>
  <si>
    <t>31-1N-25-0000-0001-0000</t>
  </si>
  <si>
    <t>311N25000000010000</t>
  </si>
  <si>
    <t>43008 THOMAS CREEK DR</t>
  </si>
  <si>
    <t>94100</t>
  </si>
  <si>
    <t>HUMPHRIES CHRISTINE</t>
  </si>
  <si>
    <t>450671 STATE RD 20</t>
  </si>
  <si>
    <t>PT NE1/4 OF NE1/4 OF</t>
  </si>
  <si>
    <t>1012.23</t>
  </si>
  <si>
    <t>1025.20</t>
  </si>
  <si>
    <t>04/05/2017</t>
  </si>
  <si>
    <t>933.31</t>
  </si>
  <si>
    <t>989.00</t>
  </si>
  <si>
    <t>707</t>
  </si>
  <si>
    <t>923.80</t>
  </si>
  <si>
    <t>12/30/2014</t>
  </si>
  <si>
    <t>1842</t>
  </si>
  <si>
    <t>1199.81</t>
  </si>
  <si>
    <t>37-1N-25-0000-0004-0010</t>
  </si>
  <si>
    <t>371N25000000040010</t>
  </si>
  <si>
    <t>54002 DEERFIELD COUNTRY CLUB RD</t>
  </si>
  <si>
    <t>38</t>
  </si>
  <si>
    <t>GOLF COURSES</t>
  </si>
  <si>
    <t>123.45</t>
  </si>
  <si>
    <t>6240</t>
  </si>
  <si>
    <t>2300000</t>
  </si>
  <si>
    <t>MIN JAMES BYUNG K &amp; HELEN HYO</t>
  </si>
  <si>
    <t>54002 DEERFIELD CTRY CLUB ROA</t>
  </si>
  <si>
    <t>PT OF SEC 37</t>
  </si>
  <si>
    <t>18224.45</t>
  </si>
  <si>
    <t>08/28/2015</t>
  </si>
  <si>
    <t>709</t>
  </si>
  <si>
    <t>14386.00</t>
  </si>
  <si>
    <t>37-1N-25-0000-0004-0070</t>
  </si>
  <si>
    <t>371N25000000040070</t>
  </si>
  <si>
    <t>DEERFIELD COUNTRY CLUB RD</t>
  </si>
  <si>
    <t>275000</t>
  </si>
  <si>
    <t>MULRAIN KATHRYN WOOD</t>
  </si>
  <si>
    <t>1216 30TH ST N</t>
  </si>
  <si>
    <t>District Of Columbia</t>
  </si>
  <si>
    <t>20007</t>
  </si>
  <si>
    <t>IN OR 919/1854</t>
  </si>
  <si>
    <t>43.61</t>
  </si>
  <si>
    <t>45.85</t>
  </si>
  <si>
    <t>39.09</t>
  </si>
  <si>
    <t>52.45</t>
  </si>
  <si>
    <t>710</t>
  </si>
  <si>
    <t>38.37</t>
  </si>
  <si>
    <t>2101</t>
  </si>
  <si>
    <t>80.54</t>
  </si>
  <si>
    <t>939</t>
  </si>
  <si>
    <t>190.95</t>
  </si>
  <si>
    <t>37-1N-25-0000-0005-0150</t>
  </si>
  <si>
    <t>54152 FOURACRE CIR</t>
  </si>
  <si>
    <t>6.18</t>
  </si>
  <si>
    <t>67000</t>
  </si>
  <si>
    <t>53600.00</t>
  </si>
  <si>
    <t>07/15/2008</t>
  </si>
  <si>
    <t>WINDHAM JOHN T EST</t>
  </si>
  <si>
    <t>54152 FOUR ACRE CIRCL</t>
  </si>
  <si>
    <t>IN OR 1153 PG 1477</t>
  </si>
  <si>
    <t>37-1N-25-0000-0010-0060</t>
  </si>
  <si>
    <t>371N25000000100060</t>
  </si>
  <si>
    <t>54212 ROY BOOTH RD</t>
  </si>
  <si>
    <t>7.49</t>
  </si>
  <si>
    <t>2584</t>
  </si>
  <si>
    <t>97000</t>
  </si>
  <si>
    <t>NEAL W &amp; NAOMI HIGGINBOTHAM</t>
  </si>
  <si>
    <t>60549.00</t>
  </si>
  <si>
    <t>05/05/2009</t>
  </si>
  <si>
    <t>HIGGINBOTHAM RAYMOND R &amp; MARY</t>
  </si>
  <si>
    <t>54212 ROY BOOTH ROA</t>
  </si>
  <si>
    <t>IN OR 519 PG 915</t>
  </si>
  <si>
    <t>772.24</t>
  </si>
  <si>
    <t>09/26/2017</t>
  </si>
  <si>
    <t>782.40</t>
  </si>
  <si>
    <t>775.96</t>
  </si>
  <si>
    <t>728.73</t>
  </si>
  <si>
    <t>01/06/2016</t>
  </si>
  <si>
    <t>37-1N-25-0000-0018-0000</t>
  </si>
  <si>
    <t>371N25000000180000</t>
  </si>
  <si>
    <t>2700</t>
  </si>
  <si>
    <t>CABELL JOHN &amp; LORI</t>
  </si>
  <si>
    <t>2801 RACHAEL AV</t>
  </si>
  <si>
    <t>IN OR 1545/681</t>
  </si>
  <si>
    <t>272.39</t>
  </si>
  <si>
    <t>627</t>
  </si>
  <si>
    <t>263.01</t>
  </si>
  <si>
    <t>232.40</t>
  </si>
  <si>
    <t>231.50</t>
  </si>
  <si>
    <t>37-1N-25-0000-0019-0040</t>
  </si>
  <si>
    <t>371N25-00000019-0040</t>
  </si>
  <si>
    <t>RATLIFF RD</t>
  </si>
  <si>
    <t>4200</t>
  </si>
  <si>
    <t>SHUMAN STACY SHANE</t>
  </si>
  <si>
    <t>43757 RATLIFF ROA</t>
  </si>
  <si>
    <t>IN OR 1643/630</t>
  </si>
  <si>
    <t>325.84</t>
  </si>
  <si>
    <t>328.10</t>
  </si>
  <si>
    <t>37-1N-25-2940-0005-0080</t>
  </si>
  <si>
    <t>371N25294000050080</t>
  </si>
  <si>
    <t>540363 US HWY 1</t>
  </si>
  <si>
    <t>0.32</t>
  </si>
  <si>
    <t>13400</t>
  </si>
  <si>
    <t>FAIN HAROLD DEAN</t>
  </si>
  <si>
    <t>5395 DETTA COUR</t>
  </si>
  <si>
    <t>Keystone Heights</t>
  </si>
  <si>
    <t>32656</t>
  </si>
  <si>
    <t>PT OF LOTS 5 &amp; 15</t>
  </si>
  <si>
    <t>431.10</t>
  </si>
  <si>
    <t>37-1N-25-2950-0001-0150</t>
  </si>
  <si>
    <t>371N25295000010150</t>
  </si>
  <si>
    <t>54049 DEERFIELD COUNTRY CLUB RD</t>
  </si>
  <si>
    <t>54049 DEERFIELD CTRY CLUB ROA</t>
  </si>
  <si>
    <t>BLOCK 1 LOT 15</t>
  </si>
  <si>
    <t>37-1N-25-296A-0008-0000</t>
  </si>
  <si>
    <t>371N25296A00080000</t>
  </si>
  <si>
    <t>540388 LEM TURNER RD</t>
  </si>
  <si>
    <t>2042</t>
  </si>
  <si>
    <t>MCVEY CHRISTOPHER &amp;</t>
  </si>
  <si>
    <t>540388 LEM TURNER ROA</t>
  </si>
  <si>
    <t>TRACT 8</t>
  </si>
  <si>
    <t>1317.15</t>
  </si>
  <si>
    <t>1346.97</t>
  </si>
  <si>
    <t>09/15/2017</t>
  </si>
  <si>
    <t>671.57</t>
  </si>
  <si>
    <t>2112</t>
  </si>
  <si>
    <t>970.67</t>
  </si>
  <si>
    <t>950.30</t>
  </si>
  <si>
    <t>05/24/2012</t>
  </si>
  <si>
    <t>37-1N-25-296A-0054-0000</t>
  </si>
  <si>
    <t>371N25296A00540000</t>
  </si>
  <si>
    <t>54142 LEE STONER RD</t>
  </si>
  <si>
    <t>LEWIS JOHN E EST</t>
  </si>
  <si>
    <t>2842 BROWARD R</t>
  </si>
  <si>
    <t>TRACT 54</t>
  </si>
  <si>
    <t>564.23</t>
  </si>
  <si>
    <t>572.27</t>
  </si>
  <si>
    <t>614.15</t>
  </si>
  <si>
    <t>547.59</t>
  </si>
  <si>
    <t>03/16/2016</t>
  </si>
  <si>
    <t>490.10</t>
  </si>
  <si>
    <t>2113</t>
  </si>
  <si>
    <t>540.28</t>
  </si>
  <si>
    <t>37-1N-25-296C-0019-0000</t>
  </si>
  <si>
    <t>371N25296C00190000</t>
  </si>
  <si>
    <t>54069 LISA DR</t>
  </si>
  <si>
    <t>2457</t>
  </si>
  <si>
    <t>1973</t>
  </si>
  <si>
    <t xml:space="preserve"> VYSTAR CU</t>
  </si>
  <si>
    <t>08/19/2005</t>
  </si>
  <si>
    <t>CLARK JULIAN W EST</t>
  </si>
  <si>
    <t>54069 LISA DRIV</t>
  </si>
  <si>
    <t>TRACT 19 IN OR 150/369</t>
  </si>
  <si>
    <t>2007.98</t>
  </si>
  <si>
    <t>37-1N-25-299A-0026-0000</t>
  </si>
  <si>
    <t>371N25299A00260000</t>
  </si>
  <si>
    <t>54661 VONTZ CIR</t>
  </si>
  <si>
    <t>0.96</t>
  </si>
  <si>
    <t>2115</t>
  </si>
  <si>
    <t>86000</t>
  </si>
  <si>
    <t>WILMINGTON FINANCE INC</t>
  </si>
  <si>
    <t>139400.00</t>
  </si>
  <si>
    <t>07/07/2004</t>
  </si>
  <si>
    <t>JENNINGS DAVID E JR &amp; MELYNDA</t>
  </si>
  <si>
    <t>54661 VONTZ CIRCL</t>
  </si>
  <si>
    <t>37-1N-25-299A-0032-0000</t>
  </si>
  <si>
    <t>371N25299A00320000</t>
  </si>
  <si>
    <t>54517 VONTZ CIR</t>
  </si>
  <si>
    <t>SKIPPER DEBORAH S</t>
  </si>
  <si>
    <t>54517 VONTZ CIRCL</t>
  </si>
  <si>
    <t>LOT 32    R672496</t>
  </si>
  <si>
    <t>337.15</t>
  </si>
  <si>
    <t>353.95</t>
  </si>
  <si>
    <t>08/07/2017</t>
  </si>
  <si>
    <t>349.59</t>
  </si>
  <si>
    <t>369.00</t>
  </si>
  <si>
    <t>360.63</t>
  </si>
  <si>
    <t>440.76</t>
  </si>
  <si>
    <t>01/26/2012</t>
  </si>
  <si>
    <t>950</t>
  </si>
  <si>
    <t>425.93</t>
  </si>
  <si>
    <t>10/04/2010</t>
  </si>
  <si>
    <t>37-1N-25-299A-0037-0000</t>
  </si>
  <si>
    <t>371N25299A00370000</t>
  </si>
  <si>
    <t>VONTZ CIR</t>
  </si>
  <si>
    <t>SCOTT JEANNE HENDERSON</t>
  </si>
  <si>
    <t>361.79</t>
  </si>
  <si>
    <t>687</t>
  </si>
  <si>
    <t>316.80</t>
  </si>
  <si>
    <t>37-1N-25-299A-0041-0000</t>
  </si>
  <si>
    <t>54171 MARLEE RD</t>
  </si>
  <si>
    <t>16400</t>
  </si>
  <si>
    <t>GENERATION MORTGAGE CO</t>
  </si>
  <si>
    <t>127500.00</t>
  </si>
  <si>
    <t>03/15/2076</t>
  </si>
  <si>
    <t>FISHER ROBERT E EST</t>
  </si>
  <si>
    <t>54171 MARLEE R</t>
  </si>
  <si>
    <t>LOT 41</t>
  </si>
  <si>
    <t>668</t>
  </si>
  <si>
    <t>73.65</t>
  </si>
  <si>
    <t>09/24/2015</t>
  </si>
  <si>
    <t>37-1N-25-299C-0014-0000</t>
  </si>
  <si>
    <t>371N25299C00140000</t>
  </si>
  <si>
    <t>54291 MARLEE RD</t>
  </si>
  <si>
    <t>86100</t>
  </si>
  <si>
    <t>CHASE MANHATTAN MTG CORP</t>
  </si>
  <si>
    <t>88000.00</t>
  </si>
  <si>
    <t>10/01/2030</t>
  </si>
  <si>
    <t>MABRY NATHANIEL O</t>
  </si>
  <si>
    <t>54291 MARLEE ROA</t>
  </si>
  <si>
    <t>584.20</t>
  </si>
  <si>
    <t>610.93</t>
  </si>
  <si>
    <t>673.59</t>
  </si>
  <si>
    <t>662.88</t>
  </si>
  <si>
    <t>2124</t>
  </si>
  <si>
    <t>774.01</t>
  </si>
  <si>
    <t>962</t>
  </si>
  <si>
    <t>890.99</t>
  </si>
  <si>
    <t>952</t>
  </si>
  <si>
    <t>1014.32</t>
  </si>
  <si>
    <t>37-1N-25-299C-0037-0000</t>
  </si>
  <si>
    <t>371N25299C00370000</t>
  </si>
  <si>
    <t>54520 JONAS DR</t>
  </si>
  <si>
    <t>EBY TERRY &amp; MARILYN</t>
  </si>
  <si>
    <t>45113 SNICKERS TRAI</t>
  </si>
  <si>
    <t>529.69</t>
  </si>
  <si>
    <t>543.02</t>
  </si>
  <si>
    <t>12/30/2015</t>
  </si>
  <si>
    <t>733</t>
  </si>
  <si>
    <t>466.49</t>
  </si>
  <si>
    <t>2125</t>
  </si>
  <si>
    <t>832.24</t>
  </si>
  <si>
    <t>923.63</t>
  </si>
  <si>
    <t>953</t>
  </si>
  <si>
    <t>1037.99</t>
  </si>
  <si>
    <t>37-1N-25-299C-0048-0000</t>
  </si>
  <si>
    <t>54079 JONAS DR</t>
  </si>
  <si>
    <t>735</t>
  </si>
  <si>
    <t>28500</t>
  </si>
  <si>
    <t>07/13/2032</t>
  </si>
  <si>
    <t>NEW KINGS ROAD ENTERPRISES LLC</t>
  </si>
  <si>
    <t>LOT 48     R622058</t>
  </si>
  <si>
    <t>487.07</t>
  </si>
  <si>
    <t>37-1N-25-299D-0008-0000</t>
  </si>
  <si>
    <t>371N25299D00080000</t>
  </si>
  <si>
    <t>54434 MARLEE RD</t>
  </si>
  <si>
    <t>BARRY RUBY B</t>
  </si>
  <si>
    <t>54463 MARLEE ROA</t>
  </si>
  <si>
    <t>656.07</t>
  </si>
  <si>
    <t>647.61</t>
  </si>
  <si>
    <t>579.37</t>
  </si>
  <si>
    <t>602.63</t>
  </si>
  <si>
    <t>543.12</t>
  </si>
  <si>
    <t>2129</t>
  </si>
  <si>
    <t>742.10</t>
  </si>
  <si>
    <t>815.95</t>
  </si>
  <si>
    <t>855.62</t>
  </si>
  <si>
    <t>37-1N-25-299D-0009-0000</t>
  </si>
  <si>
    <t>371N25299D00090000</t>
  </si>
  <si>
    <t>54446 MARLEE RD</t>
  </si>
  <si>
    <t>1492</t>
  </si>
  <si>
    <t>G&amp;K ASSOCIATES INC</t>
  </si>
  <si>
    <t>09/11/2017</t>
  </si>
  <si>
    <t>MCGINLEY GARY R SR</t>
  </si>
  <si>
    <t>1739 CEDAR BAY ROA</t>
  </si>
  <si>
    <t>LOT 9   1984 CONC DW</t>
  </si>
  <si>
    <t>703.47</t>
  </si>
  <si>
    <t>955</t>
  </si>
  <si>
    <t>1023.93</t>
  </si>
  <si>
    <t>37-1N-25-299E-0025-0000</t>
  </si>
  <si>
    <t>54613 MARLEE RD</t>
  </si>
  <si>
    <t>1728</t>
  </si>
  <si>
    <t>56000</t>
  </si>
  <si>
    <t>GRIFFIN GERALD R JR</t>
  </si>
  <si>
    <t>54613 MARLEE ROA</t>
  </si>
  <si>
    <t>662</t>
  </si>
  <si>
    <t>725.07</t>
  </si>
  <si>
    <t>12/07/2017</t>
  </si>
  <si>
    <t>37-1N-25-299E-0035-0000</t>
  </si>
  <si>
    <t>371N25299E00350000</t>
  </si>
  <si>
    <t>54463 MARLEE RD</t>
  </si>
  <si>
    <t>1822</t>
  </si>
  <si>
    <t>BARRY RUBY BETSY</t>
  </si>
  <si>
    <t>LOT 35</t>
  </si>
  <si>
    <t>267.36</t>
  </si>
  <si>
    <t>263.52</t>
  </si>
  <si>
    <t>676</t>
  </si>
  <si>
    <t>259.44</t>
  </si>
  <si>
    <t>694</t>
  </si>
  <si>
    <t>434.64</t>
  </si>
  <si>
    <t>442.93</t>
  </si>
  <si>
    <t>437.80</t>
  </si>
  <si>
    <t>420.20</t>
  </si>
  <si>
    <t>37-1N-25-299E-0039-0000</t>
  </si>
  <si>
    <t>371N25299E00390000</t>
  </si>
  <si>
    <t>54417 MARLEE RD</t>
  </si>
  <si>
    <t>LOVE JOSEPH R &amp; KRISTEN</t>
  </si>
  <si>
    <t>54417 MARLEE ROA</t>
  </si>
  <si>
    <t>606.15</t>
  </si>
  <si>
    <t>615.22</t>
  </si>
  <si>
    <t>590.96</t>
  </si>
  <si>
    <t>37-1N-25-299F-0003-0000</t>
  </si>
  <si>
    <t>371N25299F00030000</t>
  </si>
  <si>
    <t>54029 LAWHON RD</t>
  </si>
  <si>
    <t>3289</t>
  </si>
  <si>
    <t>51305</t>
  </si>
  <si>
    <t xml:space="preserve"> CITY &amp; POLICE FCU</t>
  </si>
  <si>
    <t>80000.00</t>
  </si>
  <si>
    <t>12/26/2002</t>
  </si>
  <si>
    <t>CASWELL DAVID &amp; CRYSTAL SIRLES</t>
  </si>
  <si>
    <t>7038 RIVER CREST D</t>
  </si>
  <si>
    <t>32226</t>
  </si>
  <si>
    <t>TRACT 3</t>
  </si>
  <si>
    <t>2974.04</t>
  </si>
  <si>
    <t>2504.49</t>
  </si>
  <si>
    <t>12/12/2014</t>
  </si>
  <si>
    <t>2466.04</t>
  </si>
  <si>
    <t>2137</t>
  </si>
  <si>
    <t>2659.09</t>
  </si>
  <si>
    <t>10/24/2013</t>
  </si>
  <si>
    <t>37-1N-25-299F-0013-0000</t>
  </si>
  <si>
    <t>54283 LAWHON RD</t>
  </si>
  <si>
    <t>1616</t>
  </si>
  <si>
    <t>37000</t>
  </si>
  <si>
    <t>USAA FSB</t>
  </si>
  <si>
    <t>52200.00</t>
  </si>
  <si>
    <t>09/01/2035</t>
  </si>
  <si>
    <t>SHAW CHRISTOPHER W &amp; PATRICIA</t>
  </si>
  <si>
    <t>36365 DYAL R</t>
  </si>
  <si>
    <t>TRACT 13</t>
  </si>
  <si>
    <t>535.96</t>
  </si>
  <si>
    <t>37-1N-25-299F-0060-0000</t>
  </si>
  <si>
    <t>371N25299F00600000</t>
  </si>
  <si>
    <t>54046 SHEFFIELD RD</t>
  </si>
  <si>
    <t>131729.00</t>
  </si>
  <si>
    <t>03/08/2007</t>
  </si>
  <si>
    <t>POWELL MATTHEW W</t>
  </si>
  <si>
    <t>54046 SHEFFIELD ROA</t>
  </si>
  <si>
    <t>TRACT 60</t>
  </si>
  <si>
    <t>1019.26</t>
  </si>
  <si>
    <t>1135.17</t>
  </si>
  <si>
    <t>37-1N-25-299F-0062-0000</t>
  </si>
  <si>
    <t>371N25299F00620000</t>
  </si>
  <si>
    <t>54058 LAWHON RD</t>
  </si>
  <si>
    <t>11567.00</t>
  </si>
  <si>
    <t>06/23/2004</t>
  </si>
  <si>
    <t>GREEN DARLA J</t>
  </si>
  <si>
    <t>112 BAY S</t>
  </si>
  <si>
    <t>TRACT 62   1988 WEST SW/MH</t>
  </si>
  <si>
    <t>558.35</t>
  </si>
  <si>
    <t>548.71</t>
  </si>
  <si>
    <t>489.55</t>
  </si>
  <si>
    <t>03/27/2017</t>
  </si>
  <si>
    <t>553.96</t>
  </si>
  <si>
    <t>11/13/2015</t>
  </si>
  <si>
    <t>498.28</t>
  </si>
  <si>
    <t>10/04/2013</t>
  </si>
  <si>
    <t>977</t>
  </si>
  <si>
    <t>764.15</t>
  </si>
  <si>
    <t>966</t>
  </si>
  <si>
    <t>806.84</t>
  </si>
  <si>
    <t>37-1N-25-299F-0071-0000</t>
  </si>
  <si>
    <t>371N25299F00710000</t>
  </si>
  <si>
    <t>540701 LEM TURNER RD</t>
  </si>
  <si>
    <t>BARBARA HIGHSMITH</t>
  </si>
  <si>
    <t>RAULERSON BETTY JO &amp;</t>
  </si>
  <si>
    <t>54251 OGILVIE R</t>
  </si>
  <si>
    <t>TRACT 71    R497845</t>
  </si>
  <si>
    <t>980</t>
  </si>
  <si>
    <t>593.50</t>
  </si>
  <si>
    <t>08/30/2011</t>
  </si>
  <si>
    <t>969</t>
  </si>
  <si>
    <t>604.61</t>
  </si>
  <si>
    <t>37-1N-25-299F-0083-0000</t>
  </si>
  <si>
    <t>371N25299F00830000</t>
  </si>
  <si>
    <t>54034 CORNELIA CT</t>
  </si>
  <si>
    <t>1242</t>
  </si>
  <si>
    <t>PEYTON ROBERT D EST</t>
  </si>
  <si>
    <t>54034 CORNELIA COUR</t>
  </si>
  <si>
    <t>TRACT 83   R567625 &amp; R567626</t>
  </si>
  <si>
    <t>642.50</t>
  </si>
  <si>
    <t>06/23/2017</t>
  </si>
  <si>
    <t>622.43</t>
  </si>
  <si>
    <t>540.96</t>
  </si>
  <si>
    <t>570.00</t>
  </si>
  <si>
    <t>2819</t>
  </si>
  <si>
    <t>91.35</t>
  </si>
  <si>
    <t>10/01/2013</t>
  </si>
  <si>
    <t>37-1N-25-299F-0084-0000</t>
  </si>
  <si>
    <t>371N25299F00840000</t>
  </si>
  <si>
    <t>54068 CORNELIA CT</t>
  </si>
  <si>
    <t>2499</t>
  </si>
  <si>
    <t>63100</t>
  </si>
  <si>
    <t>18075.00</t>
  </si>
  <si>
    <t>01/18/2007</t>
  </si>
  <si>
    <t>TURNER GEORGE &amp; DEBRA</t>
  </si>
  <si>
    <t>1038 JANELLS RIVER D</t>
  </si>
  <si>
    <t>TRACT 84   R497697 &amp; R497698</t>
  </si>
  <si>
    <t>677</t>
  </si>
  <si>
    <t>177.94</t>
  </si>
  <si>
    <t>665</t>
  </si>
  <si>
    <t>940.42</t>
  </si>
  <si>
    <t>09/06/2016</t>
  </si>
  <si>
    <t>37-1N-25-299F-0095-0000</t>
  </si>
  <si>
    <t>54020 JENELLE CT</t>
  </si>
  <si>
    <t>37900</t>
  </si>
  <si>
    <t>COUNTRYWIDE HOME LOANS INC</t>
  </si>
  <si>
    <t>86100.00</t>
  </si>
  <si>
    <t>08/01/2037</t>
  </si>
  <si>
    <t>NETTLES JOE</t>
  </si>
  <si>
    <t>54073 CORNELIA C</t>
  </si>
  <si>
    <t>TRACT 95</t>
  </si>
  <si>
    <t>894.51</t>
  </si>
  <si>
    <t>37-1N-25-299F-0110-0000</t>
  </si>
  <si>
    <t>371N25299F01100000</t>
  </si>
  <si>
    <t>54626 SHEFFIELD RD</t>
  </si>
  <si>
    <t>1624</t>
  </si>
  <si>
    <t>BROWN ROBYN &amp;</t>
  </si>
  <si>
    <t>TRACT 110</t>
  </si>
  <si>
    <t>679</t>
  </si>
  <si>
    <t>502.55</t>
  </si>
  <si>
    <t>509.40</t>
  </si>
  <si>
    <t>497.64</t>
  </si>
  <si>
    <t>624.77</t>
  </si>
  <si>
    <t>37-1N-25-299F-0117-0000</t>
  </si>
  <si>
    <t>371N25-299F0117-0000</t>
  </si>
  <si>
    <t>540939 LEM TURNER RD</t>
  </si>
  <si>
    <t>PITTMAN CHRISTOPHER JON</t>
  </si>
  <si>
    <t>44127 CATIES WA</t>
  </si>
  <si>
    <t>TRACT 117   R360178</t>
  </si>
  <si>
    <t>37-1N-25-299F-0118-0000</t>
  </si>
  <si>
    <t>371N25299F01180000</t>
  </si>
  <si>
    <t>540955 LEM TURNER RD</t>
  </si>
  <si>
    <t>MARION E TODD</t>
  </si>
  <si>
    <t>05/19/2004</t>
  </si>
  <si>
    <t>MARTINEZ LEANNE M &amp;</t>
  </si>
  <si>
    <t>54908 CHURCH ROA</t>
  </si>
  <si>
    <t>TRACT 118</t>
  </si>
  <si>
    <t>482.66</t>
  </si>
  <si>
    <t>08/03/2017</t>
  </si>
  <si>
    <t>2145</t>
  </si>
  <si>
    <t>524.58</t>
  </si>
  <si>
    <t>11/08/2012</t>
  </si>
  <si>
    <t>983</t>
  </si>
  <si>
    <t>630.43</t>
  </si>
  <si>
    <t>37-1N-25-299F-0124-0000</t>
  </si>
  <si>
    <t>371N25299F01240000</t>
  </si>
  <si>
    <t>54908 CHURCH RD</t>
  </si>
  <si>
    <t>FIRST GUARANTY BK &amp; TR CO JACKSONVILLE</t>
  </si>
  <si>
    <t>114000.00</t>
  </si>
  <si>
    <t>03/17/2003</t>
  </si>
  <si>
    <t>NYE SHERRY A L/E</t>
  </si>
  <si>
    <t>TRACT 124    2000 MERIT TW</t>
  </si>
  <si>
    <t>681</t>
  </si>
  <si>
    <t>593.15</t>
  </si>
  <si>
    <t>2146</t>
  </si>
  <si>
    <t>1052.86</t>
  </si>
  <si>
    <t>985</t>
  </si>
  <si>
    <t>1031.93</t>
  </si>
  <si>
    <t>974</t>
  </si>
  <si>
    <t>988.09</t>
  </si>
  <si>
    <t>07/21/2010</t>
  </si>
  <si>
    <t>37-1N-25-299G-0008-0000</t>
  </si>
  <si>
    <t>54242 VONTZ CIR</t>
  </si>
  <si>
    <t>3.99</t>
  </si>
  <si>
    <t>ATLANTIC COAST FEDERAL</t>
  </si>
  <si>
    <t>37800.00</t>
  </si>
  <si>
    <t>12/01/2022</t>
  </si>
  <si>
    <t>RAY RICHARD &amp; DARA</t>
  </si>
  <si>
    <t>44152 SWALLOWFORK AV</t>
  </si>
  <si>
    <t>TRACTS 8 &amp; 9</t>
  </si>
  <si>
    <t>37-1N-25-299L-0002-0020</t>
  </si>
  <si>
    <t>371N25299L00020020</t>
  </si>
  <si>
    <t>54095 ROY BOOTH RD</t>
  </si>
  <si>
    <t>1090</t>
  </si>
  <si>
    <t>ALLEN NORMAN ROBERT EST</t>
  </si>
  <si>
    <t>54095 ROY BOOTH ROA</t>
  </si>
  <si>
    <t>BLOCK 2 LOT 2</t>
  </si>
  <si>
    <t>487.38</t>
  </si>
  <si>
    <t>424.91</t>
  </si>
  <si>
    <t>03/23/2016</t>
  </si>
  <si>
    <t>754</t>
  </si>
  <si>
    <t>537.20</t>
  </si>
  <si>
    <t>06/04/2015</t>
  </si>
  <si>
    <t>2148</t>
  </si>
  <si>
    <t>668.18</t>
  </si>
  <si>
    <t>987</t>
  </si>
  <si>
    <t>260.46</t>
  </si>
  <si>
    <t>37-1N-25-299M-0001-0000</t>
  </si>
  <si>
    <t>371N25299M00010000</t>
  </si>
  <si>
    <t>54067 CHARLOTTE DR</t>
  </si>
  <si>
    <t>1354</t>
  </si>
  <si>
    <t>CONNER JACK C EST &amp;</t>
  </si>
  <si>
    <t>5389 107TH S</t>
  </si>
  <si>
    <t>500.50</t>
  </si>
  <si>
    <t>294.50</t>
  </si>
  <si>
    <t>321.37</t>
  </si>
  <si>
    <t>09/26/2014</t>
  </si>
  <si>
    <t>341.36</t>
  </si>
  <si>
    <t>479.58</t>
  </si>
  <si>
    <t>03/15/2012</t>
  </si>
  <si>
    <t>37-1N-25-299M-0011-0000</t>
  </si>
  <si>
    <t>371N25299M00110000</t>
  </si>
  <si>
    <t>54134 DEBRA LN</t>
  </si>
  <si>
    <t>1757</t>
  </si>
  <si>
    <t>CORDELL ZACHARY &amp;</t>
  </si>
  <si>
    <t>8100 DIVEN ARC</t>
  </si>
  <si>
    <t>Norfolk</t>
  </si>
  <si>
    <t>23511</t>
  </si>
  <si>
    <t>769.46</t>
  </si>
  <si>
    <t>306.63</t>
  </si>
  <si>
    <t>301.73</t>
  </si>
  <si>
    <t>418.28</t>
  </si>
  <si>
    <t>2152</t>
  </si>
  <si>
    <t>485.24</t>
  </si>
  <si>
    <t>993</t>
  </si>
  <si>
    <t>543.24</t>
  </si>
  <si>
    <t>979</t>
  </si>
  <si>
    <t>37-1N-25-299N-0002-0050</t>
  </si>
  <si>
    <t>371N25299N00020050</t>
  </si>
  <si>
    <t>54125 EVA CT</t>
  </si>
  <si>
    <t>48500</t>
  </si>
  <si>
    <t>EQUITY MORTGAGE GROUP INC</t>
  </si>
  <si>
    <t>08/01/2018</t>
  </si>
  <si>
    <t>HAYES KENNETH &amp; STEPHANIE</t>
  </si>
  <si>
    <t>54125 EVA COUR</t>
  </si>
  <si>
    <t>BLOCK 2 LOT 5</t>
  </si>
  <si>
    <t>37-1N-25-299N-0002-0080</t>
  </si>
  <si>
    <t>371N25299N00020080</t>
  </si>
  <si>
    <t>54055 EVA CT</t>
  </si>
  <si>
    <t>1710</t>
  </si>
  <si>
    <t>46000</t>
  </si>
  <si>
    <t>FORBES TROY A &amp; JESSICA A</t>
  </si>
  <si>
    <t>54055 EVA C</t>
  </si>
  <si>
    <t>BLOCK 2 LOT 8</t>
  </si>
  <si>
    <t>807.86</t>
  </si>
  <si>
    <t>675</t>
  </si>
  <si>
    <t>803.60</t>
  </si>
  <si>
    <t>696</t>
  </si>
  <si>
    <t>730.74</t>
  </si>
  <si>
    <t>762.92</t>
  </si>
  <si>
    <t>787.92</t>
  </si>
  <si>
    <t>2154</t>
  </si>
  <si>
    <t>1029.67</t>
  </si>
  <si>
    <t>1141.69</t>
  </si>
  <si>
    <t>981</t>
  </si>
  <si>
    <t>1220.70</t>
  </si>
  <si>
    <t>02/24/2011</t>
  </si>
  <si>
    <t>37-1N-25-299O-0013-0000</t>
  </si>
  <si>
    <t>371N25299O00130000</t>
  </si>
  <si>
    <t>54494 POINT SOUTH DR</t>
  </si>
  <si>
    <t>1.37</t>
  </si>
  <si>
    <t>1718</t>
  </si>
  <si>
    <t>SOLANA JUDY</t>
  </si>
  <si>
    <t>16043 RESSIE DRIVE WES</t>
  </si>
  <si>
    <t>722.80</t>
  </si>
  <si>
    <t>848.93</t>
  </si>
  <si>
    <t>760.93</t>
  </si>
  <si>
    <t>713</t>
  </si>
  <si>
    <t>802.82</t>
  </si>
  <si>
    <t>04/04/2016</t>
  </si>
  <si>
    <t>633.37</t>
  </si>
  <si>
    <t>2156</t>
  </si>
  <si>
    <t>687.86</t>
  </si>
  <si>
    <t>37-1N-25-299O-0021-0000</t>
  </si>
  <si>
    <t>371N25299O00210000</t>
  </si>
  <si>
    <t>54001 WANDA WAY</t>
  </si>
  <si>
    <t>1695</t>
  </si>
  <si>
    <t>HIXON NORMA M</t>
  </si>
  <si>
    <t>54111 ROY BOOTH ROA</t>
  </si>
  <si>
    <t>LOT 21   R235764</t>
  </si>
  <si>
    <t>576.32</t>
  </si>
  <si>
    <t>698</t>
  </si>
  <si>
    <t>524.08</t>
  </si>
  <si>
    <t>584.77</t>
  </si>
  <si>
    <t>10/22/2014</t>
  </si>
  <si>
    <t>998</t>
  </si>
  <si>
    <t>188.36</t>
  </si>
  <si>
    <t>08/22/2012</t>
  </si>
  <si>
    <t>37-1N-25-299O-0022-0000</t>
  </si>
  <si>
    <t>371N25299O00220000</t>
  </si>
  <si>
    <t>54011 WANDA WAY</t>
  </si>
  <si>
    <t>ROTHSTEIN SIMON D TRUSTEE</t>
  </si>
  <si>
    <t>6041 WINDING BRIDGE DR</t>
  </si>
  <si>
    <t>32227</t>
  </si>
  <si>
    <t>LOT 22</t>
  </si>
  <si>
    <t>37-1N-25-299R-0013-0000</t>
  </si>
  <si>
    <t>371N25299R00130000</t>
  </si>
  <si>
    <t>54693 CHURCH RD</t>
  </si>
  <si>
    <t>3.78</t>
  </si>
  <si>
    <t>COMPASS BANK</t>
  </si>
  <si>
    <t>49500.00</t>
  </si>
  <si>
    <t>01/24/2000</t>
  </si>
  <si>
    <t>BRADDOCK GRADY E JR &amp; TAMMY J</t>
  </si>
  <si>
    <t>54633 CHURCH ROA</t>
  </si>
  <si>
    <t>729.61</t>
  </si>
  <si>
    <t>646.12</t>
  </si>
  <si>
    <t>37-1N-25-299R-0029-0000</t>
  </si>
  <si>
    <t>371N25299R00290000</t>
  </si>
  <si>
    <t>54661 CHURCH RD</t>
  </si>
  <si>
    <t>219200.00</t>
  </si>
  <si>
    <t>08/01/2033</t>
  </si>
  <si>
    <t>BRADDOCK GRADY JR</t>
  </si>
  <si>
    <t>TRACTS 29 &amp; 30</t>
  </si>
  <si>
    <t>784.66</t>
  </si>
  <si>
    <t>650.32</t>
  </si>
  <si>
    <t>1081.93</t>
  </si>
  <si>
    <t>11/30/2011</t>
  </si>
  <si>
    <t>37-1N-25-299S-0001-0220</t>
  </si>
  <si>
    <t>371N25299S00010220</t>
  </si>
  <si>
    <t>54345 HAZEL JONES RD</t>
  </si>
  <si>
    <t>WADE LINDA Y WILLARD</t>
  </si>
  <si>
    <t>54345 HAZEL JONES R</t>
  </si>
  <si>
    <t>BLOCK 1 LOT 22  IN OR 1193/389</t>
  </si>
  <si>
    <t>615.29</t>
  </si>
  <si>
    <t>698.78</t>
  </si>
  <si>
    <t>756.25</t>
  </si>
  <si>
    <t>727.90</t>
  </si>
  <si>
    <t>716.94</t>
  </si>
  <si>
    <t>2162</t>
  </si>
  <si>
    <t>1151.64</t>
  </si>
  <si>
    <t>1003</t>
  </si>
  <si>
    <t>1313.92</t>
  </si>
  <si>
    <t>412.20</t>
  </si>
  <si>
    <t>07/06/2010</t>
  </si>
  <si>
    <t>37-1N-25-299S-0001-0280</t>
  </si>
  <si>
    <t>371N25299S00010280</t>
  </si>
  <si>
    <t>54171 HAZEL JONES RD</t>
  </si>
  <si>
    <t>1391</t>
  </si>
  <si>
    <t>58192.00</t>
  </si>
  <si>
    <t>08/06/2004</t>
  </si>
  <si>
    <t>STONE PATRICK S</t>
  </si>
  <si>
    <t>54171 HAZEL JONES R</t>
  </si>
  <si>
    <t>BLOCK 1 LOT 28</t>
  </si>
  <si>
    <t>362.56</t>
  </si>
  <si>
    <t>368.40</t>
  </si>
  <si>
    <t>454.87</t>
  </si>
  <si>
    <t>37-1N-25-299S-0001-0500</t>
  </si>
  <si>
    <t>371N25299S00010500</t>
  </si>
  <si>
    <t>54081 VIKKI RD</t>
  </si>
  <si>
    <t>1834</t>
  </si>
  <si>
    <t>MULLIS KATISHA ANN</t>
  </si>
  <si>
    <t>44332 WOODRIDGE D</t>
  </si>
  <si>
    <t>BLOCK 1 LOT 50</t>
  </si>
  <si>
    <t>1051.96</t>
  </si>
  <si>
    <t>1083.05</t>
  </si>
  <si>
    <t>1131.84</t>
  </si>
  <si>
    <t>764</t>
  </si>
  <si>
    <t>961.79</t>
  </si>
  <si>
    <t>03/16/2015</t>
  </si>
  <si>
    <t>2163</t>
  </si>
  <si>
    <t>1230.16</t>
  </si>
  <si>
    <t>1004</t>
  </si>
  <si>
    <t>1350.76</t>
  </si>
  <si>
    <t>1448.47</t>
  </si>
  <si>
    <t>37-1N-25-299S-0001-0580</t>
  </si>
  <si>
    <t>54047 TROOPER CT</t>
  </si>
  <si>
    <t>1267</t>
  </si>
  <si>
    <t>EDENFIELD BOBBIE E</t>
  </si>
  <si>
    <t>54047 TROOPER COUR</t>
  </si>
  <si>
    <t>BLOCK 1 LOTS 58 &amp; PT OF 59</t>
  </si>
  <si>
    <t>597.42</t>
  </si>
  <si>
    <t>37-1N-25-299S-0001-0740</t>
  </si>
  <si>
    <t>371N25299S00010740</t>
  </si>
  <si>
    <t>54273 ROY BOOTH RD</t>
  </si>
  <si>
    <t>1223</t>
  </si>
  <si>
    <t>10347.00</t>
  </si>
  <si>
    <t>10/31/2007</t>
  </si>
  <si>
    <t>GRIFFIN CAROLYN ANN &amp;</t>
  </si>
  <si>
    <t>540511 US HIGHWAY 1</t>
  </si>
  <si>
    <t>BLOCK 1 LOT 74</t>
  </si>
  <si>
    <t>552.21</t>
  </si>
  <si>
    <t>07/30/2017</t>
  </si>
  <si>
    <t>618.58</t>
  </si>
  <si>
    <t>542.55</t>
  </si>
  <si>
    <t>37-1N-25-299S-0002-0010</t>
  </si>
  <si>
    <t>371N25299S00020010</t>
  </si>
  <si>
    <t>DORNBUSH RD</t>
  </si>
  <si>
    <t>HICKEN DAVID WAYNE</t>
  </si>
  <si>
    <t>540271 LEM TURNER ROA</t>
  </si>
  <si>
    <t>BLOCK 2 LOT 1</t>
  </si>
  <si>
    <t>06/13/2016</t>
  </si>
  <si>
    <t>346.65</t>
  </si>
  <si>
    <t>06/17/2015</t>
  </si>
  <si>
    <t>267.71</t>
  </si>
  <si>
    <t>37-1N-25-299S-0002-0090</t>
  </si>
  <si>
    <t>371N25299S00020090</t>
  </si>
  <si>
    <t>54436 ARMSTRONG RD</t>
  </si>
  <si>
    <t>JONES PAUL L JR</t>
  </si>
  <si>
    <t>54436 ARMSTRONG ROA</t>
  </si>
  <si>
    <t>BLOCK 2 LOT 9    R673792</t>
  </si>
  <si>
    <t>346.06</t>
  </si>
  <si>
    <t>1007</t>
  </si>
  <si>
    <t>437.78</t>
  </si>
  <si>
    <t>37-1N-25-299S-0002-0130</t>
  </si>
  <si>
    <t>371N25299S00020130</t>
  </si>
  <si>
    <t>54320 ARMSTRONG RD</t>
  </si>
  <si>
    <t>1513</t>
  </si>
  <si>
    <t>99900</t>
  </si>
  <si>
    <t xml:space="preserve"> GREEN TREE FINANCIAL CORP</t>
  </si>
  <si>
    <t>70300.00</t>
  </si>
  <si>
    <t>11/03/1998</t>
  </si>
  <si>
    <t>WILLIAMS LAWTON &amp; JEAN</t>
  </si>
  <si>
    <t>375 W 65TH S</t>
  </si>
  <si>
    <t>BLOCK 2 LOT 13</t>
  </si>
  <si>
    <t>389.51</t>
  </si>
  <si>
    <t>385.06</t>
  </si>
  <si>
    <t>469.58</t>
  </si>
  <si>
    <t>05/14/2015</t>
  </si>
  <si>
    <t>1008</t>
  </si>
  <si>
    <t>632.95</t>
  </si>
  <si>
    <t>37-1N-25-299S-0002-0180</t>
  </si>
  <si>
    <t>371N25299S00020180</t>
  </si>
  <si>
    <t>54176 ARMSTRONG RD</t>
  </si>
  <si>
    <t>2351</t>
  </si>
  <si>
    <t>10800</t>
  </si>
  <si>
    <t xml:space="preserve"> COASTAL BANK</t>
  </si>
  <si>
    <t>30912.00</t>
  </si>
  <si>
    <t>08/21/2000</t>
  </si>
  <si>
    <t>KENNISON RICHARD G &amp; ZINA C &amp;</t>
  </si>
  <si>
    <t>54176 ARMSTRONG ROA</t>
  </si>
  <si>
    <t>BLOCK 2 LOT 18</t>
  </si>
  <si>
    <t>563.01</t>
  </si>
  <si>
    <t>571.29</t>
  </si>
  <si>
    <t>658.93</t>
  </si>
  <si>
    <t>723</t>
  </si>
  <si>
    <t>632.47</t>
  </si>
  <si>
    <t>631.53</t>
  </si>
  <si>
    <t>2165</t>
  </si>
  <si>
    <t>987.56</t>
  </si>
  <si>
    <t>1009</t>
  </si>
  <si>
    <t>1020.02</t>
  </si>
  <si>
    <t>992</t>
  </si>
  <si>
    <t>976.67</t>
  </si>
  <si>
    <t>37-1N-25-299S-0002-0210</t>
  </si>
  <si>
    <t>371N25-299S0002-0210</t>
  </si>
  <si>
    <t>ARMSTRONG RD</t>
  </si>
  <si>
    <t>03/25/2009</t>
  </si>
  <si>
    <t>54069 LISA D</t>
  </si>
  <si>
    <t>BLOCK 2 LOT 21</t>
  </si>
  <si>
    <t>359.04</t>
  </si>
  <si>
    <t>37-1N-25-299S-0003-0110</t>
  </si>
  <si>
    <t>371N25299S00030110</t>
  </si>
  <si>
    <t>54326 BEA RD</t>
  </si>
  <si>
    <t xml:space="preserve"> DELAWARE SAVINGS BANK</t>
  </si>
  <si>
    <t>41250.00</t>
  </si>
  <si>
    <t>04/21/1998</t>
  </si>
  <si>
    <t>WALTERS LARRY J &amp; TRACY D</t>
  </si>
  <si>
    <t>54326 BEA ROA</t>
  </si>
  <si>
    <t>BLOCK 3 LOT 11</t>
  </si>
  <si>
    <t>311.41</t>
  </si>
  <si>
    <t>07/06/2017</t>
  </si>
  <si>
    <t>308.34</t>
  </si>
  <si>
    <t>08/09/2016</t>
  </si>
  <si>
    <t>304.10</t>
  </si>
  <si>
    <t>07/08/2015</t>
  </si>
  <si>
    <t>724</t>
  </si>
  <si>
    <t>436.19</t>
  </si>
  <si>
    <t>2166</t>
  </si>
  <si>
    <t>284.61</t>
  </si>
  <si>
    <t>37-1N-25-299S-0003-0330</t>
  </si>
  <si>
    <t>371N25299S00030330</t>
  </si>
  <si>
    <t>54365 ARMSTRONG RD</t>
  </si>
  <si>
    <t>1604</t>
  </si>
  <si>
    <t>3400</t>
  </si>
  <si>
    <t>WEAVER RHENDA S</t>
  </si>
  <si>
    <t>54365 ARMSTRONG ROA</t>
  </si>
  <si>
    <t>BLOCK 3 LOT 33</t>
  </si>
  <si>
    <t>444.96</t>
  </si>
  <si>
    <t>477.64</t>
  </si>
  <si>
    <t>716</t>
  </si>
  <si>
    <t>476.70</t>
  </si>
  <si>
    <t>508.95</t>
  </si>
  <si>
    <t>507.82</t>
  </si>
  <si>
    <t>2168</t>
  </si>
  <si>
    <t>525.58</t>
  </si>
  <si>
    <t>1012</t>
  </si>
  <si>
    <t>485.23</t>
  </si>
  <si>
    <t>471.73</t>
  </si>
  <si>
    <t>37-1N-25-299S-0004-0170</t>
  </si>
  <si>
    <t>371N25299S00040170</t>
  </si>
  <si>
    <t>54200 DORNBUSH RD</t>
  </si>
  <si>
    <t>1607</t>
  </si>
  <si>
    <t>BEST HOME LOAN INC</t>
  </si>
  <si>
    <t>83341.00</t>
  </si>
  <si>
    <t>02/01/2032</t>
  </si>
  <si>
    <t>LOVE STEVEN J</t>
  </si>
  <si>
    <t>54200 DORNBUSH R</t>
  </si>
  <si>
    <t>BLOCK 4 LOT 17</t>
  </si>
  <si>
    <t>621.95</t>
  </si>
  <si>
    <t>05/12/2017</t>
  </si>
  <si>
    <t>1103.80</t>
  </si>
  <si>
    <t>10/15/2013</t>
  </si>
  <si>
    <t>998.90</t>
  </si>
  <si>
    <t>37-1N-25-299S-0004-0380</t>
  </si>
  <si>
    <t>371N25299S00040380</t>
  </si>
  <si>
    <t>54439 BEA RD</t>
  </si>
  <si>
    <t>1292</t>
  </si>
  <si>
    <t>DAUGHTRY JOSEPH JR</t>
  </si>
  <si>
    <t>3479 SUGAR CANE CI</t>
  </si>
  <si>
    <t>Fayetteville</t>
  </si>
  <si>
    <t>28303</t>
  </si>
  <si>
    <t>BLOCK 4 LOT 38</t>
  </si>
  <si>
    <t>787.64</t>
  </si>
  <si>
    <t>37-1N-25-299S-0006-0220</t>
  </si>
  <si>
    <t>371N25299S00060220</t>
  </si>
  <si>
    <t>54185 HELLER RD</t>
  </si>
  <si>
    <t>1809</t>
  </si>
  <si>
    <t>SHELFER CANDIE R</t>
  </si>
  <si>
    <t>54185 HELLER ROA</t>
  </si>
  <si>
    <t>BLOCK 6 LOT 22</t>
  </si>
  <si>
    <t>875.61</t>
  </si>
  <si>
    <t>1057.37</t>
  </si>
  <si>
    <t>775</t>
  </si>
  <si>
    <t>1011.15</t>
  </si>
  <si>
    <t>01/02/2014</t>
  </si>
  <si>
    <t>1017</t>
  </si>
  <si>
    <t>1382.79</t>
  </si>
  <si>
    <t>1476.26</t>
  </si>
  <si>
    <t>04/27/2012</t>
  </si>
  <si>
    <t>37-1N-25-299S-0007-0050</t>
  </si>
  <si>
    <t>371N25-299S0007-0050</t>
  </si>
  <si>
    <t>54174 HELLER RD</t>
  </si>
  <si>
    <t>9300</t>
  </si>
  <si>
    <t>MOSER MICHAEL W</t>
  </si>
  <si>
    <t>54174 HELLER ROA</t>
  </si>
  <si>
    <t>BLOCK 7 LOT 5</t>
  </si>
  <si>
    <t>37-1N-25-299S-0008-0050</t>
  </si>
  <si>
    <t>371N25299S00080050</t>
  </si>
  <si>
    <t>54194 JEANNIE RD</t>
  </si>
  <si>
    <t>0.97</t>
  </si>
  <si>
    <t>MCDOWELL JOHN L</t>
  </si>
  <si>
    <t>54194 JEANNIE ROA</t>
  </si>
  <si>
    <t>BLOCK 8 LOT 5</t>
  </si>
  <si>
    <t>541.29</t>
  </si>
  <si>
    <t>622.09</t>
  </si>
  <si>
    <t>806.74</t>
  </si>
  <si>
    <t>776</t>
  </si>
  <si>
    <t>743.47</t>
  </si>
  <si>
    <t>2176</t>
  </si>
  <si>
    <t>967.56</t>
  </si>
  <si>
    <t>1024</t>
  </si>
  <si>
    <t>420.13</t>
  </si>
  <si>
    <t>1010</t>
  </si>
  <si>
    <t>397.40</t>
  </si>
  <si>
    <t>37-1N-25-299S-0009-0080</t>
  </si>
  <si>
    <t>371N25299S00090080</t>
  </si>
  <si>
    <t>54162 VIKKI RD</t>
  </si>
  <si>
    <t>NORRIS DONNA KAY</t>
  </si>
  <si>
    <t>54042 VIKKI ROA</t>
  </si>
  <si>
    <t>BLOCK 9 LOT 8  (EX S-1)</t>
  </si>
  <si>
    <t>710.67</t>
  </si>
  <si>
    <t>726.78</t>
  </si>
  <si>
    <t>05/30/2017</t>
  </si>
  <si>
    <t>666.02</t>
  </si>
  <si>
    <t>2179</t>
  </si>
  <si>
    <t>292.53</t>
  </si>
  <si>
    <t>08/03/2012</t>
  </si>
  <si>
    <t>37-1N-25-299S-0009-0081</t>
  </si>
  <si>
    <t>371N25299S00090081</t>
  </si>
  <si>
    <t>VIKKI RD</t>
  </si>
  <si>
    <t>HMS AMELIA INC</t>
  </si>
  <si>
    <t>1503 DUNN AV</t>
  </si>
  <si>
    <t>BLOCK 9 PT OF LOT 8</t>
  </si>
  <si>
    <t>59.28</t>
  </si>
  <si>
    <t>53.49</t>
  </si>
  <si>
    <t>52.25</t>
  </si>
  <si>
    <t>49.09</t>
  </si>
  <si>
    <t>42.88</t>
  </si>
  <si>
    <t>54.35</t>
  </si>
  <si>
    <t>1027</t>
  </si>
  <si>
    <t>53.58</t>
  </si>
  <si>
    <t>37-1N-25-299S-0009-0140</t>
  </si>
  <si>
    <t>54115 JEANNIE RD</t>
  </si>
  <si>
    <t>US BANK NA</t>
  </si>
  <si>
    <t>152054.00</t>
  </si>
  <si>
    <t>RYALS JEFF &amp;</t>
  </si>
  <si>
    <t>54115 JEANNIE ROA</t>
  </si>
  <si>
    <t>BLOCK 9 LOT 14</t>
  </si>
  <si>
    <t>03-2N-25-0000-0001-0080</t>
  </si>
  <si>
    <t>45544 MUSSLEWHITE RD</t>
  </si>
  <si>
    <t>11.76</t>
  </si>
  <si>
    <t>4577</t>
  </si>
  <si>
    <t>175000</t>
  </si>
  <si>
    <t>NETTLES AL W JR &amp; MISTY A</t>
  </si>
  <si>
    <t>45544 MUSSLEWHITE R</t>
  </si>
  <si>
    <t>PT SW1/4 SEC 3-2N-25E IN</t>
  </si>
  <si>
    <t>03-2N-25-0000-0001-0170</t>
  </si>
  <si>
    <t>56585 DAVIS RD</t>
  </si>
  <si>
    <t>65.00</t>
  </si>
  <si>
    <t>3273</t>
  </si>
  <si>
    <t>357500</t>
  </si>
  <si>
    <t>BECKER MARVIN ROY</t>
  </si>
  <si>
    <t>56585 DAVIS ROA</t>
  </si>
  <si>
    <t>PT E1/2 PAR'S 1-17 &amp; 1-18</t>
  </si>
  <si>
    <t>4217.31</t>
  </si>
  <si>
    <t>03-2N-25-0000-0004-0010</t>
  </si>
  <si>
    <t>45617 MUSSLEWHITE RD</t>
  </si>
  <si>
    <t>EDWARDS EVAN W &amp; ALISON D</t>
  </si>
  <si>
    <t>45619 MUSSLEWHITE R</t>
  </si>
  <si>
    <t>PT W1/2 OF SW1/4 OF NW1/4 &amp;</t>
  </si>
  <si>
    <t>03-2N-25-0000-0006-0010</t>
  </si>
  <si>
    <t>032N25000000060010</t>
  </si>
  <si>
    <t>56695 DAVIS RD</t>
  </si>
  <si>
    <t>9.15</t>
  </si>
  <si>
    <t>DAVIS JOEL L &amp; KRISTY L</t>
  </si>
  <si>
    <t>56695 DAVIS R</t>
  </si>
  <si>
    <t>IN OR 1792/1807</t>
  </si>
  <si>
    <t>58.99</t>
  </si>
  <si>
    <t>07-2N-25-0000-0005-0000</t>
  </si>
  <si>
    <t>072N25000000050000</t>
  </si>
  <si>
    <t>60.65</t>
  </si>
  <si>
    <t>BELL CAROL ANN</t>
  </si>
  <si>
    <t>45348 ZIDELL ROA</t>
  </si>
  <si>
    <t>PT OR 1317/1646</t>
  </si>
  <si>
    <t>300.26</t>
  </si>
  <si>
    <t>714</t>
  </si>
  <si>
    <t>283.56</t>
  </si>
  <si>
    <t>280.80</t>
  </si>
  <si>
    <t>791</t>
  </si>
  <si>
    <t>156.62</t>
  </si>
  <si>
    <t>03/19/2014</t>
  </si>
  <si>
    <t>856</t>
  </si>
  <si>
    <t>150.99</t>
  </si>
  <si>
    <t>1026</t>
  </si>
  <si>
    <t>116.35</t>
  </si>
  <si>
    <t>07-2N-25-0000-0006-0000</t>
  </si>
  <si>
    <t>072N25000000060000</t>
  </si>
  <si>
    <t>40.47</t>
  </si>
  <si>
    <t>263.46</t>
  </si>
  <si>
    <t>256.48</t>
  </si>
  <si>
    <t>07/21/2016</t>
  </si>
  <si>
    <t>252.10</t>
  </si>
  <si>
    <t>115.72</t>
  </si>
  <si>
    <t>857</t>
  </si>
  <si>
    <t>109.36</t>
  </si>
  <si>
    <t>84.90</t>
  </si>
  <si>
    <t>07-2N-25-0000-0006-0010</t>
  </si>
  <si>
    <t>072N25000000060010</t>
  </si>
  <si>
    <t>UD HWY 1</t>
  </si>
  <si>
    <t>79.53</t>
  </si>
  <si>
    <t>BELL FRANKLIN AARON</t>
  </si>
  <si>
    <t>45419 ZIDELL ROA</t>
  </si>
  <si>
    <t>S1/3 OF W1/2</t>
  </si>
  <si>
    <t>465.25</t>
  </si>
  <si>
    <t>440.54</t>
  </si>
  <si>
    <t>434.17</t>
  </si>
  <si>
    <t>12/26/2015</t>
  </si>
  <si>
    <t>793</t>
  </si>
  <si>
    <t>272.87</t>
  </si>
  <si>
    <t>269.24</t>
  </si>
  <si>
    <t>03/26/2013</t>
  </si>
  <si>
    <t>1028</t>
  </si>
  <si>
    <t>201.90</t>
  </si>
  <si>
    <t>07-2N-25-0000-0007-0000</t>
  </si>
  <si>
    <t>072N25000000070000</t>
  </si>
  <si>
    <t>PT OR 1303/899</t>
  </si>
  <si>
    <t>117.24</t>
  </si>
  <si>
    <t>116.00</t>
  </si>
  <si>
    <t>75.24</t>
  </si>
  <si>
    <t>68.17</t>
  </si>
  <si>
    <t>1030</t>
  </si>
  <si>
    <t>52.72</t>
  </si>
  <si>
    <t>09-2N-25-0000-0003-0030</t>
  </si>
  <si>
    <t>MUSSLEWHITE RD</t>
  </si>
  <si>
    <t>REPAIR SERV NON AUTO</t>
  </si>
  <si>
    <t>8750</t>
  </si>
  <si>
    <t>107000</t>
  </si>
  <si>
    <t>WALL TIMBER PRODUCTS INC</t>
  </si>
  <si>
    <t>45282 MUSSLEWHITE R</t>
  </si>
  <si>
    <t>PT OF SW1/4 OF R/W</t>
  </si>
  <si>
    <t>12-2N-25-0000-0002-0050</t>
  </si>
  <si>
    <t>122N25-00000002-0050</t>
  </si>
  <si>
    <t>SR 200</t>
  </si>
  <si>
    <t>40600</t>
  </si>
  <si>
    <t>HALEY WILLIAM J &amp;</t>
  </si>
  <si>
    <t>PO BOX 275</t>
  </si>
  <si>
    <t>Lake City</t>
  </si>
  <si>
    <t>32055</t>
  </si>
  <si>
    <t>PT OR 1279/1851</t>
  </si>
  <si>
    <t>68.20</t>
  </si>
  <si>
    <t>60.54</t>
  </si>
  <si>
    <t>12-2N-25-2350-0004-0000</t>
  </si>
  <si>
    <t>55193 WHITE OAKS PL</t>
  </si>
  <si>
    <t>0.56</t>
  </si>
  <si>
    <t>STATE EMPLOYEES CU</t>
  </si>
  <si>
    <t>37500.00</t>
  </si>
  <si>
    <t>12/28/2019</t>
  </si>
  <si>
    <t>HANNAH CLYDE CLAYTON JR &amp;</t>
  </si>
  <si>
    <t>55193 WHITE OAKS P</t>
  </si>
  <si>
    <t>1550.77</t>
  </si>
  <si>
    <t>14-2N-25-0000-0001-0020</t>
  </si>
  <si>
    <t>55058 THOMAS RD</t>
  </si>
  <si>
    <t>1330</t>
  </si>
  <si>
    <t>BROWN JEAN</t>
  </si>
  <si>
    <t>55058 THOMAS ROA</t>
  </si>
  <si>
    <t>PT OR SW1/4 OF NW/14 &amp;</t>
  </si>
  <si>
    <t>14-2N-25-0000-0001-0040</t>
  </si>
  <si>
    <t>142N25000000010040</t>
  </si>
  <si>
    <t>450769 SR 200</t>
  </si>
  <si>
    <t>2557</t>
  </si>
  <si>
    <t>179526.00</t>
  </si>
  <si>
    <t>09/29/2010</t>
  </si>
  <si>
    <t>THOMPSON GARY &amp; MARY ANN</t>
  </si>
  <si>
    <t>450769 SR 20</t>
  </si>
  <si>
    <t>1202</t>
  </si>
  <si>
    <t>1374.86</t>
  </si>
  <si>
    <t>06/27/2012</t>
  </si>
  <si>
    <t>15-2N-25-0000-0001-0070</t>
  </si>
  <si>
    <t>152N25000000010070</t>
  </si>
  <si>
    <t>55126 THOMAS RD</t>
  </si>
  <si>
    <t>2282</t>
  </si>
  <si>
    <t>ARMSTRONG DORIS C EST</t>
  </si>
  <si>
    <t>55126 THOMAS R</t>
  </si>
  <si>
    <t>OR 274 PG 678</t>
  </si>
  <si>
    <t>1811.45</t>
  </si>
  <si>
    <t>1027.93</t>
  </si>
  <si>
    <t>1020.43</t>
  </si>
  <si>
    <t>15-2N-25-2980-0001-0010</t>
  </si>
  <si>
    <t>55049 THOMAS RD</t>
  </si>
  <si>
    <t>74500</t>
  </si>
  <si>
    <t>03/01/2034</t>
  </si>
  <si>
    <t>WILLIAMS CATHY LOWE</t>
  </si>
  <si>
    <t>36127 MATT DYLAN R</t>
  </si>
  <si>
    <t>15-2N-25-2980-0009-0030</t>
  </si>
  <si>
    <t>152N25298000090030</t>
  </si>
  <si>
    <t>450671 SR 200 W</t>
  </si>
  <si>
    <t>1.31</t>
  </si>
  <si>
    <t>4468</t>
  </si>
  <si>
    <t>152000.00</t>
  </si>
  <si>
    <t>04/01/2030</t>
  </si>
  <si>
    <t>CARRIGG DAVID</t>
  </si>
  <si>
    <t>145 PINE TREE R</t>
  </si>
  <si>
    <t>East Palatka</t>
  </si>
  <si>
    <t>32131</t>
  </si>
  <si>
    <t>PT OF LOTS 9 10 &amp; 11 (S-3)</t>
  </si>
  <si>
    <t>3242.34</t>
  </si>
  <si>
    <t>3337.29</t>
  </si>
  <si>
    <t>3097.20</t>
  </si>
  <si>
    <t>2642.81</t>
  </si>
  <si>
    <t>16-2N-25-0000-0003-0000</t>
  </si>
  <si>
    <t>162N25000000030000</t>
  </si>
  <si>
    <t>45489 JONES WAY</t>
  </si>
  <si>
    <t>2.99</t>
  </si>
  <si>
    <t>ANDREW L BURNS</t>
  </si>
  <si>
    <t>4886.00</t>
  </si>
  <si>
    <t>07/20/2010</t>
  </si>
  <si>
    <t>BROWN JOHNNY L</t>
  </si>
  <si>
    <t>45489 JONES WA</t>
  </si>
  <si>
    <t>IN OR 261 PG 385 &amp;</t>
  </si>
  <si>
    <t>700.41</t>
  </si>
  <si>
    <t>707.03</t>
  </si>
  <si>
    <t>717.28</t>
  </si>
  <si>
    <t>753</t>
  </si>
  <si>
    <t>674.27</t>
  </si>
  <si>
    <t>801</t>
  </si>
  <si>
    <t>662.16</t>
  </si>
  <si>
    <t>652.40</t>
  </si>
  <si>
    <t>04/25/2014</t>
  </si>
  <si>
    <t>1043</t>
  </si>
  <si>
    <t>794.47</t>
  </si>
  <si>
    <t>05/30/2013</t>
  </si>
  <si>
    <t>1037</t>
  </si>
  <si>
    <t>975.50</t>
  </si>
  <si>
    <t>16-2N-25-0000-0005-0010</t>
  </si>
  <si>
    <t>45082 RAINY LN</t>
  </si>
  <si>
    <t>WALKER MICHAEL L</t>
  </si>
  <si>
    <t>45082 RAINY LAN</t>
  </si>
  <si>
    <t>IN OR 747/824</t>
  </si>
  <si>
    <t>17-2N-25-0000-0011-0130</t>
  </si>
  <si>
    <t>172N25000000110130</t>
  </si>
  <si>
    <t>PRECIOUS PL</t>
  </si>
  <si>
    <t>FRISON HILDA JONES</t>
  </si>
  <si>
    <t>100 BROOKLYN AVE APT 1</t>
  </si>
  <si>
    <t>Freeport</t>
  </si>
  <si>
    <t>11520</t>
  </si>
  <si>
    <t>PT OF LOT 4 IN OR 404/59 BEING</t>
  </si>
  <si>
    <t>280.03</t>
  </si>
  <si>
    <t>281.17</t>
  </si>
  <si>
    <t>282.48</t>
  </si>
  <si>
    <t>258.26</t>
  </si>
  <si>
    <t>809</t>
  </si>
  <si>
    <t>334.03</t>
  </si>
  <si>
    <t>1312</t>
  </si>
  <si>
    <t>331.49</t>
  </si>
  <si>
    <t>1054</t>
  </si>
  <si>
    <t>332.23</t>
  </si>
  <si>
    <t>17-2N-25-0000-0011-0160</t>
  </si>
  <si>
    <t>172N25000000110160</t>
  </si>
  <si>
    <t>MITCHELL GREGORY &amp; LISA</t>
  </si>
  <si>
    <t>1418 GUARDIAN DRIV</t>
  </si>
  <si>
    <t>PT OF LOT 4 IN OR 1301/328</t>
  </si>
  <si>
    <t>58.73</t>
  </si>
  <si>
    <t>745</t>
  </si>
  <si>
    <t>58.91</t>
  </si>
  <si>
    <t>762</t>
  </si>
  <si>
    <t>66.22</t>
  </si>
  <si>
    <t>1313</t>
  </si>
  <si>
    <t>59.00</t>
  </si>
  <si>
    <t>1055</t>
  </si>
  <si>
    <t>72.34</t>
  </si>
  <si>
    <t>17-2N-25-0000-0011-0170</t>
  </si>
  <si>
    <t>172N25000000110170</t>
  </si>
  <si>
    <t>45052 KEY LN</t>
  </si>
  <si>
    <t>83800</t>
  </si>
  <si>
    <t>OLIVER BARRY &amp;</t>
  </si>
  <si>
    <t>45052 KEY LAN</t>
  </si>
  <si>
    <t>PT OF LOT 9 IN OR 1443/1700</t>
  </si>
  <si>
    <t>369.54</t>
  </si>
  <si>
    <t>734</t>
  </si>
  <si>
    <t>367.48</t>
  </si>
  <si>
    <t>746</t>
  </si>
  <si>
    <t>369.15</t>
  </si>
  <si>
    <t>04/04/2017</t>
  </si>
  <si>
    <t>413.98</t>
  </si>
  <si>
    <t>452.79</t>
  </si>
  <si>
    <t>03/03/2015</t>
  </si>
  <si>
    <t>1314</t>
  </si>
  <si>
    <t>481.73</t>
  </si>
  <si>
    <t>1056</t>
  </si>
  <si>
    <t>487.81</t>
  </si>
  <si>
    <t>17-2N-25-3010-0017-0000</t>
  </si>
  <si>
    <t>172N25301000170000</t>
  </si>
  <si>
    <t>45125 EULA B RD</t>
  </si>
  <si>
    <t>1203</t>
  </si>
  <si>
    <t>BRAY DILLON</t>
  </si>
  <si>
    <t>45125 EULA B R</t>
  </si>
  <si>
    <t>LOT 17    R673562</t>
  </si>
  <si>
    <t>696.15</t>
  </si>
  <si>
    <t>04/21/2017</t>
  </si>
  <si>
    <t>776.58</t>
  </si>
  <si>
    <t>04/26/2012</t>
  </si>
  <si>
    <t>888.59</t>
  </si>
  <si>
    <t>18-2N-25-3000-0005-0110</t>
  </si>
  <si>
    <t>182N25300000050110</t>
  </si>
  <si>
    <t>ZIDELL RD</t>
  </si>
  <si>
    <t>46.56</t>
  </si>
  <si>
    <t xml:space="preserve"> ZELL DONALD D TRUST</t>
  </si>
  <si>
    <t>04/27/2011</t>
  </si>
  <si>
    <t>LOTS 5 &amp; 6 (EX S1/3) &amp; LOT 7</t>
  </si>
  <si>
    <t>736</t>
  </si>
  <si>
    <t>216.27</t>
  </si>
  <si>
    <t>748</t>
  </si>
  <si>
    <t>214.41</t>
  </si>
  <si>
    <t>118.95</t>
  </si>
  <si>
    <t>1323</t>
  </si>
  <si>
    <t>112.64</t>
  </si>
  <si>
    <t>1051</t>
  </si>
  <si>
    <t>87.52</t>
  </si>
  <si>
    <t>18-2N-25-3000-0008-0000</t>
  </si>
  <si>
    <t>182N25300000080000</t>
  </si>
  <si>
    <t>LOTS 8 &amp; 10</t>
  </si>
  <si>
    <t>171.64</t>
  </si>
  <si>
    <t>749</t>
  </si>
  <si>
    <t>170.68</t>
  </si>
  <si>
    <t>813</t>
  </si>
  <si>
    <t>88.34</t>
  </si>
  <si>
    <t>1324</t>
  </si>
  <si>
    <t>81.49</t>
  </si>
  <si>
    <t>1052</t>
  </si>
  <si>
    <t>64.79</t>
  </si>
  <si>
    <t>18-2N-25-3000-0009-0000</t>
  </si>
  <si>
    <t>182N25300000090000</t>
  </si>
  <si>
    <t>BELL FRANKLIN AARON &amp;</t>
  </si>
  <si>
    <t>153.96</t>
  </si>
  <si>
    <t>151.38</t>
  </si>
  <si>
    <t>814</t>
  </si>
  <si>
    <t>111.37</t>
  </si>
  <si>
    <t>1325</t>
  </si>
  <si>
    <t>104.92</t>
  </si>
  <si>
    <t>78.53</t>
  </si>
  <si>
    <t>18-2N-25-3000-0011-0000</t>
  </si>
  <si>
    <t>182N25300000110000</t>
  </si>
  <si>
    <t>45417 ZIDELL RD</t>
  </si>
  <si>
    <t>747</t>
  </si>
  <si>
    <t>493.06</t>
  </si>
  <si>
    <t>498.87</t>
  </si>
  <si>
    <t>498.27</t>
  </si>
  <si>
    <t>439.61</t>
  </si>
  <si>
    <t>1326</t>
  </si>
  <si>
    <t>423.73</t>
  </si>
  <si>
    <t>1058</t>
  </si>
  <si>
    <t>413.31</t>
  </si>
  <si>
    <t>387.63</t>
  </si>
  <si>
    <t>18-2N-25-3000-0016-0240</t>
  </si>
  <si>
    <t>182N25300000160240</t>
  </si>
  <si>
    <t>R E LEWIS</t>
  </si>
  <si>
    <t>05/15/2022</t>
  </si>
  <si>
    <t>WITT GARY C &amp; JENNIFER C</t>
  </si>
  <si>
    <t>5150 ALPHA AV</t>
  </si>
  <si>
    <t>N1/2 OF LOT 16 (S-24)</t>
  </si>
  <si>
    <t>848.46</t>
  </si>
  <si>
    <t>18-2N-25-3000-0022-0210</t>
  </si>
  <si>
    <t>182N25300000220210</t>
  </si>
  <si>
    <t>45348 ZIDELL R</t>
  </si>
  <si>
    <t>PT E1/2 OF LOT 22 IN</t>
  </si>
  <si>
    <t>81.31</t>
  </si>
  <si>
    <t>741</t>
  </si>
  <si>
    <t>75.70</t>
  </si>
  <si>
    <t>75.07</t>
  </si>
  <si>
    <t>19-2N-25-0000-0001-0000</t>
  </si>
  <si>
    <t>192N25000000010000</t>
  </si>
  <si>
    <t>45560 HILL RD</t>
  </si>
  <si>
    <t>MITCHELL ARCHIE A JR</t>
  </si>
  <si>
    <t>45560 HILL R</t>
  </si>
  <si>
    <t>IN OR 1784/1006</t>
  </si>
  <si>
    <t>1219.05</t>
  </si>
  <si>
    <t>04/18/2018</t>
  </si>
  <si>
    <t>1246.63</t>
  </si>
  <si>
    <t>03/25/2017</t>
  </si>
  <si>
    <t>1138.84</t>
  </si>
  <si>
    <t>10/30/2015</t>
  </si>
  <si>
    <t>19-2N-25-0000-0017-0000</t>
  </si>
  <si>
    <t>192N25000000170000</t>
  </si>
  <si>
    <t>HILL RD</t>
  </si>
  <si>
    <t>ELEBY DAVID EST</t>
  </si>
  <si>
    <t>PO BOX 65</t>
  </si>
  <si>
    <t>IN SW1/4 OF SE1/4 OF NE1/4</t>
  </si>
  <si>
    <t>251.57</t>
  </si>
  <si>
    <t>819</t>
  </si>
  <si>
    <t>1357</t>
  </si>
  <si>
    <t>263.11</t>
  </si>
  <si>
    <t>1060</t>
  </si>
  <si>
    <t>238.22</t>
  </si>
  <si>
    <t>19-2N-25-0000-0017-0010</t>
  </si>
  <si>
    <t>192N25000000170010</t>
  </si>
  <si>
    <t>45063 ELMWOOD LN</t>
  </si>
  <si>
    <t>1804</t>
  </si>
  <si>
    <t>MITCHELL ARCHIE ANTHONY</t>
  </si>
  <si>
    <t>PO BOX 95</t>
  </si>
  <si>
    <t>PT GOVT LOT 1 OF SEC 19-2N-25E</t>
  </si>
  <si>
    <t>1089.09</t>
  </si>
  <si>
    <t>1006.72</t>
  </si>
  <si>
    <t>841.37</t>
  </si>
  <si>
    <t>1358</t>
  </si>
  <si>
    <t>778.19</t>
  </si>
  <si>
    <t>19-2N-25-0000-0017-0030</t>
  </si>
  <si>
    <t>192N25-00000017-0030</t>
  </si>
  <si>
    <t>45063 ELMWOOD RD</t>
  </si>
  <si>
    <t>WAY RONNIE L EST</t>
  </si>
  <si>
    <t>IN OR 1664/1823</t>
  </si>
  <si>
    <t>489.02</t>
  </si>
  <si>
    <t>516.18</t>
  </si>
  <si>
    <t>19-2N-25-0000-0019-0000</t>
  </si>
  <si>
    <t>192N25000000190000</t>
  </si>
  <si>
    <t>45051 ELMWOOD RD</t>
  </si>
  <si>
    <t>SHEFFIELD EMILY EST</t>
  </si>
  <si>
    <t>45005 COLSON ROA</t>
  </si>
  <si>
    <t>IN OR 726 PG 5</t>
  </si>
  <si>
    <t>829.64</t>
  </si>
  <si>
    <t>811.41</t>
  </si>
  <si>
    <t>749.82</t>
  </si>
  <si>
    <t>608.76</t>
  </si>
  <si>
    <t>617.39</t>
  </si>
  <si>
    <t>06/09/2014</t>
  </si>
  <si>
    <t>667.24</t>
  </si>
  <si>
    <t>19-2N-25-0000-0019-0010</t>
  </si>
  <si>
    <t>192N25000000190010</t>
  </si>
  <si>
    <t>ROBERTS RD</t>
  </si>
  <si>
    <t>ALDERMAN BERNICE JONES W EST</t>
  </si>
  <si>
    <t>58067 ALDERMAN LAN</t>
  </si>
  <si>
    <t>IN OR 35 PG 345</t>
  </si>
  <si>
    <t>441.69</t>
  </si>
  <si>
    <t>479.68</t>
  </si>
  <si>
    <t>439.15</t>
  </si>
  <si>
    <t>369.22</t>
  </si>
  <si>
    <t>362.06</t>
  </si>
  <si>
    <t>1361</t>
  </si>
  <si>
    <t>497.32</t>
  </si>
  <si>
    <t>1066</t>
  </si>
  <si>
    <t>510.42</t>
  </si>
  <si>
    <t>19-2N-25-0000-0026-0020</t>
  </si>
  <si>
    <t>192N25000000260020</t>
  </si>
  <si>
    <t>45273 BLUME DR</t>
  </si>
  <si>
    <t>BLUME IDEE EST</t>
  </si>
  <si>
    <t>IN OR 95 PG 387</t>
  </si>
  <si>
    <t>1381.89</t>
  </si>
  <si>
    <t>04/30/2018</t>
  </si>
  <si>
    <t>1408.64</t>
  </si>
  <si>
    <t>04/03/2017</t>
  </si>
  <si>
    <t>1305.05</t>
  </si>
  <si>
    <t>05/23/2016</t>
  </si>
  <si>
    <t>1147.17</t>
  </si>
  <si>
    <t>1233.13</t>
  </si>
  <si>
    <t>11/05/2013</t>
  </si>
  <si>
    <t>1068</t>
  </si>
  <si>
    <t>587.18</t>
  </si>
  <si>
    <t>1062</t>
  </si>
  <si>
    <t>566.97</t>
  </si>
  <si>
    <t>19-2N-25-0000-0028-0010</t>
  </si>
  <si>
    <t>35808 QUAIL RD</t>
  </si>
  <si>
    <t>10.72</t>
  </si>
  <si>
    <t>DUTTON DONALD D</t>
  </si>
  <si>
    <t>35808 QUAIL ROA</t>
  </si>
  <si>
    <t>1230.87</t>
  </si>
  <si>
    <t>19-2N-25-0000-0033-0020</t>
  </si>
  <si>
    <t>192N25000000330020</t>
  </si>
  <si>
    <t>45175 WARDLAW CIR</t>
  </si>
  <si>
    <t>1858</t>
  </si>
  <si>
    <t>WRIGHT GERALD A &amp;</t>
  </si>
  <si>
    <t>45175 WORDLAW CIR</t>
  </si>
  <si>
    <t>IN OR 1509/1777</t>
  </si>
  <si>
    <t>713.10</t>
  </si>
  <si>
    <t>923.20</t>
  </si>
  <si>
    <t>905.73</t>
  </si>
  <si>
    <t>894.54</t>
  </si>
  <si>
    <t>1072</t>
  </si>
  <si>
    <t>1314.32</t>
  </si>
  <si>
    <t>19-2N-25-0000-0033-0090</t>
  </si>
  <si>
    <t>NELSON EDWARD ELLIS TRUST</t>
  </si>
  <si>
    <t>15 MAGNOLIA D</t>
  </si>
  <si>
    <t>IN OR 379 PG 771</t>
  </si>
  <si>
    <t>19-2N-25-0000-0033-0200</t>
  </si>
  <si>
    <t>BY PASS RD</t>
  </si>
  <si>
    <t>1.93</t>
  </si>
  <si>
    <t>19-2N-25-0000-0035-0010</t>
  </si>
  <si>
    <t>192N25000000350010</t>
  </si>
  <si>
    <t>45059 ARLINE RD</t>
  </si>
  <si>
    <t>1586</t>
  </si>
  <si>
    <t>HAMPTON KEVA &amp;</t>
  </si>
  <si>
    <t>45136 DUTTON WA</t>
  </si>
  <si>
    <t>PT OF SE1/4 OF NE1/4 OF SW1/4</t>
  </si>
  <si>
    <t>1243.27</t>
  </si>
  <si>
    <t>1237.07</t>
  </si>
  <si>
    <t>1145.10</t>
  </si>
  <si>
    <t>19-2N-25-0000-0040-0000</t>
  </si>
  <si>
    <t>192N25000000400000</t>
  </si>
  <si>
    <t>NW1/4 OF NW1/4 OF SW1/4</t>
  </si>
  <si>
    <t>823.91</t>
  </si>
  <si>
    <t>760</t>
  </si>
  <si>
    <t>825.12</t>
  </si>
  <si>
    <t>03/06/2018</t>
  </si>
  <si>
    <t>789.90</t>
  </si>
  <si>
    <t>752.28</t>
  </si>
  <si>
    <t>836</t>
  </si>
  <si>
    <t>595.30</t>
  </si>
  <si>
    <t>1375</t>
  </si>
  <si>
    <t>597.34</t>
  </si>
  <si>
    <t>1078</t>
  </si>
  <si>
    <t>596.61</t>
  </si>
  <si>
    <t>19-2N-25-0000-0042-0030</t>
  </si>
  <si>
    <t>192N25-00000042-0030</t>
  </si>
  <si>
    <t>LAST FRANK JAMES III &amp; MARY J</t>
  </si>
  <si>
    <t>2019 ALACHUA S</t>
  </si>
  <si>
    <t>186.38</t>
  </si>
  <si>
    <t>19-2N-25-0000-0051-0000</t>
  </si>
  <si>
    <t>192N25000000510000</t>
  </si>
  <si>
    <t>45091 WORDLAW CIR</t>
  </si>
  <si>
    <t>6400</t>
  </si>
  <si>
    <t>CRYSTAL I LLC</t>
  </si>
  <si>
    <t>18305 BISCAYNE BLVDSUITE 40</t>
  </si>
  <si>
    <t>Aventura</t>
  </si>
  <si>
    <t>33160</t>
  </si>
  <si>
    <t>IN OR 1646/782</t>
  </si>
  <si>
    <t>425.39</t>
  </si>
  <si>
    <t>410.35</t>
  </si>
  <si>
    <t>355.29</t>
  </si>
  <si>
    <t>339.90</t>
  </si>
  <si>
    <t>292.28</t>
  </si>
  <si>
    <t>07/11/2013</t>
  </si>
  <si>
    <t>289.01</t>
  </si>
  <si>
    <t>1071</t>
  </si>
  <si>
    <t>434.40</t>
  </si>
  <si>
    <t>19-2N-25-0000-0052-0010</t>
  </si>
  <si>
    <t>192N25000000520010</t>
  </si>
  <si>
    <t>45371 MORGAN CIR</t>
  </si>
  <si>
    <t>WILSON MALINDA E</t>
  </si>
  <si>
    <t>45371 MORGAN CIRCL</t>
  </si>
  <si>
    <t>E'LY 250 FT     R497748</t>
  </si>
  <si>
    <t>266.05</t>
  </si>
  <si>
    <t>259.30</t>
  </si>
  <si>
    <t>267.56</t>
  </si>
  <si>
    <t>06/19/2014</t>
  </si>
  <si>
    <t>1377</t>
  </si>
  <si>
    <t>277.33</t>
  </si>
  <si>
    <t>1081</t>
  </si>
  <si>
    <t>277.78</t>
  </si>
  <si>
    <t>19-2N-25-0000-0054-0000</t>
  </si>
  <si>
    <t>45435 MORGAN CIR</t>
  </si>
  <si>
    <t>1.57</t>
  </si>
  <si>
    <t>11700</t>
  </si>
  <si>
    <t>MORTGAGE WHOLESALERS OF FLORIDA INC</t>
  </si>
  <si>
    <t>44000.00</t>
  </si>
  <si>
    <t>07/01/2008</t>
  </si>
  <si>
    <t>THOMPSON A J</t>
  </si>
  <si>
    <t>9220 CYPRESS GREEN D</t>
  </si>
  <si>
    <t>IN OR 2009/1688</t>
  </si>
  <si>
    <t>19-2N-25-0000-0055-0010</t>
  </si>
  <si>
    <t>192N25000000550010</t>
  </si>
  <si>
    <t>DENEFIELD RD</t>
  </si>
  <si>
    <t>0.35</t>
  </si>
  <si>
    <t>129472.00</t>
  </si>
  <si>
    <t>07/27/2034</t>
  </si>
  <si>
    <t>COAKLEY EMMITT D</t>
  </si>
  <si>
    <t>PO BOX 53</t>
  </si>
  <si>
    <t>IN OR 74 PG 312</t>
  </si>
  <si>
    <t>107.31</t>
  </si>
  <si>
    <t>90.46</t>
  </si>
  <si>
    <t>90.80</t>
  </si>
  <si>
    <t>19-2N-25-0000-0075-0000</t>
  </si>
  <si>
    <t>192N25000000750000</t>
  </si>
  <si>
    <t>9880.00</t>
  </si>
  <si>
    <t>08/31/2000</t>
  </si>
  <si>
    <t>KILLINGS LENDFORD &amp; EARTHIE</t>
  </si>
  <si>
    <t>PO BOX 32</t>
  </si>
  <si>
    <t>LOTS 36,37 &amp; 38</t>
  </si>
  <si>
    <t>772</t>
  </si>
  <si>
    <t>206.31</t>
  </si>
  <si>
    <t>766</t>
  </si>
  <si>
    <t>233.86</t>
  </si>
  <si>
    <t>11/06/2017</t>
  </si>
  <si>
    <t>201.45</t>
  </si>
  <si>
    <t>191.86</t>
  </si>
  <si>
    <t>193.99</t>
  </si>
  <si>
    <t>1384</t>
  </si>
  <si>
    <t>188.99</t>
  </si>
  <si>
    <t>188.95</t>
  </si>
  <si>
    <t>19-2N-25-0000-0084-0000</t>
  </si>
  <si>
    <t>192N25000000840000</t>
  </si>
  <si>
    <t>45064 COLSON RD</t>
  </si>
  <si>
    <t>1131</t>
  </si>
  <si>
    <t>WILLIAMS ANTHONY</t>
  </si>
  <si>
    <t>2819 RIPLEY AV</t>
  </si>
  <si>
    <t>PT GOVT LOT 2 OF SEC 19-2N-25E</t>
  </si>
  <si>
    <t>1086.43</t>
  </si>
  <si>
    <t>1114.26</t>
  </si>
  <si>
    <t>12/20/2017</t>
  </si>
  <si>
    <t>781</t>
  </si>
  <si>
    <t>1061.33</t>
  </si>
  <si>
    <t>796</t>
  </si>
  <si>
    <t>951.86</t>
  </si>
  <si>
    <t>845</t>
  </si>
  <si>
    <t>466.76</t>
  </si>
  <si>
    <t>660.62</t>
  </si>
  <si>
    <t>19-2N-25-0000-0102-0010</t>
  </si>
  <si>
    <t>192N25000001020010</t>
  </si>
  <si>
    <t>45263 WHITFIELD RD</t>
  </si>
  <si>
    <t>MELTON CHAD</t>
  </si>
  <si>
    <t>7923 BERRY AV</t>
  </si>
  <si>
    <t>IN OR 1890/825</t>
  </si>
  <si>
    <t>213.32</t>
  </si>
  <si>
    <t>214.29</t>
  </si>
  <si>
    <t>03/07/2017</t>
  </si>
  <si>
    <t>204.00</t>
  </si>
  <si>
    <t>03/02/2016</t>
  </si>
  <si>
    <t>848</t>
  </si>
  <si>
    <t>206.28</t>
  </si>
  <si>
    <t>1387</t>
  </si>
  <si>
    <t>06/14/2012</t>
  </si>
  <si>
    <t>1093</t>
  </si>
  <si>
    <t>201.53</t>
  </si>
  <si>
    <t>19-2N-25-0000-0102-0040</t>
  </si>
  <si>
    <t>192N25000001020040</t>
  </si>
  <si>
    <t>45243 WHITFIELD RD</t>
  </si>
  <si>
    <t>1549</t>
  </si>
  <si>
    <t>PT OF W1/2 OF NW1/4 OF SE1/4</t>
  </si>
  <si>
    <t>446.85</t>
  </si>
  <si>
    <t>543.66</t>
  </si>
  <si>
    <t>454.47</t>
  </si>
  <si>
    <t>160.89</t>
  </si>
  <si>
    <t>2825</t>
  </si>
  <si>
    <t>127.13</t>
  </si>
  <si>
    <t>19-2N-25-0000-0102-0050</t>
  </si>
  <si>
    <t>192N25000001020050</t>
  </si>
  <si>
    <t>WHITFIELD RD</t>
  </si>
  <si>
    <t>MELTON CHAD &amp;</t>
  </si>
  <si>
    <t>PO BOX 386</t>
  </si>
  <si>
    <t>IN OR 1710/602</t>
  </si>
  <si>
    <t>799</t>
  </si>
  <si>
    <t>849</t>
  </si>
  <si>
    <t>209.95</t>
  </si>
  <si>
    <t>1388</t>
  </si>
  <si>
    <t>226.49</t>
  </si>
  <si>
    <t>1094</t>
  </si>
  <si>
    <t>226.65</t>
  </si>
  <si>
    <t>268.40</t>
  </si>
  <si>
    <t>19-2N-25-0000-0102-0080</t>
  </si>
  <si>
    <t>192N25000001020080</t>
  </si>
  <si>
    <t>45174 ARLINE RD</t>
  </si>
  <si>
    <t>1.56</t>
  </si>
  <si>
    <t>4141</t>
  </si>
  <si>
    <t xml:space="preserve"> BSM FINANCIAL LP</t>
  </si>
  <si>
    <t>183261.00</t>
  </si>
  <si>
    <t>03/22/2006</t>
  </si>
  <si>
    <t>JANUSZKIEWICZ LEE &amp; SHERRI L</t>
  </si>
  <si>
    <t>45174 ARLINE ROA</t>
  </si>
  <si>
    <t>IN OR 1322/22</t>
  </si>
  <si>
    <t>1381.18</t>
  </si>
  <si>
    <t>1372.70</t>
  </si>
  <si>
    <t>1413.16</t>
  </si>
  <si>
    <t>1535.82</t>
  </si>
  <si>
    <t>1389</t>
  </si>
  <si>
    <t>1978.17</t>
  </si>
  <si>
    <t>1095</t>
  </si>
  <si>
    <t>1969.72</t>
  </si>
  <si>
    <t>1900.79</t>
  </si>
  <si>
    <t>19-2N-25-0000-0108-0000</t>
  </si>
  <si>
    <t>192N25000001080000</t>
  </si>
  <si>
    <t>45029 STRAWBERRY LN</t>
  </si>
  <si>
    <t>1444</t>
  </si>
  <si>
    <t xml:space="preserve"> NASSAU COUNTY (FL)</t>
  </si>
  <si>
    <t>06/04/2009</t>
  </si>
  <si>
    <t>BOX 54</t>
  </si>
  <si>
    <t>IN OR 453 PG 36</t>
  </si>
  <si>
    <t>440.34</t>
  </si>
  <si>
    <t>439.47</t>
  </si>
  <si>
    <t>434.87</t>
  </si>
  <si>
    <t>401.05</t>
  </si>
  <si>
    <t>05/21/2015</t>
  </si>
  <si>
    <t>851</t>
  </si>
  <si>
    <t>415.45</t>
  </si>
  <si>
    <t>408.46</t>
  </si>
  <si>
    <t>1083</t>
  </si>
  <si>
    <t>120.65</t>
  </si>
  <si>
    <t>02/03/2012</t>
  </si>
  <si>
    <t>19-2N-25-0000-0110-0000</t>
  </si>
  <si>
    <t>192N25000001100000</t>
  </si>
  <si>
    <t>STRAWBERRY LN</t>
  </si>
  <si>
    <t>JONES LATHERN B</t>
  </si>
  <si>
    <t>45772 JONES WA</t>
  </si>
  <si>
    <t>PT OR 1590/726</t>
  </si>
  <si>
    <t>156.49</t>
  </si>
  <si>
    <t>2236</t>
  </si>
  <si>
    <t>176.84</t>
  </si>
  <si>
    <t>2248</t>
  </si>
  <si>
    <t>221.98</t>
  </si>
  <si>
    <t>143.33</t>
  </si>
  <si>
    <t>852</t>
  </si>
  <si>
    <t>1390</t>
  </si>
  <si>
    <t>138.99</t>
  </si>
  <si>
    <t>1097</t>
  </si>
  <si>
    <t>138.70</t>
  </si>
  <si>
    <t>07/27/2017</t>
  </si>
  <si>
    <t>1084</t>
  </si>
  <si>
    <t>162.80</t>
  </si>
  <si>
    <t>19-2N-25-0000-0111-0000</t>
  </si>
  <si>
    <t>192N25000001110000</t>
  </si>
  <si>
    <t>45055 STRAWBERRY LN</t>
  </si>
  <si>
    <t>181.40</t>
  </si>
  <si>
    <t>2237</t>
  </si>
  <si>
    <t>206.79</t>
  </si>
  <si>
    <t>2249</t>
  </si>
  <si>
    <t>256.57</t>
  </si>
  <si>
    <t>1098</t>
  </si>
  <si>
    <t>163.80</t>
  </si>
  <si>
    <t>1085</t>
  </si>
  <si>
    <t>187.95</t>
  </si>
  <si>
    <t>19-2N-25-0000-0132-0000</t>
  </si>
  <si>
    <t>192N25000001320000</t>
  </si>
  <si>
    <t>1/6</t>
  </si>
  <si>
    <t>45092 WHITE RD</t>
  </si>
  <si>
    <t>0.10</t>
  </si>
  <si>
    <t>REED-WHITE BETTY (3/4 INT) &amp;</t>
  </si>
  <si>
    <t>3/4 INT) &amp;WRIGHT LLOYD EST (1/4 INT)45092 WHITE ROA</t>
  </si>
  <si>
    <t>IN DB 135/184 &amp; DB 172/375 &amp;</t>
  </si>
  <si>
    <t>355.74</t>
  </si>
  <si>
    <t>369.51</t>
  </si>
  <si>
    <t>323.41</t>
  </si>
  <si>
    <t>276.31</t>
  </si>
  <si>
    <t>264.96</t>
  </si>
  <si>
    <t>277.09</t>
  </si>
  <si>
    <t>1089</t>
  </si>
  <si>
    <t>320.53</t>
  </si>
  <si>
    <t>19-2N-25-0000-0135-0000</t>
  </si>
  <si>
    <t>192N25000001350000</t>
  </si>
  <si>
    <t>Contaminated Discharge Parcels</t>
  </si>
  <si>
    <t>118000</t>
  </si>
  <si>
    <t>OCEANSIDE BANK</t>
  </si>
  <si>
    <t>1319500.00</t>
  </si>
  <si>
    <t>01/30/2006</t>
  </si>
  <si>
    <t>MAIN LINE TIMBER LLC</t>
  </si>
  <si>
    <t>PT GOVT LOT 2 PAR 135</t>
  </si>
  <si>
    <t>688.51</t>
  </si>
  <si>
    <t>01/15/2016</t>
  </si>
  <si>
    <t>631.07</t>
  </si>
  <si>
    <t>07/09/2014</t>
  </si>
  <si>
    <t>559.69</t>
  </si>
  <si>
    <t>1393</t>
  </si>
  <si>
    <t>425.23</t>
  </si>
  <si>
    <t>08/01/2012</t>
  </si>
  <si>
    <t>19-2N-25-0000-0143-0000</t>
  </si>
  <si>
    <t>192N25000001430000</t>
  </si>
  <si>
    <t>450027 OLD DIXIE HWY</t>
  </si>
  <si>
    <t>HIGGINBOTHAM ALBERT L &amp;</t>
  </si>
  <si>
    <t>PT GOVT LOT 2 PAR 143</t>
  </si>
  <si>
    <t>966.70</t>
  </si>
  <si>
    <t>19-2N-25-0000-0143-0010</t>
  </si>
  <si>
    <t>192N25000001430010</t>
  </si>
  <si>
    <t>PT GOVT LOT 2 PAR 143-1</t>
  </si>
  <si>
    <t>814.28</t>
  </si>
  <si>
    <t>825.27</t>
  </si>
  <si>
    <t>716.81</t>
  </si>
  <si>
    <t>19-2N-25-0000-0143-0020</t>
  </si>
  <si>
    <t>192N25000001430020</t>
  </si>
  <si>
    <t>PT GOVT LOT 2 PAR 143-2</t>
  </si>
  <si>
    <t>981.19</t>
  </si>
  <si>
    <t>898.52</t>
  </si>
  <si>
    <t>795.80</t>
  </si>
  <si>
    <t>605.83</t>
  </si>
  <si>
    <t>19-2N-25-0000-0144-0000</t>
  </si>
  <si>
    <t>192N25000001440000</t>
  </si>
  <si>
    <t>2000000</t>
  </si>
  <si>
    <t>PT GOVT LOT 2</t>
  </si>
  <si>
    <t>1091.67</t>
  </si>
  <si>
    <t>1050.35</t>
  </si>
  <si>
    <t>962.50</t>
  </si>
  <si>
    <t>932.60</t>
  </si>
  <si>
    <t>1396</t>
  </si>
  <si>
    <t>710.06</t>
  </si>
  <si>
    <t>1092</t>
  </si>
  <si>
    <t>998.04</t>
  </si>
  <si>
    <t>19-2N-25-0000-0145-0000</t>
  </si>
  <si>
    <t>192N25000001450000</t>
  </si>
  <si>
    <t>0.49</t>
  </si>
  <si>
    <t>821.37</t>
  </si>
  <si>
    <t>832.48</t>
  </si>
  <si>
    <t>795.87</t>
  </si>
  <si>
    <t>804.64</t>
  </si>
  <si>
    <t>1397</t>
  </si>
  <si>
    <t>1007.07</t>
  </si>
  <si>
    <t>1418.77</t>
  </si>
  <si>
    <t>07/29/2010</t>
  </si>
  <si>
    <t>19-2N-25-0000-0147-0000</t>
  </si>
  <si>
    <t>192N25000001470000</t>
  </si>
  <si>
    <t>0.42</t>
  </si>
  <si>
    <t>557.36</t>
  </si>
  <si>
    <t>540.93</t>
  </si>
  <si>
    <t>506.13</t>
  </si>
  <si>
    <t>495.97</t>
  </si>
  <si>
    <t>1399</t>
  </si>
  <si>
    <t>304.03</t>
  </si>
  <si>
    <t>270.84</t>
  </si>
  <si>
    <t>19-2N-25-0000-0147-0010</t>
  </si>
  <si>
    <t>192N25000001470010</t>
  </si>
  <si>
    <t>783</t>
  </si>
  <si>
    <t>477.60</t>
  </si>
  <si>
    <t>797</t>
  </si>
  <si>
    <t>483.92</t>
  </si>
  <si>
    <t>862</t>
  </si>
  <si>
    <t>468.05</t>
  </si>
  <si>
    <t>1400</t>
  </si>
  <si>
    <t>1192.52</t>
  </si>
  <si>
    <t>1984.13</t>
  </si>
  <si>
    <t>19-2N-25-0000-0147-0020</t>
  </si>
  <si>
    <t>192N25000001470020</t>
  </si>
  <si>
    <t>2454.56</t>
  </si>
  <si>
    <t>2401.62</t>
  </si>
  <si>
    <t>2185.38</t>
  </si>
  <si>
    <t>2109.48</t>
  </si>
  <si>
    <t>1401</t>
  </si>
  <si>
    <t>1708.11</t>
  </si>
  <si>
    <t>2846.91</t>
  </si>
  <si>
    <t>19-2N-25-3020-0018-0000</t>
  </si>
  <si>
    <t>192N25302000180000</t>
  </si>
  <si>
    <t>IN SW1/4 OF SE1/4 OF NW1/4</t>
  </si>
  <si>
    <t>40.91</t>
  </si>
  <si>
    <t>36.88</t>
  </si>
  <si>
    <t>42.66</t>
  </si>
  <si>
    <t>11/21/2014</t>
  </si>
  <si>
    <t>1407</t>
  </si>
  <si>
    <t>22.34</t>
  </si>
  <si>
    <t>1107</t>
  </si>
  <si>
    <t>21.37</t>
  </si>
  <si>
    <t>1103</t>
  </si>
  <si>
    <t>19.56</t>
  </si>
  <si>
    <t>19-2N-25-3020-0033-0000</t>
  </si>
  <si>
    <t>192N25302000330000</t>
  </si>
  <si>
    <t>450426 OLD DIXIE HWY</t>
  </si>
  <si>
    <t>PATTERSON MARK SR &amp;</t>
  </si>
  <si>
    <t>450426 OLD DIXIE HW</t>
  </si>
  <si>
    <t>LOT 33 &amp; PT LOT 32 E SR 115</t>
  </si>
  <si>
    <t>276.94</t>
  </si>
  <si>
    <t>05/04/2017</t>
  </si>
  <si>
    <t>300.79</t>
  </si>
  <si>
    <t>303.44</t>
  </si>
  <si>
    <t>20-2N-25-0000-0011-0000</t>
  </si>
  <si>
    <t>202N25000000110000</t>
  </si>
  <si>
    <t>45972 DIXIE AVE</t>
  </si>
  <si>
    <t>SAMPSON JAMES L</t>
  </si>
  <si>
    <t>45086 WHITFIELD ROA</t>
  </si>
  <si>
    <t>IN OR 791 PG 607</t>
  </si>
  <si>
    <t>313.01</t>
  </si>
  <si>
    <t>298.92</t>
  </si>
  <si>
    <t>230.72</t>
  </si>
  <si>
    <t>246.58</t>
  </si>
  <si>
    <t>1422</t>
  </si>
  <si>
    <t>243.52</t>
  </si>
  <si>
    <t>05/17/2013</t>
  </si>
  <si>
    <t>21-2N-25-0000-0005-0000</t>
  </si>
  <si>
    <t>212N25000000050000</t>
  </si>
  <si>
    <t>BENRAY LN</t>
  </si>
  <si>
    <t>3.45</t>
  </si>
  <si>
    <t>BYRD JEAN ANN &amp;</t>
  </si>
  <si>
    <t>45049 BENRAY LAN</t>
  </si>
  <si>
    <t>PT OR 456/745</t>
  </si>
  <si>
    <t>485.21</t>
  </si>
  <si>
    <t>472.94</t>
  </si>
  <si>
    <t>420.01</t>
  </si>
  <si>
    <t>401.51</t>
  </si>
  <si>
    <t>742.50</t>
  </si>
  <si>
    <t>10/13/2015</t>
  </si>
  <si>
    <t>747.10</t>
  </si>
  <si>
    <t>10/09/2015</t>
  </si>
  <si>
    <t>1106</t>
  </si>
  <si>
    <t>896.55</t>
  </si>
  <si>
    <t>21-2N-25-0000-0005-0020</t>
  </si>
  <si>
    <t>212N25000000050020</t>
  </si>
  <si>
    <t>45002 BENRAY LN</t>
  </si>
  <si>
    <t>WYNDAM MARISSA &amp;</t>
  </si>
  <si>
    <t>PT OR 946/1954</t>
  </si>
  <si>
    <t>577.57</t>
  </si>
  <si>
    <t>528.06</t>
  </si>
  <si>
    <t>456.16</t>
  </si>
  <si>
    <t>878</t>
  </si>
  <si>
    <t>521.79</t>
  </si>
  <si>
    <t>1433</t>
  </si>
  <si>
    <t>523.31</t>
  </si>
  <si>
    <t>610.06</t>
  </si>
  <si>
    <t>Canceled</t>
  </si>
  <si>
    <t>22-2N-25-1460-0003-0000</t>
  </si>
  <si>
    <t>222N25146000030000</t>
  </si>
  <si>
    <t>45126 AMERICAN DREAM DR</t>
  </si>
  <si>
    <t>4283</t>
  </si>
  <si>
    <t>92000</t>
  </si>
  <si>
    <t xml:space="preserve"> SUNTRUST BANK NA</t>
  </si>
  <si>
    <t>06/24/2005</t>
  </si>
  <si>
    <t>GUY THIAM</t>
  </si>
  <si>
    <t>85372 CLAXTON ROA</t>
  </si>
  <si>
    <t>3234.07</t>
  </si>
  <si>
    <t>3020.74</t>
  </si>
  <si>
    <t>879</t>
  </si>
  <si>
    <t>2559.12</t>
  </si>
  <si>
    <t>1459</t>
  </si>
  <si>
    <t>2939.60</t>
  </si>
  <si>
    <t>1113</t>
  </si>
  <si>
    <t>1268.84</t>
  </si>
  <si>
    <t>12/10/2010</t>
  </si>
  <si>
    <t>22-2N-25-1460-0004-0000</t>
  </si>
  <si>
    <t>222N25146000040000</t>
  </si>
  <si>
    <t>45176 AMERICAN DREAM DR</t>
  </si>
  <si>
    <t>4581</t>
  </si>
  <si>
    <t>SUNTRUST BK</t>
  </si>
  <si>
    <t>30510.00</t>
  </si>
  <si>
    <t>05/18/2001</t>
  </si>
  <si>
    <t>TOY GEORGETTE C</t>
  </si>
  <si>
    <t>45176 AMERICAN DREAM DRIV</t>
  </si>
  <si>
    <t>3166.18</t>
  </si>
  <si>
    <t>1109</t>
  </si>
  <si>
    <t>3318.36</t>
  </si>
  <si>
    <t>22-2N-25-1460-0005-0000</t>
  </si>
  <si>
    <t>222N25146000050000</t>
  </si>
  <si>
    <t>45196 AMERICAN DREAM DR</t>
  </si>
  <si>
    <t>32900</t>
  </si>
  <si>
    <t>ADR INVESTMENTS LTD</t>
  </si>
  <si>
    <t>22900.00</t>
  </si>
  <si>
    <t>01/14/2005</t>
  </si>
  <si>
    <t>U Y PROPERTIES LLC</t>
  </si>
  <si>
    <t>449.29</t>
  </si>
  <si>
    <t>426.45</t>
  </si>
  <si>
    <t>1110</t>
  </si>
  <si>
    <t>22-2N-25-1460-0010-0000</t>
  </si>
  <si>
    <t>222N25146000100000</t>
  </si>
  <si>
    <t>45338 AMERICAN DREAM DR</t>
  </si>
  <si>
    <t>35900</t>
  </si>
  <si>
    <t>FIRST UNION MTG CORP</t>
  </si>
  <si>
    <t>34100.00</t>
  </si>
  <si>
    <t>05/01/2001</t>
  </si>
  <si>
    <t>05/01/2006</t>
  </si>
  <si>
    <t>TOY RYAN J</t>
  </si>
  <si>
    <t>180 BOX TREE COUR</t>
  </si>
  <si>
    <t>466.87</t>
  </si>
  <si>
    <t>1460</t>
  </si>
  <si>
    <t>713.96</t>
  </si>
  <si>
    <t>1111</t>
  </si>
  <si>
    <t>22-2N-25-1460-0020-0000</t>
  </si>
  <si>
    <t>222N25146000200000</t>
  </si>
  <si>
    <t>45361 AMERICAN DREAM DR</t>
  </si>
  <si>
    <t>2151</t>
  </si>
  <si>
    <t>* OTHER INSTITUTIONAL LENDERS</t>
  </si>
  <si>
    <t>32900.00</t>
  </si>
  <si>
    <t>02/01/2005</t>
  </si>
  <si>
    <t>08/01/2006</t>
  </si>
  <si>
    <t>TOY CAROLYN GEORGETTE</t>
  </si>
  <si>
    <t>1017.45</t>
  </si>
  <si>
    <t>25-2N-25-0000-0001-0100</t>
  </si>
  <si>
    <t>45979 BISMARK RD</t>
  </si>
  <si>
    <t>2.10</t>
  </si>
  <si>
    <t>3545</t>
  </si>
  <si>
    <t>77500.00</t>
  </si>
  <si>
    <t>07/01/2010</t>
  </si>
  <si>
    <t>PIPPIN PERRY J &amp; SHERYL S</t>
  </si>
  <si>
    <t>45979 BISMARK ROA</t>
  </si>
  <si>
    <t>IN OR 1546/67</t>
  </si>
  <si>
    <t>26-2N-25-0000-0001-0200</t>
  </si>
  <si>
    <t>55798 BEAR RUN RD</t>
  </si>
  <si>
    <t>3977</t>
  </si>
  <si>
    <t>UNION PLANTERS BANK NA</t>
  </si>
  <si>
    <t>02/01/2019</t>
  </si>
  <si>
    <t>JONES RICHARD A &amp; GAYLA S</t>
  </si>
  <si>
    <t>55798 BEAR RUN ROA</t>
  </si>
  <si>
    <t>IN OR 1224/458</t>
  </si>
  <si>
    <t>26-2N-25-0672-0001-0000</t>
  </si>
  <si>
    <t>262N25067200010000</t>
  </si>
  <si>
    <t>BEAR RUN RD</t>
  </si>
  <si>
    <t>GREEN RANDALL B</t>
  </si>
  <si>
    <t>54137 CHURCH ROA</t>
  </si>
  <si>
    <t>2606</t>
  </si>
  <si>
    <t>503.06</t>
  </si>
  <si>
    <t>1676</t>
  </si>
  <si>
    <t>513.99</t>
  </si>
  <si>
    <t>1117</t>
  </si>
  <si>
    <t>515.73</t>
  </si>
  <si>
    <t>1118</t>
  </si>
  <si>
    <t>598.53</t>
  </si>
  <si>
    <t>27-2N-25-0000-0004-0280</t>
  </si>
  <si>
    <t>54593 MARSH RD</t>
  </si>
  <si>
    <t>1.71</t>
  </si>
  <si>
    <t>7900</t>
  </si>
  <si>
    <t>WALKER GEORGE T SR &amp;</t>
  </si>
  <si>
    <t>54593 MARSH R</t>
  </si>
  <si>
    <t>IN OR 892/575</t>
  </si>
  <si>
    <t>27-2N-25-0000-0004-0300</t>
  </si>
  <si>
    <t>54481 MARSH RD</t>
  </si>
  <si>
    <t>1.22</t>
  </si>
  <si>
    <t>54734.00</t>
  </si>
  <si>
    <t>09/10/2016</t>
  </si>
  <si>
    <t>RAY RICHARD C</t>
  </si>
  <si>
    <t>IN OR 818/1013 &amp; OR 1429/1966</t>
  </si>
  <si>
    <t>509.06</t>
  </si>
  <si>
    <t>27-2N-25-0000-0005-0050</t>
  </si>
  <si>
    <t>54388 MARSH RD</t>
  </si>
  <si>
    <t>EARLENE J GREENWOOD</t>
  </si>
  <si>
    <t>12/01/2040</t>
  </si>
  <si>
    <t>SCARBOROUGH GLENDA L</t>
  </si>
  <si>
    <t>54388 MARSH ROA</t>
  </si>
  <si>
    <t>PT OF GOVT LOTS 4 &amp; 5</t>
  </si>
  <si>
    <t>27-2N-25-8600-0003-0000</t>
  </si>
  <si>
    <t>272N25860000030000</t>
  </si>
  <si>
    <t>55138 PEACEFUL TRAIL DR</t>
  </si>
  <si>
    <t>2231</t>
  </si>
  <si>
    <t>179900</t>
  </si>
  <si>
    <t>KENNETH L GREEN CONTRACTOR INC</t>
  </si>
  <si>
    <t>176400.00</t>
  </si>
  <si>
    <t>10/15/2034</t>
  </si>
  <si>
    <t>PARKERSON RHETT P &amp; TANYA D</t>
  </si>
  <si>
    <t>55138 PEACEFUL TRAIL DRIV</t>
  </si>
  <si>
    <t>1651.34</t>
  </si>
  <si>
    <t>1674.87</t>
  </si>
  <si>
    <t>1575.24</t>
  </si>
  <si>
    <t>1611.33</t>
  </si>
  <si>
    <t>1774.99</t>
  </si>
  <si>
    <t>11/05/2012</t>
  </si>
  <si>
    <t>1121</t>
  </si>
  <si>
    <t>1902.17</t>
  </si>
  <si>
    <t>1122</t>
  </si>
  <si>
    <t>2088.97</t>
  </si>
  <si>
    <t>05/31/2011</t>
  </si>
  <si>
    <t>28-2N-25-0150-0005-0000</t>
  </si>
  <si>
    <t>45229 BISMARK RD</t>
  </si>
  <si>
    <t>53000</t>
  </si>
  <si>
    <t>CONNER CHAD DANIEL</t>
  </si>
  <si>
    <t>45229 BISMARK R</t>
  </si>
  <si>
    <t>28-2N-25-3060-0002-0010</t>
  </si>
  <si>
    <t>282N25306000020010</t>
  </si>
  <si>
    <t>45116 KILPATRICK RD</t>
  </si>
  <si>
    <t>KILPATRICK JOEY ALLAN</t>
  </si>
  <si>
    <t>45116 KILPATRICK R</t>
  </si>
  <si>
    <t>PT OF LOT 2 (S-1)</t>
  </si>
  <si>
    <t>972.81</t>
  </si>
  <si>
    <t>11/20/2017</t>
  </si>
  <si>
    <t>418.69</t>
  </si>
  <si>
    <t>414.13</t>
  </si>
  <si>
    <t>381.71</t>
  </si>
  <si>
    <t>442.34</t>
  </si>
  <si>
    <t>28-2N-25-3060-0003-0000</t>
  </si>
  <si>
    <t>282N25306000030000</t>
  </si>
  <si>
    <t>45113 SNICKERS TL</t>
  </si>
  <si>
    <t>20.31</t>
  </si>
  <si>
    <t>2990</t>
  </si>
  <si>
    <t>196500</t>
  </si>
  <si>
    <t>R C COLEMAN</t>
  </si>
  <si>
    <t>189059.00</t>
  </si>
  <si>
    <t>07/19/2002</t>
  </si>
  <si>
    <t>LOTS 3 4 &amp; 63 &amp; PT OF 61 &amp; 62</t>
  </si>
  <si>
    <t>1714.91</t>
  </si>
  <si>
    <t>843</t>
  </si>
  <si>
    <t>1501.70</t>
  </si>
  <si>
    <t>1643.47</t>
  </si>
  <si>
    <t>1754</t>
  </si>
  <si>
    <t>1672.86</t>
  </si>
  <si>
    <t>1124</t>
  </si>
  <si>
    <t>1683.40</t>
  </si>
  <si>
    <t>08/09/2011</t>
  </si>
  <si>
    <t>1126</t>
  </si>
  <si>
    <t>1991.57</t>
  </si>
  <si>
    <t>28-2N-25-3060-0007-0010</t>
  </si>
  <si>
    <t>45151 KILPATRICK RD</t>
  </si>
  <si>
    <t>DAVIS WALTER LEE &amp;</t>
  </si>
  <si>
    <t>1770 RIDGE R</t>
  </si>
  <si>
    <t>Canton</t>
  </si>
  <si>
    <t>30114</t>
  </si>
  <si>
    <t>PT OF LOT 7 (S-1)</t>
  </si>
  <si>
    <t>279.28</t>
  </si>
  <si>
    <t>28-2N-25-3060-0010-0010</t>
  </si>
  <si>
    <t>282N25306000100010</t>
  </si>
  <si>
    <t>45228 BISMARK RD</t>
  </si>
  <si>
    <t>HOLTON ERMA J &amp;</t>
  </si>
  <si>
    <t>45228 BISMARK ROA</t>
  </si>
  <si>
    <t>PT OF LOT 10 &amp; 27 S-1</t>
  </si>
  <si>
    <t>434.77</t>
  </si>
  <si>
    <t>1127</t>
  </si>
  <si>
    <t>558.07</t>
  </si>
  <si>
    <t>06/14/2010</t>
  </si>
  <si>
    <t>28-2N-25-3060-0012-0010</t>
  </si>
  <si>
    <t>45001 REVERE ST</t>
  </si>
  <si>
    <t>FRALICK MARTHA A EST</t>
  </si>
  <si>
    <t>45001 REVERE STREE</t>
  </si>
  <si>
    <t>PT OF LOT 12 &amp; 25</t>
  </si>
  <si>
    <t>28-2N-25-3060-0012-0050</t>
  </si>
  <si>
    <t>282N25306000120050</t>
  </si>
  <si>
    <t>QUIP CT</t>
  </si>
  <si>
    <t>0.72</t>
  </si>
  <si>
    <t>CRAY PRIMULA H</t>
  </si>
  <si>
    <t>BOX 503</t>
  </si>
  <si>
    <t>PT OF LOTS 12 &amp; 13</t>
  </si>
  <si>
    <t>170.44</t>
  </si>
  <si>
    <t>08/09/2017</t>
  </si>
  <si>
    <t>166.86</t>
  </si>
  <si>
    <t>09/09/2011</t>
  </si>
  <si>
    <t>28-2N-25-3060-0017-0000</t>
  </si>
  <si>
    <t>282N25306000170000</t>
  </si>
  <si>
    <t>45018 HEMMINGWAY LN</t>
  </si>
  <si>
    <t>7.10</t>
  </si>
  <si>
    <t>POWERNET CU</t>
  </si>
  <si>
    <t>14000.00</t>
  </si>
  <si>
    <t>08/01/2022</t>
  </si>
  <si>
    <t>FOX J LEE EST</t>
  </si>
  <si>
    <t>45018 HEMMINGWAY L</t>
  </si>
  <si>
    <t>S 939 FT OF LOT 17</t>
  </si>
  <si>
    <t>768.28</t>
  </si>
  <si>
    <t>1756</t>
  </si>
  <si>
    <t>979.88</t>
  </si>
  <si>
    <t>10/19/2012</t>
  </si>
  <si>
    <t>1128</t>
  </si>
  <si>
    <t>583.09</t>
  </si>
  <si>
    <t>08/01/2011</t>
  </si>
  <si>
    <t>28-2N-25-3060-0025-0020</t>
  </si>
  <si>
    <t>282N25306000250020</t>
  </si>
  <si>
    <t>45030 REVERE ST</t>
  </si>
  <si>
    <t>2057</t>
  </si>
  <si>
    <t>FISHER MARGARET SUE</t>
  </si>
  <si>
    <t>45030 REVERE STREE</t>
  </si>
  <si>
    <t>PT OF LOT 25 IN OR 2049/1734</t>
  </si>
  <si>
    <t>970.31</t>
  </si>
  <si>
    <t>01/05/2018</t>
  </si>
  <si>
    <t>1758</t>
  </si>
  <si>
    <t>1039.59</t>
  </si>
  <si>
    <t>11/28/2012</t>
  </si>
  <si>
    <t>479.13</t>
  </si>
  <si>
    <t>28-2N-25-3060-0033-0050</t>
  </si>
  <si>
    <t>282N25306000330050</t>
  </si>
  <si>
    <t>CIRCLE DR</t>
  </si>
  <si>
    <t>1.87</t>
  </si>
  <si>
    <t>ANDERSON KIMBERLY</t>
  </si>
  <si>
    <t>872 S BRETT S</t>
  </si>
  <si>
    <t>Crestview</t>
  </si>
  <si>
    <t>32539</t>
  </si>
  <si>
    <t>PT OF LOT 33</t>
  </si>
  <si>
    <t>399.54</t>
  </si>
  <si>
    <t>403.58</t>
  </si>
  <si>
    <t>1759</t>
  </si>
  <si>
    <t>07/05/2012</t>
  </si>
  <si>
    <t>412.53</t>
  </si>
  <si>
    <t>1132</t>
  </si>
  <si>
    <t>491.45</t>
  </si>
  <si>
    <t>28-2N-25-3060-0047-0030</t>
  </si>
  <si>
    <t>282N25306000470030</t>
  </si>
  <si>
    <t>45164 STRATTON RD</t>
  </si>
  <si>
    <t>5.79</t>
  </si>
  <si>
    <t>2332</t>
  </si>
  <si>
    <t>325000</t>
  </si>
  <si>
    <t>HODGES ROGER L &amp; ANGELA K</t>
  </si>
  <si>
    <t>45164 STRATTON ROA</t>
  </si>
  <si>
    <t>S-3 &amp; S-5 OF LOT 47</t>
  </si>
  <si>
    <t>2364.48</t>
  </si>
  <si>
    <t>2400.26</t>
  </si>
  <si>
    <t>03/23/2018</t>
  </si>
  <si>
    <t>2388.81</t>
  </si>
  <si>
    <t>846</t>
  </si>
  <si>
    <t>2259.94</t>
  </si>
  <si>
    <t>892</t>
  </si>
  <si>
    <t>2427.48</t>
  </si>
  <si>
    <t>1760</t>
  </si>
  <si>
    <t>3461.58</t>
  </si>
  <si>
    <t>3469.92</t>
  </si>
  <si>
    <t>3670.36</t>
  </si>
  <si>
    <t>12/22/2011</t>
  </si>
  <si>
    <t>29-2N-25-0000-0005-0000</t>
  </si>
  <si>
    <t>292N25000000050000</t>
  </si>
  <si>
    <t>45200 DORMAN PL</t>
  </si>
  <si>
    <t>10.99</t>
  </si>
  <si>
    <t>3975</t>
  </si>
  <si>
    <t>07/27/2015</t>
  </si>
  <si>
    <t>MIZELL WALTER S &amp; CARRIE D</t>
  </si>
  <si>
    <t>PT GOVT LOT 1 SEC 29-2N-25E &amp;</t>
  </si>
  <si>
    <t>3438.50</t>
  </si>
  <si>
    <t>29-2N-25-0000-0012-0000</t>
  </si>
  <si>
    <t>450047 SR 200</t>
  </si>
  <si>
    <t>1271</t>
  </si>
  <si>
    <t>189000.00</t>
  </si>
  <si>
    <t>12/01/2066</t>
  </si>
  <si>
    <t>BENNETT JUDSON B 1/2 INT &amp;</t>
  </si>
  <si>
    <t>1/2 INT &amp;BURNS ANDREW L 1/2 INT10562 NEW KINGS R</t>
  </si>
  <si>
    <t>PT NW1/4 OF SEC 29-2N-25E</t>
  </si>
  <si>
    <t>29-2N-25-0000-0016-0010</t>
  </si>
  <si>
    <t>292N25000000160010</t>
  </si>
  <si>
    <t>45063 DRAGONFLY WAY</t>
  </si>
  <si>
    <t>PT OF NW1/4 OF SEC 29-2N-25E</t>
  </si>
  <si>
    <t>227.53</t>
  </si>
  <si>
    <t>233.02</t>
  </si>
  <si>
    <t>29-2N-25-0000-0016-0100</t>
  </si>
  <si>
    <t>292N25000000160100</t>
  </si>
  <si>
    <t>45065 DRAGONFLY WAY</t>
  </si>
  <si>
    <t>994</t>
  </si>
  <si>
    <t>909.28</t>
  </si>
  <si>
    <t>740.11</t>
  </si>
  <si>
    <t>29-2N-25-0000-0026-0000</t>
  </si>
  <si>
    <t>292N25000000260000</t>
  </si>
  <si>
    <t>618291 DR MARTIN LUTHER KING JR AVE</t>
  </si>
  <si>
    <t>0.27</t>
  </si>
  <si>
    <t>21209.00</t>
  </si>
  <si>
    <t>05/06/2014</t>
  </si>
  <si>
    <t>SIMMONS JACQUELINE EST &amp;</t>
  </si>
  <si>
    <t>618291 MARTIN LUTHER KING AV</t>
  </si>
  <si>
    <t>IN OR 1852/1193</t>
  </si>
  <si>
    <t>423.74</t>
  </si>
  <si>
    <t>405.55</t>
  </si>
  <si>
    <t>03/09/2016</t>
  </si>
  <si>
    <t>29-2N-25-3120-0009-0000</t>
  </si>
  <si>
    <t>292N25312000090000</t>
  </si>
  <si>
    <t>45321 GREEN AVE</t>
  </si>
  <si>
    <t>1025</t>
  </si>
  <si>
    <t>JOHN H SMITH</t>
  </si>
  <si>
    <t>G &amp; H LAND DEVELOPMENT LLC</t>
  </si>
  <si>
    <t>BLOCK 1 PT OF LOTS 4 &amp; 5 S-9</t>
  </si>
  <si>
    <t>1729.17</t>
  </si>
  <si>
    <t>1771.16</t>
  </si>
  <si>
    <t>1454.66</t>
  </si>
  <si>
    <t>905</t>
  </si>
  <si>
    <t>1449.38</t>
  </si>
  <si>
    <t>1785</t>
  </si>
  <si>
    <t>1301.79</t>
  </si>
  <si>
    <t>1429.19</t>
  </si>
  <si>
    <t>08/19/2010</t>
  </si>
  <si>
    <t>29-2N-25-3120-0012-0000</t>
  </si>
  <si>
    <t>292N25312000120000</t>
  </si>
  <si>
    <t>45367 GREEN AVE</t>
  </si>
  <si>
    <t>PRIVATE SCHOOLS</t>
  </si>
  <si>
    <t>4079</t>
  </si>
  <si>
    <t>01/05/2004</t>
  </si>
  <si>
    <t>BRADDOCK DALE P &amp; CAROL E</t>
  </si>
  <si>
    <t>PO BOX 51</t>
  </si>
  <si>
    <t>BLK 1 PT LOT 5 IN OR 349/445</t>
  </si>
  <si>
    <t>4923.06</t>
  </si>
  <si>
    <t>4992.21</t>
  </si>
  <si>
    <t>907</t>
  </si>
  <si>
    <t>4812.38</t>
  </si>
  <si>
    <t>1787</t>
  </si>
  <si>
    <t>5126.24</t>
  </si>
  <si>
    <t>5156.80</t>
  </si>
  <si>
    <t>5043.11</t>
  </si>
  <si>
    <t>29-2N-25-3120-0013-0000</t>
  </si>
  <si>
    <t>292N25312000130000</t>
  </si>
  <si>
    <t>45383 GREEN AVE</t>
  </si>
  <si>
    <t>1310</t>
  </si>
  <si>
    <t>BLK 1 PT LOTS 5 &amp; 6</t>
  </si>
  <si>
    <t>1265.18</t>
  </si>
  <si>
    <t>29-2N-25-3120-0070-0000</t>
  </si>
  <si>
    <t>292N25312000700000</t>
  </si>
  <si>
    <t>45125 SECOND AVE</t>
  </si>
  <si>
    <t>0.39</t>
  </si>
  <si>
    <t>1403</t>
  </si>
  <si>
    <t>JONES ALLEN LAMARR JR</t>
  </si>
  <si>
    <t>619 CARRACK DRIV</t>
  </si>
  <si>
    <t>St Marys</t>
  </si>
  <si>
    <t>31558</t>
  </si>
  <si>
    <t>BLOCK 23 PT OF LOTS 6 &amp; 7</t>
  </si>
  <si>
    <t>29-2N-25-3160-0002-0064</t>
  </si>
  <si>
    <t>292N25316000020064</t>
  </si>
  <si>
    <t>45300 BOOTH ST</t>
  </si>
  <si>
    <t>1040</t>
  </si>
  <si>
    <t>BRADDOCK CAROL E &amp;</t>
  </si>
  <si>
    <t>BLK 2 PT OF LOT 6</t>
  </si>
  <si>
    <t>1033.58</t>
  </si>
  <si>
    <t>1061.87</t>
  </si>
  <si>
    <t>1109.79</t>
  </si>
  <si>
    <t>29-2N-25-3200-0003-0010</t>
  </si>
  <si>
    <t>292N25320000030010</t>
  </si>
  <si>
    <t>45219 MICKLER ST</t>
  </si>
  <si>
    <t>2954</t>
  </si>
  <si>
    <t>07/01/2005</t>
  </si>
  <si>
    <t>BELL RONALD W &amp; BRENDA D</t>
  </si>
  <si>
    <t>45219 MICKLER STREE</t>
  </si>
  <si>
    <t>BLOCK 3 LOTS 1 &amp; 2</t>
  </si>
  <si>
    <t>2432.98</t>
  </si>
  <si>
    <t>2472.34</t>
  </si>
  <si>
    <t>2479.74</t>
  </si>
  <si>
    <t>08/17/2015</t>
  </si>
  <si>
    <t>875</t>
  </si>
  <si>
    <t>2336.07</t>
  </si>
  <si>
    <t>913</t>
  </si>
  <si>
    <t>2397.72</t>
  </si>
  <si>
    <t>1793</t>
  </si>
  <si>
    <t>2345.07</t>
  </si>
  <si>
    <t>2298.96</t>
  </si>
  <si>
    <t>2202.68</t>
  </si>
  <si>
    <t>29-2N-25-3200-0003-0030</t>
  </si>
  <si>
    <t>292N25320000030030</t>
  </si>
  <si>
    <t>45030 PUMPKIN CT</t>
  </si>
  <si>
    <t>0.76</t>
  </si>
  <si>
    <t>BLOCK 3 LOTS 3 &amp; 6</t>
  </si>
  <si>
    <t>1717.74</t>
  </si>
  <si>
    <t>1672.33</t>
  </si>
  <si>
    <t>1693.98</t>
  </si>
  <si>
    <t>1794</t>
  </si>
  <si>
    <t>1700.74</t>
  </si>
  <si>
    <t>1702.59</t>
  </si>
  <si>
    <t>1163</t>
  </si>
  <si>
    <t>1697.91</t>
  </si>
  <si>
    <t>29-2N-25-3200-0003-0040</t>
  </si>
  <si>
    <t>292N25320000030040</t>
  </si>
  <si>
    <t>45025 PUMPKIN CT</t>
  </si>
  <si>
    <t>BLOCK 3 LOTS 4 &amp; 5</t>
  </si>
  <si>
    <t>2216.17</t>
  </si>
  <si>
    <t>2060.70</t>
  </si>
  <si>
    <t>2093.64</t>
  </si>
  <si>
    <t>1795</t>
  </si>
  <si>
    <t>2113.45</t>
  </si>
  <si>
    <t>1156</t>
  </si>
  <si>
    <t>2122.33</t>
  </si>
  <si>
    <t>29-2N-25-3220-0003-0021</t>
  </si>
  <si>
    <t>292N25322000030021</t>
  </si>
  <si>
    <t>45127 BOOTH ST</t>
  </si>
  <si>
    <t>119000</t>
  </si>
  <si>
    <t>SOUTHSTAR FUNDING LLC</t>
  </si>
  <si>
    <t>46600.00</t>
  </si>
  <si>
    <t>MCGRATH DONNA</t>
  </si>
  <si>
    <t>45127 BOOTH S</t>
  </si>
  <si>
    <t>BLOCK 3 PT OF LOT 2 (S-1)</t>
  </si>
  <si>
    <t>1252.32</t>
  </si>
  <si>
    <t>1269.76</t>
  </si>
  <si>
    <t>1270.03</t>
  </si>
  <si>
    <t>29-2N-25-3220-0003-0046</t>
  </si>
  <si>
    <t>45110 THIRD AVE</t>
  </si>
  <si>
    <t>0.66</t>
  </si>
  <si>
    <t>1732</t>
  </si>
  <si>
    <t>215000</t>
  </si>
  <si>
    <t>WINIFRED L REAVES ETAL</t>
  </si>
  <si>
    <t>205000.00</t>
  </si>
  <si>
    <t>10/16/2028</t>
  </si>
  <si>
    <t>BUILDING BLOCKS ACADEMY LLC</t>
  </si>
  <si>
    <t>PO BOX 222</t>
  </si>
  <si>
    <t>BLOCK 3 PT OF LOTS 4 &amp; 5</t>
  </si>
  <si>
    <t>29-2N-25-3220-0003-0052</t>
  </si>
  <si>
    <t>292N25322000030052</t>
  </si>
  <si>
    <t>45098 THIRD AVE</t>
  </si>
  <si>
    <t>0.03</t>
  </si>
  <si>
    <t>951</t>
  </si>
  <si>
    <t>80168.00</t>
  </si>
  <si>
    <t>10/02/2006</t>
  </si>
  <si>
    <t>10/09/2008</t>
  </si>
  <si>
    <t>BLOCK 3 PT OF LOT 5</t>
  </si>
  <si>
    <t>959.11</t>
  </si>
  <si>
    <t>882</t>
  </si>
  <si>
    <t>844.71</t>
  </si>
  <si>
    <t>860.03</t>
  </si>
  <si>
    <t>864.17</t>
  </si>
  <si>
    <t>07/14/2014</t>
  </si>
  <si>
    <t>1165</t>
  </si>
  <si>
    <t>939.63</t>
  </si>
  <si>
    <t>29-2N-25-3220-0003-0053</t>
  </si>
  <si>
    <t>292N25322000030053</t>
  </si>
  <si>
    <t>45096 THIRD AV</t>
  </si>
  <si>
    <t>0.06</t>
  </si>
  <si>
    <t>967</t>
  </si>
  <si>
    <t>75150.00</t>
  </si>
  <si>
    <t>05/03/2007</t>
  </si>
  <si>
    <t>BLOCK 3 PT OF LOT 5  TOWNHOUSE</t>
  </si>
  <si>
    <t>1094.72</t>
  </si>
  <si>
    <t>971.47</t>
  </si>
  <si>
    <t>939.10</t>
  </si>
  <si>
    <t>944.08</t>
  </si>
  <si>
    <t>1166</t>
  </si>
  <si>
    <t>1012.25</t>
  </si>
  <si>
    <t>29-2N-25-3220-0003-0054</t>
  </si>
  <si>
    <t>292N25322000030054</t>
  </si>
  <si>
    <t>45102 THIRD AV</t>
  </si>
  <si>
    <t>1091.25</t>
  </si>
  <si>
    <t>967.75</t>
  </si>
  <si>
    <t>935.25</t>
  </si>
  <si>
    <t>1802</t>
  </si>
  <si>
    <t>921.59</t>
  </si>
  <si>
    <t>1167</t>
  </si>
  <si>
    <t>991.19</t>
  </si>
  <si>
    <t>30-2N-25-0000-0001-0020</t>
  </si>
  <si>
    <t>302N25000000010020</t>
  </si>
  <si>
    <t>16.79</t>
  </si>
  <si>
    <t>1000000</t>
  </si>
  <si>
    <t>ALMA EXCHANGE BANK</t>
  </si>
  <si>
    <t>904625.00</t>
  </si>
  <si>
    <t>PT E1/2 OF NE1/4</t>
  </si>
  <si>
    <t>4725.79</t>
  </si>
  <si>
    <t>4791.16</t>
  </si>
  <si>
    <t>4575.68</t>
  </si>
  <si>
    <t>4627.30</t>
  </si>
  <si>
    <t>1819</t>
  </si>
  <si>
    <t>15472.96</t>
  </si>
  <si>
    <t>1169</t>
  </si>
  <si>
    <t>20706.82</t>
  </si>
  <si>
    <t>30-2N-25-0000-0001-0060</t>
  </si>
  <si>
    <t>302N25000000010060</t>
  </si>
  <si>
    <t>10.08</t>
  </si>
  <si>
    <t>2182.51</t>
  </si>
  <si>
    <t>2118.50</t>
  </si>
  <si>
    <t>1982.95</t>
  </si>
  <si>
    <t>1266.17</t>
  </si>
  <si>
    <t>1266.93</t>
  </si>
  <si>
    <t>1502.92</t>
  </si>
  <si>
    <t>30-2N-25-0000-0003-0140</t>
  </si>
  <si>
    <t>OAK TR</t>
  </si>
  <si>
    <t>KELLY DAVID M &amp;</t>
  </si>
  <si>
    <t>45200 OAK TRAI</t>
  </si>
  <si>
    <t>PT NE1/4 OF SEC 30-2N-25E</t>
  </si>
  <si>
    <t>30-2N-25-0000-0009-0000</t>
  </si>
  <si>
    <t>302N25000000090000</t>
  </si>
  <si>
    <t>617365 BRANDIES AV</t>
  </si>
  <si>
    <t>2.20</t>
  </si>
  <si>
    <t>MCANINCH ELLIS L JR</t>
  </si>
  <si>
    <t>BOX 28</t>
  </si>
  <si>
    <t>PT SE1/4 OF NE1/4 OF</t>
  </si>
  <si>
    <t>428.23</t>
  </si>
  <si>
    <t>414.49</t>
  </si>
  <si>
    <t>376.77</t>
  </si>
  <si>
    <t>07/16/2014</t>
  </si>
  <si>
    <t>30-2N-25-0000-0016-0000</t>
  </si>
  <si>
    <t>302N25000000160000</t>
  </si>
  <si>
    <t>MORTUARY/CEMETERY</t>
  </si>
  <si>
    <t>7163</t>
  </si>
  <si>
    <t>185000.00</t>
  </si>
  <si>
    <t>12/03/2008</t>
  </si>
  <si>
    <t>MCANINCH ELLIS JR &amp; CHARLOTTE</t>
  </si>
  <si>
    <t>PO BOX 28</t>
  </si>
  <si>
    <t>PT OF NE1/4 OF SEC 30-2N-25E &amp;</t>
  </si>
  <si>
    <t>4613.54</t>
  </si>
  <si>
    <t>4753.06</t>
  </si>
  <si>
    <t>06/29/2017</t>
  </si>
  <si>
    <t>847</t>
  </si>
  <si>
    <t>4730.01</t>
  </si>
  <si>
    <t>08/04/2015</t>
  </si>
  <si>
    <t>891</t>
  </si>
  <si>
    <t>4545.93</t>
  </si>
  <si>
    <t>1824</t>
  </si>
  <si>
    <t>4173.51</t>
  </si>
  <si>
    <t>12/31/2012</t>
  </si>
  <si>
    <t>30-2N-25-0000-0017-0000</t>
  </si>
  <si>
    <t>302N25000000170000</t>
  </si>
  <si>
    <t>45276 MORGAN CIR</t>
  </si>
  <si>
    <t>3538</t>
  </si>
  <si>
    <t>MORGAN RUBY A ESTATE</t>
  </si>
  <si>
    <t>45276 MORGAN CIRCL</t>
  </si>
  <si>
    <t>IN OR 83 PG 144</t>
  </si>
  <si>
    <t>2268.98</t>
  </si>
  <si>
    <t>2331.33</t>
  </si>
  <si>
    <t>2434.27</t>
  </si>
  <si>
    <t>893</t>
  </si>
  <si>
    <t>1932.44</t>
  </si>
  <si>
    <t>2099.23</t>
  </si>
  <si>
    <t>03/04/2015</t>
  </si>
  <si>
    <t>1825</t>
  </si>
  <si>
    <t>2134.61</t>
  </si>
  <si>
    <t>2152.22</t>
  </si>
  <si>
    <t>1174</t>
  </si>
  <si>
    <t>2476.91</t>
  </si>
  <si>
    <t>30-2N-25-0000-0033-0010</t>
  </si>
  <si>
    <t>302N25-00000033-0010</t>
  </si>
  <si>
    <t>45100 PONY TRL</t>
  </si>
  <si>
    <t>WALTON DEBRA</t>
  </si>
  <si>
    <t>45100 PONY TRAI</t>
  </si>
  <si>
    <t>PT OF SE1/4 OF SEC 30-2N-25E</t>
  </si>
  <si>
    <t>540.38</t>
  </si>
  <si>
    <t>834</t>
  </si>
  <si>
    <t>252.85</t>
  </si>
  <si>
    <t>30-2N-25-0000-0037-0000</t>
  </si>
  <si>
    <t>302N25000000370000</t>
  </si>
  <si>
    <t>835</t>
  </si>
  <si>
    <t>290.94</t>
  </si>
  <si>
    <t>294.69</t>
  </si>
  <si>
    <t>282.37</t>
  </si>
  <si>
    <t>929</t>
  </si>
  <si>
    <t>285.31</t>
  </si>
  <si>
    <t>1827</t>
  </si>
  <si>
    <t>897.91</t>
  </si>
  <si>
    <t>1195.26</t>
  </si>
  <si>
    <t>32-2N-25-0000-0002-0020</t>
  </si>
  <si>
    <t>44087 WOODSIDE LN</t>
  </si>
  <si>
    <t>5.34</t>
  </si>
  <si>
    <t>82400</t>
  </si>
  <si>
    <t>FREMONT INVESTMENT &amp; LOAN</t>
  </si>
  <si>
    <t>DELL DEBORAH H</t>
  </si>
  <si>
    <t>44087 WOODSIDE LAN</t>
  </si>
  <si>
    <t>PT GOVT LOT 1</t>
  </si>
  <si>
    <t>32-2N-25-0000-0007-0000</t>
  </si>
  <si>
    <t>322N25000000070000</t>
  </si>
  <si>
    <t>541703 US HWY 1</t>
  </si>
  <si>
    <t>8752</t>
  </si>
  <si>
    <t>16200</t>
  </si>
  <si>
    <t>WHIDDEN LOREN G</t>
  </si>
  <si>
    <t>541703 US HWY</t>
  </si>
  <si>
    <t>PT GOVT LOT 1 OF SEC 32-2N-25E</t>
  </si>
  <si>
    <t>3034.89</t>
  </si>
  <si>
    <t>3149.28</t>
  </si>
  <si>
    <t>3043.07</t>
  </si>
  <si>
    <t>3881.34</t>
  </si>
  <si>
    <t>32-2N-25-0000-0007-0010</t>
  </si>
  <si>
    <t>541763 US HWY 1</t>
  </si>
  <si>
    <t>1627</t>
  </si>
  <si>
    <t>200000</t>
  </si>
  <si>
    <t>135000.00</t>
  </si>
  <si>
    <t>DUEY-DODGE AMY LEGARE</t>
  </si>
  <si>
    <t>940272 OLD NASSAUVILLE R</t>
  </si>
  <si>
    <t>1297.45</t>
  </si>
  <si>
    <t>32-2N-25-0000-0009-0030</t>
  </si>
  <si>
    <t>322N25000000090030</t>
  </si>
  <si>
    <t>541661 US HWY 1</t>
  </si>
  <si>
    <t>3320</t>
  </si>
  <si>
    <t>7500</t>
  </si>
  <si>
    <t>89202.00</t>
  </si>
  <si>
    <t>08/29/2013</t>
  </si>
  <si>
    <t>PO BOX 96</t>
  </si>
  <si>
    <t>PT GOVT LOT 1 &amp; PT OF SE1/4 OF</t>
  </si>
  <si>
    <t>1114.39</t>
  </si>
  <si>
    <t>01/22/2018</t>
  </si>
  <si>
    <t>1295.25</t>
  </si>
  <si>
    <t>1139.68</t>
  </si>
  <si>
    <t>1881</t>
  </si>
  <si>
    <t>1266.21</t>
  </si>
  <si>
    <t>32-2N-25-019B-0041-0000</t>
  </si>
  <si>
    <t>322N25019B00410000</t>
  </si>
  <si>
    <t>44401 MARY SAULS CIR</t>
  </si>
  <si>
    <t>1775</t>
  </si>
  <si>
    <t>160000</t>
  </si>
  <si>
    <t>ALLEN TRAVIS JOEL</t>
  </si>
  <si>
    <t>44401 MARY SAULS CIRCL</t>
  </si>
  <si>
    <t>1263.16</t>
  </si>
  <si>
    <t>1263.39</t>
  </si>
  <si>
    <t>1963.32</t>
  </si>
  <si>
    <t>03/14/2016</t>
  </si>
  <si>
    <t>1288.09</t>
  </si>
  <si>
    <t>1882</t>
  </si>
  <si>
    <t>1979.22</t>
  </si>
  <si>
    <t>1177</t>
  </si>
  <si>
    <t>2189.35</t>
  </si>
  <si>
    <t>32-2N-25-019B-0059-0000</t>
  </si>
  <si>
    <t>322N25019B00590000</t>
  </si>
  <si>
    <t>46069 ROBINWOOD TRL</t>
  </si>
  <si>
    <t>GREENE KENNETH LEE JR</t>
  </si>
  <si>
    <t>937</t>
  </si>
  <si>
    <t>124.85</t>
  </si>
  <si>
    <t>05/20/2014</t>
  </si>
  <si>
    <t>32-2N-25-019B-0060-0000</t>
  </si>
  <si>
    <t>322N25019B00600000</t>
  </si>
  <si>
    <t>46051 ROBINWOOD TRL</t>
  </si>
  <si>
    <t>938</t>
  </si>
  <si>
    <t>32-2N-25-019B-0061-0000</t>
  </si>
  <si>
    <t>322N25019B00610000</t>
  </si>
  <si>
    <t>46033 ROBINWOOD TRL</t>
  </si>
  <si>
    <t>LOT 61</t>
  </si>
  <si>
    <t>159.13</t>
  </si>
  <si>
    <t>32-2N-25-2920-0002-0020</t>
  </si>
  <si>
    <t>322N25292000020020</t>
  </si>
  <si>
    <t>PICKETT ST</t>
  </si>
  <si>
    <t>NEWCOMB ETHEL S</t>
  </si>
  <si>
    <t>7590 N DESERT TREE DRIV</t>
  </si>
  <si>
    <t>Tucson</t>
  </si>
  <si>
    <t>Arizona</t>
  </si>
  <si>
    <t>85704</t>
  </si>
  <si>
    <t>217.14</t>
  </si>
  <si>
    <t>218.14</t>
  </si>
  <si>
    <t>909</t>
  </si>
  <si>
    <t>207.65</t>
  </si>
  <si>
    <t>941</t>
  </si>
  <si>
    <t>230.83</t>
  </si>
  <si>
    <t>1883</t>
  </si>
  <si>
    <t>32-2N-25-2920-0002-0061</t>
  </si>
  <si>
    <t>322N25-29200002-0061</t>
  </si>
  <si>
    <t>44186 NASSAU AVE</t>
  </si>
  <si>
    <t>SHAW GLORIA &amp;</t>
  </si>
  <si>
    <t>5287 OTTER LN</t>
  </si>
  <si>
    <t>BLOCK 2 LOT PT OF 6 (S-1)</t>
  </si>
  <si>
    <t>395.53</t>
  </si>
  <si>
    <t>32-2N-25-2920-0002-0067</t>
  </si>
  <si>
    <t>322N25292000020067</t>
  </si>
  <si>
    <t>44427 COMMANCHEE RD</t>
  </si>
  <si>
    <t>WILLIAMS CAROLYN D (1/4 INT) &amp;</t>
  </si>
  <si>
    <t>1/4 INT) &amp;GODWIN DAVID ANTHONYJR(3/4 IN)44427 COMMANCHEE R</t>
  </si>
  <si>
    <t>BLOCK 2 PT OF LOT 6 IN</t>
  </si>
  <si>
    <t>266.81</t>
  </si>
  <si>
    <t>279.95</t>
  </si>
  <si>
    <t>08/18/2014</t>
  </si>
  <si>
    <t>32-2N-25-2920-0002-0610</t>
  </si>
  <si>
    <t>322N25292000020610</t>
  </si>
  <si>
    <t>44385 COMMANCHEE RD</t>
  </si>
  <si>
    <t>SLAY RILEY JR</t>
  </si>
  <si>
    <t>BOX 36</t>
  </si>
  <si>
    <t>BLOCK 2 PT OF LOT 6 (S-10)</t>
  </si>
  <si>
    <t>426.54</t>
  </si>
  <si>
    <t>477.41</t>
  </si>
  <si>
    <t>869</t>
  </si>
  <si>
    <t>419.23</t>
  </si>
  <si>
    <t>05/11/2017</t>
  </si>
  <si>
    <t>503.02</t>
  </si>
  <si>
    <t>32-2N-25-2920-0003-0040</t>
  </si>
  <si>
    <t>322N25292000030040</t>
  </si>
  <si>
    <t>COMMANCHEE RD</t>
  </si>
  <si>
    <t>54613 MARLEE R</t>
  </si>
  <si>
    <t>BLOCK 3 LOTS 4 &amp; 5 &amp; W 14</t>
  </si>
  <si>
    <t>1197.44</t>
  </si>
  <si>
    <t>1220.86</t>
  </si>
  <si>
    <t>870</t>
  </si>
  <si>
    <t>1226.92</t>
  </si>
  <si>
    <t>10/31/2016</t>
  </si>
  <si>
    <t>1162.50</t>
  </si>
  <si>
    <t>01/22/2016</t>
  </si>
  <si>
    <t>1158.74</t>
  </si>
  <si>
    <t>12/19/2014</t>
  </si>
  <si>
    <t>1886</t>
  </si>
  <si>
    <t>1280.63</t>
  </si>
  <si>
    <t>1181</t>
  </si>
  <si>
    <t>1286.57</t>
  </si>
  <si>
    <t>12/19/2012</t>
  </si>
  <si>
    <t>1185</t>
  </si>
  <si>
    <t>1506.77</t>
  </si>
  <si>
    <t>32-2N-25-2920-0003-0101</t>
  </si>
  <si>
    <t>322N25292000030101</t>
  </si>
  <si>
    <t>44121 LINDSEY LN</t>
  </si>
  <si>
    <t>25500</t>
  </si>
  <si>
    <t>08/23/2006</t>
  </si>
  <si>
    <t>BECK STANLEY R</t>
  </si>
  <si>
    <t>44121 LINSEY LAN</t>
  </si>
  <si>
    <t>BLOCK 3 PT LOTS 10 &amp; 11</t>
  </si>
  <si>
    <t>821.63</t>
  </si>
  <si>
    <t>830.93</t>
  </si>
  <si>
    <t>824.05</t>
  </si>
  <si>
    <t>775.00</t>
  </si>
  <si>
    <t>446.35</t>
  </si>
  <si>
    <t>1888</t>
  </si>
  <si>
    <t>435.50</t>
  </si>
  <si>
    <t>1182</t>
  </si>
  <si>
    <t>566.94</t>
  </si>
  <si>
    <t>1186</t>
  </si>
  <si>
    <t>551.27</t>
  </si>
  <si>
    <t>32-2N-25-4020-0004-0000</t>
  </si>
  <si>
    <t>322N25402000040000</t>
  </si>
  <si>
    <t>MARY SAULS CIR</t>
  </si>
  <si>
    <t>8.35</t>
  </si>
  <si>
    <t>MERITAGE MTG</t>
  </si>
  <si>
    <t>315500.00</t>
  </si>
  <si>
    <t>03/31/2006</t>
  </si>
  <si>
    <t>04/01/2036</t>
  </si>
  <si>
    <t>KIMES DONDI CLINTON</t>
  </si>
  <si>
    <t>44265 CATTLE BEN</t>
  </si>
  <si>
    <t>PT LOT 4</t>
  </si>
  <si>
    <t>900.03</t>
  </si>
  <si>
    <t>09/30/2014</t>
  </si>
  <si>
    <t>852.87</t>
  </si>
  <si>
    <t>10/17/2013</t>
  </si>
  <si>
    <t>2872</t>
  </si>
  <si>
    <t>1125.50</t>
  </si>
  <si>
    <t>2892</t>
  </si>
  <si>
    <t>1296.60</t>
  </si>
  <si>
    <t>2901</t>
  </si>
  <si>
    <t>1749.60</t>
  </si>
  <si>
    <t>32-2N-25-4020-0004-0020</t>
  </si>
  <si>
    <t>44354 CATTLE BEND DR</t>
  </si>
  <si>
    <t>2353</t>
  </si>
  <si>
    <t>136787.00</t>
  </si>
  <si>
    <t>08/01/2041</t>
  </si>
  <si>
    <t>ARNOLD JERRY RAY &amp; PAULA ANN</t>
  </si>
  <si>
    <t>44354 CATTLE BEND D</t>
  </si>
  <si>
    <t>PT LOT 4 PAR 4-2 PT OR 890/553</t>
  </si>
  <si>
    <t>32-2N-25-4020-0010-0020</t>
  </si>
  <si>
    <t>45775 PICKETT ST</t>
  </si>
  <si>
    <t>NOBLES JOHN &amp; MARY</t>
  </si>
  <si>
    <t>45082 WEAVER CIRCL</t>
  </si>
  <si>
    <t>PT OF LOT 10 &amp; LOTS 13 &amp; 14</t>
  </si>
  <si>
    <t>32-2N-25-5750-0008-0000</t>
  </si>
  <si>
    <t>322N25575000080000</t>
  </si>
  <si>
    <t>LUCKY LN</t>
  </si>
  <si>
    <t>GARY L HIGGINBOTHAM</t>
  </si>
  <si>
    <t>24000.00</t>
  </si>
  <si>
    <t>ARNOLD KEITH &amp; TERESA</t>
  </si>
  <si>
    <t>PO BOX 8</t>
  </si>
  <si>
    <t>LOT 8       IN OR 979/1958</t>
  </si>
  <si>
    <t>452.70</t>
  </si>
  <si>
    <t>412.68</t>
  </si>
  <si>
    <t>07/31/2015</t>
  </si>
  <si>
    <t>416.70</t>
  </si>
  <si>
    <t>460.24</t>
  </si>
  <si>
    <t>461.69</t>
  </si>
  <si>
    <t>550.43</t>
  </si>
  <si>
    <t>32-2N-25-5750-0009-0000</t>
  </si>
  <si>
    <t>322N25575000090000</t>
  </si>
  <si>
    <t>44156 LUCKY LN</t>
  </si>
  <si>
    <t>2.33</t>
  </si>
  <si>
    <t>ARNOLD KEITH</t>
  </si>
  <si>
    <t>BOX 8</t>
  </si>
  <si>
    <t>556.15</t>
  </si>
  <si>
    <t>582.22</t>
  </si>
  <si>
    <t>601.68</t>
  </si>
  <si>
    <t>1891</t>
  </si>
  <si>
    <t>626.89</t>
  </si>
  <si>
    <t>709.87</t>
  </si>
  <si>
    <t>33-2N-25-0000-0002-0000</t>
  </si>
  <si>
    <t>332N25000000020000</t>
  </si>
  <si>
    <t>541692 LEM TURNER RD</t>
  </si>
  <si>
    <t>3.44</t>
  </si>
  <si>
    <t>3799</t>
  </si>
  <si>
    <t>44200</t>
  </si>
  <si>
    <t>SCOTT JEANNE H</t>
  </si>
  <si>
    <t>IN OR 851 PG 795</t>
  </si>
  <si>
    <t>2088.64</t>
  </si>
  <si>
    <t>33-2N-25-0000-0015-0190</t>
  </si>
  <si>
    <t>44208 REBECCA LN</t>
  </si>
  <si>
    <t>12.64</t>
  </si>
  <si>
    <t>2702</t>
  </si>
  <si>
    <t>185000</t>
  </si>
  <si>
    <t>WILLIAM S EWER ETUX</t>
  </si>
  <si>
    <t>240000.00</t>
  </si>
  <si>
    <t>10/01/2014</t>
  </si>
  <si>
    <t>AGUILAR JOSE LUIS</t>
  </si>
  <si>
    <t>541801 LEM TURNER R</t>
  </si>
  <si>
    <t>PT E1/2 OF SEC 33-2N-25E &amp;</t>
  </si>
  <si>
    <t>2166.22</t>
  </si>
  <si>
    <t>33-2N-25-0000-0015-0200</t>
  </si>
  <si>
    <t>332N25000000150200</t>
  </si>
  <si>
    <t>DANIEL HENDRICKS</t>
  </si>
  <si>
    <t>90525.00</t>
  </si>
  <si>
    <t>09/20/2006</t>
  </si>
  <si>
    <t>DON CARTER PLUMBING INC</t>
  </si>
  <si>
    <t>PO BOX 73</t>
  </si>
  <si>
    <t>PT SW1/4 OF SEC 33-2N-25E IN</t>
  </si>
  <si>
    <t>1140.69</t>
  </si>
  <si>
    <t>01/12/2018</t>
  </si>
  <si>
    <t>1162.75</t>
  </si>
  <si>
    <t>12/11/2017</t>
  </si>
  <si>
    <t>1168.51</t>
  </si>
  <si>
    <t>1107.20</t>
  </si>
  <si>
    <t>02/01/2016</t>
  </si>
  <si>
    <t>957</t>
  </si>
  <si>
    <t>2166.08</t>
  </si>
  <si>
    <t>2195.61</t>
  </si>
  <si>
    <t>2195.68</t>
  </si>
  <si>
    <t>34-2N-25-0000-0001-0090</t>
  </si>
  <si>
    <t>342N25000000010090</t>
  </si>
  <si>
    <t>LEM TURNER RD</t>
  </si>
  <si>
    <t>TURNING LEAF HOMEOWNERS ASSC</t>
  </si>
  <si>
    <t>11555 CENTRAL PKWY STE 80</t>
  </si>
  <si>
    <t>IN OR 2040/1187</t>
  </si>
  <si>
    <t>39.70</t>
  </si>
  <si>
    <t>34.78</t>
  </si>
  <si>
    <t>29.37</t>
  </si>
  <si>
    <t>28.42</t>
  </si>
  <si>
    <t>1193</t>
  </si>
  <si>
    <t>20.56</t>
  </si>
  <si>
    <t>34-2N-25-0000-0008-0030</t>
  </si>
  <si>
    <t>342N25000000080030</t>
  </si>
  <si>
    <t>54482 WILBUR JONES RD</t>
  </si>
  <si>
    <t>1572</t>
  </si>
  <si>
    <t>POTZER CHRISTY LEE WHITLEY</t>
  </si>
  <si>
    <t>54482 WILBUR JONES ROA</t>
  </si>
  <si>
    <t>IN OR 1354/1965</t>
  </si>
  <si>
    <t>1195</t>
  </si>
  <si>
    <t>480.60</t>
  </si>
  <si>
    <t>42-2N-25-0000-0013-0010</t>
  </si>
  <si>
    <t>422N25-00000013-0010</t>
  </si>
  <si>
    <t>42.15</t>
  </si>
  <si>
    <t>199000</t>
  </si>
  <si>
    <t>PT FRANCIS WOODS DONATION</t>
  </si>
  <si>
    <t>2476.21</t>
  </si>
  <si>
    <t>10/04/2017</t>
  </si>
  <si>
    <t>2530.69</t>
  </si>
  <si>
    <t>42-2N-25-0000-0013-0020</t>
  </si>
  <si>
    <t>422N25-00000013-0020</t>
  </si>
  <si>
    <t>31.12</t>
  </si>
  <si>
    <t>BENT OAK FARMS OF CALLAHAN LLC</t>
  </si>
  <si>
    <t>3071.15</t>
  </si>
  <si>
    <t>3140.08</t>
  </si>
  <si>
    <t>42-2N-25-0000-0015-0010</t>
  </si>
  <si>
    <t>422N25000000150010</t>
  </si>
  <si>
    <t>1.21</t>
  </si>
  <si>
    <t>ARMSTRONG R H &amp; MARILYN</t>
  </si>
  <si>
    <t>450829 SR 20</t>
  </si>
  <si>
    <t>44.50</t>
  </si>
  <si>
    <t>07/30/2014</t>
  </si>
  <si>
    <t>2553</t>
  </si>
  <si>
    <t>56.46</t>
  </si>
  <si>
    <t>43.41</t>
  </si>
  <si>
    <t>48.50</t>
  </si>
  <si>
    <t>42-2N-25-0000-0019-0010</t>
  </si>
  <si>
    <t>ZWIEFEL ROAD LLC</t>
  </si>
  <si>
    <t>23650.00</t>
  </si>
  <si>
    <t>RICKS JOEY</t>
  </si>
  <si>
    <t>85535 KIRKLAND R</t>
  </si>
  <si>
    <t>PT FRANCIS WOODS GRANT</t>
  </si>
  <si>
    <t>42-2N-25-0000-0019-0030</t>
  </si>
  <si>
    <t>450584 SR 200</t>
  </si>
  <si>
    <t>PHILLIPS CLINT</t>
  </si>
  <si>
    <t>23880 FLORA PARKE BLV</t>
  </si>
  <si>
    <t>42-2N-25-0000-0021-0000</t>
  </si>
  <si>
    <t>55060 ZWEIFEL RD</t>
  </si>
  <si>
    <t>HARTLEY JOSEPHINE M EST</t>
  </si>
  <si>
    <t>55060 ZWEIFEL ROA</t>
  </si>
  <si>
    <t>S260 FT OF E223 FT</t>
  </si>
  <si>
    <t>46-2N-25-0000-0002-0030</t>
  </si>
  <si>
    <t>462N25000000020030</t>
  </si>
  <si>
    <t>45958 BISMARK RD</t>
  </si>
  <si>
    <t>5.06</t>
  </si>
  <si>
    <t>1741</t>
  </si>
  <si>
    <t>HUNT GRACE DIANE</t>
  </si>
  <si>
    <t>45958 BISMARK ROA</t>
  </si>
  <si>
    <t>IN OR 1035/834   1994 HOME DW</t>
  </si>
  <si>
    <t>608.26</t>
  </si>
  <si>
    <t>664.45</t>
  </si>
  <si>
    <t>971</t>
  </si>
  <si>
    <t>653.76</t>
  </si>
  <si>
    <t>2959</t>
  </si>
  <si>
    <t>632.51</t>
  </si>
  <si>
    <t>03/17/2014</t>
  </si>
  <si>
    <t>1233</t>
  </si>
  <si>
    <t>624.57</t>
  </si>
  <si>
    <t>1204</t>
  </si>
  <si>
    <t>607.41</t>
  </si>
  <si>
    <t>46-2N-25-0000-0014-0030</t>
  </si>
  <si>
    <t>462N25000000140030</t>
  </si>
  <si>
    <t>54131 OGILVIE RD</t>
  </si>
  <si>
    <t>CARTER BRYANT STEVEN III</t>
  </si>
  <si>
    <t>54131 OGILVIE ROA</t>
  </si>
  <si>
    <t>PT OF LOT 6 IN OR 803/1034</t>
  </si>
  <si>
    <t>332.18</t>
  </si>
  <si>
    <t>328.18</t>
  </si>
  <si>
    <t>296.50</t>
  </si>
  <si>
    <t>296.67</t>
  </si>
  <si>
    <t>352.75</t>
  </si>
  <si>
    <t>1234</t>
  </si>
  <si>
    <t>378.68</t>
  </si>
  <si>
    <t>09/13/2012</t>
  </si>
  <si>
    <t>1208</t>
  </si>
  <si>
    <t>46-2N-25-0000-0017-0010</t>
  </si>
  <si>
    <t>462N25000000170010</t>
  </si>
  <si>
    <t>54466 OGILVIE RD</t>
  </si>
  <si>
    <t xml:space="preserve"> TROY BANK &amp; TRUST CO</t>
  </si>
  <si>
    <t>38955.00</t>
  </si>
  <si>
    <t>10/09/2006</t>
  </si>
  <si>
    <t>STRAWN STEPHANIE C MUSGROVE</t>
  </si>
  <si>
    <t>25815 GIFT SHOP ROA</t>
  </si>
  <si>
    <t>Opp</t>
  </si>
  <si>
    <t>36467</t>
  </si>
  <si>
    <t>PT OF LOT 6</t>
  </si>
  <si>
    <t>309.23</t>
  </si>
  <si>
    <t>301.36</t>
  </si>
  <si>
    <t>07/29/2016</t>
  </si>
  <si>
    <t>46-2N-25-0000-0020-0010</t>
  </si>
  <si>
    <t>462N25000000200010</t>
  </si>
  <si>
    <t>54720 OGILVIE RD</t>
  </si>
  <si>
    <t>2.16</t>
  </si>
  <si>
    <t>3843</t>
  </si>
  <si>
    <t>112084.00</t>
  </si>
  <si>
    <t>03/19/2023</t>
  </si>
  <si>
    <t>BAKER BEVERLY J &amp;</t>
  </si>
  <si>
    <t>54720 OGILVIE ROA</t>
  </si>
  <si>
    <t>IN OR 552 PG 1071</t>
  </si>
  <si>
    <t>2376.61</t>
  </si>
  <si>
    <t>2103.65</t>
  </si>
  <si>
    <t>940</t>
  </si>
  <si>
    <t>1491.03</t>
  </si>
  <si>
    <t>1236</t>
  </si>
  <si>
    <t>1606.56</t>
  </si>
  <si>
    <t>1210</t>
  </si>
  <si>
    <t>1269.67</t>
  </si>
  <si>
    <t>46-2N-25-0240-0022-0000</t>
  </si>
  <si>
    <t>54096 BAYLAND DR</t>
  </si>
  <si>
    <t>1.41</t>
  </si>
  <si>
    <t>1811</t>
  </si>
  <si>
    <t>186800</t>
  </si>
  <si>
    <t>GORE RICHARD R &amp; JUDY C</t>
  </si>
  <si>
    <t>14590 DUVAL PLACE</t>
  </si>
  <si>
    <t>46-2N-25-197A-0003-0110</t>
  </si>
  <si>
    <t>55012 DEER RUN RD</t>
  </si>
  <si>
    <t>2667</t>
  </si>
  <si>
    <t>E LOAN INC</t>
  </si>
  <si>
    <t>29000.00</t>
  </si>
  <si>
    <t>04/01/2018</t>
  </si>
  <si>
    <t>BRACKETT EDWARD C &amp; COZETTA T</t>
  </si>
  <si>
    <t>55012 DEER RUN D</t>
  </si>
  <si>
    <t>46-2N-25-197B-0005-0050</t>
  </si>
  <si>
    <t>55668 YELLOW JACKET DR</t>
  </si>
  <si>
    <t>3420</t>
  </si>
  <si>
    <t>150000.00</t>
  </si>
  <si>
    <t>06/28/2032</t>
  </si>
  <si>
    <t>LARSON GARY</t>
  </si>
  <si>
    <t>2866 DICKIE S</t>
  </si>
  <si>
    <t>BLOCK 5 LOT 5</t>
  </si>
  <si>
    <t>46-2N-25-197B-0005-0060</t>
  </si>
  <si>
    <t>462N25197B00050060</t>
  </si>
  <si>
    <t>55690 YELLOW JACKET DR</t>
  </si>
  <si>
    <t>3247</t>
  </si>
  <si>
    <t>243500</t>
  </si>
  <si>
    <t>183700.00</t>
  </si>
  <si>
    <t>12/06/2011</t>
  </si>
  <si>
    <t>GREEN FERLANDIS F &amp; CHARLENE Y</t>
  </si>
  <si>
    <t>55690 YELLOW JACKET DRIV</t>
  </si>
  <si>
    <t>BLOCK 5 LOT 6</t>
  </si>
  <si>
    <t>2834.16</t>
  </si>
  <si>
    <t>2937.89</t>
  </si>
  <si>
    <t>2132.72</t>
  </si>
  <si>
    <t>46-2N-25-197D-0013-0020</t>
  </si>
  <si>
    <t>54651 SPRING LAKE DR</t>
  </si>
  <si>
    <t>2782</t>
  </si>
  <si>
    <t>278700</t>
  </si>
  <si>
    <t>ALLY BANK</t>
  </si>
  <si>
    <t>282400.00</t>
  </si>
  <si>
    <t>02/01/2043</t>
  </si>
  <si>
    <t>FORD THOMAS H JR &amp; MICHELE B</t>
  </si>
  <si>
    <t>54651 SPRING LAKE DRIV</t>
  </si>
  <si>
    <t>BLOCK 13 LOT 2</t>
  </si>
  <si>
    <t>46-2N-25-197D-0014-0170</t>
  </si>
  <si>
    <t>55016 BEAR RUN RD</t>
  </si>
  <si>
    <t>2.58</t>
  </si>
  <si>
    <t>193600</t>
  </si>
  <si>
    <t>BKS INC</t>
  </si>
  <si>
    <t>31875.00</t>
  </si>
  <si>
    <t>07/15/2005</t>
  </si>
  <si>
    <t>WILLIAMS KATHALEEN D</t>
  </si>
  <si>
    <t>BOX 45187</t>
  </si>
  <si>
    <t>Kissimmee</t>
  </si>
  <si>
    <t>34745</t>
  </si>
  <si>
    <t>BLOCK 14 LOT 17</t>
  </si>
  <si>
    <t>46-2N-25-197D-0014-0330</t>
  </si>
  <si>
    <t>462N25197D00140330</t>
  </si>
  <si>
    <t>55025 CUB CT</t>
  </si>
  <si>
    <t>WASHINGTON GEORGE III &amp;CHELSEY</t>
  </si>
  <si>
    <t>2124 FAIRFAX STREE</t>
  </si>
  <si>
    <t>BLOCK 14 LOT 33</t>
  </si>
  <si>
    <t>447.15</t>
  </si>
  <si>
    <t>348.18</t>
  </si>
  <si>
    <t>982</t>
  </si>
  <si>
    <t>431.50</t>
  </si>
  <si>
    <t>2969</t>
  </si>
  <si>
    <t>599.52</t>
  </si>
  <si>
    <t>1218</t>
  </si>
  <si>
    <t>615.27</t>
  </si>
  <si>
    <t>46-2N-25-197D-0014-0340</t>
  </si>
  <si>
    <t>462N25197D00140340</t>
  </si>
  <si>
    <t>55073 CUB CT</t>
  </si>
  <si>
    <t>BLOCK 14 LOT 34</t>
  </si>
  <si>
    <t>2970</t>
  </si>
  <si>
    <t>1247</t>
  </si>
  <si>
    <t>1219</t>
  </si>
  <si>
    <t>47-2N-25-0000-0004-0060</t>
  </si>
  <si>
    <t>472N25000000040060</t>
  </si>
  <si>
    <t>45215 SEMINOLE TRL</t>
  </si>
  <si>
    <t>02/01/2022</t>
  </si>
  <si>
    <t>PARCELS 4-6 &amp; S-2 OF LOT 3 OF</t>
  </si>
  <si>
    <t>707.87</t>
  </si>
  <si>
    <t>1222</t>
  </si>
  <si>
    <t>1608.88</t>
  </si>
  <si>
    <t>47-2N-25-0000-0005-0010</t>
  </si>
  <si>
    <t>472N25000000050010</t>
  </si>
  <si>
    <t>PO BOX 49</t>
  </si>
  <si>
    <t>873</t>
  </si>
  <si>
    <t>901</t>
  </si>
  <si>
    <t>287.21</t>
  </si>
  <si>
    <t>2994</t>
  </si>
  <si>
    <t>283.86</t>
  </si>
  <si>
    <t>47-2N-25-0000-0006-0010</t>
  </si>
  <si>
    <t>45217 PETREE RD</t>
  </si>
  <si>
    <t>4.11</t>
  </si>
  <si>
    <t>2412</t>
  </si>
  <si>
    <t>PETREE FAMILY TRUST</t>
  </si>
  <si>
    <t>45217 PETREE R</t>
  </si>
  <si>
    <t>PT OF PEDRO PONS GRANT IN</t>
  </si>
  <si>
    <t>47-2N-25-4080-0008-0010</t>
  </si>
  <si>
    <t>472N25408000080010</t>
  </si>
  <si>
    <t>450279 SR 200</t>
  </si>
  <si>
    <t>4.38</t>
  </si>
  <si>
    <t>3193</t>
  </si>
  <si>
    <t>MILLIGAN RONALD G &amp;</t>
  </si>
  <si>
    <t>LOT 8   R497874</t>
  </si>
  <si>
    <t>2064.48</t>
  </si>
  <si>
    <t>1904.38</t>
  </si>
  <si>
    <t>47-2N-25-4080-0011-0040</t>
  </si>
  <si>
    <t>472N25408000110040</t>
  </si>
  <si>
    <t>450322 SR 200</t>
  </si>
  <si>
    <t>73.35</t>
  </si>
  <si>
    <t>3825</t>
  </si>
  <si>
    <t>HUTSON JULIE WILDES</t>
  </si>
  <si>
    <t>45249 MEADOWBROOK L</t>
  </si>
  <si>
    <t>PT OF LOTS 9 11 12 13 20 &amp; 25</t>
  </si>
  <si>
    <t>2611.75</t>
  </si>
  <si>
    <t>2441.78</t>
  </si>
  <si>
    <t>2177.44</t>
  </si>
  <si>
    <t>2039.66</t>
  </si>
  <si>
    <t>47-2N-25-4080-0014-0030</t>
  </si>
  <si>
    <t>472N25408000140030</t>
  </si>
  <si>
    <t>450348 SR 200</t>
  </si>
  <si>
    <t>2.32</t>
  </si>
  <si>
    <t>1315</t>
  </si>
  <si>
    <t>THOMAS LILLIAN EST</t>
  </si>
  <si>
    <t>BOX 153</t>
  </si>
  <si>
    <t>PT OF LOT 14 &amp; LOT 15</t>
  </si>
  <si>
    <t>1008.31</t>
  </si>
  <si>
    <t>1141.88</t>
  </si>
  <si>
    <t>1177.05</t>
  </si>
  <si>
    <t>2996</t>
  </si>
  <si>
    <t>1500.82</t>
  </si>
  <si>
    <t>02/07/2014</t>
  </si>
  <si>
    <t>1251</t>
  </si>
  <si>
    <t>1639.66</t>
  </si>
  <si>
    <t>1224</t>
  </si>
  <si>
    <t>1464.81</t>
  </si>
  <si>
    <t>47-2N-25-720S-0005-0000</t>
  </si>
  <si>
    <t>472N25720S00050000</t>
  </si>
  <si>
    <t>45500 STRATTON RD</t>
  </si>
  <si>
    <t>96.59</t>
  </si>
  <si>
    <t>10582</t>
  </si>
  <si>
    <t>VICTORY VISION INC</t>
  </si>
  <si>
    <t>PO BOX 145</t>
  </si>
  <si>
    <t>PT OF LOTS 3,4 &amp; 5 OF SHADY</t>
  </si>
  <si>
    <t>25462.96</t>
  </si>
  <si>
    <t>23998.08</t>
  </si>
  <si>
    <t>15831.22</t>
  </si>
  <si>
    <t>16512.12</t>
  </si>
  <si>
    <t>22584.63</t>
  </si>
  <si>
    <t>49-2N-25-4100-0003-0010</t>
  </si>
  <si>
    <t>492N25410000030010</t>
  </si>
  <si>
    <t>45366 FIFTH AVE</t>
  </si>
  <si>
    <t>0.78</t>
  </si>
  <si>
    <t>1493</t>
  </si>
  <si>
    <t xml:space="preserve"> ATLANTIC COAST BANK</t>
  </si>
  <si>
    <t>208000.00</t>
  </si>
  <si>
    <t>01/23/2007</t>
  </si>
  <si>
    <t>HIGGINBOTHAM MARY ANN</t>
  </si>
  <si>
    <t>45366 5TH AV</t>
  </si>
  <si>
    <t>PT OF LOT 3</t>
  </si>
  <si>
    <t>1773.53</t>
  </si>
  <si>
    <t>1862.34</t>
  </si>
  <si>
    <t>958</t>
  </si>
  <si>
    <t>644.26</t>
  </si>
  <si>
    <t>3017</t>
  </si>
  <si>
    <t>627.61</t>
  </si>
  <si>
    <t>1252</t>
  </si>
  <si>
    <t>617.93</t>
  </si>
  <si>
    <t>49-2N-25-4100-0003-0050</t>
  </si>
  <si>
    <t>492N25410000030050</t>
  </si>
  <si>
    <t>PICKETT AV</t>
  </si>
  <si>
    <t>0.01</t>
  </si>
  <si>
    <t>BROOKINS FRANK R</t>
  </si>
  <si>
    <t>PO BOX 183</t>
  </si>
  <si>
    <t>PT OF LOT 3  (EX S-6)</t>
  </si>
  <si>
    <t>36.58</t>
  </si>
  <si>
    <t>31.82</t>
  </si>
  <si>
    <t>31.95</t>
  </si>
  <si>
    <t>31.49</t>
  </si>
  <si>
    <t>30.63</t>
  </si>
  <si>
    <t>1253</t>
  </si>
  <si>
    <t>36.62</t>
  </si>
  <si>
    <t>49-2N-25-4100-0008-0010</t>
  </si>
  <si>
    <t>492N25410000080010</t>
  </si>
  <si>
    <t>ROBINWOOD CIR</t>
  </si>
  <si>
    <t>2.15</t>
  </si>
  <si>
    <t>-</t>
  </si>
  <si>
    <t>PT OF LOTS 8 &amp; 12 BEING A</t>
  </si>
  <si>
    <t>197.50</t>
  </si>
  <si>
    <t>193.14</t>
  </si>
  <si>
    <t>12/30/2016</t>
  </si>
  <si>
    <t>173.60</t>
  </si>
  <si>
    <t>154.06</t>
  </si>
  <si>
    <t>3019</t>
  </si>
  <si>
    <t>148.37</t>
  </si>
  <si>
    <t>49-2N-25-4100-0013-0010</t>
  </si>
  <si>
    <t>492N25410000130010</t>
  </si>
  <si>
    <t>45944 PICKETT ST</t>
  </si>
  <si>
    <t>60600.00</t>
  </si>
  <si>
    <t>05/01/2007</t>
  </si>
  <si>
    <t>MEDSKER TEDDY</t>
  </si>
  <si>
    <t>45944 PICKETT STREE</t>
  </si>
  <si>
    <t>1677.84</t>
  </si>
  <si>
    <t>1728.75</t>
  </si>
  <si>
    <t>962.33</t>
  </si>
  <si>
    <t>12/10/2015</t>
  </si>
  <si>
    <t>1048.39</t>
  </si>
  <si>
    <t>3023</t>
  </si>
  <si>
    <t>1076.95</t>
  </si>
  <si>
    <t>1256</t>
  </si>
  <si>
    <t>1095.46</t>
  </si>
  <si>
    <t>1255.41</t>
  </si>
  <si>
    <t>06/22/2012</t>
  </si>
  <si>
    <t>49-2N-25-4120-0007-0000</t>
  </si>
  <si>
    <t>492N25412000070000</t>
  </si>
  <si>
    <t>45084 MICKLER ST</t>
  </si>
  <si>
    <t>0.19</t>
  </si>
  <si>
    <t>JIM WALTER HOMES INC</t>
  </si>
  <si>
    <t>HACK SHANNON</t>
  </si>
  <si>
    <t>1230.43</t>
  </si>
  <si>
    <t>1113.71</t>
  </si>
  <si>
    <t>994.10</t>
  </si>
  <si>
    <t>999</t>
  </si>
  <si>
    <t>967.24</t>
  </si>
  <si>
    <t>3024</t>
  </si>
  <si>
    <t>935.76</t>
  </si>
  <si>
    <t>934.93</t>
  </si>
  <si>
    <t>1230</t>
  </si>
  <si>
    <t>581.66</t>
  </si>
  <si>
    <t>07/07/2010</t>
  </si>
  <si>
    <t>49-2N-25-4140-0007-0000</t>
  </si>
  <si>
    <t>492N25414000070000</t>
  </si>
  <si>
    <t>45097 MICKLER ST</t>
  </si>
  <si>
    <t>VIRGINIA L GREEN</t>
  </si>
  <si>
    <t>JAN INVESTMENT INC</t>
  </si>
  <si>
    <t>808.62</t>
  </si>
  <si>
    <t>741.96</t>
  </si>
  <si>
    <t>1002</t>
  </si>
  <si>
    <t>673.26</t>
  </si>
  <si>
    <t>3028</t>
  </si>
  <si>
    <t>671.08</t>
  </si>
  <si>
    <t>799.66</t>
  </si>
  <si>
    <t>49-2N-25-4140-0008-0000</t>
  </si>
  <si>
    <t>492N25414000080000</t>
  </si>
  <si>
    <t>45105 MICKLER ST</t>
  </si>
  <si>
    <t>1610</t>
  </si>
  <si>
    <t>09/23/2015</t>
  </si>
  <si>
    <t>589.16</t>
  </si>
  <si>
    <t>624.26</t>
  </si>
  <si>
    <t>632.91</t>
  </si>
  <si>
    <t>3029</t>
  </si>
  <si>
    <t>676.61</t>
  </si>
  <si>
    <t>815.57</t>
  </si>
  <si>
    <t>49-2N-25-4140-0017-0000</t>
  </si>
  <si>
    <t>45138 BROWN ST</t>
  </si>
  <si>
    <t>MURPHY RONALD JASON &amp;</t>
  </si>
  <si>
    <t>54040 VONTZ CIRCL</t>
  </si>
  <si>
    <t>49-2N-25-4140-0019-0000</t>
  </si>
  <si>
    <t>492N25414000190000</t>
  </si>
  <si>
    <t>45102 BROWN ST</t>
  </si>
  <si>
    <t>TANNER KENNETH EDEE JR</t>
  </si>
  <si>
    <t>45102 BROWN S</t>
  </si>
  <si>
    <t>LOTS 19 &amp; 20</t>
  </si>
  <si>
    <t>1704.57</t>
  </si>
  <si>
    <t>895.45</t>
  </si>
  <si>
    <t>902.03</t>
  </si>
  <si>
    <t>932.02</t>
  </si>
  <si>
    <t>49-2N-25-4150-000B-0011</t>
  </si>
  <si>
    <t>492N25-4150000B-0011</t>
  </si>
  <si>
    <t>SIKES J F &amp; A N</t>
  </si>
  <si>
    <t>45290 ROBINWOOD CIRCL</t>
  </si>
  <si>
    <t>BLOCK B PT OF LOTS 1 &amp; 3</t>
  </si>
  <si>
    <t>54.31</t>
  </si>
  <si>
    <t>57.01</t>
  </si>
  <si>
    <t>49-2N-25-4150-000B-0140</t>
  </si>
  <si>
    <t>492N254150000B0140</t>
  </si>
  <si>
    <t>5T WEALTH PARTNERS LP</t>
  </si>
  <si>
    <t>5T WEALTH PARTNERS LPDEPARTMENT #6200PO BOX 83053</t>
  </si>
  <si>
    <t>Birmingham</t>
  </si>
  <si>
    <t>35283</t>
  </si>
  <si>
    <t>BLOCK B LOT 14</t>
  </si>
  <si>
    <t>84.04</t>
  </si>
  <si>
    <t>81.78</t>
  </si>
  <si>
    <t>140.68</t>
  </si>
  <si>
    <t>142.71</t>
  </si>
  <si>
    <t>145.59</t>
  </si>
  <si>
    <t>3031</t>
  </si>
  <si>
    <t>205.09</t>
  </si>
  <si>
    <t>49-2N-25-4150-000B-0150</t>
  </si>
  <si>
    <t>492N254150000B0150</t>
  </si>
  <si>
    <t>5T WEALTH PARTNERS LPDEPARTMENT 6200PO BOX 83053</t>
  </si>
  <si>
    <t>BLOCK B LOT 15</t>
  </si>
  <si>
    <t>3032</t>
  </si>
  <si>
    <t>49-2N-25-4150-000B-0160</t>
  </si>
  <si>
    <t>492N254150000B0160</t>
  </si>
  <si>
    <t>BLOCK B LOT 16</t>
  </si>
  <si>
    <t>3033</t>
  </si>
  <si>
    <t>49-2N-25-4150-000B-0170</t>
  </si>
  <si>
    <t>492N254150000B0170</t>
  </si>
  <si>
    <t>BLOCK B LOT 17</t>
  </si>
  <si>
    <t>139.14</t>
  </si>
  <si>
    <t>139.80</t>
  </si>
  <si>
    <t>916</t>
  </si>
  <si>
    <t>3034</t>
  </si>
  <si>
    <t>49-2N-25-4150-000B-0180</t>
  </si>
  <si>
    <t>492N254150000B0180</t>
  </si>
  <si>
    <t>BLOCK B LOT 18</t>
  </si>
  <si>
    <t>972</t>
  </si>
  <si>
    <t>3035</t>
  </si>
  <si>
    <t>49-2N-25-4150-000B-0190</t>
  </si>
  <si>
    <t>492N254150000B0190</t>
  </si>
  <si>
    <t>BLOCK B LOT 19</t>
  </si>
  <si>
    <t>973</t>
  </si>
  <si>
    <t>3036</t>
  </si>
  <si>
    <t>49-2N-25-4160-0003-0010</t>
  </si>
  <si>
    <t>492N25416000030010</t>
  </si>
  <si>
    <t>2.39</t>
  </si>
  <si>
    <t>ROHE ERIN PA</t>
  </si>
  <si>
    <t>103 S 10TH S</t>
  </si>
  <si>
    <t>288.12</t>
  </si>
  <si>
    <t>289.82</t>
  </si>
  <si>
    <t>293.55</t>
  </si>
  <si>
    <t>976</t>
  </si>
  <si>
    <t>270.46</t>
  </si>
  <si>
    <t>1015</t>
  </si>
  <si>
    <t>251.43</t>
  </si>
  <si>
    <t>3038</t>
  </si>
  <si>
    <t>245.05</t>
  </si>
  <si>
    <t>244.03</t>
  </si>
  <si>
    <t>1241</t>
  </si>
  <si>
    <t>286.95</t>
  </si>
  <si>
    <t>49-2N-25-4160-0003-0020</t>
  </si>
  <si>
    <t>492N25416000030020</t>
  </si>
  <si>
    <t>1.64</t>
  </si>
  <si>
    <t>206.19</t>
  </si>
  <si>
    <t>205.78</t>
  </si>
  <si>
    <t>208.34</t>
  </si>
  <si>
    <t>192.52</t>
  </si>
  <si>
    <t>1016</t>
  </si>
  <si>
    <t>163.02</t>
  </si>
  <si>
    <t>3039</t>
  </si>
  <si>
    <t>157.48</t>
  </si>
  <si>
    <t>1265</t>
  </si>
  <si>
    <t>157.28</t>
  </si>
  <si>
    <t>185.15</t>
  </si>
  <si>
    <t>49-2N-25-4160-0004-0010</t>
  </si>
  <si>
    <t>492N25416000040010</t>
  </si>
  <si>
    <t>7.18</t>
  </si>
  <si>
    <t>PT OF LOTS 4 &amp; 5 &amp; PT OF</t>
  </si>
  <si>
    <t>811.49</t>
  </si>
  <si>
    <t>896</t>
  </si>
  <si>
    <t>826.62</t>
  </si>
  <si>
    <t>837.80</t>
  </si>
  <si>
    <t>978</t>
  </si>
  <si>
    <t>813.16</t>
  </si>
  <si>
    <t>3040</t>
  </si>
  <si>
    <t>708.13</t>
  </si>
  <si>
    <t>1266</t>
  </si>
  <si>
    <t>707.07</t>
  </si>
  <si>
    <t>1243</t>
  </si>
  <si>
    <t>837.98</t>
  </si>
  <si>
    <t>49-2N-25-4160-0004-0020</t>
  </si>
  <si>
    <t>492N25416000040020</t>
  </si>
  <si>
    <t>8.60</t>
  </si>
  <si>
    <t>LOT 6 &amp; PT LOTS 4,5,8 &amp; PT OF</t>
  </si>
  <si>
    <t>966.62</t>
  </si>
  <si>
    <t>985.73</t>
  </si>
  <si>
    <t>999.14</t>
  </si>
  <si>
    <t>969.61</t>
  </si>
  <si>
    <t>1018</t>
  </si>
  <si>
    <t>761.54</t>
  </si>
  <si>
    <t>3041</t>
  </si>
  <si>
    <t>766.47</t>
  </si>
  <si>
    <t>769.60</t>
  </si>
  <si>
    <t>919.94</t>
  </si>
  <si>
    <t>51-2N-25-0000-0001-0010</t>
  </si>
  <si>
    <t>512N25000000010010</t>
  </si>
  <si>
    <t>PT OR 1883/289</t>
  </si>
  <si>
    <t>527.55</t>
  </si>
  <si>
    <t>534.69</t>
  </si>
  <si>
    <t>537.30</t>
  </si>
  <si>
    <t>489.09</t>
  </si>
  <si>
    <t>1021</t>
  </si>
  <si>
    <t>433.53</t>
  </si>
  <si>
    <t>3073</t>
  </si>
  <si>
    <t>432.73</t>
  </si>
  <si>
    <t>1268</t>
  </si>
  <si>
    <t>434.03</t>
  </si>
  <si>
    <t>1245</t>
  </si>
  <si>
    <t>517.26</t>
  </si>
  <si>
    <t>51-2N-25-0000-0011-0000</t>
  </si>
  <si>
    <t>512N25000000110000</t>
  </si>
  <si>
    <t>COLSON JOE L &amp;</t>
  </si>
  <si>
    <t>45094 COLSON RD</t>
  </si>
  <si>
    <t>IN OR 106/266   1/4 INT HX</t>
  </si>
  <si>
    <t>685.21</t>
  </si>
  <si>
    <t>688.56</t>
  </si>
  <si>
    <t>600.20</t>
  </si>
  <si>
    <t>51-2N-25-0000-0012-0000</t>
  </si>
  <si>
    <t>512N25000000120000</t>
  </si>
  <si>
    <t>45050 HISTORICAL LN</t>
  </si>
  <si>
    <t>1.11</t>
  </si>
  <si>
    <t>2340</t>
  </si>
  <si>
    <t>JOSEPH D CANADAY</t>
  </si>
  <si>
    <t>GRIFFIN ANDREW &amp; CONNIE</t>
  </si>
  <si>
    <t>56209 GRIFFIN FARM R</t>
  </si>
  <si>
    <t>IN OR 1281/427</t>
  </si>
  <si>
    <t>2016.95</t>
  </si>
  <si>
    <t>2064.76</t>
  </si>
  <si>
    <t>01/10/2018</t>
  </si>
  <si>
    <t>1973.27</t>
  </si>
  <si>
    <t>1870.60</t>
  </si>
  <si>
    <t>1023</t>
  </si>
  <si>
    <t>1895.38</t>
  </si>
  <si>
    <t>3075</t>
  </si>
  <si>
    <t>2073.68</t>
  </si>
  <si>
    <t>07/31/2013</t>
  </si>
  <si>
    <t>2085.16</t>
  </si>
  <si>
    <t>05/21/2013</t>
  </si>
  <si>
    <t>2747.18</t>
  </si>
  <si>
    <t>04/23/2012</t>
  </si>
  <si>
    <t>51-2N-25-0000-0015-0000</t>
  </si>
  <si>
    <t>512N25000000150000</t>
  </si>
  <si>
    <t>JONES ROBERT ESTATE</t>
  </si>
  <si>
    <t>BOX 40</t>
  </si>
  <si>
    <t>PT F P SANCHEZ GRANT</t>
  </si>
  <si>
    <t>527.82</t>
  </si>
  <si>
    <t>534.99</t>
  </si>
  <si>
    <t>537.57</t>
  </si>
  <si>
    <t>510.01</t>
  </si>
  <si>
    <t>516.10</t>
  </si>
  <si>
    <t>3076</t>
  </si>
  <si>
    <t>516.75</t>
  </si>
  <si>
    <t>1270</t>
  </si>
  <si>
    <t>516.01</t>
  </si>
  <si>
    <t>1249</t>
  </si>
  <si>
    <t>348.96</t>
  </si>
  <si>
    <t>05/16/2011</t>
  </si>
  <si>
    <t>51-2N-25-0000-0016-0000</t>
  </si>
  <si>
    <t>542834 US HWY 1</t>
  </si>
  <si>
    <t>CLUBS/LODGES HALLS</t>
  </si>
  <si>
    <t>10251</t>
  </si>
  <si>
    <t>303725.00</t>
  </si>
  <si>
    <t>07/25/2007</t>
  </si>
  <si>
    <t>WEST NASSAU CHARITIES LLC</t>
  </si>
  <si>
    <t>542830 US HWY</t>
  </si>
  <si>
    <t>IN OR 2098/394</t>
  </si>
  <si>
    <t>51-2N-25-0000-0021-0000</t>
  </si>
  <si>
    <t>512N25-00000021-0000</t>
  </si>
  <si>
    <t>542766 US HWY 1</t>
  </si>
  <si>
    <t>1383</t>
  </si>
  <si>
    <t>84900</t>
  </si>
  <si>
    <t>392306 PROSPECT LANDING R</t>
  </si>
  <si>
    <t>IN OR 879/305</t>
  </si>
  <si>
    <t>1302.87</t>
  </si>
  <si>
    <t>51-2N-25-0000-0024-0000</t>
  </si>
  <si>
    <t>512N25000000240000</t>
  </si>
  <si>
    <t>542738 US HWY 1</t>
  </si>
  <si>
    <t>7.33</t>
  </si>
  <si>
    <t>PT OR 1028/1690</t>
  </si>
  <si>
    <t>3551.60</t>
  </si>
  <si>
    <t>3636.25</t>
  </si>
  <si>
    <t>3769.52</t>
  </si>
  <si>
    <t>3495.68</t>
  </si>
  <si>
    <t>3488.64</t>
  </si>
  <si>
    <t>51-2N-25-0000-0027-0000</t>
  </si>
  <si>
    <t>512N25000000270000</t>
  </si>
  <si>
    <t>45035 TAYLOR RD</t>
  </si>
  <si>
    <t>WILLIAMS ROBERT L ESTATE</t>
  </si>
  <si>
    <t>542696 US HWY</t>
  </si>
  <si>
    <t>IN DB 220 PG 62</t>
  </si>
  <si>
    <t>261.72</t>
  </si>
  <si>
    <t>251.32</t>
  </si>
  <si>
    <t>228.05</t>
  </si>
  <si>
    <t>409.39</t>
  </si>
  <si>
    <t>3077</t>
  </si>
  <si>
    <t>408.16</t>
  </si>
  <si>
    <t>51-2N-25-0000-0033-0020</t>
  </si>
  <si>
    <t>512N25000000330020</t>
  </si>
  <si>
    <t>45101 HOLLOWAY LN</t>
  </si>
  <si>
    <t>1952</t>
  </si>
  <si>
    <t>NELSON MARTHA EST</t>
  </si>
  <si>
    <t>45101 HOLLOWAY L</t>
  </si>
  <si>
    <t>IN OR 19 PG 86</t>
  </si>
  <si>
    <t>749.18</t>
  </si>
  <si>
    <t>759.25</t>
  </si>
  <si>
    <t>08/31/2017</t>
  </si>
  <si>
    <t>694.43</t>
  </si>
  <si>
    <t>288.01</t>
  </si>
  <si>
    <t>3079</t>
  </si>
  <si>
    <t>264.39</t>
  </si>
  <si>
    <t>01/07/2013</t>
  </si>
  <si>
    <t>236.14</t>
  </si>
  <si>
    <t>12/12/2011</t>
  </si>
  <si>
    <t>51-2N-25-0000-0042-0000</t>
  </si>
  <si>
    <t>512N25000000420000</t>
  </si>
  <si>
    <t>DR MARTIN LUTHER KING JR AV</t>
  </si>
  <si>
    <t>LALLAMANT STEVEN R</t>
  </si>
  <si>
    <t>PO BOX 1302</t>
  </si>
  <si>
    <t>St Petersburg</t>
  </si>
  <si>
    <t>33733</t>
  </si>
  <si>
    <t>1031</t>
  </si>
  <si>
    <t>3083</t>
  </si>
  <si>
    <t>1258</t>
  </si>
  <si>
    <t>51-2N-25-0000-0044-0010</t>
  </si>
  <si>
    <t>512N25000000440010</t>
  </si>
  <si>
    <t>HOLLOWAY LN</t>
  </si>
  <si>
    <t>0.09</t>
  </si>
  <si>
    <t>86.11</t>
  </si>
  <si>
    <t>97.60</t>
  </si>
  <si>
    <t>1032</t>
  </si>
  <si>
    <t>83.43</t>
  </si>
  <si>
    <t>85.05</t>
  </si>
  <si>
    <t>75.84</t>
  </si>
  <si>
    <t>1259</t>
  </si>
  <si>
    <t>87.40</t>
  </si>
  <si>
    <t>51-2N-25-0000-0045-0000</t>
  </si>
  <si>
    <t>512N25000000450000</t>
  </si>
  <si>
    <t>1033</t>
  </si>
  <si>
    <t>3085</t>
  </si>
  <si>
    <t>51-2N-25-0000-0046-0000</t>
  </si>
  <si>
    <t>512N25-00000046-0000</t>
  </si>
  <si>
    <t>ADAMS RICHARD D</t>
  </si>
  <si>
    <t>3260 SUNNYBROOK AVENUE</t>
  </si>
  <si>
    <t>IN OR 2082/1989</t>
  </si>
  <si>
    <t>229.48</t>
  </si>
  <si>
    <t>09/23/2016</t>
  </si>
  <si>
    <t>51-2N-25-0000-0051-0000</t>
  </si>
  <si>
    <t>512N25000000510000</t>
  </si>
  <si>
    <t>MCGRIFF ROBERT</t>
  </si>
  <si>
    <t>1107 TURTLE CREEK DR.</t>
  </si>
  <si>
    <t>CASE # 86-732-CA</t>
  </si>
  <si>
    <t>997</t>
  </si>
  <si>
    <t>395.81</t>
  </si>
  <si>
    <t>51-2N-25-0000-0052-0000</t>
  </si>
  <si>
    <t>512N25-00000052-0000</t>
  </si>
  <si>
    <t>618620 DR MARTIN LUTHER KING JR AVE</t>
  </si>
  <si>
    <t>BROOKS MYRTLE H EST</t>
  </si>
  <si>
    <t>BOX 45</t>
  </si>
  <si>
    <t>IN OR 6 PG 461</t>
  </si>
  <si>
    <t>371.69</t>
  </si>
  <si>
    <t>11/03/2016</t>
  </si>
  <si>
    <t>51-2N-25-0000-0053-0000</t>
  </si>
  <si>
    <t>512N25000000530000</t>
  </si>
  <si>
    <t>HUNTER DON &amp; SYLVESTER &amp;</t>
  </si>
  <si>
    <t>PO BOX 452</t>
  </si>
  <si>
    <t>IN OR 640 PG 179</t>
  </si>
  <si>
    <t>942</t>
  </si>
  <si>
    <t>51-2N-25-0000-0059-0000</t>
  </si>
  <si>
    <t>512N25000000590000</t>
  </si>
  <si>
    <t>OLIVER JETROE M</t>
  </si>
  <si>
    <t>22 BEECHWOOD STREET #30</t>
  </si>
  <si>
    <t>Dorchester</t>
  </si>
  <si>
    <t>02121</t>
  </si>
  <si>
    <t>IN DB 60 PG 86</t>
  </si>
  <si>
    <t>3088</t>
  </si>
  <si>
    <t>1281</t>
  </si>
  <si>
    <t>51-2N-25-0000-0060-0010</t>
  </si>
  <si>
    <t>MCCOLLUM EDWARD</t>
  </si>
  <si>
    <t>86014 BRITT LYNN L</t>
  </si>
  <si>
    <t>PT SEC 51-2N-25E</t>
  </si>
  <si>
    <t>51-2N-25-0000-0062-0000</t>
  </si>
  <si>
    <t>10.07</t>
  </si>
  <si>
    <t>G &amp; H LAND &amp; TIMBER INVESTMENTS LLC</t>
  </si>
  <si>
    <t>05/18/2014</t>
  </si>
  <si>
    <t>AJP PROPERTIES LLC</t>
  </si>
  <si>
    <t>10562 NEW KINGS ROA</t>
  </si>
  <si>
    <t>2165.67</t>
  </si>
  <si>
    <t>06/10/2010</t>
  </si>
  <si>
    <t>51-2N-25-0000-0068-0000</t>
  </si>
  <si>
    <t>512N25000000680000</t>
  </si>
  <si>
    <t>IN OR 1519/664</t>
  </si>
  <si>
    <t>103.61</t>
  </si>
  <si>
    <t>101.62</t>
  </si>
  <si>
    <t>1041</t>
  </si>
  <si>
    <t>3089</t>
  </si>
  <si>
    <t>51-2N-25-4170-0006-0000</t>
  </si>
  <si>
    <t>512N25417000060000</t>
  </si>
  <si>
    <t>450145 SR 200</t>
  </si>
  <si>
    <t>PATRICK ADRIAN LEE III</t>
  </si>
  <si>
    <t>LOTS 6 &amp; 7     R567918</t>
  </si>
  <si>
    <t>176.40</t>
  </si>
  <si>
    <t>414.27</t>
  </si>
  <si>
    <t>06/13/2014</t>
  </si>
  <si>
    <t>51-2N-25-4170-0008-0000</t>
  </si>
  <si>
    <t>512N25417000080000</t>
  </si>
  <si>
    <t>5185 SR 200</t>
  </si>
  <si>
    <t>0.13</t>
  </si>
  <si>
    <t>1001</t>
  </si>
  <si>
    <t>119.07</t>
  </si>
  <si>
    <t>02/03/2015</t>
  </si>
  <si>
    <t>51-2N-25-4170-0009-0000</t>
  </si>
  <si>
    <t>512N25417000090000</t>
  </si>
  <si>
    <t>450135 SR 200</t>
  </si>
  <si>
    <t>HOWELL MYRA GAIL</t>
  </si>
  <si>
    <t>1459 STATE ROUTE 46</t>
  </si>
  <si>
    <t>Jefferson</t>
  </si>
  <si>
    <t>44047</t>
  </si>
  <si>
    <t>LOT 9  (EX R/W OR 909/1233)</t>
  </si>
  <si>
    <t>257.88</t>
  </si>
  <si>
    <t>247.68</t>
  </si>
  <si>
    <t>219.82</t>
  </si>
  <si>
    <t>266.71</t>
  </si>
  <si>
    <t>1044</t>
  </si>
  <si>
    <t>283.66</t>
  </si>
  <si>
    <t>3092</t>
  </si>
  <si>
    <t>322.31</t>
  </si>
  <si>
    <t>332.32</t>
  </si>
  <si>
    <t>359.25</t>
  </si>
  <si>
    <t>51-2N-25-4170-0019-0000</t>
  </si>
  <si>
    <t>512N25417000190000</t>
  </si>
  <si>
    <t>45040 JAMES ST</t>
  </si>
  <si>
    <t>O'NEAL LORIE</t>
  </si>
  <si>
    <t>45040 JAMES S</t>
  </si>
  <si>
    <t>LOT 19      2002 FTWD TWMH</t>
  </si>
  <si>
    <t>457.29</t>
  </si>
  <si>
    <t>496.87</t>
  </si>
  <si>
    <t>536.65</t>
  </si>
  <si>
    <t>534.42</t>
  </si>
  <si>
    <t>1045</t>
  </si>
  <si>
    <t>537.55</t>
  </si>
  <si>
    <t>02/17/2015</t>
  </si>
  <si>
    <t>3093</t>
  </si>
  <si>
    <t>905.50</t>
  </si>
  <si>
    <t>903.96</t>
  </si>
  <si>
    <t>863.06</t>
  </si>
  <si>
    <t>51-2N-25-4170-0025-0000</t>
  </si>
  <si>
    <t>512N25417000250000</t>
  </si>
  <si>
    <t>45039 EVELYN ST</t>
  </si>
  <si>
    <t>1318</t>
  </si>
  <si>
    <t>LOT 25    R567520</t>
  </si>
  <si>
    <t>502.19</t>
  </si>
  <si>
    <t>499.13</t>
  </si>
  <si>
    <t>51-2N-25-4170-0026-0000</t>
  </si>
  <si>
    <t>512N25417000260000</t>
  </si>
  <si>
    <t>45042 EVELYN ST</t>
  </si>
  <si>
    <t>769.76</t>
  </si>
  <si>
    <t>1005</t>
  </si>
  <si>
    <t>658.48</t>
  </si>
  <si>
    <t>51-2N-25-4170-0027-0000</t>
  </si>
  <si>
    <t>512N25417000270000</t>
  </si>
  <si>
    <t>45168 JAMES ST</t>
  </si>
  <si>
    <t>MADDOX TROY ALEX EST</t>
  </si>
  <si>
    <t>45168 JAMES S</t>
  </si>
  <si>
    <t>745.78</t>
  </si>
  <si>
    <t>762.72</t>
  </si>
  <si>
    <t>710.35</t>
  </si>
  <si>
    <t>1006</t>
  </si>
  <si>
    <t>636.87</t>
  </si>
  <si>
    <t>1046</t>
  </si>
  <si>
    <t>631.14</t>
  </si>
  <si>
    <t>3094</t>
  </si>
  <si>
    <t>653.80</t>
  </si>
  <si>
    <t>668.01</t>
  </si>
  <si>
    <t>736.19</t>
  </si>
  <si>
    <t>02/04/2011</t>
  </si>
  <si>
    <t>51-2N-25-4170-0036-0000</t>
  </si>
  <si>
    <t>512N25417000360000</t>
  </si>
  <si>
    <t>45089 JAMES ST</t>
  </si>
  <si>
    <t>1365</t>
  </si>
  <si>
    <t>JOSEPH C PICARD</t>
  </si>
  <si>
    <t>FLAKE LARRY N &amp; CLEO H</t>
  </si>
  <si>
    <t>45089 JAMES STREE</t>
  </si>
  <si>
    <t>LOT 36</t>
  </si>
  <si>
    <t>292.22</t>
  </si>
  <si>
    <t>288.02</t>
  </si>
  <si>
    <t>264.12</t>
  </si>
  <si>
    <t>1047</t>
  </si>
  <si>
    <t>256.20</t>
  </si>
  <si>
    <t>291.71</t>
  </si>
  <si>
    <t>04/11/2012</t>
  </si>
  <si>
    <t>51-2N-25-4170-0038-0000</t>
  </si>
  <si>
    <t>512N25417000380000</t>
  </si>
  <si>
    <t>45063 ANNIE LAURA ST</t>
  </si>
  <si>
    <t>182.76</t>
  </si>
  <si>
    <t>182.05</t>
  </si>
  <si>
    <t>150.89</t>
  </si>
  <si>
    <t>145.00</t>
  </si>
  <si>
    <t>1048</t>
  </si>
  <si>
    <t>146.71</t>
  </si>
  <si>
    <t>3095</t>
  </si>
  <si>
    <t>157.56</t>
  </si>
  <si>
    <t>390.65</t>
  </si>
  <si>
    <t>51-2N-25-4170-0039-0000</t>
  </si>
  <si>
    <t>512N25417000390000</t>
  </si>
  <si>
    <t>45035 JAMES ST</t>
  </si>
  <si>
    <t>5T WEALTH PARTNERS LPPO BOX 830539DEPT #620</t>
  </si>
  <si>
    <t>179.44</t>
  </si>
  <si>
    <t>178.51</t>
  </si>
  <si>
    <t>956</t>
  </si>
  <si>
    <t>179.69</t>
  </si>
  <si>
    <t>171.60</t>
  </si>
  <si>
    <t>173.85</t>
  </si>
  <si>
    <t>3096</t>
  </si>
  <si>
    <t>185.54</t>
  </si>
  <si>
    <t>1289</t>
  </si>
  <si>
    <t>194.02</t>
  </si>
  <si>
    <t>185.86</t>
  </si>
  <si>
    <t>51-2N-25-4170-0045-0000</t>
  </si>
  <si>
    <t>512N25417000450000</t>
  </si>
  <si>
    <t>45052 LUTHER ST</t>
  </si>
  <si>
    <t>0.52</t>
  </si>
  <si>
    <t>9700</t>
  </si>
  <si>
    <t>LOTS 45 46 &amp; 47</t>
  </si>
  <si>
    <t>251.12</t>
  </si>
  <si>
    <t>3097</t>
  </si>
  <si>
    <t>268.99</t>
  </si>
  <si>
    <t>1290</t>
  </si>
  <si>
    <t>284.48</t>
  </si>
  <si>
    <t>269.89</t>
  </si>
  <si>
    <t>51-2N-25-4170-0049-0000</t>
  </si>
  <si>
    <t>512N25417000490000</t>
  </si>
  <si>
    <t>45108 LUTHER ST</t>
  </si>
  <si>
    <t>TIMMONS LEONARD JR</t>
  </si>
  <si>
    <t>LOTS 49 &amp; 50</t>
  </si>
  <si>
    <t>282.27</t>
  </si>
  <si>
    <t>373.03</t>
  </si>
  <si>
    <t>416.30</t>
  </si>
  <si>
    <t>3098</t>
  </si>
  <si>
    <t>425.72</t>
  </si>
  <si>
    <t>1291</t>
  </si>
  <si>
    <t>438.55</t>
  </si>
  <si>
    <t>51-2N-25-4170-0057-0000</t>
  </si>
  <si>
    <t>512N25-41700057-0000</t>
  </si>
  <si>
    <t>45099 LUTHER ST</t>
  </si>
  <si>
    <t>HAM KAROLINE</t>
  </si>
  <si>
    <t>14464 AMELIA COVE D</t>
  </si>
  <si>
    <t>149.54</t>
  </si>
  <si>
    <t>51-2N-25-4170-0060-0000</t>
  </si>
  <si>
    <t>512N25417000600000</t>
  </si>
  <si>
    <t>45055 LUTHER ST</t>
  </si>
  <si>
    <t>3600</t>
  </si>
  <si>
    <t>WAPN FOR TC 13 SUBSIDIARY LLC</t>
  </si>
  <si>
    <t>13 SUBSIDIARY LLCPO BOX 17301</t>
  </si>
  <si>
    <t>33672</t>
  </si>
  <si>
    <t>287.59</t>
  </si>
  <si>
    <t>335.21</t>
  </si>
  <si>
    <t>275.27</t>
  </si>
  <si>
    <t>10/22/2015</t>
  </si>
  <si>
    <t>376.15</t>
  </si>
  <si>
    <t>384.57</t>
  </si>
  <si>
    <t>3101</t>
  </si>
  <si>
    <t>428.86</t>
  </si>
  <si>
    <t>438.51</t>
  </si>
  <si>
    <t>1278</t>
  </si>
  <si>
    <t>474.61</t>
  </si>
  <si>
    <t>04/17/2013</t>
  </si>
  <si>
    <t>51-2N-25-4170-0061-0000</t>
  </si>
  <si>
    <t>512N25417000610000</t>
  </si>
  <si>
    <t>45053 LUTHER ST</t>
  </si>
  <si>
    <t>DAVIS L C EST</t>
  </si>
  <si>
    <t>45053 LUTHER S</t>
  </si>
  <si>
    <t>08/08/2016</t>
  </si>
  <si>
    <t>150.18</t>
  </si>
  <si>
    <t>1013</t>
  </si>
  <si>
    <t>03/18/2016</t>
  </si>
  <si>
    <t>3102</t>
  </si>
  <si>
    <t>155.66</t>
  </si>
  <si>
    <t>1295</t>
  </si>
  <si>
    <t>1279</t>
  </si>
  <si>
    <t>155.26</t>
  </si>
  <si>
    <t>51-2N-25-4170-0062-0000</t>
  </si>
  <si>
    <t>45023 LUTHER ST</t>
  </si>
  <si>
    <t>1647</t>
  </si>
  <si>
    <t>MELTON GEORGE L</t>
  </si>
  <si>
    <t>45023 LUTHER S</t>
  </si>
  <si>
    <t>LOTS 62 &amp; 63</t>
  </si>
  <si>
    <t>51-2N-25-4170-0065-0000</t>
  </si>
  <si>
    <t>512N25417000650000</t>
  </si>
  <si>
    <t>LUTHER ST</t>
  </si>
  <si>
    <t>WOODS RUTH EST</t>
  </si>
  <si>
    <t>PO BOX 44</t>
  </si>
  <si>
    <t>LOT 65</t>
  </si>
  <si>
    <t>151.51</t>
  </si>
  <si>
    <t>51-2N-25-4170-0066-0000</t>
  </si>
  <si>
    <t>512N25417000660000</t>
  </si>
  <si>
    <t>45001 LUTHER ST</t>
  </si>
  <si>
    <t>0.16</t>
  </si>
  <si>
    <t>WOODS JOHN R &amp; RUTH</t>
  </si>
  <si>
    <t>BOX 44</t>
  </si>
  <si>
    <t>LOT 66</t>
  </si>
  <si>
    <t>283.01</t>
  </si>
  <si>
    <t>325.27</t>
  </si>
  <si>
    <t>235.65</t>
  </si>
  <si>
    <t>224.22</t>
  </si>
  <si>
    <t>226.75</t>
  </si>
  <si>
    <t>3103</t>
  </si>
  <si>
    <t>247.60</t>
  </si>
  <si>
    <t>51-2N-25-4170-0070-0000</t>
  </si>
  <si>
    <t>45038 MARVIN ST</t>
  </si>
  <si>
    <t>47700</t>
  </si>
  <si>
    <t>CITIFINANCIAL EQUITY SERVICES INC</t>
  </si>
  <si>
    <t>18064.00</t>
  </si>
  <si>
    <t>12/21/2021</t>
  </si>
  <si>
    <t>JOURNEY INVESTMENTS LLC</t>
  </si>
  <si>
    <t>8454 E TIMROD STREE</t>
  </si>
  <si>
    <t>Tuscon</t>
  </si>
  <si>
    <t>85710</t>
  </si>
  <si>
    <t>LOTS 70 &amp; 71</t>
  </si>
  <si>
    <t>51-2N-25-4170-0077-0000</t>
  </si>
  <si>
    <t>512N25417000770000</t>
  </si>
  <si>
    <t>45057 MARVIN ST</t>
  </si>
  <si>
    <t>MELTON ALLEN EST</t>
  </si>
  <si>
    <t>PO BOX 123</t>
  </si>
  <si>
    <t>LOT 77</t>
  </si>
  <si>
    <t>486.87</t>
  </si>
  <si>
    <t>02/06/2017</t>
  </si>
  <si>
    <t>455.76</t>
  </si>
  <si>
    <t>434.61</t>
  </si>
  <si>
    <t>51-2N-25-4170-0079-0000</t>
  </si>
  <si>
    <t>512N25417000790000</t>
  </si>
  <si>
    <t>45041 MARVIN ST</t>
  </si>
  <si>
    <t>1171</t>
  </si>
  <si>
    <t>WILLIAMS WILLIE C JR EST</t>
  </si>
  <si>
    <t>45041 MARVIN S</t>
  </si>
  <si>
    <t>LOT 79</t>
  </si>
  <si>
    <t>334.29</t>
  </si>
  <si>
    <t>07/02/2015</t>
  </si>
  <si>
    <t>280.20</t>
  </si>
  <si>
    <t>51-2N-25-4170-0080-0000</t>
  </si>
  <si>
    <t>512N25417000800000</t>
  </si>
  <si>
    <t>45029 MARVIN ST</t>
  </si>
  <si>
    <t>64276.00</t>
  </si>
  <si>
    <t>06/30/2008</t>
  </si>
  <si>
    <t>MELTON PATRICIA ANN &amp;</t>
  </si>
  <si>
    <t>PO BOX 47</t>
  </si>
  <si>
    <t>LOT 80</t>
  </si>
  <si>
    <t>413.89</t>
  </si>
  <si>
    <t>420.33</t>
  </si>
  <si>
    <t>396.96</t>
  </si>
  <si>
    <t>04/17/2017</t>
  </si>
  <si>
    <t>360.36</t>
  </si>
  <si>
    <t>1059</t>
  </si>
  <si>
    <t>366.21</t>
  </si>
  <si>
    <t>3104</t>
  </si>
  <si>
    <t>382.56</t>
  </si>
  <si>
    <t>51-2N-25-4170-0081-0000</t>
  </si>
  <si>
    <t>512N25417000810000</t>
  </si>
  <si>
    <t>45021 MARVIN ST</t>
  </si>
  <si>
    <t>PO BOX 16</t>
  </si>
  <si>
    <t>LOT 81</t>
  </si>
  <si>
    <t>322.61</t>
  </si>
  <si>
    <t>945</t>
  </si>
  <si>
    <t>341.85</t>
  </si>
  <si>
    <t>321.54</t>
  </si>
  <si>
    <t>1019</t>
  </si>
  <si>
    <t>317.25</t>
  </si>
  <si>
    <t>338.30</t>
  </si>
  <si>
    <t>3105</t>
  </si>
  <si>
    <t>404.54</t>
  </si>
  <si>
    <t>1299</t>
  </si>
  <si>
    <t>411.19</t>
  </si>
  <si>
    <t>807.50</t>
  </si>
  <si>
    <t>10/27/2010</t>
  </si>
  <si>
    <t>51-2N-25-4180-0009-0000</t>
  </si>
  <si>
    <t>512N25418000090000</t>
  </si>
  <si>
    <t>542588 US HWY 1</t>
  </si>
  <si>
    <t>6204</t>
  </si>
  <si>
    <t xml:space="preserve"> AMERICAN SAFETY CASUALTY INS</t>
  </si>
  <si>
    <t>11/08/2010</t>
  </si>
  <si>
    <t>PICKETT RYAN &amp;</t>
  </si>
  <si>
    <t>542588 US HWY</t>
  </si>
  <si>
    <t>LOTS 9 10 &amp; 11</t>
  </si>
  <si>
    <t>2792.16</t>
  </si>
  <si>
    <t>2529.36</t>
  </si>
  <si>
    <t>2805.38</t>
  </si>
  <si>
    <t>1020</t>
  </si>
  <si>
    <t>2636.49</t>
  </si>
  <si>
    <t>1061</t>
  </si>
  <si>
    <t>2681.82</t>
  </si>
  <si>
    <t>3106</t>
  </si>
  <si>
    <t>3030.29</t>
  </si>
  <si>
    <t>3058.63</t>
  </si>
  <si>
    <t>10/28/2011</t>
  </si>
  <si>
    <t>2228.10</t>
  </si>
  <si>
    <t>10/22/2010</t>
  </si>
  <si>
    <t>51-2N-25-4180-0012-0000</t>
  </si>
  <si>
    <t>512N25418000120000</t>
  </si>
  <si>
    <t>45056 RHODEN LN</t>
  </si>
  <si>
    <t>PICKETT CHARLES A JR EST</t>
  </si>
  <si>
    <t>542588 US HIGHWAY</t>
  </si>
  <si>
    <t>LOTS 12 &amp; 13    R108157</t>
  </si>
  <si>
    <t>595.18</t>
  </si>
  <si>
    <t>537.99</t>
  </si>
  <si>
    <t>561.90</t>
  </si>
  <si>
    <t>625.54</t>
  </si>
  <si>
    <t>3107</t>
  </si>
  <si>
    <t>652.43</t>
  </si>
  <si>
    <t>831.82</t>
  </si>
  <si>
    <t>813.36</t>
  </si>
  <si>
    <t>51-2N-25-4190-0001-0000</t>
  </si>
  <si>
    <t>512N25419000010000</t>
  </si>
  <si>
    <t>542616 US HWY 1</t>
  </si>
  <si>
    <t>STEVEN R HELLER ETAL</t>
  </si>
  <si>
    <t>11/30/2012</t>
  </si>
  <si>
    <t>JOSEPH WILLIAM G</t>
  </si>
  <si>
    <t>3930 VILLA SAN JOSE DRIV</t>
  </si>
  <si>
    <t>32217</t>
  </si>
  <si>
    <t>LOTS 1 &amp; 3 THRU 6</t>
  </si>
  <si>
    <t>3122.98</t>
  </si>
  <si>
    <t>1063</t>
  </si>
  <si>
    <t>3079.29</t>
  </si>
  <si>
    <t>3108</t>
  </si>
  <si>
    <t>3050.82</t>
  </si>
  <si>
    <t>51-2N-25-4240-0001-0000</t>
  </si>
  <si>
    <t>512N25424000010000</t>
  </si>
  <si>
    <t>45168 PAGE ST</t>
  </si>
  <si>
    <t>1668</t>
  </si>
  <si>
    <t>MCNIGHT RODNEY OHARA</t>
  </si>
  <si>
    <t>45168 PAGE S</t>
  </si>
  <si>
    <t>LOTS 1 2 &amp; 7 (EX PAR 7-1)</t>
  </si>
  <si>
    <t>541.87</t>
  </si>
  <si>
    <t>548.08</t>
  </si>
  <si>
    <t>522.41</t>
  </si>
  <si>
    <t>1022</t>
  </si>
  <si>
    <t>471.97</t>
  </si>
  <si>
    <t>1065</t>
  </si>
  <si>
    <t>430.59</t>
  </si>
  <si>
    <t>3109</t>
  </si>
  <si>
    <t>609.97</t>
  </si>
  <si>
    <t>1302</t>
  </si>
  <si>
    <t>613.84</t>
  </si>
  <si>
    <t>634.98</t>
  </si>
  <si>
    <t>51-2N-25-4240-0011-0000</t>
  </si>
  <si>
    <t>512N25424000110000</t>
  </si>
  <si>
    <t>DIXIE AV</t>
  </si>
  <si>
    <t>MLN MANAGEMENT COMPANY</t>
  </si>
  <si>
    <t>731 DUVAL STATION ROADSUITE 107-30</t>
  </si>
  <si>
    <t>228.23</t>
  </si>
  <si>
    <t>1067</t>
  </si>
  <si>
    <t>3112</t>
  </si>
  <si>
    <t>192.33</t>
  </si>
  <si>
    <t>1306</t>
  </si>
  <si>
    <t>180.58</t>
  </si>
  <si>
    <t>51-2N-25-4240-0014-0000</t>
  </si>
  <si>
    <t>512N25424000140000</t>
  </si>
  <si>
    <t>45826 DIXIE AVE</t>
  </si>
  <si>
    <t>GRIMAGE RUFUS EST</t>
  </si>
  <si>
    <t>10857 NATALIE DR</t>
  </si>
  <si>
    <t>346.33</t>
  </si>
  <si>
    <t>349.08</t>
  </si>
  <si>
    <t>01/30/2018</t>
  </si>
  <si>
    <t>335.17</t>
  </si>
  <si>
    <t>03/28/2017</t>
  </si>
  <si>
    <t>652.05</t>
  </si>
  <si>
    <t>1069</t>
  </si>
  <si>
    <t>661.47</t>
  </si>
  <si>
    <t>3114</t>
  </si>
  <si>
    <t>666.23</t>
  </si>
  <si>
    <t>1308</t>
  </si>
  <si>
    <t>670.39</t>
  </si>
  <si>
    <t>12/18/2012</t>
  </si>
  <si>
    <t>51-2N-25-4240-0015-0000</t>
  </si>
  <si>
    <t>512N25424000150000</t>
  </si>
  <si>
    <t>GRIMMAGE RUFUS  EST</t>
  </si>
  <si>
    <t>10857 NATALIE DR E</t>
  </si>
  <si>
    <t>193.03</t>
  </si>
  <si>
    <t>1070</t>
  </si>
  <si>
    <t>3115</t>
  </si>
  <si>
    <t>180.66</t>
  </si>
  <si>
    <t>1309</t>
  </si>
  <si>
    <t>05-3N-25-0000-0001-0090</t>
  </si>
  <si>
    <t>053N25000000010090</t>
  </si>
  <si>
    <t>47450 JACKSON COVE RD</t>
  </si>
  <si>
    <t>2206</t>
  </si>
  <si>
    <t>JACKSON LARRY GENE JR &amp;</t>
  </si>
  <si>
    <t>47450 JACKSON COVE R</t>
  </si>
  <si>
    <t>IN OR 686 PG 125</t>
  </si>
  <si>
    <t>280.91</t>
  </si>
  <si>
    <t>277.32</t>
  </si>
  <si>
    <t>273.18</t>
  </si>
  <si>
    <t>1029</t>
  </si>
  <si>
    <t>03/10/2016</t>
  </si>
  <si>
    <t>530.31</t>
  </si>
  <si>
    <t>517.66</t>
  </si>
  <si>
    <t>511.44</t>
  </si>
  <si>
    <t>05/03/2012</t>
  </si>
  <si>
    <t>08-3N-25-0000-0003-0000</t>
  </si>
  <si>
    <t>083N25-00000003-0000</t>
  </si>
  <si>
    <t>68.16</t>
  </si>
  <si>
    <t>SHEPHERD ALAN D</t>
  </si>
  <si>
    <t>8008 NEWTON ROA</t>
  </si>
  <si>
    <t>SW1/4 OF NE1/4  NW1/4 OF SE1/4</t>
  </si>
  <si>
    <t>314.85</t>
  </si>
  <si>
    <t>159.24</t>
  </si>
  <si>
    <t>11/30/2010</t>
  </si>
  <si>
    <t>08-3N-25-0000-0003-0030</t>
  </si>
  <si>
    <t>083N25000000030030</t>
  </si>
  <si>
    <t>151495 CR 108</t>
  </si>
  <si>
    <t>1587</t>
  </si>
  <si>
    <t>BRANTLEY SANDRA ELAINE DRAKE</t>
  </si>
  <si>
    <t>151495 COUNTY ROAD 10</t>
  </si>
  <si>
    <t>IN OR 702 PG 1723</t>
  </si>
  <si>
    <t>512.63</t>
  </si>
  <si>
    <t>518.25</t>
  </si>
  <si>
    <t>01/24/2018</t>
  </si>
  <si>
    <t>488.95</t>
  </si>
  <si>
    <t>487.68</t>
  </si>
  <si>
    <t>474.81</t>
  </si>
  <si>
    <t>07/17/2012</t>
  </si>
  <si>
    <t>469.20</t>
  </si>
  <si>
    <t>456.14</t>
  </si>
  <si>
    <t>09-3N-25-0000-0002-0010</t>
  </si>
  <si>
    <t>093N25000000020010</t>
  </si>
  <si>
    <t>MIDDLE RD</t>
  </si>
  <si>
    <t>21.00</t>
  </si>
  <si>
    <t>DELOACH ROBERT E JR &amp; TINA K</t>
  </si>
  <si>
    <t>47225 MIDDLE ROA</t>
  </si>
  <si>
    <t>PT GOVT LOT 2 OF SEC 9-3N-25E</t>
  </si>
  <si>
    <t>09-3N-25-0000-0002-0030</t>
  </si>
  <si>
    <t>093N25000000020030</t>
  </si>
  <si>
    <t>47225 MIDDLE RD</t>
  </si>
  <si>
    <t>1603</t>
  </si>
  <si>
    <t>47225 MIDDLE R</t>
  </si>
  <si>
    <t>12-3N-25-0000-0001-0010</t>
  </si>
  <si>
    <t>123N25000000010010</t>
  </si>
  <si>
    <t>2/6</t>
  </si>
  <si>
    <t>152985 CR 108</t>
  </si>
  <si>
    <t>4900</t>
  </si>
  <si>
    <t>CAMS DEMOLITION &amp; DISPOSAL INC</t>
  </si>
  <si>
    <t>8 JEWEL D</t>
  </si>
  <si>
    <t>Wilmington</t>
  </si>
  <si>
    <t>01887</t>
  </si>
  <si>
    <t>PT GOVT LOT 6 OF SEC 12-3N-25E</t>
  </si>
  <si>
    <t>406.65</t>
  </si>
  <si>
    <t>407.74</t>
  </si>
  <si>
    <t>382.21</t>
  </si>
  <si>
    <t>1073</t>
  </si>
  <si>
    <t>591.36</t>
  </si>
  <si>
    <t>629.57</t>
  </si>
  <si>
    <t>08/24/2012</t>
  </si>
  <si>
    <t>1316</t>
  </si>
  <si>
    <t>664.15</t>
  </si>
  <si>
    <t>772.59</t>
  </si>
  <si>
    <t>16-3N-25-0000-0002-0000</t>
  </si>
  <si>
    <t>163N25000000020000</t>
  </si>
  <si>
    <t>ALESSI ANTHONY &amp;</t>
  </si>
  <si>
    <t>27032 WEST 5TH STREE</t>
  </si>
  <si>
    <t>W1/2 OF NE1/4 OF NW1/4</t>
  </si>
  <si>
    <t>27-3N-25-0000-0003-0070</t>
  </si>
  <si>
    <t>29.17</t>
  </si>
  <si>
    <t>154600</t>
  </si>
  <si>
    <t>HOLTON JOHN CHRISTOPHER III &amp;</t>
  </si>
  <si>
    <t>15223 LANDMARK CIR</t>
  </si>
  <si>
    <t>S1/2 OF NW1/4 &amp; SW1/4 OF</t>
  </si>
  <si>
    <t>252.08</t>
  </si>
  <si>
    <t>09/12/2017</t>
  </si>
  <si>
    <t>27-3N-25-0000-0004-0020</t>
  </si>
  <si>
    <t>273N25000000040020</t>
  </si>
  <si>
    <t>46551 MIDDLE RD</t>
  </si>
  <si>
    <t>800000</t>
  </si>
  <si>
    <t>DBA BECKMAN MORTGAGE</t>
  </si>
  <si>
    <t>97200.00</t>
  </si>
  <si>
    <t>08/01/2034</t>
  </si>
  <si>
    <t>PT GOVT LOT 3 OF SEC 27-3N-25E</t>
  </si>
  <si>
    <t>729.69</t>
  </si>
  <si>
    <t>796.40</t>
  </si>
  <si>
    <t>02/04/2018</t>
  </si>
  <si>
    <t>1740</t>
  </si>
  <si>
    <t>1072.64</t>
  </si>
  <si>
    <t>27-3N-25-2345-0002-0000</t>
  </si>
  <si>
    <t>273N25234500020000</t>
  </si>
  <si>
    <t>46667 MIDDLE RD</t>
  </si>
  <si>
    <t>76398.00</t>
  </si>
  <si>
    <t>09/17/2003</t>
  </si>
  <si>
    <t>WELLS RONNIE C &amp; CLAIRE &amp;</t>
  </si>
  <si>
    <t>46676 MIDDLE R</t>
  </si>
  <si>
    <t>LOT 2     IN OR 1033 PG 1456</t>
  </si>
  <si>
    <t>460.40</t>
  </si>
  <si>
    <t>493.02</t>
  </si>
  <si>
    <t>524.86</t>
  </si>
  <si>
    <t>512.71</t>
  </si>
  <si>
    <t>07/22/2015</t>
  </si>
  <si>
    <t>28-3N-25-0000-0002-0010</t>
  </si>
  <si>
    <t>283N25-00000002-0010</t>
  </si>
  <si>
    <t>47500</t>
  </si>
  <si>
    <t>ALBERT L HIGGINBOTHAM ETUX</t>
  </si>
  <si>
    <t>92000.00</t>
  </si>
  <si>
    <t>PT OF NW1/4 OF SEC 28-3N-25E</t>
  </si>
  <si>
    <t>644.91</t>
  </si>
  <si>
    <t>643.26</t>
  </si>
  <si>
    <t>34-3N-25-0000-0003-0020</t>
  </si>
  <si>
    <t>343N25000000030020</t>
  </si>
  <si>
    <t>56126 BOGGY TRL</t>
  </si>
  <si>
    <t>6.46</t>
  </si>
  <si>
    <t>2770</t>
  </si>
  <si>
    <t>12/20/2001</t>
  </si>
  <si>
    <t>CRAWFORD ROBERT L TRUSTEE OF</t>
  </si>
  <si>
    <t>56126 BOGGY TRAI</t>
  </si>
  <si>
    <t>L/E OR 1278/165</t>
  </si>
  <si>
    <t>2225.23</t>
  </si>
  <si>
    <t>2295.06</t>
  </si>
  <si>
    <t>1039</t>
  </si>
  <si>
    <t>1367.02</t>
  </si>
  <si>
    <t>1086</t>
  </si>
  <si>
    <t>1524.55</t>
  </si>
  <si>
    <t>1702.65</t>
  </si>
  <si>
    <t>35-3N-25-1810-0006-0000</t>
  </si>
  <si>
    <t>353N25181000060000</t>
  </si>
  <si>
    <t>55206 BARTRAM TR</t>
  </si>
  <si>
    <t>3.13</t>
  </si>
  <si>
    <t>CBC NATIONAL BANK</t>
  </si>
  <si>
    <t>03/10/2022</t>
  </si>
  <si>
    <t>TAYLOR JAMES V</t>
  </si>
  <si>
    <t>87543 CREEKSIDE D</t>
  </si>
  <si>
    <t>352.31</t>
  </si>
  <si>
    <t>354.00</t>
  </si>
  <si>
    <t>336.24</t>
  </si>
  <si>
    <t>1337</t>
  </si>
  <si>
    <t>452.88</t>
  </si>
  <si>
    <t>10/19/2011</t>
  </si>
  <si>
    <t>35-3N-25-1810-0075-0000</t>
  </si>
  <si>
    <t>353N25181000750000</t>
  </si>
  <si>
    <t>55169 BARTRAM TR</t>
  </si>
  <si>
    <t>79600</t>
  </si>
  <si>
    <t>JACKSON LARRY GENE JR &amp; TREANA</t>
  </si>
  <si>
    <t>55127 BARTRAM TRAI</t>
  </si>
  <si>
    <t>LOT 75</t>
  </si>
  <si>
    <t>336.59</t>
  </si>
  <si>
    <t>338.19</t>
  </si>
  <si>
    <t>35-3N-25-1810-0076-0000</t>
  </si>
  <si>
    <t>353N25181000760000</t>
  </si>
  <si>
    <t>BARTRAM TR</t>
  </si>
  <si>
    <t>LOT 76</t>
  </si>
  <si>
    <t>986</t>
  </si>
  <si>
    <t>1074</t>
  </si>
  <si>
    <t>431.95</t>
  </si>
  <si>
    <t>35-3N-25-1810-0093-0000</t>
  </si>
  <si>
    <t>353N25181000930000</t>
  </si>
  <si>
    <t>54118 TROTTER LN</t>
  </si>
  <si>
    <t>LOT 93</t>
  </si>
  <si>
    <t>1087</t>
  </si>
  <si>
    <t>1378</t>
  </si>
  <si>
    <t>35-3N-25-1810-0094-0000</t>
  </si>
  <si>
    <t>353N25181000940000</t>
  </si>
  <si>
    <t>TROTTER LN</t>
  </si>
  <si>
    <t>1088</t>
  </si>
  <si>
    <t>1379</t>
  </si>
  <si>
    <t>40-3N-25-0000-0001-0110</t>
  </si>
  <si>
    <t>403N25000000010110</t>
  </si>
  <si>
    <t>152981 CR 108</t>
  </si>
  <si>
    <t>ALBERTIE CORA EST</t>
  </si>
  <si>
    <t>86145 FORTUNE D</t>
  </si>
  <si>
    <t>OR 514 PG 591</t>
  </si>
  <si>
    <t>261.02</t>
  </si>
  <si>
    <t>250.21</t>
  </si>
  <si>
    <t>231.58</t>
  </si>
  <si>
    <t>406.88</t>
  </si>
  <si>
    <t>2449</t>
  </si>
  <si>
    <t>442.42</t>
  </si>
  <si>
    <t>1380</t>
  </si>
  <si>
    <t>476.53</t>
  </si>
  <si>
    <t>11/08/2013</t>
  </si>
  <si>
    <t>40-3N-25-0000-0001-0160</t>
  </si>
  <si>
    <t>403N25000000010160</t>
  </si>
  <si>
    <t>HENDRIX MAX</t>
  </si>
  <si>
    <t>5645 WANDERING TR</t>
  </si>
  <si>
    <t>IN OR 1864/1564</t>
  </si>
  <si>
    <t>40-3N-25-0000-0001-0210</t>
  </si>
  <si>
    <t>403N25000000010210</t>
  </si>
  <si>
    <t>ALDERMAN DR</t>
  </si>
  <si>
    <t>MASON WADE &amp; DANA</t>
  </si>
  <si>
    <t>4338 MARSH HAWK DRIVE SOUT</t>
  </si>
  <si>
    <t>IN OR 1630/502</t>
  </si>
  <si>
    <t>07/15/2014</t>
  </si>
  <si>
    <t>1381</t>
  </si>
  <si>
    <t>48-3N-25-0000-0001-0040</t>
  </si>
  <si>
    <t>483N25000000010040</t>
  </si>
  <si>
    <t>56206 HICKOX LN</t>
  </si>
  <si>
    <t>2653</t>
  </si>
  <si>
    <t>164000.00</t>
  </si>
  <si>
    <t>05/01/2046</t>
  </si>
  <si>
    <t>SHIVER LINDA H</t>
  </si>
  <si>
    <t>56206 HICKOX LAN</t>
  </si>
  <si>
    <t>IN OR 1542/144</t>
  </si>
  <si>
    <t>790.37</t>
  </si>
  <si>
    <t>1091</t>
  </si>
  <si>
    <t>1114.86</t>
  </si>
  <si>
    <t>01/26/2015</t>
  </si>
  <si>
    <t>3003</t>
  </si>
  <si>
    <t>1594.79</t>
  </si>
  <si>
    <t>1385</t>
  </si>
  <si>
    <t>1626.39</t>
  </si>
  <si>
    <t>48-3N-25-4195-0001-0000</t>
  </si>
  <si>
    <t>483N25-41950001-0000</t>
  </si>
  <si>
    <t>56375 COLBY DR</t>
  </si>
  <si>
    <t>G &amp; K ASSOCIATES INC</t>
  </si>
  <si>
    <t>04/24/2016</t>
  </si>
  <si>
    <t>REA KODY LEE</t>
  </si>
  <si>
    <t>56375 COLBY D</t>
  </si>
  <si>
    <t>362.11</t>
  </si>
  <si>
    <t>48-3N-25-4195-0002-0000</t>
  </si>
  <si>
    <t>483N25419500020000</t>
  </si>
  <si>
    <t>56467 NASSAU OAKS DR</t>
  </si>
  <si>
    <t>THOMAS M MADISON</t>
  </si>
  <si>
    <t>27706.00</t>
  </si>
  <si>
    <t>03/01/2011</t>
  </si>
  <si>
    <t>REA KIRKLAND LEE</t>
  </si>
  <si>
    <t>LOT 2       IN OR 983/917</t>
  </si>
  <si>
    <t>276.04</t>
  </si>
  <si>
    <t>1035</t>
  </si>
  <si>
    <t>322.08</t>
  </si>
  <si>
    <t>3004</t>
  </si>
  <si>
    <t>330.01</t>
  </si>
  <si>
    <t>1386</t>
  </si>
  <si>
    <t>306.94</t>
  </si>
  <si>
    <t>356.67</t>
  </si>
  <si>
    <t>12/30/2010</t>
  </si>
  <si>
    <t>48-3N-25-4195-000H-0000</t>
  </si>
  <si>
    <t>483N254195000H0000</t>
  </si>
  <si>
    <t>56193 COLBY DR</t>
  </si>
  <si>
    <t>EARICK VIRGINIA L</t>
  </si>
  <si>
    <t>56193 COLBY DRIV</t>
  </si>
  <si>
    <t>LOT H    RP 2309</t>
  </si>
  <si>
    <t>48-3N-25-4195-0025-0000</t>
  </si>
  <si>
    <t>483N25419500250000</t>
  </si>
  <si>
    <t>56392 NASSAU OAKS DR</t>
  </si>
  <si>
    <t>WATSON RICHARD A EST &amp;</t>
  </si>
  <si>
    <t>56392 NASSAU OAKS D</t>
  </si>
  <si>
    <t>1036</t>
  </si>
  <si>
    <t>3005</t>
  </si>
  <si>
    <t>297.88</t>
  </si>
  <si>
    <t>443.67</t>
  </si>
  <si>
    <t>48-3N-25-4195-0027-0000</t>
  </si>
  <si>
    <t>483N25419500270000</t>
  </si>
  <si>
    <t>56414 NASSAU OAKS DR</t>
  </si>
  <si>
    <t>2861</t>
  </si>
  <si>
    <t>CURRENT RICHARD K &amp; TERRY L</t>
  </si>
  <si>
    <t>56414 NASSAU OAKS D</t>
  </si>
  <si>
    <t>LOT 27   IN OR 781/631</t>
  </si>
  <si>
    <t>1488.20</t>
  </si>
  <si>
    <t>04/16/2018</t>
  </si>
  <si>
    <t>996</t>
  </si>
  <si>
    <t>1508.94</t>
  </si>
  <si>
    <t>04/06/2017</t>
  </si>
  <si>
    <t>1500.07</t>
  </si>
  <si>
    <t>1405.44</t>
  </si>
  <si>
    <t>1420.35</t>
  </si>
  <si>
    <t>3006</t>
  </si>
  <si>
    <t>1459.66</t>
  </si>
  <si>
    <t>1840.82</t>
  </si>
  <si>
    <t>48-3N-25-4195-0037-0000</t>
  </si>
  <si>
    <t>483N25419500370000</t>
  </si>
  <si>
    <t>56525 NASSAU OAKS DR</t>
  </si>
  <si>
    <t>1359</t>
  </si>
  <si>
    <t>GLISSON SIDNEY R III &amp; APRIL M</t>
  </si>
  <si>
    <t>45244 KERI BLV</t>
  </si>
  <si>
    <t>LOT 37  IN OR 1280/1073</t>
  </si>
  <si>
    <t>425.76</t>
  </si>
  <si>
    <t>418.13</t>
  </si>
  <si>
    <t>374.56</t>
  </si>
  <si>
    <t>394.56</t>
  </si>
  <si>
    <t>399.23</t>
  </si>
  <si>
    <t>3008</t>
  </si>
  <si>
    <t>423.44</t>
  </si>
  <si>
    <t>417.11</t>
  </si>
  <si>
    <t>1317</t>
  </si>
  <si>
    <t>575.44</t>
  </si>
  <si>
    <t>48-3N-25-4196-000L-0000</t>
  </si>
  <si>
    <t>56234 NASSAU OAKS DR</t>
  </si>
  <si>
    <t>MAYBERRY KENNETH R &amp; ANGELA</t>
  </si>
  <si>
    <t>56127 NASSAU OAKS D</t>
  </si>
  <si>
    <t>LOT L</t>
  </si>
  <si>
    <t>48-3N-25-4196-000N-0000</t>
  </si>
  <si>
    <t>483N254196000N0000</t>
  </si>
  <si>
    <t>56178 NASSAU OAKS DR</t>
  </si>
  <si>
    <t>JONES CHARLES A &amp; SARAH V</t>
  </si>
  <si>
    <t>56178 NASSAU OAKS DRIV</t>
  </si>
  <si>
    <t>LOT N   R622295 &amp; R622296</t>
  </si>
  <si>
    <t>349.31</t>
  </si>
  <si>
    <t>342.54</t>
  </si>
  <si>
    <t>04/29/2016</t>
  </si>
  <si>
    <t>438.06</t>
  </si>
  <si>
    <t>455.39</t>
  </si>
  <si>
    <t>3009</t>
  </si>
  <si>
    <t>390.37</t>
  </si>
  <si>
    <t>379.66</t>
  </si>
  <si>
    <t>444.57</t>
  </si>
  <si>
    <t>48-3N-25-4196-0104-0000</t>
  </si>
  <si>
    <t>483N25419601040000</t>
  </si>
  <si>
    <t>56491 NASSAU OAKS DR</t>
  </si>
  <si>
    <t>CARROLL MARILYN J EST</t>
  </si>
  <si>
    <t>56491 NASSAU OAKS DRIV</t>
  </si>
  <si>
    <t>LOT 104</t>
  </si>
  <si>
    <t>779.16</t>
  </si>
  <si>
    <t>762.47</t>
  </si>
  <si>
    <t>705.68</t>
  </si>
  <si>
    <t>580.75</t>
  </si>
  <si>
    <t>592.06</t>
  </si>
  <si>
    <t>635.46</t>
  </si>
  <si>
    <t>654.95</t>
  </si>
  <si>
    <t>1319</t>
  </si>
  <si>
    <t>826.49</t>
  </si>
  <si>
    <t>48-3N-25-4196-0118-0000</t>
  </si>
  <si>
    <t>483N25419601180000</t>
  </si>
  <si>
    <t>56151 NASSAU OAKS DR</t>
  </si>
  <si>
    <t>2.76</t>
  </si>
  <si>
    <t>32753.00</t>
  </si>
  <si>
    <t>THOMAS KENNETH J &amp; LUCRETIA D</t>
  </si>
  <si>
    <t>56151 NASSAU OAKS CIRCL</t>
  </si>
  <si>
    <t>510.46</t>
  </si>
  <si>
    <t>550.03</t>
  </si>
  <si>
    <t>08/02/2017</t>
  </si>
  <si>
    <t>1042</t>
  </si>
  <si>
    <t>481.52</t>
  </si>
  <si>
    <t>652.85</t>
  </si>
  <si>
    <t>01/08/2014</t>
  </si>
  <si>
    <t>3011</t>
  </si>
  <si>
    <t>712.86</t>
  </si>
  <si>
    <t>271.62</t>
  </si>
  <si>
    <t>366.08</t>
  </si>
  <si>
    <t>48-3N-25-4196-0126-0000</t>
  </si>
  <si>
    <t>56023 NASSAU OAKS DR</t>
  </si>
  <si>
    <t>JONASSEN HARRY C &amp;</t>
  </si>
  <si>
    <t>LOT 126</t>
  </si>
  <si>
    <t>736.37</t>
  </si>
  <si>
    <t>48-3N-25-4196-0132-0000</t>
  </si>
  <si>
    <t>483N25419601320000</t>
  </si>
  <si>
    <t>56204 COLBY DR</t>
  </si>
  <si>
    <t>4.44</t>
  </si>
  <si>
    <t xml:space="preserve"> VANDERBILT MORTGAGE &amp; FINANCE</t>
  </si>
  <si>
    <t>85909.00</t>
  </si>
  <si>
    <t>HERR CRAIG M &amp; LAURA B</t>
  </si>
  <si>
    <t>56204 COLBY D</t>
  </si>
  <si>
    <t>LOT 132</t>
  </si>
  <si>
    <t>1097.57</t>
  </si>
  <si>
    <t>1148.49</t>
  </si>
  <si>
    <t>1084.78</t>
  </si>
  <si>
    <t>945.30</t>
  </si>
  <si>
    <t>945.00</t>
  </si>
  <si>
    <t>3013</t>
  </si>
  <si>
    <t>1098.55</t>
  </si>
  <si>
    <t>07/08/2013</t>
  </si>
  <si>
    <t>214.08</t>
  </si>
  <si>
    <t>01/24/2013</t>
  </si>
  <si>
    <t>48-3N-25-4196-0133-0000</t>
  </si>
  <si>
    <t>56234 COLBY DR</t>
  </si>
  <si>
    <t>REYNOLDS KIMBERLY D</t>
  </si>
  <si>
    <t>56234 COLBY D</t>
  </si>
  <si>
    <t>LOT 133</t>
  </si>
  <si>
    <t>970.75</t>
  </si>
  <si>
    <t>18-4N-25-0000-0005-0000</t>
  </si>
  <si>
    <t>184N25000000050000</t>
  </si>
  <si>
    <t>4891 WHITAKER RD</t>
  </si>
  <si>
    <t>1938</t>
  </si>
  <si>
    <t xml:space="preserve"> NATIONWIDE HOME EQUITY CORP</t>
  </si>
  <si>
    <t>11/19/2003</t>
  </si>
  <si>
    <t>WHITTAKER CHARLES E JR &amp;</t>
  </si>
  <si>
    <t>4891 WHITAKER ROA</t>
  </si>
  <si>
    <t>986.77</t>
  </si>
  <si>
    <t>07/13/2017</t>
  </si>
  <si>
    <t>1031.53</t>
  </si>
  <si>
    <t>950.48</t>
  </si>
  <si>
    <t>1033.21</t>
  </si>
  <si>
    <t>18-4N-25-0000-0005-0040</t>
  </si>
  <si>
    <t>184N25000000050040</t>
  </si>
  <si>
    <t>48050 ROBINS NEST WAY</t>
  </si>
  <si>
    <t>HOGAN ROGER H &amp; ROBIN A</t>
  </si>
  <si>
    <t>48050 ROBINS NEST WA</t>
  </si>
  <si>
    <t>862.99</t>
  </si>
  <si>
    <t>937.74</t>
  </si>
  <si>
    <t>821.42</t>
  </si>
  <si>
    <t>968.61</t>
  </si>
  <si>
    <t>03/08/2016</t>
  </si>
  <si>
    <t>1115</t>
  </si>
  <si>
    <t>1154.28</t>
  </si>
  <si>
    <t>1341</t>
  </si>
  <si>
    <t>1224.36</t>
  </si>
  <si>
    <t>1223.49</t>
  </si>
  <si>
    <t>1428.31</t>
  </si>
  <si>
    <t>03/03/2011</t>
  </si>
  <si>
    <t>18-4N-25-0000-0007-0080</t>
  </si>
  <si>
    <t>184N25000000070080</t>
  </si>
  <si>
    <t>376175 KINGS FERRY RD</t>
  </si>
  <si>
    <t>2.98</t>
  </si>
  <si>
    <t>1434</t>
  </si>
  <si>
    <t>YOUNG VIRGINIA E &amp;</t>
  </si>
  <si>
    <t>376175 KINGS FERRY R</t>
  </si>
  <si>
    <t>IN OR 1098/127 &amp; OR 1943/894</t>
  </si>
  <si>
    <t>534.78</t>
  </si>
  <si>
    <t>574.93</t>
  </si>
  <si>
    <t>08/24/2016</t>
  </si>
  <si>
    <t>329.36</t>
  </si>
  <si>
    <t>459.55</t>
  </si>
  <si>
    <t>1116</t>
  </si>
  <si>
    <t>503.26</t>
  </si>
  <si>
    <t>613.79</t>
  </si>
  <si>
    <t>19-4N-25-0000-0002-0070</t>
  </si>
  <si>
    <t>194N25000000020070</t>
  </si>
  <si>
    <t>48454 HADDOCK RD</t>
  </si>
  <si>
    <t>71200.00</t>
  </si>
  <si>
    <t>05/16/2003</t>
  </si>
  <si>
    <t>HULS JAMES &amp;</t>
  </si>
  <si>
    <t>156 SW CROSSBOW P</t>
  </si>
  <si>
    <t>32024</t>
  </si>
  <si>
    <t>IN OR 471/425 &amp; OR 2006/451</t>
  </si>
  <si>
    <t>1066.19</t>
  </si>
  <si>
    <t>06/14/2016</t>
  </si>
  <si>
    <t>3211</t>
  </si>
  <si>
    <t>179.84</t>
  </si>
  <si>
    <t>171.10</t>
  </si>
  <si>
    <t>19-4N-25-4200-0004-0010</t>
  </si>
  <si>
    <t>TYLER KENNETH</t>
  </si>
  <si>
    <t>375917 KINGS FERRY R</t>
  </si>
  <si>
    <t>PT OF LOTS 4 &amp; 5</t>
  </si>
  <si>
    <t>349.74</t>
  </si>
  <si>
    <t>19-4N-25-4200-0004-0040</t>
  </si>
  <si>
    <t>194N25420000040040</t>
  </si>
  <si>
    <t>TYLER KENNETH M</t>
  </si>
  <si>
    <t>375917 KINGS FERRY ROA</t>
  </si>
  <si>
    <t>06/29/2016</t>
  </si>
  <si>
    <t>217.81</t>
  </si>
  <si>
    <t>08/25/2014</t>
  </si>
  <si>
    <t>1327</t>
  </si>
  <si>
    <t>19-4N-25-4200-0005-0010</t>
  </si>
  <si>
    <t>PT OF LOT 5</t>
  </si>
  <si>
    <t>20-4N-25-0000-0003-0030</t>
  </si>
  <si>
    <t>48133 INDIAN SUMMER PL</t>
  </si>
  <si>
    <t>63500</t>
  </si>
  <si>
    <t>JACKSONVILLE FIREMENS CU</t>
  </si>
  <si>
    <t>55500.00</t>
  </si>
  <si>
    <t>BUTLER GRAYMOND E</t>
  </si>
  <si>
    <t>3141 WATER S</t>
  </si>
  <si>
    <t>PARCEL 1-3 OF SEC 19 (EX 1-5)</t>
  </si>
  <si>
    <t>424.68</t>
  </si>
  <si>
    <t>20-4N-25-0000-0006-0000</t>
  </si>
  <si>
    <t>204N25000000060000</t>
  </si>
  <si>
    <t>481209 HADDOCK RD</t>
  </si>
  <si>
    <t>10.05</t>
  </si>
  <si>
    <t>HADDOCK WINONA L/E</t>
  </si>
  <si>
    <t>OR 242/28</t>
  </si>
  <si>
    <t>1528.59</t>
  </si>
  <si>
    <t>1565.11</t>
  </si>
  <si>
    <t>1526.48</t>
  </si>
  <si>
    <t>1416.34</t>
  </si>
  <si>
    <t>251.78</t>
  </si>
  <si>
    <t>3212</t>
  </si>
  <si>
    <t>228.85</t>
  </si>
  <si>
    <t>219.65</t>
  </si>
  <si>
    <t>10/10/2012</t>
  </si>
  <si>
    <t>1328</t>
  </si>
  <si>
    <t>202.22</t>
  </si>
  <si>
    <t>08/08/2011</t>
  </si>
  <si>
    <t>20-4N-25-0000-0009-0060</t>
  </si>
  <si>
    <t>48658 CRAWFORD LN</t>
  </si>
  <si>
    <t>1715</t>
  </si>
  <si>
    <t>6000</t>
  </si>
  <si>
    <t>REED JENNIFER L</t>
  </si>
  <si>
    <t>48042 FROG P</t>
  </si>
  <si>
    <t>OR 2140/602</t>
  </si>
  <si>
    <t>20-4N-25-0000-0010-0080</t>
  </si>
  <si>
    <t>204N25000000100080</t>
  </si>
  <si>
    <t>48303 CRAWFORD LN</t>
  </si>
  <si>
    <t>1423</t>
  </si>
  <si>
    <t>BETTY J ALEXANDER</t>
  </si>
  <si>
    <t>03/24/2028</t>
  </si>
  <si>
    <t>ROBERTS RICHARD E &amp; TIA L</t>
  </si>
  <si>
    <t>48303 CRAWFORD LAN</t>
  </si>
  <si>
    <t>IN OR 1559/1250</t>
  </si>
  <si>
    <t>344.86</t>
  </si>
  <si>
    <t>342.38</t>
  </si>
  <si>
    <t>338.04</t>
  </si>
  <si>
    <t>439.82</t>
  </si>
  <si>
    <t>1431</t>
  </si>
  <si>
    <t>1205.12</t>
  </si>
  <si>
    <t>05/03/2013</t>
  </si>
  <si>
    <t>1209.20</t>
  </si>
  <si>
    <t>1440.57</t>
  </si>
  <si>
    <t>20-4N-25-4210-0001-0000</t>
  </si>
  <si>
    <t>204N25-42100001-0000</t>
  </si>
  <si>
    <t>473951 MIDDLE RD</t>
  </si>
  <si>
    <t>63650.00</t>
  </si>
  <si>
    <t>06/01/2031</t>
  </si>
  <si>
    <t>KATO JOHN H</t>
  </si>
  <si>
    <t>473951 MIDDLE R</t>
  </si>
  <si>
    <t>TRACT 1</t>
  </si>
  <si>
    <t>901.96</t>
  </si>
  <si>
    <t>04/10/2017</t>
  </si>
  <si>
    <t>21-4N-25-0000-0001-0010</t>
  </si>
  <si>
    <t>214N25000000010010</t>
  </si>
  <si>
    <t>574715 LESSIE RD</t>
  </si>
  <si>
    <t>DAVID H GLOCKER</t>
  </si>
  <si>
    <t>09/01/2008</t>
  </si>
  <si>
    <t>MALONE ERIC M &amp; JENNIFER L</t>
  </si>
  <si>
    <t>574715 LESSIE R</t>
  </si>
  <si>
    <t>PT GOVT LOT 1 OF SEC 21-4N-25E</t>
  </si>
  <si>
    <t>533.08</t>
  </si>
  <si>
    <t>539.60</t>
  </si>
  <si>
    <t>546.32</t>
  </si>
  <si>
    <t>1112</t>
  </si>
  <si>
    <t>535.21</t>
  </si>
  <si>
    <t>1120</t>
  </si>
  <si>
    <t>534.32</t>
  </si>
  <si>
    <t>04/24/2014</t>
  </si>
  <si>
    <t>22-4N-25-0000-0004-0010</t>
  </si>
  <si>
    <t>224N25-00000004-0010</t>
  </si>
  <si>
    <t>574154 LESSIE RD</t>
  </si>
  <si>
    <t>WILLIAMSON GERALD M EST</t>
  </si>
  <si>
    <t>574154 LESSIE ROA</t>
  </si>
  <si>
    <t>PT GOVT LOT 2 OF SEC 22-4N-25E</t>
  </si>
  <si>
    <t>760.02</t>
  </si>
  <si>
    <t>781.13</t>
  </si>
  <si>
    <t>26-4N-25-0000-0007-0090</t>
  </si>
  <si>
    <t>572734 LESSIE RD</t>
  </si>
  <si>
    <t>1839</t>
  </si>
  <si>
    <t>56500.00</t>
  </si>
  <si>
    <t>11/01/2019</t>
  </si>
  <si>
    <t>ARMSTRONG ROY L &amp; MARGIE J</t>
  </si>
  <si>
    <t>85091 CHRISTIAN WAY APT 31</t>
  </si>
  <si>
    <t>26-4N-25-0000-0007-0150</t>
  </si>
  <si>
    <t>264N25-00000007-0150</t>
  </si>
  <si>
    <t>LESSIE RD</t>
  </si>
  <si>
    <t>BOYNT WANDA SWILLEY</t>
  </si>
  <si>
    <t>58056 HARV'S PLAC</t>
  </si>
  <si>
    <t>PT OF W1/2 OF NE1/4 OF SW1/4</t>
  </si>
  <si>
    <t>377.65</t>
  </si>
  <si>
    <t>364.85</t>
  </si>
  <si>
    <t>322.80</t>
  </si>
  <si>
    <t>29-4N-25-0000-0003-0070</t>
  </si>
  <si>
    <t>NARROW WAY</t>
  </si>
  <si>
    <t>16.81</t>
  </si>
  <si>
    <t>HOWARD CAROL</t>
  </si>
  <si>
    <t>48158 NARROW WA</t>
  </si>
  <si>
    <t>PT OF NE1/4 OF NW1/4 SEC 29 &amp;</t>
  </si>
  <si>
    <t>117.84</t>
  </si>
  <si>
    <t>32-4N-25-0000-0001-0020</t>
  </si>
  <si>
    <t>LOGGING RD</t>
  </si>
  <si>
    <t>THOMAS ADRIAN RANDOLPH</t>
  </si>
  <si>
    <t>PT OF N1/2 OF NE1/4 PAR 1-2</t>
  </si>
  <si>
    <t>32-4N-25-0000-0001-0030</t>
  </si>
  <si>
    <t>39.93</t>
  </si>
  <si>
    <t>DALE BURFORD ETUX</t>
  </si>
  <si>
    <t>02/15/2020</t>
  </si>
  <si>
    <t>PT OR 2079/609</t>
  </si>
  <si>
    <t>34-4N-25-0000-0001-0000</t>
  </si>
  <si>
    <t>344N25000000010000</t>
  </si>
  <si>
    <t>MELTON RD</t>
  </si>
  <si>
    <t>110.67</t>
  </si>
  <si>
    <t>550000</t>
  </si>
  <si>
    <t>WANG PETER</t>
  </si>
  <si>
    <t>58261 MELTON ROA</t>
  </si>
  <si>
    <t>E1/2 OF NE1/4 OF SEC 34-4N-25E</t>
  </si>
  <si>
    <t>788.76</t>
  </si>
  <si>
    <t>773.75</t>
  </si>
  <si>
    <t>719.71</t>
  </si>
  <si>
    <t>08/27/2015</t>
  </si>
  <si>
    <t>2031</t>
  </si>
  <si>
    <t>618.47</t>
  </si>
  <si>
    <t>574.16</t>
  </si>
  <si>
    <t>1336</t>
  </si>
  <si>
    <t>501.30</t>
  </si>
  <si>
    <t>35-4N-25-0000-0001-0010</t>
  </si>
  <si>
    <t>354N25000000010010</t>
  </si>
  <si>
    <t>58893 COOPERS NECK RD</t>
  </si>
  <si>
    <t xml:space="preserve"> SYNOVUS BANK</t>
  </si>
  <si>
    <t>23000.00</t>
  </si>
  <si>
    <t>09/20/2011</t>
  </si>
  <si>
    <t>FAVORS MICHAEL FLOYD</t>
  </si>
  <si>
    <t>58871 COOPERS NECK ROA</t>
  </si>
  <si>
    <t>490.65</t>
  </si>
  <si>
    <t>448.67</t>
  </si>
  <si>
    <t>463.36</t>
  </si>
  <si>
    <t>642.29</t>
  </si>
  <si>
    <t>35-4N-25-0000-0003-0000</t>
  </si>
  <si>
    <t>354N25000000030000</t>
  </si>
  <si>
    <t>MASON RD</t>
  </si>
  <si>
    <t>100332.00</t>
  </si>
  <si>
    <t>02/01/2034</t>
  </si>
  <si>
    <t>MASON JOHN EST</t>
  </si>
  <si>
    <t>50% INT ANDMERIETTA ALDERMAN 50% IN</t>
  </si>
  <si>
    <t>IN W1/2 OF NW1/4</t>
  </si>
  <si>
    <t>238.80</t>
  </si>
  <si>
    <t>239.91</t>
  </si>
  <si>
    <t>228.26</t>
  </si>
  <si>
    <t>1129</t>
  </si>
  <si>
    <t>2059</t>
  </si>
  <si>
    <t>35-4N-25-0000-0005-0000</t>
  </si>
  <si>
    <t>354N25000000050000</t>
  </si>
  <si>
    <t>CNB NATIONAL BANK</t>
  </si>
  <si>
    <t>89910.00</t>
  </si>
  <si>
    <t>COONER PHILLIP M &amp;</t>
  </si>
  <si>
    <t>58261 MELTON R</t>
  </si>
  <si>
    <t>430.14</t>
  </si>
  <si>
    <t>406.56</t>
  </si>
  <si>
    <t>1123</t>
  </si>
  <si>
    <t>336.70</t>
  </si>
  <si>
    <t>1414</t>
  </si>
  <si>
    <t>35-4N-25-0000-0005-0050</t>
  </si>
  <si>
    <t>354N25000000050050</t>
  </si>
  <si>
    <t>58261 MELTON RD</t>
  </si>
  <si>
    <t>13.55</t>
  </si>
  <si>
    <t>786.83</t>
  </si>
  <si>
    <t>795.52</t>
  </si>
  <si>
    <t>788.75</t>
  </si>
  <si>
    <t>2061</t>
  </si>
  <si>
    <t>699.84</t>
  </si>
  <si>
    <t>01/28/2014</t>
  </si>
  <si>
    <t>1415</t>
  </si>
  <si>
    <t>682.01</t>
  </si>
  <si>
    <t>1338</t>
  </si>
  <si>
    <t>646.94</t>
  </si>
  <si>
    <t>35-4N-25-0000-0008-0080</t>
  </si>
  <si>
    <t>354N25000000080080</t>
  </si>
  <si>
    <t>58291 TIMMONS RD</t>
  </si>
  <si>
    <t>1790</t>
  </si>
  <si>
    <t>19900</t>
  </si>
  <si>
    <t xml:space="preserve"> PRIMARY RESIDENTIAL MTG CORP</t>
  </si>
  <si>
    <t>116500.00</t>
  </si>
  <si>
    <t>01/17/2006</t>
  </si>
  <si>
    <t>JONES BELINDA M</t>
  </si>
  <si>
    <t>58291 TIMMONS R</t>
  </si>
  <si>
    <t>1687.41</t>
  </si>
  <si>
    <t>1731.74</t>
  </si>
  <si>
    <t>1584.64</t>
  </si>
  <si>
    <t>1417</t>
  </si>
  <si>
    <t>1554.38</t>
  </si>
  <si>
    <t>08/18/2011</t>
  </si>
  <si>
    <t>35-4N-25-0000-0009-0130</t>
  </si>
  <si>
    <t>354N25000000090130</t>
  </si>
  <si>
    <t>571639 LESSIE RD</t>
  </si>
  <si>
    <t>SCOTT VICTORIA M &amp;</t>
  </si>
  <si>
    <t>571639 LESSIE R</t>
  </si>
  <si>
    <t>PT NW1/4 OF SE1/4 OF</t>
  </si>
  <si>
    <t>35-4N-25-4220-0001-0020</t>
  </si>
  <si>
    <t>354N25422000010020</t>
  </si>
  <si>
    <t>58104 COOPERS NECK RD</t>
  </si>
  <si>
    <t>7.95</t>
  </si>
  <si>
    <t>WHITE KAVIN KEITH</t>
  </si>
  <si>
    <t>58104 COOPERS NECK R</t>
  </si>
  <si>
    <t>PT OF LOTS 1 3 &amp; 5</t>
  </si>
  <si>
    <t>970.88</t>
  </si>
  <si>
    <t>2561</t>
  </si>
  <si>
    <t>117.77</t>
  </si>
  <si>
    <t>01/30/2015</t>
  </si>
  <si>
    <t>2831</t>
  </si>
  <si>
    <t>110.52</t>
  </si>
  <si>
    <t>05/15/2014</t>
  </si>
  <si>
    <t>3819</t>
  </si>
  <si>
    <t>81.39</t>
  </si>
  <si>
    <t>35-4N-25-4220-0002-0020</t>
  </si>
  <si>
    <t>354N25422000020020</t>
  </si>
  <si>
    <t>COOPERS NECK RD</t>
  </si>
  <si>
    <t>CHEAVERS EVERETT ET AL</t>
  </si>
  <si>
    <t>10 MANOR D</t>
  </si>
  <si>
    <t>Neptune</t>
  </si>
  <si>
    <t>07753</t>
  </si>
  <si>
    <t>PT OF LOTS 2 4 &amp; 6</t>
  </si>
  <si>
    <t>35-4N-25-4220-0003-0030</t>
  </si>
  <si>
    <t>354N25-42200003-0030</t>
  </si>
  <si>
    <t>E75 OF W308 OF S150 OF LOT 3</t>
  </si>
  <si>
    <t>78.81</t>
  </si>
  <si>
    <t>1034</t>
  </si>
  <si>
    <t>82.44</t>
  </si>
  <si>
    <t>38-4N-25-0000-0012-0000</t>
  </si>
  <si>
    <t>10.77</t>
  </si>
  <si>
    <t>BREAKER MARY LOUISE</t>
  </si>
  <si>
    <t>1235 W 12TH STREE</t>
  </si>
  <si>
    <t>PT WILLIAM NELSON GRANT</t>
  </si>
  <si>
    <t>1099.82</t>
  </si>
  <si>
    <t>43-4N-25-0000-0002-0030</t>
  </si>
  <si>
    <t>434N25000000020030</t>
  </si>
  <si>
    <t>474630 MIDDLE RD</t>
  </si>
  <si>
    <t>POHL LEE NORA JO WINGATE &amp;</t>
  </si>
  <si>
    <t>474694 MIDDLE ROA</t>
  </si>
  <si>
    <t>CASE #04-24-CP OR 1315/116</t>
  </si>
  <si>
    <t>535.02</t>
  </si>
  <si>
    <t>542.35</t>
  </si>
  <si>
    <t>517.64</t>
  </si>
  <si>
    <t>1136</t>
  </si>
  <si>
    <t>693.56</t>
  </si>
  <si>
    <t>12/26/2013</t>
  </si>
  <si>
    <t>2876</t>
  </si>
  <si>
    <t>824.73</t>
  </si>
  <si>
    <t>1421</t>
  </si>
  <si>
    <t>700.07</t>
  </si>
  <si>
    <t>819.72</t>
  </si>
  <si>
    <t>43-4N-25-0000-0002-0080</t>
  </si>
  <si>
    <t>434N25000000020080</t>
  </si>
  <si>
    <t>3403.00</t>
  </si>
  <si>
    <t>01/12/2012</t>
  </si>
  <si>
    <t>HOOVER JOHN L JR</t>
  </si>
  <si>
    <t>37360 BULFORD R</t>
  </si>
  <si>
    <t>OR 689/1262</t>
  </si>
  <si>
    <t>711.33</t>
  </si>
  <si>
    <t>722.95</t>
  </si>
  <si>
    <t>726.49</t>
  </si>
  <si>
    <t>688.82</t>
  </si>
  <si>
    <t>06/21/2016</t>
  </si>
  <si>
    <t>865.96</t>
  </si>
  <si>
    <t>2855</t>
  </si>
  <si>
    <t>872.73</t>
  </si>
  <si>
    <t>876.44</t>
  </si>
  <si>
    <t>1048.12</t>
  </si>
  <si>
    <t>01/18/2012</t>
  </si>
  <si>
    <t>43-4N-25-0000-0002-0220</t>
  </si>
  <si>
    <t>434N25000000020220</t>
  </si>
  <si>
    <t>ROY HADDOCK RD</t>
  </si>
  <si>
    <t>HOOVER WILLIAM L</t>
  </si>
  <si>
    <t>481572 HADDOCK ROA</t>
  </si>
  <si>
    <t>IN OR 1217/1826</t>
  </si>
  <si>
    <t>501.15</t>
  </si>
  <si>
    <t>507.66</t>
  </si>
  <si>
    <t>479.61</t>
  </si>
  <si>
    <t>01/27/2017</t>
  </si>
  <si>
    <t>442.57</t>
  </si>
  <si>
    <t>2856</t>
  </si>
  <si>
    <t>07/30/2012</t>
  </si>
  <si>
    <t>397.57</t>
  </si>
  <si>
    <t>06/17/2011</t>
  </si>
  <si>
    <t>43-4N-25-0000-0002-0230</t>
  </si>
  <si>
    <t>434N25000000020230</t>
  </si>
  <si>
    <t>481424 HADDOCK RD</t>
  </si>
  <si>
    <t>HOOVER APRIL &amp; WILLIAM L</t>
  </si>
  <si>
    <t>481572 HADDOCK R</t>
  </si>
  <si>
    <t>IN OR 1868/1114</t>
  </si>
  <si>
    <t>1038</t>
  </si>
  <si>
    <t>386.00</t>
  </si>
  <si>
    <t>2857</t>
  </si>
  <si>
    <t>1424</t>
  </si>
  <si>
    <t>43-4N-25-0000-0002-0290</t>
  </si>
  <si>
    <t>434N25000000020290</t>
  </si>
  <si>
    <t>474278 MIDDLE RD</t>
  </si>
  <si>
    <t>HOOVER JOHN L</t>
  </si>
  <si>
    <t>PT JOSEPH HADDOCK DONATION</t>
  </si>
  <si>
    <t>394.93</t>
  </si>
  <si>
    <t>398.99</t>
  </si>
  <si>
    <t>355.08</t>
  </si>
  <si>
    <t>353.02</t>
  </si>
  <si>
    <t>09/19/2014</t>
  </si>
  <si>
    <t>1139</t>
  </si>
  <si>
    <t>465.04</t>
  </si>
  <si>
    <t>2858</t>
  </si>
  <si>
    <t>488.59</t>
  </si>
  <si>
    <t>02/05/2013</t>
  </si>
  <si>
    <t>490.31</t>
  </si>
  <si>
    <t>572.52</t>
  </si>
  <si>
    <t>02/07/2012</t>
  </si>
  <si>
    <t>48-4N-25-0000-0001-0260</t>
  </si>
  <si>
    <t>KOLARS FERRY RD</t>
  </si>
  <si>
    <t>WADE JASON &amp;</t>
  </si>
  <si>
    <t>394669 KOLARS FERRY R</t>
  </si>
  <si>
    <t>PT SEC 48-4N-25E</t>
  </si>
  <si>
    <t>01-2N-26-0000-0007-0010</t>
  </si>
  <si>
    <t>012N26000000070010</t>
  </si>
  <si>
    <t>5.27</t>
  </si>
  <si>
    <t>GARRETT FLOYD L &amp;</t>
  </si>
  <si>
    <t>2010 OAK VIEW DRIV</t>
  </si>
  <si>
    <t>Severville</t>
  </si>
  <si>
    <t>37876</t>
  </si>
  <si>
    <t>IN OR 1427/1012</t>
  </si>
  <si>
    <t>3964.16</t>
  </si>
  <si>
    <t>4054.79</t>
  </si>
  <si>
    <t>6126.41</t>
  </si>
  <si>
    <t>5809.17</t>
  </si>
  <si>
    <t>5692.25</t>
  </si>
  <si>
    <t>3808.28</t>
  </si>
  <si>
    <t>4252.00</t>
  </si>
  <si>
    <t>02-2N-26-0000-0004-0100</t>
  </si>
  <si>
    <t>76023 BILLS TR</t>
  </si>
  <si>
    <t>AMERIS BANK</t>
  </si>
  <si>
    <t>38250.00</t>
  </si>
  <si>
    <t>03/11/2020</t>
  </si>
  <si>
    <t>JOHNSON BRENDA C &amp; CHARLES R</t>
  </si>
  <si>
    <t>76023 BILLS TRAI</t>
  </si>
  <si>
    <t>IN OR 1967/3</t>
  </si>
  <si>
    <t>02-2N-26-0000-0004-0110</t>
  </si>
  <si>
    <t>022N26000000040110</t>
  </si>
  <si>
    <t>77002 HALLMARK LN</t>
  </si>
  <si>
    <t>JOHNSON REBECCA M</t>
  </si>
  <si>
    <t>77135 HALLMARK L</t>
  </si>
  <si>
    <t>PT OF N1/2 OF S1/2 OF S1/2 OF</t>
  </si>
  <si>
    <t>937.75</t>
  </si>
  <si>
    <t>943.27</t>
  </si>
  <si>
    <t>948.84</t>
  </si>
  <si>
    <t>1138</t>
  </si>
  <si>
    <t>919.28</t>
  </si>
  <si>
    <t>03/11/2015</t>
  </si>
  <si>
    <t>03-2N-26-0000-0001-0020</t>
  </si>
  <si>
    <t>032N26000000010020</t>
  </si>
  <si>
    <t>66616 FRED MINER ESTATE DR</t>
  </si>
  <si>
    <t>8.34</t>
  </si>
  <si>
    <t>HIGGS JACK H JR &amp; SHEILA F</t>
  </si>
  <si>
    <t>66616 FRED MINER ESTATE</t>
  </si>
  <si>
    <t>IN OR 845/477   R787589</t>
  </si>
  <si>
    <t>353.26</t>
  </si>
  <si>
    <t>419.15</t>
  </si>
  <si>
    <t>2832</t>
  </si>
  <si>
    <t>154.49</t>
  </si>
  <si>
    <t>213.54</t>
  </si>
  <si>
    <t>219.31</t>
  </si>
  <si>
    <t>03-2N-26-0000-0001-0080</t>
  </si>
  <si>
    <t>032N26000000010080</t>
  </si>
  <si>
    <t>66040 IONA PL</t>
  </si>
  <si>
    <t>BENEFICIAL FLORIDA INC</t>
  </si>
  <si>
    <t>66510.00</t>
  </si>
  <si>
    <t>12/07/2021</t>
  </si>
  <si>
    <t>CRIBB NANCIE S CARR</t>
  </si>
  <si>
    <t>66040 IONA P</t>
  </si>
  <si>
    <t>IN OR 727/1685</t>
  </si>
  <si>
    <t>292.32</t>
  </si>
  <si>
    <t>447.86</t>
  </si>
  <si>
    <t>08/12/2014</t>
  </si>
  <si>
    <t>475.39</t>
  </si>
  <si>
    <t>514.53</t>
  </si>
  <si>
    <t>514.16</t>
  </si>
  <si>
    <t>03-2N-26-0000-0001-0120</t>
  </si>
  <si>
    <t>032N26000000010120</t>
  </si>
  <si>
    <t>FRED MINER ESTATE DR</t>
  </si>
  <si>
    <t>POLAND LOIS MINER EST</t>
  </si>
  <si>
    <t>PO BOX</t>
  </si>
  <si>
    <t>E1/2 OF NE1/4</t>
  </si>
  <si>
    <t>255.88</t>
  </si>
  <si>
    <t>244.85</t>
  </si>
  <si>
    <t>230.05</t>
  </si>
  <si>
    <t>1147</t>
  </si>
  <si>
    <t>238.15</t>
  </si>
  <si>
    <t>307.23</t>
  </si>
  <si>
    <t>05-2N-26-0000-0004-0090</t>
  </si>
  <si>
    <t>052N26000000040090</t>
  </si>
  <si>
    <t>GUSSIE LN</t>
  </si>
  <si>
    <t xml:space="preserve"> PREMIER MORTGAGE FUNDING INC</t>
  </si>
  <si>
    <t>69527.00</t>
  </si>
  <si>
    <t>05/12/2008</t>
  </si>
  <si>
    <t>GILL CHARLES B</t>
  </si>
  <si>
    <t>66112 GUSSIE LAN</t>
  </si>
  <si>
    <t>IN OR 979/1651     RP 1316</t>
  </si>
  <si>
    <t>164.83</t>
  </si>
  <si>
    <t>01/03/2017</t>
  </si>
  <si>
    <t>1438</t>
  </si>
  <si>
    <t>246.45</t>
  </si>
  <si>
    <t>04/10/2012</t>
  </si>
  <si>
    <t>05-2N-26-0000-0004-0130</t>
  </si>
  <si>
    <t>052N26000000040130</t>
  </si>
  <si>
    <t>66146 GUSSIE LN</t>
  </si>
  <si>
    <t>47349.00</t>
  </si>
  <si>
    <t>11/17/2022</t>
  </si>
  <si>
    <t>BROWN ROBERT CHARLES</t>
  </si>
  <si>
    <t>66146 GUSSIE L</t>
  </si>
  <si>
    <t>IN OR 1078/577</t>
  </si>
  <si>
    <t>631.83</t>
  </si>
  <si>
    <t>618.77</t>
  </si>
  <si>
    <t>1141</t>
  </si>
  <si>
    <t>677.07</t>
  </si>
  <si>
    <t>1149</t>
  </si>
  <si>
    <t>745.53</t>
  </si>
  <si>
    <t>797.76</t>
  </si>
  <si>
    <t>1439</t>
  </si>
  <si>
    <t>807.62</t>
  </si>
  <si>
    <t>09/09/2015</t>
  </si>
  <si>
    <t>1362</t>
  </si>
  <si>
    <t>420.72</t>
  </si>
  <si>
    <t>05-2N-26-0000-0004-0150</t>
  </si>
  <si>
    <t>052N26000000040150</t>
  </si>
  <si>
    <t>IN OR 586/539 &amp; OR 633/214</t>
  </si>
  <si>
    <t>177.09</t>
  </si>
  <si>
    <t>1440</t>
  </si>
  <si>
    <t>266.45</t>
  </si>
  <si>
    <t>05-2N-26-1875-0001-0000</t>
  </si>
  <si>
    <t>66110 ROCKING HORSE LN</t>
  </si>
  <si>
    <t>212000</t>
  </si>
  <si>
    <t>ROCKING HORSE DEVELOPMENT INC</t>
  </si>
  <si>
    <t>53000.00</t>
  </si>
  <si>
    <t>PREMIER HOMES OF N FLORIDA INC</t>
  </si>
  <si>
    <t>55234 WHITE OAK PLAC</t>
  </si>
  <si>
    <t>05-2N-26-1875-0002-0000</t>
  </si>
  <si>
    <t>66144 ROCKING HORSE LN</t>
  </si>
  <si>
    <t>05-2N-26-1875-0003-0000</t>
  </si>
  <si>
    <t>66178 ROCKING HORSE LN</t>
  </si>
  <si>
    <t>05-2N-26-1875-0004-0000</t>
  </si>
  <si>
    <t>66208 ROCKING HORSE LN</t>
  </si>
  <si>
    <t>747400</t>
  </si>
  <si>
    <t>07-2N-26-0000-0002-0010</t>
  </si>
  <si>
    <t>072N26000000020010</t>
  </si>
  <si>
    <t>8/8</t>
  </si>
  <si>
    <t>56124 DIXON TRL</t>
  </si>
  <si>
    <t>MORGAN PAMELA J</t>
  </si>
  <si>
    <t>56124 DIXON TRAI</t>
  </si>
  <si>
    <t>616.05</t>
  </si>
  <si>
    <t>523.57</t>
  </si>
  <si>
    <t>327.78</t>
  </si>
  <si>
    <t>1150</t>
  </si>
  <si>
    <t>737.84</t>
  </si>
  <si>
    <t>939.93</t>
  </si>
  <si>
    <t>3271</t>
  </si>
  <si>
    <t>1125.56</t>
  </si>
  <si>
    <t>3315</t>
  </si>
  <si>
    <t>1301.08</t>
  </si>
  <si>
    <t>3326</t>
  </si>
  <si>
    <t>674.64</t>
  </si>
  <si>
    <t>11-2N-26-1830-0122-0000</t>
  </si>
  <si>
    <t>112N26183001220000</t>
  </si>
  <si>
    <t>75102 FERN CREEK DR</t>
  </si>
  <si>
    <t>233035</t>
  </si>
  <si>
    <t>DHI MORTGAGE COMPANY LTD</t>
  </si>
  <si>
    <t>233035.00</t>
  </si>
  <si>
    <t>04/01/2047</t>
  </si>
  <si>
    <t>RIVER GLENN CDD</t>
  </si>
  <si>
    <t>DFLT 1D</t>
  </si>
  <si>
    <t>10390000</t>
  </si>
  <si>
    <t>8/4/2011</t>
  </si>
  <si>
    <t>IWANIUSZ MICHAEL WILLIAM &amp;</t>
  </si>
  <si>
    <t>75102 FERN CREEK DRIV</t>
  </si>
  <si>
    <t>LOT 122</t>
  </si>
  <si>
    <t>2424.61</t>
  </si>
  <si>
    <t>07/27/2011</t>
  </si>
  <si>
    <t>1429</t>
  </si>
  <si>
    <t>2405.45</t>
  </si>
  <si>
    <t>11-2N-26-2050-0185-0000</t>
  </si>
  <si>
    <t>112N26205001850000</t>
  </si>
  <si>
    <t>76282 DEERWOOD DR</t>
  </si>
  <si>
    <t>2456</t>
  </si>
  <si>
    <t>247700</t>
  </si>
  <si>
    <t>CITY &amp; POLICE FCU</t>
  </si>
  <si>
    <t>252000.00</t>
  </si>
  <si>
    <t>06/23/2006</t>
  </si>
  <si>
    <t>COLE HERMAN &amp; CHRISTINE</t>
  </si>
  <si>
    <t>76282 DEERWOOD DRIV</t>
  </si>
  <si>
    <t>LOT 185</t>
  </si>
  <si>
    <t>13-2N-26-4200-0023-0000</t>
  </si>
  <si>
    <t>75028 EDWARDS RD</t>
  </si>
  <si>
    <t>185500</t>
  </si>
  <si>
    <t>WATSON MTG CORP</t>
  </si>
  <si>
    <t>110761.00</t>
  </si>
  <si>
    <t>SMIT ROBIN &amp; LAURA MARY</t>
  </si>
  <si>
    <t>75028 EDWARDS ROA</t>
  </si>
  <si>
    <t>LOT 23</t>
  </si>
  <si>
    <t>14-2N-26-4280-0002-0160</t>
  </si>
  <si>
    <t>142N26428000020160</t>
  </si>
  <si>
    <t>75135 RANDY RD</t>
  </si>
  <si>
    <t>0.74</t>
  </si>
  <si>
    <t xml:space="preserve"> CHASE BANK USA NA</t>
  </si>
  <si>
    <t>11/19/2007</t>
  </si>
  <si>
    <t>WEINBERG DOUGLAS E &amp; JUNE T</t>
  </si>
  <si>
    <t>75135 RANDY ROA</t>
  </si>
  <si>
    <t>PT OF UNNUMBERED TRACT IN</t>
  </si>
  <si>
    <t>475.79</t>
  </si>
  <si>
    <t>06/14/2013</t>
  </si>
  <si>
    <t>14-2N-26-4280-0002-0260</t>
  </si>
  <si>
    <t>OFF RANDY RD</t>
  </si>
  <si>
    <t>WEINBERG DAVID &amp; AURIEL</t>
  </si>
  <si>
    <t>75051 RANDY ROA</t>
  </si>
  <si>
    <t>453.34</t>
  </si>
  <si>
    <t>14-2N-26-4280-0002-0270</t>
  </si>
  <si>
    <t>142N26428000020270</t>
  </si>
  <si>
    <t>433.46</t>
  </si>
  <si>
    <t>411.46</t>
  </si>
  <si>
    <t>1161</t>
  </si>
  <si>
    <t>574.07</t>
  </si>
  <si>
    <t>09/06/2013</t>
  </si>
  <si>
    <t>1205</t>
  </si>
  <si>
    <t>762.99</t>
  </si>
  <si>
    <t>09/27/2012</t>
  </si>
  <si>
    <t>14-2N-26-4280-0011-0000</t>
  </si>
  <si>
    <t>142N26428000110000</t>
  </si>
  <si>
    <t>75076 EASY ST</t>
  </si>
  <si>
    <t>0.37</t>
  </si>
  <si>
    <t>1773</t>
  </si>
  <si>
    <t>82500</t>
  </si>
  <si>
    <t>HIGGS JACK &amp; SHEILA</t>
  </si>
  <si>
    <t>66616 FRED MINER ESTATES D</t>
  </si>
  <si>
    <t>SUB LOT 33</t>
  </si>
  <si>
    <t>2133.59</t>
  </si>
  <si>
    <t>1313.08</t>
  </si>
  <si>
    <t>655.98</t>
  </si>
  <si>
    <t>09/14/2015</t>
  </si>
  <si>
    <t>14-2N-26-4280-0023-0030</t>
  </si>
  <si>
    <t>75039 PARRISH RD</t>
  </si>
  <si>
    <t>TESTON ELLA-JEAN EILEEN</t>
  </si>
  <si>
    <t>95415 BARNWELL R</t>
  </si>
  <si>
    <t>14-2N-26-4280-0033-0100</t>
  </si>
  <si>
    <t>142N26428000330100</t>
  </si>
  <si>
    <t>75115 TWISTED OAK DR</t>
  </si>
  <si>
    <t>1512</t>
  </si>
  <si>
    <t>COATS THOMAS I &amp; PAULA H</t>
  </si>
  <si>
    <t>75115 TWISTED OAK D</t>
  </si>
  <si>
    <t>IN OR 935/1855-1866</t>
  </si>
  <si>
    <t>568.99</t>
  </si>
  <si>
    <t>01-3N-26-0000-0001-0010</t>
  </si>
  <si>
    <t>013N26000000010010</t>
  </si>
  <si>
    <t>HANCE PKWY</t>
  </si>
  <si>
    <t>90.52</t>
  </si>
  <si>
    <t xml:space="preserve"> GOLDEN RULE MORTGAGES INC</t>
  </si>
  <si>
    <t>12/19/2002</t>
  </si>
  <si>
    <t>HORNE ELWIN G &amp; ANN C (JTROS)</t>
  </si>
  <si>
    <t>174 GREENVILLE R</t>
  </si>
  <si>
    <t>Kingsland</t>
  </si>
  <si>
    <t>31548</t>
  </si>
  <si>
    <t>PT OR 1641/1573</t>
  </si>
  <si>
    <t>872.23</t>
  </si>
  <si>
    <t>876.10</t>
  </si>
  <si>
    <t>871.62</t>
  </si>
  <si>
    <t>801.69</t>
  </si>
  <si>
    <t>1173</t>
  </si>
  <si>
    <t>724.77</t>
  </si>
  <si>
    <t>732.19</t>
  </si>
  <si>
    <t>1780</t>
  </si>
  <si>
    <t>706.23</t>
  </si>
  <si>
    <t>01-3N-26-0000-0001-0020</t>
  </si>
  <si>
    <t>013N26000000010020</t>
  </si>
  <si>
    <t>77455 HORNE LAKE CIR</t>
  </si>
  <si>
    <t>PT OR 1641/1567</t>
  </si>
  <si>
    <t>833.96</t>
  </si>
  <si>
    <t>866.18</t>
  </si>
  <si>
    <t>841.79</t>
  </si>
  <si>
    <t>814.70</t>
  </si>
  <si>
    <t>1025.44</t>
  </si>
  <si>
    <t>1138.51</t>
  </si>
  <si>
    <t>1781</t>
  </si>
  <si>
    <t>1310.20</t>
  </si>
  <si>
    <t>1709</t>
  </si>
  <si>
    <t>1306.28</t>
  </si>
  <si>
    <t>11/09/2010</t>
  </si>
  <si>
    <t>01-3N-26-0000-0001-0030</t>
  </si>
  <si>
    <t>013N26000000010030</t>
  </si>
  <si>
    <t>77411 HORNE LAKE CIR</t>
  </si>
  <si>
    <t>PT OR 1641/1586</t>
  </si>
  <si>
    <t>487.16</t>
  </si>
  <si>
    <t>489.88</t>
  </si>
  <si>
    <t>446.20</t>
  </si>
  <si>
    <t>424.37</t>
  </si>
  <si>
    <t>1175</t>
  </si>
  <si>
    <t>614.52</t>
  </si>
  <si>
    <t>704.38</t>
  </si>
  <si>
    <t>857.60</t>
  </si>
  <si>
    <t>01-3N-26-0000-0001-0050</t>
  </si>
  <si>
    <t>013N26000000010050</t>
  </si>
  <si>
    <t>20.04</t>
  </si>
  <si>
    <t>173900</t>
  </si>
  <si>
    <t>HORNE ELWIN G &amp;</t>
  </si>
  <si>
    <t>174 GREENVILLE RD</t>
  </si>
  <si>
    <t>IN OR 1876/171</t>
  </si>
  <si>
    <t>1524.18</t>
  </si>
  <si>
    <t>1555.54</t>
  </si>
  <si>
    <t>1563.28</t>
  </si>
  <si>
    <t>87.94</t>
  </si>
  <si>
    <t>69.28</t>
  </si>
  <si>
    <t>62.11</t>
  </si>
  <si>
    <t>02-3N-26-0000-0001-0030</t>
  </si>
  <si>
    <t>023N26000000010030</t>
  </si>
  <si>
    <t>US HWY 17</t>
  </si>
  <si>
    <t>4971</t>
  </si>
  <si>
    <t>17/95 RV PARK LLC</t>
  </si>
  <si>
    <t>17/95 RV PARK LLC1610 SOUTH 8TH STREE</t>
  </si>
  <si>
    <t>PT OF NE1/4 OF SEC 2-3N-26E</t>
  </si>
  <si>
    <t>02-3N-26-0000-0001-0060</t>
  </si>
  <si>
    <t>023N26000000010060</t>
  </si>
  <si>
    <t>5.87</t>
  </si>
  <si>
    <t>HORNE E G &amp; A C LIVING TRUST</t>
  </si>
  <si>
    <t>200000.00</t>
  </si>
  <si>
    <t>03/05/2008</t>
  </si>
  <si>
    <t>53.29</t>
  </si>
  <si>
    <t>47.06</t>
  </si>
  <si>
    <t>52.06</t>
  </si>
  <si>
    <t>39.30</t>
  </si>
  <si>
    <t>28.24</t>
  </si>
  <si>
    <t>02-3N-26-0000-0001-0090</t>
  </si>
  <si>
    <t>023N26000000010090</t>
  </si>
  <si>
    <t>77219 HANCE PARK WAY</t>
  </si>
  <si>
    <t>8.61</t>
  </si>
  <si>
    <t>1500000</t>
  </si>
  <si>
    <t>ANN CREWS HANCE LIVING TRUST</t>
  </si>
  <si>
    <t>1490000.00</t>
  </si>
  <si>
    <t>07/01/2031</t>
  </si>
  <si>
    <t>PTRO INC</t>
  </si>
  <si>
    <t>86595 HESTER DRIV</t>
  </si>
  <si>
    <t>PT OF NE1/4 &amp;</t>
  </si>
  <si>
    <t>9169.62</t>
  </si>
  <si>
    <t>8883.24</t>
  </si>
  <si>
    <t>8475.11</t>
  </si>
  <si>
    <t>1180</t>
  </si>
  <si>
    <t>8659.74</t>
  </si>
  <si>
    <t>10455.31</t>
  </si>
  <si>
    <t>02-3N-26-0000-0009-0000</t>
  </si>
  <si>
    <t>023N26000000090000</t>
  </si>
  <si>
    <t>207.78</t>
  </si>
  <si>
    <t>184.74</t>
  </si>
  <si>
    <t>1184</t>
  </si>
  <si>
    <t>180.03</t>
  </si>
  <si>
    <t>141.49</t>
  </si>
  <si>
    <t>155.43</t>
  </si>
  <si>
    <t>02-3N-26-0000-0013-0030</t>
  </si>
  <si>
    <t>023N26000000130030</t>
  </si>
  <si>
    <t>PT OR 1641/1573   (EX 13)</t>
  </si>
  <si>
    <t>1043.85</t>
  </si>
  <si>
    <t>1063.55</t>
  </si>
  <si>
    <t>1068.81</t>
  </si>
  <si>
    <t>1012.82</t>
  </si>
  <si>
    <t>1025.21</t>
  </si>
  <si>
    <t>1574.31</t>
  </si>
  <si>
    <t>1788</t>
  </si>
  <si>
    <t>1756.19</t>
  </si>
  <si>
    <t>02-3N-26-0000-0013-0040</t>
  </si>
  <si>
    <t>023N26000000130040</t>
  </si>
  <si>
    <t>853.78</t>
  </si>
  <si>
    <t>868.86</t>
  </si>
  <si>
    <t>873.16</t>
  </si>
  <si>
    <t>1170</t>
  </si>
  <si>
    <t>827.64</t>
  </si>
  <si>
    <t>837.72</t>
  </si>
  <si>
    <t>1646.90</t>
  </si>
  <si>
    <t>1789</t>
  </si>
  <si>
    <t>1837.30</t>
  </si>
  <si>
    <t>2064.32</t>
  </si>
  <si>
    <t>07-3N-26-0000-0002-0000</t>
  </si>
  <si>
    <t>073N26000000020000</t>
  </si>
  <si>
    <t xml:space="preserve"> DAVIS BROUSSARD MARTIN BERNARD</t>
  </si>
  <si>
    <t>7790 FORD R</t>
  </si>
  <si>
    <t>PT OF LOT 7 S OF PUB RD &amp;</t>
  </si>
  <si>
    <t>242.70</t>
  </si>
  <si>
    <t>235.21</t>
  </si>
  <si>
    <t>219.70</t>
  </si>
  <si>
    <t>166.25</t>
  </si>
  <si>
    <t>1791</t>
  </si>
  <si>
    <t>217.10</t>
  </si>
  <si>
    <t>07-3N-26-0000-0002-0030</t>
  </si>
  <si>
    <t>073N26000000020030</t>
  </si>
  <si>
    <t>JACOBS RD</t>
  </si>
  <si>
    <t>7.12</t>
  </si>
  <si>
    <t>JACOBS FRANSCENA EST</t>
  </si>
  <si>
    <t>PO BOX 7</t>
  </si>
  <si>
    <t>OR 243/308</t>
  </si>
  <si>
    <t>736.23</t>
  </si>
  <si>
    <t>748.45</t>
  </si>
  <si>
    <t>752.13</t>
  </si>
  <si>
    <t>713.08</t>
  </si>
  <si>
    <t>12.75</t>
  </si>
  <si>
    <t>896.66</t>
  </si>
  <si>
    <t>903.98</t>
  </si>
  <si>
    <t>1792</t>
  </si>
  <si>
    <t>1200.21</t>
  </si>
  <si>
    <t>1085.82</t>
  </si>
  <si>
    <t>07-3N-26-0000-0003-0000</t>
  </si>
  <si>
    <t>073N26000000030000</t>
  </si>
  <si>
    <t>2582 CR 108</t>
  </si>
  <si>
    <t>7.79</t>
  </si>
  <si>
    <t>1466</t>
  </si>
  <si>
    <t>54000.00</t>
  </si>
  <si>
    <t>07/01/2030</t>
  </si>
  <si>
    <t>JACOBS VERONA &amp;</t>
  </si>
  <si>
    <t>PO BOX 70</t>
  </si>
  <si>
    <t>IN OR 459 PG 464</t>
  </si>
  <si>
    <t>1075</t>
  </si>
  <si>
    <t>1282.34</t>
  </si>
  <si>
    <t>1253.37</t>
  </si>
  <si>
    <t>1180.70</t>
  </si>
  <si>
    <t>1293.36</t>
  </si>
  <si>
    <t>07-3N-26-0000-0006-0070</t>
  </si>
  <si>
    <t>073N26000000060070</t>
  </si>
  <si>
    <t>ESMT OFF CR 108</t>
  </si>
  <si>
    <t>MURPHY ERIC &amp;</t>
  </si>
  <si>
    <t>PO BOX 138</t>
  </si>
  <si>
    <t>PT GOVT LOT 1 OF SEC 7-3N-26E</t>
  </si>
  <si>
    <t>1076</t>
  </si>
  <si>
    <t>537.97</t>
  </si>
  <si>
    <t>539.00</t>
  </si>
  <si>
    <t>713.32</t>
  </si>
  <si>
    <t>1720</t>
  </si>
  <si>
    <t>645.42</t>
  </si>
  <si>
    <t>07-3N-26-0000-0007-0010</t>
  </si>
  <si>
    <t>073N26000000070010</t>
  </si>
  <si>
    <t>152996 CR 108</t>
  </si>
  <si>
    <t>RAINEY BRENDA &amp;</t>
  </si>
  <si>
    <t>BOX 156</t>
  </si>
  <si>
    <t>522.87</t>
  </si>
  <si>
    <t>07-3N-26-0000-0011-0000</t>
  </si>
  <si>
    <t>073N26000000110000</t>
  </si>
  <si>
    <t>67002 JACOBS RD</t>
  </si>
  <si>
    <t>JONES ROBERT JR &amp;</t>
  </si>
  <si>
    <t>PO BOX 1225</t>
  </si>
  <si>
    <t>PT GOVT LOTS 5 &amp; 6 PAR 11</t>
  </si>
  <si>
    <t>789.04</t>
  </si>
  <si>
    <t>1077</t>
  </si>
  <si>
    <t>805.62</t>
  </si>
  <si>
    <t>05/05/2017</t>
  </si>
  <si>
    <t>792.51</t>
  </si>
  <si>
    <t>717.21</t>
  </si>
  <si>
    <t>04/08/2015</t>
  </si>
  <si>
    <t>07-3N-26-0000-0011-0010</t>
  </si>
  <si>
    <t>67014 JACOBS RD</t>
  </si>
  <si>
    <t>JONES PETER &amp; FLORINE</t>
  </si>
  <si>
    <t>67014 JACOBS R</t>
  </si>
  <si>
    <t>PT GOVT LOT 6 OF SEC 7-3N-26E</t>
  </si>
  <si>
    <t>08-3N-26-0000-0001-0020</t>
  </si>
  <si>
    <t>083N26000000010020</t>
  </si>
  <si>
    <t>153359 CR 108</t>
  </si>
  <si>
    <t>1708</t>
  </si>
  <si>
    <t>73000</t>
  </si>
  <si>
    <t xml:space="preserve"> WELLS FARGO BANK</t>
  </si>
  <si>
    <t>08/30/2010</t>
  </si>
  <si>
    <t>TEMPLES TIMOTHY SR</t>
  </si>
  <si>
    <t>153359 COUNTY ROAD 10</t>
  </si>
  <si>
    <t>PT OF NE1/4 OF SEC 8-3N-26E</t>
  </si>
  <si>
    <t>453.28</t>
  </si>
  <si>
    <t>456.01</t>
  </si>
  <si>
    <t>451.96</t>
  </si>
  <si>
    <t>535.41</t>
  </si>
  <si>
    <t>11/18/2016</t>
  </si>
  <si>
    <t>1197</t>
  </si>
  <si>
    <t>626.39</t>
  </si>
  <si>
    <t>614.33</t>
  </si>
  <si>
    <t>1798</t>
  </si>
  <si>
    <t>606.82</t>
  </si>
  <si>
    <t>1723</t>
  </si>
  <si>
    <t>590.34</t>
  </si>
  <si>
    <t>08/13/2010</t>
  </si>
  <si>
    <t>08-3N-26-0000-0001-0050</t>
  </si>
  <si>
    <t>083N26000000010050</t>
  </si>
  <si>
    <t>2197 CR 108</t>
  </si>
  <si>
    <t>TEMPLES TIMOTHY SCOTT SR</t>
  </si>
  <si>
    <t>425.22</t>
  </si>
  <si>
    <t>1079</t>
  </si>
  <si>
    <t>432.57</t>
  </si>
  <si>
    <t>437.34</t>
  </si>
  <si>
    <t>417.68</t>
  </si>
  <si>
    <t>1198</t>
  </si>
  <si>
    <t>508.98</t>
  </si>
  <si>
    <t>1799</t>
  </si>
  <si>
    <t>648.28</t>
  </si>
  <si>
    <t>04/18/2012</t>
  </si>
  <si>
    <t>596.93</t>
  </si>
  <si>
    <t>08-3N-26-0000-0002-0080</t>
  </si>
  <si>
    <t>083N26000000020080</t>
  </si>
  <si>
    <t>67027 ELNORA LN</t>
  </si>
  <si>
    <t>1446</t>
  </si>
  <si>
    <t>ALBERTIE VERNICE &amp; SHERRIE</t>
  </si>
  <si>
    <t>67027 ELNORA L</t>
  </si>
  <si>
    <t>PT OF NW1/4 OF NE1/4 OF SW1/4</t>
  </si>
  <si>
    <t>624.27</t>
  </si>
  <si>
    <t>720.48</t>
  </si>
  <si>
    <t>733.90</t>
  </si>
  <si>
    <t>805.41</t>
  </si>
  <si>
    <t>1726</t>
  </si>
  <si>
    <t>933.95</t>
  </si>
  <si>
    <t>08-3N-26-0000-0002-0100</t>
  </si>
  <si>
    <t>083N26000000020100</t>
  </si>
  <si>
    <t>ELNORA ST</t>
  </si>
  <si>
    <t>ALBERTIE JANICE L</t>
  </si>
  <si>
    <t>67286 JACOBS R</t>
  </si>
  <si>
    <t>228.21</t>
  </si>
  <si>
    <t>228.09</t>
  </si>
  <si>
    <t>266.48</t>
  </si>
  <si>
    <t>07/18/2012</t>
  </si>
  <si>
    <t>38-3N-26-0000-0001-0010</t>
  </si>
  <si>
    <t>383N26000000010010</t>
  </si>
  <si>
    <t>28.37</t>
  </si>
  <si>
    <t>100.14</t>
  </si>
  <si>
    <t>96.54</t>
  </si>
  <si>
    <t>1183</t>
  </si>
  <si>
    <t>101.83</t>
  </si>
  <si>
    <t>86.20</t>
  </si>
  <si>
    <t>2393</t>
  </si>
  <si>
    <t>80.91</t>
  </si>
  <si>
    <t>77.93</t>
  </si>
  <si>
    <t>38-3N-26-0000-0001-0040</t>
  </si>
  <si>
    <t>383N26000000010040</t>
  </si>
  <si>
    <t>278.38</t>
  </si>
  <si>
    <t>264.67</t>
  </si>
  <si>
    <t>417.02</t>
  </si>
  <si>
    <t>2394</t>
  </si>
  <si>
    <t>41-3N-26-0000-0004-0000</t>
  </si>
  <si>
    <t>413N26000000040000</t>
  </si>
  <si>
    <t>77206 DAWSON RD</t>
  </si>
  <si>
    <t>4.24</t>
  </si>
  <si>
    <t>SCOTT WILLIAM J &amp;</t>
  </si>
  <si>
    <t>77206 DAWSON R</t>
  </si>
  <si>
    <t>IN OR 2071/559</t>
  </si>
  <si>
    <t>1848.12</t>
  </si>
  <si>
    <t>1751.47</t>
  </si>
  <si>
    <t>1187</t>
  </si>
  <si>
    <t>1582.17</t>
  </si>
  <si>
    <t>1991.61</t>
  </si>
  <si>
    <t>08/02/2013</t>
  </si>
  <si>
    <t>2465</t>
  </si>
  <si>
    <t>2026.16</t>
  </si>
  <si>
    <t>35-4N-26-0000-0001-0050</t>
  </si>
  <si>
    <t>354N26000000010050</t>
  </si>
  <si>
    <t>GET &amp; SAVE LLC</t>
  </si>
  <si>
    <t>852426 US HWY 1</t>
  </si>
  <si>
    <t>PT SEC 35-3N-26E</t>
  </si>
  <si>
    <t>265.38</t>
  </si>
  <si>
    <t>35-4N-26-0000-0001-0100</t>
  </si>
  <si>
    <t>354N26000000010100</t>
  </si>
  <si>
    <t>0.48</t>
  </si>
  <si>
    <t>852426 NORTH HWY 1</t>
  </si>
  <si>
    <t>PT OF SE1/4 OF SEC 35-4N-26E</t>
  </si>
  <si>
    <t>70.97</t>
  </si>
  <si>
    <t>11/09/2016</t>
  </si>
  <si>
    <t>36-4N-26-0000-0001-0010</t>
  </si>
  <si>
    <t>364N26000000010010</t>
  </si>
  <si>
    <t>13.34</t>
  </si>
  <si>
    <t>1854.14</t>
  </si>
  <si>
    <t>1892.71</t>
  </si>
  <si>
    <t>1901.33</t>
  </si>
  <si>
    <t>1799.30</t>
  </si>
  <si>
    <t>1817.56</t>
  </si>
  <si>
    <t>2096</t>
  </si>
  <si>
    <t>1840.98</t>
  </si>
  <si>
    <t>1838.94</t>
  </si>
  <si>
    <t>38-4N-26-0000-0001-0010</t>
  </si>
  <si>
    <t>384N26000000010010</t>
  </si>
  <si>
    <t>HORNE LAKE PKWY</t>
  </si>
  <si>
    <t>9.67</t>
  </si>
  <si>
    <t>70.33</t>
  </si>
  <si>
    <t>63.30</t>
  </si>
  <si>
    <t>66.84</t>
  </si>
  <si>
    <t>1209</t>
  </si>
  <si>
    <t>50.50</t>
  </si>
  <si>
    <t>42.99</t>
  </si>
  <si>
    <t>38.11</t>
  </si>
  <si>
    <t>38-4N-26-0000-0001-0020</t>
  </si>
  <si>
    <t>384N26000000010020</t>
  </si>
  <si>
    <t>77780 HORNE LAKE CIR</t>
  </si>
  <si>
    <t>IN OR 1641/1593</t>
  </si>
  <si>
    <t>408.85</t>
  </si>
  <si>
    <t>403.84</t>
  </si>
  <si>
    <t>363.83</t>
  </si>
  <si>
    <t>1192</t>
  </si>
  <si>
    <t>533.86</t>
  </si>
  <si>
    <t>847.32</t>
  </si>
  <si>
    <t>1812</t>
  </si>
  <si>
    <t>850.88</t>
  </si>
  <si>
    <t>774.48</t>
  </si>
  <si>
    <t>41-4N-26-0000-0003-0000</t>
  </si>
  <si>
    <t>414N26000000030000</t>
  </si>
  <si>
    <t>68117 CORNING CT</t>
  </si>
  <si>
    <t>1768</t>
  </si>
  <si>
    <t>18900</t>
  </si>
  <si>
    <t>FERGUSON GLENDA S &amp;</t>
  </si>
  <si>
    <t>68117 CORNING C</t>
  </si>
  <si>
    <t>PT NATHANIEL WILDER GRANT</t>
  </si>
  <si>
    <t>1191.14</t>
  </si>
  <si>
    <t>958.68</t>
  </si>
  <si>
    <t>04/06/2018</t>
  </si>
  <si>
    <t>851.20</t>
  </si>
  <si>
    <t>913.31</t>
  </si>
  <si>
    <t>1211</t>
  </si>
  <si>
    <t>927.19</t>
  </si>
  <si>
    <t>2552</t>
  </si>
  <si>
    <t>1185.45</t>
  </si>
  <si>
    <t>11/14/2012</t>
  </si>
  <si>
    <t>1814</t>
  </si>
  <si>
    <t>1192.45</t>
  </si>
  <si>
    <t>01-2N-27-0000-0003-0140</t>
  </si>
  <si>
    <t>012N27000000030140</t>
  </si>
  <si>
    <t>LOFTON BLVD</t>
  </si>
  <si>
    <t xml:space="preserve"> FIRST BANK OF JACKSONVILLE</t>
  </si>
  <si>
    <t>1250000.00</t>
  </si>
  <si>
    <t>12/04/2006</t>
  </si>
  <si>
    <t>TREVETT FAMILY COMPANIES INC</t>
  </si>
  <si>
    <t>PT OR 971/1311 &amp; PT 963/1593</t>
  </si>
  <si>
    <t>45.69</t>
  </si>
  <si>
    <t>41.14</t>
  </si>
  <si>
    <t>41.24</t>
  </si>
  <si>
    <t>1194</t>
  </si>
  <si>
    <t>40.20</t>
  </si>
  <si>
    <t>40.43</t>
  </si>
  <si>
    <t>40.25</t>
  </si>
  <si>
    <t>46.93</t>
  </si>
  <si>
    <t>01-2N-27-0000-0003-0150</t>
  </si>
  <si>
    <t>012N27000000030150</t>
  </si>
  <si>
    <t>327.92</t>
  </si>
  <si>
    <t>330.23</t>
  </si>
  <si>
    <t>331.78</t>
  </si>
  <si>
    <t>315.21</t>
  </si>
  <si>
    <t>1213</t>
  </si>
  <si>
    <t>318.89</t>
  </si>
  <si>
    <t>436.91</t>
  </si>
  <si>
    <t>559.72</t>
  </si>
  <si>
    <t>01-2N-27-0000-0003-0160</t>
  </si>
  <si>
    <t>012N27000000030160</t>
  </si>
  <si>
    <t>95734 AMELIA CONCOURSE</t>
  </si>
  <si>
    <t xml:space="preserve"> CBC NATIONAL BANK</t>
  </si>
  <si>
    <t>1328000.00</t>
  </si>
  <si>
    <t>LOFTON POINTE INC</t>
  </si>
  <si>
    <t>11555 CENTRAL PARKWAYSUITE 80</t>
  </si>
  <si>
    <t>PT OR 971/1306 &amp; PT 963/1590</t>
  </si>
  <si>
    <t>157.76</t>
  </si>
  <si>
    <t>169.19</t>
  </si>
  <si>
    <t>156.60</t>
  </si>
  <si>
    <t>149.41</t>
  </si>
  <si>
    <t>145.25</t>
  </si>
  <si>
    <t>1818</t>
  </si>
  <si>
    <t>144.29</t>
  </si>
  <si>
    <t>04-2N-27-0000-0003-0100</t>
  </si>
  <si>
    <t>CARDINAL RD</t>
  </si>
  <si>
    <t>3.03</t>
  </si>
  <si>
    <t>ROBINSON JO ANN</t>
  </si>
  <si>
    <t>10206 WASHEM POTS DRIV</t>
  </si>
  <si>
    <t>Cornelius</t>
  </si>
  <si>
    <t>28031</t>
  </si>
  <si>
    <t>PT OF LOT 2</t>
  </si>
  <si>
    <t>04-2N-27-0000-0003-0180</t>
  </si>
  <si>
    <t>042N27000000030180</t>
  </si>
  <si>
    <t>ROBIN RD</t>
  </si>
  <si>
    <t>85091 CHRISTIAN WAY #31</t>
  </si>
  <si>
    <t>PT OR 318/337</t>
  </si>
  <si>
    <t>04-2N-27-0000-0003-0300</t>
  </si>
  <si>
    <t>042N27000000030300</t>
  </si>
  <si>
    <t>86288 MACAW RD</t>
  </si>
  <si>
    <t>3336</t>
  </si>
  <si>
    <t>PATTON SYLVIA A &amp;</t>
  </si>
  <si>
    <t>86288 MACAW R</t>
  </si>
  <si>
    <t>IN OR 822 PG 14</t>
  </si>
  <si>
    <t>1436.84</t>
  </si>
  <si>
    <t>1561.20</t>
  </si>
  <si>
    <t>1488.14</t>
  </si>
  <si>
    <t>1883.74</t>
  </si>
  <si>
    <t>01/18/2011</t>
  </si>
  <si>
    <t>04-2N-27-0000-0003-0450</t>
  </si>
  <si>
    <t>042N27000000030450</t>
  </si>
  <si>
    <t>MACAW RD</t>
  </si>
  <si>
    <t>PATTON DONALD R &amp; SYLVIA</t>
  </si>
  <si>
    <t>IN OR 644/359</t>
  </si>
  <si>
    <t>145.28</t>
  </si>
  <si>
    <t>143.15</t>
  </si>
  <si>
    <t>143.77</t>
  </si>
  <si>
    <t>1823</t>
  </si>
  <si>
    <t>196.87</t>
  </si>
  <si>
    <t>1748</t>
  </si>
  <si>
    <t>194.68</t>
  </si>
  <si>
    <t>04-2N-27-0000-0003-0640</t>
  </si>
  <si>
    <t>042N27000000030640</t>
  </si>
  <si>
    <t>86448 MACAW RD</t>
  </si>
  <si>
    <t>PATTON RANDALL C</t>
  </si>
  <si>
    <t>86374 MACAW ROA</t>
  </si>
  <si>
    <t>PT OR 496 PG 1237</t>
  </si>
  <si>
    <t>632.40</t>
  </si>
  <si>
    <t>620.19</t>
  </si>
  <si>
    <t>638.12</t>
  </si>
  <si>
    <t>800.67</t>
  </si>
  <si>
    <t>05/16/2013</t>
  </si>
  <si>
    <t>926.62</t>
  </si>
  <si>
    <t>1749</t>
  </si>
  <si>
    <t>962.43</t>
  </si>
  <si>
    <t>04-2N-27-0000-0004-0010</t>
  </si>
  <si>
    <t>85765 NORTH HARTS RD</t>
  </si>
  <si>
    <t>DUNMAN MARSHALL WILBUR</t>
  </si>
  <si>
    <t>85765 NORTH HARTS ROA</t>
  </si>
  <si>
    <t>IN OR 923/1491</t>
  </si>
  <si>
    <t>04-2N-27-0000-0004-0050</t>
  </si>
  <si>
    <t>86122 WHIPPOORWILL PL</t>
  </si>
  <si>
    <t>2496</t>
  </si>
  <si>
    <t>104000</t>
  </si>
  <si>
    <t>DIVERSIFIED MORTGAGE SERVICES LP</t>
  </si>
  <si>
    <t>101073.00</t>
  </si>
  <si>
    <t>05/01/2025</t>
  </si>
  <si>
    <t>LEE GEORGE D G</t>
  </si>
  <si>
    <t>86122 WHIPPOORWILL PLAC</t>
  </si>
  <si>
    <t>IN OR 617/901</t>
  </si>
  <si>
    <t>1689.90</t>
  </si>
  <si>
    <t>04-2N-27-4290-000A-0020</t>
  </si>
  <si>
    <t>042N274290000A0020</t>
  </si>
  <si>
    <t>85783 NORTH HARTS RD</t>
  </si>
  <si>
    <t>3.38</t>
  </si>
  <si>
    <t>3264</t>
  </si>
  <si>
    <t>DUNMAN MARSHALL W</t>
  </si>
  <si>
    <t>85765 NORTH HARTS R</t>
  </si>
  <si>
    <t>PT OF TRACT A IN OR 935/325</t>
  </si>
  <si>
    <t>1997.15</t>
  </si>
  <si>
    <t>2110.16</t>
  </si>
  <si>
    <t>11/18/2010</t>
  </si>
  <si>
    <t>04-2N-27-4290-000A-0040</t>
  </si>
  <si>
    <t>042N274290000A0040</t>
  </si>
  <si>
    <t>HUMMINGBIRD LN</t>
  </si>
  <si>
    <t xml:space="preserve"> HOMANS JOSEPH A (TE)</t>
  </si>
  <si>
    <t>12/09/2004</t>
  </si>
  <si>
    <t>WHISENANT WILLIAM TIMOTHY</t>
  </si>
  <si>
    <t>8135 KENWOOD DR</t>
  </si>
  <si>
    <t>PT OF TRACT A</t>
  </si>
  <si>
    <t>425.88</t>
  </si>
  <si>
    <t>1148</t>
  </si>
  <si>
    <t>427.93</t>
  </si>
  <si>
    <t>406.23</t>
  </si>
  <si>
    <t>411.03</t>
  </si>
  <si>
    <t>488.98</t>
  </si>
  <si>
    <t>1830</t>
  </si>
  <si>
    <t>625.90</t>
  </si>
  <si>
    <t>1753</t>
  </si>
  <si>
    <t>620.92</t>
  </si>
  <si>
    <t>04-2N-27-4290-0016-0000</t>
  </si>
  <si>
    <t>042N27429000160000</t>
  </si>
  <si>
    <t>VERONA V LLC</t>
  </si>
  <si>
    <t>349.69</t>
  </si>
  <si>
    <t>352.53</t>
  </si>
  <si>
    <t>354.21</t>
  </si>
  <si>
    <t>336.44</t>
  </si>
  <si>
    <t>340.37</t>
  </si>
  <si>
    <t>402.73</t>
  </si>
  <si>
    <t>1831</t>
  </si>
  <si>
    <t>514.61</t>
  </si>
  <si>
    <t>04-2N-27-4290-0018-0000</t>
  </si>
  <si>
    <t>86318 CARDINAL RD</t>
  </si>
  <si>
    <t>JOSEPH S LEE</t>
  </si>
  <si>
    <t>33000.00</t>
  </si>
  <si>
    <t>06/05/2004</t>
  </si>
  <si>
    <t>MCKENDREE ROY V JR</t>
  </si>
  <si>
    <t>86318 CARDINAL ROA</t>
  </si>
  <si>
    <t>LOT 18  R 107971 &amp; 107972</t>
  </si>
  <si>
    <t>04-2N-27-4290-0027-0000</t>
  </si>
  <si>
    <t>042N27429000270000</t>
  </si>
  <si>
    <t>JOHNSON RICHARD FRANCIS III</t>
  </si>
  <si>
    <t>136 OAK TERRACE DRIV</t>
  </si>
  <si>
    <t>539.51</t>
  </si>
  <si>
    <t>519.89</t>
  </si>
  <si>
    <t>1206</t>
  </si>
  <si>
    <t>481.36</t>
  </si>
  <si>
    <t>414.00</t>
  </si>
  <si>
    <t>529.14</t>
  </si>
  <si>
    <t>04-2N-27-4290-0046-0000</t>
  </si>
  <si>
    <t>86499 CARDINAL RD</t>
  </si>
  <si>
    <t>1750</t>
  </si>
  <si>
    <t>E-LOAN INC</t>
  </si>
  <si>
    <t>07/01/2021</t>
  </si>
  <si>
    <t>NEAL GEORGE G</t>
  </si>
  <si>
    <t>86499 CARDINAL R</t>
  </si>
  <si>
    <t>LOT 46    (EX S-1)</t>
  </si>
  <si>
    <t>744.96</t>
  </si>
  <si>
    <t>04-2N-27-4290-0046-0010</t>
  </si>
  <si>
    <t>042N27429000460010</t>
  </si>
  <si>
    <t>86158 WREN RD</t>
  </si>
  <si>
    <t>1159</t>
  </si>
  <si>
    <t>BOX 41</t>
  </si>
  <si>
    <t>W1/2 OF LOT 46</t>
  </si>
  <si>
    <t>669.04</t>
  </si>
  <si>
    <t>1207</t>
  </si>
  <si>
    <t>755.33</t>
  </si>
  <si>
    <t>09/25/2014</t>
  </si>
  <si>
    <t>1123.14</t>
  </si>
  <si>
    <t>1167.84</t>
  </si>
  <si>
    <t>12/15/2010</t>
  </si>
  <si>
    <t>04-2N-27-4300-0014-0000</t>
  </si>
  <si>
    <t>042N27430000140000</t>
  </si>
  <si>
    <t>86723 CARDINAL RD</t>
  </si>
  <si>
    <t>12100</t>
  </si>
  <si>
    <t>KRAUSS ANNIE RUTH</t>
  </si>
  <si>
    <t>86723 CARDINAL R</t>
  </si>
  <si>
    <t>BLOCK 14</t>
  </si>
  <si>
    <t>1147.53</t>
  </si>
  <si>
    <t>1162.39</t>
  </si>
  <si>
    <t>01/09/2018</t>
  </si>
  <si>
    <t>1154.56</t>
  </si>
  <si>
    <t>11/02/2015</t>
  </si>
  <si>
    <t>666.45</t>
  </si>
  <si>
    <t>1220</t>
  </si>
  <si>
    <t>682.42</t>
  </si>
  <si>
    <t>828.47</t>
  </si>
  <si>
    <t>11/06/2013</t>
  </si>
  <si>
    <t>847.40</t>
  </si>
  <si>
    <t>08/29/2011</t>
  </si>
  <si>
    <t>10/06/2010</t>
  </si>
  <si>
    <t>04-2N-27-4300-0015-0010</t>
  </si>
  <si>
    <t>042N27430000150010</t>
  </si>
  <si>
    <t>1.54</t>
  </si>
  <si>
    <t>ROE C LARRY &amp; PENNY L</t>
  </si>
  <si>
    <t>1721 ANNISTON RD #102</t>
  </si>
  <si>
    <t>PT OF BLOCK 15</t>
  </si>
  <si>
    <t>634.22</t>
  </si>
  <si>
    <t>643.97</t>
  </si>
  <si>
    <t>647.11</t>
  </si>
  <si>
    <t>621.09</t>
  </si>
  <si>
    <t>745.47</t>
  </si>
  <si>
    <t>02/11/2014</t>
  </si>
  <si>
    <t>1838</t>
  </si>
  <si>
    <t>956.87</t>
  </si>
  <si>
    <t>949.73</t>
  </si>
  <si>
    <t>04-2N-27-4300-0019-0062</t>
  </si>
  <si>
    <t>86050 OAK TREE LN</t>
  </si>
  <si>
    <t>MOSLEY JOYCE MICHELLE EST</t>
  </si>
  <si>
    <t>86050 OAK TREE LAN</t>
  </si>
  <si>
    <t>BLOCK 19 S20 FT OF LOT 6 &amp;</t>
  </si>
  <si>
    <t>391.55</t>
  </si>
  <si>
    <t>05-2N-27-0000-0001-0060</t>
  </si>
  <si>
    <t>76506 DOVE RD</t>
  </si>
  <si>
    <t>DURRANCE JOLENE JONES</t>
  </si>
  <si>
    <t>BOX 86</t>
  </si>
  <si>
    <t>PT SW1/4 OF SW1/4 OF FRAC SEC</t>
  </si>
  <si>
    <t>235.17</t>
  </si>
  <si>
    <t>05-2N-27-4292-0021-0000</t>
  </si>
  <si>
    <t>052N27429200210000</t>
  </si>
  <si>
    <t>DOVE RD</t>
  </si>
  <si>
    <t>LEONARD CHARLES</t>
  </si>
  <si>
    <t>3900 SKIPPER R</t>
  </si>
  <si>
    <t>LOT 21  EX S-1</t>
  </si>
  <si>
    <t>239.01</t>
  </si>
  <si>
    <t>180.69</t>
  </si>
  <si>
    <t>165.33</t>
  </si>
  <si>
    <t>1843</t>
  </si>
  <si>
    <t>05-2N-27-4292-0056-0000</t>
  </si>
  <si>
    <t>052N27429200560000</t>
  </si>
  <si>
    <t>76260 DOVE RD</t>
  </si>
  <si>
    <t>2760</t>
  </si>
  <si>
    <t xml:space="preserve"> EQUITY ONE INC</t>
  </si>
  <si>
    <t>36050.00</t>
  </si>
  <si>
    <t>10/06/2003</t>
  </si>
  <si>
    <t>MOORE DON RANDOLPH &amp; HELEN J</t>
  </si>
  <si>
    <t>76260 DOVE ROA</t>
  </si>
  <si>
    <t>LOTS 56 &amp; 57</t>
  </si>
  <si>
    <t>944.60</t>
  </si>
  <si>
    <t>944.07</t>
  </si>
  <si>
    <t>07/04/2016</t>
  </si>
  <si>
    <t>989.40</t>
  </si>
  <si>
    <t>266.94</t>
  </si>
  <si>
    <t>05-2N-27-4292-0058-0000</t>
  </si>
  <si>
    <t>052N27429200580000</t>
  </si>
  <si>
    <t>76230 DOVE RD</t>
  </si>
  <si>
    <t>KENNISON RONNIE &amp; LEANNE</t>
  </si>
  <si>
    <t>76230 DOVE ROA</t>
  </si>
  <si>
    <t>LOTS 58 &amp; 59</t>
  </si>
  <si>
    <t>05-2N-27-4292-0075-0000</t>
  </si>
  <si>
    <t>052N27-42920075-0000</t>
  </si>
  <si>
    <t>76087 CATHY LN</t>
  </si>
  <si>
    <t>6.47</t>
  </si>
  <si>
    <t>4498</t>
  </si>
  <si>
    <t>L B MABE</t>
  </si>
  <si>
    <t>TESTA ANTHONY MICHAEL</t>
  </si>
  <si>
    <t>76461 DOVE R</t>
  </si>
  <si>
    <t>LOTS 75 83 84 &amp; S-2 OF 76</t>
  </si>
  <si>
    <t>3450.21</t>
  </si>
  <si>
    <t>06/09/2017</t>
  </si>
  <si>
    <t>05-2N-27-4292-0077-0000</t>
  </si>
  <si>
    <t>76461 DOVE RD</t>
  </si>
  <si>
    <t>12.09</t>
  </si>
  <si>
    <t>76461 DOVE ROA</t>
  </si>
  <si>
    <t>LOTS 77 THRU 82</t>
  </si>
  <si>
    <t>862.34</t>
  </si>
  <si>
    <t>06-2N-27-0000-0005-0020</t>
  </si>
  <si>
    <t>062N27000000050020</t>
  </si>
  <si>
    <t>75908 MENTORIA RD</t>
  </si>
  <si>
    <t>BRYANT GWENDOLYN D &amp; DARRYL J</t>
  </si>
  <si>
    <t>813 TORTOISE WA</t>
  </si>
  <si>
    <t>PT GOVT LOT 4 OF SEC 6-2N-27E</t>
  </si>
  <si>
    <t>397.31</t>
  </si>
  <si>
    <t>483.87</t>
  </si>
  <si>
    <t>480.36</t>
  </si>
  <si>
    <t>06-2N-27-0000-0005-0090</t>
  </si>
  <si>
    <t>062N27000000050090</t>
  </si>
  <si>
    <t>PINE CREST RD</t>
  </si>
  <si>
    <t>402.07</t>
  </si>
  <si>
    <t>1164</t>
  </si>
  <si>
    <t>403.99</t>
  </si>
  <si>
    <t>383.57</t>
  </si>
  <si>
    <t>1235</t>
  </si>
  <si>
    <t>388.07</t>
  </si>
  <si>
    <t>461.00</t>
  </si>
  <si>
    <t>589.79</t>
  </si>
  <si>
    <t>585.03</t>
  </si>
  <si>
    <t>07-2N-27-0000-0002-0060</t>
  </si>
  <si>
    <t>072N27000000020060</t>
  </si>
  <si>
    <t>76070 WALTHOUR PL</t>
  </si>
  <si>
    <t>DINKINS CLIFFORD N</t>
  </si>
  <si>
    <t>76120 HARPER CHAPEL ROA</t>
  </si>
  <si>
    <t>PT NW1/4 OF NW1/4 OF NE1/4</t>
  </si>
  <si>
    <t>480.45</t>
  </si>
  <si>
    <t>08/15/2017</t>
  </si>
  <si>
    <t>359.12</t>
  </si>
  <si>
    <t>326.95</t>
  </si>
  <si>
    <t>10/06/2014</t>
  </si>
  <si>
    <t>330.77</t>
  </si>
  <si>
    <t>380.65</t>
  </si>
  <si>
    <t>1859</t>
  </si>
  <si>
    <t>426.23</t>
  </si>
  <si>
    <t>1778</t>
  </si>
  <si>
    <t>512.62</t>
  </si>
  <si>
    <t>08-2N-27-0000-0005-0340</t>
  </si>
  <si>
    <t>082N27000000050340</t>
  </si>
  <si>
    <t>85119 ETHYL LN</t>
  </si>
  <si>
    <t>1653</t>
  </si>
  <si>
    <t xml:space="preserve"> HONEY MAE HOME LOANS</t>
  </si>
  <si>
    <t>216540.00</t>
  </si>
  <si>
    <t>03/13/2007</t>
  </si>
  <si>
    <t>SCOTT JANICE C</t>
  </si>
  <si>
    <t>75294 CLYDE HIGGINBOTHAM ROA</t>
  </si>
  <si>
    <t>IN OR 1484/1629</t>
  </si>
  <si>
    <t>1175.93</t>
  </si>
  <si>
    <t>1115.74</t>
  </si>
  <si>
    <t>1498.60</t>
  </si>
  <si>
    <t>1239</t>
  </si>
  <si>
    <t>1520.09</t>
  </si>
  <si>
    <t>08/11/2014</t>
  </si>
  <si>
    <t>1624.71</t>
  </si>
  <si>
    <t>1864</t>
  </si>
  <si>
    <t>1845.12</t>
  </si>
  <si>
    <t>04/03/2013</t>
  </si>
  <si>
    <t>09-2N-27-0230-0073-0000</t>
  </si>
  <si>
    <t>86081 JORDAN CT</t>
  </si>
  <si>
    <t>133400</t>
  </si>
  <si>
    <t>NAVY FCU</t>
  </si>
  <si>
    <t>WALLACE JUDY</t>
  </si>
  <si>
    <t>86081 JORDAN COUR</t>
  </si>
  <si>
    <t>12-2N-27-1460-0040-0000</t>
  </si>
  <si>
    <t>86152 MONTAUK DR</t>
  </si>
  <si>
    <t>FERNANDINA BEACH</t>
  </si>
  <si>
    <t>2150</t>
  </si>
  <si>
    <t>188100</t>
  </si>
  <si>
    <t>WATSON MORTGAGE CORP</t>
  </si>
  <si>
    <t>169273.00</t>
  </si>
  <si>
    <t>11/01/2006</t>
  </si>
  <si>
    <t>ANDERSON KELLIN &amp; JOCELYN</t>
  </si>
  <si>
    <t>86152 MONTAUK DRIV</t>
  </si>
  <si>
    <t>LOT 40</t>
  </si>
  <si>
    <t>12-2N-27-1460-0358-0000</t>
  </si>
  <si>
    <t>122N27146003580000</t>
  </si>
  <si>
    <t>85042 NAPEAGUE DR</t>
  </si>
  <si>
    <t>64400.00</t>
  </si>
  <si>
    <t>GLEASON MARK &amp; LISA</t>
  </si>
  <si>
    <t>86142 EASTPORT D</t>
  </si>
  <si>
    <t>LOT 358</t>
  </si>
  <si>
    <t>1272.16</t>
  </si>
  <si>
    <t>12-2N-27-1460-0385-0000</t>
  </si>
  <si>
    <t>122N27-14600385-0000</t>
  </si>
  <si>
    <t>85055 NAPEAGUE DR</t>
  </si>
  <si>
    <t>COASTLINE FCU</t>
  </si>
  <si>
    <t>36400.00</t>
  </si>
  <si>
    <t>01/01/2029</t>
  </si>
  <si>
    <t>HAM MICHAEL &amp; KAROLINE</t>
  </si>
  <si>
    <t>2357 CANEY OAKS D</t>
  </si>
  <si>
    <t>LOT 385</t>
  </si>
  <si>
    <t>857.11</t>
  </si>
  <si>
    <t>18-2N-27-4315-0010-0000</t>
  </si>
  <si>
    <t>182N27431500100000</t>
  </si>
  <si>
    <t>75586 JOHNSON LAKE RD</t>
  </si>
  <si>
    <t>SUN WEST MORTGAGE COMPANY INC</t>
  </si>
  <si>
    <t>164250.00</t>
  </si>
  <si>
    <t>01/26/2009</t>
  </si>
  <si>
    <t>03/05/2093</t>
  </si>
  <si>
    <t>GRESHAM ELBERT THOMAS</t>
  </si>
  <si>
    <t>75586 JOHNSON LAKE ROA</t>
  </si>
  <si>
    <t>18-2N-27-4315-0040-0000</t>
  </si>
  <si>
    <t>75820 JOHNSON LAKE RD</t>
  </si>
  <si>
    <t>2023</t>
  </si>
  <si>
    <t>167575.00</t>
  </si>
  <si>
    <t>05/01/2037</t>
  </si>
  <si>
    <t>LEE MATTHEW &amp; LACY</t>
  </si>
  <si>
    <t>75820 JOHNSON LAKE R</t>
  </si>
  <si>
    <t>LOT 40 IN OR 2066/837</t>
  </si>
  <si>
    <t>1113.25</t>
  </si>
  <si>
    <t>1667.97</t>
  </si>
  <si>
    <t>18-2N-27-4315-0050-0000</t>
  </si>
  <si>
    <t>182N27431500500000</t>
  </si>
  <si>
    <t>JOHNSON LAKE RD</t>
  </si>
  <si>
    <t>ZELL DONALD D</t>
  </si>
  <si>
    <t>8604 SAN SERVERA DR</t>
  </si>
  <si>
    <t>75.79</t>
  </si>
  <si>
    <t>71.73</t>
  </si>
  <si>
    <t>64.74</t>
  </si>
  <si>
    <t>71.51</t>
  </si>
  <si>
    <t>62.96</t>
  </si>
  <si>
    <t>59.73</t>
  </si>
  <si>
    <t>18-2N-27-4315-0051-0000</t>
  </si>
  <si>
    <t>182N27431500510000</t>
  </si>
  <si>
    <t>LOT 51</t>
  </si>
  <si>
    <t>18-2N-27-4315-0052-0000</t>
  </si>
  <si>
    <t>182N27431500520000</t>
  </si>
  <si>
    <t>LOT 52</t>
  </si>
  <si>
    <t>1329</t>
  </si>
  <si>
    <t>18-2N-27-4315-0053-0000</t>
  </si>
  <si>
    <t>182N27431500530000</t>
  </si>
  <si>
    <t>LOT 53</t>
  </si>
  <si>
    <t>86.82</t>
  </si>
  <si>
    <t>79.68</t>
  </si>
  <si>
    <t>86.30</t>
  </si>
  <si>
    <t>77.28</t>
  </si>
  <si>
    <t>66.29</t>
  </si>
  <si>
    <t>18-2N-27-4315-0054-0000</t>
  </si>
  <si>
    <t>182N27431500540000</t>
  </si>
  <si>
    <t>LOT 54</t>
  </si>
  <si>
    <t>1340</t>
  </si>
  <si>
    <t>1331</t>
  </si>
  <si>
    <t>18-2N-27-4315-0055-0000</t>
  </si>
  <si>
    <t>182N27431500550000</t>
  </si>
  <si>
    <t>79.59</t>
  </si>
  <si>
    <t>75.63</t>
  </si>
  <si>
    <t>68.57</t>
  </si>
  <si>
    <t>1238</t>
  </si>
  <si>
    <t>75.29</t>
  </si>
  <si>
    <t>66.63</t>
  </si>
  <si>
    <t>1332</t>
  </si>
  <si>
    <t>61.81</t>
  </si>
  <si>
    <t>18-2N-27-4315-0056-0000</t>
  </si>
  <si>
    <t>182N27431500560000</t>
  </si>
  <si>
    <t>LOT 56  (EX S-1)</t>
  </si>
  <si>
    <t>67.35</t>
  </si>
  <si>
    <t>63.09</t>
  </si>
  <si>
    <t>1178</t>
  </si>
  <si>
    <t>56.19</t>
  </si>
  <si>
    <t>63.06</t>
  </si>
  <si>
    <t>1342</t>
  </si>
  <si>
    <t>54.75</t>
  </si>
  <si>
    <t>1333</t>
  </si>
  <si>
    <t>50.58</t>
  </si>
  <si>
    <t>18-2N-27-4315-0061-0000</t>
  </si>
  <si>
    <t>182N27431500610000</t>
  </si>
  <si>
    <t>75072 JOHNSON LAKE RD</t>
  </si>
  <si>
    <t>YOUNG JAMES M &amp; PATRICIA S</t>
  </si>
  <si>
    <t>86058 JEAN ROA</t>
  </si>
  <si>
    <t>547.77</t>
  </si>
  <si>
    <t>18-2N-27-4316-0012-0000</t>
  </si>
  <si>
    <t>182N27431600120000</t>
  </si>
  <si>
    <t>75229 JOHNSON LAKE RD</t>
  </si>
  <si>
    <t>GOLDEN RULE MTG INC</t>
  </si>
  <si>
    <t>75750.00</t>
  </si>
  <si>
    <t>MEADOWS MELISSA</t>
  </si>
  <si>
    <t>75229 JOHNSON LAKE R</t>
  </si>
  <si>
    <t>LOT 12         2001 SCHT DW</t>
  </si>
  <si>
    <t>700.37</t>
  </si>
  <si>
    <t>327.28</t>
  </si>
  <si>
    <t>18-2N-27-4316-0021-0000</t>
  </si>
  <si>
    <t>182N27431600210000</t>
  </si>
  <si>
    <t>75343 JOHNSON LAKE RD</t>
  </si>
  <si>
    <t>1321</t>
  </si>
  <si>
    <t xml:space="preserve"> NAVY FCU</t>
  </si>
  <si>
    <t>04/09/1998</t>
  </si>
  <si>
    <t>MILES MATTHEW S</t>
  </si>
  <si>
    <t>75343 JOHNSON LAKE R</t>
  </si>
  <si>
    <t>LOT 21</t>
  </si>
  <si>
    <t>586.03</t>
  </si>
  <si>
    <t>586.46</t>
  </si>
  <si>
    <t>511.85</t>
  </si>
  <si>
    <t>622.62</t>
  </si>
  <si>
    <t>641.22</t>
  </si>
  <si>
    <t>1335</t>
  </si>
  <si>
    <t>719.92</t>
  </si>
  <si>
    <t>819.81</t>
  </si>
  <si>
    <t>900.80</t>
  </si>
  <si>
    <t>18-2N-27-4316-0022-0000</t>
  </si>
  <si>
    <t>182N27431600220000</t>
  </si>
  <si>
    <t>75353 JOHNSON LAKE RD</t>
  </si>
  <si>
    <t xml:space="preserve"> CAPE CORAL NATIONAL BANK TTEE</t>
  </si>
  <si>
    <t>12/15/1998</t>
  </si>
  <si>
    <t>BULLOCK DARYL D &amp; MISTY D</t>
  </si>
  <si>
    <t>75353 JOHNSON LAKE ROA</t>
  </si>
  <si>
    <t>LOT 22     R583802</t>
  </si>
  <si>
    <t>256.59</t>
  </si>
  <si>
    <t>281.54</t>
  </si>
  <si>
    <t>257.62</t>
  </si>
  <si>
    <t>292.97</t>
  </si>
  <si>
    <t>299.06</t>
  </si>
  <si>
    <t>3207</t>
  </si>
  <si>
    <t>258.00</t>
  </si>
  <si>
    <t>18-2N-27-4316-0024-0000</t>
  </si>
  <si>
    <t>182N27431600240000</t>
  </si>
  <si>
    <t>75389 JOHNSON LAKE RD</t>
  </si>
  <si>
    <t>WILLIAMSON KENNETH &amp; JANICE F</t>
  </si>
  <si>
    <t>75389 JOHNSON LAKE ROA</t>
  </si>
  <si>
    <t>443.69</t>
  </si>
  <si>
    <t>06/13/2017</t>
  </si>
  <si>
    <t>444.97</t>
  </si>
  <si>
    <t>457.16</t>
  </si>
  <si>
    <t>05/27/2016</t>
  </si>
  <si>
    <t>476.69</t>
  </si>
  <si>
    <t>493.24</t>
  </si>
  <si>
    <t>504.95</t>
  </si>
  <si>
    <t>553.08</t>
  </si>
  <si>
    <t>608.93</t>
  </si>
  <si>
    <t>18-2N-27-4316-0030-0000</t>
  </si>
  <si>
    <t>182N27-43160030-0000</t>
  </si>
  <si>
    <t>75014 SEMPER FI DR</t>
  </si>
  <si>
    <t xml:space="preserve"> ADVANTA FINANCE CORP</t>
  </si>
  <si>
    <t>11/03/1999</t>
  </si>
  <si>
    <t>KNAUSS DENNIS M &amp; JUDITH A</t>
  </si>
  <si>
    <t>75014 SEMPERFI DRIV</t>
  </si>
  <si>
    <t>763.51</t>
  </si>
  <si>
    <t>705.50</t>
  </si>
  <si>
    <t>18-2N-27-4316-0031-0000</t>
  </si>
  <si>
    <t>182N27431600310000</t>
  </si>
  <si>
    <t>75523 JOHNSON LAKE RD</t>
  </si>
  <si>
    <t>26400</t>
  </si>
  <si>
    <t>WESLEY ALFRED L &amp; MELANIE S</t>
  </si>
  <si>
    <t>75523 JOHNSON LAKE ROAD  EAS</t>
  </si>
  <si>
    <t>LOT 31</t>
  </si>
  <si>
    <t>1131.67</t>
  </si>
  <si>
    <t>1134.83</t>
  </si>
  <si>
    <t>1014.37</t>
  </si>
  <si>
    <t>1113.53</t>
  </si>
  <si>
    <t>643.43</t>
  </si>
  <si>
    <t>688.38</t>
  </si>
  <si>
    <t>783.45</t>
  </si>
  <si>
    <t>808.20</t>
  </si>
  <si>
    <t>18-2N-27-431A-000C-0000</t>
  </si>
  <si>
    <t>182N27431A000C0000</t>
  </si>
  <si>
    <t>75625 JOHNSON LAKE RD</t>
  </si>
  <si>
    <t>59000</t>
  </si>
  <si>
    <t>DONALD D ZELL</t>
  </si>
  <si>
    <t>4500.00</t>
  </si>
  <si>
    <t>ET AL</t>
  </si>
  <si>
    <t>Stand Alone Second</t>
  </si>
  <si>
    <t>12/06/2002</t>
  </si>
  <si>
    <t>12/06/2003</t>
  </si>
  <si>
    <t>HALL LINDA LEIGH &amp;</t>
  </si>
  <si>
    <t>Interlachen</t>
  </si>
  <si>
    <t>32148</t>
  </si>
  <si>
    <t>LOT C</t>
  </si>
  <si>
    <t>18-2N-27-431A-000D-0000</t>
  </si>
  <si>
    <t>182N27431A000D0000</t>
  </si>
  <si>
    <t>75641 JOHNSON LAKE RD</t>
  </si>
  <si>
    <t>32700</t>
  </si>
  <si>
    <t>25612.00</t>
  </si>
  <si>
    <t>Seller take-back</t>
  </si>
  <si>
    <t>02/20/2003</t>
  </si>
  <si>
    <t>COKER TAMMIE</t>
  </si>
  <si>
    <t>LOT D IN OR 1253/1957</t>
  </si>
  <si>
    <t>21-2N-27-0000-0001-0020</t>
  </si>
  <si>
    <t>212N27000000010020</t>
  </si>
  <si>
    <t>BRYAN FREDERICK SR &amp; CATHERINE</t>
  </si>
  <si>
    <t>2003 FAYE ROA</t>
  </si>
  <si>
    <t>IN OR 643 PG 1113</t>
  </si>
  <si>
    <t>1135</t>
  </si>
  <si>
    <t>173.90</t>
  </si>
  <si>
    <t>181.53</t>
  </si>
  <si>
    <t>04/21/2016</t>
  </si>
  <si>
    <t>179.50</t>
  </si>
  <si>
    <t>1349</t>
  </si>
  <si>
    <t>188.53</t>
  </si>
  <si>
    <t>190.63</t>
  </si>
  <si>
    <t>21-2N-27-0000-0001-0030</t>
  </si>
  <si>
    <t>212N27000000010030</t>
  </si>
  <si>
    <t>850117 US HWY 17</t>
  </si>
  <si>
    <t>BRYAN F A &amp; CATHERINE B</t>
  </si>
  <si>
    <t>IN OR 749/1192 &amp; OR 1295/473</t>
  </si>
  <si>
    <t>193.77</t>
  </si>
  <si>
    <t>184.59</t>
  </si>
  <si>
    <t>1350</t>
  </si>
  <si>
    <t>186.62</t>
  </si>
  <si>
    <t>1435</t>
  </si>
  <si>
    <t>181.51</t>
  </si>
  <si>
    <t>21-2N-27-0000-0001-0050</t>
  </si>
  <si>
    <t>212N27000000010050</t>
  </si>
  <si>
    <t>BRYAN F A</t>
  </si>
  <si>
    <t>IN OR 1407/1811</t>
  </si>
  <si>
    <t>158.45</t>
  </si>
  <si>
    <t>150.61</t>
  </si>
  <si>
    <t>143.73</t>
  </si>
  <si>
    <t>1351</t>
  </si>
  <si>
    <t>139.40</t>
  </si>
  <si>
    <t>21-2N-27-0000-0001-0070</t>
  </si>
  <si>
    <t>212N27000000010070</t>
  </si>
  <si>
    <t>IN OR 1466/329</t>
  </si>
  <si>
    <t>115.31</t>
  </si>
  <si>
    <t>107.88</t>
  </si>
  <si>
    <t>103.28</t>
  </si>
  <si>
    <t>104.30</t>
  </si>
  <si>
    <t>1437</t>
  </si>
  <si>
    <t>97.73</t>
  </si>
  <si>
    <t>21-2N-27-0000-0001-0080</t>
  </si>
  <si>
    <t>212N27000000010080</t>
  </si>
  <si>
    <t>IN OR 1466/327</t>
  </si>
  <si>
    <t>1353</t>
  </si>
  <si>
    <t>21-2N-27-0000-0001-0090</t>
  </si>
  <si>
    <t>212N27000000010090</t>
  </si>
  <si>
    <t>0.54</t>
  </si>
  <si>
    <t>PT OR 1460/362</t>
  </si>
  <si>
    <t>21-2N-27-0000-0001-0100</t>
  </si>
  <si>
    <t>212N27000000010100</t>
  </si>
  <si>
    <t>1254</t>
  </si>
  <si>
    <t>1356</t>
  </si>
  <si>
    <t>1441</t>
  </si>
  <si>
    <t>21-2N-27-0000-0001-0110</t>
  </si>
  <si>
    <t>212N27000000010110</t>
  </si>
  <si>
    <t>0.63</t>
  </si>
  <si>
    <t>1255</t>
  </si>
  <si>
    <t>1442</t>
  </si>
  <si>
    <t>21-2N-27-0000-0001-0120</t>
  </si>
  <si>
    <t>212N27000000010120</t>
  </si>
  <si>
    <t>850075 US HWY 17</t>
  </si>
  <si>
    <t>0.60</t>
  </si>
  <si>
    <t>IN OR 1466/325</t>
  </si>
  <si>
    <t>1443</t>
  </si>
  <si>
    <t>21-2N-27-0000-0001-0130</t>
  </si>
  <si>
    <t>212N27000000010130</t>
  </si>
  <si>
    <t>HAIR TONY RAY</t>
  </si>
  <si>
    <t>2638 MCGREGOR BLV</t>
  </si>
  <si>
    <t>PT OR 1477/936</t>
  </si>
  <si>
    <t>118.33</t>
  </si>
  <si>
    <t>107.45</t>
  </si>
  <si>
    <t>96.78</t>
  </si>
  <si>
    <t>1808</t>
  </si>
  <si>
    <t>87.78</t>
  </si>
  <si>
    <t>21-2N-27-0000-0001-0140</t>
  </si>
  <si>
    <t>212N27000000010140</t>
  </si>
  <si>
    <t>1445</t>
  </si>
  <si>
    <t>21-2N-27-0000-0001-0150</t>
  </si>
  <si>
    <t>212N27000000010150</t>
  </si>
  <si>
    <t>1810</t>
  </si>
  <si>
    <t>21-2N-27-0000-0001-0160</t>
  </si>
  <si>
    <t>212N27000000010160</t>
  </si>
  <si>
    <t>1.43</t>
  </si>
  <si>
    <t>151.93</t>
  </si>
  <si>
    <t>149.95</t>
  </si>
  <si>
    <t>1447</t>
  </si>
  <si>
    <t>138.48</t>
  </si>
  <si>
    <t>125.48</t>
  </si>
  <si>
    <t>21-2N-27-0000-0001-0170</t>
  </si>
  <si>
    <t>212N27000000010170</t>
  </si>
  <si>
    <t>32037</t>
  </si>
  <si>
    <t>3.46</t>
  </si>
  <si>
    <t>IN OR 1487/75</t>
  </si>
  <si>
    <t>334.55</t>
  </si>
  <si>
    <t>337.02</t>
  </si>
  <si>
    <t>338.61</t>
  </si>
  <si>
    <t>1261</t>
  </si>
  <si>
    <t>321.68</t>
  </si>
  <si>
    <t>322.74</t>
  </si>
  <si>
    <t>321.89</t>
  </si>
  <si>
    <t>12/26/2012</t>
  </si>
  <si>
    <t>291.37</t>
  </si>
  <si>
    <t>21-2N-27-0000-0001-0180</t>
  </si>
  <si>
    <t>212N27000000010180</t>
  </si>
  <si>
    <t>22800</t>
  </si>
  <si>
    <t>PT OR 1527/1286</t>
  </si>
  <si>
    <t>110.42</t>
  </si>
  <si>
    <t>1262</t>
  </si>
  <si>
    <t>1449</t>
  </si>
  <si>
    <t>1813</t>
  </si>
  <si>
    <t>21-2N-27-0000-0001-0190</t>
  </si>
  <si>
    <t>212N27000000010190</t>
  </si>
  <si>
    <t>234.93</t>
  </si>
  <si>
    <t>1151</t>
  </si>
  <si>
    <t>234.99</t>
  </si>
  <si>
    <t>236.06</t>
  </si>
  <si>
    <t>1263</t>
  </si>
  <si>
    <t>224.62</t>
  </si>
  <si>
    <t>227.16</t>
  </si>
  <si>
    <t>222.75</t>
  </si>
  <si>
    <t>221.85</t>
  </si>
  <si>
    <t>200.90</t>
  </si>
  <si>
    <t>25-2N-27-1475-0001-0100</t>
  </si>
  <si>
    <t>252N27147500010100</t>
  </si>
  <si>
    <t>85324 LIL WILLIAM RD</t>
  </si>
  <si>
    <t>MENTER DOROTHY J EST</t>
  </si>
  <si>
    <t>85324 LIL WILLIAM R</t>
  </si>
  <si>
    <t>BLOCK 1 LOT 10</t>
  </si>
  <si>
    <t>479.46</t>
  </si>
  <si>
    <t>1364</t>
  </si>
  <si>
    <t>566.62</t>
  </si>
  <si>
    <t>25-2N-27-1475-0001-0310</t>
  </si>
  <si>
    <t>252N27147500010310</t>
  </si>
  <si>
    <t>85257 BURMEISTER RD</t>
  </si>
  <si>
    <t>S PERRY J &amp; DALE R PENLAND</t>
  </si>
  <si>
    <t>68485.00</t>
  </si>
  <si>
    <t>03/14/2008</t>
  </si>
  <si>
    <t>TAYLOR OSCAR VINCE</t>
  </si>
  <si>
    <t>85257 BURMEISTER ROA</t>
  </si>
  <si>
    <t>BLOCK 1 LOT 31</t>
  </si>
  <si>
    <t>258.64</t>
  </si>
  <si>
    <t>295.14</t>
  </si>
  <si>
    <t>290.95</t>
  </si>
  <si>
    <t>452.30</t>
  </si>
  <si>
    <t>1366</t>
  </si>
  <si>
    <t>467.20</t>
  </si>
  <si>
    <t>524.88</t>
  </si>
  <si>
    <t>25-2N-27-1475-0001-0320</t>
  </si>
  <si>
    <t>252N27147500010320</t>
  </si>
  <si>
    <t>BURMEISTER RD</t>
  </si>
  <si>
    <t xml:space="preserve"> REDMAN FAMILY TRUST 1</t>
  </si>
  <si>
    <t>65740.00</t>
  </si>
  <si>
    <t>10/25/2005</t>
  </si>
  <si>
    <t>BLOCK 1 LOT 32</t>
  </si>
  <si>
    <t>1367</t>
  </si>
  <si>
    <t>25-2N-27-1475-0001-0340</t>
  </si>
  <si>
    <t>252N27147500010340</t>
  </si>
  <si>
    <t>85129 BURMEISTER RD</t>
  </si>
  <si>
    <t>BALLARD JOHN M</t>
  </si>
  <si>
    <t>85129 BURMEISTER R</t>
  </si>
  <si>
    <t>BLOCK 1 LOT 34</t>
  </si>
  <si>
    <t>398.70</t>
  </si>
  <si>
    <t>01/28/2017</t>
  </si>
  <si>
    <t>498.14</t>
  </si>
  <si>
    <t>25-2N-27-1475-0001-0640</t>
  </si>
  <si>
    <t>252N27147500010640</t>
  </si>
  <si>
    <t>85132 LINA RD</t>
  </si>
  <si>
    <t>11900</t>
  </si>
  <si>
    <t>WALKER STACEY R &amp; THERESA C</t>
  </si>
  <si>
    <t>85132 LINA R</t>
  </si>
  <si>
    <t>BLOCK 1 LOT 64</t>
  </si>
  <si>
    <t>497.67</t>
  </si>
  <si>
    <t>499.02</t>
  </si>
  <si>
    <t>525.03</t>
  </si>
  <si>
    <t>06/12/2014</t>
  </si>
  <si>
    <t>25-2N-27-1475-0001-0690</t>
  </si>
  <si>
    <t>252N27147500010690</t>
  </si>
  <si>
    <t>85288 LINA RD</t>
  </si>
  <si>
    <t>DUBBERLY WILLIAM O &amp; CYNTHIA J</t>
  </si>
  <si>
    <t>85288 LINA ROA</t>
  </si>
  <si>
    <t>BLOCK 1 LOT 69</t>
  </si>
  <si>
    <t>518.69</t>
  </si>
  <si>
    <t>1158</t>
  </si>
  <si>
    <t>533.48</t>
  </si>
  <si>
    <t>523.51</t>
  </si>
  <si>
    <t>1370</t>
  </si>
  <si>
    <t>537.34</t>
  </si>
  <si>
    <t>25-2N-27-1475-0002-0210</t>
  </si>
  <si>
    <t>252N27147500020210</t>
  </si>
  <si>
    <t>85262 BURMEISTER RD</t>
  </si>
  <si>
    <t>12800</t>
  </si>
  <si>
    <t>LUCAS DALE A</t>
  </si>
  <si>
    <t>360.72</t>
  </si>
  <si>
    <t>363.90</t>
  </si>
  <si>
    <t>365.71</t>
  </si>
  <si>
    <t>347.50</t>
  </si>
  <si>
    <t>10/17/2014</t>
  </si>
  <si>
    <t>1373</t>
  </si>
  <si>
    <t>351.82</t>
  </si>
  <si>
    <t>433.25</t>
  </si>
  <si>
    <t>602.46</t>
  </si>
  <si>
    <t>1828</t>
  </si>
  <si>
    <t>601.87</t>
  </si>
  <si>
    <t>25-2N-27-1475-0002-0220</t>
  </si>
  <si>
    <t>252N27147500020220</t>
  </si>
  <si>
    <t>85244 BURMEISTER RD</t>
  </si>
  <si>
    <t>145000.00</t>
  </si>
  <si>
    <t>10/01/2012</t>
  </si>
  <si>
    <t>PAULK PATRICIA &amp; DORSEY</t>
  </si>
  <si>
    <t>85244 BURMESITER R</t>
  </si>
  <si>
    <t>BLOCK 2 LOT 22</t>
  </si>
  <si>
    <t>818.81</t>
  </si>
  <si>
    <t>828.74</t>
  </si>
  <si>
    <t>09/01/2017</t>
  </si>
  <si>
    <t>822.58</t>
  </si>
  <si>
    <t>846.23</t>
  </si>
  <si>
    <t>08/14/2014</t>
  </si>
  <si>
    <t>1648</t>
  </si>
  <si>
    <t>1255.55</t>
  </si>
  <si>
    <t>06/11/2013</t>
  </si>
  <si>
    <t>1369.16</t>
  </si>
  <si>
    <t>1829</t>
  </si>
  <si>
    <t>1316.04</t>
  </si>
  <si>
    <t>06/29/2010</t>
  </si>
  <si>
    <t>36-2N-27-525N-0005-0000</t>
  </si>
  <si>
    <t>362N27525N00050000</t>
  </si>
  <si>
    <t>85336 SCHUBERT RD</t>
  </si>
  <si>
    <t>JESSE JEAN</t>
  </si>
  <si>
    <t>85336 SCHUBERT R</t>
  </si>
  <si>
    <t>1218.16</t>
  </si>
  <si>
    <t>07/19/2016</t>
  </si>
  <si>
    <t>547.54</t>
  </si>
  <si>
    <t>1157.35</t>
  </si>
  <si>
    <t>06/22/2015</t>
  </si>
  <si>
    <t>412.22</t>
  </si>
  <si>
    <t>04/03/2014</t>
  </si>
  <si>
    <t>36-2N-27-525N-0015-0000</t>
  </si>
  <si>
    <t>362N27525N00150000</t>
  </si>
  <si>
    <t>2901 SCHUBERT RD</t>
  </si>
  <si>
    <t>3.16</t>
  </si>
  <si>
    <t>THEOBALD THOMAS ANDREW</t>
  </si>
  <si>
    <t>96568 CALHOUN R</t>
  </si>
  <si>
    <t>LOTS 15 &amp; 16</t>
  </si>
  <si>
    <t>2074</t>
  </si>
  <si>
    <t>1487.79</t>
  </si>
  <si>
    <t>36-2N-27-525N-0019-0000</t>
  </si>
  <si>
    <t>362N27525N00190000</t>
  </si>
  <si>
    <t>SCHUBERT CT</t>
  </si>
  <si>
    <t>2.61</t>
  </si>
  <si>
    <t>6750</t>
  </si>
  <si>
    <t>THEOBALD THOMAS A</t>
  </si>
  <si>
    <t>LOT 19</t>
  </si>
  <si>
    <t>2075</t>
  </si>
  <si>
    <t>934.80</t>
  </si>
  <si>
    <t>36-2N-27-525N-0041-0000</t>
  </si>
  <si>
    <t>85216 LINDA HALL RD</t>
  </si>
  <si>
    <t>DUNCUM BRIAN E &amp; FELICIA W</t>
  </si>
  <si>
    <t>95221 GERALD CI</t>
  </si>
  <si>
    <t>36-2N-27-525N-0045-0000</t>
  </si>
  <si>
    <t>362N27525N00450000</t>
  </si>
  <si>
    <t>85034 ADMIRAL AVE</t>
  </si>
  <si>
    <t>115500.00</t>
  </si>
  <si>
    <t>11/28/2092</t>
  </si>
  <si>
    <t>KOHLENBERGER GLENDA</t>
  </si>
  <si>
    <t>85034 ADMIRAL A</t>
  </si>
  <si>
    <t>LOT 45</t>
  </si>
  <si>
    <t>268.34</t>
  </si>
  <si>
    <t>373.02</t>
  </si>
  <si>
    <t>12/01/2016</t>
  </si>
  <si>
    <t>368.53</t>
  </si>
  <si>
    <t>12/15/2015</t>
  </si>
  <si>
    <t>490.27</t>
  </si>
  <si>
    <t>11/13/2013</t>
  </si>
  <si>
    <t>2079</t>
  </si>
  <si>
    <t>494.05</t>
  </si>
  <si>
    <t>560.35</t>
  </si>
  <si>
    <t>544.68</t>
  </si>
  <si>
    <t>36-2N-27-525N-0046-0000</t>
  </si>
  <si>
    <t>362N27525N00460000</t>
  </si>
  <si>
    <t>85165 SCHUBERT RD</t>
  </si>
  <si>
    <t>KOHLENBERGER ALAN</t>
  </si>
  <si>
    <t>LOT 46</t>
  </si>
  <si>
    <t>1215</t>
  </si>
  <si>
    <t>1283</t>
  </si>
  <si>
    <t>02/07/2015</t>
  </si>
  <si>
    <t>2080</t>
  </si>
  <si>
    <t>430.67</t>
  </si>
  <si>
    <t>02/09/2011</t>
  </si>
  <si>
    <t>36-2N-27-525P-0001-0070</t>
  </si>
  <si>
    <t>362N27525P00010070</t>
  </si>
  <si>
    <t>85367 SCHUBERT RD</t>
  </si>
  <si>
    <t>NUNEZ JEFFREY L</t>
  </si>
  <si>
    <t>PO BOX 1501</t>
  </si>
  <si>
    <t>BLOCK 1 LOTS 7 &amp; 8</t>
  </si>
  <si>
    <t>456.22</t>
  </si>
  <si>
    <t>464.88</t>
  </si>
  <si>
    <t>11/07/2016</t>
  </si>
  <si>
    <t>514.75</t>
  </si>
  <si>
    <t>497.91</t>
  </si>
  <si>
    <t>508.70</t>
  </si>
  <si>
    <t>2082</t>
  </si>
  <si>
    <t>514.66</t>
  </si>
  <si>
    <t>2019</t>
  </si>
  <si>
    <t>1255.56</t>
  </si>
  <si>
    <t>1945.69</t>
  </si>
  <si>
    <t>04/01/2011</t>
  </si>
  <si>
    <t>36-2N-27-525P-0002-0030</t>
  </si>
  <si>
    <t>362N27525P00020030</t>
  </si>
  <si>
    <t>85423 LINDA HALL RD</t>
  </si>
  <si>
    <t>1664</t>
  </si>
  <si>
    <t>MANN RANDALL W</t>
  </si>
  <si>
    <t>85423 LINDA HALL ROA</t>
  </si>
  <si>
    <t>BLOCK 2 LOT 3</t>
  </si>
  <si>
    <t>542.59</t>
  </si>
  <si>
    <t>596.38</t>
  </si>
  <si>
    <t>12/14/2016</t>
  </si>
  <si>
    <t>624.79</t>
  </si>
  <si>
    <t>661.06</t>
  </si>
  <si>
    <t>2083</t>
  </si>
  <si>
    <t>662.34</t>
  </si>
  <si>
    <t>2020</t>
  </si>
  <si>
    <t>844.46</t>
  </si>
  <si>
    <t>08/31/2012</t>
  </si>
  <si>
    <t>935.33</t>
  </si>
  <si>
    <t>07/26/2011</t>
  </si>
  <si>
    <t>36-2N-27-525P-0002-0050</t>
  </si>
  <si>
    <t>362N27525P00020050</t>
  </si>
  <si>
    <t>85363 LINDA HALL RD</t>
  </si>
  <si>
    <t>MCKINNEY JAMES A</t>
  </si>
  <si>
    <t>85363 LINDA HALL ROA</t>
  </si>
  <si>
    <t>496.73</t>
  </si>
  <si>
    <t>501.62</t>
  </si>
  <si>
    <t>04/28/2017</t>
  </si>
  <si>
    <t>552.81</t>
  </si>
  <si>
    <t>05/01/2016</t>
  </si>
  <si>
    <t>1382</t>
  </si>
  <si>
    <t>597.20</t>
  </si>
  <si>
    <t>07/15/2013</t>
  </si>
  <si>
    <t>2084</t>
  </si>
  <si>
    <t>576.08</t>
  </si>
  <si>
    <t>628.32</t>
  </si>
  <si>
    <t>1844</t>
  </si>
  <si>
    <t>611.06</t>
  </si>
  <si>
    <t>36-2N-27-525P-0004-0020</t>
  </si>
  <si>
    <t>362N27525P00040020</t>
  </si>
  <si>
    <t>85182 LONNIE CREWS RD</t>
  </si>
  <si>
    <t>1730</t>
  </si>
  <si>
    <t xml:space="preserve"> FIRST NATIONAL BANK NASSAU</t>
  </si>
  <si>
    <t>16189.00</t>
  </si>
  <si>
    <t>12/01/1999</t>
  </si>
  <si>
    <t>WAY ELIPHUS JEROME</t>
  </si>
  <si>
    <t>85182 LONNIE CREWS R</t>
  </si>
  <si>
    <t>BLOCK 4 LOT 2</t>
  </si>
  <si>
    <t>927.83</t>
  </si>
  <si>
    <t>970.27</t>
  </si>
  <si>
    <t>1047.92</t>
  </si>
  <si>
    <t>1157.58</t>
  </si>
  <si>
    <t>05/27/2014</t>
  </si>
  <si>
    <t>2087</t>
  </si>
  <si>
    <t>1126.64</t>
  </si>
  <si>
    <t>2025</t>
  </si>
  <si>
    <t>1309.02</t>
  </si>
  <si>
    <t>1847</t>
  </si>
  <si>
    <t>1394.42</t>
  </si>
  <si>
    <t>05/17/2012</t>
  </si>
  <si>
    <t>36-2N-27-525Q-0002-0050</t>
  </si>
  <si>
    <t>362N27525Q00020050</t>
  </si>
  <si>
    <t>85355 LONNIE CREWS RD</t>
  </si>
  <si>
    <t>695</t>
  </si>
  <si>
    <t>J A DUBOIS</t>
  </si>
  <si>
    <t>03/01/2019</t>
  </si>
  <si>
    <t>NIX CLAUDE EDWARD</t>
  </si>
  <si>
    <t>85355 LONNIE CREWS ROA</t>
  </si>
  <si>
    <t>BLOCK 2 LOT 5    R497460</t>
  </si>
  <si>
    <t>60.58</t>
  </si>
  <si>
    <t>05/31/2016</t>
  </si>
  <si>
    <t>2836</t>
  </si>
  <si>
    <t>45.03</t>
  </si>
  <si>
    <t>3225</t>
  </si>
  <si>
    <t>24.59</t>
  </si>
  <si>
    <t>01/14/2013</t>
  </si>
  <si>
    <t>36-2N-27-525Q-0002-0110</t>
  </si>
  <si>
    <t>362N27525Q00020110</t>
  </si>
  <si>
    <t>85441 LONNIE CREWS RD</t>
  </si>
  <si>
    <t>20998.00</t>
  </si>
  <si>
    <t>01/12/2011</t>
  </si>
  <si>
    <t>PARKER ALMA JEAN</t>
  </si>
  <si>
    <t>PO BOX 203</t>
  </si>
  <si>
    <t>BLOCK 2 LOT 11</t>
  </si>
  <si>
    <t>36-2N-27-525Q-0003-0020</t>
  </si>
  <si>
    <t>362N27525Q00030020</t>
  </si>
  <si>
    <t>85505 LONNIE CREWS RD</t>
  </si>
  <si>
    <t>2400</t>
  </si>
  <si>
    <t>CRAWFORD STEVE M &amp; DEBBIE M</t>
  </si>
  <si>
    <t>85505 LONNIE CREWS ROA</t>
  </si>
  <si>
    <t>BLOCK 3 LOT 2    R359755</t>
  </si>
  <si>
    <t>459.51</t>
  </si>
  <si>
    <t>457.42</t>
  </si>
  <si>
    <t>2090</t>
  </si>
  <si>
    <t>442.13</t>
  </si>
  <si>
    <t>03/06/2013</t>
  </si>
  <si>
    <t>2029</t>
  </si>
  <si>
    <t>437.32</t>
  </si>
  <si>
    <t>01/04/2012</t>
  </si>
  <si>
    <t>463.03</t>
  </si>
  <si>
    <t>36-2N-27-525Q-0004-0010</t>
  </si>
  <si>
    <t>362N27525Q00040010</t>
  </si>
  <si>
    <t>85502 LONNIE CREWS RD</t>
  </si>
  <si>
    <t>0.89</t>
  </si>
  <si>
    <t>16900</t>
  </si>
  <si>
    <t xml:space="preserve"> ALLISON VENTURES LLC</t>
  </si>
  <si>
    <t>07/12/2012</t>
  </si>
  <si>
    <t>ALLISON VENTURES LLC</t>
  </si>
  <si>
    <t>96034 SANDY POINTE C</t>
  </si>
  <si>
    <t>BLOCK 4 LOT 1</t>
  </si>
  <si>
    <t>769.64</t>
  </si>
  <si>
    <t>830.97</t>
  </si>
  <si>
    <t>851.43</t>
  </si>
  <si>
    <t>09/04/2014</t>
  </si>
  <si>
    <t>555.38</t>
  </si>
  <si>
    <t>36-2N-27-525Q-0004-0050</t>
  </si>
  <si>
    <t>362N27525Q00040050</t>
  </si>
  <si>
    <t>OFF LONNIE CREWS RD</t>
  </si>
  <si>
    <t>GRIFFIN ROBERT B III</t>
  </si>
  <si>
    <t>97175 LAFFITES WA</t>
  </si>
  <si>
    <t>BLOCK 4 LOT 5</t>
  </si>
  <si>
    <t>311.10</t>
  </si>
  <si>
    <t>385.18</t>
  </si>
  <si>
    <t>37-2N-27-0000-0001-0220</t>
  </si>
  <si>
    <t>463773 EAST SR 200</t>
  </si>
  <si>
    <t>WASTELAND/DUMPS</t>
  </si>
  <si>
    <t>20.29</t>
  </si>
  <si>
    <t>1925000</t>
  </si>
  <si>
    <t>KIMCO NASSAU LLC</t>
  </si>
  <si>
    <t>3333 NEW HYDE PARK RD  STE 10</t>
  </si>
  <si>
    <t>New Hyde Park</t>
  </si>
  <si>
    <t>11042</t>
  </si>
  <si>
    <t>PT JOHN LOWE MILL GRANTS</t>
  </si>
  <si>
    <t>38-2N-27-0000-0008-0020</t>
  </si>
  <si>
    <t>382N27000000080020</t>
  </si>
  <si>
    <t>463471 SR 200</t>
  </si>
  <si>
    <t>4480</t>
  </si>
  <si>
    <t>235300</t>
  </si>
  <si>
    <t>LYWOOD &amp; VIVIAN HOLLEY</t>
  </si>
  <si>
    <t>236446.00</t>
  </si>
  <si>
    <t>08/07/2012</t>
  </si>
  <si>
    <t>HILLIARD TRUCK &amp; AUTO INC</t>
  </si>
  <si>
    <t>15928 CR 10</t>
  </si>
  <si>
    <t>IN OR 1812/1516</t>
  </si>
  <si>
    <t>3524.76</t>
  </si>
  <si>
    <t>3572.16</t>
  </si>
  <si>
    <t>3254.52</t>
  </si>
  <si>
    <t>3411.95</t>
  </si>
  <si>
    <t>2366</t>
  </si>
  <si>
    <t>3852.65</t>
  </si>
  <si>
    <t>38-2N-27-0000-0008-0040</t>
  </si>
  <si>
    <t>382N27000000080040</t>
  </si>
  <si>
    <t>DICHARIA ST</t>
  </si>
  <si>
    <t>DICHARIA ANNA MARIE</t>
  </si>
  <si>
    <t>86128 DI CHARIA S</t>
  </si>
  <si>
    <t>IN OR 1550/32</t>
  </si>
  <si>
    <t>692.54</t>
  </si>
  <si>
    <t>703.70</t>
  </si>
  <si>
    <t>803.05</t>
  </si>
  <si>
    <t>2368</t>
  </si>
  <si>
    <t>856.70</t>
  </si>
  <si>
    <t>2034</t>
  </si>
  <si>
    <t>955.64</t>
  </si>
  <si>
    <t>1855</t>
  </si>
  <si>
    <t>1141.53</t>
  </si>
  <si>
    <t>38-2N-27-0000-0011-0010</t>
  </si>
  <si>
    <t>382N27000000110010</t>
  </si>
  <si>
    <t>463400 SR 200</t>
  </si>
  <si>
    <t>0.59</t>
  </si>
  <si>
    <t>THOMAS ANDREW EST</t>
  </si>
  <si>
    <t>OR 729/1670 &amp; PT OR 749/1649</t>
  </si>
  <si>
    <t>2344.56</t>
  </si>
  <si>
    <t>2766.73</t>
  </si>
  <si>
    <t>2588.75</t>
  </si>
  <si>
    <t>2624.64</t>
  </si>
  <si>
    <t>2638.87</t>
  </si>
  <si>
    <t>2035</t>
  </si>
  <si>
    <t>2656.12</t>
  </si>
  <si>
    <t>1856</t>
  </si>
  <si>
    <t>2512.66</t>
  </si>
  <si>
    <t>38-2N-27-0000-0011-0030</t>
  </si>
  <si>
    <t>382N27000000110030</t>
  </si>
  <si>
    <t>EAST SR 200</t>
  </si>
  <si>
    <t>OR 677/441 &amp; PT OR 749/1649</t>
  </si>
  <si>
    <t>2517.31</t>
  </si>
  <si>
    <t>2572.79</t>
  </si>
  <si>
    <t>2585.70</t>
  </si>
  <si>
    <t>2448.60</t>
  </si>
  <si>
    <t>2478.94</t>
  </si>
  <si>
    <t>05/11/2015</t>
  </si>
  <si>
    <t>2513.93</t>
  </si>
  <si>
    <t>2036</t>
  </si>
  <si>
    <t>2514.16</t>
  </si>
  <si>
    <t>1857</t>
  </si>
  <si>
    <t>2274.28</t>
  </si>
  <si>
    <t>38-2N-27-0000-0014-0060</t>
  </si>
  <si>
    <t>382N27000000140060</t>
  </si>
  <si>
    <t>85798 MINER RD</t>
  </si>
  <si>
    <t>2224</t>
  </si>
  <si>
    <t>HAYWOOD FRED</t>
  </si>
  <si>
    <t>1790 FREDERICA R</t>
  </si>
  <si>
    <t>St Simons Island</t>
  </si>
  <si>
    <t>31522</t>
  </si>
  <si>
    <t>IN OR 137/612 &amp; OR 329/781</t>
  </si>
  <si>
    <t>1936.70</t>
  </si>
  <si>
    <t>1988.59</t>
  </si>
  <si>
    <t>2003.23</t>
  </si>
  <si>
    <t>38-2N-27-0000-0014-0170</t>
  </si>
  <si>
    <t>382N27000000140170</t>
  </si>
  <si>
    <t>463493 SR 200</t>
  </si>
  <si>
    <t>3.72</t>
  </si>
  <si>
    <t>5088</t>
  </si>
  <si>
    <t>491000</t>
  </si>
  <si>
    <t>344000.00</t>
  </si>
  <si>
    <t>05/22/2002</t>
  </si>
  <si>
    <t>CASTLE USED CARS INC</t>
  </si>
  <si>
    <t>463493 STATE ROAD 20</t>
  </si>
  <si>
    <t>IN OR 2038/608</t>
  </si>
  <si>
    <t>9602.31</t>
  </si>
  <si>
    <t>7759.89</t>
  </si>
  <si>
    <t>6642.79</t>
  </si>
  <si>
    <t>1394</t>
  </si>
  <si>
    <t>6801.61</t>
  </si>
  <si>
    <t>2371</t>
  </si>
  <si>
    <t>6443.56</t>
  </si>
  <si>
    <t>2037</t>
  </si>
  <si>
    <t>6518.54</t>
  </si>
  <si>
    <t>7297.34</t>
  </si>
  <si>
    <t>38-2N-27-0000-0018-0030</t>
  </si>
  <si>
    <t>382N27000000180030</t>
  </si>
  <si>
    <t>86187 APPALOOSA AVE</t>
  </si>
  <si>
    <t>1.47</t>
  </si>
  <si>
    <t>PAINTER PAMELA G &amp;</t>
  </si>
  <si>
    <t>86187 APPALOOSA AV</t>
  </si>
  <si>
    <t>IN OR 1922/30</t>
  </si>
  <si>
    <t>758.58</t>
  </si>
  <si>
    <t>628.96</t>
  </si>
  <si>
    <t>695.58</t>
  </si>
  <si>
    <t>1065.96</t>
  </si>
  <si>
    <t>05/15/2012</t>
  </si>
  <si>
    <t>1861</t>
  </si>
  <si>
    <t>602.05</t>
  </si>
  <si>
    <t>38-2N-27-1270-000D-0010</t>
  </si>
  <si>
    <t>382N27-1270000D-0010</t>
  </si>
  <si>
    <t>ST PAUL BLVD</t>
  </si>
  <si>
    <t>UTILITIES</t>
  </si>
  <si>
    <t>2600</t>
  </si>
  <si>
    <t>GOTCH JOHN JR</t>
  </si>
  <si>
    <t>94182 RIVER MARSH DRIV</t>
  </si>
  <si>
    <t>SW1/2 OF TRACT D</t>
  </si>
  <si>
    <t>93.40</t>
  </si>
  <si>
    <t>90.03</t>
  </si>
  <si>
    <t>38-2N-27-127C-0071-0000</t>
  </si>
  <si>
    <t>382N27127C00710000</t>
  </si>
  <si>
    <t>83151 ST MARK DR</t>
  </si>
  <si>
    <t>HOLZENDORF DWAYNE K</t>
  </si>
  <si>
    <t>83151 ST MARK TRAI</t>
  </si>
  <si>
    <t>894.64</t>
  </si>
  <si>
    <t>38-2N-27-1330-0028-0000</t>
  </si>
  <si>
    <t>382N27133000280000</t>
  </si>
  <si>
    <t>86253 MEADOWFIELD BLUFFS RD</t>
  </si>
  <si>
    <t>52500</t>
  </si>
  <si>
    <t>BARNARD DENISE R</t>
  </si>
  <si>
    <t>762 GEIGER ROA</t>
  </si>
  <si>
    <t>LOT 28</t>
  </si>
  <si>
    <t>1307</t>
  </si>
  <si>
    <t>2084.61</t>
  </si>
  <si>
    <t>2110.39</t>
  </si>
  <si>
    <t>2379</t>
  </si>
  <si>
    <t>2493.08</t>
  </si>
  <si>
    <t>1866</t>
  </si>
  <si>
    <t>3363.51</t>
  </si>
  <si>
    <t>38-2N-27-1331-0031-0000</t>
  </si>
  <si>
    <t>86239 FIELDSTONE DR</t>
  </si>
  <si>
    <t>2454</t>
  </si>
  <si>
    <t>SYNOVUS MORTGAGE CORP</t>
  </si>
  <si>
    <t>131200.00</t>
  </si>
  <si>
    <t>STRICKLAND ARLENE L</t>
  </si>
  <si>
    <t>Waycross</t>
  </si>
  <si>
    <t>31502</t>
  </si>
  <si>
    <t>38-2N-27-1525-0010-0000</t>
  </si>
  <si>
    <t>CREEK DR</t>
  </si>
  <si>
    <t>2.66</t>
  </si>
  <si>
    <t>226600</t>
  </si>
  <si>
    <t>CTX MORTGAGE COMPANY LLC</t>
  </si>
  <si>
    <t>226600.00</t>
  </si>
  <si>
    <t>01/01/2038</t>
  </si>
  <si>
    <t>KUCHES CHRISTOPHER E EST</t>
  </si>
  <si>
    <t>85642 MINER ROA</t>
  </si>
  <si>
    <t>42-2N-27-0000-0001-0310</t>
  </si>
  <si>
    <t>422N27000000010310</t>
  </si>
  <si>
    <t>85115 HADDOCK RD</t>
  </si>
  <si>
    <t>2.79</t>
  </si>
  <si>
    <t>1914</t>
  </si>
  <si>
    <t>DAVIS BRETT L</t>
  </si>
  <si>
    <t>85115 HADDOCK R</t>
  </si>
  <si>
    <t>IN OR 1877/1264</t>
  </si>
  <si>
    <t>1729.41</t>
  </si>
  <si>
    <t>1674.06</t>
  </si>
  <si>
    <t>1644.46</t>
  </si>
  <si>
    <t>1413</t>
  </si>
  <si>
    <t>1705.85</t>
  </si>
  <si>
    <t>2556</t>
  </si>
  <si>
    <t>1858.24</t>
  </si>
  <si>
    <t>2054</t>
  </si>
  <si>
    <t>2384.26</t>
  </si>
  <si>
    <t>02/11/2013</t>
  </si>
  <si>
    <t>42-2N-27-0000-0001-0350</t>
  </si>
  <si>
    <t>TURK LN</t>
  </si>
  <si>
    <t>PIKULA BYRON KYLE &amp; JENNIFER B</t>
  </si>
  <si>
    <t>85538 MINER R</t>
  </si>
  <si>
    <t>PT JOHN LOW MILL GRANT</t>
  </si>
  <si>
    <t>42-2N-27-0000-0002-0220</t>
  </si>
  <si>
    <t>850709 US HWY 17</t>
  </si>
  <si>
    <t>2.94</t>
  </si>
  <si>
    <t>9020</t>
  </si>
  <si>
    <t>650000</t>
  </si>
  <si>
    <t>JPMORGAN CHASE BANK NA</t>
  </si>
  <si>
    <t>520000.00</t>
  </si>
  <si>
    <t>MIRSCHEL JO D &amp;</t>
  </si>
  <si>
    <t>1224 HARRISON POINT TRAI</t>
  </si>
  <si>
    <t>IN OR 973/813 &amp; OR 1683/716</t>
  </si>
  <si>
    <t>42-2N-27-0000-0002-0310</t>
  </si>
  <si>
    <t>422N27000000020310</t>
  </si>
  <si>
    <t>850646 US HWY 17</t>
  </si>
  <si>
    <t>2432</t>
  </si>
  <si>
    <t>180554.00</t>
  </si>
  <si>
    <t>02/04/2009</t>
  </si>
  <si>
    <t>PEARCE CAROLEE J &amp;</t>
  </si>
  <si>
    <t>PO BOX 87</t>
  </si>
  <si>
    <t>IN OR 1341/1231</t>
  </si>
  <si>
    <t>2539.38</t>
  </si>
  <si>
    <t>2606.01</t>
  </si>
  <si>
    <t>2524.32</t>
  </si>
  <si>
    <t>2447.23</t>
  </si>
  <si>
    <t>2564</t>
  </si>
  <si>
    <t>2522.65</t>
  </si>
  <si>
    <t>09/16/2013</t>
  </si>
  <si>
    <t>2062</t>
  </si>
  <si>
    <t>2716.63</t>
  </si>
  <si>
    <t>1885</t>
  </si>
  <si>
    <t>4019.90</t>
  </si>
  <si>
    <t>42-2N-27-0000-0009-0010</t>
  </si>
  <si>
    <t>422N27-00000009-0010</t>
  </si>
  <si>
    <t>86153 KUTANA DR</t>
  </si>
  <si>
    <t>GILBERT BESSIE LEE EST</t>
  </si>
  <si>
    <t>86153 KUTANA DRIV</t>
  </si>
  <si>
    <t>219.75</t>
  </si>
  <si>
    <t>219.78</t>
  </si>
  <si>
    <t>42-2N-27-0000-0018-0000</t>
  </si>
  <si>
    <t>422N27000000180000</t>
  </si>
  <si>
    <t>86013 KUTANA DR</t>
  </si>
  <si>
    <t>BANKERS INSURANCE COMPANY</t>
  </si>
  <si>
    <t>15004.00</t>
  </si>
  <si>
    <t>COLLINS FRANK ETAL</t>
  </si>
  <si>
    <t>375.73</t>
  </si>
  <si>
    <t>352.36</t>
  </si>
  <si>
    <t>1426</t>
  </si>
  <si>
    <t>316.69</t>
  </si>
  <si>
    <t>08/12/2013</t>
  </si>
  <si>
    <t>2569</t>
  </si>
  <si>
    <t>415.52</t>
  </si>
  <si>
    <t>07/10/2012</t>
  </si>
  <si>
    <t>393.12</t>
  </si>
  <si>
    <t>42-2N-27-0000-0019-0010</t>
  </si>
  <si>
    <t>422N27000000190010</t>
  </si>
  <si>
    <t>86002 HENDERSON AVE</t>
  </si>
  <si>
    <t xml:space="preserve"> INNOVATIONS FCU</t>
  </si>
  <si>
    <t>59400.00</t>
  </si>
  <si>
    <t>05/22/2008</t>
  </si>
  <si>
    <t>THOMAS ANDREW C</t>
  </si>
  <si>
    <t>1204 EAST 14TH STREE</t>
  </si>
  <si>
    <t>Panama City</t>
  </si>
  <si>
    <t>32401</t>
  </si>
  <si>
    <t>949.80</t>
  </si>
  <si>
    <t>921.98</t>
  </si>
  <si>
    <t>682.89</t>
  </si>
  <si>
    <t>1428</t>
  </si>
  <si>
    <t>691.22</t>
  </si>
  <si>
    <t>2571</t>
  </si>
  <si>
    <t>988.75</t>
  </si>
  <si>
    <t>2070</t>
  </si>
  <si>
    <t>1219.15</t>
  </si>
  <si>
    <t>1893</t>
  </si>
  <si>
    <t>1252.46</t>
  </si>
  <si>
    <t>42-2N-27-0000-0023-0010</t>
  </si>
  <si>
    <t>422N27000000230010</t>
  </si>
  <si>
    <t>PINEWOOD DR</t>
  </si>
  <si>
    <t>ALBERT LILLIE MAE EST</t>
  </si>
  <si>
    <t>86220 PINEWOOD DR</t>
  </si>
  <si>
    <t>IN OR 20/358</t>
  </si>
  <si>
    <t>234.54</t>
  </si>
  <si>
    <t>234.57</t>
  </si>
  <si>
    <t>2573</t>
  </si>
  <si>
    <t>278.19</t>
  </si>
  <si>
    <t>2071</t>
  </si>
  <si>
    <t>273.31</t>
  </si>
  <si>
    <t>42-2N-27-0000-0023-0030</t>
  </si>
  <si>
    <t>422N27000000230030</t>
  </si>
  <si>
    <t>SIMMONS EDDIE &amp;</t>
  </si>
  <si>
    <t>86220 PINEWOOD D</t>
  </si>
  <si>
    <t>IN OR 1946/407</t>
  </si>
  <si>
    <t>480.53</t>
  </si>
  <si>
    <t>722.55</t>
  </si>
  <si>
    <t>01/07/2016</t>
  </si>
  <si>
    <t>727.74</t>
  </si>
  <si>
    <t>2574</t>
  </si>
  <si>
    <t>949.30</t>
  </si>
  <si>
    <t>2072</t>
  </si>
  <si>
    <t>849.27</t>
  </si>
  <si>
    <t>03/07/2013</t>
  </si>
  <si>
    <t>42-2N-27-0000-0026-0000</t>
  </si>
  <si>
    <t>422N27000000260000</t>
  </si>
  <si>
    <t>86394 PINEWOOD DR</t>
  </si>
  <si>
    <t>0.62</t>
  </si>
  <si>
    <t>WOODBURY MARIE G EST</t>
  </si>
  <si>
    <t>916 STRAWBERRY COUR</t>
  </si>
  <si>
    <t>Ellenwood</t>
  </si>
  <si>
    <t>30294</t>
  </si>
  <si>
    <t>IN OR 100 PG 97</t>
  </si>
  <si>
    <t>375.65</t>
  </si>
  <si>
    <t>375.14</t>
  </si>
  <si>
    <t>347.08</t>
  </si>
  <si>
    <t>1334</t>
  </si>
  <si>
    <t>297.03</t>
  </si>
  <si>
    <t>300.45</t>
  </si>
  <si>
    <t>09/13/2014</t>
  </si>
  <si>
    <t>2576</t>
  </si>
  <si>
    <t>364.00</t>
  </si>
  <si>
    <t>03/27/2013</t>
  </si>
  <si>
    <t>2073</t>
  </si>
  <si>
    <t>337.11</t>
  </si>
  <si>
    <t>42-2N-27-0000-0026-0030</t>
  </si>
  <si>
    <t>422N27000000260030</t>
  </si>
  <si>
    <t>2/7</t>
  </si>
  <si>
    <t>GILYARD ELIZABETH EST</t>
  </si>
  <si>
    <t>462974 SR 20</t>
  </si>
  <si>
    <t>IN OR 67 PG 667</t>
  </si>
  <si>
    <t>292.38</t>
  </si>
  <si>
    <t>299.23</t>
  </si>
  <si>
    <t>256.98</t>
  </si>
  <si>
    <t>216.11</t>
  </si>
  <si>
    <t>218.54</t>
  </si>
  <si>
    <t>2577</t>
  </si>
  <si>
    <t>280.66</t>
  </si>
  <si>
    <t>279.79</t>
  </si>
  <si>
    <t>42-2N-27-0000-0031-0000</t>
  </si>
  <si>
    <t>422N27000000310000</t>
  </si>
  <si>
    <t>PALM TREE DR</t>
  </si>
  <si>
    <t>MOBLEY MARGARET EST</t>
  </si>
  <si>
    <t>PT JOHN LOW GRANTS</t>
  </si>
  <si>
    <t>332.07</t>
  </si>
  <si>
    <t>334.48</t>
  </si>
  <si>
    <t>336.04</t>
  </si>
  <si>
    <t>319.26</t>
  </si>
  <si>
    <t>42-2N-27-0000-0032-0000</t>
  </si>
  <si>
    <t>422N27000000320000</t>
  </si>
  <si>
    <t>MOBLEY GRANDVILLE EST</t>
  </si>
  <si>
    <t>206.48</t>
  </si>
  <si>
    <t>205.83</t>
  </si>
  <si>
    <t>206.77</t>
  </si>
  <si>
    <t>196.88</t>
  </si>
  <si>
    <t>199.06</t>
  </si>
  <si>
    <t>2878</t>
  </si>
  <si>
    <t>263.62</t>
  </si>
  <si>
    <t>42-2N-27-0000-0033-0000</t>
  </si>
  <si>
    <t>422N27000000330000</t>
  </si>
  <si>
    <t>86129 PALM TREE DR</t>
  </si>
  <si>
    <t>JACKSON FRANCENA EST</t>
  </si>
  <si>
    <t>86129 PALM TREE DRIV</t>
  </si>
  <si>
    <t>288.87</t>
  </si>
  <si>
    <t>291.59</t>
  </si>
  <si>
    <t>42-2N-27-0000-0039-0000</t>
  </si>
  <si>
    <t>422N27000000390000</t>
  </si>
  <si>
    <t>463200 SR 200</t>
  </si>
  <si>
    <t>MOBLEY GAIL &amp;</t>
  </si>
  <si>
    <t>PT JOHN LOWE GRANTS</t>
  </si>
  <si>
    <t>1660.62</t>
  </si>
  <si>
    <t>860.23</t>
  </si>
  <si>
    <t>820.65</t>
  </si>
  <si>
    <t>702.25</t>
  </si>
  <si>
    <t>711.89</t>
  </si>
  <si>
    <t>42-2N-27-0000-0043-0000</t>
  </si>
  <si>
    <t>422N27000000430000</t>
  </si>
  <si>
    <t>SPICEWOOD DR</t>
  </si>
  <si>
    <t>PRINCE G A EST</t>
  </si>
  <si>
    <t>BOX 209</t>
  </si>
  <si>
    <t>150.39</t>
  </si>
  <si>
    <t>142.13</t>
  </si>
  <si>
    <t>131.25</t>
  </si>
  <si>
    <t>112.29</t>
  </si>
  <si>
    <t>2581</t>
  </si>
  <si>
    <t>1903</t>
  </si>
  <si>
    <t>148.54</t>
  </si>
  <si>
    <t>01/21/2011</t>
  </si>
  <si>
    <t>42-2N-27-0000-0044-0020</t>
  </si>
  <si>
    <t>422N27000000440020</t>
  </si>
  <si>
    <t>SPICEWOOD ST</t>
  </si>
  <si>
    <t xml:space="preserve"> CONTIMORTGAGE CORP</t>
  </si>
  <si>
    <t>09/02/1998</t>
  </si>
  <si>
    <t>COLLYMORE MICHAEL EST</t>
  </si>
  <si>
    <t>PO BOX 209</t>
  </si>
  <si>
    <t>56.59</t>
  </si>
  <si>
    <t>50.81</t>
  </si>
  <si>
    <t>07/24/2016</t>
  </si>
  <si>
    <t>48.22</t>
  </si>
  <si>
    <t>1343</t>
  </si>
  <si>
    <t>43.67</t>
  </si>
  <si>
    <t>43.93</t>
  </si>
  <si>
    <t>2582</t>
  </si>
  <si>
    <t>57.14</t>
  </si>
  <si>
    <t>2077</t>
  </si>
  <si>
    <t>47.01</t>
  </si>
  <si>
    <t>1904</t>
  </si>
  <si>
    <t>42.75</t>
  </si>
  <si>
    <t>42-2N-27-0000-0056-0010</t>
  </si>
  <si>
    <t>422N27000000560010</t>
  </si>
  <si>
    <t>86075 SOWELL RD</t>
  </si>
  <si>
    <t>EVANS JOSEPH</t>
  </si>
  <si>
    <t>IN OR 253 PG 289</t>
  </si>
  <si>
    <t>322.17</t>
  </si>
  <si>
    <t>323.52</t>
  </si>
  <si>
    <t>296.89</t>
  </si>
  <si>
    <t>282.87</t>
  </si>
  <si>
    <t>42-2N-27-0000-0066-0000</t>
  </si>
  <si>
    <t>422N27000000660000</t>
  </si>
  <si>
    <t>850568 US HWY 17</t>
  </si>
  <si>
    <t>149000</t>
  </si>
  <si>
    <t>142000.00</t>
  </si>
  <si>
    <t>04/20/1999</t>
  </si>
  <si>
    <t>YULEE REPO HOME CENTER</t>
  </si>
  <si>
    <t>OR 879/1195</t>
  </si>
  <si>
    <t>1294.68</t>
  </si>
  <si>
    <t>2200.60</t>
  </si>
  <si>
    <t>2087.41</t>
  </si>
  <si>
    <t>2116.21</t>
  </si>
  <si>
    <t>2855.12</t>
  </si>
  <si>
    <t>3090.45</t>
  </si>
  <si>
    <t>1911</t>
  </si>
  <si>
    <t>3411.30</t>
  </si>
  <si>
    <t>42-2N-27-0000-0079-0010</t>
  </si>
  <si>
    <t>HARTS RD</t>
  </si>
  <si>
    <t>CLAXTON JOHN L</t>
  </si>
  <si>
    <t>85127 HARTS ROA</t>
  </si>
  <si>
    <t>IN OR 2128/946</t>
  </si>
  <si>
    <t>42-2N-27-0000-0084-0000</t>
  </si>
  <si>
    <t>422N27-00000084-0000</t>
  </si>
  <si>
    <t>85043 HARTS RD</t>
  </si>
  <si>
    <t>2264</t>
  </si>
  <si>
    <t>CARTER IVEY J TRUSTEE F/B/O</t>
  </si>
  <si>
    <t>85558 WILSON NECK R</t>
  </si>
  <si>
    <t>IN OR 2017/1050 &amp; OR 2017/1070</t>
  </si>
  <si>
    <t>42-2N-27-0000-0085-0010</t>
  </si>
  <si>
    <t>85011 HARTS RD</t>
  </si>
  <si>
    <t>2437</t>
  </si>
  <si>
    <t>12/01/2021</t>
  </si>
  <si>
    <t>WILSON DAVID GLEN</t>
  </si>
  <si>
    <t>85011 HARTS ROA</t>
  </si>
  <si>
    <t>IN OR 1461/727</t>
  </si>
  <si>
    <t>42-2N-27-0000-0086-0000</t>
  </si>
  <si>
    <t>422N27000000860000</t>
  </si>
  <si>
    <t>0.83</t>
  </si>
  <si>
    <t>JOHNNY L DUDLEY LLC</t>
  </si>
  <si>
    <t>11478 PINE S</t>
  </si>
  <si>
    <t>PT OR 1732/1480</t>
  </si>
  <si>
    <t>2184.29</t>
  </si>
  <si>
    <t>1963.25</t>
  </si>
  <si>
    <t>1882.42</t>
  </si>
  <si>
    <t>12/18/2013</t>
  </si>
  <si>
    <t>2590</t>
  </si>
  <si>
    <t>3129.32</t>
  </si>
  <si>
    <t>2089</t>
  </si>
  <si>
    <t>3493.42</t>
  </si>
  <si>
    <t>1917</t>
  </si>
  <si>
    <t>3927.47</t>
  </si>
  <si>
    <t>42-2N-27-0000-0086-0020</t>
  </si>
  <si>
    <t>422N27000000860020</t>
  </si>
  <si>
    <t>5400</t>
  </si>
  <si>
    <t>ANDREWS KIMBER L</t>
  </si>
  <si>
    <t>IN OR 2110/105</t>
  </si>
  <si>
    <t>1298.18</t>
  </si>
  <si>
    <t>1342.36</t>
  </si>
  <si>
    <t>1083.39</t>
  </si>
  <si>
    <t>2592</t>
  </si>
  <si>
    <t>808.57</t>
  </si>
  <si>
    <t>900.69</t>
  </si>
  <si>
    <t>1919</t>
  </si>
  <si>
    <t>2009.33</t>
  </si>
  <si>
    <t>42-2N-27-0000-0091-0010</t>
  </si>
  <si>
    <t>422N27000000910010</t>
  </si>
  <si>
    <t>85006 DURRANCE AVE</t>
  </si>
  <si>
    <t>WARREN SHIRLEY ANN HALL</t>
  </si>
  <si>
    <t>85020 HALLS LAN</t>
  </si>
  <si>
    <t>IN OR 2071/1905</t>
  </si>
  <si>
    <t>644.74</t>
  </si>
  <si>
    <t>572.19</t>
  </si>
  <si>
    <t>08/01/2016</t>
  </si>
  <si>
    <t>580.77</t>
  </si>
  <si>
    <t>2593</t>
  </si>
  <si>
    <t>586.12</t>
  </si>
  <si>
    <t>42-2N-27-0000-0095-0000</t>
  </si>
  <si>
    <t>422N27000000950000</t>
  </si>
  <si>
    <t>85020 HALLS LN</t>
  </si>
  <si>
    <t>0.67</t>
  </si>
  <si>
    <t>58500.00</t>
  </si>
  <si>
    <t>12/01/2008</t>
  </si>
  <si>
    <t>WARREN RICKY LAMAR</t>
  </si>
  <si>
    <t>85020 HALLS L</t>
  </si>
  <si>
    <t>449.46</t>
  </si>
  <si>
    <t>460.29</t>
  </si>
  <si>
    <t>42-2N-27-0000-0096-0000</t>
  </si>
  <si>
    <t>422N27000000960000</t>
  </si>
  <si>
    <t>85042 HALLS LN</t>
  </si>
  <si>
    <t>TUCKER MATTHEW D &amp;</t>
  </si>
  <si>
    <t>85042 HALLS L</t>
  </si>
  <si>
    <t>354.37</t>
  </si>
  <si>
    <t>153.90</t>
  </si>
  <si>
    <t>2563</t>
  </si>
  <si>
    <t>151.69</t>
  </si>
  <si>
    <t>42-2N-27-0000-0096-0010</t>
  </si>
  <si>
    <t>422N27000000960010</t>
  </si>
  <si>
    <t>85019 HALLS LN</t>
  </si>
  <si>
    <t>124.03</t>
  </si>
  <si>
    <t>2595</t>
  </si>
  <si>
    <t>103.00</t>
  </si>
  <si>
    <t>42-2N-27-1330-0004-0000</t>
  </si>
  <si>
    <t>463360 SR 200</t>
  </si>
  <si>
    <t>17288</t>
  </si>
  <si>
    <t>RLW PROPERTIES LLC</t>
  </si>
  <si>
    <t>1028 HWY 80 WES</t>
  </si>
  <si>
    <t>Garden City</t>
  </si>
  <si>
    <t>31408</t>
  </si>
  <si>
    <t>PARCEL 4</t>
  </si>
  <si>
    <t>42-2N-27-430C-0003-0000</t>
  </si>
  <si>
    <t>85051 EADY LN</t>
  </si>
  <si>
    <t>1517</t>
  </si>
  <si>
    <t>124000.00</t>
  </si>
  <si>
    <t>WHICKER SOLO 401 K TRUST</t>
  </si>
  <si>
    <t>401 K TRUSTDANA WHICKER TRUSTEE2018 VILLAGE L</t>
  </si>
  <si>
    <t>42-2N-27-430C-0017-0000</t>
  </si>
  <si>
    <t>422N27430C00170000</t>
  </si>
  <si>
    <t>85285 LINDSEY KAY CT</t>
  </si>
  <si>
    <t xml:space="preserve"> CHEMICAL BANK</t>
  </si>
  <si>
    <t>05/06/1996</t>
  </si>
  <si>
    <t>ROSE JOHN C</t>
  </si>
  <si>
    <t>85285 LINDSEY KAY COUR</t>
  </si>
  <si>
    <t>334.45</t>
  </si>
  <si>
    <t>331.76</t>
  </si>
  <si>
    <t>327.48</t>
  </si>
  <si>
    <t>04/06/2016</t>
  </si>
  <si>
    <t>488.43</t>
  </si>
  <si>
    <t>04/11/2014</t>
  </si>
  <si>
    <t>2597</t>
  </si>
  <si>
    <t>1923</t>
  </si>
  <si>
    <t>542.25</t>
  </si>
  <si>
    <t>42-2N-27-430C-0022-0000</t>
  </si>
  <si>
    <t>422N27430C00220000</t>
  </si>
  <si>
    <t>85373 LINDSEY KAY CT</t>
  </si>
  <si>
    <t>FRANCIS JAMES G &amp;</t>
  </si>
  <si>
    <t>85373 LINDSEY KAY C</t>
  </si>
  <si>
    <t>376.93</t>
  </si>
  <si>
    <t>04/19/2017</t>
  </si>
  <si>
    <t>42-2N-27-4310-0008-0000</t>
  </si>
  <si>
    <t>422N27431000080000</t>
  </si>
  <si>
    <t>YANIE RD</t>
  </si>
  <si>
    <t>BOLDEN SAMUEL SR &amp; CARLEENE</t>
  </si>
  <si>
    <t>1752 DAYTONA LAN</t>
  </si>
  <si>
    <t>273.83</t>
  </si>
  <si>
    <t>262.29</t>
  </si>
  <si>
    <t>240.55</t>
  </si>
  <si>
    <t>1355</t>
  </si>
  <si>
    <t>202.63</t>
  </si>
  <si>
    <t>1457</t>
  </si>
  <si>
    <t>2598</t>
  </si>
  <si>
    <t>240.66</t>
  </si>
  <si>
    <t>1924</t>
  </si>
  <si>
    <t>217.11</t>
  </si>
  <si>
    <t>12/28/2010</t>
  </si>
  <si>
    <t>42-2N-27-4310-0009-0000</t>
  </si>
  <si>
    <t>422N27431000090000</t>
  </si>
  <si>
    <t>86139 YANIE RD</t>
  </si>
  <si>
    <t>372.54</t>
  </si>
  <si>
    <t>358.41</t>
  </si>
  <si>
    <t>327.94</t>
  </si>
  <si>
    <t>274.86</t>
  </si>
  <si>
    <t>1458</t>
  </si>
  <si>
    <t>278.02</t>
  </si>
  <si>
    <t>2599</t>
  </si>
  <si>
    <t>331.34</t>
  </si>
  <si>
    <t>1925</t>
  </si>
  <si>
    <t>299.18</t>
  </si>
  <si>
    <t>42-2N-27-4320-0005-0030</t>
  </si>
  <si>
    <t>422N27432000050030</t>
  </si>
  <si>
    <t>86021 HENDERSON AVE</t>
  </si>
  <si>
    <t>511.45</t>
  </si>
  <si>
    <t>518.21</t>
  </si>
  <si>
    <t>1053.59</t>
  </si>
  <si>
    <t>904.82</t>
  </si>
  <si>
    <t>917.91</t>
  </si>
  <si>
    <t>957.18</t>
  </si>
  <si>
    <t>963.49</t>
  </si>
  <si>
    <t>1041.82</t>
  </si>
  <si>
    <t>42-2N-27-4340-0003-0020</t>
  </si>
  <si>
    <t>422N27434000030020</t>
  </si>
  <si>
    <t>85938 NORTH HARTS RD</t>
  </si>
  <si>
    <t>49500</t>
  </si>
  <si>
    <t>REEVES ANGELA E</t>
  </si>
  <si>
    <t>85938 NORTH HARTS R</t>
  </si>
  <si>
    <t>PT BLKS 3 &amp; 4 PAR 3-2</t>
  </si>
  <si>
    <t>970.59</t>
  </si>
  <si>
    <t>11/14/2011</t>
  </si>
  <si>
    <t>42-2N-27-4340-0011-0000</t>
  </si>
  <si>
    <t>422N27434000110000</t>
  </si>
  <si>
    <t>106 HARTS RD</t>
  </si>
  <si>
    <t>1.63</t>
  </si>
  <si>
    <t>20252.00</t>
  </si>
  <si>
    <t>11/22/2013</t>
  </si>
  <si>
    <t>DANIEL ROBERT K III</t>
  </si>
  <si>
    <t>86150 HAYLEY P</t>
  </si>
  <si>
    <t>PT BLKS 11,12,13 &amp; PT ABND R/W</t>
  </si>
  <si>
    <t>466.74</t>
  </si>
  <si>
    <t>10/06/2017</t>
  </si>
  <si>
    <t>472.42</t>
  </si>
  <si>
    <t>474.70</t>
  </si>
  <si>
    <t>361.11</t>
  </si>
  <si>
    <t>2602</t>
  </si>
  <si>
    <t>433.23</t>
  </si>
  <si>
    <t>08/14/2012</t>
  </si>
  <si>
    <t>42-2N-27-4340-0011-0030</t>
  </si>
  <si>
    <t>422N27434000110030</t>
  </si>
  <si>
    <t>86150 HAYLEY PL</t>
  </si>
  <si>
    <t>1.67</t>
  </si>
  <si>
    <t>26022.00</t>
  </si>
  <si>
    <t>PURCHASE MONEY MORTGAGE</t>
  </si>
  <si>
    <t>08/29/2010</t>
  </si>
  <si>
    <t>PT BLKS 11,12,PT ABND R/W &amp; PT</t>
  </si>
  <si>
    <t>792.71</t>
  </si>
  <si>
    <t>806.44</t>
  </si>
  <si>
    <t>792.94</t>
  </si>
  <si>
    <t>737.66</t>
  </si>
  <si>
    <t>2603</t>
  </si>
  <si>
    <t>882.15</t>
  </si>
  <si>
    <t>2099</t>
  </si>
  <si>
    <t>1086.63</t>
  </si>
  <si>
    <t>08/19/2011</t>
  </si>
  <si>
    <t>42-2N-27-4340-0014-0000</t>
  </si>
  <si>
    <t>422N27434000140000</t>
  </si>
  <si>
    <t>MORGAN RUSSELL JR</t>
  </si>
  <si>
    <t>463106 STATE ROAD 20</t>
  </si>
  <si>
    <t>2101.98</t>
  </si>
  <si>
    <t>2032.11</t>
  </si>
  <si>
    <t>1908.90</t>
  </si>
  <si>
    <t>1461</t>
  </si>
  <si>
    <t>1932.50</t>
  </si>
  <si>
    <t>2605</t>
  </si>
  <si>
    <t>1957.92</t>
  </si>
  <si>
    <t>2184.77</t>
  </si>
  <si>
    <t>1930</t>
  </si>
  <si>
    <t>2455.25</t>
  </si>
  <si>
    <t>42-2N-27-4350-0008-0000</t>
  </si>
  <si>
    <t>422N27435000080000</t>
  </si>
  <si>
    <t>86011 CARR VILLAGE RD</t>
  </si>
  <si>
    <t>NORTH AMERICAN MTG</t>
  </si>
  <si>
    <t>LITTLES JEANIE M</t>
  </si>
  <si>
    <t>410 JACKSON AV</t>
  </si>
  <si>
    <t>Palatka</t>
  </si>
  <si>
    <t>32177</t>
  </si>
  <si>
    <t>LOTS 8 &amp; 15</t>
  </si>
  <si>
    <t>1384.92</t>
  </si>
  <si>
    <t>1416.66</t>
  </si>
  <si>
    <t>1288.41</t>
  </si>
  <si>
    <t>42-2N-27-4350-0010-0000</t>
  </si>
  <si>
    <t>86047 CARR VILLAGE RD</t>
  </si>
  <si>
    <t>LEGGETT REGINA DIANE</t>
  </si>
  <si>
    <t>LOTS 10 &amp; 13 &amp; PT OF LOT 14</t>
  </si>
  <si>
    <t>42-2N-27-4350-0017-0000</t>
  </si>
  <si>
    <t>422N27435000170000</t>
  </si>
  <si>
    <t>DUNCAN RD</t>
  </si>
  <si>
    <t>CLINT L DAVIS</t>
  </si>
  <si>
    <t>DAVIS MARVIN R EST</t>
  </si>
  <si>
    <t>303 CENTRE ST STE 20</t>
  </si>
  <si>
    <t>285.57</t>
  </si>
  <si>
    <t>258.69</t>
  </si>
  <si>
    <t>1363</t>
  </si>
  <si>
    <t>223.56</t>
  </si>
  <si>
    <t>1463</t>
  </si>
  <si>
    <t>213.33</t>
  </si>
  <si>
    <t>2608</t>
  </si>
  <si>
    <t>326.23</t>
  </si>
  <si>
    <t>2104</t>
  </si>
  <si>
    <t>309.80</t>
  </si>
  <si>
    <t>1933</t>
  </si>
  <si>
    <t>290.90</t>
  </si>
  <si>
    <t>42-2N-27-4350-0018-0000</t>
  </si>
  <si>
    <t>422N27435000180000</t>
  </si>
  <si>
    <t>LOT 18</t>
  </si>
  <si>
    <t>2609</t>
  </si>
  <si>
    <t>2105</t>
  </si>
  <si>
    <t>09/03/2013</t>
  </si>
  <si>
    <t>1934</t>
  </si>
  <si>
    <t>280.44</t>
  </si>
  <si>
    <t>42-2N-27-4350-0019-0000</t>
  </si>
  <si>
    <t>422N27435000190000</t>
  </si>
  <si>
    <t>86065 DUNCAN RD</t>
  </si>
  <si>
    <t>376.57</t>
  </si>
  <si>
    <t>360.03</t>
  </si>
  <si>
    <t>305.63</t>
  </si>
  <si>
    <t>1465</t>
  </si>
  <si>
    <t>296.10</t>
  </si>
  <si>
    <t>2610</t>
  </si>
  <si>
    <t>424.13</t>
  </si>
  <si>
    <t>2106</t>
  </si>
  <si>
    <t>414.34</t>
  </si>
  <si>
    <t>1935</t>
  </si>
  <si>
    <t>636.67</t>
  </si>
  <si>
    <t>42-2N-27-4350-0020-0000</t>
  </si>
  <si>
    <t>422N27435000200000</t>
  </si>
  <si>
    <t>86058 SOWELL RD</t>
  </si>
  <si>
    <t>TURNER REBECCA A &amp;</t>
  </si>
  <si>
    <t>86058 SOWELL R</t>
  </si>
  <si>
    <t>LOT 20 (F/K/A PAR 57-3)</t>
  </si>
  <si>
    <t>466.75</t>
  </si>
  <si>
    <t>390.39</t>
  </si>
  <si>
    <t>432.26</t>
  </si>
  <si>
    <t>574.83</t>
  </si>
  <si>
    <t>2107</t>
  </si>
  <si>
    <t>577.24</t>
  </si>
  <si>
    <t>1936</t>
  </si>
  <si>
    <t>526.14</t>
  </si>
  <si>
    <t>42-2N-27-4350-0021-0000</t>
  </si>
  <si>
    <t>422N27435000210000</t>
  </si>
  <si>
    <t>86050 DUKE RD</t>
  </si>
  <si>
    <t>661.73</t>
  </si>
  <si>
    <t>642.41</t>
  </si>
  <si>
    <t>04/25/2018</t>
  </si>
  <si>
    <t>587.65</t>
  </si>
  <si>
    <t>478.30</t>
  </si>
  <si>
    <t>473.84</t>
  </si>
  <si>
    <t>2612</t>
  </si>
  <si>
    <t>628.31</t>
  </si>
  <si>
    <t>634.54</t>
  </si>
  <si>
    <t>1937</t>
  </si>
  <si>
    <t>687.42</t>
  </si>
  <si>
    <t>09/05/2012</t>
  </si>
  <si>
    <t>42-2N-27-4350-0022-0000</t>
  </si>
  <si>
    <t>422N27435000220000</t>
  </si>
  <si>
    <t>86030 DUKE RD</t>
  </si>
  <si>
    <t>881.76</t>
  </si>
  <si>
    <t>859.02</t>
  </si>
  <si>
    <t>785.80</t>
  </si>
  <si>
    <t>594.59</t>
  </si>
  <si>
    <t>1468</t>
  </si>
  <si>
    <t>590.56</t>
  </si>
  <si>
    <t>2613</t>
  </si>
  <si>
    <t>734.23</t>
  </si>
  <si>
    <t>42-2N-27-435H-0231-0000</t>
  </si>
  <si>
    <t>86263 SAND HICKORY TRL</t>
  </si>
  <si>
    <t>265000</t>
  </si>
  <si>
    <t>109875.00</t>
  </si>
  <si>
    <t>11/01/2024</t>
  </si>
  <si>
    <t>GUINN PATRICIA M</t>
  </si>
  <si>
    <t>LOT 231</t>
  </si>
  <si>
    <t>42-2N-27-4360-0010-0000</t>
  </si>
  <si>
    <t>422N27436000100000</t>
  </si>
  <si>
    <t>85129 WINONA BAYVIEW RD</t>
  </si>
  <si>
    <t>MYERS BONNIE FAYE</t>
  </si>
  <si>
    <t>85129 WINONA BAYVIEW R</t>
  </si>
  <si>
    <t>LOT 10 &amp; S65' OF LOT 12</t>
  </si>
  <si>
    <t>539.97</t>
  </si>
  <si>
    <t>04/05/2018</t>
  </si>
  <si>
    <t>551.41</t>
  </si>
  <si>
    <t>171.45</t>
  </si>
  <si>
    <t>2838</t>
  </si>
  <si>
    <t>141.12</t>
  </si>
  <si>
    <t>05/21/2014</t>
  </si>
  <si>
    <t>42-2N-27-437S-0007-0000</t>
  </si>
  <si>
    <t>422N27437S00070000</t>
  </si>
  <si>
    <t>85205 WINONA BAYVIEW RD</t>
  </si>
  <si>
    <t>69215.00</t>
  </si>
  <si>
    <t>08/15/2030</t>
  </si>
  <si>
    <t>DONALDSON CAROLYN R</t>
  </si>
  <si>
    <t>85205 WINONA BAYVIEW R</t>
  </si>
  <si>
    <t>475.54</t>
  </si>
  <si>
    <t>479.45</t>
  </si>
  <si>
    <t>502.59</t>
  </si>
  <si>
    <t>1371</t>
  </si>
  <si>
    <t>506.98</t>
  </si>
  <si>
    <t>12/08/2015</t>
  </si>
  <si>
    <t>1471</t>
  </si>
  <si>
    <t>567.90</t>
  </si>
  <si>
    <t>549.03</t>
  </si>
  <si>
    <t>42-2N-27-4380-0001-0010</t>
  </si>
  <si>
    <t>422N27438000010010</t>
  </si>
  <si>
    <t>LASSERRE CURTISS H TRUSTEE OF</t>
  </si>
  <si>
    <t>PO BOX 653</t>
  </si>
  <si>
    <t>BLOCK 1 LOTS 1 THRU 10 INC</t>
  </si>
  <si>
    <t>42-2N-27-4380-0002-0100</t>
  </si>
  <si>
    <t>85186 TRINITY CIR</t>
  </si>
  <si>
    <t>11500</t>
  </si>
  <si>
    <t>GRAHAM SHELVIA J EST</t>
  </si>
  <si>
    <t>85186 TRINITY CIRCL</t>
  </si>
  <si>
    <t>93.61</t>
  </si>
  <si>
    <t>2565</t>
  </si>
  <si>
    <t>73.09</t>
  </si>
  <si>
    <t>06/16/2014</t>
  </si>
  <si>
    <t>42-2N-27-438U-0006-0000</t>
  </si>
  <si>
    <t>422N27438U00060000</t>
  </si>
  <si>
    <t>COMMERCIAL PARK DR</t>
  </si>
  <si>
    <t>HOLLAND DEBBIE</t>
  </si>
  <si>
    <t>64 N 15TH STREE</t>
  </si>
  <si>
    <t>1368.40</t>
  </si>
  <si>
    <t>05/13/2016</t>
  </si>
  <si>
    <t>1296.40</t>
  </si>
  <si>
    <t>11/19/2015</t>
  </si>
  <si>
    <t>1474</t>
  </si>
  <si>
    <t>1312.33</t>
  </si>
  <si>
    <t>2619</t>
  </si>
  <si>
    <t>1439.44</t>
  </si>
  <si>
    <t>08/09/2013</t>
  </si>
  <si>
    <t>2118</t>
  </si>
  <si>
    <t>1402.10</t>
  </si>
  <si>
    <t>42-2N-27-438U-0007-0000</t>
  </si>
  <si>
    <t>422N27438U00070000</t>
  </si>
  <si>
    <t>85082 COMMERCIAL PARK DR</t>
  </si>
  <si>
    <t>COLLEGES</t>
  </si>
  <si>
    <t>10250</t>
  </si>
  <si>
    <t>CITIZENS ST BK</t>
  </si>
  <si>
    <t>406250.00</t>
  </si>
  <si>
    <t>09/04/2009</t>
  </si>
  <si>
    <t>05/04/2020</t>
  </si>
  <si>
    <t>SECOND AMENDMENT INC</t>
  </si>
  <si>
    <t>Government Owner</t>
  </si>
  <si>
    <t>2410 SAFE HARBOR LAN</t>
  </si>
  <si>
    <t>5251.12</t>
  </si>
  <si>
    <t>8986.86</t>
  </si>
  <si>
    <t>08/17/2011</t>
  </si>
  <si>
    <t>42-2N-27-438U-0009-0000</t>
  </si>
  <si>
    <t>422N27438U00090000</t>
  </si>
  <si>
    <t>85049 COMMERCIAL PARK DR</t>
  </si>
  <si>
    <t>7203</t>
  </si>
  <si>
    <t>480000.00</t>
  </si>
  <si>
    <t>06/08/2007</t>
  </si>
  <si>
    <t>STEVENSON COLLISION CENTER INC</t>
  </si>
  <si>
    <t>85049 COMMERICIAL PARK DRIV</t>
  </si>
  <si>
    <t>6365.89</t>
  </si>
  <si>
    <t>6446.85</t>
  </si>
  <si>
    <t>09/15/2016</t>
  </si>
  <si>
    <t>1303</t>
  </si>
  <si>
    <t>5089.59</t>
  </si>
  <si>
    <t>4872.39</t>
  </si>
  <si>
    <t>07/01/2015</t>
  </si>
  <si>
    <t>4959.10</t>
  </si>
  <si>
    <t>2620</t>
  </si>
  <si>
    <t>5224.06</t>
  </si>
  <si>
    <t>2119</t>
  </si>
  <si>
    <t>5302.53</t>
  </si>
  <si>
    <t>5469.74</t>
  </si>
  <si>
    <t>42-2N-27-438U-0010-0000</t>
  </si>
  <si>
    <t>422N27438U00100000</t>
  </si>
  <si>
    <t>141800.00</t>
  </si>
  <si>
    <t>85049 COMMERCIAL PARK DRIV</t>
  </si>
  <si>
    <t>1879.85</t>
  </si>
  <si>
    <t>1919.84</t>
  </si>
  <si>
    <t>1929.45</t>
  </si>
  <si>
    <t>1827.45</t>
  </si>
  <si>
    <t>1850.02</t>
  </si>
  <si>
    <t>2621</t>
  </si>
  <si>
    <t>2246.00</t>
  </si>
  <si>
    <t>2120</t>
  </si>
  <si>
    <t>2257.25</t>
  </si>
  <si>
    <t>2705.12</t>
  </si>
  <si>
    <t>42-2N-27-4400-0003-0200</t>
  </si>
  <si>
    <t>422N27440000030200</t>
  </si>
  <si>
    <t>86798 HESTER DR</t>
  </si>
  <si>
    <t>24700</t>
  </si>
  <si>
    <t>85911.00</t>
  </si>
  <si>
    <t>03/30/2007</t>
  </si>
  <si>
    <t>STRUBLE RONALD JOE &amp; DEBORAH L</t>
  </si>
  <si>
    <t>BOX 140</t>
  </si>
  <si>
    <t>BLOCK 3 LOT 20</t>
  </si>
  <si>
    <t>369.03</t>
  </si>
  <si>
    <t>366.95</t>
  </si>
  <si>
    <t>333.59</t>
  </si>
  <si>
    <t>263.76</t>
  </si>
  <si>
    <t>42-2N-27-4400-0004-0010</t>
  </si>
  <si>
    <t>85191 AUSMUS AVE</t>
  </si>
  <si>
    <t>0.38</t>
  </si>
  <si>
    <t>1300000</t>
  </si>
  <si>
    <t>150220.00</t>
  </si>
  <si>
    <t>MCNULTY MATTHEW J &amp; AMANDA R</t>
  </si>
  <si>
    <t>232 LAKE FOREST SOUTH D</t>
  </si>
  <si>
    <t>BLOCK 4 LOTS 1 &amp; 21</t>
  </si>
  <si>
    <t>42-2N-27-4460-0001-0000</t>
  </si>
  <si>
    <t>422N27446000010000</t>
  </si>
  <si>
    <t>85125 RADIO AVE</t>
  </si>
  <si>
    <t>4235</t>
  </si>
  <si>
    <t>142800</t>
  </si>
  <si>
    <t>CRUMP LESLIE L</t>
  </si>
  <si>
    <t>85125 RADIO AV</t>
  </si>
  <si>
    <t>2702.82</t>
  </si>
  <si>
    <t>2563.08</t>
  </si>
  <si>
    <t>42-2N-27-4460-0027-0000</t>
  </si>
  <si>
    <t>422N27446000270000</t>
  </si>
  <si>
    <t>85051 CONDOR LN</t>
  </si>
  <si>
    <t>1947</t>
  </si>
  <si>
    <t>MOORE LINDA M &amp; DAVID C</t>
  </si>
  <si>
    <t>BOX 106</t>
  </si>
  <si>
    <t>42-2N-27-4460-0028-0000</t>
  </si>
  <si>
    <t>422N27446000280000</t>
  </si>
  <si>
    <t>CONDOR LN</t>
  </si>
  <si>
    <t>MOORE DAVID C &amp; LINDA (JT/RS)</t>
  </si>
  <si>
    <t>42-2N-27-4487-0004-0000</t>
  </si>
  <si>
    <t>422N27448700040000</t>
  </si>
  <si>
    <t>85537 NORTH HARTS RD</t>
  </si>
  <si>
    <t>MUHS KENNETH M &amp; FLORENCE L</t>
  </si>
  <si>
    <t>85537 NORTH HARTS R</t>
  </si>
  <si>
    <t>LOT 4         IN OR 745/223</t>
  </si>
  <si>
    <t>848.14</t>
  </si>
  <si>
    <t>860.53</t>
  </si>
  <si>
    <t>827.18</t>
  </si>
  <si>
    <t>1490</t>
  </si>
  <si>
    <t>862.42</t>
  </si>
  <si>
    <t>2635</t>
  </si>
  <si>
    <t>964.00</t>
  </si>
  <si>
    <t>2133</t>
  </si>
  <si>
    <t>1117.06</t>
  </si>
  <si>
    <t>42-2N-27-4487-0013-0000</t>
  </si>
  <si>
    <t>422N27448700130000</t>
  </si>
  <si>
    <t>85020 PEACOCK CT</t>
  </si>
  <si>
    <t>51000</t>
  </si>
  <si>
    <t>BRIAN T HESSENAUER</t>
  </si>
  <si>
    <t>36618.00</t>
  </si>
  <si>
    <t>HESSENAUER BRIAN T &amp; PHYLLIS</t>
  </si>
  <si>
    <t>LOT 13  (EX S-1 &amp; S-2)</t>
  </si>
  <si>
    <t>695.77</t>
  </si>
  <si>
    <t>699.22</t>
  </si>
  <si>
    <t>634.51</t>
  </si>
  <si>
    <t>696.18</t>
  </si>
  <si>
    <t>712.57</t>
  </si>
  <si>
    <t>2638</t>
  </si>
  <si>
    <t>851.53</t>
  </si>
  <si>
    <t>2136</t>
  </si>
  <si>
    <t>1017.82</t>
  </si>
  <si>
    <t>1045.05</t>
  </si>
  <si>
    <t>42-2N-27-4487-0032-0000</t>
  </si>
  <si>
    <t>85488 NORTH HARTS RD</t>
  </si>
  <si>
    <t>PETERSON CLAYTON R &amp; KIMBERLY</t>
  </si>
  <si>
    <t>85488 HARTS R</t>
  </si>
  <si>
    <t>LOT 32 (EX S-1)</t>
  </si>
  <si>
    <t>1077.21</t>
  </si>
  <si>
    <t>42-2N-27-4487-0033-0000</t>
  </si>
  <si>
    <t>422N27448700330000</t>
  </si>
  <si>
    <t>85494 NORTH HARTS RD</t>
  </si>
  <si>
    <t>2.06</t>
  </si>
  <si>
    <t>7395.00</t>
  </si>
  <si>
    <t>10/16/1998</t>
  </si>
  <si>
    <t>HOWARD CONNIE C STEVENS &amp;</t>
  </si>
  <si>
    <t>85494 NORTH HARTS ROA</t>
  </si>
  <si>
    <t>LOT 33 (EX S-1)</t>
  </si>
  <si>
    <t>592.76</t>
  </si>
  <si>
    <t>602.03</t>
  </si>
  <si>
    <t>612.59</t>
  </si>
  <si>
    <t>631.36</t>
  </si>
  <si>
    <t>1495</t>
  </si>
  <si>
    <t>629.83</t>
  </si>
  <si>
    <t>2641</t>
  </si>
  <si>
    <t>617.69</t>
  </si>
  <si>
    <t>2138</t>
  </si>
  <si>
    <t>609.98</t>
  </si>
  <si>
    <t>593.19</t>
  </si>
  <si>
    <t>42-2N-27-4487-0033-0010</t>
  </si>
  <si>
    <t>422N27448700330010</t>
  </si>
  <si>
    <t>85498 NORTH HARTS RD</t>
  </si>
  <si>
    <t>13000</t>
  </si>
  <si>
    <t>HOWARD LORRAINE R EST</t>
  </si>
  <si>
    <t>BOX 173</t>
  </si>
  <si>
    <t>PT OF LOT 33 (S-1)</t>
  </si>
  <si>
    <t>566.29</t>
  </si>
  <si>
    <t>02/25/2018</t>
  </si>
  <si>
    <t>572.13</t>
  </si>
  <si>
    <t>620.51</t>
  </si>
  <si>
    <t>1496</t>
  </si>
  <si>
    <t>646.63</t>
  </si>
  <si>
    <t>2139</t>
  </si>
  <si>
    <t>907.79</t>
  </si>
  <si>
    <t>42-2N-27-4490-0004-0000</t>
  </si>
  <si>
    <t>422N27449000040000</t>
  </si>
  <si>
    <t>85101 WINDY OAKS LN</t>
  </si>
  <si>
    <t>1420</t>
  </si>
  <si>
    <t>59156.00</t>
  </si>
  <si>
    <t>10/07/2004</t>
  </si>
  <si>
    <t>HESSENAUER JAMES P &amp;</t>
  </si>
  <si>
    <t>85101 WINDY OAKS LAN</t>
  </si>
  <si>
    <t>771.24</t>
  </si>
  <si>
    <t>2140</t>
  </si>
  <si>
    <t>1043.19</t>
  </si>
  <si>
    <t>10/26/2011</t>
  </si>
  <si>
    <t>42-2N-27-4500-0008-0030</t>
  </si>
  <si>
    <t>85049 WILSON ST</t>
  </si>
  <si>
    <t>1.17</t>
  </si>
  <si>
    <t>LAYDEN HARRIETT LORRAINE</t>
  </si>
  <si>
    <t>606 VENGEANCE CREEK R</t>
  </si>
  <si>
    <t>Marble</t>
  </si>
  <si>
    <t>28905</t>
  </si>
  <si>
    <t>PT OF LOT 8 (S-3 &amp; S-4)</t>
  </si>
  <si>
    <t>42-2N-27-4500-0009-0060</t>
  </si>
  <si>
    <t>85102 AIRPLANE LN</t>
  </si>
  <si>
    <t>1.55</t>
  </si>
  <si>
    <t>3924</t>
  </si>
  <si>
    <t>CRAWFORD ALVIN ODEN L/E</t>
  </si>
  <si>
    <t>85102 AIRPLANE R</t>
  </si>
  <si>
    <t>PT OF LOT 9</t>
  </si>
  <si>
    <t>725.34</t>
  </si>
  <si>
    <t>12/15/2017</t>
  </si>
  <si>
    <t>42-2N-27-4500-0010-0010</t>
  </si>
  <si>
    <t>85208 HARTS RD</t>
  </si>
  <si>
    <t>WILLIAM D FORDE JR ETAL</t>
  </si>
  <si>
    <t>ROBERTS JASON DARRELL</t>
  </si>
  <si>
    <t>85208 HARTS R</t>
  </si>
  <si>
    <t>42-2N-27-4500-0010-0030</t>
  </si>
  <si>
    <t>422N27450000100030</t>
  </si>
  <si>
    <t>85202 HARTS RD</t>
  </si>
  <si>
    <t>LEHMAN BROTHERS BANK FSB</t>
  </si>
  <si>
    <t>02/01/2036</t>
  </si>
  <si>
    <t>CHANCEY DANIEL JR</t>
  </si>
  <si>
    <t>85202 HARTS R</t>
  </si>
  <si>
    <t>1353.05</t>
  </si>
  <si>
    <t>1390.48</t>
  </si>
  <si>
    <t>01/21/2017</t>
  </si>
  <si>
    <t>1309.47</t>
  </si>
  <si>
    <t>719.07</t>
  </si>
  <si>
    <t>42-2N-27-4500-0022-0040</t>
  </si>
  <si>
    <t>422N27-45000022-0040</t>
  </si>
  <si>
    <t>85050 MYRTICE RD</t>
  </si>
  <si>
    <t>9.06</t>
  </si>
  <si>
    <t>160000.00</t>
  </si>
  <si>
    <t>07/20/2004</t>
  </si>
  <si>
    <t>SHAVERS JAMES DOUGLAS EST</t>
  </si>
  <si>
    <t>85050 MYRTICE R</t>
  </si>
  <si>
    <t>PT OF LOTS 22 &amp; 23 (S-4 &amp; S-5)</t>
  </si>
  <si>
    <t>1128.40</t>
  </si>
  <si>
    <t>1213.04</t>
  </si>
  <si>
    <t>42-2N-27-4540-0011-0010</t>
  </si>
  <si>
    <t>422N27454000110010</t>
  </si>
  <si>
    <t>85086 PATCHES LN</t>
  </si>
  <si>
    <t>6.44</t>
  </si>
  <si>
    <t>5516</t>
  </si>
  <si>
    <t>LUTHER DAROUJ</t>
  </si>
  <si>
    <t>06/24/2031</t>
  </si>
  <si>
    <t>MELISSA ACRES LLC</t>
  </si>
  <si>
    <t>3416 SEA MARSH R</t>
  </si>
  <si>
    <t>N1/2 OF LOTS 11 12 &amp; 13</t>
  </si>
  <si>
    <t>3925.64</t>
  </si>
  <si>
    <t>2645</t>
  </si>
  <si>
    <t>4144.61</t>
  </si>
  <si>
    <t>4195.52</t>
  </si>
  <si>
    <t>5078.79</t>
  </si>
  <si>
    <t>42-2N-27-4540-0014-0020</t>
  </si>
  <si>
    <t>422N27454000140020</t>
  </si>
  <si>
    <t>85123 TELEPHONE LN</t>
  </si>
  <si>
    <t>6.96</t>
  </si>
  <si>
    <t>255000</t>
  </si>
  <si>
    <t>CAROLYN A SYLVESTER</t>
  </si>
  <si>
    <t>245000.00</t>
  </si>
  <si>
    <t>STEPHENS TIMOTHY &amp; LEE ANNE</t>
  </si>
  <si>
    <t>85123 TELEPHONE L</t>
  </si>
  <si>
    <t>PT OF LOTS 14 &amp; 15 (S-2 &amp; S-4)</t>
  </si>
  <si>
    <t>2782.95</t>
  </si>
  <si>
    <t>2854.10</t>
  </si>
  <si>
    <t>09/29/2017</t>
  </si>
  <si>
    <t>2593.41</t>
  </si>
  <si>
    <t>07/22/2016</t>
  </si>
  <si>
    <t>42-2N-27-4540-0015-0010</t>
  </si>
  <si>
    <t>422N27454000150010</t>
  </si>
  <si>
    <t>ALENE RD</t>
  </si>
  <si>
    <t>135000</t>
  </si>
  <si>
    <t>VERA KEVIN</t>
  </si>
  <si>
    <t>6122 HECKSCHER DRIV</t>
  </si>
  <si>
    <t>PT OF LOT 15 (S-1)</t>
  </si>
  <si>
    <t>1042.31</t>
  </si>
  <si>
    <t>08/22/2014</t>
  </si>
  <si>
    <t>1004.77</t>
  </si>
  <si>
    <t>1561.39</t>
  </si>
  <si>
    <t>1721.25</t>
  </si>
  <si>
    <t>42-2N-27-4600-0007-0010</t>
  </si>
  <si>
    <t>422N27460000070010</t>
  </si>
  <si>
    <t>86071 DORSEY LN</t>
  </si>
  <si>
    <t xml:space="preserve"> STERLING LENDING CORP</t>
  </si>
  <si>
    <t>10/01/1998</t>
  </si>
  <si>
    <t>MCCORMICK CHRISTOPHER W &amp;</t>
  </si>
  <si>
    <t>86071 DORSEY LAN</t>
  </si>
  <si>
    <t>PT OF LOT 7</t>
  </si>
  <si>
    <t>849.06</t>
  </si>
  <si>
    <t>963.15</t>
  </si>
  <si>
    <t>848.48</t>
  </si>
  <si>
    <t>1398</t>
  </si>
  <si>
    <t>1051.08</t>
  </si>
  <si>
    <t>1504</t>
  </si>
  <si>
    <t>1078.41</t>
  </si>
  <si>
    <t>2647</t>
  </si>
  <si>
    <t>1268.56</t>
  </si>
  <si>
    <t>1424.43</t>
  </si>
  <si>
    <t>1499.25</t>
  </si>
  <si>
    <t>42-2N-27-4610-0016-0000</t>
  </si>
  <si>
    <t>85535 HADDOCK RD</t>
  </si>
  <si>
    <t>2447</t>
  </si>
  <si>
    <t>CHANCEY DANIEL B SR</t>
  </si>
  <si>
    <t>85528 HADDOCK ROA</t>
  </si>
  <si>
    <t>42-2N-27-4612-0002-0170</t>
  </si>
  <si>
    <t>422N27461200020170</t>
  </si>
  <si>
    <t>85134 THERESA RD</t>
  </si>
  <si>
    <t>ROBERT SMITH</t>
  </si>
  <si>
    <t>02/07/2005</t>
  </si>
  <si>
    <t>YARBROUGH JAMES C</t>
  </si>
  <si>
    <t>85134 THERESA R</t>
  </si>
  <si>
    <t>BLOCK 2 LOT 17</t>
  </si>
  <si>
    <t>64.92</t>
  </si>
  <si>
    <t>54.11</t>
  </si>
  <si>
    <t>2570</t>
  </si>
  <si>
    <t>159.97</t>
  </si>
  <si>
    <t>07/12/2014</t>
  </si>
  <si>
    <t>2843</t>
  </si>
  <si>
    <t>165.46</t>
  </si>
  <si>
    <t>279.62</t>
  </si>
  <si>
    <t>2161</t>
  </si>
  <si>
    <t>310.49</t>
  </si>
  <si>
    <t>290.64</t>
  </si>
  <si>
    <t>42-2N-27-4612-0002-0230</t>
  </si>
  <si>
    <t>422N27461200020230</t>
  </si>
  <si>
    <t>85052 THERESA RD</t>
  </si>
  <si>
    <t>WILLIAMS JEREMIAH P &amp; CARRIE</t>
  </si>
  <si>
    <t>85052 THERESA ROA</t>
  </si>
  <si>
    <t>BLOCK 2 LOT 23</t>
  </si>
  <si>
    <t>523.86</t>
  </si>
  <si>
    <t>482.71</t>
  </si>
  <si>
    <t>451.01</t>
  </si>
  <si>
    <t>428.25</t>
  </si>
  <si>
    <t>1510</t>
  </si>
  <si>
    <t>433.62</t>
  </si>
  <si>
    <t>03/25/2015</t>
  </si>
  <si>
    <t>2654</t>
  </si>
  <si>
    <t>516.45</t>
  </si>
  <si>
    <t>727.37</t>
  </si>
  <si>
    <t>42-2N-27-4612-0002-0320</t>
  </si>
  <si>
    <t>422N27461200020320</t>
  </si>
  <si>
    <t>85161 JOANN RD</t>
  </si>
  <si>
    <t>41100</t>
  </si>
  <si>
    <t>SUNSET MORTGAGE COMPANY LP</t>
  </si>
  <si>
    <t>87310.00</t>
  </si>
  <si>
    <t>04/01/2034</t>
  </si>
  <si>
    <t>HERRERA GENEVA M</t>
  </si>
  <si>
    <t>85161 JOANN ROA</t>
  </si>
  <si>
    <t>BLOCK 2 LOT 32</t>
  </si>
  <si>
    <t>347.70</t>
  </si>
  <si>
    <t>06/16/2017</t>
  </si>
  <si>
    <t>387.01</t>
  </si>
  <si>
    <t>07/01/2013</t>
  </si>
  <si>
    <t>2656</t>
  </si>
  <si>
    <t>1085.04</t>
  </si>
  <si>
    <t>2164</t>
  </si>
  <si>
    <t>1167.41</t>
  </si>
  <si>
    <t>42-2N-27-4612-0004-0260</t>
  </si>
  <si>
    <t>85143 THERESA RD</t>
  </si>
  <si>
    <t>CREWS MICHAEL E EST</t>
  </si>
  <si>
    <t>5910 SILKCREST TRAI</t>
  </si>
  <si>
    <t>76017</t>
  </si>
  <si>
    <t>BLOCK 4 LOT 26</t>
  </si>
  <si>
    <t>2659</t>
  </si>
  <si>
    <t>416.65</t>
  </si>
  <si>
    <t>42-2N-27-4612-0004-0300</t>
  </si>
  <si>
    <t>422N27461200040300</t>
  </si>
  <si>
    <t>85199 THERESA RD</t>
  </si>
  <si>
    <t>2294</t>
  </si>
  <si>
    <t>FINANCIAL FREEDOM SENIOR FUNDING CORP</t>
  </si>
  <si>
    <t>232500.00</t>
  </si>
  <si>
    <t>12/01/2074</t>
  </si>
  <si>
    <t>NEVES LACINDA</t>
  </si>
  <si>
    <t>2564 E US RT 3</t>
  </si>
  <si>
    <t>Piqua</t>
  </si>
  <si>
    <t>45356</t>
  </si>
  <si>
    <t>BLOCK 4 LOT 30</t>
  </si>
  <si>
    <t>2660</t>
  </si>
  <si>
    <t>1199.69</t>
  </si>
  <si>
    <t>07/13/2012</t>
  </si>
  <si>
    <t>2169</t>
  </si>
  <si>
    <t>1295.38</t>
  </si>
  <si>
    <t>08/03/2011</t>
  </si>
  <si>
    <t>1514.77</t>
  </si>
  <si>
    <t>42-2N-27-4612-0005-0070</t>
  </si>
  <si>
    <t>422N27461200050070</t>
  </si>
  <si>
    <t>85161 MADELINE RD</t>
  </si>
  <si>
    <t>1.19</t>
  </si>
  <si>
    <t>ROMAN WILLIARD DARDEN EST &amp;</t>
  </si>
  <si>
    <t>85161 MADELINE ROA</t>
  </si>
  <si>
    <t>531.72</t>
  </si>
  <si>
    <t>487.98</t>
  </si>
  <si>
    <t>456.15</t>
  </si>
  <si>
    <t>432.94</t>
  </si>
  <si>
    <t>42-2N-27-4612-0006-0110</t>
  </si>
  <si>
    <t>422N27461200060110</t>
  </si>
  <si>
    <t>85362 JOANN RD</t>
  </si>
  <si>
    <t>2977</t>
  </si>
  <si>
    <t>116250.00</t>
  </si>
  <si>
    <t>12/10/2022</t>
  </si>
  <si>
    <t>BLOCK 6 LOT 11</t>
  </si>
  <si>
    <t>1653.12</t>
  </si>
  <si>
    <t>1759.20</t>
  </si>
  <si>
    <t>1919.95</t>
  </si>
  <si>
    <t>42-2N-27-4612-0007-0110</t>
  </si>
  <si>
    <t>422N27461200070110</t>
  </si>
  <si>
    <t>85534 KIRKLAND RD</t>
  </si>
  <si>
    <t>2143</t>
  </si>
  <si>
    <t>SHEFFIELD CHARLES &amp; GWENDOLYN</t>
  </si>
  <si>
    <t>85534 KIRKLAND R</t>
  </si>
  <si>
    <t>BLOCK 7 LOT 11</t>
  </si>
  <si>
    <t>502.25</t>
  </si>
  <si>
    <t>508.22</t>
  </si>
  <si>
    <t>05/18/2016</t>
  </si>
  <si>
    <t>1408</t>
  </si>
  <si>
    <t>609.82</t>
  </si>
  <si>
    <t>1516</t>
  </si>
  <si>
    <t>633.54</t>
  </si>
  <si>
    <t>2664</t>
  </si>
  <si>
    <t>657.34</t>
  </si>
  <si>
    <t>2172</t>
  </si>
  <si>
    <t>650.41</t>
  </si>
  <si>
    <t>633.94</t>
  </si>
  <si>
    <t>42-2N-27-4612-0007-0200</t>
  </si>
  <si>
    <t>422N27461200070200</t>
  </si>
  <si>
    <t>85228 KIRKLAND RD</t>
  </si>
  <si>
    <t>COFFEY KELLY J &amp;</t>
  </si>
  <si>
    <t>85228 KIRKLAND ROA</t>
  </si>
  <si>
    <t>BLOCK 7 LOT 20</t>
  </si>
  <si>
    <t>454.21</t>
  </si>
  <si>
    <t>1409</t>
  </si>
  <si>
    <t>431.61</t>
  </si>
  <si>
    <t>2665</t>
  </si>
  <si>
    <t>520.38</t>
  </si>
  <si>
    <t>2173</t>
  </si>
  <si>
    <t>606.48</t>
  </si>
  <si>
    <t>724.20</t>
  </si>
  <si>
    <t>42-2N-27-4612-0007-0370</t>
  </si>
  <si>
    <t>422N27461200070370</t>
  </si>
  <si>
    <t>85163 MINER RD</t>
  </si>
  <si>
    <t>CTX MTG</t>
  </si>
  <si>
    <t>73150.00</t>
  </si>
  <si>
    <t>05/01/2032</t>
  </si>
  <si>
    <t>HUNTER ROBERT H &amp; WENDY L</t>
  </si>
  <si>
    <t>85163 MINER R</t>
  </si>
  <si>
    <t>BLOCK 7 LOT 37</t>
  </si>
  <si>
    <t>354.64</t>
  </si>
  <si>
    <t>825.32</t>
  </si>
  <si>
    <t>721.23</t>
  </si>
  <si>
    <t>05/03/2016</t>
  </si>
  <si>
    <t>42-2N-27-4613-0003-0170</t>
  </si>
  <si>
    <t>422N27461300030170</t>
  </si>
  <si>
    <t>85233 RENIA ST</t>
  </si>
  <si>
    <t>ROWELL CHRISTOPHER K &amp;</t>
  </si>
  <si>
    <t>85233 RENIA S</t>
  </si>
  <si>
    <t>BLOCK 3 LOT 17   R378414</t>
  </si>
  <si>
    <t>276.81</t>
  </si>
  <si>
    <t>263.27</t>
  </si>
  <si>
    <t>257.12</t>
  </si>
  <si>
    <t>259.09</t>
  </si>
  <si>
    <t>1521</t>
  </si>
  <si>
    <t>263.32</t>
  </si>
  <si>
    <t>2671</t>
  </si>
  <si>
    <t>683.15</t>
  </si>
  <si>
    <t>2177</t>
  </si>
  <si>
    <t>04/06/2015</t>
  </si>
  <si>
    <t>935.54</t>
  </si>
  <si>
    <t>42-2N-27-4613-0004-0020</t>
  </si>
  <si>
    <t>422N27461300040020</t>
  </si>
  <si>
    <t>85352 DUANE RD</t>
  </si>
  <si>
    <t>1939</t>
  </si>
  <si>
    <t>127000</t>
  </si>
  <si>
    <t>WORLD ALLIANCE FINANCIAL CORP</t>
  </si>
  <si>
    <t>210000.00</t>
  </si>
  <si>
    <t>REVERSE MORTGAGE LENDER</t>
  </si>
  <si>
    <t>03/19/2008</t>
  </si>
  <si>
    <t>02/10/2086</t>
  </si>
  <si>
    <t>DERAWAY JASON L &amp; LORNA J</t>
  </si>
  <si>
    <t>85352 DUANE R</t>
  </si>
  <si>
    <t>855.47</t>
  </si>
  <si>
    <t>1522</t>
  </si>
  <si>
    <t>469.41</t>
  </si>
  <si>
    <t>2672</t>
  </si>
  <si>
    <t>569.23</t>
  </si>
  <si>
    <t>2178</t>
  </si>
  <si>
    <t>607.53</t>
  </si>
  <si>
    <t>06/15/2011</t>
  </si>
  <si>
    <t>42-2N-27-4613-0005-0070</t>
  </si>
  <si>
    <t>422N27461300050070</t>
  </si>
  <si>
    <t>85123 DUANE RD</t>
  </si>
  <si>
    <t>0.82</t>
  </si>
  <si>
    <t>1826</t>
  </si>
  <si>
    <t>ALSPAUGH SCOTT A &amp; TINA H</t>
  </si>
  <si>
    <t>85123 DUANE R</t>
  </si>
  <si>
    <t>BLK 5 PT LOTS 7 &amp; 8 IN</t>
  </si>
  <si>
    <t>508.38</t>
  </si>
  <si>
    <t>514.12</t>
  </si>
  <si>
    <t>513.63</t>
  </si>
  <si>
    <t>558.71</t>
  </si>
  <si>
    <t>1524</t>
  </si>
  <si>
    <t>578.97</t>
  </si>
  <si>
    <t>2675</t>
  </si>
  <si>
    <t>597.39</t>
  </si>
  <si>
    <t>2182</t>
  </si>
  <si>
    <t>649.17</t>
  </si>
  <si>
    <t>2038</t>
  </si>
  <si>
    <t>807.71</t>
  </si>
  <si>
    <t>42-2N-27-4613-0005-0100</t>
  </si>
  <si>
    <t>422N27461300050100</t>
  </si>
  <si>
    <t>85031 DUANE RD</t>
  </si>
  <si>
    <t>LOVE JIMMIE JO</t>
  </si>
  <si>
    <t>490 KEVIN D</t>
  </si>
  <si>
    <t>BLOCK 5 LOT 10    R621636</t>
  </si>
  <si>
    <t>562.57</t>
  </si>
  <si>
    <t>09/16/2016</t>
  </si>
  <si>
    <t>458.39</t>
  </si>
  <si>
    <t>507.99</t>
  </si>
  <si>
    <t>2677</t>
  </si>
  <si>
    <t>635.34</t>
  </si>
  <si>
    <t>722.03</t>
  </si>
  <si>
    <t>06/20/2011</t>
  </si>
  <si>
    <t>42-2N-27-4613-0007-0050</t>
  </si>
  <si>
    <t>422N27461300070050</t>
  </si>
  <si>
    <t>85615 RADIO AVE</t>
  </si>
  <si>
    <t>SCOATES GEORGE R</t>
  </si>
  <si>
    <t>85615 RADIO AVENU</t>
  </si>
  <si>
    <t>566.58</t>
  </si>
  <si>
    <t>555.58</t>
  </si>
  <si>
    <t>479.89</t>
  </si>
  <si>
    <t>561.61</t>
  </si>
  <si>
    <t>1525</t>
  </si>
  <si>
    <t>572.06</t>
  </si>
  <si>
    <t>2678</t>
  </si>
  <si>
    <t>2186</t>
  </si>
  <si>
    <t>779.14</t>
  </si>
  <si>
    <t>936.75</t>
  </si>
  <si>
    <t>42-2N-27-4613-0007-0090</t>
  </si>
  <si>
    <t>85525 RADIO AVE</t>
  </si>
  <si>
    <t>07/01/2019</t>
  </si>
  <si>
    <t>DIPPY NATHAN A</t>
  </si>
  <si>
    <t>7701 BAY MEADOWS CIR W #115</t>
  </si>
  <si>
    <t>BLOCK 7 LOT 9</t>
  </si>
  <si>
    <t>42-2N-27-4613-0008-0190</t>
  </si>
  <si>
    <t>422N27461300080190</t>
  </si>
  <si>
    <t>85165 ASHLEY AVE</t>
  </si>
  <si>
    <t>47066.00</t>
  </si>
  <si>
    <t>12/02/2005</t>
  </si>
  <si>
    <t>HIGHSMITH DANIEL M IV &amp; KAREN</t>
  </si>
  <si>
    <t>85165 ASHLEY AVENU</t>
  </si>
  <si>
    <t>BLOCK 8 LOT 19     R621842</t>
  </si>
  <si>
    <t>266.31</t>
  </si>
  <si>
    <t>1305</t>
  </si>
  <si>
    <t>262.46</t>
  </si>
  <si>
    <t>258.39</t>
  </si>
  <si>
    <t>06/24/2015</t>
  </si>
  <si>
    <t>1418</t>
  </si>
  <si>
    <t>351.24</t>
  </si>
  <si>
    <t>1527</t>
  </si>
  <si>
    <t>369.05</t>
  </si>
  <si>
    <t>2681</t>
  </si>
  <si>
    <t>393.26</t>
  </si>
  <si>
    <t>04/09/2014</t>
  </si>
  <si>
    <t>2188</t>
  </si>
  <si>
    <t>382.48</t>
  </si>
  <si>
    <t>2041</t>
  </si>
  <si>
    <t>360.75</t>
  </si>
  <si>
    <t>42-2N-27-4613-0008-0220</t>
  </si>
  <si>
    <t>422N27461300080220</t>
  </si>
  <si>
    <t>85249 ASHLEY AVE</t>
  </si>
  <si>
    <t>128000</t>
  </si>
  <si>
    <t xml:space="preserve"> NATIONS FINANCIAL INC</t>
  </si>
  <si>
    <t>09/08/1998</t>
  </si>
  <si>
    <t>JONES LARRY K</t>
  </si>
  <si>
    <t>235 TROUT RIVER DRIV</t>
  </si>
  <si>
    <t>BLOCK 8 LOT 22</t>
  </si>
  <si>
    <t>2017.79</t>
  </si>
  <si>
    <t>2032.66</t>
  </si>
  <si>
    <t>1875.23</t>
  </si>
  <si>
    <t>1691.92</t>
  </si>
  <si>
    <t>1528</t>
  </si>
  <si>
    <t>1730.04</t>
  </si>
  <si>
    <t>2682</t>
  </si>
  <si>
    <t>1856.03</t>
  </si>
  <si>
    <t>2189</t>
  </si>
  <si>
    <t>1966.26</t>
  </si>
  <si>
    <t>42-2N-27-4613-0008-0270</t>
  </si>
  <si>
    <t>422N27461300080270</t>
  </si>
  <si>
    <t>85389 ASHLEY AVE</t>
  </si>
  <si>
    <t xml:space="preserve"> WELLS FARGO FINL SYSTEM FL</t>
  </si>
  <si>
    <t>9149.00</t>
  </si>
  <si>
    <t>05/24/2001</t>
  </si>
  <si>
    <t>BROWN BRIAN D &amp; DIANIA L</t>
  </si>
  <si>
    <t>85389 ASHLEY AV</t>
  </si>
  <si>
    <t>BLOCK 8 LOT 27</t>
  </si>
  <si>
    <t>546.06</t>
  </si>
  <si>
    <t>546.43</t>
  </si>
  <si>
    <t>1529</t>
  </si>
  <si>
    <t>557.09</t>
  </si>
  <si>
    <t>2683</t>
  </si>
  <si>
    <t>696.80</t>
  </si>
  <si>
    <t>974.62</t>
  </si>
  <si>
    <t>42-2N-27-4613-0009-0070</t>
  </si>
  <si>
    <t>422N27461300090070</t>
  </si>
  <si>
    <t>85248 ASHLEY AVE</t>
  </si>
  <si>
    <t>MORTGAGE WAREHOUSE</t>
  </si>
  <si>
    <t>56700.00</t>
  </si>
  <si>
    <t>09/22/1998</t>
  </si>
  <si>
    <t>01/01/2028</t>
  </si>
  <si>
    <t>DAVIS MITCHELL W</t>
  </si>
  <si>
    <t>409 FIR S</t>
  </si>
  <si>
    <t>BLOCK 9 L0T 7</t>
  </si>
  <si>
    <t>460.78</t>
  </si>
  <si>
    <t>09/22/2014</t>
  </si>
  <si>
    <t>476.89</t>
  </si>
  <si>
    <t>08/06/2013</t>
  </si>
  <si>
    <t>2685</t>
  </si>
  <si>
    <t>581.37</t>
  </si>
  <si>
    <t>619.39</t>
  </si>
  <si>
    <t>42-2N-27-4613-0009-0080</t>
  </si>
  <si>
    <t>422N27461300090080</t>
  </si>
  <si>
    <t>85222 ASHLEY AVE</t>
  </si>
  <si>
    <t>13800</t>
  </si>
  <si>
    <t>LYNCH-ORTIZ REBEKAH DIANE &amp;</t>
  </si>
  <si>
    <t>85222 ASHLEY A</t>
  </si>
  <si>
    <t>BLOCK 9 LOT 8</t>
  </si>
  <si>
    <t>527.89</t>
  </si>
  <si>
    <t>2194</t>
  </si>
  <si>
    <t>612.38</t>
  </si>
  <si>
    <t>2044</t>
  </si>
  <si>
    <t>738.14</t>
  </si>
  <si>
    <t>42-2N-27-4613-0009-0090</t>
  </si>
  <si>
    <t>422N27461300090090</t>
  </si>
  <si>
    <t>85184 ASHLEY AVE</t>
  </si>
  <si>
    <t>15100</t>
  </si>
  <si>
    <t>YOUMANS JUDITH M BLOUNT EST</t>
  </si>
  <si>
    <t>85184 ASHLEY AV</t>
  </si>
  <si>
    <t>BLOCK 9 LOT 9  1988 OMNI DW/MH</t>
  </si>
  <si>
    <t>135.65</t>
  </si>
  <si>
    <t>148.93</t>
  </si>
  <si>
    <t>108.67</t>
  </si>
  <si>
    <t>278.45</t>
  </si>
  <si>
    <t>1532</t>
  </si>
  <si>
    <t>250.11</t>
  </si>
  <si>
    <t>2686</t>
  </si>
  <si>
    <t>2195</t>
  </si>
  <si>
    <t>402.58</t>
  </si>
  <si>
    <t>11/25/2013</t>
  </si>
  <si>
    <t>2045</t>
  </si>
  <si>
    <t>380.33</t>
  </si>
  <si>
    <t>07/26/2012</t>
  </si>
  <si>
    <t>42-2N-27-4613-0009-0150</t>
  </si>
  <si>
    <t>85024 ASHLEY AVE</t>
  </si>
  <si>
    <t>04/11/2037</t>
  </si>
  <si>
    <t>LIVINGSTON JENNIFER T</t>
  </si>
  <si>
    <t>85024 ASHLEY AV</t>
  </si>
  <si>
    <t>BLOCK 9 LOT 15</t>
  </si>
  <si>
    <t>936.34</t>
  </si>
  <si>
    <t>42-2N-27-4613-0010-0040</t>
  </si>
  <si>
    <t>422N27461300100040</t>
  </si>
  <si>
    <t>85292 ROSE MARIE RD</t>
  </si>
  <si>
    <t>BLAKE RHONDA MOBLEY</t>
  </si>
  <si>
    <t>97289 PIRATES POINT ROA</t>
  </si>
  <si>
    <t>BLOCK 10 LOT 4    R433468</t>
  </si>
  <si>
    <t>710.94</t>
  </si>
  <si>
    <t>12/06/2017</t>
  </si>
  <si>
    <t>720.05</t>
  </si>
  <si>
    <t>618.31</t>
  </si>
  <si>
    <t>07/30/2015</t>
  </si>
  <si>
    <t>767.82</t>
  </si>
  <si>
    <t>784.17</t>
  </si>
  <si>
    <t>06/27/2014</t>
  </si>
  <si>
    <t>2689</t>
  </si>
  <si>
    <t>933.83</t>
  </si>
  <si>
    <t>10/30/2012</t>
  </si>
  <si>
    <t>2198</t>
  </si>
  <si>
    <t>1015.67</t>
  </si>
  <si>
    <t>2047</t>
  </si>
  <si>
    <t>1196.47</t>
  </si>
  <si>
    <t>42-2N-27-4613-0010-0190</t>
  </si>
  <si>
    <t>85221 TINYA RD</t>
  </si>
  <si>
    <t>VARGO DAVID JOSEPH &amp; CAROL S</t>
  </si>
  <si>
    <t>85221 TINYA ROA</t>
  </si>
  <si>
    <t>BLOCK 10 LOT 19</t>
  </si>
  <si>
    <t>42-2N-27-4613-0011-0010</t>
  </si>
  <si>
    <t>422N27461300110010</t>
  </si>
  <si>
    <t>85321 THERESA RD</t>
  </si>
  <si>
    <t>BRUSSELL DON S</t>
  </si>
  <si>
    <t>86378 CALLAWAY ROA</t>
  </si>
  <si>
    <t>BLOCK 11 LOT 1</t>
  </si>
  <si>
    <t>652.02</t>
  </si>
  <si>
    <t>655.73</t>
  </si>
  <si>
    <t>05/26/2017</t>
  </si>
  <si>
    <t>676.24</t>
  </si>
  <si>
    <t>1535</t>
  </si>
  <si>
    <t>643.10</t>
  </si>
  <si>
    <t>42-2N-27-4613-0011-0070</t>
  </si>
  <si>
    <t>422N27461300110070</t>
  </si>
  <si>
    <t>85200 TINYA RD</t>
  </si>
  <si>
    <t>1948</t>
  </si>
  <si>
    <t>JACKSONVILLE FIREMENS CREDIT UNION</t>
  </si>
  <si>
    <t>HUTCHERSON DONALD R &amp; CHERRY L</t>
  </si>
  <si>
    <t>85200 TINYA ROA</t>
  </si>
  <si>
    <t>BLOCK 11 LOT 7</t>
  </si>
  <si>
    <t>1311</t>
  </si>
  <si>
    <t>330.13</t>
  </si>
  <si>
    <t>325.85</t>
  </si>
  <si>
    <t>42-2N-27-4613-0012-0030</t>
  </si>
  <si>
    <t>422N27461300120030</t>
  </si>
  <si>
    <t>85449 BROOKE ST</t>
  </si>
  <si>
    <t>2480</t>
  </si>
  <si>
    <t>MABE FRANCES J</t>
  </si>
  <si>
    <t>85449 BROOKE S</t>
  </si>
  <si>
    <t>BLOCK 12 LOT 3</t>
  </si>
  <si>
    <t>42-2N-27-4614-0001-0040</t>
  </si>
  <si>
    <t>85289 DUANE RD</t>
  </si>
  <si>
    <t>80800.00</t>
  </si>
  <si>
    <t>09/15/2010</t>
  </si>
  <si>
    <t>GROVE NANCY ANN TRUSTEE OF THE</t>
  </si>
  <si>
    <t>96082 PARK PLAC</t>
  </si>
  <si>
    <t>BLOCK 1 LOT 4</t>
  </si>
  <si>
    <t>42-2N-27-4614-0001-0060</t>
  </si>
  <si>
    <t>422N27461400010060</t>
  </si>
  <si>
    <t>85247 DUANE RD</t>
  </si>
  <si>
    <t>102000</t>
  </si>
  <si>
    <t>07/02/2003</t>
  </si>
  <si>
    <t>OLIVER RUBY E</t>
  </si>
  <si>
    <t>85247 DUANE ROA</t>
  </si>
  <si>
    <t>BLOCK 1 LOT 6</t>
  </si>
  <si>
    <t>327.02</t>
  </si>
  <si>
    <t>324.15</t>
  </si>
  <si>
    <t>42-2N-27-4614-0001-0110</t>
  </si>
  <si>
    <t>422N27461400010110</t>
  </si>
  <si>
    <t>85513 ASHLEY AVE</t>
  </si>
  <si>
    <t>HAMILTON GROUP FUNDING INC</t>
  </si>
  <si>
    <t>08/23/2094</t>
  </si>
  <si>
    <t>DAVIS SANDRA A</t>
  </si>
  <si>
    <t>85513 ASHLEY A</t>
  </si>
  <si>
    <t>BLOCK 1 LOT 11</t>
  </si>
  <si>
    <t>561.00</t>
  </si>
  <si>
    <t>01/13/2015</t>
  </si>
  <si>
    <t>1539</t>
  </si>
  <si>
    <t>618.37</t>
  </si>
  <si>
    <t>2695</t>
  </si>
  <si>
    <t>768.57</t>
  </si>
  <si>
    <t>746.41</t>
  </si>
  <si>
    <t>42-2N-27-4614-0001-0120</t>
  </si>
  <si>
    <t>422N27-46140001-0120</t>
  </si>
  <si>
    <t>85487 ASHLEY AVE</t>
  </si>
  <si>
    <t xml:space="preserve"> AMSOUTH BANK</t>
  </si>
  <si>
    <t>06/02/2003</t>
  </si>
  <si>
    <t>DAVIS WILLIAM R EST</t>
  </si>
  <si>
    <t>85487 ASHLEY AV</t>
  </si>
  <si>
    <t>BLOCK 1 LOT 12</t>
  </si>
  <si>
    <t>687.14</t>
  </si>
  <si>
    <t>860.88</t>
  </si>
  <si>
    <t>42-2N-27-4614-0001-0140</t>
  </si>
  <si>
    <t>422N27-46140001-0140</t>
  </si>
  <si>
    <t>85726 RADIO AVE</t>
  </si>
  <si>
    <t xml:space="preserve"> FIRST ALLIANCE BANK FSB</t>
  </si>
  <si>
    <t>10/07/2002</t>
  </si>
  <si>
    <t>BENDER JOHN A &amp; CYNTHIA J</t>
  </si>
  <si>
    <t>85726 RADIO AV</t>
  </si>
  <si>
    <t>BLOCK 1 LOT 14</t>
  </si>
  <si>
    <t>1607.04</t>
  </si>
  <si>
    <t>594.91</t>
  </si>
  <si>
    <t>42-2N-27-4614-0001-0150</t>
  </si>
  <si>
    <t>422N27461400010150</t>
  </si>
  <si>
    <t>85756 RADIO AVE</t>
  </si>
  <si>
    <t>140577.00</t>
  </si>
  <si>
    <t>11/01/2037</t>
  </si>
  <si>
    <t>WHITMAN BEVERLY A &amp;</t>
  </si>
  <si>
    <t>85756 RADIO A</t>
  </si>
  <si>
    <t>466.04</t>
  </si>
  <si>
    <t>08/16/2017</t>
  </si>
  <si>
    <t>468.60</t>
  </si>
  <si>
    <t>553.31</t>
  </si>
  <si>
    <t>42-2N-27-4614-0001-0200</t>
  </si>
  <si>
    <t>422N27461400010200</t>
  </si>
  <si>
    <t>85809 RADIO AVE</t>
  </si>
  <si>
    <t>81500</t>
  </si>
  <si>
    <t>CHRISTMAS CHRISTOPHER &amp; DARLA</t>
  </si>
  <si>
    <t>85809 RADIO AV</t>
  </si>
  <si>
    <t>BLOCK 1 LOT 20</t>
  </si>
  <si>
    <t>440.10</t>
  </si>
  <si>
    <t>439.23</t>
  </si>
  <si>
    <t>434.62</t>
  </si>
  <si>
    <t>479.80</t>
  </si>
  <si>
    <t>1540</t>
  </si>
  <si>
    <t>505.68</t>
  </si>
  <si>
    <t>2696</t>
  </si>
  <si>
    <t>395.31</t>
  </si>
  <si>
    <t>2053</t>
  </si>
  <si>
    <t>648.03</t>
  </si>
  <si>
    <t>42-2N-27-4614-0002-0050</t>
  </si>
  <si>
    <t>422N27461400020050</t>
  </si>
  <si>
    <t>85220 TERRY RD</t>
  </si>
  <si>
    <t>2405</t>
  </si>
  <si>
    <t>107479.00</t>
  </si>
  <si>
    <t>05/14/2001</t>
  </si>
  <si>
    <t>HOOVER TODD S</t>
  </si>
  <si>
    <t>85220 TERRY ROA</t>
  </si>
  <si>
    <t>BLOCK 2 LOT 5 &amp; S20 FT LOT 4</t>
  </si>
  <si>
    <t>1244.05</t>
  </si>
  <si>
    <t>726.15</t>
  </si>
  <si>
    <t>1542</t>
  </si>
  <si>
    <t>1395.55</t>
  </si>
  <si>
    <t>2698</t>
  </si>
  <si>
    <t>1730.71</t>
  </si>
  <si>
    <t>791.96</t>
  </si>
  <si>
    <t>42-2N-27-4614-0002-0072</t>
  </si>
  <si>
    <t>422N27461400020072</t>
  </si>
  <si>
    <t>TERRY RD</t>
  </si>
  <si>
    <t>SHEFFIELD WILLIAM F &amp;</t>
  </si>
  <si>
    <t>PO BOX 551669</t>
  </si>
  <si>
    <t>32255</t>
  </si>
  <si>
    <t>BLOCK 2 PT LOTS 7 &amp; 6</t>
  </si>
  <si>
    <t>39.01</t>
  </si>
  <si>
    <t>38.18</t>
  </si>
  <si>
    <t>2699</t>
  </si>
  <si>
    <t>37.83</t>
  </si>
  <si>
    <t>42-2N-27-4614-0003-0070</t>
  </si>
  <si>
    <t>422N27461400030070</t>
  </si>
  <si>
    <t>85398 THERESA RD</t>
  </si>
  <si>
    <t>14500</t>
  </si>
  <si>
    <t>RITTER ELIZABETH ANN</t>
  </si>
  <si>
    <t>PO BOX 61</t>
  </si>
  <si>
    <t>BLOCK 3 LOT 7</t>
  </si>
  <si>
    <t>522.29</t>
  </si>
  <si>
    <t>1544</t>
  </si>
  <si>
    <t>03/25/2011</t>
  </si>
  <si>
    <t>42-2N-27-461A-0006-0000</t>
  </si>
  <si>
    <t>422N27461A00060000</t>
  </si>
  <si>
    <t>85633 ALENE RD</t>
  </si>
  <si>
    <t>1660</t>
  </si>
  <si>
    <t>11/30/2005</t>
  </si>
  <si>
    <t>TAYLOR GREGORY L</t>
  </si>
  <si>
    <t>PO BOX 126</t>
  </si>
  <si>
    <t>TRACT 6</t>
  </si>
  <si>
    <t>477.26</t>
  </si>
  <si>
    <t>481.26</t>
  </si>
  <si>
    <t>480.35</t>
  </si>
  <si>
    <t>525.78</t>
  </si>
  <si>
    <t>556.50</t>
  </si>
  <si>
    <t>2701</t>
  </si>
  <si>
    <t>596.26</t>
  </si>
  <si>
    <t>626.31</t>
  </si>
  <si>
    <t>43-2N-27-4620-0006-0000</t>
  </si>
  <si>
    <t>432N27462000060000</t>
  </si>
  <si>
    <t>85012 BLACKMON RD</t>
  </si>
  <si>
    <t>1.84</t>
  </si>
  <si>
    <t>KRZEMINSKI MICHAEL M TRUSTEE</t>
  </si>
  <si>
    <t>751 PARROT CT</t>
  </si>
  <si>
    <t>34759</t>
  </si>
  <si>
    <t>1268.68</t>
  </si>
  <si>
    <t>1293.97</t>
  </si>
  <si>
    <t>1271.36</t>
  </si>
  <si>
    <t>1282.33</t>
  </si>
  <si>
    <t>1547</t>
  </si>
  <si>
    <t>252.36</t>
  </si>
  <si>
    <t>3243</t>
  </si>
  <si>
    <t>259.77</t>
  </si>
  <si>
    <t>43-2N-27-4621-0002-0100</t>
  </si>
  <si>
    <t>432N27462100020100</t>
  </si>
  <si>
    <t>85370 STEPHEN RD</t>
  </si>
  <si>
    <t>38800</t>
  </si>
  <si>
    <t xml:space="preserve"> HUD-HOUSING/URBAN DEV</t>
  </si>
  <si>
    <t>FRANKLIN W J SR &amp; EMILY D</t>
  </si>
  <si>
    <t>85370 STEPHEN ROA</t>
  </si>
  <si>
    <t>792.60</t>
  </si>
  <si>
    <t>07/01/2016</t>
  </si>
  <si>
    <t>881.27</t>
  </si>
  <si>
    <t>1553</t>
  </si>
  <si>
    <t>904.19</t>
  </si>
  <si>
    <t>12/04/2013</t>
  </si>
  <si>
    <t>2733</t>
  </si>
  <si>
    <t>1261.06</t>
  </si>
  <si>
    <t>1406.62</t>
  </si>
  <si>
    <t>02/08/2011</t>
  </si>
  <si>
    <t>43-2N-27-4621-0002-0150</t>
  </si>
  <si>
    <t>432N27462100020150</t>
  </si>
  <si>
    <t>85237 DAVID RD</t>
  </si>
  <si>
    <t>28400</t>
  </si>
  <si>
    <t>102319.00</t>
  </si>
  <si>
    <t>SAPP CHARLES L &amp;</t>
  </si>
  <si>
    <t>0S)85237 DAVID ROA</t>
  </si>
  <si>
    <t>BLOCK 2 LOT 15</t>
  </si>
  <si>
    <t>528.19</t>
  </si>
  <si>
    <t>543.57</t>
  </si>
  <si>
    <t>576.37</t>
  </si>
  <si>
    <t>577.56</t>
  </si>
  <si>
    <t>577.92</t>
  </si>
  <si>
    <t>2734</t>
  </si>
  <si>
    <t>799.65</t>
  </si>
  <si>
    <t>922.08</t>
  </si>
  <si>
    <t>880.70</t>
  </si>
  <si>
    <t>43-2N-27-4621-0002-0160</t>
  </si>
  <si>
    <t>432N27462100020160</t>
  </si>
  <si>
    <t>85203 DAVID RD</t>
  </si>
  <si>
    <t>1658</t>
  </si>
  <si>
    <t>CARPENTER JOHN JR &amp;</t>
  </si>
  <si>
    <t>357 NW 87 TERR #45</t>
  </si>
  <si>
    <t>33324</t>
  </si>
  <si>
    <t>BLOCK 2 LOT 16</t>
  </si>
  <si>
    <t>960.79</t>
  </si>
  <si>
    <t>987.80</t>
  </si>
  <si>
    <t>1021.39</t>
  </si>
  <si>
    <t>07/10/2014</t>
  </si>
  <si>
    <t>2735</t>
  </si>
  <si>
    <t>1104.56</t>
  </si>
  <si>
    <t>43-2N-27-4621-0002-0290</t>
  </si>
  <si>
    <t>85128 ANGIE RD</t>
  </si>
  <si>
    <t>1.32</t>
  </si>
  <si>
    <t>FIRST FEDERAL BANK OF NORTH FLORIDA</t>
  </si>
  <si>
    <t>41000.00</t>
  </si>
  <si>
    <t>02/01/2014</t>
  </si>
  <si>
    <t>VAN WERT JANE ANN</t>
  </si>
  <si>
    <t>85128 ANGIE R</t>
  </si>
  <si>
    <t>BLOCK 2 LOT 29</t>
  </si>
  <si>
    <t>43-2N-27-4621-0002-0380</t>
  </si>
  <si>
    <t>432N27462100020380</t>
  </si>
  <si>
    <t>85477 BLACKMON RD</t>
  </si>
  <si>
    <t>9600</t>
  </si>
  <si>
    <t>REEVES PROPERTIES INC</t>
  </si>
  <si>
    <t>86197 CARTESIAN PT DRIV</t>
  </si>
  <si>
    <t>BLOCK 2 LOT 38</t>
  </si>
  <si>
    <t>2217</t>
  </si>
  <si>
    <t>2064</t>
  </si>
  <si>
    <t>893.21</t>
  </si>
  <si>
    <t>43-2N-27-4621-0003-0080</t>
  </si>
  <si>
    <t>432N27462100030080</t>
  </si>
  <si>
    <t>85295 STEPHEN RD</t>
  </si>
  <si>
    <t>MARCUMM MERRI &amp;</t>
  </si>
  <si>
    <t>86040 CLYDE ST</t>
  </si>
  <si>
    <t>BLOCK 3 LOT 8        R359791</t>
  </si>
  <si>
    <t>559.78</t>
  </si>
  <si>
    <t>460.15</t>
  </si>
  <si>
    <t>10/30/2014</t>
  </si>
  <si>
    <t>1556</t>
  </si>
  <si>
    <t>472.68</t>
  </si>
  <si>
    <t>2736</t>
  </si>
  <si>
    <t>576.95</t>
  </si>
  <si>
    <t>2218</t>
  </si>
  <si>
    <t>699.94</t>
  </si>
  <si>
    <t>2065</t>
  </si>
  <si>
    <t>847.64</t>
  </si>
  <si>
    <t>43-2N-27-4621-0004-0080</t>
  </si>
  <si>
    <t>432N27462100040080</t>
  </si>
  <si>
    <t>85321 ANGIE RD</t>
  </si>
  <si>
    <t>ROBERTSON LOUELLA EST</t>
  </si>
  <si>
    <t>500 TEMPLE CHURCH ROA</t>
  </si>
  <si>
    <t>BLOCK 4 LOT 8    R498250</t>
  </si>
  <si>
    <t>602.42</t>
  </si>
  <si>
    <t>592.79</t>
  </si>
  <si>
    <t>1368</t>
  </si>
  <si>
    <t>513.41</t>
  </si>
  <si>
    <t>1558</t>
  </si>
  <si>
    <t>621.27</t>
  </si>
  <si>
    <t>43-2N-27-4621-0005-0040</t>
  </si>
  <si>
    <t>432N27462100050040</t>
  </si>
  <si>
    <t>85669 BLACKMON RD</t>
  </si>
  <si>
    <t>1470</t>
  </si>
  <si>
    <t>BUFORD BOBBY SHEA SHERIDAN &amp;</t>
  </si>
  <si>
    <t>85669 BLACKMON R</t>
  </si>
  <si>
    <t>BLOCK 5 LOT 4</t>
  </si>
  <si>
    <t>1561</t>
  </si>
  <si>
    <t>668.68</t>
  </si>
  <si>
    <t>43-2N-27-4621-0005-0050</t>
  </si>
  <si>
    <t>432N27462100050050</t>
  </si>
  <si>
    <t>85635 PHILLIPS RD</t>
  </si>
  <si>
    <t>JAMES W HOWARD</t>
  </si>
  <si>
    <t>GODBOLD CELESTA JEANNINE DAVIS</t>
  </si>
  <si>
    <t>85635 PHILLIPS ROA</t>
  </si>
  <si>
    <t>BLOCK 5 LOT 5  96 CHAD DW/MH</t>
  </si>
  <si>
    <t>458.31</t>
  </si>
  <si>
    <t>500.02</t>
  </si>
  <si>
    <t>05/16/2016</t>
  </si>
  <si>
    <t>524.38</t>
  </si>
  <si>
    <t>1562</t>
  </si>
  <si>
    <t>527.13</t>
  </si>
  <si>
    <t>2739</t>
  </si>
  <si>
    <t>474.08</t>
  </si>
  <si>
    <t>06/10/2013</t>
  </si>
  <si>
    <t>515.19</t>
  </si>
  <si>
    <t>2068</t>
  </si>
  <si>
    <t>565.37</t>
  </si>
  <si>
    <t>07/19/2011</t>
  </si>
  <si>
    <t>43-2N-27-4622-0007-0200</t>
  </si>
  <si>
    <t>85357 DICK KING RD</t>
  </si>
  <si>
    <t>1483</t>
  </si>
  <si>
    <t>HOUSING MORTGAGE CORP</t>
  </si>
  <si>
    <t>8700.00</t>
  </si>
  <si>
    <t>01/01/2008</t>
  </si>
  <si>
    <t>SHAW ZACHERY K &amp; LINDA V</t>
  </si>
  <si>
    <t>85357 DICK KING R</t>
  </si>
  <si>
    <t>43-2N-27-4622-0007-0400</t>
  </si>
  <si>
    <t>432N27462200070400</t>
  </si>
  <si>
    <t>85444 HADDOCK RD</t>
  </si>
  <si>
    <t>7400</t>
  </si>
  <si>
    <t>GREENPOINT CREDIT CORP</t>
  </si>
  <si>
    <t>91987.00</t>
  </si>
  <si>
    <t>Mortgage Electronic Registration System</t>
  </si>
  <si>
    <t>04/25/2000</t>
  </si>
  <si>
    <t>SILLS JOHN F JR &amp; ANGELA</t>
  </si>
  <si>
    <t>85444 HADDOCK ROA</t>
  </si>
  <si>
    <t>BLOCK 7 LOT 40  IN OR 929/1417</t>
  </si>
  <si>
    <t>1455</t>
  </si>
  <si>
    <t>2743</t>
  </si>
  <si>
    <t>1088.95</t>
  </si>
  <si>
    <t>11/02/2012</t>
  </si>
  <si>
    <t>2069</t>
  </si>
  <si>
    <t>1098.86</t>
  </si>
  <si>
    <t>05/11/2011</t>
  </si>
  <si>
    <t>43-2N-27-4622-0007-0430</t>
  </si>
  <si>
    <t>85528 HADDOCK RD</t>
  </si>
  <si>
    <t>2.36</t>
  </si>
  <si>
    <t>10/01/2019</t>
  </si>
  <si>
    <t>BLOCK 7 LOTS 43 &amp; 44</t>
  </si>
  <si>
    <t>43-2N-27-4622-0007-0590</t>
  </si>
  <si>
    <t>432N27462200070590</t>
  </si>
  <si>
    <t>85860 HADDOCK RD</t>
  </si>
  <si>
    <t>BANK OF AMERICA</t>
  </si>
  <si>
    <t>25600.00</t>
  </si>
  <si>
    <t>07/10/2000</t>
  </si>
  <si>
    <t>08/01/2010</t>
  </si>
  <si>
    <t>BARRY JAMES K</t>
  </si>
  <si>
    <t>85581 CLAXTON ROA</t>
  </si>
  <si>
    <t>BLOCK 7 LOT 59    R378384</t>
  </si>
  <si>
    <t>691.30</t>
  </si>
  <si>
    <t>1565</t>
  </si>
  <si>
    <t>797.64</t>
  </si>
  <si>
    <t>2745</t>
  </si>
  <si>
    <t>1006.43</t>
  </si>
  <si>
    <t>43-2N-27-4622-0008-0280</t>
  </si>
  <si>
    <t>432N27462200080280</t>
  </si>
  <si>
    <t>85276 DAVID RD</t>
  </si>
  <si>
    <t>JONES DWAYNE G &amp;</t>
  </si>
  <si>
    <t>85276 DAVID ROA</t>
  </si>
  <si>
    <t>BLOCK 8 LOT 28</t>
  </si>
  <si>
    <t>826.81</t>
  </si>
  <si>
    <t>808.21</t>
  </si>
  <si>
    <t>770.99</t>
  </si>
  <si>
    <t>282.85</t>
  </si>
  <si>
    <t>04/28/2014</t>
  </si>
  <si>
    <t>2746</t>
  </si>
  <si>
    <t>350.14</t>
  </si>
  <si>
    <t>2225</t>
  </si>
  <si>
    <t>434.00</t>
  </si>
  <si>
    <t>593.85</t>
  </si>
  <si>
    <t>43-2N-27-4622-0008-0290</t>
  </si>
  <si>
    <t>432N27462200080290</t>
  </si>
  <si>
    <t>85030 DICK KING RD</t>
  </si>
  <si>
    <t>BRANCH WILLIAM E</t>
  </si>
  <si>
    <t>85030 DICK KING ROA</t>
  </si>
  <si>
    <t>BLOCK 8 LOT 29  OR 379/646</t>
  </si>
  <si>
    <t>374.40</t>
  </si>
  <si>
    <t>372.41</t>
  </si>
  <si>
    <t>368.01</t>
  </si>
  <si>
    <t>07/21/2015</t>
  </si>
  <si>
    <t>43-2N-27-4622-0008-0500</t>
  </si>
  <si>
    <t>432N27462200080500</t>
  </si>
  <si>
    <t>85644 DICK KING RD</t>
  </si>
  <si>
    <t>6043</t>
  </si>
  <si>
    <t>SAWYER HOYET E &amp; SANDRA R</t>
  </si>
  <si>
    <t>85644 DICK KING R</t>
  </si>
  <si>
    <t>BLOCK 8 LOT 50</t>
  </si>
  <si>
    <t>454.77</t>
  </si>
  <si>
    <t>11/15/2016</t>
  </si>
  <si>
    <t>453.80</t>
  </si>
  <si>
    <t>488.97</t>
  </si>
  <si>
    <t>505.69</t>
  </si>
  <si>
    <t>2749</t>
  </si>
  <si>
    <t>534.98</t>
  </si>
  <si>
    <t>2227</t>
  </si>
  <si>
    <t>565.03</t>
  </si>
  <si>
    <t>549.21</t>
  </si>
  <si>
    <t>43-2N-27-4622-0008-0520</t>
  </si>
  <si>
    <t>432N27462200080520</t>
  </si>
  <si>
    <t>85700 DICK KING RD</t>
  </si>
  <si>
    <t>LAIRSEY CASEY C &amp; LESLIE A</t>
  </si>
  <si>
    <t>6941 TONGA D</t>
  </si>
  <si>
    <t>BLOCK 8 LOT 52</t>
  </si>
  <si>
    <t>1569</t>
  </si>
  <si>
    <t>436.99</t>
  </si>
  <si>
    <t>06/19/2013</t>
  </si>
  <si>
    <t>43-2N-27-4622-0009-0240</t>
  </si>
  <si>
    <t>432N27462200090240</t>
  </si>
  <si>
    <t>85172 PHILLIPS RD</t>
  </si>
  <si>
    <t>1673</t>
  </si>
  <si>
    <t>CARTER CARLTON LEE SR</t>
  </si>
  <si>
    <t>85172 PHILIPS R</t>
  </si>
  <si>
    <t>BLOCK 9 LOT 24</t>
  </si>
  <si>
    <t>43-2N-27-4622-0009-0280</t>
  </si>
  <si>
    <t>85276 PHILLIPS RD</t>
  </si>
  <si>
    <t>8900</t>
  </si>
  <si>
    <t>TURLINGTON RALPH T &amp; JUDY D</t>
  </si>
  <si>
    <t>85276 PHILLIPS ROA</t>
  </si>
  <si>
    <t>BLOCK 9 LOT 28  R 107774</t>
  </si>
  <si>
    <t>43-2N-27-4622-0009-0300</t>
  </si>
  <si>
    <t>432N27462200090300</t>
  </si>
  <si>
    <t>85338 PHILLIPS RD</t>
  </si>
  <si>
    <t>HYERS STEVE</t>
  </si>
  <si>
    <t>85338 PHILLIPS R</t>
  </si>
  <si>
    <t>BLOCK 9 LOT 30</t>
  </si>
  <si>
    <t>629.87</t>
  </si>
  <si>
    <t>629.07</t>
  </si>
  <si>
    <t>750.35</t>
  </si>
  <si>
    <t>12/31/2015</t>
  </si>
  <si>
    <t>813.09</t>
  </si>
  <si>
    <t>2750</t>
  </si>
  <si>
    <t>872.78</t>
  </si>
  <si>
    <t>2228</t>
  </si>
  <si>
    <t>997.46</t>
  </si>
  <si>
    <t>43-2N-27-4622-0009-0340</t>
  </si>
  <si>
    <t>432N27462200090340</t>
  </si>
  <si>
    <t>85496 PHILLIPS RD</t>
  </si>
  <si>
    <t>42309.00</t>
  </si>
  <si>
    <t>07/10/2016</t>
  </si>
  <si>
    <t>JOHNSON WILLIAM M &amp;</t>
  </si>
  <si>
    <t>85496 PHILLIPS ROA</t>
  </si>
  <si>
    <t>BLOCK 9 LOT 34  93 FLEE SW/MH</t>
  </si>
  <si>
    <t>312.94</t>
  </si>
  <si>
    <t>308.93</t>
  </si>
  <si>
    <t>278.96</t>
  </si>
  <si>
    <t>302.34</t>
  </si>
  <si>
    <t>43-2N-27-4640-0035-0000</t>
  </si>
  <si>
    <t>432N27464000350000</t>
  </si>
  <si>
    <t>85628 AVANT RD</t>
  </si>
  <si>
    <t>11/15/2007</t>
  </si>
  <si>
    <t>APPLEWHITE MICHAEL K</t>
  </si>
  <si>
    <t>BOX 617</t>
  </si>
  <si>
    <t>2345.58</t>
  </si>
  <si>
    <t>43-2N-27-4640-0046-0000</t>
  </si>
  <si>
    <t>432N27464000460000</t>
  </si>
  <si>
    <t>85880 AVANT RD</t>
  </si>
  <si>
    <t>BELL JAMES GREGORY</t>
  </si>
  <si>
    <t>85880 AVANT ROA</t>
  </si>
  <si>
    <t>2061.28</t>
  </si>
  <si>
    <t>08/23/2017</t>
  </si>
  <si>
    <t>2099.32</t>
  </si>
  <si>
    <t>06/08/2016</t>
  </si>
  <si>
    <t>2753</t>
  </si>
  <si>
    <t>1518.46</t>
  </si>
  <si>
    <t>1492.93</t>
  </si>
  <si>
    <t>06/13/2011</t>
  </si>
  <si>
    <t>43-2N-27-4641-0001-0150</t>
  </si>
  <si>
    <t>432N27464100010150</t>
  </si>
  <si>
    <t>85008 WILSON NECK RD</t>
  </si>
  <si>
    <t>WILLIAMS FAMILY LIVING TRUST</t>
  </si>
  <si>
    <t>85008 WILSON NECK R</t>
  </si>
  <si>
    <t>952.23</t>
  </si>
  <si>
    <t>963.68</t>
  </si>
  <si>
    <t>956.36</t>
  </si>
  <si>
    <t>898.25</t>
  </si>
  <si>
    <t>1990.57</t>
  </si>
  <si>
    <t>2754</t>
  </si>
  <si>
    <t>2024.97</t>
  </si>
  <si>
    <t>2232</t>
  </si>
  <si>
    <t>2043.00</t>
  </si>
  <si>
    <t>05/21/2012</t>
  </si>
  <si>
    <t>43-2N-27-4642-0002-0000</t>
  </si>
  <si>
    <t>432N27464200020000</t>
  </si>
  <si>
    <t>85316 ELISE RD</t>
  </si>
  <si>
    <t>82000</t>
  </si>
  <si>
    <t>NAVY FED CREDIT UNION</t>
  </si>
  <si>
    <t>Credit Union</t>
  </si>
  <si>
    <t>Credit Line (Revolving)</t>
  </si>
  <si>
    <t>02/25/2002</t>
  </si>
  <si>
    <t>MILLER LUTHER M &amp; JANN W</t>
  </si>
  <si>
    <t>85316 ELISE R</t>
  </si>
  <si>
    <t>2758</t>
  </si>
  <si>
    <t>1165.63</t>
  </si>
  <si>
    <t>43-2N-27-4642-0007-0000</t>
  </si>
  <si>
    <t>85315 WESLEY RD</t>
  </si>
  <si>
    <t>ARGENT MORTGAGE COMPANY LLC</t>
  </si>
  <si>
    <t>110500.00</t>
  </si>
  <si>
    <t>05/01/2034</t>
  </si>
  <si>
    <t>BROWNING REDDING L/E</t>
  </si>
  <si>
    <t>85315 WESLEY ROA</t>
  </si>
  <si>
    <t>LOTS 7 &amp; 8</t>
  </si>
  <si>
    <t>43-2N-27-4642-0041-0000</t>
  </si>
  <si>
    <t>432N27464200410000</t>
  </si>
  <si>
    <t>85262 LINDA RD</t>
  </si>
  <si>
    <t>1589</t>
  </si>
  <si>
    <t>WACHOVIA BANK NATIONAL ASSN</t>
  </si>
  <si>
    <t>46715.00</t>
  </si>
  <si>
    <t>05/10/2022</t>
  </si>
  <si>
    <t>EDWARDS DEBRA L</t>
  </si>
  <si>
    <t>85262 LINDA R</t>
  </si>
  <si>
    <t>452.47</t>
  </si>
  <si>
    <t>457.40</t>
  </si>
  <si>
    <t>1575</t>
  </si>
  <si>
    <t>462.84</t>
  </si>
  <si>
    <t>43-2N-27-4642-0046-0000</t>
  </si>
  <si>
    <t>432N27464200460000</t>
  </si>
  <si>
    <t>85126 LINDA RD</t>
  </si>
  <si>
    <t>JOANNE K STONE</t>
  </si>
  <si>
    <t>12/01/2014</t>
  </si>
  <si>
    <t>MELVIN KENNETH J III</t>
  </si>
  <si>
    <t>85126 LINDA R</t>
  </si>
  <si>
    <t>LOT 46   R583913</t>
  </si>
  <si>
    <t>548.95</t>
  </si>
  <si>
    <t>463.45</t>
  </si>
  <si>
    <t>509.00</t>
  </si>
  <si>
    <t>09/11/2014</t>
  </si>
  <si>
    <t>43-2N-27-4643-0030-0000</t>
  </si>
  <si>
    <t>85344 LANA RD</t>
  </si>
  <si>
    <t>1.66</t>
  </si>
  <si>
    <t>MULLIN HENRY J SR &amp; CLARA L</t>
  </si>
  <si>
    <t>85344 LANA ROA</t>
  </si>
  <si>
    <t>TRACT 30</t>
  </si>
  <si>
    <t>43-2N-27-4643-0040-0000</t>
  </si>
  <si>
    <t>432N27464300400000</t>
  </si>
  <si>
    <t>85592 LANA RD</t>
  </si>
  <si>
    <t>2128</t>
  </si>
  <si>
    <t>NELSON BARBARA</t>
  </si>
  <si>
    <t>85592 LANA ROA</t>
  </si>
  <si>
    <t>TRACT 40</t>
  </si>
  <si>
    <t>601.90</t>
  </si>
  <si>
    <t>611.55</t>
  </si>
  <si>
    <t>614.92</t>
  </si>
  <si>
    <t>1469</t>
  </si>
  <si>
    <t>690.16</t>
  </si>
  <si>
    <t>734.51</t>
  </si>
  <si>
    <t>2762</t>
  </si>
  <si>
    <t>365.72</t>
  </si>
  <si>
    <t>43-2N-27-4643-0042-0000</t>
  </si>
  <si>
    <t>432N27464300420000</t>
  </si>
  <si>
    <t>85642 LANA RD</t>
  </si>
  <si>
    <t>1862</t>
  </si>
  <si>
    <t>MOORE JON M</t>
  </si>
  <si>
    <t>85642 LANA ROA</t>
  </si>
  <si>
    <t>TRACT 42</t>
  </si>
  <si>
    <t>1044.05</t>
  </si>
  <si>
    <t>07/24/2017</t>
  </si>
  <si>
    <t>1039.56</t>
  </si>
  <si>
    <t>996.33</t>
  </si>
  <si>
    <t>1082.34</t>
  </si>
  <si>
    <t>1118.92</t>
  </si>
  <si>
    <t>2763</t>
  </si>
  <si>
    <t>598.12</t>
  </si>
  <si>
    <t>2239</t>
  </si>
  <si>
    <t>636.13</t>
  </si>
  <si>
    <t>43-2N-27-4645-0003-0000</t>
  </si>
  <si>
    <t>85063 BLACKMON RD</t>
  </si>
  <si>
    <t>85011 HARTS RAO</t>
  </si>
  <si>
    <t>LOT 3    R568135</t>
  </si>
  <si>
    <t>43-2N-27-4645-0026-0000</t>
  </si>
  <si>
    <t>432N27464500260000</t>
  </si>
  <si>
    <t>85393 BLACKMON RD</t>
  </si>
  <si>
    <t>JOHNSON WILLIAM PRESTON</t>
  </si>
  <si>
    <t>85393 BLACKMON ROA</t>
  </si>
  <si>
    <t>460.08</t>
  </si>
  <si>
    <t>463.30</t>
  </si>
  <si>
    <t>462.37</t>
  </si>
  <si>
    <t>1472</t>
  </si>
  <si>
    <t>495.81</t>
  </si>
  <si>
    <t>512.58</t>
  </si>
  <si>
    <t>2764</t>
  </si>
  <si>
    <t>542.61</t>
  </si>
  <si>
    <t>2240</t>
  </si>
  <si>
    <t>590.58</t>
  </si>
  <si>
    <t>579.49</t>
  </si>
  <si>
    <t>43-2N-27-4647-0006-0130</t>
  </si>
  <si>
    <t>432N27464700060130</t>
  </si>
  <si>
    <t>85007 CLAXTON RD</t>
  </si>
  <si>
    <t>61000</t>
  </si>
  <si>
    <t>176000.00</t>
  </si>
  <si>
    <t>01/01/2036</t>
  </si>
  <si>
    <t>CHAIRES TRAVIS &amp; CHRISTINA</t>
  </si>
  <si>
    <t>85007 CLAXTON R</t>
  </si>
  <si>
    <t>2767</t>
  </si>
  <si>
    <t>750.05</t>
  </si>
  <si>
    <t>43-2N-27-4647-0006-0160</t>
  </si>
  <si>
    <t>85071 CLAXTON RD</t>
  </si>
  <si>
    <t>61718.00</t>
  </si>
  <si>
    <t>DAVIDSON MELISSA A</t>
  </si>
  <si>
    <t>85071 CLAXTON ROA</t>
  </si>
  <si>
    <t>BLOCK 6 LOT 16</t>
  </si>
  <si>
    <t>43-2N-27-4648-0001-0010</t>
  </si>
  <si>
    <t>432N27464800010010</t>
  </si>
  <si>
    <t>85737 LANA RD</t>
  </si>
  <si>
    <t>99795.00</t>
  </si>
  <si>
    <t>08/23/1999</t>
  </si>
  <si>
    <t>JOHNSON MICHAEL L &amp; JUANITA L</t>
  </si>
  <si>
    <t>85737 LANA R</t>
  </si>
  <si>
    <t>608.46</t>
  </si>
  <si>
    <t>630.70</t>
  </si>
  <si>
    <t>1478</t>
  </si>
  <si>
    <t>685.16</t>
  </si>
  <si>
    <t>755.67</t>
  </si>
  <si>
    <t>2772</t>
  </si>
  <si>
    <t>830.11</t>
  </si>
  <si>
    <t>928.72</t>
  </si>
  <si>
    <t>987.26</t>
  </si>
  <si>
    <t>43-2N-27-4648-0001-0070</t>
  </si>
  <si>
    <t>432N27464800010070</t>
  </si>
  <si>
    <t>85571 LANA RD</t>
  </si>
  <si>
    <t>HARPE CONNIE D</t>
  </si>
  <si>
    <t>85074 JESSIE LAN</t>
  </si>
  <si>
    <t>BLOCK 1 LOT 7</t>
  </si>
  <si>
    <t>728.74</t>
  </si>
  <si>
    <t>749.40</t>
  </si>
  <si>
    <t>07/12/2016</t>
  </si>
  <si>
    <t>630.17</t>
  </si>
  <si>
    <t>848.73</t>
  </si>
  <si>
    <t>04/08/2014</t>
  </si>
  <si>
    <t>2773</t>
  </si>
  <si>
    <t>1017.38</t>
  </si>
  <si>
    <t>1096.74</t>
  </si>
  <si>
    <t>09/06/2011</t>
  </si>
  <si>
    <t>43-2N-27-4648-0001-0160</t>
  </si>
  <si>
    <t>432N27464800010160</t>
  </si>
  <si>
    <t>85714 CLAXTON RD</t>
  </si>
  <si>
    <t>77630.00</t>
  </si>
  <si>
    <t>07/23/2007</t>
  </si>
  <si>
    <t>JOHNSON MICHAEL &amp; JUANITA</t>
  </si>
  <si>
    <t>85737 LANA ROA</t>
  </si>
  <si>
    <t>BLOCK 1 LOT 16</t>
  </si>
  <si>
    <t>780.04</t>
  </si>
  <si>
    <t>743.00</t>
  </si>
  <si>
    <t>649.33</t>
  </si>
  <si>
    <t>741.88</t>
  </si>
  <si>
    <t>12/27/2013</t>
  </si>
  <si>
    <t>2774</t>
  </si>
  <si>
    <t>887.72</t>
  </si>
  <si>
    <t>1033.44</t>
  </si>
  <si>
    <t>10/24/2012</t>
  </si>
  <si>
    <t>43-2N-27-4648-0002-0050</t>
  </si>
  <si>
    <t>432N27464800020050</t>
  </si>
  <si>
    <t>85113 SARA RD</t>
  </si>
  <si>
    <t>99000.00</t>
  </si>
  <si>
    <t>GRAVES JEFFREY LEE &amp;</t>
  </si>
  <si>
    <t>85113 SARA ROA</t>
  </si>
  <si>
    <t>608.45</t>
  </si>
  <si>
    <t>1479</t>
  </si>
  <si>
    <t>01/12/2015</t>
  </si>
  <si>
    <t>589.18</t>
  </si>
  <si>
    <t>2775</t>
  </si>
  <si>
    <t>576.83</t>
  </si>
  <si>
    <t>569.73</t>
  </si>
  <si>
    <t>43-2N-27-4648-0002-0060</t>
  </si>
  <si>
    <t>85089 SARA RD</t>
  </si>
  <si>
    <t>WORLDWIDE MORTGAGE CO</t>
  </si>
  <si>
    <t>93110.00</t>
  </si>
  <si>
    <t>12/01/2038</t>
  </si>
  <si>
    <t>ADAMS JOHN &amp; LISA &amp;</t>
  </si>
  <si>
    <t>85089 SARA ROA</t>
  </si>
  <si>
    <t>1225.28</t>
  </si>
  <si>
    <t>43-2N-27-4648-0003-0080</t>
  </si>
  <si>
    <t>432N27464800030080</t>
  </si>
  <si>
    <t>85225 FAYE RD</t>
  </si>
  <si>
    <t>34827.00</t>
  </si>
  <si>
    <t>HOFFMAN STEPHEN W &amp;</t>
  </si>
  <si>
    <t>BOX 97</t>
  </si>
  <si>
    <t>BLOCK 3 LOT 8</t>
  </si>
  <si>
    <t>714.36</t>
  </si>
  <si>
    <t>620.37</t>
  </si>
  <si>
    <t>785.48</t>
  </si>
  <si>
    <t>803.82</t>
  </si>
  <si>
    <t>2777</t>
  </si>
  <si>
    <t>960.34</t>
  </si>
  <si>
    <t>2252</t>
  </si>
  <si>
    <t>1041.57</t>
  </si>
  <si>
    <t>2092</t>
  </si>
  <si>
    <t>1227.46</t>
  </si>
  <si>
    <t>43-2N-27-4648-0003-0140</t>
  </si>
  <si>
    <t>432N27464800030140</t>
  </si>
  <si>
    <t>85396 CLAXTON RD</t>
  </si>
  <si>
    <t>BOBBY R &amp; BETTY L LESTER</t>
  </si>
  <si>
    <t>16000.00</t>
  </si>
  <si>
    <t>08/08/2006</t>
  </si>
  <si>
    <t>MURRAY TAMMY M</t>
  </si>
  <si>
    <t>85396 CLAXTON R</t>
  </si>
  <si>
    <t>444.34</t>
  </si>
  <si>
    <t>446.44</t>
  </si>
  <si>
    <t>441.83</t>
  </si>
  <si>
    <t>1482</t>
  </si>
  <si>
    <t>459.34</t>
  </si>
  <si>
    <t>2254</t>
  </si>
  <si>
    <t>565.59</t>
  </si>
  <si>
    <t>622.88</t>
  </si>
  <si>
    <t>10/18/2010</t>
  </si>
  <si>
    <t>43-2N-27-4648-0005-0060</t>
  </si>
  <si>
    <t>432N27464800050060</t>
  </si>
  <si>
    <t>85162 ALGER RD</t>
  </si>
  <si>
    <t>GILES JAMES R L/E</t>
  </si>
  <si>
    <t>85162 ALGER ROA</t>
  </si>
  <si>
    <t>540.54</t>
  </si>
  <si>
    <t>593.67</t>
  </si>
  <si>
    <t>05/22/2015</t>
  </si>
  <si>
    <t>1594</t>
  </si>
  <si>
    <t>619.38</t>
  </si>
  <si>
    <t>2781</t>
  </si>
  <si>
    <t>674.56</t>
  </si>
  <si>
    <t>2257</t>
  </si>
  <si>
    <t>780.76</t>
  </si>
  <si>
    <t>882.63</t>
  </si>
  <si>
    <t>43-2N-27-4648-0005-0240</t>
  </si>
  <si>
    <t>432N27464800050240</t>
  </si>
  <si>
    <t>85020 CLAXTON RD</t>
  </si>
  <si>
    <t>DOSSENBACK MICHAEL L &amp; DEBORAH</t>
  </si>
  <si>
    <t>116 KIRK R</t>
  </si>
  <si>
    <t>BLOCK 5 LOT 24</t>
  </si>
  <si>
    <t>1487</t>
  </si>
  <si>
    <t>742.07</t>
  </si>
  <si>
    <t>751.07</t>
  </si>
  <si>
    <t>2784</t>
  </si>
  <si>
    <t>948.57</t>
  </si>
  <si>
    <t>2260</t>
  </si>
  <si>
    <t>1027.87</t>
  </si>
  <si>
    <t>1216.18</t>
  </si>
  <si>
    <t>43-2N-27-4651-0008-0000</t>
  </si>
  <si>
    <t>432N27465100080000</t>
  </si>
  <si>
    <t>85279 WILSON NECK RD</t>
  </si>
  <si>
    <t>5300</t>
  </si>
  <si>
    <t>04/03/2002</t>
  </si>
  <si>
    <t>FOUNTAIN HUBERT RAYMOND</t>
  </si>
  <si>
    <t>43193 WINDING LAN</t>
  </si>
  <si>
    <t>541.21</t>
  </si>
  <si>
    <t>526.50</t>
  </si>
  <si>
    <t>477.25</t>
  </si>
  <si>
    <t>04/28/2015</t>
  </si>
  <si>
    <t>2785</t>
  </si>
  <si>
    <t>2261</t>
  </si>
  <si>
    <t>648.20</t>
  </si>
  <si>
    <t>43-2N-27-4651-0024-0000</t>
  </si>
  <si>
    <t>85735 WILSON NECK RD</t>
  </si>
  <si>
    <t>153810.00</t>
  </si>
  <si>
    <t>HESSENAUER PHYLLIS &amp; BRIAN</t>
  </si>
  <si>
    <t>85735 WILSON NECK R</t>
  </si>
  <si>
    <t>TRACT 24</t>
  </si>
  <si>
    <t>43-2N-27-4651-0043-0000</t>
  </si>
  <si>
    <t>432N27465100430000</t>
  </si>
  <si>
    <t>85250 WILSON NECK RD</t>
  </si>
  <si>
    <t xml:space="preserve"> UNITED LENDING GROUP</t>
  </si>
  <si>
    <t>32200.00</t>
  </si>
  <si>
    <t>10/29/1998</t>
  </si>
  <si>
    <t>ANDERSON MICHAEL A &amp; HELEN C</t>
  </si>
  <si>
    <t>85250 WILSON NECK ROA</t>
  </si>
  <si>
    <t>TRACT 43</t>
  </si>
  <si>
    <t>451.46</t>
  </si>
  <si>
    <t>454.30</t>
  </si>
  <si>
    <t>453.36</t>
  </si>
  <si>
    <t>1489</t>
  </si>
  <si>
    <t>491.09</t>
  </si>
  <si>
    <t>517.79</t>
  </si>
  <si>
    <t>2788</t>
  </si>
  <si>
    <t>539.13</t>
  </si>
  <si>
    <t>546.83</t>
  </si>
  <si>
    <t>2102</t>
  </si>
  <si>
    <t>43-2N-27-4651-0046-0000</t>
  </si>
  <si>
    <t>85162 WILSON NECK RD</t>
  </si>
  <si>
    <t>1550</t>
  </si>
  <si>
    <t>20500</t>
  </si>
  <si>
    <t>TALBOT KAREN E</t>
  </si>
  <si>
    <t>BOX 2833</t>
  </si>
  <si>
    <t>TRACT 46</t>
  </si>
  <si>
    <t>43-2N-27-4653-0010-0000</t>
  </si>
  <si>
    <t>432N27465300100000</t>
  </si>
  <si>
    <t>85991 WILSON NECK RD</t>
  </si>
  <si>
    <t>CAMPBELL LISA V</t>
  </si>
  <si>
    <t>PO BOX 21</t>
  </si>
  <si>
    <t>482.58</t>
  </si>
  <si>
    <t>444.99</t>
  </si>
  <si>
    <t>380.92</t>
  </si>
  <si>
    <t>361.72</t>
  </si>
  <si>
    <t>365.97</t>
  </si>
  <si>
    <t>2791</t>
  </si>
  <si>
    <t>2267</t>
  </si>
  <si>
    <t>498.96</t>
  </si>
  <si>
    <t>44-2N-27-0000-0001-0090</t>
  </si>
  <si>
    <t>442N27000000010090</t>
  </si>
  <si>
    <t>76375 HARPER CHAPEL</t>
  </si>
  <si>
    <t>25.96</t>
  </si>
  <si>
    <t>1100000</t>
  </si>
  <si>
    <t>WAYCROSS BANK &amp; TRUST</t>
  </si>
  <si>
    <t>1248000.00</t>
  </si>
  <si>
    <t>HARPER CHAPEL LLC</t>
  </si>
  <si>
    <t>PT HEIRS E WATERMAN MILL GRANT</t>
  </si>
  <si>
    <t>2270</t>
  </si>
  <si>
    <t>32637.88</t>
  </si>
  <si>
    <t>2110</t>
  </si>
  <si>
    <t>56478.13</t>
  </si>
  <si>
    <t>44-2N-27-0000-0001-0200</t>
  </si>
  <si>
    <t>442N27000000010200</t>
  </si>
  <si>
    <t>CRANDALL RD</t>
  </si>
  <si>
    <t>96500</t>
  </si>
  <si>
    <t>91675.00</t>
  </si>
  <si>
    <t>STRICKLAND JOHN D &amp; LINDA L</t>
  </si>
  <si>
    <t>2830 COLERAIN ROA</t>
  </si>
  <si>
    <t>PT E WATERMAN MILL GRANT</t>
  </si>
  <si>
    <t>172.27</t>
  </si>
  <si>
    <t>171.56</t>
  </si>
  <si>
    <t>1494</t>
  </si>
  <si>
    <t>163.56</t>
  </si>
  <si>
    <t>2860</t>
  </si>
  <si>
    <t>200.91</t>
  </si>
  <si>
    <t>2271</t>
  </si>
  <si>
    <t>44-2N-27-0000-0010-0000</t>
  </si>
  <si>
    <t>442N27000000100000</t>
  </si>
  <si>
    <t>462974 SR 200</t>
  </si>
  <si>
    <t>1959</t>
  </si>
  <si>
    <t>PT OF HEIRS OF E WATERMAN</t>
  </si>
  <si>
    <t>881.05</t>
  </si>
  <si>
    <t>1372</t>
  </si>
  <si>
    <t>971.76</t>
  </si>
  <si>
    <t>955.54</t>
  </si>
  <si>
    <t>2578</t>
  </si>
  <si>
    <t>204.50</t>
  </si>
  <si>
    <t>2852</t>
  </si>
  <si>
    <t>266.40</t>
  </si>
  <si>
    <t>177.25</t>
  </si>
  <si>
    <t>154.80</t>
  </si>
  <si>
    <t>05/04/2011</t>
  </si>
  <si>
    <t>37-3N-27-0135-0007-0000</t>
  </si>
  <si>
    <t>373N27013500070000</t>
  </si>
  <si>
    <t>87259 LENTS RD</t>
  </si>
  <si>
    <t>12/23/2004</t>
  </si>
  <si>
    <t>BELLS RIVER SIX LLC</t>
  </si>
  <si>
    <t>2712 W JETTON AV</t>
  </si>
  <si>
    <t>33629</t>
  </si>
  <si>
    <t>37-3N-27-0135-0008-0000</t>
  </si>
  <si>
    <t>373N27013500080000</t>
  </si>
  <si>
    <t>87263 LENTS RD</t>
  </si>
  <si>
    <t>37-3N-27-0135-0009-0000</t>
  </si>
  <si>
    <t>373N27013500090000</t>
  </si>
  <si>
    <t>87267 LENTS RD</t>
  </si>
  <si>
    <t>37-3N-27-0135-0010-0000</t>
  </si>
  <si>
    <t>373N27013500100000</t>
  </si>
  <si>
    <t>87271 LENTS RD</t>
  </si>
  <si>
    <t>37-3N-27-0135-0011-0000</t>
  </si>
  <si>
    <t>373N27013500110000</t>
  </si>
  <si>
    <t>87275 LENTS RD</t>
  </si>
  <si>
    <t>143600</t>
  </si>
  <si>
    <t>FBC MORTGAGE LLC</t>
  </si>
  <si>
    <t>143525.00</t>
  </si>
  <si>
    <t>Veterans Administration</t>
  </si>
  <si>
    <t>37-3N-27-0135-0012-0000</t>
  </si>
  <si>
    <t>373N27013500120000</t>
  </si>
  <si>
    <t>87279 LENTS RD</t>
  </si>
  <si>
    <t>224465.00</t>
  </si>
  <si>
    <t>37-3N-27-4680-0004-0110</t>
  </si>
  <si>
    <t>373N27468000040110</t>
  </si>
  <si>
    <t>ROSES BLUFF RD</t>
  </si>
  <si>
    <t>2.83</t>
  </si>
  <si>
    <t>WAREH F</t>
  </si>
  <si>
    <t>3660 PIZARRO ROA</t>
  </si>
  <si>
    <t>PT OF LOT 4</t>
  </si>
  <si>
    <t>708.73</t>
  </si>
  <si>
    <t>717.31</t>
  </si>
  <si>
    <t>862.98</t>
  </si>
  <si>
    <t>2291</t>
  </si>
  <si>
    <t>1108.49</t>
  </si>
  <si>
    <t>2130</t>
  </si>
  <si>
    <t>1292.44</t>
  </si>
  <si>
    <t>37-3N-27-4680-0004-0150</t>
  </si>
  <si>
    <t>373N27468000040150</t>
  </si>
  <si>
    <t>87581 ROSES BLUFF RD</t>
  </si>
  <si>
    <t>AMERICAN RECOVERY CORPORATION</t>
  </si>
  <si>
    <t>2200 BAYVIEW ROA</t>
  </si>
  <si>
    <t>1083.42</t>
  </si>
  <si>
    <t>1251.96</t>
  </si>
  <si>
    <t>1138.56</t>
  </si>
  <si>
    <t>1311.47</t>
  </si>
  <si>
    <t>38-3N-27-4690-0010-0000</t>
  </si>
  <si>
    <t>383N27469000100000</t>
  </si>
  <si>
    <t>87509 HAVEN RD</t>
  </si>
  <si>
    <t>LAWRENCE LYNDA JEAN &amp;</t>
  </si>
  <si>
    <t>487.91</t>
  </si>
  <si>
    <t>492.38</t>
  </si>
  <si>
    <t>08/04/2017</t>
  </si>
  <si>
    <t>2396</t>
  </si>
  <si>
    <t>448.48</t>
  </si>
  <si>
    <t>38-3N-27-4690-0029-0000</t>
  </si>
  <si>
    <t>383N27469000290000</t>
  </si>
  <si>
    <t>87465 ROSES BLUFF RD</t>
  </si>
  <si>
    <t>BATTLES TOMMY D III &amp; PAMELA J</t>
  </si>
  <si>
    <t>87465 ROSES BLUFF ROA</t>
  </si>
  <si>
    <t>LOT 29    R583350 &amp; R583351</t>
  </si>
  <si>
    <t>511.49</t>
  </si>
  <si>
    <t>534.22</t>
  </si>
  <si>
    <t>533.33</t>
  </si>
  <si>
    <t>540.35</t>
  </si>
  <si>
    <t>2399</t>
  </si>
  <si>
    <t>527.75</t>
  </si>
  <si>
    <t>2293</t>
  </si>
  <si>
    <t>521.37</t>
  </si>
  <si>
    <t>2134</t>
  </si>
  <si>
    <t>506.93</t>
  </si>
  <si>
    <t>38-3N-27-4690-0053-0010</t>
  </si>
  <si>
    <t>383N27469000530010</t>
  </si>
  <si>
    <t>87596 HAVEN RD</t>
  </si>
  <si>
    <t>0.85</t>
  </si>
  <si>
    <t>195000</t>
  </si>
  <si>
    <t>130568.00</t>
  </si>
  <si>
    <t>09/28/2004</t>
  </si>
  <si>
    <t>WILLIAMS LARRY SHELTON</t>
  </si>
  <si>
    <t>87596 HAVEN ROA</t>
  </si>
  <si>
    <t>PT OF LOT 53</t>
  </si>
  <si>
    <t>987.99</t>
  </si>
  <si>
    <t>756.37</t>
  </si>
  <si>
    <t>03/13/2018</t>
  </si>
  <si>
    <t>749.72</t>
  </si>
  <si>
    <t>1508</t>
  </si>
  <si>
    <t>705.71</t>
  </si>
  <si>
    <t>1626</t>
  </si>
  <si>
    <t>722.05</t>
  </si>
  <si>
    <t>11/26/2014</t>
  </si>
  <si>
    <t>2402</t>
  </si>
  <si>
    <t>818.83</t>
  </si>
  <si>
    <t>2295</t>
  </si>
  <si>
    <t>1062.69</t>
  </si>
  <si>
    <t>1756.23</t>
  </si>
  <si>
    <t>39-3N-27-0000-0001-0060</t>
  </si>
  <si>
    <t>393N27000000010060</t>
  </si>
  <si>
    <t>87115 BROOKER RD</t>
  </si>
  <si>
    <t>108000</t>
  </si>
  <si>
    <t>46606.00</t>
  </si>
  <si>
    <t>COVER ALAN B</t>
  </si>
  <si>
    <t>87667 HAVEN R</t>
  </si>
  <si>
    <t>IN 1074/1722 &amp;</t>
  </si>
  <si>
    <t>1948.34</t>
  </si>
  <si>
    <t>01/17/2018</t>
  </si>
  <si>
    <t>1993.34</t>
  </si>
  <si>
    <t>1509</t>
  </si>
  <si>
    <t>2020.58</t>
  </si>
  <si>
    <t>2048.82</t>
  </si>
  <si>
    <t>39-3N-27-0000-0001-0120</t>
  </si>
  <si>
    <t>393N27000000010120</t>
  </si>
  <si>
    <t>87270 BELL RIVER EST RD</t>
  </si>
  <si>
    <t>49700</t>
  </si>
  <si>
    <t>JOSEPHINE ANN GEIGER GIRGIS</t>
  </si>
  <si>
    <t>DONNA LYNNE CUSTOM HOMES INC &amp;</t>
  </si>
  <si>
    <t>474423 STATE ROAD 200 STE</t>
  </si>
  <si>
    <t>IN OR 1277/1410</t>
  </si>
  <si>
    <t>586.49</t>
  </si>
  <si>
    <t>595.09</t>
  </si>
  <si>
    <t>597.98</t>
  </si>
  <si>
    <t>1628</t>
  </si>
  <si>
    <t>573.99</t>
  </si>
  <si>
    <t>12/09/2014</t>
  </si>
  <si>
    <t>2431</t>
  </si>
  <si>
    <t>671.31</t>
  </si>
  <si>
    <t>837.45</t>
  </si>
  <si>
    <t>961.48</t>
  </si>
  <si>
    <t>50-3N-27-0000-0001-0050</t>
  </si>
  <si>
    <t>503N27000000010050</t>
  </si>
  <si>
    <t>AZOR PATRICK G &amp; PATRICIA J</t>
  </si>
  <si>
    <t>86485 PAGES DAIRY R</t>
  </si>
  <si>
    <t>PT SEC 50-3N-27E</t>
  </si>
  <si>
    <t>3440.25</t>
  </si>
  <si>
    <t>50-3N-27-0000-0001-0060</t>
  </si>
  <si>
    <t>503N27000000010060</t>
  </si>
  <si>
    <t>GOODBREAD RD</t>
  </si>
  <si>
    <t>HALL'S SALVAGE LLC</t>
  </si>
  <si>
    <t>85712 AVANT ROA</t>
  </si>
  <si>
    <t>50-3N-27-0000-0012-0000</t>
  </si>
  <si>
    <t>503N27000000120000</t>
  </si>
  <si>
    <t>76044 QUAIL RIDGE RD</t>
  </si>
  <si>
    <t>1.13</t>
  </si>
  <si>
    <t xml:space="preserve"> LOAN AMERICA</t>
  </si>
  <si>
    <t>59000.00</t>
  </si>
  <si>
    <t>06/21/2005</t>
  </si>
  <si>
    <t>MOSES WILLIAM HAROLD &amp; KAREN</t>
  </si>
  <si>
    <t>PT E WATERMAN GRANT</t>
  </si>
  <si>
    <t>1559.98</t>
  </si>
  <si>
    <t>1675.04</t>
  </si>
  <si>
    <t>3046</t>
  </si>
  <si>
    <t>415.46</t>
  </si>
  <si>
    <t>50-3N-27-0000-0016-0000</t>
  </si>
  <si>
    <t>86033 MCKENDREE DR</t>
  </si>
  <si>
    <t>1.88</t>
  </si>
  <si>
    <t>83500</t>
  </si>
  <si>
    <t>158950.00</t>
  </si>
  <si>
    <t>11/01/2016</t>
  </si>
  <si>
    <t>WOODWARD SPALDING &amp; GENEVA</t>
  </si>
  <si>
    <t>86033 MCKENDREE D</t>
  </si>
  <si>
    <t>IN OR 717 PG 851</t>
  </si>
  <si>
    <t>50-3N-27-0000-0023-0000</t>
  </si>
  <si>
    <t>463081 SR 200</t>
  </si>
  <si>
    <t>564</t>
  </si>
  <si>
    <t>177100</t>
  </si>
  <si>
    <t>ARGOS READY MIX LLC</t>
  </si>
  <si>
    <t>3015 WINDWARD PKWY STE 30</t>
  </si>
  <si>
    <t>Alpharetta</t>
  </si>
  <si>
    <t>30005</t>
  </si>
  <si>
    <t>IN OR 1907/1315</t>
  </si>
  <si>
    <t>50-3N-27-4720-0077-0000</t>
  </si>
  <si>
    <t>503N27472000770000</t>
  </si>
  <si>
    <t>851008 US HWY 17</t>
  </si>
  <si>
    <t>GIBSON ELVA DARLENE L/E</t>
  </si>
  <si>
    <t>2651 S JUNIPER ST APT 10</t>
  </si>
  <si>
    <t>Foley</t>
  </si>
  <si>
    <t>36535</t>
  </si>
  <si>
    <t>LOTS 77 &amp; 78</t>
  </si>
  <si>
    <t>1955.26</t>
  </si>
  <si>
    <t>1777.90</t>
  </si>
  <si>
    <t>1778.41</t>
  </si>
  <si>
    <t>1685.40</t>
  </si>
  <si>
    <t>1728.41</t>
  </si>
  <si>
    <t>03/09/2015</t>
  </si>
  <si>
    <t>3047</t>
  </si>
  <si>
    <t>2005.82</t>
  </si>
  <si>
    <t>2202.06</t>
  </si>
  <si>
    <t>2147</t>
  </si>
  <si>
    <t>2471.23</t>
  </si>
  <si>
    <t>50-3N-27-4720-0081-0000</t>
  </si>
  <si>
    <t>503N27472000810000</t>
  </si>
  <si>
    <t>851026 US HWY 17</t>
  </si>
  <si>
    <t>4936</t>
  </si>
  <si>
    <t>REBELROAMER LLC</t>
  </si>
  <si>
    <t>LOTS 81 &amp; 82</t>
  </si>
  <si>
    <t>3030.84</t>
  </si>
  <si>
    <t>2651.55</t>
  </si>
  <si>
    <t>06/19/2015</t>
  </si>
  <si>
    <t>1103.48</t>
  </si>
  <si>
    <t>09/19/2013</t>
  </si>
  <si>
    <t>2305</t>
  </si>
  <si>
    <t>3288.74</t>
  </si>
  <si>
    <t>3630.10</t>
  </si>
  <si>
    <t>50-3N-27-4720-0084-0010</t>
  </si>
  <si>
    <t>503N27472000840010</t>
  </si>
  <si>
    <t>851036 US HWY 17 DR</t>
  </si>
  <si>
    <t>2.84</t>
  </si>
  <si>
    <t>768</t>
  </si>
  <si>
    <t>FREEDOM MORTGAGE CORP</t>
  </si>
  <si>
    <t>213750.00</t>
  </si>
  <si>
    <t>10/01/2045</t>
  </si>
  <si>
    <t>LOTS 83 84 85 &amp; PT LOT 90</t>
  </si>
  <si>
    <t>50-3N-27-4720-0106-0010</t>
  </si>
  <si>
    <t>86101 PAGES DAIRY RD</t>
  </si>
  <si>
    <t>STEWART TERRELL L SR &amp;</t>
  </si>
  <si>
    <t>1624 STEWART AV</t>
  </si>
  <si>
    <t>PT OF LOT 106</t>
  </si>
  <si>
    <t>50-3N-27-4781-0018-0000</t>
  </si>
  <si>
    <t>503N27478100180000</t>
  </si>
  <si>
    <t>51-3N-27-0000-0001-0040</t>
  </si>
  <si>
    <t>513N27000000010040</t>
  </si>
  <si>
    <t>86015 EZELL LN</t>
  </si>
  <si>
    <t>WILKINS RONALD C</t>
  </si>
  <si>
    <t>PO BOX 175</t>
  </si>
  <si>
    <t>IN OR 2087/65</t>
  </si>
  <si>
    <t>303.70</t>
  </si>
  <si>
    <t>1054.55</t>
  </si>
  <si>
    <t>09/02/2010</t>
  </si>
  <si>
    <t>51-3N-27-0000-0001-0200</t>
  </si>
  <si>
    <t>513N27000000010200</t>
  </si>
  <si>
    <t>86055 EZELL LN</t>
  </si>
  <si>
    <t>38700</t>
  </si>
  <si>
    <t>EZELL INVESTMENT CO</t>
  </si>
  <si>
    <t>37700.00</t>
  </si>
  <si>
    <t>KENNEDY MICHAEL &amp; TERESA J</t>
  </si>
  <si>
    <t>86055 EZELL LAN</t>
  </si>
  <si>
    <t>IN OR 1071 PG 1939</t>
  </si>
  <si>
    <t>463.52</t>
  </si>
  <si>
    <t>466.89</t>
  </si>
  <si>
    <t>465.96</t>
  </si>
  <si>
    <t>09/21/2016</t>
  </si>
  <si>
    <t>1519</t>
  </si>
  <si>
    <t>513.64</t>
  </si>
  <si>
    <t>11/18/2015</t>
  </si>
  <si>
    <t>1634</t>
  </si>
  <si>
    <t>530.98</t>
  </si>
  <si>
    <t>09/17/2014</t>
  </si>
  <si>
    <t>2307</t>
  </si>
  <si>
    <t>637.88</t>
  </si>
  <si>
    <t>51-3N-27-0000-0008-0010</t>
  </si>
  <si>
    <t>513N27000000080010</t>
  </si>
  <si>
    <t>86543 PAGES DAIRY RD</t>
  </si>
  <si>
    <t>PAGE JOHN E &amp; BOBBIE SUE</t>
  </si>
  <si>
    <t>2633 AMELIA ROA</t>
  </si>
  <si>
    <t>IN OR 1127/877</t>
  </si>
  <si>
    <t>2186.55</t>
  </si>
  <si>
    <t>2244.48</t>
  </si>
  <si>
    <t>2126.41</t>
  </si>
  <si>
    <t>1927.04</t>
  </si>
  <si>
    <t>11/25/2015</t>
  </si>
  <si>
    <t>1982.96</t>
  </si>
  <si>
    <t>10/08/2013</t>
  </si>
  <si>
    <t>51-3N-27-0000-0013-0100</t>
  </si>
  <si>
    <t>513N27000000130100</t>
  </si>
  <si>
    <t>MORGAN RUSSELL H JR</t>
  </si>
  <si>
    <t>463106 SR 20</t>
  </si>
  <si>
    <t>IN OR 1409/626</t>
  </si>
  <si>
    <t>104.94</t>
  </si>
  <si>
    <t>108.13</t>
  </si>
  <si>
    <t>103.52</t>
  </si>
  <si>
    <t>1637</t>
  </si>
  <si>
    <t>104.55</t>
  </si>
  <si>
    <t>3119</t>
  </si>
  <si>
    <t>97.99</t>
  </si>
  <si>
    <t>2309</t>
  </si>
  <si>
    <t>97.45</t>
  </si>
  <si>
    <t>107.03</t>
  </si>
  <si>
    <t>51-3N-27-0000-0017-0000</t>
  </si>
  <si>
    <t>513N27000000170000</t>
  </si>
  <si>
    <t>850914 US HWY 17</t>
  </si>
  <si>
    <t>4483</t>
  </si>
  <si>
    <t>285000.00</t>
  </si>
  <si>
    <t>03/18/2005</t>
  </si>
  <si>
    <t>PORCH SWING PROPERTIES LLC</t>
  </si>
  <si>
    <t>1832 WOODROW S</t>
  </si>
  <si>
    <t>Augusta</t>
  </si>
  <si>
    <t>30904</t>
  </si>
  <si>
    <t>IN OR 1302/1490</t>
  </si>
  <si>
    <t>3187.31</t>
  </si>
  <si>
    <t>3445.19</t>
  </si>
  <si>
    <t>3263.85</t>
  </si>
  <si>
    <t>1638</t>
  </si>
  <si>
    <t>3306.27</t>
  </si>
  <si>
    <t>3120</t>
  </si>
  <si>
    <t>3313.52</t>
  </si>
  <si>
    <t>2310</t>
  </si>
  <si>
    <t>3578.37</t>
  </si>
  <si>
    <t>06/27/2013</t>
  </si>
  <si>
    <t>3993.08</t>
  </si>
  <si>
    <t>51-3N-27-0000-0030-0030</t>
  </si>
  <si>
    <t>513N27000000300030</t>
  </si>
  <si>
    <t>86102 HICKOX RD</t>
  </si>
  <si>
    <t>HICKOX LOIS P EST</t>
  </si>
  <si>
    <t>BOX 4</t>
  </si>
  <si>
    <t>IN OR 51 PG 75</t>
  </si>
  <si>
    <t>136.23</t>
  </si>
  <si>
    <t>51-3N-27-0000-0037-0060</t>
  </si>
  <si>
    <t>86190 PAGES DAIRY RD</t>
  </si>
  <si>
    <t>1927</t>
  </si>
  <si>
    <t>SHERRY QUATTLEBAUM</t>
  </si>
  <si>
    <t>12/01/2010</t>
  </si>
  <si>
    <t>GRAVES CHARLOTTE</t>
  </si>
  <si>
    <t>86190 PAGES DAIRY ROA</t>
  </si>
  <si>
    <t>51-3N-27-0000-0044-0030</t>
  </si>
  <si>
    <t>513N27000000440030</t>
  </si>
  <si>
    <t>86013 CHARMED WAY</t>
  </si>
  <si>
    <t>RAINEY LUCILLE ESTATE</t>
  </si>
  <si>
    <t>86013 CHARMED WA</t>
  </si>
  <si>
    <t>566.09</t>
  </si>
  <si>
    <t>04/04/2018</t>
  </si>
  <si>
    <t>537.78</t>
  </si>
  <si>
    <t>485.40</t>
  </si>
  <si>
    <t>1642</t>
  </si>
  <si>
    <t>493.37</t>
  </si>
  <si>
    <t>3124</t>
  </si>
  <si>
    <t>516.67</t>
  </si>
  <si>
    <t>2314</t>
  </si>
  <si>
    <t>520.68</t>
  </si>
  <si>
    <t>09/12/2013</t>
  </si>
  <si>
    <t>2155</t>
  </si>
  <si>
    <t>554.64</t>
  </si>
  <si>
    <t>51-3N-27-0000-0053-0010</t>
  </si>
  <si>
    <t>513N27000000530010</t>
  </si>
  <si>
    <t>86033 WAYLON ST</t>
  </si>
  <si>
    <t>PFG LOANS INC</t>
  </si>
  <si>
    <t>53100.00</t>
  </si>
  <si>
    <t>03/01/2030</t>
  </si>
  <si>
    <t>BLAKE CHRIS &amp; RHONDA</t>
  </si>
  <si>
    <t>IN OR 1439/1004</t>
  </si>
  <si>
    <t>1461.07</t>
  </si>
  <si>
    <t>1317.71</t>
  </si>
  <si>
    <t>1300.61</t>
  </si>
  <si>
    <t>1209.29</t>
  </si>
  <si>
    <t>1645</t>
  </si>
  <si>
    <t>1272.81</t>
  </si>
  <si>
    <t>3125</t>
  </si>
  <si>
    <t>1512.12</t>
  </si>
  <si>
    <t>2315</t>
  </si>
  <si>
    <t>1526.04</t>
  </si>
  <si>
    <t>1683.44</t>
  </si>
  <si>
    <t>51-3N-27-0000-0053-0020</t>
  </si>
  <si>
    <t>513N27000000530020</t>
  </si>
  <si>
    <t>86001 WAYLON ST</t>
  </si>
  <si>
    <t>70000</t>
  </si>
  <si>
    <t>235500.00</t>
  </si>
  <si>
    <t>PT OR 1492/133       R498009</t>
  </si>
  <si>
    <t>571.28</t>
  </si>
  <si>
    <t>558.89</t>
  </si>
  <si>
    <t>548.65</t>
  </si>
  <si>
    <t>1646</t>
  </si>
  <si>
    <t>598.89</t>
  </si>
  <si>
    <t>3126</t>
  </si>
  <si>
    <t>703.67</t>
  </si>
  <si>
    <t>808.41</t>
  </si>
  <si>
    <t>2157</t>
  </si>
  <si>
    <t>840.62</t>
  </si>
  <si>
    <t>51-3N-27-0000-0053-0040</t>
  </si>
  <si>
    <t>513N27000000530040</t>
  </si>
  <si>
    <t>WAYLON ST</t>
  </si>
  <si>
    <t>PT OR 1492/133</t>
  </si>
  <si>
    <t>1454</t>
  </si>
  <si>
    <t>3127</t>
  </si>
  <si>
    <t>2317</t>
  </si>
  <si>
    <t>206.56</t>
  </si>
  <si>
    <t>2158</t>
  </si>
  <si>
    <t>204.29</t>
  </si>
  <si>
    <t>51-3N-27-0000-0060-0040</t>
  </si>
  <si>
    <t>513N27000000600040</t>
  </si>
  <si>
    <t>86013 BOBBY DR</t>
  </si>
  <si>
    <t>BROWN KIMBERLY S &amp;</t>
  </si>
  <si>
    <t>737 GEIGER RD</t>
  </si>
  <si>
    <t>IN OR 1716/920</t>
  </si>
  <si>
    <t>957.67</t>
  </si>
  <si>
    <t>1405</t>
  </si>
  <si>
    <t>980.09</t>
  </si>
  <si>
    <t>925.88</t>
  </si>
  <si>
    <t>1530</t>
  </si>
  <si>
    <t>839.50</t>
  </si>
  <si>
    <t>854.18</t>
  </si>
  <si>
    <t>907.73</t>
  </si>
  <si>
    <t>2319</t>
  </si>
  <si>
    <t>258.20</t>
  </si>
  <si>
    <t>239.54</t>
  </si>
  <si>
    <t>51-3N-27-0000-0066-0010</t>
  </si>
  <si>
    <t>513N27000000660010</t>
  </si>
  <si>
    <t>OFF PAGES DAIRY RD</t>
  </si>
  <si>
    <t>0.47</t>
  </si>
  <si>
    <t>16800</t>
  </si>
  <si>
    <t>KEPNER FRANK &amp; LAURIE P</t>
  </si>
  <si>
    <t>PO BOX 9</t>
  </si>
  <si>
    <t>IN OR 1645/180</t>
  </si>
  <si>
    <t>51-3N-27-0000-0067-0010</t>
  </si>
  <si>
    <t>513N27000000670010</t>
  </si>
  <si>
    <t>86570 PAGES DAIRY RD</t>
  </si>
  <si>
    <t>1.70</t>
  </si>
  <si>
    <t>2560</t>
  </si>
  <si>
    <t>132214.00</t>
  </si>
  <si>
    <t>01/14/2036</t>
  </si>
  <si>
    <t>KEPNER FRANK A &amp; LAURIE P</t>
  </si>
  <si>
    <t>IN OR 616 PG 1053</t>
  </si>
  <si>
    <t>51-3N-27-0000-0067-0020</t>
  </si>
  <si>
    <t>513N27000000670020</t>
  </si>
  <si>
    <t>PAGES DAIRY RD</t>
  </si>
  <si>
    <t>KEPNER FRANK &amp; LAURIE B</t>
  </si>
  <si>
    <t>IN OR 734 PG 1563</t>
  </si>
  <si>
    <t>1649</t>
  </si>
  <si>
    <t>2320</t>
  </si>
  <si>
    <t>1367.84</t>
  </si>
  <si>
    <t>1358.05</t>
  </si>
  <si>
    <t>51-3N-27-0497-0003-0000</t>
  </si>
  <si>
    <t>513N27049700030000</t>
  </si>
  <si>
    <t>86223 PAGES DAIRY RD</t>
  </si>
  <si>
    <t>99161.00</t>
  </si>
  <si>
    <t>08/21/2001</t>
  </si>
  <si>
    <t>ETHRIDGE LILLIAN B</t>
  </si>
  <si>
    <t>PO BOX 104</t>
  </si>
  <si>
    <t>LOT 3   2002 LEX DW</t>
  </si>
  <si>
    <t>657.81</t>
  </si>
  <si>
    <t>794.66</t>
  </si>
  <si>
    <t>826.21</t>
  </si>
  <si>
    <t>816.86</t>
  </si>
  <si>
    <t>2324</t>
  </si>
  <si>
    <t>1153.90</t>
  </si>
  <si>
    <t>1106.45</t>
  </si>
  <si>
    <t>03/18/2011</t>
  </si>
  <si>
    <t>51-3N-27-0497-0005-0000</t>
  </si>
  <si>
    <t>513N27049700050000</t>
  </si>
  <si>
    <t>32400.00</t>
  </si>
  <si>
    <t>09/01/2007</t>
  </si>
  <si>
    <t>SEWELL ROBERT B &amp; AMY E</t>
  </si>
  <si>
    <t>1507 SUNNYMEADE D</t>
  </si>
  <si>
    <t>512.61</t>
  </si>
  <si>
    <t>611.33</t>
  </si>
  <si>
    <t>2250</t>
  </si>
  <si>
    <t>701.64</t>
  </si>
  <si>
    <t>2253</t>
  </si>
  <si>
    <t>748.26</t>
  </si>
  <si>
    <t>2255</t>
  </si>
  <si>
    <t>841.01</t>
  </si>
  <si>
    <t>1130.14</t>
  </si>
  <si>
    <t>2258</t>
  </si>
  <si>
    <t>1579.34</t>
  </si>
  <si>
    <t>51-3N-27-0497-0006-0000</t>
  </si>
  <si>
    <t>86209 PAGES DAIRY RD</t>
  </si>
  <si>
    <t>178000</t>
  </si>
  <si>
    <t>GREENPOINT MTG FUNDING INC</t>
  </si>
  <si>
    <t>103350.00</t>
  </si>
  <si>
    <t>04/01/2032</t>
  </si>
  <si>
    <t>LOT 6   IN OR 2045/1859</t>
  </si>
  <si>
    <t>51-3N-27-1626-0002-0000</t>
  </si>
  <si>
    <t>513N27162600020000</t>
  </si>
  <si>
    <t>86375 WORTHINGTON DR</t>
  </si>
  <si>
    <t>3.17</t>
  </si>
  <si>
    <t>23500</t>
  </si>
  <si>
    <t>HALLMARK HOMES INC</t>
  </si>
  <si>
    <t>8130 BAYMEADOWS CIRCLE W #10</t>
  </si>
  <si>
    <t>507.02</t>
  </si>
  <si>
    <t>482.39</t>
  </si>
  <si>
    <t>457.82</t>
  </si>
  <si>
    <t>434.51</t>
  </si>
  <si>
    <t>1656</t>
  </si>
  <si>
    <t>439.69</t>
  </si>
  <si>
    <t>3134</t>
  </si>
  <si>
    <t>458.41</t>
  </si>
  <si>
    <t>2328</t>
  </si>
  <si>
    <t>51-3N-27-1627-0009-0000</t>
  </si>
  <si>
    <t>86961 WORTHINGTON DR</t>
  </si>
  <si>
    <t>BRANCH BANKING AND TRUST CO</t>
  </si>
  <si>
    <t>STEPHENSON DANIEL M &amp; DAINA H</t>
  </si>
  <si>
    <t>86961 WORTHINGTON DRIV</t>
  </si>
  <si>
    <t>2151.15</t>
  </si>
  <si>
    <t>51-3N-27-1627-0084-0000</t>
  </si>
  <si>
    <t>513N27162700840000</t>
  </si>
  <si>
    <t>86842 WORTHINGTON DR</t>
  </si>
  <si>
    <t>128900</t>
  </si>
  <si>
    <t>292500.00</t>
  </si>
  <si>
    <t>04/23/2007</t>
  </si>
  <si>
    <t>05/29/2094</t>
  </si>
  <si>
    <t>BREELAND DONNA R</t>
  </si>
  <si>
    <t>86842 WORTHINGTON DRIV</t>
  </si>
  <si>
    <t>LOT 84</t>
  </si>
  <si>
    <t>1153.99</t>
  </si>
  <si>
    <t>1083.37</t>
  </si>
  <si>
    <t>07/03/2013</t>
  </si>
  <si>
    <t>3135</t>
  </si>
  <si>
    <t>1104.60</t>
  </si>
  <si>
    <t>2330</t>
  </si>
  <si>
    <t>1190.49</t>
  </si>
  <si>
    <t>1638.48</t>
  </si>
  <si>
    <t>51-3N-27-4800-0006-0000</t>
  </si>
  <si>
    <t>513N27480000060000</t>
  </si>
  <si>
    <t>86075 FLORIDA AVE</t>
  </si>
  <si>
    <t>PRITCHARD KENNETH C SR &amp;</t>
  </si>
  <si>
    <t>PO BOX 68</t>
  </si>
  <si>
    <t>LOT 6 IN OR 124/149</t>
  </si>
  <si>
    <t>361.31</t>
  </si>
  <si>
    <t>354.72</t>
  </si>
  <si>
    <t>326.30</t>
  </si>
  <si>
    <t>318.10</t>
  </si>
  <si>
    <t>3136</t>
  </si>
  <si>
    <t>294.36</t>
  </si>
  <si>
    <t>04/07/2014</t>
  </si>
  <si>
    <t>2331</t>
  </si>
  <si>
    <t>284.55</t>
  </si>
  <si>
    <t>2181</t>
  </si>
  <si>
    <t>265.41</t>
  </si>
  <si>
    <t>51-3N-27-4820-0032-0000</t>
  </si>
  <si>
    <t>513N27482000320000</t>
  </si>
  <si>
    <t>STUART LOUIS</t>
  </si>
  <si>
    <t>203 OCEAN FRON</t>
  </si>
  <si>
    <t>LOT 32</t>
  </si>
  <si>
    <t>317.69</t>
  </si>
  <si>
    <t>305.26</t>
  </si>
  <si>
    <t>1662</t>
  </si>
  <si>
    <t>308.80</t>
  </si>
  <si>
    <t>3141</t>
  </si>
  <si>
    <t>378.78</t>
  </si>
  <si>
    <t>379.78</t>
  </si>
  <si>
    <t>2187</t>
  </si>
  <si>
    <t>540.17</t>
  </si>
  <si>
    <t>51-3N-27-4820-0038-0000</t>
  </si>
  <si>
    <t>86054 OAK ST</t>
  </si>
  <si>
    <t>103000</t>
  </si>
  <si>
    <t>12/15/2081</t>
  </si>
  <si>
    <t>WILLIAMS EVA M</t>
  </si>
  <si>
    <t>86054 OAK STREE</t>
  </si>
  <si>
    <t>LOTS 38 &amp; 39</t>
  </si>
  <si>
    <t>51-3N-27-4820-0044-0000</t>
  </si>
  <si>
    <t>513N27482000440000</t>
  </si>
  <si>
    <t>86067 OAK ST</t>
  </si>
  <si>
    <t>POWELL JOYCE E</t>
  </si>
  <si>
    <t>PO BOX 40</t>
  </si>
  <si>
    <t>LOT 44</t>
  </si>
  <si>
    <t>135.09</t>
  </si>
  <si>
    <t>2338</t>
  </si>
  <si>
    <t>416.66</t>
  </si>
  <si>
    <t>394.03</t>
  </si>
  <si>
    <t>51-3N-27-4840-0017-0000</t>
  </si>
  <si>
    <t>513N27484000170000</t>
  </si>
  <si>
    <t>463152 SR 200</t>
  </si>
  <si>
    <t>5760</t>
  </si>
  <si>
    <t>884000.00</t>
  </si>
  <si>
    <t>ALL AMERICAN OIL LLC</t>
  </si>
  <si>
    <t>380 COMMERCE PKW</t>
  </si>
  <si>
    <t>Rockledge</t>
  </si>
  <si>
    <t>32955</t>
  </si>
  <si>
    <t>LOTS 17 18 &amp; 19 &amp; PARCEL 35</t>
  </si>
  <si>
    <t>1411</t>
  </si>
  <si>
    <t>12899.04</t>
  </si>
  <si>
    <t>11/22/2016</t>
  </si>
  <si>
    <t>13575.73</t>
  </si>
  <si>
    <t>03/02/2011</t>
  </si>
  <si>
    <t>51-3N-27-4860-000A-0040</t>
  </si>
  <si>
    <t>513N274860000A0040</t>
  </si>
  <si>
    <t>86078 CLYDE ST</t>
  </si>
  <si>
    <t>DANIEL MUTT J &amp;</t>
  </si>
  <si>
    <t>PO BOX 1532</t>
  </si>
  <si>
    <t>BLOCK A LOT 4</t>
  </si>
  <si>
    <t>1412</t>
  </si>
  <si>
    <t>529.75</t>
  </si>
  <si>
    <t>477.61</t>
  </si>
  <si>
    <t>1663</t>
  </si>
  <si>
    <t>508.97</t>
  </si>
  <si>
    <t>3144</t>
  </si>
  <si>
    <t>674.91</t>
  </si>
  <si>
    <t>2341</t>
  </si>
  <si>
    <t>680.03</t>
  </si>
  <si>
    <t>2190</t>
  </si>
  <si>
    <t>754.20</t>
  </si>
  <si>
    <t>51-3N-27-4860-000A-0100</t>
  </si>
  <si>
    <t>513N274860000A0100</t>
  </si>
  <si>
    <t>86018 CLYDE ST</t>
  </si>
  <si>
    <t>4400</t>
  </si>
  <si>
    <t>WINDER VI LLC</t>
  </si>
  <si>
    <t>BLOCK A LOT 10</t>
  </si>
  <si>
    <t>473.52</t>
  </si>
  <si>
    <t>432.19</t>
  </si>
  <si>
    <t>391.18</t>
  </si>
  <si>
    <t>395.79</t>
  </si>
  <si>
    <t>3145</t>
  </si>
  <si>
    <t>468.57</t>
  </si>
  <si>
    <t>2343</t>
  </si>
  <si>
    <t>428.59</t>
  </si>
  <si>
    <t>51-3N-27-4881-0018-0000</t>
  </si>
  <si>
    <t>86209 HILL VALLEY AVE</t>
  </si>
  <si>
    <t>08/01/2030</t>
  </si>
  <si>
    <t>ROYAL DAVID R</t>
  </si>
  <si>
    <t>85089 SUTTON P</t>
  </si>
  <si>
    <t>TRACT 18</t>
  </si>
  <si>
    <t>51-3N-27-4881-0023-0000</t>
  </si>
  <si>
    <t>513N27488100230000</t>
  </si>
  <si>
    <t>86063 HILL VALLEY AVE</t>
  </si>
  <si>
    <t>POPE JOHN R JR</t>
  </si>
  <si>
    <t>86063 HILL VALLEY AV</t>
  </si>
  <si>
    <t>TRACT 23      1993 LIBE SW/MH</t>
  </si>
  <si>
    <t>614.31</t>
  </si>
  <si>
    <t>685.83</t>
  </si>
  <si>
    <t>51-3N-27-4881-0028-0000</t>
  </si>
  <si>
    <t>513N27488100280000</t>
  </si>
  <si>
    <t>86112 HILL VALLEY AVE</t>
  </si>
  <si>
    <t>GEORGE J BELL ETUX</t>
  </si>
  <si>
    <t>04/14/2010</t>
  </si>
  <si>
    <t>04/01/2020</t>
  </si>
  <si>
    <t>TRUJILLO KIMBERLY BELL</t>
  </si>
  <si>
    <t>86112 HILL VALLEY AVENU</t>
  </si>
  <si>
    <t>TRACT 28</t>
  </si>
  <si>
    <t>1034.98</t>
  </si>
  <si>
    <t>51-3N-27-4881-0035-0000</t>
  </si>
  <si>
    <t>86326 HILL VALLEY AVE</t>
  </si>
  <si>
    <t>JASPER WILLIAM DAVIS</t>
  </si>
  <si>
    <t>27889.00</t>
  </si>
  <si>
    <t>05/18/2008</t>
  </si>
  <si>
    <t>MIXON DARRELL G &amp; JUDITH A</t>
  </si>
  <si>
    <t>86326 HILL VALLEY AV</t>
  </si>
  <si>
    <t>TRACT 35    IN OR 814/745</t>
  </si>
  <si>
    <t>51-3N-27-4881-0051-0000</t>
  </si>
  <si>
    <t>513N27488100510000</t>
  </si>
  <si>
    <t>86423 JEAN RD</t>
  </si>
  <si>
    <t>ALLEN MARION J</t>
  </si>
  <si>
    <t>913 JESS ALLEN R</t>
  </si>
  <si>
    <t>Nahunta</t>
  </si>
  <si>
    <t>31553</t>
  </si>
  <si>
    <t>TRACT 51</t>
  </si>
  <si>
    <t>970.71</t>
  </si>
  <si>
    <t>848.31</t>
  </si>
  <si>
    <t>2347</t>
  </si>
  <si>
    <t>414.92</t>
  </si>
  <si>
    <t>51-3N-27-4881-0055-0000</t>
  </si>
  <si>
    <t>513N27488100550000</t>
  </si>
  <si>
    <t>86313 JEAN RD</t>
  </si>
  <si>
    <t>MUSIC STEVE</t>
  </si>
  <si>
    <t>86313 JEAN ROA</t>
  </si>
  <si>
    <t>TRACT 55</t>
  </si>
  <si>
    <t>604.15</t>
  </si>
  <si>
    <t>1548</t>
  </si>
  <si>
    <t>727.22</t>
  </si>
  <si>
    <t>2349</t>
  </si>
  <si>
    <t>745.99</t>
  </si>
  <si>
    <t>09/29/2011</t>
  </si>
  <si>
    <t>51-3N-27-4881-0056-0000</t>
  </si>
  <si>
    <t>513N27488100560000</t>
  </si>
  <si>
    <t>86277 JEAN RD</t>
  </si>
  <si>
    <t>2281</t>
  </si>
  <si>
    <t>FREEMAN SIDNEY A JR &amp;</t>
  </si>
  <si>
    <t>86279 JEAN R</t>
  </si>
  <si>
    <t>TRACT 56</t>
  </si>
  <si>
    <t>480.51</t>
  </si>
  <si>
    <t>505.92</t>
  </si>
  <si>
    <t>04/15/2017</t>
  </si>
  <si>
    <t>614.47</t>
  </si>
  <si>
    <t>628.17</t>
  </si>
  <si>
    <t>04/02/2015</t>
  </si>
  <si>
    <t>1670</t>
  </si>
  <si>
    <t>623.72</t>
  </si>
  <si>
    <t>3149</t>
  </si>
  <si>
    <t>789.27</t>
  </si>
  <si>
    <t>2350</t>
  </si>
  <si>
    <t>811.83</t>
  </si>
  <si>
    <t>51-3N-27-4881-0072-0000</t>
  </si>
  <si>
    <t>86204 JEAN RD</t>
  </si>
  <si>
    <t>OSBORNE GERALDINE</t>
  </si>
  <si>
    <t>86204 JEAN ROA</t>
  </si>
  <si>
    <t>TRACT 72</t>
  </si>
  <si>
    <t>422.92</t>
  </si>
  <si>
    <t>51-3N-27-4881-0075-0000</t>
  </si>
  <si>
    <t>86294 JEAN RD</t>
  </si>
  <si>
    <t>48000</t>
  </si>
  <si>
    <t>HANIFEE JASON &amp; MEGAN</t>
  </si>
  <si>
    <t>86294 JEAN ROA</t>
  </si>
  <si>
    <t>TRACT 75</t>
  </si>
  <si>
    <t>51-3N-27-4881-0096-0000</t>
  </si>
  <si>
    <t>513N27-48810096-0000</t>
  </si>
  <si>
    <t>86258 TIMBER RIDGE ST</t>
  </si>
  <si>
    <t>GUEST VERNON WAYNE EST</t>
  </si>
  <si>
    <t>86258 TIMBER RIDGE S</t>
  </si>
  <si>
    <t>TRACT 96</t>
  </si>
  <si>
    <t>604.50</t>
  </si>
  <si>
    <t>613.52</t>
  </si>
  <si>
    <t>51-3N-27-4881-0130-0000</t>
  </si>
  <si>
    <t>513N27488101300000</t>
  </si>
  <si>
    <t>86262 YULEE HILLS RD</t>
  </si>
  <si>
    <t>POTTS HERBERT MICHAEL</t>
  </si>
  <si>
    <t>86262 YULEE HILLS R</t>
  </si>
  <si>
    <t>TRACT 130</t>
  </si>
  <si>
    <t>1477</t>
  </si>
  <si>
    <t>534.74</t>
  </si>
  <si>
    <t>3152</t>
  </si>
  <si>
    <t>05/05/2014</t>
  </si>
  <si>
    <t>618.87</t>
  </si>
  <si>
    <t>2199</t>
  </si>
  <si>
    <t>597.89</t>
  </si>
  <si>
    <t>51-3N-27-4881-0152-0000</t>
  </si>
  <si>
    <t>513N27488101520000</t>
  </si>
  <si>
    <t>86419 TIMBER RIDGE ST</t>
  </si>
  <si>
    <t>7.20</t>
  </si>
  <si>
    <t>HALE DENNIS MICHAEL</t>
  </si>
  <si>
    <t>86419 TIMBER RIDGE R</t>
  </si>
  <si>
    <t>PT TRACT A IN OR 501/739</t>
  </si>
  <si>
    <t>326.57</t>
  </si>
  <si>
    <t>319.83</t>
  </si>
  <si>
    <t>05/20/2016</t>
  </si>
  <si>
    <t>1557</t>
  </si>
  <si>
    <t>388.46</t>
  </si>
  <si>
    <t>1678</t>
  </si>
  <si>
    <t>326.53</t>
  </si>
  <si>
    <t>51-3N-27-4881-0179-0000</t>
  </si>
  <si>
    <t>513N27488101790000</t>
  </si>
  <si>
    <t>897 YULEE HILLS RD</t>
  </si>
  <si>
    <t>5.51</t>
  </si>
  <si>
    <t>RUSS LISA VALERIE &amp;</t>
  </si>
  <si>
    <t>85057 MINER R</t>
  </si>
  <si>
    <t>PT TRACT A PT OR 966/500</t>
  </si>
  <si>
    <t>545.83</t>
  </si>
  <si>
    <t>556.12</t>
  </si>
  <si>
    <t>1559</t>
  </si>
  <si>
    <t>527.54</t>
  </si>
  <si>
    <t>636.22</t>
  </si>
  <si>
    <t>3157</t>
  </si>
  <si>
    <t>638.97</t>
  </si>
  <si>
    <t>2360</t>
  </si>
  <si>
    <t>654.69</t>
  </si>
  <si>
    <t>2209</t>
  </si>
  <si>
    <t>634.45</t>
  </si>
  <si>
    <t>52-3N-27-0000-0002-0150</t>
  </si>
  <si>
    <t>523N27000000020150</t>
  </si>
  <si>
    <t>86016 RUSH RD</t>
  </si>
  <si>
    <t>THEOBALD THOMAS A &amp; MONA R</t>
  </si>
  <si>
    <t>IN OR 1408/232</t>
  </si>
  <si>
    <t>3158</t>
  </si>
  <si>
    <t>2531.50</t>
  </si>
  <si>
    <t>52-3N-27-0000-0002-0330</t>
  </si>
  <si>
    <t>86100 RON NELSON LN</t>
  </si>
  <si>
    <t>2851</t>
  </si>
  <si>
    <t>GREEN HARRY E JR</t>
  </si>
  <si>
    <t>86456 HARRY GREEN R</t>
  </si>
  <si>
    <t>PT OF JOHN VAUGHAN GRANT</t>
  </si>
  <si>
    <t>52-3N-27-4890-0018-0000</t>
  </si>
  <si>
    <t>523N27489000180000</t>
  </si>
  <si>
    <t>86385 HARRY GREEN RD</t>
  </si>
  <si>
    <t>111650.00</t>
  </si>
  <si>
    <t>08/01/2038</t>
  </si>
  <si>
    <t>CRUMP LESLIE LANDRUM</t>
  </si>
  <si>
    <t>LOT 18 (EX 18-1)</t>
  </si>
  <si>
    <t>854.74</t>
  </si>
  <si>
    <t>798.96</t>
  </si>
  <si>
    <t>712.27</t>
  </si>
  <si>
    <t>1685</t>
  </si>
  <si>
    <t>721.16</t>
  </si>
  <si>
    <t>3162</t>
  </si>
  <si>
    <t>550.12</t>
  </si>
  <si>
    <t>606.12</t>
  </si>
  <si>
    <t>589.45</t>
  </si>
  <si>
    <t>13-2N-28-0000-0002-0080</t>
  </si>
  <si>
    <t>132N28000000020080</t>
  </si>
  <si>
    <t>AMELIA ISLAND PKWY</t>
  </si>
  <si>
    <t>340300</t>
  </si>
  <si>
    <t>288400.00</t>
  </si>
  <si>
    <t>CLARINET I LLC</t>
  </si>
  <si>
    <t>OPEN SPACE &amp; PT ABANDONED</t>
  </si>
  <si>
    <t>48.62</t>
  </si>
  <si>
    <t>43.99</t>
  </si>
  <si>
    <t>50.99</t>
  </si>
  <si>
    <t>42.92</t>
  </si>
  <si>
    <t>43.17</t>
  </si>
  <si>
    <t>35.54</t>
  </si>
  <si>
    <t>2377</t>
  </si>
  <si>
    <t>34.64</t>
  </si>
  <si>
    <t>14-2N-28-0000-0005-0000</t>
  </si>
  <si>
    <t>142N28000000050000</t>
  </si>
  <si>
    <t>5162 FIRST COAST HWY</t>
  </si>
  <si>
    <t>3121</t>
  </si>
  <si>
    <t>10/04/2007</t>
  </si>
  <si>
    <t>HOLLIDAY JOHN F</t>
  </si>
  <si>
    <t>5162 FIRST COAST HIGHWA</t>
  </si>
  <si>
    <t>IN OR 1654/1419</t>
  </si>
  <si>
    <t>3641.21</t>
  </si>
  <si>
    <t>03/24/2018</t>
  </si>
  <si>
    <t>3672.67</t>
  </si>
  <si>
    <t>3658.37</t>
  </si>
  <si>
    <t>1574</t>
  </si>
  <si>
    <t>2937.87</t>
  </si>
  <si>
    <t>1693</t>
  </si>
  <si>
    <t>2916.33</t>
  </si>
  <si>
    <t>14-2N-28-0000-0007-0000</t>
  </si>
  <si>
    <t>142N28000000070000</t>
  </si>
  <si>
    <t>STEWART AV</t>
  </si>
  <si>
    <t>FOSTER MARY &amp; PAMELIA</t>
  </si>
  <si>
    <t>816 VERNON S</t>
  </si>
  <si>
    <t>LOT 3 IN OR 123/111</t>
  </si>
  <si>
    <t>212.72</t>
  </si>
  <si>
    <t>300.23</t>
  </si>
  <si>
    <t>275.12</t>
  </si>
  <si>
    <t>237.65</t>
  </si>
  <si>
    <t>1694</t>
  </si>
  <si>
    <t>226.66</t>
  </si>
  <si>
    <t>329.27</t>
  </si>
  <si>
    <t>14-2N-28-0000-0007-0050</t>
  </si>
  <si>
    <t>142N28000000070050</t>
  </si>
  <si>
    <t>1510 STEWART AVE</t>
  </si>
  <si>
    <t>EMORY EUGENE K</t>
  </si>
  <si>
    <t>5576 GREEG S</t>
  </si>
  <si>
    <t>PT GOVT LOT 2 OF SEC 14-2N-28E</t>
  </si>
  <si>
    <t>537.41</t>
  </si>
  <si>
    <t>560.22</t>
  </si>
  <si>
    <t>08/26/2016</t>
  </si>
  <si>
    <t>512.25</t>
  </si>
  <si>
    <t>372.33</t>
  </si>
  <si>
    <t>364.14</t>
  </si>
  <si>
    <t>08/25/2015</t>
  </si>
  <si>
    <t>323.92</t>
  </si>
  <si>
    <t>704.19</t>
  </si>
  <si>
    <t>62</t>
  </si>
  <si>
    <t>14-2N-28-0000-0007-0110</t>
  </si>
  <si>
    <t>142N28000000070110</t>
  </si>
  <si>
    <t>1428 STEWART AVE</t>
  </si>
  <si>
    <t>208.88</t>
  </si>
  <si>
    <t>2235</t>
  </si>
  <si>
    <t>621.14</t>
  </si>
  <si>
    <t>14-2N-28-0000-0007-0170</t>
  </si>
  <si>
    <t>142N28000000070170</t>
  </si>
  <si>
    <t>TINER JAMES P</t>
  </si>
  <si>
    <t>1448 IAN D</t>
  </si>
  <si>
    <t>LOT 9 IN OR 1791/1341</t>
  </si>
  <si>
    <t>2384</t>
  </si>
  <si>
    <t>494.58</t>
  </si>
  <si>
    <t>505.87</t>
  </si>
  <si>
    <t>10/08/2010</t>
  </si>
  <si>
    <t>14-2N-28-0000-0007-0190</t>
  </si>
  <si>
    <t>142N28-00000007-0190</t>
  </si>
  <si>
    <t>1618 STEWART AVE</t>
  </si>
  <si>
    <t>MARGARET K QUATTLEBAUM</t>
  </si>
  <si>
    <t>8000.00</t>
  </si>
  <si>
    <t>10/01/2005</t>
  </si>
  <si>
    <t>1436 IAN D</t>
  </si>
  <si>
    <t>LOT 8 IN OR 1977/1161</t>
  </si>
  <si>
    <t>14-2N-28-0000-0008-0000</t>
  </si>
  <si>
    <t>142N28000000080000</t>
  </si>
  <si>
    <t>58500</t>
  </si>
  <si>
    <t>229.97</t>
  </si>
  <si>
    <t>303.64</t>
  </si>
  <si>
    <t>1499</t>
  </si>
  <si>
    <t>278.25</t>
  </si>
  <si>
    <t>24-2N-28-0000-0002-0020</t>
  </si>
  <si>
    <t>242N28000000020020</t>
  </si>
  <si>
    <t>96142 BLACKROCK RD</t>
  </si>
  <si>
    <t>HUGHES PATRICIA A</t>
  </si>
  <si>
    <t>445 WEBS R</t>
  </si>
  <si>
    <t>Kingstree</t>
  </si>
  <si>
    <t>South Carolina</t>
  </si>
  <si>
    <t>29556</t>
  </si>
  <si>
    <t>IN OR 1703/701 CASE #10-CP-185</t>
  </si>
  <si>
    <t>24-2N-28-0000-0005-0000</t>
  </si>
  <si>
    <t>242N28000000050000</t>
  </si>
  <si>
    <t>PRINCE DR OFF A1A</t>
  </si>
  <si>
    <t>ALDERMAN ANTHONY &amp;</t>
  </si>
  <si>
    <t>96157 NORTH PRINCE D</t>
  </si>
  <si>
    <t>IN OR 1737/890</t>
  </si>
  <si>
    <t>973.20</t>
  </si>
  <si>
    <t>01/16/2018</t>
  </si>
  <si>
    <t>930.19</t>
  </si>
  <si>
    <t>836.39</t>
  </si>
  <si>
    <t>1703</t>
  </si>
  <si>
    <t>846.58</t>
  </si>
  <si>
    <t>1238.57</t>
  </si>
  <si>
    <t>24-2N-28-0000-0006-0000</t>
  </si>
  <si>
    <t>242N28000000060000</t>
  </si>
  <si>
    <t>69 PRINCE DR</t>
  </si>
  <si>
    <t>ALDERMAN ANTHONY</t>
  </si>
  <si>
    <t>96157 NORTH PRINCE DRIV</t>
  </si>
  <si>
    <t>PT GOVT LOT 3 OF SEC 24-2N-28E</t>
  </si>
  <si>
    <t>270.18</t>
  </si>
  <si>
    <t>266.39</t>
  </si>
  <si>
    <t>255.14</t>
  </si>
  <si>
    <t>271.20</t>
  </si>
  <si>
    <t>239.14</t>
  </si>
  <si>
    <t>2244</t>
  </si>
  <si>
    <t>834.26</t>
  </si>
  <si>
    <t>03/24/2011</t>
  </si>
  <si>
    <t>24-2N-28-0000-0007-0000</t>
  </si>
  <si>
    <t>242N28000000070000</t>
  </si>
  <si>
    <t>PRINCE DR</t>
  </si>
  <si>
    <t>ALBERTIE DOLPHUS SR EST</t>
  </si>
  <si>
    <t>8309 DALESFORD ROA</t>
  </si>
  <si>
    <t>Parkville</t>
  </si>
  <si>
    <t>Maryland</t>
  </si>
  <si>
    <t>21234</t>
  </si>
  <si>
    <t>08/02/2016</t>
  </si>
  <si>
    <t>1705</t>
  </si>
  <si>
    <t>1609</t>
  </si>
  <si>
    <t>179.75</t>
  </si>
  <si>
    <t>2245</t>
  </si>
  <si>
    <t>24-2N-28-0000-0007-0010</t>
  </si>
  <si>
    <t>242N28000000070010</t>
  </si>
  <si>
    <t>96101 NORTH PRINCE DR</t>
  </si>
  <si>
    <t>ALBERTIE THELMA W</t>
  </si>
  <si>
    <t>2040 SOUTEL DRIV</t>
  </si>
  <si>
    <t>609.33</t>
  </si>
  <si>
    <t>619.35</t>
  </si>
  <si>
    <t>1507</t>
  </si>
  <si>
    <t>618.54</t>
  </si>
  <si>
    <t>1706</t>
  </si>
  <si>
    <t>590.13</t>
  </si>
  <si>
    <t>554.93</t>
  </si>
  <si>
    <t>05/23/2011</t>
  </si>
  <si>
    <t>24-2N-28-0000-0011-0000</t>
  </si>
  <si>
    <t>242N28-00000011-0000</t>
  </si>
  <si>
    <t>96079 NORTH PRINCE DR</t>
  </si>
  <si>
    <t>BAKER SYDNEY &amp; ANGELA (JT/RS)&amp;</t>
  </si>
  <si>
    <t>96079 NORTH PRINCE D</t>
  </si>
  <si>
    <t>24-2N-28-0000-0017-0010</t>
  </si>
  <si>
    <t>242N28000000170010</t>
  </si>
  <si>
    <t>464101 SR 200</t>
  </si>
  <si>
    <t>HOLZENDORF QUINN EST</t>
  </si>
  <si>
    <t>1191.11</t>
  </si>
  <si>
    <t>1216.95</t>
  </si>
  <si>
    <t>1168.36</t>
  </si>
  <si>
    <t>1063.05</t>
  </si>
  <si>
    <t>1712</t>
  </si>
  <si>
    <t>1077.51</t>
  </si>
  <si>
    <t>24-2N-28-0000-0020-0000</t>
  </si>
  <si>
    <t>242N28000000200000</t>
  </si>
  <si>
    <t>96053 MT ZION LOOP</t>
  </si>
  <si>
    <t>4254</t>
  </si>
  <si>
    <t>JULIE M PIERCE</t>
  </si>
  <si>
    <t>12/01/2012</t>
  </si>
  <si>
    <t>SOLOMON CLAUDIA H EST</t>
  </si>
  <si>
    <t>BOX 2</t>
  </si>
  <si>
    <t>3449.42</t>
  </si>
  <si>
    <t>3540.59</t>
  </si>
  <si>
    <t>3876.78</t>
  </si>
  <si>
    <t>1249.12</t>
  </si>
  <si>
    <t>12/22/2014</t>
  </si>
  <si>
    <t>1237.03</t>
  </si>
  <si>
    <t>1614</t>
  </si>
  <si>
    <t>1611.10</t>
  </si>
  <si>
    <t>2398</t>
  </si>
  <si>
    <t>1215.94</t>
  </si>
  <si>
    <t>02/15/2011</t>
  </si>
  <si>
    <t>24-2N-28-0000-0037-0000</t>
  </si>
  <si>
    <t>242N28000000370000</t>
  </si>
  <si>
    <t>A1A</t>
  </si>
  <si>
    <t>WATSON FRANK EST</t>
  </si>
  <si>
    <t>PT GOVT LOT 3 PAR 37</t>
  </si>
  <si>
    <t>279.36</t>
  </si>
  <si>
    <t>280.48</t>
  </si>
  <si>
    <t>1716</t>
  </si>
  <si>
    <t>270.97</t>
  </si>
  <si>
    <t>1617</t>
  </si>
  <si>
    <t>267.32</t>
  </si>
  <si>
    <t>2401</t>
  </si>
  <si>
    <t>367.45</t>
  </si>
  <si>
    <t>24-2N-28-0000-0038-0050</t>
  </si>
  <si>
    <t>242N28000000380050</t>
  </si>
  <si>
    <t>MT ZION AV</t>
  </si>
  <si>
    <t>GOLPHIN ESTELLA B</t>
  </si>
  <si>
    <t>11730 TORTOISE WAY NORT</t>
  </si>
  <si>
    <t>PT GOVT LOT 3 PAR 38-5</t>
  </si>
  <si>
    <t>251.89</t>
  </si>
  <si>
    <t>253.05</t>
  </si>
  <si>
    <t>240.69</t>
  </si>
  <si>
    <t>24-2N-28-4940-0005-0000</t>
  </si>
  <si>
    <t>96025 ZION CT</t>
  </si>
  <si>
    <t>GILYARD TORRIE &amp;</t>
  </si>
  <si>
    <t>96025 ZION C</t>
  </si>
  <si>
    <t>24-2N-28-4940-0013-0000</t>
  </si>
  <si>
    <t>242N28494000130000</t>
  </si>
  <si>
    <t>96466 MT ZION LOOP</t>
  </si>
  <si>
    <t>DEMPS OSTEEN JR &amp; MILDRED</t>
  </si>
  <si>
    <t>225 S 13TH STREE</t>
  </si>
  <si>
    <t>1623</t>
  </si>
  <si>
    <t>2440</t>
  </si>
  <si>
    <t>24-2N-28-4940-0014-0000</t>
  </si>
  <si>
    <t>242N28494000140000</t>
  </si>
  <si>
    <t>ZION CIR</t>
  </si>
  <si>
    <t>1721</t>
  </si>
  <si>
    <t>2441</t>
  </si>
  <si>
    <t>24-2N-28-4940-0015-0000</t>
  </si>
  <si>
    <t>242N28494000150000</t>
  </si>
  <si>
    <t>A1A/ZION CR</t>
  </si>
  <si>
    <t>674.47</t>
  </si>
  <si>
    <t>652.91</t>
  </si>
  <si>
    <t>1722</t>
  </si>
  <si>
    <t>660.81</t>
  </si>
  <si>
    <t>1625</t>
  </si>
  <si>
    <t>663.98</t>
  </si>
  <si>
    <t>2442</t>
  </si>
  <si>
    <t>666.55</t>
  </si>
  <si>
    <t>2262</t>
  </si>
  <si>
    <t>894.27</t>
  </si>
  <si>
    <t>24-2N-28-4940-0016-0000</t>
  </si>
  <si>
    <t>242N28494000160000</t>
  </si>
  <si>
    <t>A1A/ ZION CR</t>
  </si>
  <si>
    <t>624.12</t>
  </si>
  <si>
    <t>636.72</t>
  </si>
  <si>
    <t>603.85</t>
  </si>
  <si>
    <t>611.12</t>
  </si>
  <si>
    <t>613.43</t>
  </si>
  <si>
    <t>2443</t>
  </si>
  <si>
    <t>615.72</t>
  </si>
  <si>
    <t>2263</t>
  </si>
  <si>
    <t>825.68</t>
  </si>
  <si>
    <t>25-2N-28-0000-0001-0050</t>
  </si>
  <si>
    <t>BLACKROCK RD</t>
  </si>
  <si>
    <t>11.42</t>
  </si>
  <si>
    <t>HARTLEY JAMES E</t>
  </si>
  <si>
    <t>9140 BON AIR D</t>
  </si>
  <si>
    <t>IN OR 1834/653</t>
  </si>
  <si>
    <t>3402.35</t>
  </si>
  <si>
    <t>11/12/2017</t>
  </si>
  <si>
    <t>25-2N-28-0000-0002-0030</t>
  </si>
  <si>
    <t>252N28000000020030</t>
  </si>
  <si>
    <t>96063 BLACKROCK RD</t>
  </si>
  <si>
    <t>17.49</t>
  </si>
  <si>
    <t>258500</t>
  </si>
  <si>
    <t>BRASWELL ENTERPRISES II INC</t>
  </si>
  <si>
    <t>IN OR 1254/1682</t>
  </si>
  <si>
    <t>77.51</t>
  </si>
  <si>
    <t>69.82</t>
  </si>
  <si>
    <t>55.78</t>
  </si>
  <si>
    <t>38.36</t>
  </si>
  <si>
    <t>25-2N-28-0000-0002-0280</t>
  </si>
  <si>
    <t>252N28000000020280</t>
  </si>
  <si>
    <t>AMELIA CONCOURSE</t>
  </si>
  <si>
    <t>9.07</t>
  </si>
  <si>
    <t>PT OR 963/1580 &amp; PT 963/1590</t>
  </si>
  <si>
    <t>403.46</t>
  </si>
  <si>
    <t>407.60</t>
  </si>
  <si>
    <t>409.54</t>
  </si>
  <si>
    <t>388.82</t>
  </si>
  <si>
    <t>1727</t>
  </si>
  <si>
    <t>393.40</t>
  </si>
  <si>
    <t>1650</t>
  </si>
  <si>
    <t>543.07</t>
  </si>
  <si>
    <t>2446</t>
  </si>
  <si>
    <t>696.96</t>
  </si>
  <si>
    <t>25-2N-28-0000-0002-0400</t>
  </si>
  <si>
    <t>252N28000000020400</t>
  </si>
  <si>
    <t>463949 SR 200</t>
  </si>
  <si>
    <t>RESTAURANTS/CAFE</t>
  </si>
  <si>
    <t>500000</t>
  </si>
  <si>
    <t>HARRISON GEORGE WAYNE</t>
  </si>
  <si>
    <t>3000 NORTH ATLANTIC AVE #1</t>
  </si>
  <si>
    <t>Daytona Beach</t>
  </si>
  <si>
    <t>32118</t>
  </si>
  <si>
    <t>IN OR 802 PG 783</t>
  </si>
  <si>
    <t>5101.98</t>
  </si>
  <si>
    <t>5298.03</t>
  </si>
  <si>
    <t>4878.21</t>
  </si>
  <si>
    <t>1605</t>
  </si>
  <si>
    <t>4696.68</t>
  </si>
  <si>
    <t>4676.50</t>
  </si>
  <si>
    <t>10/18/2013</t>
  </si>
  <si>
    <t>1651</t>
  </si>
  <si>
    <t>4194.93</t>
  </si>
  <si>
    <t>25-2N-28-0000-0002-0720</t>
  </si>
  <si>
    <t>252N28000000020720</t>
  </si>
  <si>
    <t>4.47</t>
  </si>
  <si>
    <t>472.27</t>
  </si>
  <si>
    <t>1526</t>
  </si>
  <si>
    <t>473.95</t>
  </si>
  <si>
    <t>479.60</t>
  </si>
  <si>
    <t>572.74</t>
  </si>
  <si>
    <t>2448</t>
  </si>
  <si>
    <t>733.96</t>
  </si>
  <si>
    <t>2266</t>
  </si>
  <si>
    <t>728.28</t>
  </si>
  <si>
    <t>25-2N-28-0000-0002-0730</t>
  </si>
  <si>
    <t>252N28000000020730</t>
  </si>
  <si>
    <t>7.82</t>
  </si>
  <si>
    <t>805.96</t>
  </si>
  <si>
    <t>857.33</t>
  </si>
  <si>
    <t>1608</t>
  </si>
  <si>
    <t>812.67</t>
  </si>
  <si>
    <t>1731</t>
  </si>
  <si>
    <t>822.55</t>
  </si>
  <si>
    <t>991.46</t>
  </si>
  <si>
    <t>1274.29</t>
  </si>
  <si>
    <t>1265.08</t>
  </si>
  <si>
    <t>25-2N-28-027C-0808-0000</t>
  </si>
  <si>
    <t>252N28027C08080000</t>
  </si>
  <si>
    <t>96062 STONEY CREEK PKWY</t>
  </si>
  <si>
    <t>CONDOMINIUM</t>
  </si>
  <si>
    <t>121900</t>
  </si>
  <si>
    <t>CAMPO RICHARD &amp; ANGELA</t>
  </si>
  <si>
    <t>9202 STONEY MOUNTAIN DRIV</t>
  </si>
  <si>
    <t>Chattanooga</t>
  </si>
  <si>
    <t>37421</t>
  </si>
  <si>
    <t>UNIT 808</t>
  </si>
  <si>
    <t>1926.57</t>
  </si>
  <si>
    <t>1890.71</t>
  </si>
  <si>
    <t>1676.77</t>
  </si>
  <si>
    <t>2450</t>
  </si>
  <si>
    <t>2238.40</t>
  </si>
  <si>
    <t>25-2N-28-027C-1101-0000</t>
  </si>
  <si>
    <t>252N28027C11010000</t>
  </si>
  <si>
    <t>96041 COTTAGE CT</t>
  </si>
  <si>
    <t>117900</t>
  </si>
  <si>
    <t>DEAVER RAYMON T LIVING TRUST</t>
  </si>
  <si>
    <t>2365 LAKE AVENU</t>
  </si>
  <si>
    <t>Thorton</t>
  </si>
  <si>
    <t>Colorado</t>
  </si>
  <si>
    <t>80241</t>
  </si>
  <si>
    <t>UNIT 1101</t>
  </si>
  <si>
    <t>1969.43</t>
  </si>
  <si>
    <t>1831.54</t>
  </si>
  <si>
    <t>25-2N-28-027C-1307-0000</t>
  </si>
  <si>
    <t>252N28027C13070000</t>
  </si>
  <si>
    <t>96013 COTTAGE CT</t>
  </si>
  <si>
    <t>104900</t>
  </si>
  <si>
    <t>UNIT 1307</t>
  </si>
  <si>
    <t>1936.24</t>
  </si>
  <si>
    <t>1712.65</t>
  </si>
  <si>
    <t>25-2N-28-027C-1404-0000</t>
  </si>
  <si>
    <t>96022 COTTAGE CT</t>
  </si>
  <si>
    <t>168000</t>
  </si>
  <si>
    <t>PRIMELENDING</t>
  </si>
  <si>
    <t>54500.00</t>
  </si>
  <si>
    <t>04/01/2026</t>
  </si>
  <si>
    <t>LATZA SABINE DOROTHEE</t>
  </si>
  <si>
    <t>2402 S WINONA COUR</t>
  </si>
  <si>
    <t>Denver</t>
  </si>
  <si>
    <t>80219</t>
  </si>
  <si>
    <t>UNIT 1404</t>
  </si>
  <si>
    <t>2269</t>
  </si>
  <si>
    <t>2341.30</t>
  </si>
  <si>
    <t>25-2N-28-027C-2607-0000</t>
  </si>
  <si>
    <t>252N28027C26070000</t>
  </si>
  <si>
    <t>96094 STONEY DR</t>
  </si>
  <si>
    <t>109900</t>
  </si>
  <si>
    <t>Thornton</t>
  </si>
  <si>
    <t>UNIT 2607</t>
  </si>
  <si>
    <t>1856.80</t>
  </si>
  <si>
    <t>1611</t>
  </si>
  <si>
    <t>1478.51</t>
  </si>
  <si>
    <t>25-2N-28-027C-2702-0000</t>
  </si>
  <si>
    <t>252N28027C27020000</t>
  </si>
  <si>
    <t>96138 STONEY DR</t>
  </si>
  <si>
    <t>107900</t>
  </si>
  <si>
    <t>UNIT 2702</t>
  </si>
  <si>
    <t>1612</t>
  </si>
  <si>
    <t>25-2N-28-0551-0067-0000</t>
  </si>
  <si>
    <t>33119 SUNNY PARKE CIR</t>
  </si>
  <si>
    <t>3276</t>
  </si>
  <si>
    <t>297000</t>
  </si>
  <si>
    <t>ROSS WILLIAM L</t>
  </si>
  <si>
    <t>33119 SUNNY PARKE CIRCL</t>
  </si>
  <si>
    <t>LOT 67</t>
  </si>
  <si>
    <t>26-2N-28-006A-0068-0000</t>
  </si>
  <si>
    <t>95092 BUCKEYE CT</t>
  </si>
  <si>
    <t>111000</t>
  </si>
  <si>
    <t>WEEKLEY HOMES LP</t>
  </si>
  <si>
    <t>1235 NORTH LOOP WEST STE 20</t>
  </si>
  <si>
    <t>Houston</t>
  </si>
  <si>
    <t>77008</t>
  </si>
  <si>
    <t>LOT 68</t>
  </si>
  <si>
    <t>26-2N-28-006A-0127-0000</t>
  </si>
  <si>
    <t>95034 BERMUDA DR</t>
  </si>
  <si>
    <t>LOT 127</t>
  </si>
  <si>
    <t>26-2N-28-006A-0145-0000</t>
  </si>
  <si>
    <t>262N28006A01450000</t>
  </si>
  <si>
    <t>95012 SUNFLOWER CT</t>
  </si>
  <si>
    <t>239000</t>
  </si>
  <si>
    <t>AMERICAN BROKERS CONDUIT</t>
  </si>
  <si>
    <t>112500.00</t>
  </si>
  <si>
    <t>05/01/2021</t>
  </si>
  <si>
    <t>AMELIA NATIONAL CDD</t>
  </si>
  <si>
    <t>WATCH LIST</t>
  </si>
  <si>
    <t>14575000</t>
  </si>
  <si>
    <t>GOWER JAMES N &amp; VALENCIA D</t>
  </si>
  <si>
    <t>95012 SUNFLOWER COUR</t>
  </si>
  <si>
    <t>LOT 145</t>
  </si>
  <si>
    <t>4119.07</t>
  </si>
  <si>
    <t>1481</t>
  </si>
  <si>
    <t>4040.67</t>
  </si>
  <si>
    <t>4152.77</t>
  </si>
  <si>
    <t>4454.63</t>
  </si>
  <si>
    <t>26-2N-28-006A-0223-0000</t>
  </si>
  <si>
    <t>95048 SUGARBERRY CT</t>
  </si>
  <si>
    <t>3408</t>
  </si>
  <si>
    <t>384700</t>
  </si>
  <si>
    <t>HEIDER JEANETTE D</t>
  </si>
  <si>
    <t>604 OCEAN CLUB C</t>
  </si>
  <si>
    <t>LOT 223</t>
  </si>
  <si>
    <t>26-2N-28-006A-0262-0000</t>
  </si>
  <si>
    <t>95040 KESTREL CT</t>
  </si>
  <si>
    <t>2589500</t>
  </si>
  <si>
    <t>LOT 262</t>
  </si>
  <si>
    <t>26-2N-28-168P-0003-0000</t>
  </si>
  <si>
    <t>262N28-168P0003-0000</t>
  </si>
  <si>
    <t>94006 HEMLOCK CT</t>
  </si>
  <si>
    <t>238000</t>
  </si>
  <si>
    <t>ADVANTAGE HOME BUILDERS INC</t>
  </si>
  <si>
    <t>305 KINGSLEY LAKE DR STE 70</t>
  </si>
  <si>
    <t>St Augustine</t>
  </si>
  <si>
    <t>32092</t>
  </si>
  <si>
    <t>2471.82</t>
  </si>
  <si>
    <t>1485</t>
  </si>
  <si>
    <t>2368.65</t>
  </si>
  <si>
    <t>26-2N-28-168P-0004-0000</t>
  </si>
  <si>
    <t>262N28-168P0004-0000</t>
  </si>
  <si>
    <t>94008 HEMLOCK CT</t>
  </si>
  <si>
    <t>26-2N-28-168P-0005-0000</t>
  </si>
  <si>
    <t>262N28-168P0005-0000</t>
  </si>
  <si>
    <t>94010 HEMLOCK CT</t>
  </si>
  <si>
    <t>26-2N-28-168P-0006-0000</t>
  </si>
  <si>
    <t>262N28-168P0006-0000</t>
  </si>
  <si>
    <t>94012 HEMLOCK CT</t>
  </si>
  <si>
    <t>26-2N-28-168P-0007-0000</t>
  </si>
  <si>
    <t>262N28-168P0007-0000</t>
  </si>
  <si>
    <t>94014 HEMLOCK CT</t>
  </si>
  <si>
    <t>26-2N-28-168P-0008-0000</t>
  </si>
  <si>
    <t>262N28-168P0008-0000</t>
  </si>
  <si>
    <t>94016 HEMLOCK CT</t>
  </si>
  <si>
    <t>1462</t>
  </si>
  <si>
    <t>26-2N-28-168P-0011-0000</t>
  </si>
  <si>
    <t>262N28-168P0011-0000</t>
  </si>
  <si>
    <t>94022 HEMLOCK CT</t>
  </si>
  <si>
    <t>2803.86</t>
  </si>
  <si>
    <t>2708.76</t>
  </si>
  <si>
    <t>26-2N-28-168P-0012-0000</t>
  </si>
  <si>
    <t>262N28-168P0012-0000</t>
  </si>
  <si>
    <t>94024 HEMLOCK CT</t>
  </si>
  <si>
    <t>26-2N-28-168P-0013-0000</t>
  </si>
  <si>
    <t>262N28-168P0013-0000</t>
  </si>
  <si>
    <t>94028 HEMLOCK CT</t>
  </si>
  <si>
    <t>26-2N-28-168P-0014-0000</t>
  </si>
  <si>
    <t>262N28-168P0014-0000</t>
  </si>
  <si>
    <t>94030 HEMLOCK CT</t>
  </si>
  <si>
    <t>27-2N-28-0000-0004-0000</t>
  </si>
  <si>
    <t>272N28000000040000</t>
  </si>
  <si>
    <t>942699 OLD NASSAUVILLE RD</t>
  </si>
  <si>
    <t>4696</t>
  </si>
  <si>
    <t>475000</t>
  </si>
  <si>
    <t>DALE P &amp; CAROL E</t>
  </si>
  <si>
    <t>325000.00</t>
  </si>
  <si>
    <t>06/08/2001</t>
  </si>
  <si>
    <t>IN OR 710 PG 160</t>
  </si>
  <si>
    <t>5052.04</t>
  </si>
  <si>
    <t>3538.90</t>
  </si>
  <si>
    <t>07/16/2015</t>
  </si>
  <si>
    <t>3196.53</t>
  </si>
  <si>
    <t>1696</t>
  </si>
  <si>
    <t>3453.32</t>
  </si>
  <si>
    <t>2462</t>
  </si>
  <si>
    <t>3464.00</t>
  </si>
  <si>
    <t>4719.12</t>
  </si>
  <si>
    <t>27-2N-28-004L-0G22-0000</t>
  </si>
  <si>
    <t>272N28004L0G220000</t>
  </si>
  <si>
    <t>PARADISE COMMONS</t>
  </si>
  <si>
    <t>AMELIA INVEST LLC</t>
  </si>
  <si>
    <t>201 E MCBEE AVESUITE 20</t>
  </si>
  <si>
    <t>Greenville</t>
  </si>
  <si>
    <t>29601</t>
  </si>
  <si>
    <t>GARAGE UNIT G-22</t>
  </si>
  <si>
    <t>102.89</t>
  </si>
  <si>
    <t>114.00</t>
  </si>
  <si>
    <t>2482</t>
  </si>
  <si>
    <t>113.55</t>
  </si>
  <si>
    <t>27-2N-28-004L-0G30-0000</t>
  </si>
  <si>
    <t>272N28004L0G300000</t>
  </si>
  <si>
    <t>GARAGE UNIT G-30</t>
  </si>
  <si>
    <t>110.01</t>
  </si>
  <si>
    <t>2489</t>
  </si>
  <si>
    <t>27-2N-28-004L-1222-0000</t>
  </si>
  <si>
    <t>272N28004L12220000</t>
  </si>
  <si>
    <t>23671 BAHAMA PT 1222</t>
  </si>
  <si>
    <t>135800</t>
  </si>
  <si>
    <t>ANDREWS WALTER F &amp; VIRGINIA J</t>
  </si>
  <si>
    <t>95366 ARBOR LAN</t>
  </si>
  <si>
    <t>UNIT 1222</t>
  </si>
  <si>
    <t>1072.93</t>
  </si>
  <si>
    <t>962.03</t>
  </si>
  <si>
    <t>1633</t>
  </si>
  <si>
    <t>863.21</t>
  </si>
  <si>
    <t>890.12</t>
  </si>
  <si>
    <t>1729</t>
  </si>
  <si>
    <t>1167.31</t>
  </si>
  <si>
    <t>27-2N-28-004L-1524-0000</t>
  </si>
  <si>
    <t>23583 BAHAMA PT 1524</t>
  </si>
  <si>
    <t>111900</t>
  </si>
  <si>
    <t>LINDSAY DEBORAH L</t>
  </si>
  <si>
    <t>24 WATER STREE</t>
  </si>
  <si>
    <t>Lubee</t>
  </si>
  <si>
    <t>Maine</t>
  </si>
  <si>
    <t>04652</t>
  </si>
  <si>
    <t>UNIT 1524</t>
  </si>
  <si>
    <t>27-2N-28-014A-0006-0000</t>
  </si>
  <si>
    <t>272N28014A00060000</t>
  </si>
  <si>
    <t>23722 ARRIGO BLVD</t>
  </si>
  <si>
    <t>ERICKSON KATHY L &amp;</t>
  </si>
  <si>
    <t>23722 ARRIGO BLV</t>
  </si>
  <si>
    <t>1501</t>
  </si>
  <si>
    <t>1545</t>
  </si>
  <si>
    <t>353.98</t>
  </si>
  <si>
    <t>317.65</t>
  </si>
  <si>
    <t>06/30/2014</t>
  </si>
  <si>
    <t>27-2N-28-014A-000A-0000</t>
  </si>
  <si>
    <t>272N28014A000A0000</t>
  </si>
  <si>
    <t>ARRIGO BLVD</t>
  </si>
  <si>
    <t>W R HOWELL COMPANY</t>
  </si>
  <si>
    <t>4545 ORTEGA BLV</t>
  </si>
  <si>
    <t>FOR INFO ONLY COMMON ELEMENT</t>
  </si>
  <si>
    <t>1502</t>
  </si>
  <si>
    <t>50.06</t>
  </si>
  <si>
    <t>50.19</t>
  </si>
  <si>
    <t>27-2N-28-014A-000B-0000</t>
  </si>
  <si>
    <t>272N28014A000B0000</t>
  </si>
  <si>
    <t>ARRIGO BV</t>
  </si>
  <si>
    <t>65.70</t>
  </si>
  <si>
    <t>65.92</t>
  </si>
  <si>
    <t>27-2N-28-141A-0004-0010</t>
  </si>
  <si>
    <t>272N28141A00040010</t>
  </si>
  <si>
    <t>96029 PARLIAMENT DR</t>
  </si>
  <si>
    <t>CITIBANK</t>
  </si>
  <si>
    <t>19500.00</t>
  </si>
  <si>
    <t>CARTRETTE GARY &amp; JENNIFER L</t>
  </si>
  <si>
    <t>96029 PARLIAMENT DRIV</t>
  </si>
  <si>
    <t>1208.62</t>
  </si>
  <si>
    <t>09/12/2012</t>
  </si>
  <si>
    <t>28-2N-28-0000-0002-0000</t>
  </si>
  <si>
    <t>282N28-00000002-0000</t>
  </si>
  <si>
    <t>95139 RANCH WAY</t>
  </si>
  <si>
    <t>3189</t>
  </si>
  <si>
    <t>HEAPE BARBARA L</t>
  </si>
  <si>
    <t>95139 RANCH WA</t>
  </si>
  <si>
    <t>PT FRAC SEC 28-2N-28E</t>
  </si>
  <si>
    <t>1304.88</t>
  </si>
  <si>
    <t>1389.89</t>
  </si>
  <si>
    <t>29-2N-28-0000-0002-0040</t>
  </si>
  <si>
    <t>1425500</t>
  </si>
  <si>
    <t>D R HORTON INC-JACKSONVILLE</t>
  </si>
  <si>
    <t>4220 RACE TRACK RD STE 10</t>
  </si>
  <si>
    <t>St Johns</t>
  </si>
  <si>
    <t>32259</t>
  </si>
  <si>
    <t>PT SEC 30-2N-28E</t>
  </si>
  <si>
    <t>29-2N-28-4950-0020-0000</t>
  </si>
  <si>
    <t>292N28495000200000</t>
  </si>
  <si>
    <t>95199 MARC ANTHONY RD</t>
  </si>
  <si>
    <t>2.08</t>
  </si>
  <si>
    <t>BOONE DANIEL LEE &amp; SHIRLEY ANN</t>
  </si>
  <si>
    <t>95199 MARC ANTHONY ROA</t>
  </si>
  <si>
    <t>749.07</t>
  </si>
  <si>
    <t>757.09</t>
  </si>
  <si>
    <t>10/21/2016</t>
  </si>
  <si>
    <t>750.44</t>
  </si>
  <si>
    <t>818.49</t>
  </si>
  <si>
    <t>994.83</t>
  </si>
  <si>
    <t>937.39</t>
  </si>
  <si>
    <t>30-2N-28-0150-0095-0000</t>
  </si>
  <si>
    <t>302N28015000950000</t>
  </si>
  <si>
    <t>85352 AMARYLLIS CT</t>
  </si>
  <si>
    <t>220000</t>
  </si>
  <si>
    <t>HOME AMERICAN MORTGAGE CORP</t>
  </si>
  <si>
    <t>199960.00</t>
  </si>
  <si>
    <t>01/01/2044</t>
  </si>
  <si>
    <t>AMELIA CONCOURSE CDD</t>
  </si>
  <si>
    <t>7350000</t>
  </si>
  <si>
    <t>HICKOX EPHRIAM</t>
  </si>
  <si>
    <t>85352 AMARYLLIS C</t>
  </si>
  <si>
    <t>Fernanidna Beach</t>
  </si>
  <si>
    <t>LOT 95</t>
  </si>
  <si>
    <t>31-2N-28-0000-0003-0090</t>
  </si>
  <si>
    <t>312N28000000030090</t>
  </si>
  <si>
    <t>95274 CATALINA DR</t>
  </si>
  <si>
    <t>WINSTON SHEEN IRA #1254821</t>
  </si>
  <si>
    <t>06/01/2043</t>
  </si>
  <si>
    <t>WORTMAN VICKIE</t>
  </si>
  <si>
    <t>95274 CATALINA DRIV</t>
  </si>
  <si>
    <t>IN OR 1583/1318</t>
  </si>
  <si>
    <t>716.02</t>
  </si>
  <si>
    <t>257.02</t>
  </si>
  <si>
    <t>638.23</t>
  </si>
  <si>
    <t>31-2N-28-0000-0003-0170</t>
  </si>
  <si>
    <t>95323 KAREN WALK</t>
  </si>
  <si>
    <t>108567.00</t>
  </si>
  <si>
    <t>02/01/2039</t>
  </si>
  <si>
    <t>COLLINS MARYANN</t>
  </si>
  <si>
    <t>BOX 176</t>
  </si>
  <si>
    <t>PT OF SW1/4 OF SW1/4</t>
  </si>
  <si>
    <t>31-2N-28-0235-0004-0000</t>
  </si>
  <si>
    <t>312N28023500040000</t>
  </si>
  <si>
    <t>95232 BARBARAS PL</t>
  </si>
  <si>
    <t>DEJESUS LUIS &amp; LINDA</t>
  </si>
  <si>
    <t>95232 BARBARAS PLAC</t>
  </si>
  <si>
    <t>LOT 4      R673359 &amp; R673360</t>
  </si>
  <si>
    <t>502.60</t>
  </si>
  <si>
    <t>516.21</t>
  </si>
  <si>
    <t>528.46</t>
  </si>
  <si>
    <t>551.99</t>
  </si>
  <si>
    <t>1763</t>
  </si>
  <si>
    <t>570.89</t>
  </si>
  <si>
    <t>569.93</t>
  </si>
  <si>
    <t>2509</t>
  </si>
  <si>
    <t>615.63</t>
  </si>
  <si>
    <t>31-2N-28-0235-0005-0000</t>
  </si>
  <si>
    <t>312N28023500050000</t>
  </si>
  <si>
    <t>95260 BARBARAS PL</t>
  </si>
  <si>
    <t>109000.00</t>
  </si>
  <si>
    <t>05/26/2011</t>
  </si>
  <si>
    <t>HAYS ANN M</t>
  </si>
  <si>
    <t>95260 BARBARAS P</t>
  </si>
  <si>
    <t>LOT 5 &amp; PT GOVT LOT 2 OF</t>
  </si>
  <si>
    <t>695.80</t>
  </si>
  <si>
    <t>1764</t>
  </si>
  <si>
    <t>760.32</t>
  </si>
  <si>
    <t>1854</t>
  </si>
  <si>
    <t>1299.79</t>
  </si>
  <si>
    <t>1535.32</t>
  </si>
  <si>
    <t>31-2N-28-0235-0012-0000</t>
  </si>
  <si>
    <t>312N28023500120000</t>
  </si>
  <si>
    <t>95466 BARBARAS PL</t>
  </si>
  <si>
    <t>SANDERS LUANN L</t>
  </si>
  <si>
    <t>95466 BARBARAS P</t>
  </si>
  <si>
    <t>1070.50</t>
  </si>
  <si>
    <t>1099.11</t>
  </si>
  <si>
    <t>1140.01</t>
  </si>
  <si>
    <t>07/27/2016</t>
  </si>
  <si>
    <t>1178.28</t>
  </si>
  <si>
    <t>601.60</t>
  </si>
  <si>
    <t>2510</t>
  </si>
  <si>
    <t>671.70</t>
  </si>
  <si>
    <t>849.19</t>
  </si>
  <si>
    <t>31-2N-28-1400-0007-0010</t>
  </si>
  <si>
    <t>312N28140000070010</t>
  </si>
  <si>
    <t>95272 KAREN WALK</t>
  </si>
  <si>
    <t>Solid Waste Facility</t>
  </si>
  <si>
    <t>RONALD W RING</t>
  </si>
  <si>
    <t>03/15/2007</t>
  </si>
  <si>
    <t>WEAVER RICHARD D &amp; AMANDA</t>
  </si>
  <si>
    <t>811 GA HWY 247 SOUT</t>
  </si>
  <si>
    <t>Kathleen</t>
  </si>
  <si>
    <t>31047</t>
  </si>
  <si>
    <t>W290.37' OF LOT 7 (S-1 &amp; S-2)</t>
  </si>
  <si>
    <t>274.29</t>
  </si>
  <si>
    <t>31-2N-28-1600-0003-0000</t>
  </si>
  <si>
    <t>312N28160000030000</t>
  </si>
  <si>
    <t>95587 LEO DR</t>
  </si>
  <si>
    <t>ROLSTON KRISTIN P &amp;</t>
  </si>
  <si>
    <t>95587 LEO DRIV</t>
  </si>
  <si>
    <t>1172.43</t>
  </si>
  <si>
    <t>1256.95</t>
  </si>
  <si>
    <t>651.11</t>
  </si>
  <si>
    <t>12/15/2014</t>
  </si>
  <si>
    <t>877.42</t>
  </si>
  <si>
    <t>10/11/2013</t>
  </si>
  <si>
    <t>1043.32</t>
  </si>
  <si>
    <t>1181.39</t>
  </si>
  <si>
    <t>11/29/2010</t>
  </si>
  <si>
    <t>31-2N-28-1600-0015-0000</t>
  </si>
  <si>
    <t>95304 LEO DR</t>
  </si>
  <si>
    <t>106089.00</t>
  </si>
  <si>
    <t>07/11/2028</t>
  </si>
  <si>
    <t>HALL JESSIE LEE &amp; BRENDA S</t>
  </si>
  <si>
    <t>95304 LEO D</t>
  </si>
  <si>
    <t>166.90</t>
  </si>
  <si>
    <t>31-2N-28-1600-0020-0000</t>
  </si>
  <si>
    <t>312N28160000200000</t>
  </si>
  <si>
    <t>95160 LEO DR</t>
  </si>
  <si>
    <t>MAXELL DANNY L</t>
  </si>
  <si>
    <t>95055 JUSTIN C</t>
  </si>
  <si>
    <t>2517</t>
  </si>
  <si>
    <t>660.72</t>
  </si>
  <si>
    <t>04/20/2012</t>
  </si>
  <si>
    <t>31-2N-28-1601-0031-0000</t>
  </si>
  <si>
    <t>312N28160100310000</t>
  </si>
  <si>
    <t>95118 LOUISE CT</t>
  </si>
  <si>
    <t>JENKINS DEAH LYNN</t>
  </si>
  <si>
    <t>BOX 1577</t>
  </si>
  <si>
    <t>LOT 31   R408011 &amp; R408012</t>
  </si>
  <si>
    <t>434.65</t>
  </si>
  <si>
    <t>439.55</t>
  </si>
  <si>
    <t>178.47</t>
  </si>
  <si>
    <t>2588</t>
  </si>
  <si>
    <t>145.29</t>
  </si>
  <si>
    <t>2862</t>
  </si>
  <si>
    <t>147.34</t>
  </si>
  <si>
    <t>3219</t>
  </si>
  <si>
    <t>156.16</t>
  </si>
  <si>
    <t>01/22/2014</t>
  </si>
  <si>
    <t>2523</t>
  </si>
  <si>
    <t>173.55</t>
  </si>
  <si>
    <t>2335</t>
  </si>
  <si>
    <t>164.24</t>
  </si>
  <si>
    <t>31-2N-28-1875-0001-0060</t>
  </si>
  <si>
    <t>312N28187500010060</t>
  </si>
  <si>
    <t>95135 WILDWOOD CIR</t>
  </si>
  <si>
    <t>1779</t>
  </si>
  <si>
    <t>114400</t>
  </si>
  <si>
    <t>OAKES MICHAEL A &amp; BARBARA J</t>
  </si>
  <si>
    <t>95135 WILDWOOD CIRCL</t>
  </si>
  <si>
    <t>1100.45</t>
  </si>
  <si>
    <t>1114.51</t>
  </si>
  <si>
    <t>03/14/2018</t>
  </si>
  <si>
    <t>1106.82</t>
  </si>
  <si>
    <t>1038.73</t>
  </si>
  <si>
    <t>1062.56</t>
  </si>
  <si>
    <t>03/13/2015</t>
  </si>
  <si>
    <t>1865</t>
  </si>
  <si>
    <t>03/12/2014</t>
  </si>
  <si>
    <t>2528</t>
  </si>
  <si>
    <t>1219.73</t>
  </si>
  <si>
    <t>1365.19</t>
  </si>
  <si>
    <t>31-2N-28-1875-0004-0010</t>
  </si>
  <si>
    <t>312N28187500040010</t>
  </si>
  <si>
    <t>95025 GREENBERRY RD</t>
  </si>
  <si>
    <t>11/05/2004</t>
  </si>
  <si>
    <t>EVANS WILLIAM P JR &amp; JENNIFER</t>
  </si>
  <si>
    <t>95025 GREENBERRY R</t>
  </si>
  <si>
    <t>1158.96</t>
  </si>
  <si>
    <t>1174.02</t>
  </si>
  <si>
    <t>1166.15</t>
  </si>
  <si>
    <t>1659</t>
  </si>
  <si>
    <t>1094.02</t>
  </si>
  <si>
    <t>31-2N-28-4955-0001-0020</t>
  </si>
  <si>
    <t>312N28495500010020</t>
  </si>
  <si>
    <t>95066 JUSTIN CT</t>
  </si>
  <si>
    <t>BARBARA C MCDUFFIE</t>
  </si>
  <si>
    <t>KNOX MATTHEW</t>
  </si>
  <si>
    <t>95066 JUSTIN COUR</t>
  </si>
  <si>
    <t>BLOCK 1 LOT 2</t>
  </si>
  <si>
    <t>243.04</t>
  </si>
  <si>
    <t>248.61</t>
  </si>
  <si>
    <t>381.66</t>
  </si>
  <si>
    <t>11/11/2014</t>
  </si>
  <si>
    <t>400.86</t>
  </si>
  <si>
    <t>2529</t>
  </si>
  <si>
    <t>543.99</t>
  </si>
  <si>
    <t>31-2N-28-4955-0001-0090</t>
  </si>
  <si>
    <t>312N28495500010090</t>
  </si>
  <si>
    <t>JUSTIN CT</t>
  </si>
  <si>
    <t>36500</t>
  </si>
  <si>
    <t>GEORGE R MALLONEE</t>
  </si>
  <si>
    <t>07/19/2001</t>
  </si>
  <si>
    <t>08/16/2011</t>
  </si>
  <si>
    <t>MAXWELL DANNY L &amp; ELIZABETH</t>
  </si>
  <si>
    <t>BLOCK 1 LOT 9</t>
  </si>
  <si>
    <t>2530</t>
  </si>
  <si>
    <t>746.88</t>
  </si>
  <si>
    <t>31-2N-28-4955-0003-0060</t>
  </si>
  <si>
    <t>312N28495500030060</t>
  </si>
  <si>
    <t>95320 PLUM LOOP</t>
  </si>
  <si>
    <t>HOETZLEIN SUSAN C &amp;</t>
  </si>
  <si>
    <t>95030 GENTRY LN</t>
  </si>
  <si>
    <t>BLOCK 3 LOT 6</t>
  </si>
  <si>
    <t>555.28</t>
  </si>
  <si>
    <t>699.57</t>
  </si>
  <si>
    <t>610.79</t>
  </si>
  <si>
    <t>05/01/2017</t>
  </si>
  <si>
    <t>719.08</t>
  </si>
  <si>
    <t>734.59</t>
  </si>
  <si>
    <t>1869</t>
  </si>
  <si>
    <t>1026.00</t>
  </si>
  <si>
    <t>2532</t>
  </si>
  <si>
    <t>1231.08</t>
  </si>
  <si>
    <t>2344</t>
  </si>
  <si>
    <t>1324.88</t>
  </si>
  <si>
    <t>31-2N-28-4955-0003-0080</t>
  </si>
  <si>
    <t>312N28495500030080</t>
  </si>
  <si>
    <t>95398 PLUM LOOP</t>
  </si>
  <si>
    <t>RONALD E GRAY ETUX</t>
  </si>
  <si>
    <t>53113.00</t>
  </si>
  <si>
    <t>04/15/2026</t>
  </si>
  <si>
    <t>JOHNSON MATTHEW BRANDON</t>
  </si>
  <si>
    <t>95398 PLUM LOO</t>
  </si>
  <si>
    <t>1583</t>
  </si>
  <si>
    <t>634.84</t>
  </si>
  <si>
    <t>04/25/2016</t>
  </si>
  <si>
    <t>32-2N-28-0000-0009-0000</t>
  </si>
  <si>
    <t>322N28000000090000</t>
  </si>
  <si>
    <t>95083 BLUE LN</t>
  </si>
  <si>
    <t>BOATRIGHT CYNTHIA K &amp; JOHNNY P</t>
  </si>
  <si>
    <t>95083 BLUE LAN</t>
  </si>
  <si>
    <t>PT S1/2 OF NE1/4 OF SE1/4 OF</t>
  </si>
  <si>
    <t>544.56</t>
  </si>
  <si>
    <t>02/11/2017</t>
  </si>
  <si>
    <t>596.92</t>
  </si>
  <si>
    <t>610.85</t>
  </si>
  <si>
    <t>1786</t>
  </si>
  <si>
    <t>631.90</t>
  </si>
  <si>
    <t>1895</t>
  </si>
  <si>
    <t>724.90</t>
  </si>
  <si>
    <t>2544</t>
  </si>
  <si>
    <t>734.73</t>
  </si>
  <si>
    <t>686.90</t>
  </si>
  <si>
    <t>32-2N-28-0000-0012-0100</t>
  </si>
  <si>
    <t>322N28000000120100</t>
  </si>
  <si>
    <t>95054 ORIOLE ST</t>
  </si>
  <si>
    <t>37500</t>
  </si>
  <si>
    <t>RICHARD MICHAEL BOYLE</t>
  </si>
  <si>
    <t>08/01/2008</t>
  </si>
  <si>
    <t>DELILLE DERRICK ANDREW</t>
  </si>
  <si>
    <t>95054 ORIOLE STREE</t>
  </si>
  <si>
    <t>IN OR 942 PG 1962</t>
  </si>
  <si>
    <t>400.10</t>
  </si>
  <si>
    <t>404.23</t>
  </si>
  <si>
    <t>415.06</t>
  </si>
  <si>
    <t>481.10</t>
  </si>
  <si>
    <t>493.33</t>
  </si>
  <si>
    <t>564.07</t>
  </si>
  <si>
    <t>2352</t>
  </si>
  <si>
    <t>541.78</t>
  </si>
  <si>
    <t>32-2N-28-0000-0015-0000</t>
  </si>
  <si>
    <t>322N28-00000015-0000</t>
  </si>
  <si>
    <t>HENDRICKS RD</t>
  </si>
  <si>
    <t>Vacant Other</t>
  </si>
  <si>
    <t>VAC INSTITUTIONAL</t>
  </si>
  <si>
    <t>BRIGHT LIGHT SOCIETY</t>
  </si>
  <si>
    <t>PO BOX 37</t>
  </si>
  <si>
    <t>PT GOVT LOT 3 OF SEC 32-2N-28E</t>
  </si>
  <si>
    <t>311.36</t>
  </si>
  <si>
    <t>32-2N-28-0000-0025-0080</t>
  </si>
  <si>
    <t>322N28000000250080</t>
  </si>
  <si>
    <t>BLUE JAMES C JR</t>
  </si>
  <si>
    <t>PO BOX 466</t>
  </si>
  <si>
    <t>Atlanta</t>
  </si>
  <si>
    <t>30301</t>
  </si>
  <si>
    <t>32-2N-28-0000-0026-0020</t>
  </si>
  <si>
    <t>322N28000000260020</t>
  </si>
  <si>
    <t>9.17</t>
  </si>
  <si>
    <t>BLUE JAMES C JR &amp;</t>
  </si>
  <si>
    <t>PO BOX 4661</t>
  </si>
  <si>
    <t>30302</t>
  </si>
  <si>
    <t>PT GOVT LOT 5 OF SEC 32-2N-28E</t>
  </si>
  <si>
    <t>32-2N-28-005A-0023-0000</t>
  </si>
  <si>
    <t>95124 BROOKHILL PL</t>
  </si>
  <si>
    <t>STEWART KYLE W &amp; ARLETTA D</t>
  </si>
  <si>
    <t>86350 MEADOWWOOD D</t>
  </si>
  <si>
    <t>341.93</t>
  </si>
  <si>
    <t>32-2N-28-005A-0031-0000</t>
  </si>
  <si>
    <t>322N28005A00310000</t>
  </si>
  <si>
    <t>95276 AMBERWOOD LN</t>
  </si>
  <si>
    <t>16B SOUTHERN OAKS LLC</t>
  </si>
  <si>
    <t>11/24/2017</t>
  </si>
  <si>
    <t>HOLLAND MICHAEL &amp;</t>
  </si>
  <si>
    <t>96191 RIDGEWOOD CI</t>
  </si>
  <si>
    <t>1805</t>
  </si>
  <si>
    <t>513.39</t>
  </si>
  <si>
    <t>12/17/2014</t>
  </si>
  <si>
    <t>1912</t>
  </si>
  <si>
    <t>1430.64</t>
  </si>
  <si>
    <t>03/13/2014</t>
  </si>
  <si>
    <t>2562</t>
  </si>
  <si>
    <t>2107.71</t>
  </si>
  <si>
    <t>2372</t>
  </si>
  <si>
    <t>2877.54</t>
  </si>
  <si>
    <t>32-2N-28-0150-0001-0050</t>
  </si>
  <si>
    <t>322N28015000010050</t>
  </si>
  <si>
    <t>95129 BIG OAK AVE</t>
  </si>
  <si>
    <t>LANDRUM CARL J</t>
  </si>
  <si>
    <t>95129 BIG OAK AV</t>
  </si>
  <si>
    <t>BLOCK 1 LOT 5</t>
  </si>
  <si>
    <t>499.22</t>
  </si>
  <si>
    <t>10/13/2017</t>
  </si>
  <si>
    <t>518.51</t>
  </si>
  <si>
    <t>517.62</t>
  </si>
  <si>
    <t>1687</t>
  </si>
  <si>
    <t>565.90</t>
  </si>
  <si>
    <t>632.18</t>
  </si>
  <si>
    <t>32-2N-28-0150-0001-0060</t>
  </si>
  <si>
    <t>322N28015000010060</t>
  </si>
  <si>
    <t>BIG OAK AV</t>
  </si>
  <si>
    <t>LANDRUM ANNIE C</t>
  </si>
  <si>
    <t>1537</t>
  </si>
  <si>
    <t>32-2N-28-0150-0001-0150</t>
  </si>
  <si>
    <t>322N28015000010150</t>
  </si>
  <si>
    <t>95027 PETUNIA CT</t>
  </si>
  <si>
    <t>15900</t>
  </si>
  <si>
    <t>LAMAR &amp; BETH MURRAY</t>
  </si>
  <si>
    <t>BEDELL HARRIET RUSHAWN</t>
  </si>
  <si>
    <t>95003 PETUNIA COUR</t>
  </si>
  <si>
    <t>BLOCK 1 LOT 15  R583983</t>
  </si>
  <si>
    <t>487.47</t>
  </si>
  <si>
    <t>1538</t>
  </si>
  <si>
    <t>538.35</t>
  </si>
  <si>
    <t>1606</t>
  </si>
  <si>
    <t>482.23</t>
  </si>
  <si>
    <t>562.95</t>
  </si>
  <si>
    <t>1921</t>
  </si>
  <si>
    <t>770.56</t>
  </si>
  <si>
    <t>740.85</t>
  </si>
  <si>
    <t>09/26/2011</t>
  </si>
  <si>
    <t>2381</t>
  </si>
  <si>
    <t>906.15</t>
  </si>
  <si>
    <t>32-2N-28-0150-0001-0160</t>
  </si>
  <si>
    <t>322N28015000010160</t>
  </si>
  <si>
    <t>95003 PETUNIA CT</t>
  </si>
  <si>
    <t>1738</t>
  </si>
  <si>
    <t>95003 PETUNIA C</t>
  </si>
  <si>
    <t>934.96</t>
  </si>
  <si>
    <t>1016.32</t>
  </si>
  <si>
    <t>544.38</t>
  </si>
  <si>
    <t>576.90</t>
  </si>
  <si>
    <t>1922</t>
  </si>
  <si>
    <t>651.99</t>
  </si>
  <si>
    <t>2572</t>
  </si>
  <si>
    <t>638.80</t>
  </si>
  <si>
    <t>2382</t>
  </si>
  <si>
    <t>707.29</t>
  </si>
  <si>
    <t>32-2N-28-0150-0002-0030</t>
  </si>
  <si>
    <t>322N28015000020030</t>
  </si>
  <si>
    <t>95184 BIG OAK AVE</t>
  </si>
  <si>
    <t>KRUPAR MICHAEL A JR &amp; KATRINA</t>
  </si>
  <si>
    <t>95184 BIG OAK AV</t>
  </si>
  <si>
    <t>599.06</t>
  </si>
  <si>
    <t>1692</t>
  </si>
  <si>
    <t>698.02</t>
  </si>
  <si>
    <t>11/12/2014</t>
  </si>
  <si>
    <t>738.80</t>
  </si>
  <si>
    <t>865.42</t>
  </si>
  <si>
    <t>2575</t>
  </si>
  <si>
    <t>847.68</t>
  </si>
  <si>
    <t>2385</t>
  </si>
  <si>
    <t>836.21</t>
  </si>
  <si>
    <t>34-2N-28-0000-0001-0070</t>
  </si>
  <si>
    <t>342N28000000010070</t>
  </si>
  <si>
    <t>95024 DENISE ST</t>
  </si>
  <si>
    <t>SMITH ERNEST L L/E</t>
  </si>
  <si>
    <t>95024 DENISE STREE</t>
  </si>
  <si>
    <t>PT SAMUEL HARRISON GRANT</t>
  </si>
  <si>
    <t>605.46</t>
  </si>
  <si>
    <t>704.28</t>
  </si>
  <si>
    <t>709.67</t>
  </si>
  <si>
    <t>06/06/2016</t>
  </si>
  <si>
    <t>717.90</t>
  </si>
  <si>
    <t>34-2N-28-0000-0007-0030</t>
  </si>
  <si>
    <t>342N28000000070030</t>
  </si>
  <si>
    <t>95177 WILDER BLVD</t>
  </si>
  <si>
    <t>05/10/2005</t>
  </si>
  <si>
    <t>WILDER JOHN A &amp; PEGGY A</t>
  </si>
  <si>
    <t>95177 WILDER BLV</t>
  </si>
  <si>
    <t>PT GOVT LOT 2 OF SEC 34-2N-28E</t>
  </si>
  <si>
    <t>897.58</t>
  </si>
  <si>
    <t>914.96</t>
  </si>
  <si>
    <t>885.21</t>
  </si>
  <si>
    <t>1698</t>
  </si>
  <si>
    <t>868.18</t>
  </si>
  <si>
    <t>873.80</t>
  </si>
  <si>
    <t>01/15/2014</t>
  </si>
  <si>
    <t>2618</t>
  </si>
  <si>
    <t>877.16</t>
  </si>
  <si>
    <t>2390</t>
  </si>
  <si>
    <t>499.53</t>
  </si>
  <si>
    <t>08/18/2010</t>
  </si>
  <si>
    <t>34-2N-28-0000-0009-0000</t>
  </si>
  <si>
    <t>342N28000000090000</t>
  </si>
  <si>
    <t>941046 OLD NASSAUVILLE RD</t>
  </si>
  <si>
    <t>60800</t>
  </si>
  <si>
    <t xml:space="preserve"> PNC MORTGAGE CORP AMERICA</t>
  </si>
  <si>
    <t>61500.00</t>
  </si>
  <si>
    <t>12/13/1996</t>
  </si>
  <si>
    <t>BARBER JESSICA &amp;</t>
  </si>
  <si>
    <t>1725 PHEASANT LN</t>
  </si>
  <si>
    <t>1226.20</t>
  </si>
  <si>
    <t>1060.46</t>
  </si>
  <si>
    <t>1363.33</t>
  </si>
  <si>
    <t>34-2N-28-0000-0010-0000</t>
  </si>
  <si>
    <t>342N28000000100000</t>
  </si>
  <si>
    <t>WILDER RD</t>
  </si>
  <si>
    <t>WARD BRUCE &amp; JETTA K</t>
  </si>
  <si>
    <t>95395 WILDER BLV</t>
  </si>
  <si>
    <t>IN OR 744/1943</t>
  </si>
  <si>
    <t>2391</t>
  </si>
  <si>
    <t>1021.12</t>
  </si>
  <si>
    <t>03/15/2011</t>
  </si>
  <si>
    <t>34-2N-28-4980-0041-0000</t>
  </si>
  <si>
    <t>95085 WILDER BV</t>
  </si>
  <si>
    <t>186115.00</t>
  </si>
  <si>
    <t>BURNSED GARY CLAYTON &amp; APRIL L</t>
  </si>
  <si>
    <t>95085 WILDER B</t>
  </si>
  <si>
    <t>LOT 41 &amp; PT LOT 42 IN</t>
  </si>
  <si>
    <t>34-2N-28-5132-0011-0000</t>
  </si>
  <si>
    <t>95133 WILDER BLVD</t>
  </si>
  <si>
    <t>STOCKTON TURNER LLC</t>
  </si>
  <si>
    <t>81600.00</t>
  </si>
  <si>
    <t>01/01/2032</t>
  </si>
  <si>
    <t>GIBSON JUDY C &amp;</t>
  </si>
  <si>
    <t>95133 WILDER BLV</t>
  </si>
  <si>
    <t>34-2N-28-5132-0012-0000</t>
  </si>
  <si>
    <t>342N28513200120000</t>
  </si>
  <si>
    <t>WILDER PL</t>
  </si>
  <si>
    <t>GIBSON JUDY L</t>
  </si>
  <si>
    <t>546.02</t>
  </si>
  <si>
    <t>10/18/2017</t>
  </si>
  <si>
    <t>401.15</t>
  </si>
  <si>
    <t>35-2N-28-0000-0001-0020</t>
  </si>
  <si>
    <t>352N28-00000001-0020</t>
  </si>
  <si>
    <t>85581 LONNIE CREWS RD</t>
  </si>
  <si>
    <t>2.71</t>
  </si>
  <si>
    <t>74700.00</t>
  </si>
  <si>
    <t>11/16/2000</t>
  </si>
  <si>
    <t>JUSTICE JENNIFER</t>
  </si>
  <si>
    <t>85581 LONNIE CREWS ROA</t>
  </si>
  <si>
    <t>PT FRAC SEC 35-2N-28E PAR 1-20</t>
  </si>
  <si>
    <t>570.13</t>
  </si>
  <si>
    <t>35-2N-28-0000-0001-0100</t>
  </si>
  <si>
    <t>352N28000000010100</t>
  </si>
  <si>
    <t>95379 DOUGLAS RD</t>
  </si>
  <si>
    <t>2373</t>
  </si>
  <si>
    <t>91900</t>
  </si>
  <si>
    <t>RTJC HOGAN FAMILY FOUNDATION</t>
  </si>
  <si>
    <t>134450.00</t>
  </si>
  <si>
    <t>03/01/2045</t>
  </si>
  <si>
    <t>SPAULDING TERRY G &amp; PATTY</t>
  </si>
  <si>
    <t>95379 DOUGLAS R</t>
  </si>
  <si>
    <t>IN OR 835 PG 1492</t>
  </si>
  <si>
    <t>1669.13</t>
  </si>
  <si>
    <t>1504.42</t>
  </si>
  <si>
    <t>07/09/2010</t>
  </si>
  <si>
    <t>35-2N-28-0000-0001-0220</t>
  </si>
  <si>
    <t>352N28000000010220</t>
  </si>
  <si>
    <t>85044 CREWS RD</t>
  </si>
  <si>
    <t>PICKETT MATT S &amp; MYRA JANE</t>
  </si>
  <si>
    <t>85044 CREWS ROA</t>
  </si>
  <si>
    <t>IN OR 1597/877</t>
  </si>
  <si>
    <t>1225.10</t>
  </si>
  <si>
    <t>1177.08</t>
  </si>
  <si>
    <t>1181.37</t>
  </si>
  <si>
    <t>1986.21</t>
  </si>
  <si>
    <t>35-2N-28-0000-0001-0250</t>
  </si>
  <si>
    <t>95525 DOUGLAS RD</t>
  </si>
  <si>
    <t>THOMAS BRENDA Z</t>
  </si>
  <si>
    <t>95525 DOUGLAS ROA</t>
  </si>
  <si>
    <t>PT GOVT LOT 1 OF SEC 35-2N-28E</t>
  </si>
  <si>
    <t>35-2N-28-0000-0001-0270</t>
  </si>
  <si>
    <t>352N28000000010270</t>
  </si>
  <si>
    <t>95003 ACORN LN</t>
  </si>
  <si>
    <t xml:space="preserve"> AABCO MORTGAGE LOAN &amp; INV</t>
  </si>
  <si>
    <t>66800.00</t>
  </si>
  <si>
    <t>06/10/2002</t>
  </si>
  <si>
    <t>HESTER JODI L &amp;</t>
  </si>
  <si>
    <t>95003 ACORN LAN</t>
  </si>
  <si>
    <t>IN OR 1642/1271</t>
  </si>
  <si>
    <t>556.56</t>
  </si>
  <si>
    <t>565.35</t>
  </si>
  <si>
    <t>1618</t>
  </si>
  <si>
    <t>567.91</t>
  </si>
  <si>
    <t>1702</t>
  </si>
  <si>
    <t>586.06</t>
  </si>
  <si>
    <t>615.21</t>
  </si>
  <si>
    <t>2624</t>
  </si>
  <si>
    <t>1126.11</t>
  </si>
  <si>
    <t>35-2N-28-0000-0001-0300</t>
  </si>
  <si>
    <t>352N28000000010300</t>
  </si>
  <si>
    <t>85072 PATRICIA CT</t>
  </si>
  <si>
    <t>42400</t>
  </si>
  <si>
    <t>BRANCH BANKING &amp; TRUST CO</t>
  </si>
  <si>
    <t>04/05/2006</t>
  </si>
  <si>
    <t>JACKSON JEFFREY B</t>
  </si>
  <si>
    <t>6818 S COURT D</t>
  </si>
  <si>
    <t>33611</t>
  </si>
  <si>
    <t>PT GOVT LOT 3 OF SEC 35-2N-28E</t>
  </si>
  <si>
    <t>35-2N-28-0000-0001-0320</t>
  </si>
  <si>
    <t>352N28000000010320</t>
  </si>
  <si>
    <t>CREWS RD</t>
  </si>
  <si>
    <t>3.55</t>
  </si>
  <si>
    <t>PICKETT JOHN T SR L/E</t>
  </si>
  <si>
    <t>85142 CREWS ROAD NORT</t>
  </si>
  <si>
    <t>PT GOVT LOT 3 &amp; PT NW1/4 OF</t>
  </si>
  <si>
    <t>1165.88</t>
  </si>
  <si>
    <t>1104.70</t>
  </si>
  <si>
    <t>1129.40</t>
  </si>
  <si>
    <t>35-2N-28-0000-0001-0690</t>
  </si>
  <si>
    <t>352N28000000010690</t>
  </si>
  <si>
    <t>85142 CREWS RD</t>
  </si>
  <si>
    <t>2046</t>
  </si>
  <si>
    <t>PT OF NW1/4 OF SEC 35-2N-28E</t>
  </si>
  <si>
    <t>829.54</t>
  </si>
  <si>
    <t>780.13</t>
  </si>
  <si>
    <t>737.25</t>
  </si>
  <si>
    <t>35-2N-28-0000-0001-0860</t>
  </si>
  <si>
    <t>352N28000000010860</t>
  </si>
  <si>
    <t>MILLS JAMES E</t>
  </si>
  <si>
    <t>85127 PATRICIA C</t>
  </si>
  <si>
    <t>2630</t>
  </si>
  <si>
    <t>271.06</t>
  </si>
  <si>
    <t>35-2N-28-0000-0001-0920</t>
  </si>
  <si>
    <t>352N28000000010920</t>
  </si>
  <si>
    <t>85551 LONNIE CREWS RD</t>
  </si>
  <si>
    <t>19000</t>
  </si>
  <si>
    <t>HOERLE-DAVIS LOVE</t>
  </si>
  <si>
    <t>85551 LONNIE CREWS R</t>
  </si>
  <si>
    <t>IN OR 1307/877</t>
  </si>
  <si>
    <t>830.52</t>
  </si>
  <si>
    <t>934.66</t>
  </si>
  <si>
    <t>35-2N-28-0000-0001-1020</t>
  </si>
  <si>
    <t>352N28000000011020</t>
  </si>
  <si>
    <t>85042 PATRICIA CT</t>
  </si>
  <si>
    <t>2.22</t>
  </si>
  <si>
    <t>35-2N-28-0000-0001-1030</t>
  </si>
  <si>
    <t>352N28000000011030</t>
  </si>
  <si>
    <t>85086 PATRICIA CT</t>
  </si>
  <si>
    <t>35-2N-28-0000-0001-1120</t>
  </si>
  <si>
    <t>352N28000000011120</t>
  </si>
  <si>
    <t>85072 CREWS RD</t>
  </si>
  <si>
    <t>3433</t>
  </si>
  <si>
    <t>PICKETT MATT STEVEN &amp; MYRA J</t>
  </si>
  <si>
    <t>85072 CREWS R</t>
  </si>
  <si>
    <t>IN OR 1782/1398</t>
  </si>
  <si>
    <t>3209.58</t>
  </si>
  <si>
    <t>1863</t>
  </si>
  <si>
    <t>2514.71</t>
  </si>
  <si>
    <t>2670.84</t>
  </si>
  <si>
    <t>2410</t>
  </si>
  <si>
    <t>781.19</t>
  </si>
  <si>
    <t>35-2N-28-1401-0002-0000</t>
  </si>
  <si>
    <t>352N28140100020000</t>
  </si>
  <si>
    <t>95206 KAREN WALK</t>
  </si>
  <si>
    <t>ARTHUR B DOUGLAS</t>
  </si>
  <si>
    <t>66000.00</t>
  </si>
  <si>
    <t>DOUGLAS A B &amp; BARBARA M</t>
  </si>
  <si>
    <t>940538 OLD NASSAUVILLE R</t>
  </si>
  <si>
    <t>518.03</t>
  </si>
  <si>
    <t>35-2N-28-1401-0003-0000</t>
  </si>
  <si>
    <t>352N28140100030000</t>
  </si>
  <si>
    <t>95180 KAREN WALK</t>
  </si>
  <si>
    <t>SGS DEVELOPMENT INC</t>
  </si>
  <si>
    <t>23937.00</t>
  </si>
  <si>
    <t>04/01/2025</t>
  </si>
  <si>
    <t>FRITTS ANTHONY CHRISTOPHER &amp;</t>
  </si>
  <si>
    <t>95180 KAREN WAL</t>
  </si>
  <si>
    <t>LOT 3    MH/ID GBHMM52642</t>
  </si>
  <si>
    <t>533.32</t>
  </si>
  <si>
    <t>35-2N-28-1401-0004-0010</t>
  </si>
  <si>
    <t>352N28140100040010</t>
  </si>
  <si>
    <t>95154 KAREN WALK</t>
  </si>
  <si>
    <t>DOUGLAS ARTHUR B &amp; BARBARA S</t>
  </si>
  <si>
    <t>79500.00</t>
  </si>
  <si>
    <t>WEBB MATTHEW</t>
  </si>
  <si>
    <t>95154 KAREN WAL</t>
  </si>
  <si>
    <t>E217.75 FT OF LOT 4 &amp;</t>
  </si>
  <si>
    <t>574.08</t>
  </si>
  <si>
    <t>01/29/2015</t>
  </si>
  <si>
    <t>2050</t>
  </si>
  <si>
    <t>561.05</t>
  </si>
  <si>
    <t>37-2N-28-0000-0001-0000</t>
  </si>
  <si>
    <t>372N28000000010000</t>
  </si>
  <si>
    <t>474639 SR 200</t>
  </si>
  <si>
    <t>5.65</t>
  </si>
  <si>
    <t>20800</t>
  </si>
  <si>
    <t>PINEY ISLAND PARTNERSHIP</t>
  </si>
  <si>
    <t>437 E MONROE ST SUITE 10</t>
  </si>
  <si>
    <t>ALL S OF SAL R/W</t>
  </si>
  <si>
    <t>1265.46</t>
  </si>
  <si>
    <t>1289.32</t>
  </si>
  <si>
    <t>07/11/2016</t>
  </si>
  <si>
    <t>1296.08</t>
  </si>
  <si>
    <t>2336</t>
  </si>
  <si>
    <t>1439.01</t>
  </si>
  <si>
    <t>1868</t>
  </si>
  <si>
    <t>1242.97</t>
  </si>
  <si>
    <t>08/10/2015</t>
  </si>
  <si>
    <t>2183</t>
  </si>
  <si>
    <t>3434.09</t>
  </si>
  <si>
    <t>3288</t>
  </si>
  <si>
    <t>4050.58</t>
  </si>
  <si>
    <t>2415</t>
  </si>
  <si>
    <t>5807.42</t>
  </si>
  <si>
    <t>37-2N-28-1320-0031-0000</t>
  </si>
  <si>
    <t>372N28132000310000</t>
  </si>
  <si>
    <t>96144 MARSH LAKES DR</t>
  </si>
  <si>
    <t>405000</t>
  </si>
  <si>
    <t>360400.00</t>
  </si>
  <si>
    <t>MATTHEWS BRIAN &amp; JENNIFER</t>
  </si>
  <si>
    <t>2997 GREEN OAKS CIRCL</t>
  </si>
  <si>
    <t>30345</t>
  </si>
  <si>
    <t>7498.76</t>
  </si>
  <si>
    <t>7688.19</t>
  </si>
  <si>
    <t>6721.47</t>
  </si>
  <si>
    <t>1870</t>
  </si>
  <si>
    <t>6252.45</t>
  </si>
  <si>
    <t>2185</t>
  </si>
  <si>
    <t>7349.26</t>
  </si>
  <si>
    <t>2636</t>
  </si>
  <si>
    <t>8364.91</t>
  </si>
  <si>
    <t>8959.37</t>
  </si>
  <si>
    <t>37-2N-28-209T-0121-0000</t>
  </si>
  <si>
    <t>96121 TUSCANY WAY</t>
  </si>
  <si>
    <t>463500</t>
  </si>
  <si>
    <t>TUSCANY PRESERVE LLC</t>
  </si>
  <si>
    <t>665 SIMONDS R</t>
  </si>
  <si>
    <t>Williamstown</t>
  </si>
  <si>
    <t>01267</t>
  </si>
  <si>
    <t>UNIT 121</t>
  </si>
  <si>
    <t>37-2N-28-209T-0122-0000</t>
  </si>
  <si>
    <t>96122 TUSCANY WAY</t>
  </si>
  <si>
    <t>UNIT 122</t>
  </si>
  <si>
    <t>37-2N-28-209T-0123-0000</t>
  </si>
  <si>
    <t>96123 TUSCANY WAY</t>
  </si>
  <si>
    <t>UNIT 123</t>
  </si>
  <si>
    <t>37-2N-28-209T-0124-0000</t>
  </si>
  <si>
    <t>96124 TUSCANY WAY</t>
  </si>
  <si>
    <t>UNIT 124</t>
  </si>
  <si>
    <t>37-2N-28-209T-0131-0000</t>
  </si>
  <si>
    <t>96131 TUSCANY WAY</t>
  </si>
  <si>
    <t>UNIT 131</t>
  </si>
  <si>
    <t>37-2N-28-209T-0132-0000</t>
  </si>
  <si>
    <t>96132 TUSCANY WAY</t>
  </si>
  <si>
    <t>UNIT 132</t>
  </si>
  <si>
    <t>37-2N-28-209T-0133-0000</t>
  </si>
  <si>
    <t>96133 TUSCANY WAY</t>
  </si>
  <si>
    <t>UNIT 133</t>
  </si>
  <si>
    <t>37-2N-28-209T-0134-0000</t>
  </si>
  <si>
    <t>96134 TUSCANY WAY</t>
  </si>
  <si>
    <t>UNIT 134</t>
  </si>
  <si>
    <t>37-2N-28-209T-0141-0000</t>
  </si>
  <si>
    <t>96141 TUSCANY WAY</t>
  </si>
  <si>
    <t>UNIT 141</t>
  </si>
  <si>
    <t>37-2N-28-209T-0142-0000</t>
  </si>
  <si>
    <t>96142 TUSCANY WAY</t>
  </si>
  <si>
    <t>UNIT 142</t>
  </si>
  <si>
    <t>37-2N-28-209T-0143-0000</t>
  </si>
  <si>
    <t>96143 TUSCANY WAY</t>
  </si>
  <si>
    <t>UNIT 143</t>
  </si>
  <si>
    <t>37-2N-28-209T-0144-0000</t>
  </si>
  <si>
    <t>96144 TUSCANY WAY</t>
  </si>
  <si>
    <t>UNIT 144</t>
  </si>
  <si>
    <t>37-2N-28-209T-0221-0000</t>
  </si>
  <si>
    <t>96221 TUSCANY WAY</t>
  </si>
  <si>
    <t>UNIT 221</t>
  </si>
  <si>
    <t>37-2N-28-209T-0222-0000</t>
  </si>
  <si>
    <t>96222 TUSCANY WAY</t>
  </si>
  <si>
    <t>UNIT 222</t>
  </si>
  <si>
    <t>37-2N-28-209T-0223-0000</t>
  </si>
  <si>
    <t>96223 TUSCANY WAY</t>
  </si>
  <si>
    <t>UNIT 223</t>
  </si>
  <si>
    <t>37-2N-28-209T-0224-0000</t>
  </si>
  <si>
    <t>96224 TUSCANY WAY</t>
  </si>
  <si>
    <t>UNIT 224</t>
  </si>
  <si>
    <t>37-2N-28-209T-0231-0000</t>
  </si>
  <si>
    <t>96231 TUSCANY WAY</t>
  </si>
  <si>
    <t>UNIT 231</t>
  </si>
  <si>
    <t>37-2N-28-209T-0232-0000</t>
  </si>
  <si>
    <t>96232 TUSCANY WAY</t>
  </si>
  <si>
    <t>UNIT 232</t>
  </si>
  <si>
    <t>37-2N-28-209T-0233-0000</t>
  </si>
  <si>
    <t>96233 TUSCANY WAY</t>
  </si>
  <si>
    <t>UNIT 233</t>
  </si>
  <si>
    <t>37-2N-28-209T-0234-0000</t>
  </si>
  <si>
    <t>96234 TUSCANY WAY</t>
  </si>
  <si>
    <t>UNIT 234</t>
  </si>
  <si>
    <t>37-2N-28-209T-0241-0000</t>
  </si>
  <si>
    <t>96241 TUSCANY WAY</t>
  </si>
  <si>
    <t>UNIT 241</t>
  </si>
  <si>
    <t>37-2N-28-209T-0242-0000</t>
  </si>
  <si>
    <t>96242 TUSCANY WAY</t>
  </si>
  <si>
    <t>UNIT 242</t>
  </si>
  <si>
    <t>37-2N-28-209T-0243-0000</t>
  </si>
  <si>
    <t>96243 TUSCANY WAY</t>
  </si>
  <si>
    <t>UNIT 243</t>
  </si>
  <si>
    <t>37-2N-28-209T-0244-0000</t>
  </si>
  <si>
    <t>96244 TUSCANY WAY</t>
  </si>
  <si>
    <t>UNIT 244</t>
  </si>
  <si>
    <t>37-2N-28-209T-0321-0000</t>
  </si>
  <si>
    <t>96321 TUSCANY WAY</t>
  </si>
  <si>
    <t>UNIT 321</t>
  </si>
  <si>
    <t>37-2N-28-209T-0322-0000</t>
  </si>
  <si>
    <t>96322 TUSCANY WAY</t>
  </si>
  <si>
    <t>UNIT 322</t>
  </si>
  <si>
    <t>37-2N-28-209T-0323-0000</t>
  </si>
  <si>
    <t>96323 TUSCANY WAY</t>
  </si>
  <si>
    <t>UNIT 323</t>
  </si>
  <si>
    <t>37-2N-28-209T-0324-0000</t>
  </si>
  <si>
    <t>96324 TUSCANY WAY</t>
  </si>
  <si>
    <t>UNIT 324</t>
  </si>
  <si>
    <t>37-2N-28-209T-0331-0000</t>
  </si>
  <si>
    <t>96331 TUSCANY WAY</t>
  </si>
  <si>
    <t>UNIT 331</t>
  </si>
  <si>
    <t>37-2N-28-209T-0332-0000</t>
  </si>
  <si>
    <t>96332 TUSCANY WAY</t>
  </si>
  <si>
    <t>UNIT 332</t>
  </si>
  <si>
    <t>37-2N-28-209T-0333-0000</t>
  </si>
  <si>
    <t>96333 TUSCANY WAY</t>
  </si>
  <si>
    <t>UNIT 333</t>
  </si>
  <si>
    <t>37-2N-28-209T-0334-0000</t>
  </si>
  <si>
    <t>96334 TUSCANY WAY</t>
  </si>
  <si>
    <t>UNIT 334</t>
  </si>
  <si>
    <t>37-2N-28-209T-0341-0000</t>
  </si>
  <si>
    <t>96341 TUSCANY WAY</t>
  </si>
  <si>
    <t>UNIT 341</t>
  </si>
  <si>
    <t>37-2N-28-209T-0342-0000</t>
  </si>
  <si>
    <t>96342 TUSCANY WAY</t>
  </si>
  <si>
    <t>UNIT 342</t>
  </si>
  <si>
    <t>37-2N-28-209T-0343-0000</t>
  </si>
  <si>
    <t>96343 TUSCANY WAY</t>
  </si>
  <si>
    <t>UNIT 343</t>
  </si>
  <si>
    <t>37-2N-28-209T-0344-0000</t>
  </si>
  <si>
    <t>96344 TUSCANY WAY</t>
  </si>
  <si>
    <t>UNIT 344</t>
  </si>
  <si>
    <t>37-2N-28-227V-005A-0000</t>
  </si>
  <si>
    <t>372N28227V005A0000</t>
  </si>
  <si>
    <t>95158 VILLAGE DR</t>
  </si>
  <si>
    <t>1966</t>
  </si>
  <si>
    <t>ROWE CAROLYN G</t>
  </si>
  <si>
    <t>85272 AMARYLLIS C</t>
  </si>
  <si>
    <t>LOT 5A       IN OR 1983/820</t>
  </si>
  <si>
    <t>2527.67</t>
  </si>
  <si>
    <t>1374.67</t>
  </si>
  <si>
    <t>07/14/2015</t>
  </si>
  <si>
    <t>37-2N-28-227W-0016-0000</t>
  </si>
  <si>
    <t>95287 VILLAGE DR</t>
  </si>
  <si>
    <t>12/29/2029</t>
  </si>
  <si>
    <t>TRAVER STEVEN &amp;</t>
  </si>
  <si>
    <t>50%)95332 VILLAGE DRIV</t>
  </si>
  <si>
    <t>37-2N-28-5000-000A-0000</t>
  </si>
  <si>
    <t>372N285000000A0000</t>
  </si>
  <si>
    <t>42.78</t>
  </si>
  <si>
    <t>LOU JOY SIMMONS</t>
  </si>
  <si>
    <t>437 E MONROE STREETSUITE 10</t>
  </si>
  <si>
    <t>PT OF TRACT B</t>
  </si>
  <si>
    <t>17248.83</t>
  </si>
  <si>
    <t>17645.01</t>
  </si>
  <si>
    <t>06/28/2016</t>
  </si>
  <si>
    <t>17738.94</t>
  </si>
  <si>
    <t>16795.23</t>
  </si>
  <si>
    <t>1877</t>
  </si>
  <si>
    <t>17000.53</t>
  </si>
  <si>
    <t>30225.65</t>
  </si>
  <si>
    <t>2640</t>
  </si>
  <si>
    <t>35144.65</t>
  </si>
  <si>
    <t>2421</t>
  </si>
  <si>
    <t>48768.79</t>
  </si>
  <si>
    <t>37-2N-28-5000-0022-0000</t>
  </si>
  <si>
    <t>372N28-50000022-0000</t>
  </si>
  <si>
    <t>LIMPKIN LN</t>
  </si>
  <si>
    <t>240000</t>
  </si>
  <si>
    <t>MONTICELLO BANK</t>
  </si>
  <si>
    <t>640000.00</t>
  </si>
  <si>
    <t>HILL MAHLON HUBERT SR TRUSTEE</t>
  </si>
  <si>
    <t>1201 TRIBBLE WOODS CT</t>
  </si>
  <si>
    <t>Lawrenceville</t>
  </si>
  <si>
    <t>30045</t>
  </si>
  <si>
    <t>37-2N-28-5000-0046-0000</t>
  </si>
  <si>
    <t>372N28500000460000</t>
  </si>
  <si>
    <t>PINEY ISLAND DR</t>
  </si>
  <si>
    <t>01/19/2043</t>
  </si>
  <si>
    <t>BEAN WARREN C</t>
  </si>
  <si>
    <t>96295 PINEY ISLAND DRIV</t>
  </si>
  <si>
    <t>1879</t>
  </si>
  <si>
    <t>1675.67</t>
  </si>
  <si>
    <t>2191</t>
  </si>
  <si>
    <t>2536.18</t>
  </si>
  <si>
    <t>01/30/2013</t>
  </si>
  <si>
    <t>2674.35</t>
  </si>
  <si>
    <t>37-2N-28-5000-0074-0000</t>
  </si>
  <si>
    <t>96044 PINEY ISLAND DR</t>
  </si>
  <si>
    <t>2292</t>
  </si>
  <si>
    <t>DYE AMY L</t>
  </si>
  <si>
    <t>96044 PINEY ISLAND D</t>
  </si>
  <si>
    <t>LOT 74 PT OF TRACT B</t>
  </si>
  <si>
    <t>37-2N-28-5000-0076-0000</t>
  </si>
  <si>
    <t>372N28500000760000</t>
  </si>
  <si>
    <t>96034 PINEY ISLAND DR</t>
  </si>
  <si>
    <t xml:space="preserve"> SOUTHTRUST ASSET MANAGEMENT</t>
  </si>
  <si>
    <t>10/10/1996</t>
  </si>
  <si>
    <t>HERNANDEZ TAMARA A V WATKIVS</t>
  </si>
  <si>
    <t>96034 PINEY ISLAND D</t>
  </si>
  <si>
    <t>LOT 76 PT OF TRACT B</t>
  </si>
  <si>
    <t>2579.36</t>
  </si>
  <si>
    <t>2616.43</t>
  </si>
  <si>
    <t>2604.94</t>
  </si>
  <si>
    <t>2497.49</t>
  </si>
  <si>
    <t>2477.99</t>
  </si>
  <si>
    <t>3154.40</t>
  </si>
  <si>
    <t>2642</t>
  </si>
  <si>
    <t>3277.83</t>
  </si>
  <si>
    <t>2424</t>
  </si>
  <si>
    <t>3610.13</t>
  </si>
  <si>
    <t>03/13/2012</t>
  </si>
  <si>
    <t>37-2N-28-5000-0203-0000</t>
  </si>
  <si>
    <t>372N28500002030000</t>
  </si>
  <si>
    <t>91006 FIDDLER DR</t>
  </si>
  <si>
    <t>241500</t>
  </si>
  <si>
    <t xml:space="preserve"> UPLAND MORTGAGE</t>
  </si>
  <si>
    <t>04/23/1998</t>
  </si>
  <si>
    <t>TILLY VERDIE M</t>
  </si>
  <si>
    <t>91006 FIDDLER D</t>
  </si>
  <si>
    <t>LOT 203 (EX S-1)</t>
  </si>
  <si>
    <t>2186.07</t>
  </si>
  <si>
    <t>2127.30</t>
  </si>
  <si>
    <t>09/18/2017</t>
  </si>
  <si>
    <t>1828.41</t>
  </si>
  <si>
    <t>1720.55</t>
  </si>
  <si>
    <t>10/30/2013</t>
  </si>
  <si>
    <t>2372.60</t>
  </si>
  <si>
    <t>2426</t>
  </si>
  <si>
    <t>2609.24</t>
  </si>
  <si>
    <t>37-2N-28-5000-0212-0000</t>
  </si>
  <si>
    <t>372N28500002120000</t>
  </si>
  <si>
    <t>CRANE DR</t>
  </si>
  <si>
    <t>149500</t>
  </si>
  <si>
    <t>ROWE JONATHAN M &amp; SUSAN L</t>
  </si>
  <si>
    <t>3058 RIVERSIDE DRIV</t>
  </si>
  <si>
    <t>PT OF LOT 212</t>
  </si>
  <si>
    <t>1368.89</t>
  </si>
  <si>
    <t>1395.15</t>
  </si>
  <si>
    <t>1639</t>
  </si>
  <si>
    <t>1402.47</t>
  </si>
  <si>
    <t>02/20/2017</t>
  </si>
  <si>
    <t>1328.92</t>
  </si>
  <si>
    <t>1884</t>
  </si>
  <si>
    <t>1344.93</t>
  </si>
  <si>
    <t>2197</t>
  </si>
  <si>
    <t>1905.64</t>
  </si>
  <si>
    <t>2643</t>
  </si>
  <si>
    <t>1913.98</t>
  </si>
  <si>
    <t>2429</t>
  </si>
  <si>
    <t>1911.52</t>
  </si>
  <si>
    <t>37-2N-28-5000-0212-0010</t>
  </si>
  <si>
    <t>372N28500002120010</t>
  </si>
  <si>
    <t>PT OF LOT 212 (S-1)</t>
  </si>
  <si>
    <t>1551</t>
  </si>
  <si>
    <t>1503.10</t>
  </si>
  <si>
    <t>1532.47</t>
  </si>
  <si>
    <t>1540.51</t>
  </si>
  <si>
    <t>1459.64</t>
  </si>
  <si>
    <t>1477.25</t>
  </si>
  <si>
    <t>2644</t>
  </si>
  <si>
    <t>2430</t>
  </si>
  <si>
    <t>38-2N-28-0180-0044-0000</t>
  </si>
  <si>
    <t>96067 BRADY POINT RD</t>
  </si>
  <si>
    <t>SALCICCIOLI JOHN &amp; JANET E</t>
  </si>
  <si>
    <t>42 TWIN RIDGE R</t>
  </si>
  <si>
    <t>38-2N-28-0180-0045-0000</t>
  </si>
  <si>
    <t>96073 BRADY POINT RD</t>
  </si>
  <si>
    <t>242300</t>
  </si>
  <si>
    <t>KRYSIAK ALICE (30.96%) &amp;</t>
  </si>
  <si>
    <t>30.96%) &amp;SIEGEL RUTH L TRUSTEE (46.92)&amp;EQUITY TRT CO CUSTODIAN(23.12</t>
  </si>
  <si>
    <t>38-2N-28-0180-0050-0000</t>
  </si>
  <si>
    <t>382N28018000500000</t>
  </si>
  <si>
    <t>96187 BRADY POINT RD</t>
  </si>
  <si>
    <t>ESB INVESTMENTS LLC</t>
  </si>
  <si>
    <t>95540 CLEMENTS R</t>
  </si>
  <si>
    <t>1725</t>
  </si>
  <si>
    <t>749.98</t>
  </si>
  <si>
    <t>1688.75</t>
  </si>
  <si>
    <t>2374.82</t>
  </si>
  <si>
    <t>39-2N-28-0000-0002-0030</t>
  </si>
  <si>
    <t>392N28000000020030</t>
  </si>
  <si>
    <t>ONEIL SCOTT RD</t>
  </si>
  <si>
    <t>46978.00</t>
  </si>
  <si>
    <t>03/31/1997</t>
  </si>
  <si>
    <t>JONES CHARLIE C</t>
  </si>
  <si>
    <t>31 O'NEAL-SCOTT R</t>
  </si>
  <si>
    <t>IN OR 788/1299</t>
  </si>
  <si>
    <t>205.17</t>
  </si>
  <si>
    <t>1641</t>
  </si>
  <si>
    <t>188.62</t>
  </si>
  <si>
    <t>201.22</t>
  </si>
  <si>
    <t>139.46</t>
  </si>
  <si>
    <t>2413</t>
  </si>
  <si>
    <t>2650</t>
  </si>
  <si>
    <t>149.67</t>
  </si>
  <si>
    <t>2433</t>
  </si>
  <si>
    <t>135.60</t>
  </si>
  <si>
    <t>04/24/2012</t>
  </si>
  <si>
    <t>39-2N-28-0000-0002-0080</t>
  </si>
  <si>
    <t>392N28000000020080</t>
  </si>
  <si>
    <t>BARNWELL RD</t>
  </si>
  <si>
    <t>BROWN JESSE V JR &amp; CHARENE S</t>
  </si>
  <si>
    <t>87362 HAVEN R</t>
  </si>
  <si>
    <t>IN OR 499 PG 1411</t>
  </si>
  <si>
    <t>1707.97</t>
  </si>
  <si>
    <t>1743.79</t>
  </si>
  <si>
    <t>1752.51</t>
  </si>
  <si>
    <t>1659.96</t>
  </si>
  <si>
    <t>1680.42</t>
  </si>
  <si>
    <t>2414</t>
  </si>
  <si>
    <t>2076.44</t>
  </si>
  <si>
    <t>2651</t>
  </si>
  <si>
    <t>2463.78</t>
  </si>
  <si>
    <t>2434</t>
  </si>
  <si>
    <t>2552.77</t>
  </si>
  <si>
    <t>39-2N-28-0000-0002-0110</t>
  </si>
  <si>
    <t>392N28000000020110</t>
  </si>
  <si>
    <t>95102 BARNWELL RD</t>
  </si>
  <si>
    <t>BROWN JESSE V &amp; CHARENE S</t>
  </si>
  <si>
    <t>IN OR 321/26</t>
  </si>
  <si>
    <t>1567.86</t>
  </si>
  <si>
    <t>1600.29</t>
  </si>
  <si>
    <t>1643</t>
  </si>
  <si>
    <t>1608.28</t>
  </si>
  <si>
    <t>1523.44</t>
  </si>
  <si>
    <t>1889</t>
  </si>
  <si>
    <t>1542.21</t>
  </si>
  <si>
    <t>1904.54</t>
  </si>
  <si>
    <t>2259.55</t>
  </si>
  <si>
    <t>2435</t>
  </si>
  <si>
    <t>2507.40</t>
  </si>
  <si>
    <t>39-2N-28-0000-0010-0000</t>
  </si>
  <si>
    <t>392N28000000100000</t>
  </si>
  <si>
    <t>96060 JASON WAY</t>
  </si>
  <si>
    <t>SCOTT LOIS B &amp;</t>
  </si>
  <si>
    <t>96060 JASON WA</t>
  </si>
  <si>
    <t>IN OR 1655/441</t>
  </si>
  <si>
    <t>491.17</t>
  </si>
  <si>
    <t>495.79</t>
  </si>
  <si>
    <t>494.89</t>
  </si>
  <si>
    <t>39-2N-28-0000-0012-0100</t>
  </si>
  <si>
    <t>ONEIL-SCOTT RD</t>
  </si>
  <si>
    <t>0.40</t>
  </si>
  <si>
    <t>SCOTT STANLEY V TRUSTEE</t>
  </si>
  <si>
    <t>10624 NW HIGHWAY 225</t>
  </si>
  <si>
    <t>34482</t>
  </si>
  <si>
    <t>PT OR 1718/1885</t>
  </si>
  <si>
    <t>39-2N-28-0000-0013-0010</t>
  </si>
  <si>
    <t>392N28000000130010</t>
  </si>
  <si>
    <t>96302 ONEIL-SCOTT RD</t>
  </si>
  <si>
    <t>CRIBB PATRICIA A &amp;</t>
  </si>
  <si>
    <t>8735 FREE AVE</t>
  </si>
  <si>
    <t>IN OR 1376/1897</t>
  </si>
  <si>
    <t>334.43</t>
  </si>
  <si>
    <t>338.50</t>
  </si>
  <si>
    <t>12/18/2015</t>
  </si>
  <si>
    <t>321.58</t>
  </si>
  <si>
    <t>305.56</t>
  </si>
  <si>
    <t>2417</t>
  </si>
  <si>
    <t>331.81</t>
  </si>
  <si>
    <t>2657</t>
  </si>
  <si>
    <t>332.55</t>
  </si>
  <si>
    <t>11/23/2011</t>
  </si>
  <si>
    <t>307.95</t>
  </si>
  <si>
    <t>39-2N-28-0000-0013-0030</t>
  </si>
  <si>
    <t>392N28000000130030</t>
  </si>
  <si>
    <t>96101 LONNIES LN</t>
  </si>
  <si>
    <t>JONES JOSHUA A &amp;</t>
  </si>
  <si>
    <t>96072 LONNIES LN</t>
  </si>
  <si>
    <t>IN OR 1376/1898</t>
  </si>
  <si>
    <t>498.94</t>
  </si>
  <si>
    <t>3236</t>
  </si>
  <si>
    <t>36.67</t>
  </si>
  <si>
    <t>39-2N-28-0000-0013-0040</t>
  </si>
  <si>
    <t>392N28000000130040</t>
  </si>
  <si>
    <t>96059 LONNIES LN</t>
  </si>
  <si>
    <t>2814</t>
  </si>
  <si>
    <t xml:space="preserve"> MONEY STORE INC</t>
  </si>
  <si>
    <t>30200.00</t>
  </si>
  <si>
    <t>01/11/1999</t>
  </si>
  <si>
    <t>BENJAMIN MARY L EST</t>
  </si>
  <si>
    <t>96384 MT ZION LOO</t>
  </si>
  <si>
    <t>IN OR 354 PG 664</t>
  </si>
  <si>
    <t>981.21</t>
  </si>
  <si>
    <t>892.19</t>
  </si>
  <si>
    <t>1028.53</t>
  </si>
  <si>
    <t>39-2N-28-0000-0014-0000</t>
  </si>
  <si>
    <t>392N28000000140000</t>
  </si>
  <si>
    <t>96216 ONEIL-SCOTT RD</t>
  </si>
  <si>
    <t>GREEN SYLVIA &amp;</t>
  </si>
  <si>
    <t>96020 LONNIE'S L</t>
  </si>
  <si>
    <t>IN OR 2087/1610</t>
  </si>
  <si>
    <t>478.10</t>
  </si>
  <si>
    <t>396.21</t>
  </si>
  <si>
    <t>626.98</t>
  </si>
  <si>
    <t>2418</t>
  </si>
  <si>
    <t>715.21</t>
  </si>
  <si>
    <t>747.40</t>
  </si>
  <si>
    <t>816.58</t>
  </si>
  <si>
    <t>39-2N-28-0000-0015-0000</t>
  </si>
  <si>
    <t>392N28000000150000</t>
  </si>
  <si>
    <t>96299 ONEIL-SCOTT RD</t>
  </si>
  <si>
    <t>FRENCH MARGIE C</t>
  </si>
  <si>
    <t>4398 LORI LOOP ROA</t>
  </si>
  <si>
    <t>PT MARGARET O'NEIL GRANT</t>
  </si>
  <si>
    <t>565.49</t>
  </si>
  <si>
    <t>547.48</t>
  </si>
  <si>
    <t>482.24</t>
  </si>
  <si>
    <t>06/26/2015</t>
  </si>
  <si>
    <t>719.82</t>
  </si>
  <si>
    <t>806.26</t>
  </si>
  <si>
    <t>39-2N-28-0000-0016-0000</t>
  </si>
  <si>
    <t>392N28000000160000</t>
  </si>
  <si>
    <t>96275 ONEIL-SCOTT RD</t>
  </si>
  <si>
    <t>1029.99</t>
  </si>
  <si>
    <t>1052.60</t>
  </si>
  <si>
    <t>984.02</t>
  </si>
  <si>
    <t>2419</t>
  </si>
  <si>
    <t>938.47</t>
  </si>
  <si>
    <t>02/01/2013</t>
  </si>
  <si>
    <t>945.21</t>
  </si>
  <si>
    <t>1176.15</t>
  </si>
  <si>
    <t>05/08/2012</t>
  </si>
  <si>
    <t>39-2N-28-0000-0016-0010</t>
  </si>
  <si>
    <t>392N28000000160010</t>
  </si>
  <si>
    <t>259.16</t>
  </si>
  <si>
    <t>259.79</t>
  </si>
  <si>
    <t>1652</t>
  </si>
  <si>
    <t>260.99</t>
  </si>
  <si>
    <t>2420</t>
  </si>
  <si>
    <t>280.34</t>
  </si>
  <si>
    <t>2661</t>
  </si>
  <si>
    <t>289.91</t>
  </si>
  <si>
    <t>2444</t>
  </si>
  <si>
    <t>253.01</t>
  </si>
  <si>
    <t>39-2N-28-011B-0002-0000</t>
  </si>
  <si>
    <t>392N28011B00020000</t>
  </si>
  <si>
    <t>BARNWELL CIR</t>
  </si>
  <si>
    <t>TOLLISON HUGH K SR EST &amp;</t>
  </si>
  <si>
    <t>PO BOX 93</t>
  </si>
  <si>
    <t>LOT 2 EX PT OR 745/1523</t>
  </si>
  <si>
    <t>1563</t>
  </si>
  <si>
    <t>68.51</t>
  </si>
  <si>
    <t>2339</t>
  </si>
  <si>
    <t>77.85</t>
  </si>
  <si>
    <t>64.24</t>
  </si>
  <si>
    <t>39-2N-28-5020-0007-0000</t>
  </si>
  <si>
    <t>392N28-50200007-0000</t>
  </si>
  <si>
    <t>WATKINS THOMAS &amp; GWENDOLYN P</t>
  </si>
  <si>
    <t>2224 S DUNSMUIR AV</t>
  </si>
  <si>
    <t>Los Angeles</t>
  </si>
  <si>
    <t>90016</t>
  </si>
  <si>
    <t>LOT 7      OR 508/52</t>
  </si>
  <si>
    <t>1564</t>
  </si>
  <si>
    <t>732.59</t>
  </si>
  <si>
    <t>39-2N-28-5020-000C-0000</t>
  </si>
  <si>
    <t>392N285020000C0000</t>
  </si>
  <si>
    <t>OFF BARNWELL RD</t>
  </si>
  <si>
    <t>L S &amp; ELIZABETH MORRISON</t>
  </si>
  <si>
    <t>PO BOX 329</t>
  </si>
  <si>
    <t>33601</t>
  </si>
  <si>
    <t>LOT C  IN OR 1641/858</t>
  </si>
  <si>
    <t>39-2N-28-5020-0012-0000</t>
  </si>
  <si>
    <t>392N28-50200012-0000</t>
  </si>
  <si>
    <t>L S MORRISON DR</t>
  </si>
  <si>
    <t>LOT 12  (EX R/W IN OR 384/81)</t>
  </si>
  <si>
    <t>324.66</t>
  </si>
  <si>
    <t>40-2N-28-0000-0020-0000</t>
  </si>
  <si>
    <t>402N28000000200000</t>
  </si>
  <si>
    <t>31500</t>
  </si>
  <si>
    <t>IN OR 520 PG 1011</t>
  </si>
  <si>
    <t>2497.43</t>
  </si>
  <si>
    <t>2552.68</t>
  </si>
  <si>
    <t>2566.54</t>
  </si>
  <si>
    <t>2393.34</t>
  </si>
  <si>
    <t>2384.92</t>
  </si>
  <si>
    <t>2436</t>
  </si>
  <si>
    <t>2163.83</t>
  </si>
  <si>
    <t>2670</t>
  </si>
  <si>
    <t>2173.41</t>
  </si>
  <si>
    <t>3383.22</t>
  </si>
  <si>
    <t>40-2N-28-0000-0049-0140</t>
  </si>
  <si>
    <t>402N28000000490140</t>
  </si>
  <si>
    <t>96179 HARDY ALLEN RD</t>
  </si>
  <si>
    <t>MCCORMISK FRANCIS WAYNE</t>
  </si>
  <si>
    <t>85017 WAYNES PLAC</t>
  </si>
  <si>
    <t>IN OR 1318/628</t>
  </si>
  <si>
    <t>699.64</t>
  </si>
  <si>
    <t>787.98</t>
  </si>
  <si>
    <t>688.69</t>
  </si>
  <si>
    <t>833.74</t>
  </si>
  <si>
    <t>1907</t>
  </si>
  <si>
    <t>880.64</t>
  </si>
  <si>
    <t>1017.78</t>
  </si>
  <si>
    <t>2674</t>
  </si>
  <si>
    <t>1157.66</t>
  </si>
  <si>
    <t>2458</t>
  </si>
  <si>
    <t>1327.43</t>
  </si>
  <si>
    <t>40-2N-28-1590-0102-0000</t>
  </si>
  <si>
    <t>402N28159001020000</t>
  </si>
  <si>
    <t>95096 PALMETTO TRL</t>
  </si>
  <si>
    <t>2279</t>
  </si>
  <si>
    <t>NORMANDIN MELINDA K</t>
  </si>
  <si>
    <t>95096 PALMETTO TR</t>
  </si>
  <si>
    <t>LOT 102</t>
  </si>
  <si>
    <t>1633.83</t>
  </si>
  <si>
    <t>1657.07</t>
  </si>
  <si>
    <t>1647.78</t>
  </si>
  <si>
    <t>1543.17</t>
  </si>
  <si>
    <t>1814.11</t>
  </si>
  <si>
    <t>2684</t>
  </si>
  <si>
    <t>1932.31</t>
  </si>
  <si>
    <t>40-2N-28-159O-0001-0000</t>
  </si>
  <si>
    <t>96568 CALHOUN RD</t>
  </si>
  <si>
    <t>3364</t>
  </si>
  <si>
    <t>THEOBALD THOMAS A &amp; REMONA R</t>
  </si>
  <si>
    <t>96568 CALHOUN ROA</t>
  </si>
  <si>
    <t>41-2N-28-0000-0003-0080</t>
  </si>
  <si>
    <t>LITTLEBERRY LN</t>
  </si>
  <si>
    <t>19.65</t>
  </si>
  <si>
    <t>PT SEC 41-2N-28E</t>
  </si>
  <si>
    <t>41-2N-28-0000-0006-0000</t>
  </si>
  <si>
    <t>412N28000000060000</t>
  </si>
  <si>
    <t>96044 LITTLEBERRY LN</t>
  </si>
  <si>
    <t>21ST MORTGAGE CORP</t>
  </si>
  <si>
    <t>99571.00</t>
  </si>
  <si>
    <t>09/01/2039</t>
  </si>
  <si>
    <t>BATCHELOR JAMES E EST</t>
  </si>
  <si>
    <t>2178 JEKYLL COUR</t>
  </si>
  <si>
    <t>PT D FERNANDEZ GRANTS</t>
  </si>
  <si>
    <t>618.52</t>
  </si>
  <si>
    <t>634.71</t>
  </si>
  <si>
    <t>2460</t>
  </si>
  <si>
    <t>659.90</t>
  </si>
  <si>
    <t>504.85</t>
  </si>
  <si>
    <t>06/27/2011</t>
  </si>
  <si>
    <t>2472</t>
  </si>
  <si>
    <t>536.77</t>
  </si>
  <si>
    <t>09/21/2010</t>
  </si>
  <si>
    <t>43-2N-28-0000-0001-0090</t>
  </si>
  <si>
    <t>432N28000000010090</t>
  </si>
  <si>
    <t>FRANK WARD RD</t>
  </si>
  <si>
    <t>JENKINS JOHN A JR</t>
  </si>
  <si>
    <t>95098 FRANK WARD R</t>
  </si>
  <si>
    <t>IN OR 324 PG 867  EX 1-12</t>
  </si>
  <si>
    <t>29.67</t>
  </si>
  <si>
    <t>29.71</t>
  </si>
  <si>
    <t>30.06</t>
  </si>
  <si>
    <t>43-2N-28-0000-0001-0120</t>
  </si>
  <si>
    <t>432N28000000010120</t>
  </si>
  <si>
    <t>95082 FRANK WARD RD</t>
  </si>
  <si>
    <t>IN OR 764 PG 1455</t>
  </si>
  <si>
    <t>530.13</t>
  </si>
  <si>
    <t>537.68</t>
  </si>
  <si>
    <t>540.52</t>
  </si>
  <si>
    <t>512.91</t>
  </si>
  <si>
    <t>1915</t>
  </si>
  <si>
    <t>518.64</t>
  </si>
  <si>
    <t>2794</t>
  </si>
  <si>
    <t>603.08</t>
  </si>
  <si>
    <t>43-2N-28-0000-0001-0140</t>
  </si>
  <si>
    <t>432N28000000010140</t>
  </si>
  <si>
    <t>TAMMY TL</t>
  </si>
  <si>
    <t>THRIFT GEORGE H SR</t>
  </si>
  <si>
    <t>474379 E SR 20</t>
  </si>
  <si>
    <t>PT D FERNANDEZ GRANT</t>
  </si>
  <si>
    <t>43-2N-28-0000-0003-0000</t>
  </si>
  <si>
    <t>432N28000000030000</t>
  </si>
  <si>
    <t>95098 FRANK WARD RD</t>
  </si>
  <si>
    <t>6.08</t>
  </si>
  <si>
    <t>2230</t>
  </si>
  <si>
    <t>44318</t>
  </si>
  <si>
    <t>DEBORAH PHELAN</t>
  </si>
  <si>
    <t>46553.00</t>
  </si>
  <si>
    <t>IN OR 1770/1907</t>
  </si>
  <si>
    <t>2505.20</t>
  </si>
  <si>
    <t>3234.61</t>
  </si>
  <si>
    <t>1675</t>
  </si>
  <si>
    <t>3198.70</t>
  </si>
  <si>
    <t>2927.15</t>
  </si>
  <si>
    <t>2969.60</t>
  </si>
  <si>
    <t>43-2N-28-0000-0003-0040</t>
  </si>
  <si>
    <t>432N28000000030040</t>
  </si>
  <si>
    <t>95184 FLATWOODS TL</t>
  </si>
  <si>
    <t>15.40</t>
  </si>
  <si>
    <t xml:space="preserve"> WHW</t>
  </si>
  <si>
    <t>144063.00</t>
  </si>
  <si>
    <t>01/20/2009</t>
  </si>
  <si>
    <t>MCCARROLL MICHAEL ORY &amp; ASHLEY</t>
  </si>
  <si>
    <t>95184 FLATWOODS TRAI</t>
  </si>
  <si>
    <t>IN OR 1903/834</t>
  </si>
  <si>
    <t>346.92</t>
  </si>
  <si>
    <t>359.80</t>
  </si>
  <si>
    <t>351.41</t>
  </si>
  <si>
    <t>2795</t>
  </si>
  <si>
    <t>359.10</t>
  </si>
  <si>
    <t>364.32</t>
  </si>
  <si>
    <t>43-2N-28-0000-0003-0050</t>
  </si>
  <si>
    <t>432N28000000030050</t>
  </si>
  <si>
    <t>95184 FLATWOODS TRL</t>
  </si>
  <si>
    <t>3.40</t>
  </si>
  <si>
    <t>77000.00</t>
  </si>
  <si>
    <t>12/21/2007</t>
  </si>
  <si>
    <t>IN OR 1903/837</t>
  </si>
  <si>
    <t>613.45</t>
  </si>
  <si>
    <t>623.97</t>
  </si>
  <si>
    <t>1918</t>
  </si>
  <si>
    <t>603.95</t>
  </si>
  <si>
    <t>2796</t>
  </si>
  <si>
    <t>657.21</t>
  </si>
  <si>
    <t>726.80</t>
  </si>
  <si>
    <t>43-2N-28-0000-0003-0060</t>
  </si>
  <si>
    <t>432N28-00000003-0060</t>
  </si>
  <si>
    <t>OFF FRANK WARD RD</t>
  </si>
  <si>
    <t>5.52</t>
  </si>
  <si>
    <t>IN OR 1903/840</t>
  </si>
  <si>
    <t>56.62</t>
  </si>
  <si>
    <t>53.34</t>
  </si>
  <si>
    <t>44-2N-28-0000-0023-0010</t>
  </si>
  <si>
    <t>442N28000000230010</t>
  </si>
  <si>
    <t>95366 ARBOR LN</t>
  </si>
  <si>
    <t>3628</t>
  </si>
  <si>
    <t>07/08/2003</t>
  </si>
  <si>
    <t>07/01/2018</t>
  </si>
  <si>
    <t>ANDREWS VIRGINIA J &amp; WALTER F</t>
  </si>
  <si>
    <t>2865</t>
  </si>
  <si>
    <t>1615.70</t>
  </si>
  <si>
    <t>1589.30</t>
  </si>
  <si>
    <t>44-2N-28-0000-0029-0030</t>
  </si>
  <si>
    <t>442N28000000290030</t>
  </si>
  <si>
    <t>941490 OLD NASSAUVILLE RD</t>
  </si>
  <si>
    <t>07/31/2006</t>
  </si>
  <si>
    <t>CUMMING WILLIE CARL</t>
  </si>
  <si>
    <t>941490 OLD NASSAUVILLE R</t>
  </si>
  <si>
    <t>1233.06</t>
  </si>
  <si>
    <t>1249.21</t>
  </si>
  <si>
    <t>2868</t>
  </si>
  <si>
    <t>1429.76</t>
  </si>
  <si>
    <t>44-2N-28-5120-000A-0160</t>
  </si>
  <si>
    <t>442N285120000A0160</t>
  </si>
  <si>
    <t>95083 STINGRAY LN</t>
  </si>
  <si>
    <t>3745</t>
  </si>
  <si>
    <t>104551.00</t>
  </si>
  <si>
    <t>MANCIL LARRY E &amp; JUDITH E</t>
  </si>
  <si>
    <t>95083 STINGRAY LAN</t>
  </si>
  <si>
    <t>1613</t>
  </si>
  <si>
    <t>1133.93</t>
  </si>
  <si>
    <t>44-2N-28-5130-0013-0000</t>
  </si>
  <si>
    <t>442N28513000130000</t>
  </si>
  <si>
    <t>95143 ELLIS LANDING RD</t>
  </si>
  <si>
    <t>LITTLE JOSEPH C &amp; L C</t>
  </si>
  <si>
    <t>95143 ELLIS LANDIN</t>
  </si>
  <si>
    <t>LOT 13 OR 155 PG 244</t>
  </si>
  <si>
    <t>505.61</t>
  </si>
  <si>
    <t>06/26/2017</t>
  </si>
  <si>
    <t>1615</t>
  </si>
  <si>
    <t>510.89</t>
  </si>
  <si>
    <t>1681</t>
  </si>
  <si>
    <t>510.00</t>
  </si>
  <si>
    <t>481.55</t>
  </si>
  <si>
    <t>480.22</t>
  </si>
  <si>
    <t>467.34</t>
  </si>
  <si>
    <t>2706</t>
  </si>
  <si>
    <t>461.84</t>
  </si>
  <si>
    <t>2487</t>
  </si>
  <si>
    <t>448.96</t>
  </si>
  <si>
    <t>09/13/2010</t>
  </si>
  <si>
    <t>44-2N-28-5130-0032-0000</t>
  </si>
  <si>
    <t>442N28513000320000</t>
  </si>
  <si>
    <t>95084 GERALD CIR</t>
  </si>
  <si>
    <t>67020.00</t>
  </si>
  <si>
    <t>01/11/2000</t>
  </si>
  <si>
    <t>MARSH DENNIS LEE</t>
  </si>
  <si>
    <t>95084 GERALD CI</t>
  </si>
  <si>
    <t>LOT 32      R787542</t>
  </si>
  <si>
    <t>522.66</t>
  </si>
  <si>
    <t>495.27</t>
  </si>
  <si>
    <t>2709</t>
  </si>
  <si>
    <t>537.76</t>
  </si>
  <si>
    <t>44-2N-28-5130-0054-0000</t>
  </si>
  <si>
    <t>95221 GERALD CIR</t>
  </si>
  <si>
    <t>0.92</t>
  </si>
  <si>
    <t>2088</t>
  </si>
  <si>
    <t>DUNCUM BRIAN E SR &amp;</t>
  </si>
  <si>
    <t>95221 GERALD CIRCL</t>
  </si>
  <si>
    <t>LOTS 54 &amp; 55</t>
  </si>
  <si>
    <t>44-2N-28-5130-0063-0000</t>
  </si>
  <si>
    <t>442N28513000630000</t>
  </si>
  <si>
    <t>ELLIS LANDING RD</t>
  </si>
  <si>
    <t>TAYLOR HOWARD L &amp; YOLANDA D</t>
  </si>
  <si>
    <t>95124 ELLIS LANDING ROA</t>
  </si>
  <si>
    <t>LOT 63</t>
  </si>
  <si>
    <t>1928</t>
  </si>
  <si>
    <t>2873</t>
  </si>
  <si>
    <t>213.98</t>
  </si>
  <si>
    <t>2710</t>
  </si>
  <si>
    <t>213.09</t>
  </si>
  <si>
    <t>192.98</t>
  </si>
  <si>
    <t>44-2N-28-5136-0003-0000</t>
  </si>
  <si>
    <t>442N28513600030000</t>
  </si>
  <si>
    <t>95458 ALLIGATOR CREEK RD</t>
  </si>
  <si>
    <t>FIRST NATIONAL BANK OF FOLKSTON</t>
  </si>
  <si>
    <t>153535.00</t>
  </si>
  <si>
    <t>10/01/2004</t>
  </si>
  <si>
    <t>BURNSED JODI P</t>
  </si>
  <si>
    <t>95490 ALLIGATOR CREEK R</t>
  </si>
  <si>
    <t>LOT 3    IN OR 2086/1331</t>
  </si>
  <si>
    <t>2491</t>
  </si>
  <si>
    <t>2078.55</t>
  </si>
  <si>
    <t>44-2N-28-5160-000A-0140</t>
  </si>
  <si>
    <t>442N285160000A0140</t>
  </si>
  <si>
    <t>95145 ARBOR LN</t>
  </si>
  <si>
    <t>THOMAS DAVID R JR &amp; KIMBERLY R</t>
  </si>
  <si>
    <t>95145 ARBOR LAN</t>
  </si>
  <si>
    <t>PT OF TRACT A IN OR 537/545</t>
  </si>
  <si>
    <t>758.23</t>
  </si>
  <si>
    <t>08/29/2017</t>
  </si>
  <si>
    <t>766.42</t>
  </si>
  <si>
    <t>759.74</t>
  </si>
  <si>
    <t>1761</t>
  </si>
  <si>
    <t>715.03</t>
  </si>
  <si>
    <t>08/01/2014</t>
  </si>
  <si>
    <t>732.71</t>
  </si>
  <si>
    <t>747.22</t>
  </si>
  <si>
    <t>2713</t>
  </si>
  <si>
    <t>749.71</t>
  </si>
  <si>
    <t>44-2N-28-5180-0005-0020</t>
  </si>
  <si>
    <t>442N28518000050020</t>
  </si>
  <si>
    <t>95020 LADYFISH LN</t>
  </si>
  <si>
    <t>02/25/2010</t>
  </si>
  <si>
    <t>BOUDROW REANNA A</t>
  </si>
  <si>
    <t>95020 LADYFISH LAN</t>
  </si>
  <si>
    <t>BLK A {K/A PARCEL A} PT OF LOT</t>
  </si>
  <si>
    <t>1592</t>
  </si>
  <si>
    <t>847.81</t>
  </si>
  <si>
    <t>857.55</t>
  </si>
  <si>
    <t>02/24/2018</t>
  </si>
  <si>
    <t>850.62</t>
  </si>
  <si>
    <t>1931</t>
  </si>
  <si>
    <t>815.83</t>
  </si>
  <si>
    <t>2877</t>
  </si>
  <si>
    <t>1451.54</t>
  </si>
  <si>
    <t>44-2N-28-5210-0006-0000</t>
  </si>
  <si>
    <t>442N28521000060000</t>
  </si>
  <si>
    <t>1670 SR 107-A</t>
  </si>
  <si>
    <t>1970</t>
  </si>
  <si>
    <t>WILSON AVA A</t>
  </si>
  <si>
    <t>2010 OAKVIEW DRIV</t>
  </si>
  <si>
    <t>940.12</t>
  </si>
  <si>
    <t>957.30</t>
  </si>
  <si>
    <t>908.60</t>
  </si>
  <si>
    <t>861.20</t>
  </si>
  <si>
    <t>1932</t>
  </si>
  <si>
    <t>871.69</t>
  </si>
  <si>
    <t>2879</t>
  </si>
  <si>
    <t>2715</t>
  </si>
  <si>
    <t>1306.46</t>
  </si>
  <si>
    <t>44-2N-28-5210-0010-0000</t>
  </si>
  <si>
    <t>442N28521000100000</t>
  </si>
  <si>
    <t>95149 RAINBOW ACRES RD</t>
  </si>
  <si>
    <t>2848</t>
  </si>
  <si>
    <t>56285.00</t>
  </si>
  <si>
    <t>09/22/1999</t>
  </si>
  <si>
    <t>CORBITT RONALD &amp;</t>
  </si>
  <si>
    <t>95149 RAINBOW ACRES R</t>
  </si>
  <si>
    <t>LOTS 10 &amp; 11</t>
  </si>
  <si>
    <t>1891.24</t>
  </si>
  <si>
    <t>1621</t>
  </si>
  <si>
    <t>1896.94</t>
  </si>
  <si>
    <t>1933.93</t>
  </si>
  <si>
    <t>1889.03</t>
  </si>
  <si>
    <t>1952.92</t>
  </si>
  <si>
    <t>2716</t>
  </si>
  <si>
    <t>44-2N-28-5210-0013-0010</t>
  </si>
  <si>
    <t>442N28521000130010</t>
  </si>
  <si>
    <t>95237 RAINBOW ACRES RD</t>
  </si>
  <si>
    <t>CARTER EDWARD M</t>
  </si>
  <si>
    <t>95231 RAINBOW ACRES ROA</t>
  </si>
  <si>
    <t>457.98</t>
  </si>
  <si>
    <t>05/08/2017</t>
  </si>
  <si>
    <t>470.05</t>
  </si>
  <si>
    <t>511.17</t>
  </si>
  <si>
    <t>3248</t>
  </si>
  <si>
    <t>136.22</t>
  </si>
  <si>
    <t>44-2N-28-5210-0047-0020</t>
  </si>
  <si>
    <t>95379 ALLIGATOR CREEK RD</t>
  </si>
  <si>
    <t>98900.00</t>
  </si>
  <si>
    <t>SEVILLA CHRISTOPHER J &amp; ASHLEY</t>
  </si>
  <si>
    <t>95379 ALLIGATOR CREEK R</t>
  </si>
  <si>
    <t>PT OF LOTS 47 &amp; 48</t>
  </si>
  <si>
    <t>1243.98</t>
  </si>
  <si>
    <t>44-2N-28-5210-0054-0010</t>
  </si>
  <si>
    <t>442N28-52100054-0010</t>
  </si>
  <si>
    <t>95002 CANOE LN</t>
  </si>
  <si>
    <t>32023</t>
  </si>
  <si>
    <t>DENMARK GARY</t>
  </si>
  <si>
    <t>95002 CANOE L</t>
  </si>
  <si>
    <t>PT LOT 54 IN OR 1970/1639</t>
  </si>
  <si>
    <t>1598</t>
  </si>
  <si>
    <t>659.06</t>
  </si>
  <si>
    <t>45-2N-28-0000-0003-0000</t>
  </si>
  <si>
    <t>452N28000000030000</t>
  </si>
  <si>
    <t>OFF SR 107</t>
  </si>
  <si>
    <t>PRINCE CHAPEL AME CHURCH</t>
  </si>
  <si>
    <t>PO BOX 15997</t>
  </si>
  <si>
    <t>IN OR 463 PG 29</t>
  </si>
  <si>
    <t>2719</t>
  </si>
  <si>
    <t>61.78</t>
  </si>
  <si>
    <t>2504</t>
  </si>
  <si>
    <t>49.73</t>
  </si>
  <si>
    <t>45-2N-28-0000-0007-0020</t>
  </si>
  <si>
    <t>452N28000000070020</t>
  </si>
  <si>
    <t>940261 OLD NASSAUVILLE RD</t>
  </si>
  <si>
    <t>4194</t>
  </si>
  <si>
    <t>76856.00</t>
  </si>
  <si>
    <t>02/26/2003</t>
  </si>
  <si>
    <t>WALL BRIAN A &amp; ANGELA</t>
  </si>
  <si>
    <t>940261 OLD NASSAUVILLE R</t>
  </si>
  <si>
    <t>IN OR 1641/575</t>
  </si>
  <si>
    <t>4222.65</t>
  </si>
  <si>
    <t>4290.33</t>
  </si>
  <si>
    <t>4273.38</t>
  </si>
  <si>
    <t>3991.63</t>
  </si>
  <si>
    <t>1940</t>
  </si>
  <si>
    <t>4043.75</t>
  </si>
  <si>
    <t>03/14/2015</t>
  </si>
  <si>
    <t>2895</t>
  </si>
  <si>
    <t>1161.95</t>
  </si>
  <si>
    <t>2720</t>
  </si>
  <si>
    <t>1494.30</t>
  </si>
  <si>
    <t>2505</t>
  </si>
  <si>
    <t>2176.23</t>
  </si>
  <si>
    <t>45-2N-28-0000-0011-0000</t>
  </si>
  <si>
    <t>452N28000000110000</t>
  </si>
  <si>
    <t>95050 ALBERT WAY</t>
  </si>
  <si>
    <t>ALBERT EUGENE TRUSTEE</t>
  </si>
  <si>
    <t>6323 ARDLEIGH ST</t>
  </si>
  <si>
    <t>Philadelphia</t>
  </si>
  <si>
    <t>19138</t>
  </si>
  <si>
    <t>PT JOHN CHRISTOPHER GRANT</t>
  </si>
  <si>
    <t>8049.82</t>
  </si>
  <si>
    <t>7864.11</t>
  </si>
  <si>
    <t>6553.63</t>
  </si>
  <si>
    <t>6130.67</t>
  </si>
  <si>
    <t>1941</t>
  </si>
  <si>
    <t>6214.52</t>
  </si>
  <si>
    <t>2896</t>
  </si>
  <si>
    <t>7322.46</t>
  </si>
  <si>
    <t>2721</t>
  </si>
  <si>
    <t>9499.28</t>
  </si>
  <si>
    <t>45-2N-28-0000-0012-0010</t>
  </si>
  <si>
    <t>940272 OLD NASSAUVILLE RD</t>
  </si>
  <si>
    <t>2628</t>
  </si>
  <si>
    <t>RAYMOND JAMES BANK FSB</t>
  </si>
  <si>
    <t>11/05/2017</t>
  </si>
  <si>
    <t>PT JOHN CHISTOPHER GRANT</t>
  </si>
  <si>
    <t>3308.08</t>
  </si>
  <si>
    <t>45-2N-28-0000-0015-0010</t>
  </si>
  <si>
    <t>452N28000000150010</t>
  </si>
  <si>
    <t>WINTERBERRY AV</t>
  </si>
  <si>
    <t>MANGE JOE W &amp; MARIE R</t>
  </si>
  <si>
    <t>3761 CEDAR CREST D</t>
  </si>
  <si>
    <t>IN OR 92 PG 527</t>
  </si>
  <si>
    <t>2611.88</t>
  </si>
  <si>
    <t>2278.31</t>
  </si>
  <si>
    <t>1697</t>
  </si>
  <si>
    <t>1790.95</t>
  </si>
  <si>
    <t>1696.35</t>
  </si>
  <si>
    <t>1942</t>
  </si>
  <si>
    <t>1717.28</t>
  </si>
  <si>
    <t>2898</t>
  </si>
  <si>
    <t>2170.18</t>
  </si>
  <si>
    <t>08/30/2013</t>
  </si>
  <si>
    <t>2506</t>
  </si>
  <si>
    <t>2938.80</t>
  </si>
  <si>
    <t>45-2N-28-5240-0011-0000</t>
  </si>
  <si>
    <t>452N28524000110000</t>
  </si>
  <si>
    <t>940496 OLD NASSAUVILLE RD</t>
  </si>
  <si>
    <t>07/24/2006</t>
  </si>
  <si>
    <t>PANKE RUSSELL E &amp; BRENDA</t>
  </si>
  <si>
    <t>940496 OLD NASSAUVILLE ROA</t>
  </si>
  <si>
    <t>S 150 FT OF LOT 11</t>
  </si>
  <si>
    <t>4713.03</t>
  </si>
  <si>
    <t>4789.09</t>
  </si>
  <si>
    <t>09/29/2016</t>
  </si>
  <si>
    <t>4770.70</t>
  </si>
  <si>
    <t>1771</t>
  </si>
  <si>
    <t>4455.39</t>
  </si>
  <si>
    <t>1943</t>
  </si>
  <si>
    <t>4427.96</t>
  </si>
  <si>
    <t>04/16/2015</t>
  </si>
  <si>
    <t>45-2N-28-525B-0001-0000</t>
  </si>
  <si>
    <t>94061 DUCK LAKE DR</t>
  </si>
  <si>
    <t>DAVIS SUSAN M</t>
  </si>
  <si>
    <t>94035 MERLIN D</t>
  </si>
  <si>
    <t>TRACT 1 &amp; 2  R672541 &amp; R672542</t>
  </si>
  <si>
    <t>708.81</t>
  </si>
  <si>
    <t>45-2N-28-525B-0011-0000</t>
  </si>
  <si>
    <t>452N28525B00110000</t>
  </si>
  <si>
    <t>94146 DUCK LAKE DR</t>
  </si>
  <si>
    <t>2051</t>
  </si>
  <si>
    <t>TRACT 11 &amp; PAR 4-1</t>
  </si>
  <si>
    <t>927.21</t>
  </si>
  <si>
    <t>1636</t>
  </si>
  <si>
    <t>969.53</t>
  </si>
  <si>
    <t>1774</t>
  </si>
  <si>
    <t>508.77</t>
  </si>
  <si>
    <t>1946</t>
  </si>
  <si>
    <t>514.86</t>
  </si>
  <si>
    <t>45-2N-28-525B-0017-0000</t>
  </si>
  <si>
    <t>452N28525B00170000</t>
  </si>
  <si>
    <t>94204 DUCK LAKE DR</t>
  </si>
  <si>
    <t>7850.00</t>
  </si>
  <si>
    <t>06/16/2000</t>
  </si>
  <si>
    <t>DAVIS MARK D</t>
  </si>
  <si>
    <t>85217 JOHNSON L</t>
  </si>
  <si>
    <t>TRACT 17   R567717</t>
  </si>
  <si>
    <t>579.74</t>
  </si>
  <si>
    <t>519.46</t>
  </si>
  <si>
    <t>600.24</t>
  </si>
  <si>
    <t>620.88</t>
  </si>
  <si>
    <t>2725</t>
  </si>
  <si>
    <t>663.81</t>
  </si>
  <si>
    <t>824.15</t>
  </si>
  <si>
    <t>45-2N-28-525B-0031-0000</t>
  </si>
  <si>
    <t>452N28525B00310000</t>
  </si>
  <si>
    <t>94654 DUCK LAKE DR</t>
  </si>
  <si>
    <t>64000.00</t>
  </si>
  <si>
    <t>07/23/2003</t>
  </si>
  <si>
    <t>TRACT 31 &amp; 32 R359520</t>
  </si>
  <si>
    <t>1142.66</t>
  </si>
  <si>
    <t>1000.82</t>
  </si>
  <si>
    <t>916.92</t>
  </si>
  <si>
    <t>949.41</t>
  </si>
  <si>
    <t>1950</t>
  </si>
  <si>
    <t>1077.84</t>
  </si>
  <si>
    <t>2903</t>
  </si>
  <si>
    <t>1181.69</t>
  </si>
  <si>
    <t>2727</t>
  </si>
  <si>
    <t>1325.98</t>
  </si>
  <si>
    <t>1380.72</t>
  </si>
  <si>
    <t>02/01/2011</t>
  </si>
  <si>
    <t>45-2N-28-525B-0034-0000</t>
  </si>
  <si>
    <t>DUCK LAKE DR</t>
  </si>
  <si>
    <t>NICHOLS LINDA R &amp; PAUL E</t>
  </si>
  <si>
    <t>94634 DUCK LAKE DRIV</t>
  </si>
  <si>
    <t>TRACT 34</t>
  </si>
  <si>
    <t>45-2N-28-525B-0039-0000</t>
  </si>
  <si>
    <t>452N28525B00390000</t>
  </si>
  <si>
    <t>SCOTT-CHUNG MEIBECK LEE TRSTEE</t>
  </si>
  <si>
    <t>1717 16TH AVENU</t>
  </si>
  <si>
    <t>Oakland</t>
  </si>
  <si>
    <t>94606</t>
  </si>
  <si>
    <t>TRACT 39</t>
  </si>
  <si>
    <t>45-2N-28-525C-0005-0000</t>
  </si>
  <si>
    <t>452N28525C00050000</t>
  </si>
  <si>
    <t>94070 WINTERBERRY AVE</t>
  </si>
  <si>
    <t>2692</t>
  </si>
  <si>
    <t xml:space="preserve"> AMERICAS WHOLESALE LENDER</t>
  </si>
  <si>
    <t>05/13/2003</t>
  </si>
  <si>
    <t>BEST ALVIN E III &amp; MABEL J</t>
  </si>
  <si>
    <t>94070 WINTERBERRY A</t>
  </si>
  <si>
    <t>TRACTS 5 6 &amp; 10</t>
  </si>
  <si>
    <t>1283.01</t>
  </si>
  <si>
    <t>1319.65</t>
  </si>
  <si>
    <t>1704</t>
  </si>
  <si>
    <t>1245.42</t>
  </si>
  <si>
    <t>1387.02</t>
  </si>
  <si>
    <t>45-2N-28-525C-0034-0000</t>
  </si>
  <si>
    <t>452N28525C00340000</t>
  </si>
  <si>
    <t>CHRISTOPHER LN</t>
  </si>
  <si>
    <t>PARKER JAMES O</t>
  </si>
  <si>
    <t>1812 CR 34</t>
  </si>
  <si>
    <t>Mayo</t>
  </si>
  <si>
    <t>32066</t>
  </si>
  <si>
    <t>LOT 34</t>
  </si>
  <si>
    <t>872.27</t>
  </si>
  <si>
    <t>1707</t>
  </si>
  <si>
    <t>798.97</t>
  </si>
  <si>
    <t>45-2N-28-525C-0048-0000</t>
  </si>
  <si>
    <t>452N28525C00480000</t>
  </si>
  <si>
    <t>94390 DUCK LAKE DR</t>
  </si>
  <si>
    <t>CARL E SWANSON</t>
  </si>
  <si>
    <t>08/01/2003</t>
  </si>
  <si>
    <t>RICHARDSON MICHAEL</t>
  </si>
  <si>
    <t>BOX 48</t>
  </si>
  <si>
    <t>TRACT 48</t>
  </si>
  <si>
    <t>462.80</t>
  </si>
  <si>
    <t>468.39</t>
  </si>
  <si>
    <t>03/12/2018</t>
  </si>
  <si>
    <t>470.67</t>
  </si>
  <si>
    <t>446.66</t>
  </si>
  <si>
    <t>1953</t>
  </si>
  <si>
    <t>2906</t>
  </si>
  <si>
    <t>442.12</t>
  </si>
  <si>
    <t>359.74</t>
  </si>
  <si>
    <t>45-2N-28-525D-0003-0000</t>
  </si>
  <si>
    <t>452N28525D00030000</t>
  </si>
  <si>
    <t>PALM CR</t>
  </si>
  <si>
    <t>NYREN GERALD PAUL &amp; MARY M</t>
  </si>
  <si>
    <t>3911 PARK S</t>
  </si>
  <si>
    <t>882.06</t>
  </si>
  <si>
    <t>886.39</t>
  </si>
  <si>
    <t>1955</t>
  </si>
  <si>
    <t>1661.84</t>
  </si>
  <si>
    <t>2908</t>
  </si>
  <si>
    <t>1754.24</t>
  </si>
  <si>
    <t>2732</t>
  </si>
  <si>
    <t>1699.69</t>
  </si>
  <si>
    <t>2522</t>
  </si>
  <si>
    <t>1705.80</t>
  </si>
  <si>
    <t>45-2N-28-525D-0018-0000</t>
  </si>
  <si>
    <t>94245 PALM CIR</t>
  </si>
  <si>
    <t>PEGG R KEVIN</t>
  </si>
  <si>
    <t>94245 PALM CIRCL</t>
  </si>
  <si>
    <t>45-2N-28-525F-0010-0000</t>
  </si>
  <si>
    <t>85766 OWENS RD</t>
  </si>
  <si>
    <t>ZIMMERMAN JILL E &amp;</t>
  </si>
  <si>
    <t>436.75</t>
  </si>
  <si>
    <t>06/17/2017</t>
  </si>
  <si>
    <t>45-2N-28-525F-0013-0000</t>
  </si>
  <si>
    <t>452N28525F00130000</t>
  </si>
  <si>
    <t>85700 OWENS RD</t>
  </si>
  <si>
    <t>38500</t>
  </si>
  <si>
    <t xml:space="preserve"> BRANCH BANKING &amp; TRUST CO</t>
  </si>
  <si>
    <t>05/03/2005</t>
  </si>
  <si>
    <t>LOT 13     2005 DW/MH FTWD</t>
  </si>
  <si>
    <t>947.09</t>
  </si>
  <si>
    <t>978.40</t>
  </si>
  <si>
    <t>871.15</t>
  </si>
  <si>
    <t>1784</t>
  </si>
  <si>
    <t>838.72</t>
  </si>
  <si>
    <t>45-2N-28-545K-0002-0000</t>
  </si>
  <si>
    <t>940732 OLD NASSAUVILLE RD</t>
  </si>
  <si>
    <t>2623</t>
  </si>
  <si>
    <t>LIBERTY HOME EQUITY SOLUTIONS INC</t>
  </si>
  <si>
    <t>09/16/2099</t>
  </si>
  <si>
    <t>TRANTHAM NANCY R</t>
  </si>
  <si>
    <t>940732 OLD NASSAUVILLE R</t>
  </si>
  <si>
    <t>45-2N-28-550A-0001-0020</t>
  </si>
  <si>
    <t>452N28550A00010020</t>
  </si>
  <si>
    <t>95297 SANTA JUANA RD</t>
  </si>
  <si>
    <t xml:space="preserve"> SELLER</t>
  </si>
  <si>
    <t>09/17/1997</t>
  </si>
  <si>
    <t>BAKER SHANNON L</t>
  </si>
  <si>
    <t>95297 SANTA JUANA ROA</t>
  </si>
  <si>
    <t>BLOCK 1 LOT 2  R360276</t>
  </si>
  <si>
    <t>438.09</t>
  </si>
  <si>
    <t>443.08</t>
  </si>
  <si>
    <t>421.26</t>
  </si>
  <si>
    <t>1961</t>
  </si>
  <si>
    <t>430.85</t>
  </si>
  <si>
    <t>2740</t>
  </si>
  <si>
    <t>723.40</t>
  </si>
  <si>
    <t>45-2N-28-550A-0001-0050</t>
  </si>
  <si>
    <t>95363 SANTA JUANA RD</t>
  </si>
  <si>
    <t>102393.00</t>
  </si>
  <si>
    <t>BLACK CREEK CUSTOM HOMES INC</t>
  </si>
  <si>
    <t>2372 BLANDING BLV</t>
  </si>
  <si>
    <t>45-2N-28-550B-0002-0120</t>
  </si>
  <si>
    <t>452N28550B00020120</t>
  </si>
  <si>
    <t>95364 CLEARWATER RD</t>
  </si>
  <si>
    <t>OVERLY TERRY L &amp; LINDA G</t>
  </si>
  <si>
    <t>95364 CLEARWATER ROA</t>
  </si>
  <si>
    <t>BLOCK 2 LOT 12   IN OR 860/474</t>
  </si>
  <si>
    <t>264.14</t>
  </si>
  <si>
    <t>289.20</t>
  </si>
  <si>
    <t>284.91</t>
  </si>
  <si>
    <t>456.11</t>
  </si>
  <si>
    <t>2918</t>
  </si>
  <si>
    <t>543.85</t>
  </si>
  <si>
    <t>2747</t>
  </si>
  <si>
    <t>554.49</t>
  </si>
  <si>
    <t>2537</t>
  </si>
  <si>
    <t>547.33</t>
  </si>
  <si>
    <t>45-2N-28-550B-0002-0180</t>
  </si>
  <si>
    <t>452N28-550B0002-0180</t>
  </si>
  <si>
    <t>95190 CLEARWATER RD</t>
  </si>
  <si>
    <t>27100</t>
  </si>
  <si>
    <t>65500.00</t>
  </si>
  <si>
    <t>10/10/2008</t>
  </si>
  <si>
    <t>WILLIAMS OLVAN E JR</t>
  </si>
  <si>
    <t>95190 CLEARWATER R</t>
  </si>
  <si>
    <t>45-2N-28-550B-0002-0281</t>
  </si>
  <si>
    <t>452N28550B00020281</t>
  </si>
  <si>
    <t>95096 MOBLEY HEIGHTS RD</t>
  </si>
  <si>
    <t>DELAPP JULIA B</t>
  </si>
  <si>
    <t>95096 MOBLEY HEIGHTS R</t>
  </si>
  <si>
    <t>BLOCK 2 NWLY 100 FT OF</t>
  </si>
  <si>
    <t>586.65</t>
  </si>
  <si>
    <t>595.64</t>
  </si>
  <si>
    <t>1234.69</t>
  </si>
  <si>
    <t>1302.50</t>
  </si>
  <si>
    <t>1968</t>
  </si>
  <si>
    <t>734.54</t>
  </si>
  <si>
    <t>2919</t>
  </si>
  <si>
    <t>837.86</t>
  </si>
  <si>
    <t>964.33</t>
  </si>
  <si>
    <t>2539</t>
  </si>
  <si>
    <t>921.84</t>
  </si>
  <si>
    <t>10/27/2011</t>
  </si>
  <si>
    <t>45-2N-28-550B-0002-0460</t>
  </si>
  <si>
    <t>452N28550B00020460</t>
  </si>
  <si>
    <t>95633 SPRINGHILL RD</t>
  </si>
  <si>
    <t>JANET HARDY</t>
  </si>
  <si>
    <t>12/05/2008</t>
  </si>
  <si>
    <t>DEONAS NICK D &amp; HELEN D</t>
  </si>
  <si>
    <t>96208 LIGHTWIND D</t>
  </si>
  <si>
    <t>BLOCK 2 LOT 46</t>
  </si>
  <si>
    <t>592.53</t>
  </si>
  <si>
    <t>08/12/2016</t>
  </si>
  <si>
    <t>631.04</t>
  </si>
  <si>
    <t>2925</t>
  </si>
  <si>
    <t>765.67</t>
  </si>
  <si>
    <t>936.60</t>
  </si>
  <si>
    <t>45-2N-28-550B-0003-0460</t>
  </si>
  <si>
    <t>940847 OLD NASSAUVILLE RD</t>
  </si>
  <si>
    <t>TRESSIE JOAN YAKUNOVICH ETAL</t>
  </si>
  <si>
    <t>YAKUNOVICH IVAN &amp; BRANDY</t>
  </si>
  <si>
    <t>940847 OLD NASSAUVILLE R</t>
  </si>
  <si>
    <t>BLOCK 3 LOT 46    R433472</t>
  </si>
  <si>
    <t>590.29</t>
  </si>
  <si>
    <t>45-2N-28-550B-0003-0510</t>
  </si>
  <si>
    <t>452N28550B00030510</t>
  </si>
  <si>
    <t>940917 OLD NASSAUVILLE RD</t>
  </si>
  <si>
    <t>07/27/2006</t>
  </si>
  <si>
    <t>PERALTA ELIAZAR FIGUEROA</t>
  </si>
  <si>
    <t>96012 SUNFISH LAN</t>
  </si>
  <si>
    <t>BLOCK 3 LOT 51</t>
  </si>
  <si>
    <t>675.10</t>
  </si>
  <si>
    <t>612.22</t>
  </si>
  <si>
    <t>687.41</t>
  </si>
  <si>
    <t>45-2N-28-550C-0006-0000</t>
  </si>
  <si>
    <t>452N28550C00060000</t>
  </si>
  <si>
    <t>95282 SANTA JUANA RD</t>
  </si>
  <si>
    <t>TIFTON NASSAU LLC</t>
  </si>
  <si>
    <t>09/01/2024</t>
  </si>
  <si>
    <t>KING JEREMY A</t>
  </si>
  <si>
    <t>95282 SANTA JUANA R</t>
  </si>
  <si>
    <t>1797</t>
  </si>
  <si>
    <t>488.12</t>
  </si>
  <si>
    <t>514.82</t>
  </si>
  <si>
    <t>2929</t>
  </si>
  <si>
    <t>556.68</t>
  </si>
  <si>
    <t>612.76</t>
  </si>
  <si>
    <t>08/02/2011</t>
  </si>
  <si>
    <t>595.68</t>
  </si>
  <si>
    <t>07/28/2010</t>
  </si>
  <si>
    <t>45-2N-28-550D-0004-0000</t>
  </si>
  <si>
    <t>452N28550D00040000</t>
  </si>
  <si>
    <t>85735 LONNIE CREWS RD</t>
  </si>
  <si>
    <t>1.73</t>
  </si>
  <si>
    <t>THORNTON BILLY J &amp;</t>
  </si>
  <si>
    <t>85735 LONNIE CREWS R</t>
  </si>
  <si>
    <t>LOT 4    IN OR 873/1577</t>
  </si>
  <si>
    <t>520.00</t>
  </si>
  <si>
    <t>525.95</t>
  </si>
  <si>
    <t>550.18</t>
  </si>
  <si>
    <t>556.46</t>
  </si>
  <si>
    <t>583.28</t>
  </si>
  <si>
    <t>635.16</t>
  </si>
  <si>
    <t>846.51</t>
  </si>
  <si>
    <t>45-2N-28-550D-0009-0000</t>
  </si>
  <si>
    <t>452N28550D00090000</t>
  </si>
  <si>
    <t>85795 OWENS RD</t>
  </si>
  <si>
    <t>BROWN JAMES SR</t>
  </si>
  <si>
    <t>97001 RICHO LAN</t>
  </si>
  <si>
    <t>475.25</t>
  </si>
  <si>
    <t>481.14</t>
  </si>
  <si>
    <t>483.46</t>
  </si>
  <si>
    <t>458.79</t>
  </si>
  <si>
    <t>464.25</t>
  </si>
  <si>
    <t>2932</t>
  </si>
  <si>
    <t>555.66</t>
  </si>
  <si>
    <t>2765</t>
  </si>
  <si>
    <t>741.95</t>
  </si>
  <si>
    <t>08/31/2011</t>
  </si>
  <si>
    <t>2554</t>
  </si>
  <si>
    <t>1511.66</t>
  </si>
  <si>
    <t>45-2N-28-550D-0013-0000</t>
  </si>
  <si>
    <t>452N28550D00130000</t>
  </si>
  <si>
    <t>95147 MOBLEY HEIGHTS RD</t>
  </si>
  <si>
    <t>HATCH DAVID J &amp; JAIME E</t>
  </si>
  <si>
    <t>95147 MOBLEY HEIGHTS ROA</t>
  </si>
  <si>
    <t>497.03</t>
  </si>
  <si>
    <t>489.87</t>
  </si>
  <si>
    <t>515.92</t>
  </si>
  <si>
    <t>524.11</t>
  </si>
  <si>
    <t>552.01</t>
  </si>
  <si>
    <t>2933</t>
  </si>
  <si>
    <t>595.89</t>
  </si>
  <si>
    <t>2766</t>
  </si>
  <si>
    <t>635.63</t>
  </si>
  <si>
    <t>2555</t>
  </si>
  <si>
    <t>618.17</t>
  </si>
  <si>
    <t>45-2N-28-550D-0016-0000</t>
  </si>
  <si>
    <t>452N28550D00160000</t>
  </si>
  <si>
    <t>95187 MOBLEY HEIGHTS RD</t>
  </si>
  <si>
    <t>JOHNS DONNA M</t>
  </si>
  <si>
    <t>95187 MOBLEY HEIGHTS ROA</t>
  </si>
  <si>
    <t>475.88</t>
  </si>
  <si>
    <t>45-2N-28-550E-0016-0010</t>
  </si>
  <si>
    <t>452N28550E00160010</t>
  </si>
  <si>
    <t>95077 CAROLINE WAY</t>
  </si>
  <si>
    <t>3.28</t>
  </si>
  <si>
    <t>DESALVO PROPERTIES LLC</t>
  </si>
  <si>
    <t>MADDOX DAWN</t>
  </si>
  <si>
    <t>95077 CAROLINE WA</t>
  </si>
  <si>
    <t>PT OF LOT 16 (S-1)</t>
  </si>
  <si>
    <t>1665</t>
  </si>
  <si>
    <t>581.88</t>
  </si>
  <si>
    <t>1084.67</t>
  </si>
  <si>
    <t>2935</t>
  </si>
  <si>
    <t>1358.12</t>
  </si>
  <si>
    <t>2769</t>
  </si>
  <si>
    <t>1555.20</t>
  </si>
  <si>
    <t>2558</t>
  </si>
  <si>
    <t>1617.17</t>
  </si>
  <si>
    <t>45-2N-28-550E-0016-0020</t>
  </si>
  <si>
    <t>452N28550E00160020</t>
  </si>
  <si>
    <t>95188 CAROLINE WAY</t>
  </si>
  <si>
    <t>2.49</t>
  </si>
  <si>
    <t>CHAE PROPERTIES LLC</t>
  </si>
  <si>
    <t>01/01/2040</t>
  </si>
  <si>
    <t>JS JACKSON PROPERTIES LLC</t>
  </si>
  <si>
    <t>6818 SOUTH COURT DRIV</t>
  </si>
  <si>
    <t>PT OF LOT 16</t>
  </si>
  <si>
    <t>45-2N-28-550E-0024-0000</t>
  </si>
  <si>
    <t>452N28550E00240000</t>
  </si>
  <si>
    <t>95195 BOBCAT LN</t>
  </si>
  <si>
    <t>5.95</t>
  </si>
  <si>
    <t>THORNTON KENNETH D &amp; LEONA R</t>
  </si>
  <si>
    <t>95195 BOBCAT L</t>
  </si>
  <si>
    <t>LOT 24   1998 SW/MH REDM</t>
  </si>
  <si>
    <t>1261.46</t>
  </si>
  <si>
    <t>1734</t>
  </si>
  <si>
    <t>1551.66</t>
  </si>
  <si>
    <t>11/20/2015</t>
  </si>
  <si>
    <t>1493.86</t>
  </si>
  <si>
    <t>1148.62</t>
  </si>
  <si>
    <t>2937</t>
  </si>
  <si>
    <t>1290.62</t>
  </si>
  <si>
    <t>2771</t>
  </si>
  <si>
    <t>1467.59</t>
  </si>
  <si>
    <t>46-2N-28-0000-0009-0000</t>
  </si>
  <si>
    <t>96008 WADES PL</t>
  </si>
  <si>
    <t>6584</t>
  </si>
  <si>
    <t>450000</t>
  </si>
  <si>
    <t>06/09/2032</t>
  </si>
  <si>
    <t>TESTON EILEEN</t>
  </si>
  <si>
    <t>IN OR 2127/553 (EX ST RD)</t>
  </si>
  <si>
    <t>50-2N-28-0000-0004-0000</t>
  </si>
  <si>
    <t>502N28000000040000</t>
  </si>
  <si>
    <t>OFF AMELIA RD</t>
  </si>
  <si>
    <t>RIVERS AND LAKES</t>
  </si>
  <si>
    <t>75.00</t>
  </si>
  <si>
    <t>KLARER MRS JOHN J</t>
  </si>
  <si>
    <t>1301 CHARTER CT EAS</t>
  </si>
  <si>
    <t>PT SW1/4 OF SEC 50-2N-28E IN</t>
  </si>
  <si>
    <t>58.66</t>
  </si>
  <si>
    <t>54.18</t>
  </si>
  <si>
    <t>52.64</t>
  </si>
  <si>
    <t>53.00</t>
  </si>
  <si>
    <t>45.52</t>
  </si>
  <si>
    <t>51-2N-28-0000-0002-0000</t>
  </si>
  <si>
    <t>512N28000000020000</t>
  </si>
  <si>
    <t>OFF CLEMENTS RD</t>
  </si>
  <si>
    <t>43.00</t>
  </si>
  <si>
    <t>KLARER JOHN J MRS</t>
  </si>
  <si>
    <t>4278 RAPALLO R</t>
  </si>
  <si>
    <t>PT E1/2 OF SEC 51-2N-28E IN</t>
  </si>
  <si>
    <t>44.83</t>
  </si>
  <si>
    <t>80.25</t>
  </si>
  <si>
    <t>87.10</t>
  </si>
  <si>
    <t>78.10</t>
  </si>
  <si>
    <t>3116</t>
  </si>
  <si>
    <t>71.08</t>
  </si>
  <si>
    <t>27-3N-28-1192-0009-0000</t>
  </si>
  <si>
    <t>2178 SHELL COVE CR</t>
  </si>
  <si>
    <t>ROBINSON CREEK 34 LLC</t>
  </si>
  <si>
    <t>34 LLCPO BOX 70</t>
  </si>
  <si>
    <t>212.39</t>
  </si>
  <si>
    <t>27-3N-28-1192-0018-0000</t>
  </si>
  <si>
    <t>2142 SHELL COVE CR</t>
  </si>
  <si>
    <t>1655</t>
  </si>
  <si>
    <t>27-3N-28-1192-0019-0000</t>
  </si>
  <si>
    <t>2138 SHELL COVE CR</t>
  </si>
  <si>
    <t>27-3N-28-1192-0026-0000</t>
  </si>
  <si>
    <t>2110 SHELL COVE CR</t>
  </si>
  <si>
    <t>MAGNOLIA HOMES INC</t>
  </si>
  <si>
    <t>12543 HERBLORE D</t>
  </si>
  <si>
    <t>27-3N-28-1192-0027-0000</t>
  </si>
  <si>
    <t>2106 SHELL COVE CR</t>
  </si>
  <si>
    <t>27-3N-28-1192-0028-0000</t>
  </si>
  <si>
    <t>2102 SHELL COVE CR</t>
  </si>
  <si>
    <t>27-3N-28-1192-0029-0000</t>
  </si>
  <si>
    <t>2101 SHELL COVE CR</t>
  </si>
  <si>
    <t>68500</t>
  </si>
  <si>
    <t>27-3N-28-1192-0035-0000</t>
  </si>
  <si>
    <t>2123 SHELL COVE CR</t>
  </si>
  <si>
    <t>1666</t>
  </si>
  <si>
    <t>37-3N-28-0740-0184-0000</t>
  </si>
  <si>
    <t>96593 COMMODORE POINT DR</t>
  </si>
  <si>
    <t>181827.00</t>
  </si>
  <si>
    <t>BRECKENRIDGE PROPERTY FUND</t>
  </si>
  <si>
    <t>2016 LLC2015 MANHATTAN BEACH BLVD #10</t>
  </si>
  <si>
    <t>Redondo Beach</t>
  </si>
  <si>
    <t>90278</t>
  </si>
  <si>
    <t>LOT 184</t>
  </si>
  <si>
    <t>37-3N-28-0740-0212-0000</t>
  </si>
  <si>
    <t>373N28074002120000</t>
  </si>
  <si>
    <t>96080 STONEY GLEN CT</t>
  </si>
  <si>
    <t>149990</t>
  </si>
  <si>
    <t>HERON ISLES CDD</t>
  </si>
  <si>
    <t>DFLT 1A</t>
  </si>
  <si>
    <t>4935000</t>
  </si>
  <si>
    <t>8/1/2011</t>
  </si>
  <si>
    <t>SAPIKOWSKI SANDRA KAYE</t>
  </si>
  <si>
    <t>96080 STONEY GLEN C</t>
  </si>
  <si>
    <t>LOT 212</t>
  </si>
  <si>
    <t>2631.24</t>
  </si>
  <si>
    <t>2679.59</t>
  </si>
  <si>
    <t>1226.35</t>
  </si>
  <si>
    <t>2276</t>
  </si>
  <si>
    <t>1274.79</t>
  </si>
  <si>
    <t>37-3N-28-0741-0542-0000</t>
  </si>
  <si>
    <t>373N28-07410542-0000</t>
  </si>
  <si>
    <t>95962 GRAYLON DR</t>
  </si>
  <si>
    <t>LOT 542</t>
  </si>
  <si>
    <t>1401.01</t>
  </si>
  <si>
    <t>37-3N-28-0741-0543-0000</t>
  </si>
  <si>
    <t>373N28-07410543-0000</t>
  </si>
  <si>
    <t>95974 GRAYLON DR</t>
  </si>
  <si>
    <t>LOT 543</t>
  </si>
  <si>
    <t>37-3N-28-0741-0544-0000</t>
  </si>
  <si>
    <t>373N28-07410544-0000</t>
  </si>
  <si>
    <t>95986 GRAYLON DR</t>
  </si>
  <si>
    <t>LOT 544</t>
  </si>
  <si>
    <t>37-3N-28-0741-0570-0000</t>
  </si>
  <si>
    <t>373N28-07410570-0000</t>
  </si>
  <si>
    <t>97597 ALBATROSS DR</t>
  </si>
  <si>
    <t>LOT 570</t>
  </si>
  <si>
    <t>37-3N-28-0743-0479-0000</t>
  </si>
  <si>
    <t>97612 ALBATROSS DR</t>
  </si>
  <si>
    <t>162500</t>
  </si>
  <si>
    <t>116400.00</t>
  </si>
  <si>
    <t>LOT 479</t>
  </si>
  <si>
    <t>37-3N-28-0743-0486-0000</t>
  </si>
  <si>
    <t>97654 ALBATROSS DR</t>
  </si>
  <si>
    <t>114300.00</t>
  </si>
  <si>
    <t>ESB INVSTEMENTS LLC</t>
  </si>
  <si>
    <t>95540 CLEMENTS ROA</t>
  </si>
  <si>
    <t>LOT 486</t>
  </si>
  <si>
    <t>1041.67</t>
  </si>
  <si>
    <t>09/25/2017</t>
  </si>
  <si>
    <t>37-3N-28-0743-0487-0000</t>
  </si>
  <si>
    <t>97660 ALBATROSS DR</t>
  </si>
  <si>
    <t>HERON ISLES JOINT VENTURE LLP</t>
  </si>
  <si>
    <t>2955 HARTLEY RD STE 10</t>
  </si>
  <si>
    <t>LOT 487</t>
  </si>
  <si>
    <t>37-3N-28-0743-0489-0000</t>
  </si>
  <si>
    <t>97672 ALBATROSS DR</t>
  </si>
  <si>
    <t>104400.00</t>
  </si>
  <si>
    <t>LOT 489</t>
  </si>
  <si>
    <t>08/14/2017</t>
  </si>
  <si>
    <t>37-3N-28-0743-0495-0000</t>
  </si>
  <si>
    <t>97708 ALBATROSS DR</t>
  </si>
  <si>
    <t>12TH STREET FLA LLC</t>
  </si>
  <si>
    <t>174511.00</t>
  </si>
  <si>
    <t>LOT 495</t>
  </si>
  <si>
    <t>1679</t>
  </si>
  <si>
    <t>37-3N-28-0743-0503-0000</t>
  </si>
  <si>
    <t>97756 ALBATROSS DR</t>
  </si>
  <si>
    <t>LOT 503</t>
  </si>
  <si>
    <t>37-3N-28-0743-0515-0000</t>
  </si>
  <si>
    <t>97717 ALBATROSS DR</t>
  </si>
  <si>
    <t>78170.00</t>
  </si>
  <si>
    <t>07/28/2018</t>
  </si>
  <si>
    <t>LOT 515</t>
  </si>
  <si>
    <t>1686</t>
  </si>
  <si>
    <t>37-3N-28-0743-0519-0000</t>
  </si>
  <si>
    <t>97689 ALBATROSS DR</t>
  </si>
  <si>
    <t>171920.00</t>
  </si>
  <si>
    <t>LOT 519</t>
  </si>
  <si>
    <t>37-3N-28-0743-0520-0000</t>
  </si>
  <si>
    <t>97681 ALBATROSS DR</t>
  </si>
  <si>
    <t>117200.00</t>
  </si>
  <si>
    <t>LOT 520</t>
  </si>
  <si>
    <t>37-3N-28-0743-0521-0000</t>
  </si>
  <si>
    <t>97669 ALBATROSS DR</t>
  </si>
  <si>
    <t>LOT 521</t>
  </si>
  <si>
    <t>37-3N-28-0745-0727-0000</t>
  </si>
  <si>
    <t>96060 BREEZEWAY CT</t>
  </si>
  <si>
    <t>LOT 727</t>
  </si>
  <si>
    <t>37-3N-28-0745-0735-0000</t>
  </si>
  <si>
    <t>96085 BREEZEWAY CT</t>
  </si>
  <si>
    <t>LOT 735</t>
  </si>
  <si>
    <t>37-3N-28-0745-0736-0000</t>
  </si>
  <si>
    <t>96079 BREEZEWAY CT</t>
  </si>
  <si>
    <t>LOT 736</t>
  </si>
  <si>
    <t>37-3N-28-0745-0739-0000</t>
  </si>
  <si>
    <t>96063 BREEZEWAY CT</t>
  </si>
  <si>
    <t>LOT 739</t>
  </si>
  <si>
    <t>38-3N-28-0000-0001-0000</t>
  </si>
  <si>
    <t>383N28000000010000</t>
  </si>
  <si>
    <t>96275 YAHTZEE LN</t>
  </si>
  <si>
    <t>4.71</t>
  </si>
  <si>
    <t>11/20/2006</t>
  </si>
  <si>
    <t>BOWDEN DONNA M</t>
  </si>
  <si>
    <t>96275 YAHTZEE L</t>
  </si>
  <si>
    <t>IN OR 2112/1536</t>
  </si>
  <si>
    <t>5371.13</t>
  </si>
  <si>
    <t>5458.45</t>
  </si>
  <si>
    <t>1744</t>
  </si>
  <si>
    <t>5446.56</t>
  </si>
  <si>
    <t>5117.66</t>
  </si>
  <si>
    <t>5188.18</t>
  </si>
  <si>
    <t>2403</t>
  </si>
  <si>
    <t>6559.89</t>
  </si>
  <si>
    <t>8530.36</t>
  </si>
  <si>
    <t>8294.25</t>
  </si>
  <si>
    <t>38-3N-28-0000-0002-0000</t>
  </si>
  <si>
    <t>383N28000000020000</t>
  </si>
  <si>
    <t>YAHTZEE RD</t>
  </si>
  <si>
    <t>OLIVER MARIA</t>
  </si>
  <si>
    <t>PO BOX 74</t>
  </si>
  <si>
    <t>PT FRAC SEC 38 PT OR 1508/386</t>
  </si>
  <si>
    <t>750.86</t>
  </si>
  <si>
    <t>763.44</t>
  </si>
  <si>
    <t>1745</t>
  </si>
  <si>
    <t>767.17</t>
  </si>
  <si>
    <t>727.33</t>
  </si>
  <si>
    <t>736.15</t>
  </si>
  <si>
    <t>2404</t>
  </si>
  <si>
    <t>885.98</t>
  </si>
  <si>
    <t>2789</t>
  </si>
  <si>
    <t>1138.17</t>
  </si>
  <si>
    <t>2589</t>
  </si>
  <si>
    <t>1327.13</t>
  </si>
  <si>
    <t>38-3N-28-0000-0002-0010</t>
  </si>
  <si>
    <t>383N28000000020010</t>
  </si>
  <si>
    <t>96310 BLACKROCK RD</t>
  </si>
  <si>
    <t>FREDERICK III &amp; CINDY O VOSS</t>
  </si>
  <si>
    <t>9221.00</t>
  </si>
  <si>
    <t>08/10/2009</t>
  </si>
  <si>
    <t>BOX 74</t>
  </si>
  <si>
    <t>PT OR 1508/386</t>
  </si>
  <si>
    <t>588.95</t>
  </si>
  <si>
    <t>598.21</t>
  </si>
  <si>
    <t>597.35</t>
  </si>
  <si>
    <t>569.83</t>
  </si>
  <si>
    <t>2058</t>
  </si>
  <si>
    <t>569.17</t>
  </si>
  <si>
    <t>556.61</t>
  </si>
  <si>
    <t>2790</t>
  </si>
  <si>
    <t>549.63</t>
  </si>
  <si>
    <t>38-3N-28-0000-0002-0040</t>
  </si>
  <si>
    <t>96074 YAHTZEE LN</t>
  </si>
  <si>
    <t>3200</t>
  </si>
  <si>
    <t>RUSS DONALD</t>
  </si>
  <si>
    <t>46 WHIPORWILL R</t>
  </si>
  <si>
    <t>Nicholls</t>
  </si>
  <si>
    <t>31554</t>
  </si>
  <si>
    <t>IN OR 317 PG 221</t>
  </si>
  <si>
    <t>528.75</t>
  </si>
  <si>
    <t>38-3N-28-0000-0003-0000</t>
  </si>
  <si>
    <t>96311 BLACKROCK RD</t>
  </si>
  <si>
    <t>28800</t>
  </si>
  <si>
    <t>FOURTEENTH STREET PROPERTIES</t>
  </si>
  <si>
    <t>20 S 4TH S</t>
  </si>
  <si>
    <t>IN OR 2084/1007</t>
  </si>
  <si>
    <t>38-3N-28-0000-0012-0070</t>
  </si>
  <si>
    <t>96019 DURDEN RD</t>
  </si>
  <si>
    <t>LEIBMAN MARILYN C</t>
  </si>
  <si>
    <t>PO BOX 15</t>
  </si>
  <si>
    <t>Sound Beach</t>
  </si>
  <si>
    <t>11789</t>
  </si>
  <si>
    <t>38-3N-28-0000-0012-0090</t>
  </si>
  <si>
    <t>383N28000000120090</t>
  </si>
  <si>
    <t>96181 DURDEN RD</t>
  </si>
  <si>
    <t>0.64</t>
  </si>
  <si>
    <t>CINTRON EDDIE</t>
  </si>
  <si>
    <t>4012 CHERRYBROOK LOO</t>
  </si>
  <si>
    <t>33966</t>
  </si>
  <si>
    <t>IN OR 2131/1527</t>
  </si>
  <si>
    <t>820.34</t>
  </si>
  <si>
    <t>710.81</t>
  </si>
  <si>
    <t>1747</t>
  </si>
  <si>
    <t>700.26</t>
  </si>
  <si>
    <t>508.24</t>
  </si>
  <si>
    <t>691.86</t>
  </si>
  <si>
    <t>2406</t>
  </si>
  <si>
    <t>789.31</t>
  </si>
  <si>
    <t>814.72</t>
  </si>
  <si>
    <t>38-3N-28-0000-0012-0120</t>
  </si>
  <si>
    <t>383N28000000120120</t>
  </si>
  <si>
    <t>96223 PIRATES BLUFF RD</t>
  </si>
  <si>
    <t>JOHNS LISA L</t>
  </si>
  <si>
    <t>85213 CUNO CREEK DRIV</t>
  </si>
  <si>
    <t>PT GOVT LOT 2 OF SEC 38-3N-28E</t>
  </si>
  <si>
    <t>2407</t>
  </si>
  <si>
    <t>748.39</t>
  </si>
  <si>
    <t>2792</t>
  </si>
  <si>
    <t>751.41</t>
  </si>
  <si>
    <t>04/08/2013</t>
  </si>
  <si>
    <t>752.49</t>
  </si>
  <si>
    <t>38-3N-28-0000-0012-0130</t>
  </si>
  <si>
    <t>383N28000000120130</t>
  </si>
  <si>
    <t>96166 PIRATES BLUFF RD</t>
  </si>
  <si>
    <t>4270</t>
  </si>
  <si>
    <t>31040.00</t>
  </si>
  <si>
    <t>06/15/2033</t>
  </si>
  <si>
    <t>FOWLER F ROGER</t>
  </si>
  <si>
    <t>96166 PIRATES BLUFF ROA</t>
  </si>
  <si>
    <t>41-3N-28-0000-0002-0000</t>
  </si>
  <si>
    <t>413N28000000020000</t>
  </si>
  <si>
    <t>GRANDVIEW MNR</t>
  </si>
  <si>
    <t>734500</t>
  </si>
  <si>
    <t>LIGHTHOUSE POINTE DEV LLC</t>
  </si>
  <si>
    <t>PO BOX 1783</t>
  </si>
  <si>
    <t>32245</t>
  </si>
  <si>
    <t>PT OF E WATERMAN GRANT</t>
  </si>
  <si>
    <t>7207.85</t>
  </si>
  <si>
    <t>11850.41</t>
  </si>
  <si>
    <t>12132.02</t>
  </si>
  <si>
    <t>12423.11</t>
  </si>
  <si>
    <t>06/29/2012</t>
  </si>
  <si>
    <t>12707.56</t>
  </si>
  <si>
    <t>15381.75</t>
  </si>
  <si>
    <t>41-3N-28-1250-000B-0000</t>
  </si>
  <si>
    <t>413N281250000B0000</t>
  </si>
  <si>
    <t>LENTS RD</t>
  </si>
  <si>
    <t>15800</t>
  </si>
  <si>
    <t>PARCEL B</t>
  </si>
  <si>
    <t>681.11</t>
  </si>
  <si>
    <t>692.01</t>
  </si>
  <si>
    <t>09/01/2016</t>
  </si>
  <si>
    <t>291.36</t>
  </si>
  <si>
    <t>08/29/2016</t>
  </si>
  <si>
    <t>274.00</t>
  </si>
  <si>
    <t>313.43</t>
  </si>
  <si>
    <t>252.72</t>
  </si>
  <si>
    <t>41-3N-28-1250-0020-0000</t>
  </si>
  <si>
    <t>413N28125000200000</t>
  </si>
  <si>
    <t>28820 GRANDVIEW MNR</t>
  </si>
  <si>
    <t>57500</t>
  </si>
  <si>
    <t>WATERMAN'S BLUFF 20 LLC</t>
  </si>
  <si>
    <t>20 LLC7849 JAMES ISLAND WA</t>
  </si>
  <si>
    <t>1699</t>
  </si>
  <si>
    <t>4177.50</t>
  </si>
  <si>
    <t>3933.19</t>
  </si>
  <si>
    <t>7733.38</t>
  </si>
  <si>
    <t>41-3N-28-1250-0043-0000</t>
  </si>
  <si>
    <t>413N28125000430000</t>
  </si>
  <si>
    <t>29770 SOUTHERN HERITAGE PL</t>
  </si>
  <si>
    <t>180000.00</t>
  </si>
  <si>
    <t>12/05/2014</t>
  </si>
  <si>
    <t>TREVETT BUILDING SYSTEMS OF</t>
  </si>
  <si>
    <t>LOT 43</t>
  </si>
  <si>
    <t>608.73</t>
  </si>
  <si>
    <t>123.27</t>
  </si>
  <si>
    <t>41-3N-28-1250-0052-0000</t>
  </si>
  <si>
    <t>413N28125000520000</t>
  </si>
  <si>
    <t>28886 GRANDVIEW MNR</t>
  </si>
  <si>
    <t>0.88</t>
  </si>
  <si>
    <t>2599000</t>
  </si>
  <si>
    <t>2084.39</t>
  </si>
  <si>
    <t>1362.33</t>
  </si>
  <si>
    <t>1410.65</t>
  </si>
  <si>
    <t>41-3N-28-1250-0053-0000</t>
  </si>
  <si>
    <t>413N28125000530000</t>
  </si>
  <si>
    <t>28900 GRANDVIEW MNR</t>
  </si>
  <si>
    <t>1081.08</t>
  </si>
  <si>
    <t>432.67</t>
  </si>
  <si>
    <t>2604.38</t>
  </si>
  <si>
    <t>41-3N-28-1250-0054-0000</t>
  </si>
  <si>
    <t>413N28125000540000</t>
  </si>
  <si>
    <t>28920 GRANDVIEW MNR</t>
  </si>
  <si>
    <t>434.74</t>
  </si>
  <si>
    <t>2479</t>
  </si>
  <si>
    <t>780.65</t>
  </si>
  <si>
    <t>2816</t>
  </si>
  <si>
    <t>1265.62</t>
  </si>
  <si>
    <t>41-3N-28-1250-0056-0000</t>
  </si>
  <si>
    <t>413N28125000560000</t>
  </si>
  <si>
    <t>28968 GRANDVIEW MNR</t>
  </si>
  <si>
    <t>2481</t>
  </si>
  <si>
    <t>2818</t>
  </si>
  <si>
    <t>2615</t>
  </si>
  <si>
    <t>41-3N-28-1250-0057-0000</t>
  </si>
  <si>
    <t>413N28125000570000</t>
  </si>
  <si>
    <t>28990 GRANDVIEW MNR</t>
  </si>
  <si>
    <t>2616</t>
  </si>
  <si>
    <t>41-3N-28-1250-0065-0000</t>
  </si>
  <si>
    <t>413N28125000650000</t>
  </si>
  <si>
    <t>29114 GRANDVIEW MNR</t>
  </si>
  <si>
    <t>934.13</t>
  </si>
  <si>
    <t>1711</t>
  </si>
  <si>
    <t>2490</t>
  </si>
  <si>
    <t>2827</t>
  </si>
  <si>
    <t>41-3N-28-1250-0070-0000</t>
  </si>
  <si>
    <t>413N28125000700000</t>
  </si>
  <si>
    <t>29184 GRANDVIEW MNR</t>
  </si>
  <si>
    <t>LOT 70</t>
  </si>
  <si>
    <t>11/15/2017</t>
  </si>
  <si>
    <t>2495</t>
  </si>
  <si>
    <t>388.99</t>
  </si>
  <si>
    <t>2629</t>
  </si>
  <si>
    <t>1308.20</t>
  </si>
  <si>
    <t>41-3N-28-1250-0072-0000</t>
  </si>
  <si>
    <t>413N28125000720000</t>
  </si>
  <si>
    <t>29212 GRANDVIEW MNR</t>
  </si>
  <si>
    <t>LOT 72</t>
  </si>
  <si>
    <t>2497</t>
  </si>
  <si>
    <t>2834</t>
  </si>
  <si>
    <t>2631</t>
  </si>
  <si>
    <t>41-3N-28-1250-0073-0000</t>
  </si>
  <si>
    <t>413N28125000730000</t>
  </si>
  <si>
    <t>29226 GRANDVIEW MNR</t>
  </si>
  <si>
    <t>2498</t>
  </si>
  <si>
    <t>2835</t>
  </si>
  <si>
    <t>2632</t>
  </si>
  <si>
    <t>41-3N-28-1250-0074-0000</t>
  </si>
  <si>
    <t>413N28125000740000</t>
  </si>
  <si>
    <t>29242 GRANDVIEW MNR</t>
  </si>
  <si>
    <t>LOT 74</t>
  </si>
  <si>
    <t>2633</t>
  </si>
  <si>
    <t>41-3N-28-1250-0075-0000</t>
  </si>
  <si>
    <t>413N28125000750000</t>
  </si>
  <si>
    <t>29258 GRANDVIEW MNR</t>
  </si>
  <si>
    <t>1717</t>
  </si>
  <si>
    <t>2837</t>
  </si>
  <si>
    <t>2634</t>
  </si>
  <si>
    <t>41-3N-28-1250-0076-0000</t>
  </si>
  <si>
    <t>413N28125000760000</t>
  </si>
  <si>
    <t>29272 GRANDVIEW MNR</t>
  </si>
  <si>
    <t>41-3N-28-1250-0085-0000</t>
  </si>
  <si>
    <t>28132 GRANDVIEW MNR</t>
  </si>
  <si>
    <t>153900.00</t>
  </si>
  <si>
    <t>12/01/2035</t>
  </si>
  <si>
    <t>DJOKOTO EMMANUEL</t>
  </si>
  <si>
    <t>13277 OCEAN MIST D</t>
  </si>
  <si>
    <t>LOT 85</t>
  </si>
  <si>
    <t>41-3N-28-1250-0091-0000</t>
  </si>
  <si>
    <t>413N28125000910000</t>
  </si>
  <si>
    <t>28376 GRANDVIEW MNR</t>
  </si>
  <si>
    <t>LOT 91</t>
  </si>
  <si>
    <t>41-3N-28-1250-0092-0000</t>
  </si>
  <si>
    <t>413N28125000920000</t>
  </si>
  <si>
    <t>28424 GRANDVIEW MNR</t>
  </si>
  <si>
    <t>LOT 92</t>
  </si>
  <si>
    <t>399.55</t>
  </si>
  <si>
    <t>351.49</t>
  </si>
  <si>
    <t>767.09</t>
  </si>
  <si>
    <t>41-3N-28-1250-0093-0000</t>
  </si>
  <si>
    <t>413N28125000930000</t>
  </si>
  <si>
    <t>28466 GRANDVIEW MNR</t>
  </si>
  <si>
    <t>2844</t>
  </si>
  <si>
    <t>41-3N-28-1250-0096-0000</t>
  </si>
  <si>
    <t>413N28125000960000</t>
  </si>
  <si>
    <t>28341 GRANDVIEW MNR</t>
  </si>
  <si>
    <t>LOT 96</t>
  </si>
  <si>
    <t>2847</t>
  </si>
  <si>
    <t>41-3N-28-1250-0102-0000</t>
  </si>
  <si>
    <t>413N28125001020000</t>
  </si>
  <si>
    <t>2513</t>
  </si>
  <si>
    <t>41-3N-28-1250-0104-0000</t>
  </si>
  <si>
    <t>413N28125001040000</t>
  </si>
  <si>
    <t>29263 GRANDVIEW MNR</t>
  </si>
  <si>
    <t>2515</t>
  </si>
  <si>
    <t>2854</t>
  </si>
  <si>
    <t>41-3N-28-1250-0106-0000</t>
  </si>
  <si>
    <t>413N28125001060000</t>
  </si>
  <si>
    <t>29223 GRANDVIEW MNR</t>
  </si>
  <si>
    <t>LOT 106</t>
  </si>
  <si>
    <t>2655</t>
  </si>
  <si>
    <t>41-3N-28-1250-0110-0000</t>
  </si>
  <si>
    <t>413N28125001100000</t>
  </si>
  <si>
    <t>29133 GRANDVIEW MNR</t>
  </si>
  <si>
    <t>LOT 110</t>
  </si>
  <si>
    <t>41-3N-28-1250-0111-0000</t>
  </si>
  <si>
    <t>413N28125001110000</t>
  </si>
  <si>
    <t>29103 GRANDVIEW MNR</t>
  </si>
  <si>
    <t>LOT 111</t>
  </si>
  <si>
    <t>41-3N-28-1250-0115-0000</t>
  </si>
  <si>
    <t>413N28125001150000</t>
  </si>
  <si>
    <t>29003 GRANDVIEW MNR</t>
  </si>
  <si>
    <t>LOT 115</t>
  </si>
  <si>
    <t>2662</t>
  </si>
  <si>
    <t>41-3N-28-1250-0119-0000</t>
  </si>
  <si>
    <t>413N28125001190000</t>
  </si>
  <si>
    <t>28935 GRANDVIEW MNR</t>
  </si>
  <si>
    <t>LOT 119</t>
  </si>
  <si>
    <t>2527</t>
  </si>
  <si>
    <t>2866</t>
  </si>
  <si>
    <t>2666</t>
  </si>
  <si>
    <t>41-3N-28-1250-0120-0000</t>
  </si>
  <si>
    <t>413N28125001200000</t>
  </si>
  <si>
    <t>28919 GRANDVIEW MNR</t>
  </si>
  <si>
    <t>LOT 120</t>
  </si>
  <si>
    <t>2867</t>
  </si>
  <si>
    <t>41-3N-28-1250-0123-0000</t>
  </si>
  <si>
    <t>413N28125001230000</t>
  </si>
  <si>
    <t>28024 VIEUX CARRE</t>
  </si>
  <si>
    <t>LOT 123</t>
  </si>
  <si>
    <t>2669</t>
  </si>
  <si>
    <t>1493.36</t>
  </si>
  <si>
    <t>41-3N-28-1250-0124-0000</t>
  </si>
  <si>
    <t>413N28125001240000</t>
  </si>
  <si>
    <t>28060 VIEUX CARRE</t>
  </si>
  <si>
    <t>11200</t>
  </si>
  <si>
    <t>WACHOVIA MORTGAGE CORP</t>
  </si>
  <si>
    <t>LOT 124</t>
  </si>
  <si>
    <t>2066</t>
  </si>
  <si>
    <t>07/29/2013</t>
  </si>
  <si>
    <t>41-3N-28-1250-0130-0000</t>
  </si>
  <si>
    <t>413N28125001300000</t>
  </si>
  <si>
    <t>28282 VIEUX CARRE</t>
  </si>
  <si>
    <t>LOT 130</t>
  </si>
  <si>
    <t>604.32</t>
  </si>
  <si>
    <t>274.54</t>
  </si>
  <si>
    <t>275.81</t>
  </si>
  <si>
    <t>2535</t>
  </si>
  <si>
    <t>426.48</t>
  </si>
  <si>
    <t>934.68</t>
  </si>
  <si>
    <t>41-3N-28-1250-0131-0000</t>
  </si>
  <si>
    <t>413N28125001310000</t>
  </si>
  <si>
    <t>28302 VIEUX CARRE</t>
  </si>
  <si>
    <t>LOT 131</t>
  </si>
  <si>
    <t>1806</t>
  </si>
  <si>
    <t>2536</t>
  </si>
  <si>
    <t>2874</t>
  </si>
  <si>
    <t>41-3N-28-1250-0132-0000</t>
  </si>
  <si>
    <t>413N28125001320000</t>
  </si>
  <si>
    <t>28326 VIEUX CARRE</t>
  </si>
  <si>
    <t>1807</t>
  </si>
  <si>
    <t>2875</t>
  </si>
  <si>
    <t>2676</t>
  </si>
  <si>
    <t>41-3N-28-1250-0133-0000</t>
  </si>
  <si>
    <t>413N28125001330000</t>
  </si>
  <si>
    <t>28354 VIEUX CARRE</t>
  </si>
  <si>
    <t>41-3N-28-1250-0135-0000</t>
  </si>
  <si>
    <t>413N28125001350000</t>
  </si>
  <si>
    <t>28442 VIEUX CARRE</t>
  </si>
  <si>
    <t>LOT 135</t>
  </si>
  <si>
    <t>2540</t>
  </si>
  <si>
    <t>2679</t>
  </si>
  <si>
    <t>41-3N-28-1250-0136-0000</t>
  </si>
  <si>
    <t>413N28125001360000</t>
  </si>
  <si>
    <t>28468 VIEUX CARRE</t>
  </si>
  <si>
    <t>LOT 136</t>
  </si>
  <si>
    <t>2541</t>
  </si>
  <si>
    <t>2680</t>
  </si>
  <si>
    <t>41-3N-28-1250-0137-0000</t>
  </si>
  <si>
    <t>413N28125001370000</t>
  </si>
  <si>
    <t>VIEUX CARRE</t>
  </si>
  <si>
    <t>LOT 137</t>
  </si>
  <si>
    <t>2542</t>
  </si>
  <si>
    <t>2880</t>
  </si>
  <si>
    <t>41-3N-28-1250-0138-0000</t>
  </si>
  <si>
    <t>413N28125001380000</t>
  </si>
  <si>
    <t>LOT 138</t>
  </si>
  <si>
    <t>41-3N-28-1250-0139-0000</t>
  </si>
  <si>
    <t>413N28125001390000</t>
  </si>
  <si>
    <t>28576 VIEUX CARRE</t>
  </si>
  <si>
    <t>337500</t>
  </si>
  <si>
    <t>307134.00</t>
  </si>
  <si>
    <t>LOT 139</t>
  </si>
  <si>
    <t>2881</t>
  </si>
  <si>
    <t>41-3N-28-1250-0140-0000</t>
  </si>
  <si>
    <t>413N28125001400000</t>
  </si>
  <si>
    <t>28634 VIEUX CARRE</t>
  </si>
  <si>
    <t>LOT 140</t>
  </si>
  <si>
    <t>2543</t>
  </si>
  <si>
    <t>2882</t>
  </si>
  <si>
    <t>41-3N-28-1250-0143-0000</t>
  </si>
  <si>
    <t>413N28125001430000</t>
  </si>
  <si>
    <t>28872 VIEUX CARRE</t>
  </si>
  <si>
    <t>LOT 143</t>
  </si>
  <si>
    <t>1815</t>
  </si>
  <si>
    <t>2545</t>
  </si>
  <si>
    <t>2884</t>
  </si>
  <si>
    <t>41-3N-28-1250-0144-0000</t>
  </si>
  <si>
    <t>413N28125001440000</t>
  </si>
  <si>
    <t>28936 VIEUX CARRE</t>
  </si>
  <si>
    <t>LOT 144</t>
  </si>
  <si>
    <t>2546</t>
  </si>
  <si>
    <t>2885</t>
  </si>
  <si>
    <t>2687</t>
  </si>
  <si>
    <t>42-3N-28-0000-0001-0000</t>
  </si>
  <si>
    <t>423N28-00000001-0000</t>
  </si>
  <si>
    <t>BELLEVILLE LN</t>
  </si>
  <si>
    <t>105000</t>
  </si>
  <si>
    <t>BLUE POTATO PROPERTIES LLC</t>
  </si>
  <si>
    <t>4 SE 1ST STREET2ND FLOO</t>
  </si>
  <si>
    <t>33131</t>
  </si>
  <si>
    <t>IN OR 1921/1762</t>
  </si>
  <si>
    <t>948.41</t>
  </si>
  <si>
    <t>3167.98</t>
  </si>
  <si>
    <t>42-3N-28-0000-0003-0010</t>
  </si>
  <si>
    <t>423N28000000030010</t>
  </si>
  <si>
    <t>97205 BELLEVILLE LN</t>
  </si>
  <si>
    <t>3393</t>
  </si>
  <si>
    <t>BARBER JAMES DANIEL</t>
  </si>
  <si>
    <t>97573 CHESTER RIVER R</t>
  </si>
  <si>
    <t>PT OF SEC 42-3N-28E &amp;43-3N-28E</t>
  </si>
  <si>
    <t>5218.66</t>
  </si>
  <si>
    <t>4904.09</t>
  </si>
  <si>
    <t>42-3N-28-0000-0009-0020</t>
  </si>
  <si>
    <t>423N28000000090020</t>
  </si>
  <si>
    <t>LEVY KATHERINE I METZ (50%) &amp;</t>
  </si>
  <si>
    <t>50%) &amp;LEVY WAYNE M (25%) &amp;LEVY KENNETH A (25%</t>
  </si>
  <si>
    <t>IN OR 1575/466 CASE #08-CP-83</t>
  </si>
  <si>
    <t>379.80</t>
  </si>
  <si>
    <t>402.49</t>
  </si>
  <si>
    <t>350.73</t>
  </si>
  <si>
    <t>1846</t>
  </si>
  <si>
    <t>300.03</t>
  </si>
  <si>
    <t>303.51</t>
  </si>
  <si>
    <t>2703</t>
  </si>
  <si>
    <t>2888</t>
  </si>
  <si>
    <t>42-3N-28-0000-0012-0000</t>
  </si>
  <si>
    <t>423N28000000120000</t>
  </si>
  <si>
    <t>2225 CHESTER RD</t>
  </si>
  <si>
    <t>HARRIS LEONARD I JR EST</t>
  </si>
  <si>
    <t>97304 WATER OAK R</t>
  </si>
  <si>
    <t>PT OF LOT 12</t>
  </si>
  <si>
    <t>2889</t>
  </si>
  <si>
    <t>513.23</t>
  </si>
  <si>
    <t>2690</t>
  </si>
  <si>
    <t>464.46</t>
  </si>
  <si>
    <t>42-3N-28-0000-0013-0000</t>
  </si>
  <si>
    <t>97590 CHESTER RIVER RD</t>
  </si>
  <si>
    <t>JOHN C BROWNING</t>
  </si>
  <si>
    <t>08/20/2012</t>
  </si>
  <si>
    <t>LOT 19 (LESS S 85 FT)</t>
  </si>
  <si>
    <t>42-3N-28-0000-0014-0010</t>
  </si>
  <si>
    <t>423N28000000140010</t>
  </si>
  <si>
    <t>CHESTER RIVER RD</t>
  </si>
  <si>
    <t>BARBER LORI MICHELE</t>
  </si>
  <si>
    <t>96845 CHESTER R</t>
  </si>
  <si>
    <t>PT SEC 42-3N-28E RECD IN</t>
  </si>
  <si>
    <t>07/12/2017</t>
  </si>
  <si>
    <t>389.13</t>
  </si>
  <si>
    <t>329.11</t>
  </si>
  <si>
    <t>42-3N-28-0000-0014-0020</t>
  </si>
  <si>
    <t>423N28000000140020</t>
  </si>
  <si>
    <t>97573 CHESTER RIVER RD</t>
  </si>
  <si>
    <t>BARBER JAMES D SR L/E</t>
  </si>
  <si>
    <t>L/E IN OR 747/832 &amp; OR 1815/21</t>
  </si>
  <si>
    <t>1351.15</t>
  </si>
  <si>
    <t>1820</t>
  </si>
  <si>
    <t>1342.77</t>
  </si>
  <si>
    <t>1265.68</t>
  </si>
  <si>
    <t>2704</t>
  </si>
  <si>
    <t>1227.95</t>
  </si>
  <si>
    <t>1205.16</t>
  </si>
  <si>
    <t>42-3N-28-0000-0015-0000</t>
  </si>
  <si>
    <t>423N28000000150000</t>
  </si>
  <si>
    <t>LOVERS LN</t>
  </si>
  <si>
    <t>PT JOHN LOWE GRANT</t>
  </si>
  <si>
    <t>42-3N-28-5080-0007-0010</t>
  </si>
  <si>
    <t>423N28508000070010</t>
  </si>
  <si>
    <t>96837 BLACKROCK RD</t>
  </si>
  <si>
    <t>5308</t>
  </si>
  <si>
    <t>NADER D YAZGI</t>
  </si>
  <si>
    <t>PIRATES TRADING POST INC</t>
  </si>
  <si>
    <t>96837 BLACKROCK ROA</t>
  </si>
  <si>
    <t>PT OF LOT 7  (SEC 48)</t>
  </si>
  <si>
    <t>3174.51</t>
  </si>
  <si>
    <t>3277.69</t>
  </si>
  <si>
    <t>3216.44</t>
  </si>
  <si>
    <t>3212.11</t>
  </si>
  <si>
    <t>3282.70</t>
  </si>
  <si>
    <t>2705</t>
  </si>
  <si>
    <t>3360.31</t>
  </si>
  <si>
    <t>2897</t>
  </si>
  <si>
    <t>3408.83</t>
  </si>
  <si>
    <t>2693</t>
  </si>
  <si>
    <t>3470.79</t>
  </si>
  <si>
    <t>10/29/2010</t>
  </si>
  <si>
    <t>42-3N-28-5080-0015-0090</t>
  </si>
  <si>
    <t>96797 BLACKROCK RD</t>
  </si>
  <si>
    <t>06/01/2037</t>
  </si>
  <si>
    <t>ELLIS KRISTEN D &amp;</t>
  </si>
  <si>
    <t>96797 BLACKROCK ROA</t>
  </si>
  <si>
    <t>PT OF LOT 15 W OF R/W</t>
  </si>
  <si>
    <t>42-3N-28-5080-0015-0160</t>
  </si>
  <si>
    <t>423N28508000150160</t>
  </si>
  <si>
    <t>96785 BLACKROCK RD</t>
  </si>
  <si>
    <t>43000</t>
  </si>
  <si>
    <t>CHARLES A JOHNSON ETUX</t>
  </si>
  <si>
    <t>38000.00</t>
  </si>
  <si>
    <t>03/01/2015</t>
  </si>
  <si>
    <t>RAWLS EDWIN E</t>
  </si>
  <si>
    <t>96785 BLACKROCK R</t>
  </si>
  <si>
    <t>PT LOT 15   (EX S-17)</t>
  </si>
  <si>
    <t>749.45</t>
  </si>
  <si>
    <t>836.66</t>
  </si>
  <si>
    <t>745.03</t>
  </si>
  <si>
    <t>07/28/2015</t>
  </si>
  <si>
    <t>1849</t>
  </si>
  <si>
    <t>864.37</t>
  </si>
  <si>
    <t>631.30</t>
  </si>
  <si>
    <t>42-3N-28-5080-0037-0020</t>
  </si>
  <si>
    <t>423N28508000370020</t>
  </si>
  <si>
    <t>PO FOLKS WAY</t>
  </si>
  <si>
    <t>STEWART WILLIAM ELSWORTH</t>
  </si>
  <si>
    <t>PT LOT 37 IN OR 1341/1988</t>
  </si>
  <si>
    <t>646.39</t>
  </si>
  <si>
    <t>538.04</t>
  </si>
  <si>
    <t>2093</t>
  </si>
  <si>
    <t>544.50</t>
  </si>
  <si>
    <t>813.98</t>
  </si>
  <si>
    <t>2915</t>
  </si>
  <si>
    <t>1045.27</t>
  </si>
  <si>
    <t>2712</t>
  </si>
  <si>
    <t>1218.53</t>
  </si>
  <si>
    <t>43-3N-28-0000-0012-0000</t>
  </si>
  <si>
    <t>433N28000000120000</t>
  </si>
  <si>
    <t>2142 CHESTER RD</t>
  </si>
  <si>
    <t>MITCHELL KENNETH L</t>
  </si>
  <si>
    <t>96798 CHESTER ROA</t>
  </si>
  <si>
    <t>04/11/2018</t>
  </si>
  <si>
    <t>284.53</t>
  </si>
  <si>
    <t>1833</t>
  </si>
  <si>
    <t>260.76</t>
  </si>
  <si>
    <t>43-3N-28-0000-0016-0060</t>
  </si>
  <si>
    <t>433N28000000160060</t>
  </si>
  <si>
    <t>97059 MITCHELL RD</t>
  </si>
  <si>
    <t>WILLIAMS VERNON SR</t>
  </si>
  <si>
    <t>540 YEW C</t>
  </si>
  <si>
    <t>Altamonte Springs</t>
  </si>
  <si>
    <t>32714</t>
  </si>
  <si>
    <t>IN OR 879/1272</t>
  </si>
  <si>
    <t>974.30</t>
  </si>
  <si>
    <t>845.54</t>
  </si>
  <si>
    <t>863.82</t>
  </si>
  <si>
    <t>2098</t>
  </si>
  <si>
    <t>887.87</t>
  </si>
  <si>
    <t>2799</t>
  </si>
  <si>
    <t>1276.75</t>
  </si>
  <si>
    <t>43-3N-28-0000-0017-0110</t>
  </si>
  <si>
    <t>433N28000000170110</t>
  </si>
  <si>
    <t>BELL LAGOON DR</t>
  </si>
  <si>
    <t>60042.00</t>
  </si>
  <si>
    <t>05/17/2006</t>
  </si>
  <si>
    <t>GIORDANO ROBERT &amp; BARBARA</t>
  </si>
  <si>
    <t>76309 LONG LEAF LOO</t>
  </si>
  <si>
    <t>PT OR 1262/719</t>
  </si>
  <si>
    <t>1012.70</t>
  </si>
  <si>
    <t>1031.65</t>
  </si>
  <si>
    <t>1036.76</t>
  </si>
  <si>
    <t>982.48</t>
  </si>
  <si>
    <t>2100</t>
  </si>
  <si>
    <t>994.49</t>
  </si>
  <si>
    <t>1093.46</t>
  </si>
  <si>
    <t>2920</t>
  </si>
  <si>
    <t>1405.90</t>
  </si>
  <si>
    <t>1640.07</t>
  </si>
  <si>
    <t>05/09/2012</t>
  </si>
  <si>
    <t>43-3N-28-1510-0014-0000</t>
  </si>
  <si>
    <t>433N28151000140000</t>
  </si>
  <si>
    <t>88101 MAYBOURNE RD</t>
  </si>
  <si>
    <t>2230000</t>
  </si>
  <si>
    <t>TIAA FSB HOLDINGS INC</t>
  </si>
  <si>
    <t>227794.00</t>
  </si>
  <si>
    <t>11/01/2047</t>
  </si>
  <si>
    <t>ADAMS HOMES OF NORTHWEST</t>
  </si>
  <si>
    <t>3000 GULF BREEZE PKW</t>
  </si>
  <si>
    <t>Gulf Breeze</t>
  </si>
  <si>
    <t>32563</t>
  </si>
  <si>
    <t>43-3N-28-509B-0012-0000</t>
  </si>
  <si>
    <t>97081 MORGANS WAY</t>
  </si>
  <si>
    <t>TAUSCHER LILLIAN G EST</t>
  </si>
  <si>
    <t>97081 MORGANS WA</t>
  </si>
  <si>
    <t>LOTS 12 &amp; 13</t>
  </si>
  <si>
    <t>1783</t>
  </si>
  <si>
    <t>2123.12</t>
  </si>
  <si>
    <t>43-3N-28-509C-0012-0000</t>
  </si>
  <si>
    <t>433N28509C00120000</t>
  </si>
  <si>
    <t>LAFFITES WAY</t>
  </si>
  <si>
    <t>MCFADDEN KYLE E</t>
  </si>
  <si>
    <t>310 COMMONS W</t>
  </si>
  <si>
    <t>Goose Creek</t>
  </si>
  <si>
    <t>29445</t>
  </si>
  <si>
    <t>2841</t>
  </si>
  <si>
    <t>680.65</t>
  </si>
  <si>
    <t>2981</t>
  </si>
  <si>
    <t>2811</t>
  </si>
  <si>
    <t>916.90</t>
  </si>
  <si>
    <t>43-3N-28-509C-0019-0000</t>
  </si>
  <si>
    <t>433N28509C00190000</t>
  </si>
  <si>
    <t>97441 PIRATES POINT RD</t>
  </si>
  <si>
    <t>SOUTHWELL DWIGHT L &amp; MARLA D</t>
  </si>
  <si>
    <t>97441 PIRATES POINT ROA</t>
  </si>
  <si>
    <t>LOT 19       IN OR 928/1456</t>
  </si>
  <si>
    <t>43-3N-28-509C-0031-0000</t>
  </si>
  <si>
    <t>433N28-509C0031-0000</t>
  </si>
  <si>
    <t>97253 PIRATES POINT RD</t>
  </si>
  <si>
    <t xml:space="preserve"> 121 FINL CU</t>
  </si>
  <si>
    <t>THOMPSON SHAWN D &amp; LAURA C</t>
  </si>
  <si>
    <t>97253 PIRATES POINT R</t>
  </si>
  <si>
    <t>43-3N-28-509D-0009-0000</t>
  </si>
  <si>
    <t>433N28509D00090000</t>
  </si>
  <si>
    <t>97562 PIRATES POINT RD</t>
  </si>
  <si>
    <t>158299</t>
  </si>
  <si>
    <t>315200.00</t>
  </si>
  <si>
    <t>09/26/2006</t>
  </si>
  <si>
    <t>WILSON ADAM &amp; HILARY</t>
  </si>
  <si>
    <t>96105 DOLPHIN WA</t>
  </si>
  <si>
    <t>3374.96</t>
  </si>
  <si>
    <t>2845</t>
  </si>
  <si>
    <t>2666.73</t>
  </si>
  <si>
    <t>43-3N-28-509D-0010-0000</t>
  </si>
  <si>
    <t>433N28509D00100000</t>
  </si>
  <si>
    <t>97552 PIRATES POINT RD</t>
  </si>
  <si>
    <t>FRASER DAVID K TRUSTEE</t>
  </si>
  <si>
    <t>97552 PIRATES POINT ROA</t>
  </si>
  <si>
    <t>3266.05</t>
  </si>
  <si>
    <t>3188.52</t>
  </si>
  <si>
    <t>2715.21</t>
  </si>
  <si>
    <t>2471.76</t>
  </si>
  <si>
    <t>3008.03</t>
  </si>
  <si>
    <t>2846</t>
  </si>
  <si>
    <t>3316.75</t>
  </si>
  <si>
    <t>04/11/2013</t>
  </si>
  <si>
    <t>43-3N-28-509D-0012-0000</t>
  </si>
  <si>
    <t>433N28509D00120000</t>
  </si>
  <si>
    <t>97524 PIRATES POINT RD</t>
  </si>
  <si>
    <t>0.81</t>
  </si>
  <si>
    <t>89100</t>
  </si>
  <si>
    <t>STEVEN R HELLER</t>
  </si>
  <si>
    <t>DOBBINS JOHN</t>
  </si>
  <si>
    <t>24 SAPALO D</t>
  </si>
  <si>
    <t>2654.09</t>
  </si>
  <si>
    <t>11/08/2017</t>
  </si>
  <si>
    <t>2163.09</t>
  </si>
  <si>
    <t>43-3N-28-509D-0022-0000</t>
  </si>
  <si>
    <t>97352 PIRATES POINT RD</t>
  </si>
  <si>
    <t>2103</t>
  </si>
  <si>
    <t>81157.00</t>
  </si>
  <si>
    <t>07/01/2026</t>
  </si>
  <si>
    <t>HOLDER CRAIG T &amp; MAROLYN K</t>
  </si>
  <si>
    <t>97352 PIRATES POINT ROA</t>
  </si>
  <si>
    <t>43-3N-28-509D-0029-0000</t>
  </si>
  <si>
    <t>433N28509D00290000</t>
  </si>
  <si>
    <t>PIRATES POINT RD</t>
  </si>
  <si>
    <t>159000.00</t>
  </si>
  <si>
    <t>BLAKE CHRISTOPHER T &amp; RHONDA L</t>
  </si>
  <si>
    <t>1396.89</t>
  </si>
  <si>
    <t>1368.69</t>
  </si>
  <si>
    <t>1047.47</t>
  </si>
  <si>
    <t>2144</t>
  </si>
  <si>
    <t>1496.17</t>
  </si>
  <si>
    <t>1763.96</t>
  </si>
  <si>
    <t>2982</t>
  </si>
  <si>
    <t>2815</t>
  </si>
  <si>
    <t>43-3N-28-509D-0056-0000</t>
  </si>
  <si>
    <t>97528 PIRATES WAY</t>
  </si>
  <si>
    <t>BRANAN CHARLES R</t>
  </si>
  <si>
    <t>97528 PIRATES WA</t>
  </si>
  <si>
    <t>43-3N-28-509D-0067-0000</t>
  </si>
  <si>
    <t>433N28509D00670000</t>
  </si>
  <si>
    <t>97376 PIRATES WAY</t>
  </si>
  <si>
    <t>56800</t>
  </si>
  <si>
    <t>BERRYHILL ALMA F EST &amp;</t>
  </si>
  <si>
    <t>BOX 52</t>
  </si>
  <si>
    <t>2169.66</t>
  </si>
  <si>
    <t>2221.52</t>
  </si>
  <si>
    <t>1939.47</t>
  </si>
  <si>
    <t>43-3N-28-509D-0068-0000</t>
  </si>
  <si>
    <t>97358 PIRATES WAY</t>
  </si>
  <si>
    <t>46500</t>
  </si>
  <si>
    <t>128000.00</t>
  </si>
  <si>
    <t>01/01/2018</t>
  </si>
  <si>
    <t>POTEAT SHIRLEY A</t>
  </si>
  <si>
    <t>97358 PIRATES WA</t>
  </si>
  <si>
    <t>LOT 68 &amp; E1/2 OF LOT 69</t>
  </si>
  <si>
    <t>43-3N-28-509E-0009-0000</t>
  </si>
  <si>
    <t>433N28509E00090000</t>
  </si>
  <si>
    <t>97253 CARAVEL TRL</t>
  </si>
  <si>
    <t>CARTWRIGHT JAMES E &amp; LINDA K</t>
  </si>
  <si>
    <t>97253 CARAVEL TRAI</t>
  </si>
  <si>
    <t>LOT 9 OR 347/509 &amp; 348/457</t>
  </si>
  <si>
    <t>742.92</t>
  </si>
  <si>
    <t>744.19</t>
  </si>
  <si>
    <t>1894</t>
  </si>
  <si>
    <t>617.67</t>
  </si>
  <si>
    <t>605.20</t>
  </si>
  <si>
    <t>04/29/2013</t>
  </si>
  <si>
    <t>2987</t>
  </si>
  <si>
    <t>597.68</t>
  </si>
  <si>
    <t>2820</t>
  </si>
  <si>
    <t>581.23</t>
  </si>
  <si>
    <t>43-3N-28-509F-0008-0000</t>
  </si>
  <si>
    <t>97174 CUTLASS WAY</t>
  </si>
  <si>
    <t>09/01/2028</t>
  </si>
  <si>
    <t>KIDD KELLEY</t>
  </si>
  <si>
    <t>BOX</t>
  </si>
  <si>
    <t>43-3N-28-5100-0008-0000</t>
  </si>
  <si>
    <t>433N28-51000008-0000</t>
  </si>
  <si>
    <t>96650 CHESTER RD</t>
  </si>
  <si>
    <t xml:space="preserve"> COUNTRYWIDE BANK</t>
  </si>
  <si>
    <t>139816.00</t>
  </si>
  <si>
    <t>08/20/2008</t>
  </si>
  <si>
    <t>SHEARIN JAMES G EST</t>
  </si>
  <si>
    <t>96650 CHESTER R</t>
  </si>
  <si>
    <t>762.19</t>
  </si>
  <si>
    <t>770.39</t>
  </si>
  <si>
    <t>43-3N-28-5110-0013-0010</t>
  </si>
  <si>
    <t>96633 CHESTER RD</t>
  </si>
  <si>
    <t>55100</t>
  </si>
  <si>
    <t>MITCHELL JARELL DASHAWN</t>
  </si>
  <si>
    <t>96633 CHESTER R</t>
  </si>
  <si>
    <t>PT OF LOT 11 THIGPEN SURV</t>
  </si>
  <si>
    <t>1426.98</t>
  </si>
  <si>
    <t>44-3N-28-0000-0001-0020</t>
  </si>
  <si>
    <t>96730 BLACKROCK RD</t>
  </si>
  <si>
    <t>71337.00</t>
  </si>
  <si>
    <t>04/01/2039</t>
  </si>
  <si>
    <t>DAVIS RHONDA J</t>
  </si>
  <si>
    <t>145 RICHMOND D</t>
  </si>
  <si>
    <t>IN OR 2041/780</t>
  </si>
  <si>
    <t>44-3N-28-5300-0012-0000</t>
  </si>
  <si>
    <t>97343 AMY DR</t>
  </si>
  <si>
    <t>114642.00</t>
  </si>
  <si>
    <t>SHRADER RORIE JENNINGS</t>
  </si>
  <si>
    <t>97343 AMY D</t>
  </si>
  <si>
    <t>1184.76</t>
  </si>
  <si>
    <t>44-3N-28-5300-0020-0000</t>
  </si>
  <si>
    <t>443N28530000200000</t>
  </si>
  <si>
    <t>97326 AMY DR</t>
  </si>
  <si>
    <t>45067.00</t>
  </si>
  <si>
    <t>05/11/2007</t>
  </si>
  <si>
    <t>WYLIE ROBERT M &amp;</t>
  </si>
  <si>
    <t>97326 AMY ROA</t>
  </si>
  <si>
    <t>428.60</t>
  </si>
  <si>
    <t>427.54</t>
  </si>
  <si>
    <t>422.95</t>
  </si>
  <si>
    <t>867.27</t>
  </si>
  <si>
    <t>2894</t>
  </si>
  <si>
    <t>1032.20</t>
  </si>
  <si>
    <t>1188.57</t>
  </si>
  <si>
    <t>2833</t>
  </si>
  <si>
    <t>1345.25</t>
  </si>
  <si>
    <t>45-3N-28-0000-0003-0130</t>
  </si>
  <si>
    <t>453N28000000030130</t>
  </si>
  <si>
    <t>OFF OPAL AV</t>
  </si>
  <si>
    <t>3.35</t>
  </si>
  <si>
    <t>THOMASON PATRICK E</t>
  </si>
  <si>
    <t>PO BOX 117</t>
  </si>
  <si>
    <t>IN OR 1397/134</t>
  </si>
  <si>
    <t>45-3N-28-0240-0011-0000</t>
  </si>
  <si>
    <t>96278 CAPTAINS POINTE RD</t>
  </si>
  <si>
    <t>0.87</t>
  </si>
  <si>
    <t>250000</t>
  </si>
  <si>
    <t>LARRIE G BEAUDRY ETUX</t>
  </si>
  <si>
    <t>170000.00</t>
  </si>
  <si>
    <t>06/30/2019</t>
  </si>
  <si>
    <t>CAPITAL MARKETS GROUP</t>
  </si>
  <si>
    <t>PO BOX 1659</t>
  </si>
  <si>
    <t>LOT 11 &amp;</t>
  </si>
  <si>
    <t>2102.67</t>
  </si>
  <si>
    <t>46-3N-28-0000-0007-0450</t>
  </si>
  <si>
    <t>TRUSTLINE MORTGAGE INC</t>
  </si>
  <si>
    <t>09/01/2042</t>
  </si>
  <si>
    <t>SCOTT STANLEY V (1/2 INT) &amp;</t>
  </si>
  <si>
    <t>1/2 INT) &amp;SCOTT STANLEY V TRUSTEEOF GLADYS T SCOTT REV TRUS</t>
  </si>
  <si>
    <t>PT OF SECT SOUTH OF LANCEFORD</t>
  </si>
  <si>
    <t>46-3N-28-5055-0005-0000</t>
  </si>
  <si>
    <t>96203 MARSH HEN RD</t>
  </si>
  <si>
    <t>4301</t>
  </si>
  <si>
    <t>610000</t>
  </si>
  <si>
    <t>694400.00</t>
  </si>
  <si>
    <t>4-Y PROPERTIES LLC</t>
  </si>
  <si>
    <t>4-Y PROPERTIES LLC96203 MARSH HEN R</t>
  </si>
  <si>
    <t>LOTS 5 &amp; 6</t>
  </si>
  <si>
    <t>8901.94</t>
  </si>
  <si>
    <t>46-3N-28-5065-0001-0000</t>
  </si>
  <si>
    <t>96082 PARK PL</t>
  </si>
  <si>
    <t>3290</t>
  </si>
  <si>
    <t>370000</t>
  </si>
  <si>
    <t>268606.00</t>
  </si>
  <si>
    <t>02/01/2027</t>
  </si>
  <si>
    <t>46-3N-28-5065-0002-0000</t>
  </si>
  <si>
    <t>96090 PARK PL</t>
  </si>
  <si>
    <t>FIRST VOLUNTEER BANK OF TENNESSEE</t>
  </si>
  <si>
    <t>96082 PARK P</t>
  </si>
  <si>
    <t>46-3N-28-507F-0001-0000</t>
  </si>
  <si>
    <t>463N28507F00010000</t>
  </si>
  <si>
    <t>96033 HIDDEN MARSH LN</t>
  </si>
  <si>
    <t>129900</t>
  </si>
  <si>
    <t xml:space="preserve"> HUD</t>
  </si>
  <si>
    <t>COX DORIS A</t>
  </si>
  <si>
    <t>96033 HIDDEN MARSH LAN</t>
  </si>
  <si>
    <t>1385.04</t>
  </si>
  <si>
    <t>08/11/2017</t>
  </si>
  <si>
    <t>1403.93</t>
  </si>
  <si>
    <t>1920</t>
  </si>
  <si>
    <t>1307.64</t>
  </si>
  <si>
    <t>1649.88</t>
  </si>
  <si>
    <t>441.32</t>
  </si>
  <si>
    <t>396.16</t>
  </si>
  <si>
    <t>2850</t>
  </si>
  <si>
    <t>374.87</t>
  </si>
  <si>
    <t>46-3N-28-507F-0016-0000</t>
  </si>
  <si>
    <t>463N28507F00160000</t>
  </si>
  <si>
    <t>95008 SEA HAWK PL</t>
  </si>
  <si>
    <t>GLOBAL FINANCIAL SERVICES</t>
  </si>
  <si>
    <t>STECKLER EDWARD H TRUSTEE</t>
  </si>
  <si>
    <t>95008 SEA HAWK P</t>
  </si>
  <si>
    <t>2080.91</t>
  </si>
  <si>
    <t>2723.82</t>
  </si>
  <si>
    <t>2979</t>
  </si>
  <si>
    <t>3361.73</t>
  </si>
  <si>
    <t>46-3N-28-509H-0008-0000</t>
  </si>
  <si>
    <t>463N28509H00080000</t>
  </si>
  <si>
    <t>96205 HIGH POINTE DR</t>
  </si>
  <si>
    <t>4207</t>
  </si>
  <si>
    <t>415000</t>
  </si>
  <si>
    <t xml:space="preserve"> LEMERY AMY TRUST (PT)</t>
  </si>
  <si>
    <t>340000.00</t>
  </si>
  <si>
    <t>12/04/2012</t>
  </si>
  <si>
    <t>MOORE DAVID &amp; PENNY</t>
  </si>
  <si>
    <t>96205 HIGH POINTE D</t>
  </si>
  <si>
    <t>4331.43</t>
  </si>
  <si>
    <t>4400.98</t>
  </si>
  <si>
    <t>4169.10</t>
  </si>
  <si>
    <t>46-3N-28-510O-0001-0000</t>
  </si>
  <si>
    <t>463N28-510O0001-0000</t>
  </si>
  <si>
    <t>95345 BARNWELL RD</t>
  </si>
  <si>
    <t>3588</t>
  </si>
  <si>
    <t>LEE CARL EDWARD &amp; LELA MAE L/E</t>
  </si>
  <si>
    <t>2125.48</t>
  </si>
  <si>
    <t>2157.15</t>
  </si>
  <si>
    <t>46-3N-28-5482-0002-0000</t>
  </si>
  <si>
    <t>463N28548200020000</t>
  </si>
  <si>
    <t>BAY VIEW DR</t>
  </si>
  <si>
    <t>138500.00</t>
  </si>
  <si>
    <t>PEACOCK JAMES C JR</t>
  </si>
  <si>
    <t>34 NORTH 14TH STREE</t>
  </si>
  <si>
    <t>1188.86</t>
  </si>
  <si>
    <t>1267.66</t>
  </si>
  <si>
    <t>2192</t>
  </si>
  <si>
    <t>1283.23</t>
  </si>
  <si>
    <t>01/27/2014</t>
  </si>
  <si>
    <t>2984</t>
  </si>
  <si>
    <t>1847.27</t>
  </si>
  <si>
    <t>09/10/2013</t>
  </si>
  <si>
    <t>1856.33</t>
  </si>
  <si>
    <t>1802.96</t>
  </si>
  <si>
    <t>10/15/2010</t>
  </si>
  <si>
    <t>46-3N-28-5482-0003-0000</t>
  </si>
  <si>
    <t>463N28548200030000</t>
  </si>
  <si>
    <t>96001 BAY VIEW DR</t>
  </si>
  <si>
    <t>4716</t>
  </si>
  <si>
    <t>500000.00</t>
  </si>
  <si>
    <t>03/07/2005</t>
  </si>
  <si>
    <t>34 NORTH 14TH S</t>
  </si>
  <si>
    <t>LOT 3  (F/K/A 1-4)</t>
  </si>
  <si>
    <t>7383.14</t>
  </si>
  <si>
    <t>7505.06</t>
  </si>
  <si>
    <t>7478.72</t>
  </si>
  <si>
    <t>6980.74</t>
  </si>
  <si>
    <t>6942.12</t>
  </si>
  <si>
    <t>2985</t>
  </si>
  <si>
    <t>6835.48</t>
  </si>
  <si>
    <t>6760.12</t>
  </si>
  <si>
    <t>6565.24</t>
  </si>
  <si>
    <t>46-3N-28-576A-0006-0000</t>
  </si>
  <si>
    <t>463N28576A00060000</t>
  </si>
  <si>
    <t>97096 MILL POND LN</t>
  </si>
  <si>
    <t>SABO JOHN</t>
  </si>
  <si>
    <t>97096 MILL POND L</t>
  </si>
  <si>
    <t>448.50</t>
  </si>
  <si>
    <t>07/16/2013</t>
  </si>
  <si>
    <t>2989</t>
  </si>
  <si>
    <t>1073.37</t>
  </si>
  <si>
    <t>46-3N-28-5800-0003-0000</t>
  </si>
  <si>
    <t>96412 MARSH HEN RD</t>
  </si>
  <si>
    <t>STANLEY V SCOTT</t>
  </si>
  <si>
    <t>SCOTT STANLEY V</t>
  </si>
  <si>
    <t>46-3N-28-6205-0034-0000</t>
  </si>
  <si>
    <t>96618 SOAP CREEK DR</t>
  </si>
  <si>
    <t>199900</t>
  </si>
  <si>
    <t>O B ISLAND HOMES LLC</t>
  </si>
  <si>
    <t>69965.00</t>
  </si>
  <si>
    <t>LENDRY HOMES LLC</t>
  </si>
  <si>
    <t>4745 SUTTON PARK CTSTE # 50</t>
  </si>
  <si>
    <t>48-3N-28-0130-0049-0000</t>
  </si>
  <si>
    <t>97160 GLEN ST</t>
  </si>
  <si>
    <t>STEPHENS MICHAEL E</t>
  </si>
  <si>
    <t>97160 GLEN STREE</t>
  </si>
  <si>
    <t>LOT 49</t>
  </si>
  <si>
    <t>605.92</t>
  </si>
  <si>
    <t>50-3N-28-0000-0002-0010</t>
  </si>
  <si>
    <t>503N28000000020010</t>
  </si>
  <si>
    <t>SWAMP FEVER LN</t>
  </si>
  <si>
    <t>TODD DEBRA B</t>
  </si>
  <si>
    <t>98234 SWAMP FEVER L</t>
  </si>
  <si>
    <t>PT WM G CHRISTOPHER GRANT</t>
  </si>
  <si>
    <t>757.47</t>
  </si>
  <si>
    <t>770.23</t>
  </si>
  <si>
    <t>858.19</t>
  </si>
  <si>
    <t>1134.91</t>
  </si>
  <si>
    <t>1319.09</t>
  </si>
  <si>
    <t>50-3N-28-0000-0002-0020</t>
  </si>
  <si>
    <t>503N28000000020020</t>
  </si>
  <si>
    <t>98234 SWAMP FEVER LN</t>
  </si>
  <si>
    <t>THRIFT DEBRA BROOK</t>
  </si>
  <si>
    <t>1799.81</t>
  </si>
  <si>
    <t>1825.89</t>
  </si>
  <si>
    <t>1872</t>
  </si>
  <si>
    <t>1626.18</t>
  </si>
  <si>
    <t>2357</t>
  </si>
  <si>
    <t>1785.34</t>
  </si>
  <si>
    <t>2584.81</t>
  </si>
  <si>
    <t>2869</t>
  </si>
  <si>
    <t>2980.67</t>
  </si>
  <si>
    <t>50-3N-28-0000-0016-0090</t>
  </si>
  <si>
    <t>503N28000000160090</t>
  </si>
  <si>
    <t>95996 CONNER LN</t>
  </si>
  <si>
    <t>CLARENCE CONNOR</t>
  </si>
  <si>
    <t>69500.00</t>
  </si>
  <si>
    <t>03/01/2009</t>
  </si>
  <si>
    <t>WALTON DAVID</t>
  </si>
  <si>
    <t>96045 CONNER L</t>
  </si>
  <si>
    <t>IN OR 1933/1757</t>
  </si>
  <si>
    <t>583.11</t>
  </si>
  <si>
    <t>3045</t>
  </si>
  <si>
    <t>753.09</t>
  </si>
  <si>
    <t>869.90</t>
  </si>
  <si>
    <t>50-3N-28-0000-0016-0160</t>
  </si>
  <si>
    <t>503N28-00000016-0160</t>
  </si>
  <si>
    <t>IN OR 1257/1787</t>
  </si>
  <si>
    <t>532.15</t>
  </si>
  <si>
    <t>50-3N-28-0000-0016-0170</t>
  </si>
  <si>
    <t>503N28000000160170</t>
  </si>
  <si>
    <t>96080 CONNER LN</t>
  </si>
  <si>
    <t>12200</t>
  </si>
  <si>
    <t>ISLAND MISSION</t>
  </si>
  <si>
    <t>86730 PAGES DAIRY R</t>
  </si>
  <si>
    <t>IN OR 2042/532</t>
  </si>
  <si>
    <t>674.57</t>
  </si>
  <si>
    <t>661.77</t>
  </si>
  <si>
    <t>1874</t>
  </si>
  <si>
    <t>614.49</t>
  </si>
  <si>
    <t>2358</t>
  </si>
  <si>
    <t>627.52</t>
  </si>
  <si>
    <t>515.69</t>
  </si>
  <si>
    <t>3052</t>
  </si>
  <si>
    <t>968.70</t>
  </si>
  <si>
    <t>1005.36</t>
  </si>
  <si>
    <t>1829.01</t>
  </si>
  <si>
    <t>50-3N-28-0000-0017-0020</t>
  </si>
  <si>
    <t>503N28000000170020</t>
  </si>
  <si>
    <t>95988 CONNER LN</t>
  </si>
  <si>
    <t>PT WM G CHRISTOPHER DONATION</t>
  </si>
  <si>
    <t>356.39</t>
  </si>
  <si>
    <t>426.03</t>
  </si>
  <si>
    <t>10/28/2014</t>
  </si>
  <si>
    <t>433.20</t>
  </si>
  <si>
    <t>3053</t>
  </si>
  <si>
    <t>788.69</t>
  </si>
  <si>
    <t>3048</t>
  </si>
  <si>
    <t>793.37</t>
  </si>
  <si>
    <t>723.29</t>
  </si>
  <si>
    <t>50-3N-28-0000-0029-0370</t>
  </si>
  <si>
    <t>503N28000000290370</t>
  </si>
  <si>
    <t>96215 MARANATHA RD</t>
  </si>
  <si>
    <t>ROWLAND HEATHER D</t>
  </si>
  <si>
    <t>96215 MARANATHA R</t>
  </si>
  <si>
    <t>IN OR 2025/1814</t>
  </si>
  <si>
    <t>842.58</t>
  </si>
  <si>
    <t>1880</t>
  </si>
  <si>
    <t>959.69</t>
  </si>
  <si>
    <t>07/20/2015</t>
  </si>
  <si>
    <t>939.57</t>
  </si>
  <si>
    <t>3061</t>
  </si>
  <si>
    <t>1393.23</t>
  </si>
  <si>
    <t>3055</t>
  </si>
  <si>
    <t>1433.00</t>
  </si>
  <si>
    <t>1477.45</t>
  </si>
  <si>
    <t>50-3N-28-0000-0035-0000</t>
  </si>
  <si>
    <t>503N28000000350000</t>
  </si>
  <si>
    <t>96245 CONFEDERATE OAKS DR</t>
  </si>
  <si>
    <t>61486.00</t>
  </si>
  <si>
    <t>04/02/2003</t>
  </si>
  <si>
    <t>VANZANT OSCAR D</t>
  </si>
  <si>
    <t>96245 CONFEDERATE OAKS DRIV</t>
  </si>
  <si>
    <t>OR 756/1217 &amp; OR 763/412</t>
  </si>
  <si>
    <t>926.34</t>
  </si>
  <si>
    <t>937.29</t>
  </si>
  <si>
    <t>09/08/2016</t>
  </si>
  <si>
    <t>557.84</t>
  </si>
  <si>
    <t>861.66</t>
  </si>
  <si>
    <t>3058</t>
  </si>
  <si>
    <t>819.59</t>
  </si>
  <si>
    <t>50-3N-28-0000-0039-0010</t>
  </si>
  <si>
    <t>503N28000000390010</t>
  </si>
  <si>
    <t>FREEMAN RD</t>
  </si>
  <si>
    <t>24500.00</t>
  </si>
  <si>
    <t>08/01/2026</t>
  </si>
  <si>
    <t>PARKER MICHAEL W</t>
  </si>
  <si>
    <t>2900 PARK SQUARE P</t>
  </si>
  <si>
    <t>IN OR 2105/659</t>
  </si>
  <si>
    <t>748.98</t>
  </si>
  <si>
    <t>752.66</t>
  </si>
  <si>
    <t>722.22</t>
  </si>
  <si>
    <t>50-3N-28-0000-0042-0030</t>
  </si>
  <si>
    <t>96510 BLACKROCK RD</t>
  </si>
  <si>
    <t>8645</t>
  </si>
  <si>
    <t>490000.00</t>
  </si>
  <si>
    <t>02/01/2035</t>
  </si>
  <si>
    <t>SCARBORO JOHN P JR &amp; FRANCES E</t>
  </si>
  <si>
    <t>96510 BLACKROCK ROA</t>
  </si>
  <si>
    <t>IN OR 1035/683 &amp; OR 1038/1902</t>
  </si>
  <si>
    <t>50-3N-28-016B-0017-0000</t>
  </si>
  <si>
    <t>503N28016B00170000</t>
  </si>
  <si>
    <t>96349 SOUTHERN LILY DR</t>
  </si>
  <si>
    <t>NORTON DEAN</t>
  </si>
  <si>
    <t>622 CR 662 #2</t>
  </si>
  <si>
    <t>Cedar Bluff</t>
  </si>
  <si>
    <t>35959</t>
  </si>
  <si>
    <t>50-3N-28-0305-0001-0000</t>
  </si>
  <si>
    <t>96413 GRANITE TR</t>
  </si>
  <si>
    <t>305 KINGSLEY LAKE DR SUITE 70</t>
  </si>
  <si>
    <t>50-3N-28-0305-0005-0000</t>
  </si>
  <si>
    <t>96381 GRANITE TR</t>
  </si>
  <si>
    <t>305 KINGSLEY LAKE DRIVESUITE # 70</t>
  </si>
  <si>
    <t>50-3N-28-0305-0007-0000</t>
  </si>
  <si>
    <t>96365 GRANITE TR</t>
  </si>
  <si>
    <t>50-3N-28-0305-0008-0000</t>
  </si>
  <si>
    <t>96357 GRANITE TR</t>
  </si>
  <si>
    <t>305 KINGSLEY LAKE DRIVESUITE 70</t>
  </si>
  <si>
    <t>50-3N-28-0305-0015-0000</t>
  </si>
  <si>
    <t>96301 GRANITE TR</t>
  </si>
  <si>
    <t>50-3N-28-0305-0016-0000</t>
  </si>
  <si>
    <t>96304 GRANITE TR</t>
  </si>
  <si>
    <t>305 KINGSLEY LAKE DRIVESTE # 70</t>
  </si>
  <si>
    <t>50-3N-28-0305-0017-0000</t>
  </si>
  <si>
    <t>96312 GRANITE TR</t>
  </si>
  <si>
    <t>St. Augustine</t>
  </si>
  <si>
    <t>50-3N-28-0305-0018-0000</t>
  </si>
  <si>
    <t>96320 GRANITE TR</t>
  </si>
  <si>
    <t>BLACKROCK PARK LLP</t>
  </si>
  <si>
    <t>2955 HARTLEY ROAD STE 10</t>
  </si>
  <si>
    <t>50-3N-28-0305-0019-0000</t>
  </si>
  <si>
    <t>96328 GRANITE TR</t>
  </si>
  <si>
    <t>50-3N-28-0305-0020-0000</t>
  </si>
  <si>
    <t>96336 GRANITE TR</t>
  </si>
  <si>
    <t>50-3N-28-5280-0008-0000</t>
  </si>
  <si>
    <t>96182 GLENWOOD RD</t>
  </si>
  <si>
    <t>BRASWELL STEVEN W &amp; BELINDA A</t>
  </si>
  <si>
    <t>BOX 73</t>
  </si>
  <si>
    <t>1141.08</t>
  </si>
  <si>
    <t>63-3N-28-0000-0004-0000</t>
  </si>
  <si>
    <t>633N28000000040000</t>
  </si>
  <si>
    <t>437 E MONROE STREETSUITE  10</t>
  </si>
  <si>
    <t>LOT 3 S OF CREEK</t>
  </si>
  <si>
    <t>102.55</t>
  </si>
  <si>
    <t>99.77</t>
  </si>
  <si>
    <t>108.47</t>
  </si>
  <si>
    <t>2222</t>
  </si>
  <si>
    <t>3168</t>
  </si>
  <si>
    <t>98.79</t>
  </si>
  <si>
    <t>3065</t>
  </si>
  <si>
    <t>88.86</t>
  </si>
  <si>
    <t>2911</t>
  </si>
  <si>
    <t>80.62</t>
  </si>
  <si>
    <t>64-3N-28-0000-0002-0000</t>
  </si>
  <si>
    <t>643N28000000020000</t>
  </si>
  <si>
    <t>143.00</t>
  </si>
  <si>
    <t>SWANN S A EST</t>
  </si>
  <si>
    <t>36 LYMAN R</t>
  </si>
  <si>
    <t>Northampton</t>
  </si>
  <si>
    <t>01060</t>
  </si>
  <si>
    <t>N1/2 N &amp; W OF RIVER</t>
  </si>
  <si>
    <t>264.43</t>
  </si>
  <si>
    <t>09-3N-29-0000-0003-0040</t>
  </si>
  <si>
    <t>093N29000000030040</t>
  </si>
  <si>
    <t>1021 FLETCHER AVE N</t>
  </si>
  <si>
    <t>VIERS B J</t>
  </si>
  <si>
    <t>37509.00</t>
  </si>
  <si>
    <t>01/15/2003</t>
  </si>
  <si>
    <t>07/15/2004</t>
  </si>
  <si>
    <t>SORRELLS LEA M</t>
  </si>
  <si>
    <t>PO BOX 503</t>
  </si>
  <si>
    <t>IN OR 1530/1774</t>
  </si>
  <si>
    <t>2223</t>
  </si>
  <si>
    <t>3647.84</t>
  </si>
  <si>
    <t>3537.46</t>
  </si>
  <si>
    <t>3066</t>
  </si>
  <si>
    <t>3758.71</t>
  </si>
  <si>
    <t>01-6N-29-1300-0061-0000</t>
  </si>
  <si>
    <t>115 MARSH CREEK RD</t>
  </si>
  <si>
    <t>3087</t>
  </si>
  <si>
    <t>03/22/2027</t>
  </si>
  <si>
    <t>WHTV AMELIA PARTNERS LLC</t>
  </si>
  <si>
    <t>1258 OLDE TOWNE R</t>
  </si>
  <si>
    <t>Alexandria</t>
  </si>
  <si>
    <t>22307</t>
  </si>
  <si>
    <t>01-6N-29-V020-0403-0000</t>
  </si>
  <si>
    <t>016N29-V0200403-0000</t>
  </si>
  <si>
    <t>403 BEACHSIDE PL</t>
  </si>
  <si>
    <t>2566</t>
  </si>
  <si>
    <t>970000</t>
  </si>
  <si>
    <t>FIFTH THIRD MORTGAGE CO</t>
  </si>
  <si>
    <t>770000.00</t>
  </si>
  <si>
    <t>RAY STUART N &amp; MICHELE R</t>
  </si>
  <si>
    <t>12203 LUCAS LAN</t>
  </si>
  <si>
    <t>Anchoragee</t>
  </si>
  <si>
    <t>Kentucky</t>
  </si>
  <si>
    <t>40223</t>
  </si>
  <si>
    <t>UNIT 403</t>
  </si>
  <si>
    <t>01-6N-29-V020-0421-0000</t>
  </si>
  <si>
    <t>421 BEACHSIDE PL</t>
  </si>
  <si>
    <t>11/01/2031</t>
  </si>
  <si>
    <t>COLE ALICE WIGHT &amp;</t>
  </si>
  <si>
    <t>3333 WISCONSIN AVE NW APT 50</t>
  </si>
  <si>
    <t>20016</t>
  </si>
  <si>
    <t>UNIT 421</t>
  </si>
  <si>
    <t>01-6N-29-V040-3030-0000</t>
  </si>
  <si>
    <t>016N29V04030300000</t>
  </si>
  <si>
    <t>3030 SEA MARSH RD</t>
  </si>
  <si>
    <t>455000</t>
  </si>
  <si>
    <t>NANCY STAFFORD</t>
  </si>
  <si>
    <t>400000.00</t>
  </si>
  <si>
    <t>09/07/2005</t>
  </si>
  <si>
    <t>08/30/2035</t>
  </si>
  <si>
    <t>STAFFORD LAURA C</t>
  </si>
  <si>
    <t>829 FOREST STREE</t>
  </si>
  <si>
    <t>VILLA UNIT 3030</t>
  </si>
  <si>
    <t>01-6N-29-V040-3060-0000</t>
  </si>
  <si>
    <t>016N29-V0403060-0000</t>
  </si>
  <si>
    <t>3060 SEA MARSH RD</t>
  </si>
  <si>
    <t>COLLINS SUSAN L &amp;</t>
  </si>
  <si>
    <t>225 WEST 83RD ST APT 10</t>
  </si>
  <si>
    <t>10024</t>
  </si>
  <si>
    <t>VILLA UNIT 3060</t>
  </si>
  <si>
    <t>3130.45</t>
  </si>
  <si>
    <t>3425.81</t>
  </si>
  <si>
    <t>01-6N-29-V090-3211-0000</t>
  </si>
  <si>
    <t>016N29V09032110000</t>
  </si>
  <si>
    <t>3211 SEA MARSH RD</t>
  </si>
  <si>
    <t>410000</t>
  </si>
  <si>
    <t>410000.00</t>
  </si>
  <si>
    <t>06/06/2007</t>
  </si>
  <si>
    <t>STANWICH MORTGAGE LOAN TRUST</t>
  </si>
  <si>
    <t>3801 KENNETT PIKE STE C20</t>
  </si>
  <si>
    <t>Delaware</t>
  </si>
  <si>
    <t>19807</t>
  </si>
  <si>
    <t>VILLA UNIT 3211</t>
  </si>
  <si>
    <t>3223.83</t>
  </si>
  <si>
    <t>4622.19</t>
  </si>
  <si>
    <t>01-6N-29-V14A-1016-0000</t>
  </si>
  <si>
    <t>1016 CAPTAINS COURT DR</t>
  </si>
  <si>
    <t>270000</t>
  </si>
  <si>
    <t>CITIBANK FSB</t>
  </si>
  <si>
    <t>560000.00</t>
  </si>
  <si>
    <t>MURRAY KEVIN E</t>
  </si>
  <si>
    <t>81 SANDPIPER CT8 THOMAS M</t>
  </si>
  <si>
    <t>London</t>
  </si>
  <si>
    <t>VILLA UNIT 1016</t>
  </si>
  <si>
    <t>01-6N-29-V14A-1022-0000</t>
  </si>
  <si>
    <t>016N29-V14A1022-0000</t>
  </si>
  <si>
    <t>1022 CAPTAINS COURT DR</t>
  </si>
  <si>
    <t>560000</t>
  </si>
  <si>
    <t xml:space="preserve"> BANK OF THE OZARKS</t>
  </si>
  <si>
    <t>986713.00</t>
  </si>
  <si>
    <t>BARNES W M KEN</t>
  </si>
  <si>
    <t>PO BOX 30</t>
  </si>
  <si>
    <t>Woodbury</t>
  </si>
  <si>
    <t>30293</t>
  </si>
  <si>
    <t>VILLA UNIT 1022</t>
  </si>
  <si>
    <t>8189.09</t>
  </si>
  <si>
    <t>6973.83</t>
  </si>
  <si>
    <t>01-6N-29-V160-2109-0000</t>
  </si>
  <si>
    <t>2109 BEACH WOOD RD</t>
  </si>
  <si>
    <t>DOUGLAS NATIONAL BANK</t>
  </si>
  <si>
    <t>08/01/2020</t>
  </si>
  <si>
    <t>JARDINE WALTER B</t>
  </si>
  <si>
    <t>Douglas</t>
  </si>
  <si>
    <t>31534</t>
  </si>
  <si>
    <t>VILLA UNIT 2109</t>
  </si>
  <si>
    <t>01-6N-29-V17A-0277-0000</t>
  </si>
  <si>
    <t>016N29-V17A0277-0000</t>
  </si>
  <si>
    <t>317 SANDCASTLES CT</t>
  </si>
  <si>
    <t>06/12/2009</t>
  </si>
  <si>
    <t>CHOW WILLIAM H &amp; MARGARET M &amp;</t>
  </si>
  <si>
    <t>10116 HIGH HILL COUR</t>
  </si>
  <si>
    <t>Great Falls</t>
  </si>
  <si>
    <t>22066</t>
  </si>
  <si>
    <t>UNIT 277</t>
  </si>
  <si>
    <t>1186.92</t>
  </si>
  <si>
    <t>09/12/2016</t>
  </si>
  <si>
    <t>02-6N-29-DCCO-0001-0210</t>
  </si>
  <si>
    <t>026N29DCCO00010210</t>
  </si>
  <si>
    <t>BEACH WALKER RD</t>
  </si>
  <si>
    <t>4452600</t>
  </si>
  <si>
    <t>AMELIA ISLAND HOLDING COMPANY</t>
  </si>
  <si>
    <t>4115 ORTEGA BLV</t>
  </si>
  <si>
    <t>PT FRAC SEC 6-1N-29E PAR 1-21</t>
  </si>
  <si>
    <t>83.63</t>
  </si>
  <si>
    <t>85.78</t>
  </si>
  <si>
    <t>86.49</t>
  </si>
  <si>
    <t>02-6N-29-V003-1602-0000</t>
  </si>
  <si>
    <t>1602 SEA DUNES PL</t>
  </si>
  <si>
    <t>LEARSY FLORENCE LEE TRUST</t>
  </si>
  <si>
    <t>4615 N PARK AVE  APT 110</t>
  </si>
  <si>
    <t>Chevy Chase</t>
  </si>
  <si>
    <t>20815</t>
  </si>
  <si>
    <t>UNIT 1602</t>
  </si>
  <si>
    <t>00-00-30-0080-0001-0000</t>
  </si>
  <si>
    <t>000030008000010000</t>
  </si>
  <si>
    <t>116 BONNIEVIEW RD</t>
  </si>
  <si>
    <t>METTS DIANA</t>
  </si>
  <si>
    <t>116 BONNIEVIEW ROA</t>
  </si>
  <si>
    <t>LOT 1  R787901 &amp; R787902</t>
  </si>
  <si>
    <t>613.38</t>
  </si>
  <si>
    <t>626.95</t>
  </si>
  <si>
    <t>1905</t>
  </si>
  <si>
    <t>626.29</t>
  </si>
  <si>
    <t>08/21/2015</t>
  </si>
  <si>
    <t>598.24</t>
  </si>
  <si>
    <t>585.20</t>
  </si>
  <si>
    <t>577.83</t>
  </si>
  <si>
    <t>2945</t>
  </si>
  <si>
    <t>561.65</t>
  </si>
  <si>
    <t>12/22/2010</t>
  </si>
  <si>
    <t>00-00-30-0087-0001-00C0</t>
  </si>
  <si>
    <t>8030 FIRST COAST HWY 1-C</t>
  </si>
  <si>
    <t>280000</t>
  </si>
  <si>
    <t>04/29/2022</t>
  </si>
  <si>
    <t>MARTIN ROBERT B &amp; NANCY J</t>
  </si>
  <si>
    <t>8030 FIRST COAST HWYBUCCANEER TRAIL UNIT 1</t>
  </si>
  <si>
    <t>UNIT 1-C</t>
  </si>
  <si>
    <t>00-00-30-0090-000A-1130</t>
  </si>
  <si>
    <t>0000300090000A1130</t>
  </si>
  <si>
    <t>4800 AMELIA ISLAND PKWY A-113</t>
  </si>
  <si>
    <t>COOK KATHLEEN HATCHER</t>
  </si>
  <si>
    <t>5045 HOPEWELL ROA</t>
  </si>
  <si>
    <t>Musella</t>
  </si>
  <si>
    <t>30166</t>
  </si>
  <si>
    <t>UNIT A-113</t>
  </si>
  <si>
    <t>4024.50</t>
  </si>
  <si>
    <t>00-00-30-0090-000A-1140</t>
  </si>
  <si>
    <t>0000300090000A1140</t>
  </si>
  <si>
    <t>4800 AMELIA ISLAND PKWY A-114</t>
  </si>
  <si>
    <t>230000</t>
  </si>
  <si>
    <t>FIRST SOUTH BANK</t>
  </si>
  <si>
    <t>191200.00</t>
  </si>
  <si>
    <t>COOK KATHLEEN H TRUSTEE</t>
  </si>
  <si>
    <t>5045 HOPEWELL ROAD EAS</t>
  </si>
  <si>
    <t>31066</t>
  </si>
  <si>
    <t>UNIT A-114</t>
  </si>
  <si>
    <t>3014.97</t>
  </si>
  <si>
    <t>2788.40</t>
  </si>
  <si>
    <t>00-00-30-010A-0002-0130</t>
  </si>
  <si>
    <t>000030-010A0002-0130</t>
  </si>
  <si>
    <t>5472 GREGG ST</t>
  </si>
  <si>
    <t>2520</t>
  </si>
  <si>
    <t>FLUKER N E SR &amp; JOHNNIE M</t>
  </si>
  <si>
    <t>905 STATE STREE</t>
  </si>
  <si>
    <t>31501</t>
  </si>
  <si>
    <t>5328.91</t>
  </si>
  <si>
    <t>00-00-30-010A-0003-0182</t>
  </si>
  <si>
    <t>000030010A00030182</t>
  </si>
  <si>
    <t>5487 GREGG ST</t>
  </si>
  <si>
    <t>ALAN J GOLDMAN</t>
  </si>
  <si>
    <t>03/26/2010</t>
  </si>
  <si>
    <t>WILLIAMS PEARL &amp;</t>
  </si>
  <si>
    <t>756 SUNKEN MEADO</t>
  </si>
  <si>
    <t>BLOCK 3 S25 FT OF E75 FT OF 18</t>
  </si>
  <si>
    <t>1312.35</t>
  </si>
  <si>
    <t>1103.42</t>
  </si>
  <si>
    <t>1909</t>
  </si>
  <si>
    <t>1108.87</t>
  </si>
  <si>
    <t>2265</t>
  </si>
  <si>
    <t>1030.85</t>
  </si>
  <si>
    <t>1244.03</t>
  </si>
  <si>
    <t>3263</t>
  </si>
  <si>
    <t>1801.15</t>
  </si>
  <si>
    <t>00-00-30-010A-0004-0250</t>
  </si>
  <si>
    <t>000030010A00040250</t>
  </si>
  <si>
    <t>5443 GREGG ST</t>
  </si>
  <si>
    <t>WILLIAMS PEARL H &amp; LINCOLN C</t>
  </si>
  <si>
    <t>952 TURTLE CREEK DR N</t>
  </si>
  <si>
    <t>BLOCK 4 LOT 25</t>
  </si>
  <si>
    <t>2973.84</t>
  </si>
  <si>
    <t>3017.77</t>
  </si>
  <si>
    <t>1910</t>
  </si>
  <si>
    <t>3014.71</t>
  </si>
  <si>
    <t>2851.95</t>
  </si>
  <si>
    <t>3523.81</t>
  </si>
  <si>
    <t>4601.06</t>
  </si>
  <si>
    <t>2953</t>
  </si>
  <si>
    <t>5700.53</t>
  </si>
  <si>
    <t>00-00-30-010A-0007-0500</t>
  </si>
  <si>
    <t>1827 LEWIS ST</t>
  </si>
  <si>
    <t>WRIGHT PATMAN CONGRESSIONAL FEDERAL CRED</t>
  </si>
  <si>
    <t>136000.00</t>
  </si>
  <si>
    <t>10/01/2039</t>
  </si>
  <si>
    <t>C M BROOKS LLC</t>
  </si>
  <si>
    <t>809 SHIPWATCH D</t>
  </si>
  <si>
    <t>BLOCK 7 LOT 50</t>
  </si>
  <si>
    <t>00-00-30-010A-0007-0550</t>
  </si>
  <si>
    <t>000030010A00070550</t>
  </si>
  <si>
    <t>WALDRON ST</t>
  </si>
  <si>
    <t>BLOCK 7 LOT 55</t>
  </si>
  <si>
    <t>1715.41</t>
  </si>
  <si>
    <t>1747.59</t>
  </si>
  <si>
    <t>1655.67</t>
  </si>
  <si>
    <t>1647.86</t>
  </si>
  <si>
    <t>05/07/2012</t>
  </si>
  <si>
    <t>2957</t>
  </si>
  <si>
    <t>3019.57</t>
  </si>
  <si>
    <t>00-00-30-010B-0011-0080</t>
  </si>
  <si>
    <t>000030010B00110080</t>
  </si>
  <si>
    <t>5445 JAMES ST</t>
  </si>
  <si>
    <t>190000.00</t>
  </si>
  <si>
    <t>10/20/2008</t>
  </si>
  <si>
    <t>CHATMAN JACOB L &amp; ETTY ANN</t>
  </si>
  <si>
    <t>1136 LAFAYETTE STREE</t>
  </si>
  <si>
    <t>Wayne</t>
  </si>
  <si>
    <t>19087</t>
  </si>
  <si>
    <t>BLOCK 11 LOT 8</t>
  </si>
  <si>
    <t>2352.42</t>
  </si>
  <si>
    <t>2396.03</t>
  </si>
  <si>
    <t>2255.63</t>
  </si>
  <si>
    <t>09/26/2016</t>
  </si>
  <si>
    <t>2254.86</t>
  </si>
  <si>
    <t>2274</t>
  </si>
  <si>
    <t>2292.13</t>
  </si>
  <si>
    <t>2703.47</t>
  </si>
  <si>
    <t>01/23/2013</t>
  </si>
  <si>
    <t>00-00-30-010B-0011-0100</t>
  </si>
  <si>
    <t>000030010B00110100</t>
  </si>
  <si>
    <t>ERVIN ST</t>
  </si>
  <si>
    <t>KING FRANCINA C (2/3INT) &amp;</t>
  </si>
  <si>
    <t>2/3INT) &amp;KING ALONZO D (1/6INT) &amp;KING PILAR B (1/6INT</t>
  </si>
  <si>
    <t>St Simons</t>
  </si>
  <si>
    <t>BLOCK 11 LOT 10</t>
  </si>
  <si>
    <t>702.36</t>
  </si>
  <si>
    <t>10/15/2017</t>
  </si>
  <si>
    <t>708.58</t>
  </si>
  <si>
    <t>712.25</t>
  </si>
  <si>
    <t>2275</t>
  </si>
  <si>
    <t>848.85</t>
  </si>
  <si>
    <t>1224.63</t>
  </si>
  <si>
    <t>3113</t>
  </si>
  <si>
    <t>1364.79</t>
  </si>
  <si>
    <t>2962</t>
  </si>
  <si>
    <t>1816.55</t>
  </si>
  <si>
    <t>00-00-30-010B-0011-0110</t>
  </si>
  <si>
    <t>000030010B00110110</t>
  </si>
  <si>
    <t>5442 ERVIN ST</t>
  </si>
  <si>
    <t>BAUGH RUBYE E ESTATE</t>
  </si>
  <si>
    <t>1453 W 14TH S</t>
  </si>
  <si>
    <t>BLOCK 11 LOT 11</t>
  </si>
  <si>
    <t>2963</t>
  </si>
  <si>
    <t>00-00-30-010B-0012-0070</t>
  </si>
  <si>
    <t>1815 LEWIS ST</t>
  </si>
  <si>
    <t>3887</t>
  </si>
  <si>
    <t>PEARL C BARNETT</t>
  </si>
  <si>
    <t>TRUE BLUE VENTURES LLC</t>
  </si>
  <si>
    <t>2344 FORBES S</t>
  </si>
  <si>
    <t>32204</t>
  </si>
  <si>
    <t>BLOCK 12 LOT 7</t>
  </si>
  <si>
    <t>00-00-30-010B-0012-0080</t>
  </si>
  <si>
    <t>000030010B00120080</t>
  </si>
  <si>
    <t>LEWIS ST</t>
  </si>
  <si>
    <t>FREDERICK NICKOLE E &amp;</t>
  </si>
  <si>
    <t>PO BOX 248</t>
  </si>
  <si>
    <t>32802</t>
  </si>
  <si>
    <t>BLOCK 12 LOT 8</t>
  </si>
  <si>
    <t>786.78</t>
  </si>
  <si>
    <t>794.40</t>
  </si>
  <si>
    <t>1445.62</t>
  </si>
  <si>
    <t>05/24/2017</t>
  </si>
  <si>
    <t>1423.69</t>
  </si>
  <si>
    <t>2278</t>
  </si>
  <si>
    <t>1440.85</t>
  </si>
  <si>
    <t>1666.52</t>
  </si>
  <si>
    <t>1858.21</t>
  </si>
  <si>
    <t>2964</t>
  </si>
  <si>
    <t>2305.79</t>
  </si>
  <si>
    <t>00-00-30-010B-0015-0070</t>
  </si>
  <si>
    <t>000030010B00150070</t>
  </si>
  <si>
    <t>LEE ST</t>
  </si>
  <si>
    <t>JONES-JACKSON CYNTHIA DEBORAH</t>
  </si>
  <si>
    <t>5381 HALA C</t>
  </si>
  <si>
    <t>BLOCK 15 LOTS 7 &amp; 8</t>
  </si>
  <si>
    <t>953.82</t>
  </si>
  <si>
    <t>1002.20</t>
  </si>
  <si>
    <t>2283</t>
  </si>
  <si>
    <t>05/29/2014</t>
  </si>
  <si>
    <t>1951.03</t>
  </si>
  <si>
    <t>3123</t>
  </si>
  <si>
    <t>2175.88</t>
  </si>
  <si>
    <t>00-00-30-010B-0015-0110</t>
  </si>
  <si>
    <t>000030010B00150110</t>
  </si>
  <si>
    <t>LEONARD ST</t>
  </si>
  <si>
    <t>159900</t>
  </si>
  <si>
    <t>5381 HALA COUR</t>
  </si>
  <si>
    <t>BLOCK 15 LOT 11</t>
  </si>
  <si>
    <t>2284</t>
  </si>
  <si>
    <t>00-00-30-010B-0015-0120</t>
  </si>
  <si>
    <t>000030010B00150120</t>
  </si>
  <si>
    <t>JONES CARLTON D &amp; BARBARA A</t>
  </si>
  <si>
    <t>BLOCK 15 LOT 12</t>
  </si>
  <si>
    <t>2285</t>
  </si>
  <si>
    <t>00-00-30-010B-0017-0100</t>
  </si>
  <si>
    <t>000030010B00170100</t>
  </si>
  <si>
    <t>1705 LEWIS ST</t>
  </si>
  <si>
    <t>HOLMES JOHN T</t>
  </si>
  <si>
    <t>1705 LEWIS STREE</t>
  </si>
  <si>
    <t>BLOCK 17 LOTS 10 &amp; 11</t>
  </si>
  <si>
    <t>1685.31</t>
  </si>
  <si>
    <t>1855.62</t>
  </si>
  <si>
    <t>00-00-30-010B-0017-0120</t>
  </si>
  <si>
    <t>000030010B00170120</t>
  </si>
  <si>
    <t>MARY AV</t>
  </si>
  <si>
    <t>9800</t>
  </si>
  <si>
    <t>BLOCK 17 LOT 12</t>
  </si>
  <si>
    <t>1878</t>
  </si>
  <si>
    <t>536.93</t>
  </si>
  <si>
    <t>539.68</t>
  </si>
  <si>
    <t>10/26/2016</t>
  </si>
  <si>
    <t>00-00-30-010B-0018-0070</t>
  </si>
  <si>
    <t>5437 LEONARD ST</t>
  </si>
  <si>
    <t>SMITH KEVIN B &amp;</t>
  </si>
  <si>
    <t>PO BOX 1392</t>
  </si>
  <si>
    <t>BLOCK 18 LOT 7</t>
  </si>
  <si>
    <t>00-00-30-010B-0018-0090</t>
  </si>
  <si>
    <t>1713 LEONARD ST</t>
  </si>
  <si>
    <t>09/10/2025</t>
  </si>
  <si>
    <t>GADSON ROSELLA EST</t>
  </si>
  <si>
    <t>1713 LEONARD S</t>
  </si>
  <si>
    <t>BLOCK 18 LOT 9</t>
  </si>
  <si>
    <t>00-00-30-010B-0018-0130</t>
  </si>
  <si>
    <t>000030010B00180130</t>
  </si>
  <si>
    <t>NISSEN NATHANIEL P</t>
  </si>
  <si>
    <t>5304 SHORE D</t>
  </si>
  <si>
    <t>32086</t>
  </si>
  <si>
    <t>BLOCK 18 LOT 13</t>
  </si>
  <si>
    <t>617.94</t>
  </si>
  <si>
    <t>838.85</t>
  </si>
  <si>
    <t>2290</t>
  </si>
  <si>
    <t>3131</t>
  </si>
  <si>
    <t>00-00-30-010B-0018-0140</t>
  </si>
  <si>
    <t>000030010B00180140</t>
  </si>
  <si>
    <t>BLOCK 18 LOT 14</t>
  </si>
  <si>
    <t>921.99</t>
  </si>
  <si>
    <t>3132</t>
  </si>
  <si>
    <t>1026.84</t>
  </si>
  <si>
    <t>00-00-30-010B-0018-0150</t>
  </si>
  <si>
    <t>000030010B00180150</t>
  </si>
  <si>
    <t>BLOCK 18 LOT 15</t>
  </si>
  <si>
    <t>3133</t>
  </si>
  <si>
    <t>00-00-30-010B-0018-0160</t>
  </si>
  <si>
    <t>000030010B00180160</t>
  </si>
  <si>
    <t>GREEN THERESA</t>
  </si>
  <si>
    <t>1097 REIMAN S</t>
  </si>
  <si>
    <t>BLOCK 18 LOT 16</t>
  </si>
  <si>
    <t>00-00-30-010C-0001-0270</t>
  </si>
  <si>
    <t>000030010C00010270</t>
  </si>
  <si>
    <t>GREGG ST</t>
  </si>
  <si>
    <t>DOLLISON BOBBY</t>
  </si>
  <si>
    <t>5553 GREGG STREE</t>
  </si>
  <si>
    <t>BLOCK 1 LOT 27</t>
  </si>
  <si>
    <t>5092.22</t>
  </si>
  <si>
    <t>4742.22</t>
  </si>
  <si>
    <t>4767.38</t>
  </si>
  <si>
    <t>4514.61</t>
  </si>
  <si>
    <t>4197.51</t>
  </si>
  <si>
    <t>2980</t>
  </si>
  <si>
    <t>8517.39</t>
  </si>
  <si>
    <t>01/28/2011</t>
  </si>
  <si>
    <t>00-00-30-010C-0002-0100</t>
  </si>
  <si>
    <t>000030010C00020100</t>
  </si>
  <si>
    <t>5537 GREGG ST</t>
  </si>
  <si>
    <t>HOOKER WILLIE F SR</t>
  </si>
  <si>
    <t>8125 BAHIA BLANCA</t>
  </si>
  <si>
    <t>2022</t>
  </si>
  <si>
    <t>2717.56</t>
  </si>
  <si>
    <t>2502.52</t>
  </si>
  <si>
    <t>09/16/2014</t>
  </si>
  <si>
    <t>3650.47</t>
  </si>
  <si>
    <t>00-00-30-010C-0002-0110</t>
  </si>
  <si>
    <t>000030010C00020110</t>
  </si>
  <si>
    <t>5553 GREGG ST</t>
  </si>
  <si>
    <t>10665</t>
  </si>
  <si>
    <t>BLK 2 LOT 11</t>
  </si>
  <si>
    <t>6666.36</t>
  </si>
  <si>
    <t>6747.11</t>
  </si>
  <si>
    <t>7192.22</t>
  </si>
  <si>
    <t>05/06/2016</t>
  </si>
  <si>
    <t>6770.58</t>
  </si>
  <si>
    <t>2296</t>
  </si>
  <si>
    <t>6776.58</t>
  </si>
  <si>
    <t>01/09/2014</t>
  </si>
  <si>
    <t>00-00-30-010C-0002-0180</t>
  </si>
  <si>
    <t>000030010C00020180</t>
  </si>
  <si>
    <t>ROBINSON W RUSSELL</t>
  </si>
  <si>
    <t>208 CHAPEL VALLEY LAN</t>
  </si>
  <si>
    <t>Apex</t>
  </si>
  <si>
    <t>27502</t>
  </si>
  <si>
    <t>2596.66</t>
  </si>
  <si>
    <t>2610.39</t>
  </si>
  <si>
    <t>2297</t>
  </si>
  <si>
    <t>3116.27</t>
  </si>
  <si>
    <t>3137</t>
  </si>
  <si>
    <t>3476.99</t>
  </si>
  <si>
    <t>4623.60</t>
  </si>
  <si>
    <t>02/17/2011</t>
  </si>
  <si>
    <t>00-00-30-010D-0005-0010</t>
  </si>
  <si>
    <t>1736 LEWIS ST</t>
  </si>
  <si>
    <t>5256</t>
  </si>
  <si>
    <t>FIRST COMMUNITY BANK OF AMERICA</t>
  </si>
  <si>
    <t>512000.00</t>
  </si>
  <si>
    <t>03/01/2037</t>
  </si>
  <si>
    <t>DOBSON ERIN C</t>
  </si>
  <si>
    <t>6538 KINLOCK DR</t>
  </si>
  <si>
    <t>BLOCK 5 LOTS 1 &amp; 2 &amp;</t>
  </si>
  <si>
    <t>00-00-30-010D-0005-0030</t>
  </si>
  <si>
    <t>000030010D00050030</t>
  </si>
  <si>
    <t>1748 LEWIS ST</t>
  </si>
  <si>
    <t>59291.00</t>
  </si>
  <si>
    <t>10/01/2003</t>
  </si>
  <si>
    <t>GAFFNEY JOHNNY</t>
  </si>
  <si>
    <t>1748 LEWIS S</t>
  </si>
  <si>
    <t>BLOCK 5 LOT 3</t>
  </si>
  <si>
    <t>2632.49</t>
  </si>
  <si>
    <t>3427.77</t>
  </si>
  <si>
    <t>05/13/2011</t>
  </si>
  <si>
    <t>00-00-30-010D-0006-0020</t>
  </si>
  <si>
    <t>1720 LEWIS ST</t>
  </si>
  <si>
    <t>174100.00</t>
  </si>
  <si>
    <t>12/01/2037</t>
  </si>
  <si>
    <t>CINTRON EDWIN &amp; SHEA</t>
  </si>
  <si>
    <t>684 TIMBERMILL L</t>
  </si>
  <si>
    <t>BLOCK 6 LOT 2</t>
  </si>
  <si>
    <t>00-00-30-010D-0006-0040</t>
  </si>
  <si>
    <t>DOBSEN ERIN C</t>
  </si>
  <si>
    <t>BLOCK 6 LOT 4 &amp;</t>
  </si>
  <si>
    <t>00-00-30-010D-0011-0020</t>
  </si>
  <si>
    <t>000030010D00110020</t>
  </si>
  <si>
    <t>196000</t>
  </si>
  <si>
    <t>85500.00</t>
  </si>
  <si>
    <t>BLOCK 11 LOT 2</t>
  </si>
  <si>
    <t>876.18</t>
  </si>
  <si>
    <t>1410.23</t>
  </si>
  <si>
    <t>2302</t>
  </si>
  <si>
    <t>1427.20</t>
  </si>
  <si>
    <t>1650.64</t>
  </si>
  <si>
    <t>3142</t>
  </si>
  <si>
    <t>1840.46</t>
  </si>
  <si>
    <t>00-00-30-0120-0024-0000</t>
  </si>
  <si>
    <t>000030012000240000</t>
  </si>
  <si>
    <t>1827 8TH ST S</t>
  </si>
  <si>
    <t>144000</t>
  </si>
  <si>
    <t>ROWE CAROLYN G TRUSTEE OF</t>
  </si>
  <si>
    <t>85272 AMARYLLIS CT</t>
  </si>
  <si>
    <t>1488.48</t>
  </si>
  <si>
    <t>1238.06</t>
  </si>
  <si>
    <t>1663.17</t>
  </si>
  <si>
    <t>00-00-30-0131-0010-0000</t>
  </si>
  <si>
    <t>000030013100100000</t>
  </si>
  <si>
    <t>9574 HILDRETH LN</t>
  </si>
  <si>
    <t>3082</t>
  </si>
  <si>
    <t>419000</t>
  </si>
  <si>
    <t>417600.00</t>
  </si>
  <si>
    <t>LOGAN-AMELIA ISLAND LLC</t>
  </si>
  <si>
    <t>Wheelersburg</t>
  </si>
  <si>
    <t>45694</t>
  </si>
  <si>
    <t>7126.48</t>
  </si>
  <si>
    <t>7143.90</t>
  </si>
  <si>
    <t>4645.11</t>
  </si>
  <si>
    <t>4728.19</t>
  </si>
  <si>
    <t>00-00-30-0140-0011-0000</t>
  </si>
  <si>
    <t>000030-01400011-0000</t>
  </si>
  <si>
    <t>5021 KAREN ST</t>
  </si>
  <si>
    <t>EMBRICK MARK C &amp; STEPHANIE L</t>
  </si>
  <si>
    <t>382 ASHBOURNE TRAI</t>
  </si>
  <si>
    <t>30043</t>
  </si>
  <si>
    <t>LOTS 11 &amp; 12</t>
  </si>
  <si>
    <t>2133.13</t>
  </si>
  <si>
    <t>2060.13</t>
  </si>
  <si>
    <t>00-00-30-0150-0005-0000</t>
  </si>
  <si>
    <t>000030-01500005-0000</t>
  </si>
  <si>
    <t>779 ADAMS RD</t>
  </si>
  <si>
    <t>STURGES C MITCHELL EST &amp;</t>
  </si>
  <si>
    <t>517 EMANUEL CHURCH R</t>
  </si>
  <si>
    <t>Brunswick</t>
  </si>
  <si>
    <t>31523</t>
  </si>
  <si>
    <t>1876</t>
  </si>
  <si>
    <t>1652.91</t>
  </si>
  <si>
    <t>00-00-30-0170-0009-0000</t>
  </si>
  <si>
    <t>000030017000090000</t>
  </si>
  <si>
    <t>847 CASHEN DR</t>
  </si>
  <si>
    <t>ALEXANDER TERRY &amp;</t>
  </si>
  <si>
    <t>847 CASHEN D</t>
  </si>
  <si>
    <t>1104.66</t>
  </si>
  <si>
    <t>817.12</t>
  </si>
  <si>
    <t>692.59</t>
  </si>
  <si>
    <t>2308</t>
  </si>
  <si>
    <t>702.69</t>
  </si>
  <si>
    <t>3153</t>
  </si>
  <si>
    <t>216.06</t>
  </si>
  <si>
    <t>00-00-30-0174-0036-0000</t>
  </si>
  <si>
    <t>000030017400360000</t>
  </si>
  <si>
    <t>2018 CASHEN WOOD DR</t>
  </si>
  <si>
    <t>DAVID F SR MILLER</t>
  </si>
  <si>
    <t>3300.00</t>
  </si>
  <si>
    <t>02/14/2007</t>
  </si>
  <si>
    <t>QUINN TAMMY B</t>
  </si>
  <si>
    <t>2018 CASHENWOOD D</t>
  </si>
  <si>
    <t>LOT 36   OR 575/1005</t>
  </si>
  <si>
    <t>1683.25</t>
  </si>
  <si>
    <t>1695.97</t>
  </si>
  <si>
    <t>1949</t>
  </si>
  <si>
    <t>1686.85</t>
  </si>
  <si>
    <t>1579.68</t>
  </si>
  <si>
    <t>2311</t>
  </si>
  <si>
    <t>1564.33</t>
  </si>
  <si>
    <t>1521.63</t>
  </si>
  <si>
    <t>2991</t>
  </si>
  <si>
    <t>1437.39</t>
  </si>
  <si>
    <t>00-00-30-0174-0051-0000</t>
  </si>
  <si>
    <t>2361 CASHEN WOOD DR</t>
  </si>
  <si>
    <t>93900</t>
  </si>
  <si>
    <t>01/03/2030</t>
  </si>
  <si>
    <t>LEYENDECKER RONALD N</t>
  </si>
  <si>
    <t>2361 CASHENWOOD DRIV</t>
  </si>
  <si>
    <t>00-00-30-019C-0021-0000</t>
  </si>
  <si>
    <t>4749 ST MARC CT</t>
  </si>
  <si>
    <t>205000</t>
  </si>
  <si>
    <t>11/25/2040</t>
  </si>
  <si>
    <t>NABORS ANDREW</t>
  </si>
  <si>
    <t>4749 ST MARC CT UNIT 2</t>
  </si>
  <si>
    <t>UNIT 21</t>
  </si>
  <si>
    <t>00-00-30-019C-0030-0000</t>
  </si>
  <si>
    <t>4762 ST MARC CT</t>
  </si>
  <si>
    <t>38400</t>
  </si>
  <si>
    <t>FEDERAL TRUST BANK</t>
  </si>
  <si>
    <t>4762 ST MARC CT LAND TRUST</t>
  </si>
  <si>
    <t>4762 ST MARC CT LAND TRUSTHIGHLINK LLC TRUSTEE4745 SUTTON PARK CT #60</t>
  </si>
  <si>
    <t>UNIT 30</t>
  </si>
  <si>
    <t>00-00-30-019C-0050-0000</t>
  </si>
  <si>
    <t>000030019C00500000</t>
  </si>
  <si>
    <t>4814 WESTWIND CT</t>
  </si>
  <si>
    <t>FIRST NATIONAL BANK OF NASSAU COUNTY</t>
  </si>
  <si>
    <t>THARIN RUSSELL JR &amp; JANET</t>
  </si>
  <si>
    <t>4814 WESTWIND C</t>
  </si>
  <si>
    <t>UNIT 50</t>
  </si>
  <si>
    <t>1052.80</t>
  </si>
  <si>
    <t>01/21/2014</t>
  </si>
  <si>
    <t>00-00-30-0200-0002-0000</t>
  </si>
  <si>
    <t>105 DRURY RD</t>
  </si>
  <si>
    <t>DRURY LINDA DARLENE</t>
  </si>
  <si>
    <t>2732 EASTWOOD D</t>
  </si>
  <si>
    <t>Decatur</t>
  </si>
  <si>
    <t>30032</t>
  </si>
  <si>
    <t>00-00-30-0200-0004-0000</t>
  </si>
  <si>
    <t>000030-02000004-0000</t>
  </si>
  <si>
    <t>1889 DRURY RD</t>
  </si>
  <si>
    <t>KIMBALL BEVERLY ANN EST</t>
  </si>
  <si>
    <t>1889 DRURY R</t>
  </si>
  <si>
    <t>876.73</t>
  </si>
  <si>
    <t>896.98</t>
  </si>
  <si>
    <t>00-00-30-0220-0002-0000</t>
  </si>
  <si>
    <t>000030022000020000</t>
  </si>
  <si>
    <t>IAN DR</t>
  </si>
  <si>
    <t>HOWE GLYNOVA J</t>
  </si>
  <si>
    <t>300 WOODLAKE D</t>
  </si>
  <si>
    <t>Newnan</t>
  </si>
  <si>
    <t>30265</t>
  </si>
  <si>
    <t>306.73</t>
  </si>
  <si>
    <t>291.57</t>
  </si>
  <si>
    <t>294.87</t>
  </si>
  <si>
    <t>00-00-30-0220-0004-0000</t>
  </si>
  <si>
    <t>000030022000040000</t>
  </si>
  <si>
    <t>00-00-30-0220-0015-0000</t>
  </si>
  <si>
    <t>000030022000150000</t>
  </si>
  <si>
    <t>1521 IAN DR</t>
  </si>
  <si>
    <t>SALARY HENRY M &amp; MARVA J</t>
  </si>
  <si>
    <t>6825 RHODE ISLAND DR</t>
  </si>
  <si>
    <t>LOTS 15 &amp; 17</t>
  </si>
  <si>
    <t>00-00-30-024B-0045-0000</t>
  </si>
  <si>
    <t>000030024B00450000</t>
  </si>
  <si>
    <t>1447 HOLLY DR</t>
  </si>
  <si>
    <t>HENDERSON FRANCES E EST</t>
  </si>
  <si>
    <t>1447 HOLLY D</t>
  </si>
  <si>
    <t>1179.80</t>
  </si>
  <si>
    <t>1147.06</t>
  </si>
  <si>
    <t>1020.82</t>
  </si>
  <si>
    <t>921.51</t>
  </si>
  <si>
    <t>702.77</t>
  </si>
  <si>
    <t>00-00-30-0250-0055-0000</t>
  </si>
  <si>
    <t>000030025000550000</t>
  </si>
  <si>
    <t>5332 FLORENCE POINT DR</t>
  </si>
  <si>
    <t>2380</t>
  </si>
  <si>
    <t>54820.00</t>
  </si>
  <si>
    <t>01/08/2032</t>
  </si>
  <si>
    <t>EDMONDSON JOHN STEPHEN</t>
  </si>
  <si>
    <t>6539 FAIRLAWN DRIV</t>
  </si>
  <si>
    <t>Mclean</t>
  </si>
  <si>
    <t>22101</t>
  </si>
  <si>
    <t>1962</t>
  </si>
  <si>
    <t>3415.96</t>
  </si>
  <si>
    <t>2048</t>
  </si>
  <si>
    <t>3043.31</t>
  </si>
  <si>
    <t>00-00-30-026G-201A-0000</t>
  </si>
  <si>
    <t>000030026G201A0000</t>
  </si>
  <si>
    <t>961687 GATEWAY BLVD 201A</t>
  </si>
  <si>
    <t>94000</t>
  </si>
  <si>
    <t>121 FINANCIAL CU</t>
  </si>
  <si>
    <t>53500.00</t>
  </si>
  <si>
    <t>SHACKLEFORD ROBERT</t>
  </si>
  <si>
    <t>31255 PARADISE COMMONS #91</t>
  </si>
  <si>
    <t>UNIT 201A</t>
  </si>
  <si>
    <t>2052.89</t>
  </si>
  <si>
    <t>1624.43</t>
  </si>
  <si>
    <t>00-00-30-026G-201H-0000</t>
  </si>
  <si>
    <t>000030026G201H0000</t>
  </si>
  <si>
    <t>961687 GATEWAY BLVD 201H</t>
  </si>
  <si>
    <t>387500</t>
  </si>
  <si>
    <t>WIDE SKY PROPERTIES LLC</t>
  </si>
  <si>
    <t>961687 GATEWAY BLVD  STE 201-</t>
  </si>
  <si>
    <t>UNIT 201H</t>
  </si>
  <si>
    <t>3053.17</t>
  </si>
  <si>
    <t>2695.14</t>
  </si>
  <si>
    <t>2055</t>
  </si>
  <si>
    <t>2365.31</t>
  </si>
  <si>
    <t>2334</t>
  </si>
  <si>
    <t>2393.99</t>
  </si>
  <si>
    <t>2425.85</t>
  </si>
  <si>
    <t>3177</t>
  </si>
  <si>
    <t>2864.45</t>
  </si>
  <si>
    <t>3001</t>
  </si>
  <si>
    <t>3497.73</t>
  </si>
  <si>
    <t>00-00-30-0280-0016-0000</t>
  </si>
  <si>
    <t>000030028000160000</t>
  </si>
  <si>
    <t>AVERY RD</t>
  </si>
  <si>
    <t>BROWN MERLIN A &amp;</t>
  </si>
  <si>
    <t>5018 LINCOLN CIRCLE SOUT</t>
  </si>
  <si>
    <t>LOT 16       IN OR 953/1544</t>
  </si>
  <si>
    <t>3179</t>
  </si>
  <si>
    <t>350.95</t>
  </si>
  <si>
    <t>00-00-30-0280-0017-0000</t>
  </si>
  <si>
    <t>000030028000170000</t>
  </si>
  <si>
    <t>1477 AVERY RD</t>
  </si>
  <si>
    <t>SAUNDERS MONICA L &amp; RONNIE L</t>
  </si>
  <si>
    <t>342 GOODWIN STREE</t>
  </si>
  <si>
    <t>305.60</t>
  </si>
  <si>
    <t>305.23</t>
  </si>
  <si>
    <t>03/25/2016</t>
  </si>
  <si>
    <t>350.29</t>
  </si>
  <si>
    <t>3180</t>
  </si>
  <si>
    <t>00-00-30-0280-0018-0000</t>
  </si>
  <si>
    <t>000030028000180000</t>
  </si>
  <si>
    <t>1450 AVERY RD</t>
  </si>
  <si>
    <t>HARRIS IAN C &amp;</t>
  </si>
  <si>
    <t>1280 NW 58TH T</t>
  </si>
  <si>
    <t>Sunrise</t>
  </si>
  <si>
    <t>33313</t>
  </si>
  <si>
    <t>1233.46</t>
  </si>
  <si>
    <t>1228.49</t>
  </si>
  <si>
    <t>1157.08</t>
  </si>
  <si>
    <t>05/02/2017</t>
  </si>
  <si>
    <t>953.92</t>
  </si>
  <si>
    <t>969.59</t>
  </si>
  <si>
    <t>04/01/2015</t>
  </si>
  <si>
    <t>1040.84</t>
  </si>
  <si>
    <t>3181</t>
  </si>
  <si>
    <t>1167.36</t>
  </si>
  <si>
    <t>1444.10</t>
  </si>
  <si>
    <t>00-00-30-0280-0022-0000</t>
  </si>
  <si>
    <t>000030028000220000</t>
  </si>
  <si>
    <t>FRANK MORGAN</t>
  </si>
  <si>
    <t>01/01/2013</t>
  </si>
  <si>
    <t>YOUNG-SMITH JOYCE</t>
  </si>
  <si>
    <t>1916 WEST 20TH STREE</t>
  </si>
  <si>
    <t>LOTS 22 &amp; 24</t>
  </si>
  <si>
    <t>814.61</t>
  </si>
  <si>
    <t>822.68</t>
  </si>
  <si>
    <t>784.07</t>
  </si>
  <si>
    <t>793.40</t>
  </si>
  <si>
    <t>798.36</t>
  </si>
  <si>
    <t>3182</t>
  </si>
  <si>
    <t>797.29</t>
  </si>
  <si>
    <t>720.87</t>
  </si>
  <si>
    <t>00-00-30-028V-0003-03B0</t>
  </si>
  <si>
    <t>95024 BARCLAY PL 3B</t>
  </si>
  <si>
    <t>1908</t>
  </si>
  <si>
    <t>397500.00</t>
  </si>
  <si>
    <t>01/12/2090</t>
  </si>
  <si>
    <t>CALDWELL SARAH A</t>
  </si>
  <si>
    <t>95024 BARCLAY PL UNIT</t>
  </si>
  <si>
    <t>BLDG 3 UNIT 3B</t>
  </si>
  <si>
    <t>00-00-30-0290-0001-0020</t>
  </si>
  <si>
    <t>000030029000010020</t>
  </si>
  <si>
    <t>2622 BAILEY RD</t>
  </si>
  <si>
    <t>SLY 95 FT OF LOTS 1 &amp; 2</t>
  </si>
  <si>
    <t>1293.84</t>
  </si>
  <si>
    <t>1321.52</t>
  </si>
  <si>
    <t>1345.18</t>
  </si>
  <si>
    <t>2063</t>
  </si>
  <si>
    <t>1348.33</t>
  </si>
  <si>
    <t>1367.53</t>
  </si>
  <si>
    <t>05/09/2014</t>
  </si>
  <si>
    <t>1411.11</t>
  </si>
  <si>
    <t>1597.58</t>
  </si>
  <si>
    <t>00-00-30-031B-0011-0000</t>
  </si>
  <si>
    <t>000030-031B0011-0000</t>
  </si>
  <si>
    <t>1726 BLUE HERON LN</t>
  </si>
  <si>
    <t>HILL ERNEST R SR TRUSTEE</t>
  </si>
  <si>
    <t>1726 BLUE HERON LAN</t>
  </si>
  <si>
    <t>843.80</t>
  </si>
  <si>
    <t>12/07/2016</t>
  </si>
  <si>
    <t>00-00-30-031B-0023-0000</t>
  </si>
  <si>
    <t>000030031B00230000</t>
  </si>
  <si>
    <t>1711 BLUE HERON LN</t>
  </si>
  <si>
    <t>59600</t>
  </si>
  <si>
    <t>117600.00</t>
  </si>
  <si>
    <t>BARRY MICHAEL D &amp; LAUREN L</t>
  </si>
  <si>
    <t>1711 BLUE HERON LAN</t>
  </si>
  <si>
    <t>LOT 23       OR 489/207</t>
  </si>
  <si>
    <t>1899</t>
  </si>
  <si>
    <t>611.22</t>
  </si>
  <si>
    <t>2346</t>
  </si>
  <si>
    <t>576.69</t>
  </si>
  <si>
    <t>541.35</t>
  </si>
  <si>
    <t>00-00-30-0320-0006-0000</t>
  </si>
  <si>
    <t>732 KENNETH CT</t>
  </si>
  <si>
    <t>04/05/2026</t>
  </si>
  <si>
    <t>DUBBERLY JAMES C &amp; LAURA C</t>
  </si>
  <si>
    <t>95239 AMELIA NATIONAL PKW</t>
  </si>
  <si>
    <t>1902</t>
  </si>
  <si>
    <t>1863.84</t>
  </si>
  <si>
    <t>00-00-30-034B-0007-0020</t>
  </si>
  <si>
    <t>000030034B00070020</t>
  </si>
  <si>
    <t>W PETERS RD</t>
  </si>
  <si>
    <t>380000</t>
  </si>
  <si>
    <t>SHAVE JON</t>
  </si>
  <si>
    <t>801 PARKVIEW PLACE EAS</t>
  </si>
  <si>
    <t>31-3N-28</t>
  </si>
  <si>
    <t>3034.48</t>
  </si>
  <si>
    <t>3079.41</t>
  </si>
  <si>
    <t>4163.42</t>
  </si>
  <si>
    <t>3942.82</t>
  </si>
  <si>
    <t>2355</t>
  </si>
  <si>
    <t>3990.80</t>
  </si>
  <si>
    <t>4049.49</t>
  </si>
  <si>
    <t>4570.86</t>
  </si>
  <si>
    <t>00-00-30-034B-0018-0000</t>
  </si>
  <si>
    <t>1940 SYCAMORE LN</t>
  </si>
  <si>
    <t>8338</t>
  </si>
  <si>
    <t>340000</t>
  </si>
  <si>
    <t>FIRST FEDERAL SAVINGS BANK OF FLORIDA</t>
  </si>
  <si>
    <t>806000.00</t>
  </si>
  <si>
    <t>DAVIS JOHN L &amp; BETTE M</t>
  </si>
  <si>
    <t>1940 SYCAMORE L</t>
  </si>
  <si>
    <t>LOTS 18 &amp; 17 &amp;</t>
  </si>
  <si>
    <t>18051.91</t>
  </si>
  <si>
    <t>00-00-30-034C-0002-0000</t>
  </si>
  <si>
    <t>000030034C00020000</t>
  </si>
  <si>
    <t>515 J I TAYLOR CT</t>
  </si>
  <si>
    <t>FULLWOOD SHERMAN ROBERT L/E</t>
  </si>
  <si>
    <t>515 J I TAYLOR C</t>
  </si>
  <si>
    <t>1130.16</t>
  </si>
  <si>
    <t>00-00-30-0360-0005-0000</t>
  </si>
  <si>
    <t>000030036000050000</t>
  </si>
  <si>
    <t>FIRST COAST HWY</t>
  </si>
  <si>
    <t>0.91</t>
  </si>
  <si>
    <t>525000</t>
  </si>
  <si>
    <t>REGIONS BANK</t>
  </si>
  <si>
    <t>1000000.00</t>
  </si>
  <si>
    <t>SMITH CHARLES L &amp; BETH L</t>
  </si>
  <si>
    <t>95044 SPRING TIDE L</t>
  </si>
  <si>
    <t>7024.85</t>
  </si>
  <si>
    <t>00-00-30-0380-0041-0000</t>
  </si>
  <si>
    <t>000030038000410000</t>
  </si>
  <si>
    <t>2327 AMELIA RD</t>
  </si>
  <si>
    <t>89251.00</t>
  </si>
  <si>
    <t>ROWLAND JANAN LYNN</t>
  </si>
  <si>
    <t>2327 AMELIA ROA</t>
  </si>
  <si>
    <t>1101.55</t>
  </si>
  <si>
    <t>1026.85</t>
  </si>
  <si>
    <t>1070.92</t>
  </si>
  <si>
    <t>3194</t>
  </si>
  <si>
    <t>1317.54</t>
  </si>
  <si>
    <t>00-00-30-0380-0042-0000</t>
  </si>
  <si>
    <t>000030038000420000</t>
  </si>
  <si>
    <t>2311 AMELIA RD</t>
  </si>
  <si>
    <t>ROWLAND JANAN L &amp;</t>
  </si>
  <si>
    <t>LOT 42</t>
  </si>
  <si>
    <t>636.00</t>
  </si>
  <si>
    <t>549.10</t>
  </si>
  <si>
    <t>3195</t>
  </si>
  <si>
    <t>610.49</t>
  </si>
  <si>
    <t>683.66</t>
  </si>
  <si>
    <t>00-00-30-042C-000E-0050</t>
  </si>
  <si>
    <t>1954 CLINCH DR</t>
  </si>
  <si>
    <t>110000.00</t>
  </si>
  <si>
    <t>10/01/2021</t>
  </si>
  <si>
    <t>HOMEFREE PROPERTY SOLUTIONSLLC</t>
  </si>
  <si>
    <t>339 PARKVIEW AV</t>
  </si>
  <si>
    <t>Gaithersburg</t>
  </si>
  <si>
    <t>20878</t>
  </si>
  <si>
    <t>BLOCK E S1/2 OF LOT 5 &amp;</t>
  </si>
  <si>
    <t>00-00-30-042C-000G-0060</t>
  </si>
  <si>
    <t>000030042C000G0060</t>
  </si>
  <si>
    <t>769 MOURNING DOVE LN</t>
  </si>
  <si>
    <t>HOMESIDE LENDING INC</t>
  </si>
  <si>
    <t>40200.00</t>
  </si>
  <si>
    <t>HASPEL ROY L</t>
  </si>
  <si>
    <t>769 MOURNING DOVE L</t>
  </si>
  <si>
    <t>BLOCK G LOT 6</t>
  </si>
  <si>
    <t>1418.69</t>
  </si>
  <si>
    <t>00-00-30-042C-000G-0080</t>
  </si>
  <si>
    <t>000030042C000G0080</t>
  </si>
  <si>
    <t>1963 OAK DR</t>
  </si>
  <si>
    <t>HICKS KENNETH D</t>
  </si>
  <si>
    <t>1963 OAK D</t>
  </si>
  <si>
    <t>BLOCK G LOT 8 RP 2060</t>
  </si>
  <si>
    <t>1005.54</t>
  </si>
  <si>
    <t>977.96</t>
  </si>
  <si>
    <t>755.96</t>
  </si>
  <si>
    <t>222.53</t>
  </si>
  <si>
    <t>2864</t>
  </si>
  <si>
    <t>180.24</t>
  </si>
  <si>
    <t>3169</t>
  </si>
  <si>
    <t>150.83</t>
  </si>
  <si>
    <t>00-00-30-042D-000M-0050</t>
  </si>
  <si>
    <t>000030042D000M0050</t>
  </si>
  <si>
    <t>1888 PINE DR</t>
  </si>
  <si>
    <t>32416.00</t>
  </si>
  <si>
    <t>11/21/2001</t>
  </si>
  <si>
    <t>GIBSON NANCY</t>
  </si>
  <si>
    <t>2202 WILL HARDEE ROA</t>
  </si>
  <si>
    <t>BLOCK M LOT 5 &amp; S 15' OF LOT 1</t>
  </si>
  <si>
    <t>1058.90</t>
  </si>
  <si>
    <t>08/19/2016</t>
  </si>
  <si>
    <t>00-00-30-042D-000N-0050</t>
  </si>
  <si>
    <t>000030042D000N0050</t>
  </si>
  <si>
    <t>1893 PALM DR</t>
  </si>
  <si>
    <t>101500</t>
  </si>
  <si>
    <t>BNY MORTGAGE COMPANY LLC</t>
  </si>
  <si>
    <t>172500.00</t>
  </si>
  <si>
    <t>03/16/2005</t>
  </si>
  <si>
    <t>09/09/2090</t>
  </si>
  <si>
    <t>DRURY JOHNNY C EST</t>
  </si>
  <si>
    <t>1893 PALM DRIV</t>
  </si>
  <si>
    <t>BLOCK N LOT 5</t>
  </si>
  <si>
    <t>909.62</t>
  </si>
  <si>
    <t>3204</t>
  </si>
  <si>
    <t>964.14</t>
  </si>
  <si>
    <t>3050</t>
  </si>
  <si>
    <t>920.96</t>
  </si>
  <si>
    <t>00-00-30-042D-000P-0060</t>
  </si>
  <si>
    <t>000030042D000P0060</t>
  </si>
  <si>
    <t>749 WAX WING LN</t>
  </si>
  <si>
    <t>TAYLOR JIMMY M</t>
  </si>
  <si>
    <t>749 WAX WING LAN</t>
  </si>
  <si>
    <t>BLOCK P LOT 6</t>
  </si>
  <si>
    <t>2086</t>
  </si>
  <si>
    <t>573.80</t>
  </si>
  <si>
    <t>553.41</t>
  </si>
  <si>
    <t>3051</t>
  </si>
  <si>
    <t>537.88</t>
  </si>
  <si>
    <t>00-00-30-042D-000P-0070</t>
  </si>
  <si>
    <t>000030042D000P0070</t>
  </si>
  <si>
    <t>761 WAX WING LN</t>
  </si>
  <si>
    <t>KILGORE GEORGE B &amp; (ROS)</t>
  </si>
  <si>
    <t>507 SOUTH 17TH S</t>
  </si>
  <si>
    <t>BLOCK P LOT 7 RP 177</t>
  </si>
  <si>
    <t>1913</t>
  </si>
  <si>
    <t>777.31</t>
  </si>
  <si>
    <t>598.15</t>
  </si>
  <si>
    <t>3206</t>
  </si>
  <si>
    <t>776.17</t>
  </si>
  <si>
    <t>00-00-30-042D-000P-0080</t>
  </si>
  <si>
    <t>000030042D000P0080</t>
  </si>
  <si>
    <t>773 WAX WING LN</t>
  </si>
  <si>
    <t>49000</t>
  </si>
  <si>
    <t>06/17/1999</t>
  </si>
  <si>
    <t>COLON MICHAEL A</t>
  </si>
  <si>
    <t>BLOCK P LOT 8</t>
  </si>
  <si>
    <t>840.97</t>
  </si>
  <si>
    <t>640.02</t>
  </si>
  <si>
    <t>606.62</t>
  </si>
  <si>
    <t>925.76</t>
  </si>
  <si>
    <t>1051.11</t>
  </si>
  <si>
    <t>1177.78</t>
  </si>
  <si>
    <t>00-00-30-0438-0003-0000</t>
  </si>
  <si>
    <t>000030043800030000</t>
  </si>
  <si>
    <t>95580 BURNEY RD</t>
  </si>
  <si>
    <t>5907</t>
  </si>
  <si>
    <t>12/09/2008</t>
  </si>
  <si>
    <t>LOTS 3 &amp; 4   IN OR 1035/804</t>
  </si>
  <si>
    <t>11777.98</t>
  </si>
  <si>
    <t>1929</t>
  </si>
  <si>
    <t>12040.15</t>
  </si>
  <si>
    <t>11428.28</t>
  </si>
  <si>
    <t>10809.53</t>
  </si>
  <si>
    <t>2361</t>
  </si>
  <si>
    <t>10998.71</t>
  </si>
  <si>
    <t>11769.94</t>
  </si>
  <si>
    <t>3208</t>
  </si>
  <si>
    <t>11825.53</t>
  </si>
  <si>
    <t>00-00-30-043C-0013-0000</t>
  </si>
  <si>
    <t>000030043C00130000</t>
  </si>
  <si>
    <t>2117 OAK BLUFF CT</t>
  </si>
  <si>
    <t>10/11/2007</t>
  </si>
  <si>
    <t>KELLEY MARY JO L/E</t>
  </si>
  <si>
    <t>2117 OAK BLUFF COUR</t>
  </si>
  <si>
    <t>3152.05</t>
  </si>
  <si>
    <t>3166.95</t>
  </si>
  <si>
    <t>2928.02</t>
  </si>
  <si>
    <t>00-00-30-0440-0001-0000</t>
  </si>
  <si>
    <t>2950 RIVERBEND WALK</t>
  </si>
  <si>
    <t>SUMMERWOODS OF AMELIA ISLAND</t>
  </si>
  <si>
    <t>3675 PINE S</t>
  </si>
  <si>
    <t>00-00-30-0440-0002-0000</t>
  </si>
  <si>
    <t>2946 RIVERBEND WALK</t>
  </si>
  <si>
    <t>00-00-30-0440-0003-0000</t>
  </si>
  <si>
    <t>2942 RIVERBEND WALK</t>
  </si>
  <si>
    <t>00-00-30-0440-0004-0000</t>
  </si>
  <si>
    <t>2938 RIVERBEND WALK</t>
  </si>
  <si>
    <t>00-00-30-0440-0005-0000</t>
  </si>
  <si>
    <t>2934 RIVERBEND WALK</t>
  </si>
  <si>
    <t>00-00-30-0440-0008-0000</t>
  </si>
  <si>
    <t>2922 RIVERBEND WALK</t>
  </si>
  <si>
    <t>00-00-30-0440-0009-0000</t>
  </si>
  <si>
    <t>2918 RIVERBEND WALK</t>
  </si>
  <si>
    <t>00-00-30-0440-0010-0000</t>
  </si>
  <si>
    <t>2914 RIVERBEND WALK</t>
  </si>
  <si>
    <t>00-00-30-0440-0011-0000</t>
  </si>
  <si>
    <t>2910 RIVERBEND WALK</t>
  </si>
  <si>
    <t>00-00-30-0440-0012-0000</t>
  </si>
  <si>
    <t>2906 RIVERBEND WALK</t>
  </si>
  <si>
    <t>00-00-30-0440-0013-0000</t>
  </si>
  <si>
    <t>2901 RIVERBEND WALK</t>
  </si>
  <si>
    <t>00-00-30-0440-0014-0000</t>
  </si>
  <si>
    <t>2905 RIVERBEND WALK</t>
  </si>
  <si>
    <t>00-00-30-0440-0015-0000</t>
  </si>
  <si>
    <t>2909 RIVERBEND WALK</t>
  </si>
  <si>
    <t>00-00-30-0440-0016-0000</t>
  </si>
  <si>
    <t>2913 RIVERBEND WALK</t>
  </si>
  <si>
    <t>00-00-30-0440-0017-0000</t>
  </si>
  <si>
    <t>2917 RIVERBEND WALK</t>
  </si>
  <si>
    <t>00-00-30-0440-0018-0000</t>
  </si>
  <si>
    <t>2921 RIVERBEND WALK</t>
  </si>
  <si>
    <t>00-00-30-0440-0019-0000</t>
  </si>
  <si>
    <t>2925 RIVERBEND WALK</t>
  </si>
  <si>
    <t>00-00-30-0440-0020-0000</t>
  </si>
  <si>
    <t>2929 RIVERBEND WALK</t>
  </si>
  <si>
    <t>00-00-30-0440-0021-0000</t>
  </si>
  <si>
    <t>2933 RIVERBEND WALK</t>
  </si>
  <si>
    <t>00-00-30-0440-0022-0000</t>
  </si>
  <si>
    <t>2937 RIVERBEND WALK</t>
  </si>
  <si>
    <t>00-00-30-0440-0024-0000</t>
  </si>
  <si>
    <t>2945 RIVERBEND WALK</t>
  </si>
  <si>
    <t>00-00-30-0440-0025-0000</t>
  </si>
  <si>
    <t>2949 RIVERBEND WALK</t>
  </si>
  <si>
    <t>00-00-30-0440-0026-0000</t>
  </si>
  <si>
    <t>2953 RIVERBEND WALK</t>
  </si>
  <si>
    <t>00-00-30-0440-0028-0000</t>
  </si>
  <si>
    <t>2961 RIVERBEND WALK</t>
  </si>
  <si>
    <t>00-00-30-0440-0029-0000</t>
  </si>
  <si>
    <t>2965 RIVERBEND WALK</t>
  </si>
  <si>
    <t>00-00-30-0440-0030-0000</t>
  </si>
  <si>
    <t>2969 RIVERBEND WALK</t>
  </si>
  <si>
    <t>00-00-30-0440-0033-0000</t>
  </si>
  <si>
    <t>2980 RIVERBEND WALK</t>
  </si>
  <si>
    <t>LOT 33</t>
  </si>
  <si>
    <t>00-00-30-044A-0004-0030</t>
  </si>
  <si>
    <t>3030 AMELIA RD</t>
  </si>
  <si>
    <t>WASHINGTON MUTUAL BANK FA</t>
  </si>
  <si>
    <t>05/01/2035</t>
  </si>
  <si>
    <t>PATEL LISA</t>
  </si>
  <si>
    <t>3030 AMELIA ROA</t>
  </si>
  <si>
    <t>3-2N-28 PT OF LOT 4</t>
  </si>
  <si>
    <t>1353.35</t>
  </si>
  <si>
    <t>00-00-30-044A-0025-0030</t>
  </si>
  <si>
    <t>000030-044A0025-0030</t>
  </si>
  <si>
    <t>2863 SEMINOLE AV</t>
  </si>
  <si>
    <t>2610000</t>
  </si>
  <si>
    <t>OCEAN BREEZE OF AMELIA LLC</t>
  </si>
  <si>
    <t>414 OLD HARD RD STE 50</t>
  </si>
  <si>
    <t>PT LOT 25 IN OR 1926/1880</t>
  </si>
  <si>
    <t>1143.49</t>
  </si>
  <si>
    <t>813.71</t>
  </si>
  <si>
    <t>00-00-30-044B-0028-0010</t>
  </si>
  <si>
    <t>AMELIA RD</t>
  </si>
  <si>
    <t>6.03</t>
  </si>
  <si>
    <t>360000</t>
  </si>
  <si>
    <t>FIRST FRANKLIN FINANCIAL CORP</t>
  </si>
  <si>
    <t>89500.00</t>
  </si>
  <si>
    <t>THE ASPIRE AT AMELIA II LLC</t>
  </si>
  <si>
    <t>260 PEACHTREE ST NW STE 270</t>
  </si>
  <si>
    <t>30303</t>
  </si>
  <si>
    <t>PT LOT 28 (S-1)</t>
  </si>
  <si>
    <t>292.42</t>
  </si>
  <si>
    <t>00-00-30-044B-0028-0012</t>
  </si>
  <si>
    <t>3017 AMELIA RD</t>
  </si>
  <si>
    <t>4059</t>
  </si>
  <si>
    <t>940000</t>
  </si>
  <si>
    <t>DBA DITECH.COM</t>
  </si>
  <si>
    <t>3017 AMELIA R</t>
  </si>
  <si>
    <t>PT LOT 28</t>
  </si>
  <si>
    <t>4884.10</t>
  </si>
  <si>
    <t>00-00-30-044B-0028-0014</t>
  </si>
  <si>
    <t>3021 AMELIA RD</t>
  </si>
  <si>
    <t>3021 AMELIA ROA</t>
  </si>
  <si>
    <t>PT OF LOT 28</t>
  </si>
  <si>
    <t>2648.55</t>
  </si>
  <si>
    <t>00-00-30-044B-0091-0020</t>
  </si>
  <si>
    <t>000030044B00910020</t>
  </si>
  <si>
    <t>2634 MIDWAY RD</t>
  </si>
  <si>
    <t>49800</t>
  </si>
  <si>
    <t>FIRST UNION MORTGAGE</t>
  </si>
  <si>
    <t>47250.00</t>
  </si>
  <si>
    <t>03/14/2001</t>
  </si>
  <si>
    <t>FRENCH DEAN D</t>
  </si>
  <si>
    <t>903 AMELIA D</t>
  </si>
  <si>
    <t>5-2N-28 S-2 PT OF LOTS 91 &amp; 92</t>
  </si>
  <si>
    <t>1013.65</t>
  </si>
  <si>
    <t>11/05/2015</t>
  </si>
  <si>
    <t>918.90</t>
  </si>
  <si>
    <t>2367</t>
  </si>
  <si>
    <t>944.85</t>
  </si>
  <si>
    <t>1053.43</t>
  </si>
  <si>
    <t>3216</t>
  </si>
  <si>
    <t>1201.95</t>
  </si>
  <si>
    <t>00-00-30-044B-0093-0000</t>
  </si>
  <si>
    <t>000030044B00930000</t>
  </si>
  <si>
    <t>2619 MIDWAY RD</t>
  </si>
  <si>
    <t>3498</t>
  </si>
  <si>
    <t>O'CONNER JAMES PRATT &amp;</t>
  </si>
  <si>
    <t>PO BOX 471</t>
  </si>
  <si>
    <t>E 1/2 OF LOT 93</t>
  </si>
  <si>
    <t>7815.14</t>
  </si>
  <si>
    <t>7968.79</t>
  </si>
  <si>
    <t>2097</t>
  </si>
  <si>
    <t>8709.13</t>
  </si>
  <si>
    <t>8658.20</t>
  </si>
  <si>
    <t>9044.62</t>
  </si>
  <si>
    <t>3217</t>
  </si>
  <si>
    <t>10021.73</t>
  </si>
  <si>
    <t>11174.71</t>
  </si>
  <si>
    <t>00-00-30-044D-0032-0000</t>
  </si>
  <si>
    <t>2840 SEA GRAPE NORTH DR</t>
  </si>
  <si>
    <t>344000</t>
  </si>
  <si>
    <t>D S WARE HOMES LLC</t>
  </si>
  <si>
    <t>6101 GAZEBO PARK PL N STE 10</t>
  </si>
  <si>
    <t>00-00-30-046F-0024-0000</t>
  </si>
  <si>
    <t>1638 OCEAN FOREST DR</t>
  </si>
  <si>
    <t>435000</t>
  </si>
  <si>
    <t>SINGLETON BRIAN</t>
  </si>
  <si>
    <t>1638 OCEAN FOREST D</t>
  </si>
  <si>
    <t>00-00-30-0513-0029-0000</t>
  </si>
  <si>
    <t>000030-05130029-0000</t>
  </si>
  <si>
    <t>PLANTATION OAKS LN</t>
  </si>
  <si>
    <t>THOMSON MARK S &amp; DENISE</t>
  </si>
  <si>
    <t>Bunnell</t>
  </si>
  <si>
    <t>32110</t>
  </si>
  <si>
    <t>1170.73</t>
  </si>
  <si>
    <t>00-00-30-0540-0006-0000</t>
  </si>
  <si>
    <t>000030054000060000</t>
  </si>
  <si>
    <t>2040 RAYON RD</t>
  </si>
  <si>
    <t>BARNARD CODY A L/E</t>
  </si>
  <si>
    <t>LOTS 6 &amp; 8</t>
  </si>
  <si>
    <t>882.28</t>
  </si>
  <si>
    <t>885.02</t>
  </si>
  <si>
    <t>00-00-30-056O-0021-0000</t>
  </si>
  <si>
    <t>000030056O00210000</t>
  </si>
  <si>
    <t>ROWAN OAK</t>
  </si>
  <si>
    <t>ROWAN RIC &amp; SHARON M</t>
  </si>
  <si>
    <t>27500.00</t>
  </si>
  <si>
    <t>04/07/1999</t>
  </si>
  <si>
    <t>1462.15</t>
  </si>
  <si>
    <t>1410.64</t>
  </si>
  <si>
    <t>3224</t>
  </si>
  <si>
    <t>1702.74</t>
  </si>
  <si>
    <t>00-00-30-056O-0022-0000</t>
  </si>
  <si>
    <t>195 ROWAN OAK PL</t>
  </si>
  <si>
    <t>4173</t>
  </si>
  <si>
    <t>430000</t>
  </si>
  <si>
    <t>PERSISTENCE HOLDINGS LTD</t>
  </si>
  <si>
    <t>1276 LEEWARD HIGHWA</t>
  </si>
  <si>
    <t>Providenciales</t>
  </si>
  <si>
    <t>00-00-30-0600-0001-0220</t>
  </si>
  <si>
    <t>2195 SADLER RD</t>
  </si>
  <si>
    <t>0.90</t>
  </si>
  <si>
    <t>DRURY DARLENE</t>
  </si>
  <si>
    <t>BLOCK 1 LOT 22 E 1/2 OF 23</t>
  </si>
  <si>
    <t>00-00-30-0600-0002-0020</t>
  </si>
  <si>
    <t>000030-06000002-0020</t>
  </si>
  <si>
    <t>2728 SADLER RD</t>
  </si>
  <si>
    <t>3450</t>
  </si>
  <si>
    <t>750000</t>
  </si>
  <si>
    <t xml:space="preserve"> TD BANK NA</t>
  </si>
  <si>
    <t>353000.00</t>
  </si>
  <si>
    <t>01/11/2013</t>
  </si>
  <si>
    <t>SPENCER-BELL PROPERTIES LLC</t>
  </si>
  <si>
    <t>4756 SADDLEHORN TRAI</t>
  </si>
  <si>
    <t>BLOCK 2 W93.75 FT OF LOT 2</t>
  </si>
  <si>
    <t>8406.48</t>
  </si>
  <si>
    <t>00-00-30-0600-0002-0071</t>
  </si>
  <si>
    <t>000030060000020071</t>
  </si>
  <si>
    <t>SADLER RD</t>
  </si>
  <si>
    <t>AMELIA LANDINGS PROPERTY</t>
  </si>
  <si>
    <t>5440 FIRST COAST HWY</t>
  </si>
  <si>
    <t>BLOCK 2 PRT LOTS 7 &amp; 8</t>
  </si>
  <si>
    <t>564.67</t>
  </si>
  <si>
    <t>570.17</t>
  </si>
  <si>
    <t>129.86</t>
  </si>
  <si>
    <t>00-00-30-0640-0025-0000</t>
  </si>
  <si>
    <t>000030064000250000</t>
  </si>
  <si>
    <t>1467 ROBIN HOOD DR</t>
  </si>
  <si>
    <t>WINGATE JOY MIXON  EST</t>
  </si>
  <si>
    <t>1467 ROBIN HOOD DRIV</t>
  </si>
  <si>
    <t>1064.17</t>
  </si>
  <si>
    <t>00-00-30-065S-0200-0000</t>
  </si>
  <si>
    <t>5211 S FLETCHER AV 200</t>
  </si>
  <si>
    <t>850000</t>
  </si>
  <si>
    <t>RINEY PROPERTIES LLC</t>
  </si>
  <si>
    <t>760000.00</t>
  </si>
  <si>
    <t>06/01/2020</t>
  </si>
  <si>
    <t>AMELIA PROPERTIES LLC</t>
  </si>
  <si>
    <t>5211 S FLETCHER A</t>
  </si>
  <si>
    <t>UNIT 200</t>
  </si>
  <si>
    <t>00-00-30-065S-0201-0000</t>
  </si>
  <si>
    <t>5211 S FLETCHER AV 201</t>
  </si>
  <si>
    <t>UNIT 201</t>
  </si>
  <si>
    <t>00-00-30-065S-0202-0000</t>
  </si>
  <si>
    <t>5211 S FLETCHER AV 202</t>
  </si>
  <si>
    <t>UNIT 202</t>
  </si>
  <si>
    <t>00-00-30-065S-0203-0000</t>
  </si>
  <si>
    <t>5211 S FLETCHER AV 203</t>
  </si>
  <si>
    <t>UNIT 203</t>
  </si>
  <si>
    <t>00-00-30-0740-0060-0020</t>
  </si>
  <si>
    <t>000030-07400060-0020</t>
  </si>
  <si>
    <t>2633 AMELIA RD</t>
  </si>
  <si>
    <t>03/16/2007</t>
  </si>
  <si>
    <t>PAGE BOBBIE S MARDEGAN</t>
  </si>
  <si>
    <t>PT OF LOTS 60 61</t>
  </si>
  <si>
    <t>692.64</t>
  </si>
  <si>
    <t>698.05</t>
  </si>
  <si>
    <t>00-00-30-0741-0093-0000</t>
  </si>
  <si>
    <t>000030-07410093-0000</t>
  </si>
  <si>
    <t>96171 OCEAN BREEZE DR</t>
  </si>
  <si>
    <t>FERNANDINA</t>
  </si>
  <si>
    <t>1546.57</t>
  </si>
  <si>
    <t>1137.70</t>
  </si>
  <si>
    <t>00-00-30-0741-0101-0000</t>
  </si>
  <si>
    <t>000030-07410101-0000</t>
  </si>
  <si>
    <t>96119 OCEAN BREEZE DR</t>
  </si>
  <si>
    <t>LOT 101</t>
  </si>
  <si>
    <t>1945</t>
  </si>
  <si>
    <t>1951</t>
  </si>
  <si>
    <t>00-00-30-0760-0004-0170</t>
  </si>
  <si>
    <t>000030-07600004-0170</t>
  </si>
  <si>
    <t>MANUCY RD</t>
  </si>
  <si>
    <t>446025</t>
  </si>
  <si>
    <t>ECHARD BRIAN D &amp; KATHRYN A</t>
  </si>
  <si>
    <t>00-00-30-0760-0006-0020</t>
  </si>
  <si>
    <t>000030076000060020</t>
  </si>
  <si>
    <t>4820 FIRST COAST HWY</t>
  </si>
  <si>
    <t>ABERSON JAMES E JR &amp;</t>
  </si>
  <si>
    <t>4820 FIRST COAST HW</t>
  </si>
  <si>
    <t>3300.05</t>
  </si>
  <si>
    <t>10/26/2017</t>
  </si>
  <si>
    <t>3345.80</t>
  </si>
  <si>
    <t>3316.47</t>
  </si>
  <si>
    <t>3244</t>
  </si>
  <si>
    <t>4275.25</t>
  </si>
  <si>
    <t>00-00-30-0760-0042-0000</t>
  </si>
  <si>
    <t>PHILIPS MANOR PL</t>
  </si>
  <si>
    <t>PHILIPS JANE G EST</t>
  </si>
  <si>
    <t>1641 PHILIPS MANOR R</t>
  </si>
  <si>
    <t>PT OF LOT 42</t>
  </si>
  <si>
    <t>00-00-30-0780-0003-0000</t>
  </si>
  <si>
    <t>000030078000030000</t>
  </si>
  <si>
    <t>FIRST COAST HY</t>
  </si>
  <si>
    <t>1350000</t>
  </si>
  <si>
    <t>2400000.00</t>
  </si>
  <si>
    <t>08/10/2006</t>
  </si>
  <si>
    <t>21132.08</t>
  </si>
  <si>
    <t>08/18/2017</t>
  </si>
  <si>
    <t>00-00-30-0780-0019-0080</t>
  </si>
  <si>
    <t>000030078000190080</t>
  </si>
  <si>
    <t>4856 WHY RD</t>
  </si>
  <si>
    <t xml:space="preserve"> 8 FLAGS FCU</t>
  </si>
  <si>
    <t>62000.00</t>
  </si>
  <si>
    <t>06/24/1997</t>
  </si>
  <si>
    <t>WILKES CHARLES R &amp; CAROLYN</t>
  </si>
  <si>
    <t>4856 WHY ROA</t>
  </si>
  <si>
    <t>964.11</t>
  </si>
  <si>
    <t>06/16/2015</t>
  </si>
  <si>
    <t>2388</t>
  </si>
  <si>
    <t>893.62</t>
  </si>
  <si>
    <t>00-00-30-0800-0001-0030</t>
  </si>
  <si>
    <t>000030080000010030</t>
  </si>
  <si>
    <t>CLINCH DR</t>
  </si>
  <si>
    <t>LEE LYNDA H ETAL</t>
  </si>
  <si>
    <t>236 HIGHPOINTE TRAI</t>
  </si>
  <si>
    <t>Elijay</t>
  </si>
  <si>
    <t>30536</t>
  </si>
  <si>
    <t>PT OF S1/2 LOT 1</t>
  </si>
  <si>
    <t>92.00</t>
  </si>
  <si>
    <t>1954</t>
  </si>
  <si>
    <t>86.02</t>
  </si>
  <si>
    <t>00-00-30-0800-0030-0030</t>
  </si>
  <si>
    <t>000030080000300030</t>
  </si>
  <si>
    <t>762 GEIGER RD</t>
  </si>
  <si>
    <t>762 GEIGER R</t>
  </si>
  <si>
    <t>PT OF LOT 30</t>
  </si>
  <si>
    <t>575.71</t>
  </si>
  <si>
    <t>575.01</t>
  </si>
  <si>
    <t>562.35</t>
  </si>
  <si>
    <t>535.80</t>
  </si>
  <si>
    <t>00-00-30-0800-0030-0040</t>
  </si>
  <si>
    <t>000030080000300040</t>
  </si>
  <si>
    <t>653.98</t>
  </si>
  <si>
    <t>661.72</t>
  </si>
  <si>
    <t>664.46</t>
  </si>
  <si>
    <t>913.97</t>
  </si>
  <si>
    <t>00-00-30-0800-0031-0010</t>
  </si>
  <si>
    <t>000030080000310010</t>
  </si>
  <si>
    <t>1862 CLINCH DR</t>
  </si>
  <si>
    <t>TAVANIS AUDREY L/E</t>
  </si>
  <si>
    <t>1417 SADLER RD</t>
  </si>
  <si>
    <t>PT OF LOT 31</t>
  </si>
  <si>
    <t>2479.73</t>
  </si>
  <si>
    <t>00-00-30-0800-0042-0050</t>
  </si>
  <si>
    <t>000030080000420050</t>
  </si>
  <si>
    <t>1982 BOLES CIR</t>
  </si>
  <si>
    <t>460</t>
  </si>
  <si>
    <t>28900</t>
  </si>
  <si>
    <t>DUKES LARRY B &amp;</t>
  </si>
  <si>
    <t>1982 BOLES CIRCL</t>
  </si>
  <si>
    <t>PT LOT 42           R359550</t>
  </si>
  <si>
    <t>909.14</t>
  </si>
  <si>
    <t>1958</t>
  </si>
  <si>
    <t>834.82</t>
  </si>
  <si>
    <t>717.93</t>
  </si>
  <si>
    <t>2127</t>
  </si>
  <si>
    <t>684.04</t>
  </si>
  <si>
    <t>686.93</t>
  </si>
  <si>
    <t>01/28/2015</t>
  </si>
  <si>
    <t>775.41</t>
  </si>
  <si>
    <t>3262</t>
  </si>
  <si>
    <t>780.94</t>
  </si>
  <si>
    <t>11/18/2011</t>
  </si>
  <si>
    <t>870.72</t>
  </si>
  <si>
    <t>00-00-30-0820-0012-0030</t>
  </si>
  <si>
    <t>000030082000120030</t>
  </si>
  <si>
    <t>1601 LEWIS ST</t>
  </si>
  <si>
    <t>THOMAS ROSA EST</t>
  </si>
  <si>
    <t>1601 LEWIS S</t>
  </si>
  <si>
    <t>PT OF LOT 12 OR 120/332</t>
  </si>
  <si>
    <t>2919.95</t>
  </si>
  <si>
    <t>2965.58</t>
  </si>
  <si>
    <t>2818.84</t>
  </si>
  <si>
    <t>2132</t>
  </si>
  <si>
    <t>2369.13</t>
  </si>
  <si>
    <t>2399.89</t>
  </si>
  <si>
    <t>3269</t>
  </si>
  <si>
    <t>3219.24</t>
  </si>
  <si>
    <t>3117</t>
  </si>
  <si>
    <t>3944.26</t>
  </si>
  <si>
    <t>00-00-30-085U-0011-0000</t>
  </si>
  <si>
    <t>000030085U00110000</t>
  </si>
  <si>
    <t>2954 TIDEWATER ST</t>
  </si>
  <si>
    <t>2464</t>
  </si>
  <si>
    <t>227000</t>
  </si>
  <si>
    <t xml:space="preserve"> COUNTRYWIDE HOME LOANS INC</t>
  </si>
  <si>
    <t>03/02/2000</t>
  </si>
  <si>
    <t>COLEMAN KIMBERLY J</t>
  </si>
  <si>
    <t>2954 TIDEWATER STREE</t>
  </si>
  <si>
    <t>3153.01</t>
  </si>
  <si>
    <t>1963</t>
  </si>
  <si>
    <t>3179.79</t>
  </si>
  <si>
    <t>3166.77</t>
  </si>
  <si>
    <t>2960.19</t>
  </si>
  <si>
    <t>3121.21</t>
  </si>
  <si>
    <t>3387.99</t>
  </si>
  <si>
    <t>3272</t>
  </si>
  <si>
    <t>3343.14</t>
  </si>
  <si>
    <t>3534.96</t>
  </si>
  <si>
    <t>00-00-30-0880-0004-0000</t>
  </si>
  <si>
    <t>000030088000040000</t>
  </si>
  <si>
    <t>539 SUNSET RD</t>
  </si>
  <si>
    <t>MAYO AMY J L/E</t>
  </si>
  <si>
    <t>539 SUNSET ROA</t>
  </si>
  <si>
    <t>LOT 4 (EX W'LY 4 FT)</t>
  </si>
  <si>
    <t>366.32</t>
  </si>
  <si>
    <t>361.58</t>
  </si>
  <si>
    <t>357.27</t>
  </si>
  <si>
    <t>07/15/2016</t>
  </si>
  <si>
    <t>00-00-30-0880-0010-0000</t>
  </si>
  <si>
    <t>000030088000100000</t>
  </si>
  <si>
    <t>540 SUNSET RD</t>
  </si>
  <si>
    <t>MAYO EDISON HOBART &amp; KATHY G</t>
  </si>
  <si>
    <t>540 SUNSET R</t>
  </si>
  <si>
    <t>399.95</t>
  </si>
  <si>
    <t>395.51</t>
  </si>
  <si>
    <t>391.12</t>
  </si>
  <si>
    <t>360.23</t>
  </si>
  <si>
    <t>360.76</t>
  </si>
  <si>
    <t>483.52</t>
  </si>
  <si>
    <t>3279</t>
  </si>
  <si>
    <t>505.23</t>
  </si>
  <si>
    <t>00-SB-30-022C-0G71-0000</t>
  </si>
  <si>
    <t>00SB30-022C0G71-0000</t>
  </si>
  <si>
    <t>CARLTON DUNES DR</t>
  </si>
  <si>
    <t>1587500</t>
  </si>
  <si>
    <t>TYNDALL DAVID R &amp; SARAH W</t>
  </si>
  <si>
    <t>15 CHEROKEE R</t>
  </si>
  <si>
    <t>Moultrie</t>
  </si>
  <si>
    <t>31768</t>
  </si>
  <si>
    <t>GARAGE G-71  IN OR 1980/995</t>
  </si>
  <si>
    <t>1967</t>
  </si>
  <si>
    <t>485.44</t>
  </si>
  <si>
    <t>00-SB-30-065B-0059-0000</t>
  </si>
  <si>
    <t>95030 CAPTAINS WAY</t>
  </si>
  <si>
    <t>CRADDOCK MARY KING</t>
  </si>
  <si>
    <t>5514 WESTERN AVENU</t>
  </si>
  <si>
    <t>LOT 59 &amp; PT LOT 58</t>
  </si>
  <si>
    <t>00-SB-30-152P-0C11-0000</t>
  </si>
  <si>
    <t>580000</t>
  </si>
  <si>
    <t>CLIFTON JOE CROSBY</t>
  </si>
  <si>
    <t>1066 RIDGE ROA</t>
  </si>
  <si>
    <t>Valdosta</t>
  </si>
  <si>
    <t>31605</t>
  </si>
  <si>
    <t>GARAGE NUMBER C-11</t>
  </si>
  <si>
    <t>364.68</t>
  </si>
  <si>
    <t>00-SB-30-157V-0016-0000</t>
  </si>
  <si>
    <t>00SB30157V00160000</t>
  </si>
  <si>
    <t>1857 OCEAN VILLAGE PL</t>
  </si>
  <si>
    <t>232800</t>
  </si>
  <si>
    <t>FLAGSTAR BANK FSB</t>
  </si>
  <si>
    <t>215200.00</t>
  </si>
  <si>
    <t>11/17/2005</t>
  </si>
  <si>
    <t>LASH MARY</t>
  </si>
  <si>
    <t>1857 OCEAN VILLAGE PLAC</t>
  </si>
  <si>
    <t>LOT 16           IN OR 788/227</t>
  </si>
  <si>
    <t>00-SB-30-1900-0204-0000</t>
  </si>
  <si>
    <t>5010 SUMMER BEACH BLVD 204</t>
  </si>
  <si>
    <t>STELLING MARTHA M GST TRUST</t>
  </si>
  <si>
    <t>5010 SUMMER BEACH BLVD #20</t>
  </si>
  <si>
    <t>UNIT 204</t>
  </si>
  <si>
    <t>00-SB-30-1900-0211-0000</t>
  </si>
  <si>
    <t>5010 SUMMER BEACH BLVD 211</t>
  </si>
  <si>
    <t>ADLER JOAN G TRUSTEE</t>
  </si>
  <si>
    <t>4362 WESTOVER PLACE N</t>
  </si>
  <si>
    <t>UNIT 211</t>
  </si>
  <si>
    <t>00-00-31-087I-0046-0000</t>
  </si>
  <si>
    <t>568 SPANISH WAY W</t>
  </si>
  <si>
    <t>444000</t>
  </si>
  <si>
    <t>EVERBANK.COM</t>
  </si>
  <si>
    <t>ARM</t>
  </si>
  <si>
    <t>03/01/2044</t>
  </si>
  <si>
    <t>HADDOCK EDD WAYNE</t>
  </si>
  <si>
    <t>2659 BURTON BLV</t>
  </si>
  <si>
    <t>Hoboken</t>
  </si>
  <si>
    <t>31542</t>
  </si>
  <si>
    <t>00-00-31-087I-0097-0000</t>
  </si>
  <si>
    <t>570 SANTA MARIA DR</t>
  </si>
  <si>
    <t>337687.00</t>
  </si>
  <si>
    <t>08/01/2044</t>
  </si>
  <si>
    <t>COLEMAN JOSEPH W &amp; EVALYN G T</t>
  </si>
  <si>
    <t>570 SANTA MARIA D</t>
  </si>
  <si>
    <t>LOT 97</t>
  </si>
  <si>
    <t>00-00-31-1010-0017-0000</t>
  </si>
  <si>
    <t>000031101000170000</t>
  </si>
  <si>
    <t>3240 S FLETCHER AV 217</t>
  </si>
  <si>
    <t>1596</t>
  </si>
  <si>
    <t>02/05/2028</t>
  </si>
  <si>
    <t>WALKER TAMMY CISCO &amp;</t>
  </si>
  <si>
    <t>851 PARKVIEW PL</t>
  </si>
  <si>
    <t>UNIT 17</t>
  </si>
  <si>
    <t>6577.87</t>
  </si>
  <si>
    <t>5943.29</t>
  </si>
  <si>
    <t>04/12/2017</t>
  </si>
  <si>
    <t>5856.39</t>
  </si>
  <si>
    <t>5218.68</t>
  </si>
  <si>
    <t>10/16/2015</t>
  </si>
  <si>
    <t>5233.26</t>
  </si>
  <si>
    <t>3294</t>
  </si>
  <si>
    <t>5743.85</t>
  </si>
  <si>
    <t>7992.88</t>
  </si>
  <si>
    <t>00-00-31-1010-0019-0000</t>
  </si>
  <si>
    <t>000031101000190000</t>
  </si>
  <si>
    <t>3240 S FLETCHER AV 219</t>
  </si>
  <si>
    <t>STRICKLAND DEVIN B</t>
  </si>
  <si>
    <t>305 WEST WARING S</t>
  </si>
  <si>
    <t>31503</t>
  </si>
  <si>
    <t>UNIT 19</t>
  </si>
  <si>
    <t>09/09/2016</t>
  </si>
  <si>
    <t>2427</t>
  </si>
  <si>
    <t>4636.88</t>
  </si>
  <si>
    <t>00-00-31-1010-0023-0000</t>
  </si>
  <si>
    <t>000031101000230000</t>
  </si>
  <si>
    <t>3240 S FLETCHER AV 223</t>
  </si>
  <si>
    <t>NEWTON JAMES E &amp; FRANCES B &amp;</t>
  </si>
  <si>
    <t>3240 S FLETCHER AVE</t>
  </si>
  <si>
    <t>UNIT 23</t>
  </si>
  <si>
    <t>00-00-31-1010-0069-0000</t>
  </si>
  <si>
    <t>000031-10100069-0000</t>
  </si>
  <si>
    <t>3240 S FLETCHER AV 669</t>
  </si>
  <si>
    <t>675000</t>
  </si>
  <si>
    <t>398603.00</t>
  </si>
  <si>
    <t>06/10/2005</t>
  </si>
  <si>
    <t>W J CAPTIAL LLC</t>
  </si>
  <si>
    <t>192 E CHERRY S</t>
  </si>
  <si>
    <t>Jesup</t>
  </si>
  <si>
    <t>31598</t>
  </si>
  <si>
    <t>UNIT 69</t>
  </si>
  <si>
    <t>00-00-31-1015-0010-0000</t>
  </si>
  <si>
    <t>000031101500100000</t>
  </si>
  <si>
    <t>2383 SHANNON RD</t>
  </si>
  <si>
    <t>16150</t>
  </si>
  <si>
    <t>682500</t>
  </si>
  <si>
    <t>06/04/2002</t>
  </si>
  <si>
    <t>CAPPS INVESTMENT HOLDINGS LLC</t>
  </si>
  <si>
    <t>2383 SHANNON ROA</t>
  </si>
  <si>
    <t>LOT 10 (EX S 25 FT)</t>
  </si>
  <si>
    <t>11535.08</t>
  </si>
  <si>
    <t>11840.23</t>
  </si>
  <si>
    <t>11564.02</t>
  </si>
  <si>
    <t>08/31/2015</t>
  </si>
  <si>
    <t>11104.12</t>
  </si>
  <si>
    <t>07/28/2014</t>
  </si>
  <si>
    <t>3306</t>
  </si>
  <si>
    <t>9311.43</t>
  </si>
  <si>
    <t>9199.91</t>
  </si>
  <si>
    <t>00-00-31-1017-0019-0000</t>
  </si>
  <si>
    <t>000031101700190000</t>
  </si>
  <si>
    <t>2432 LYNNDALE RD</t>
  </si>
  <si>
    <t>4168</t>
  </si>
  <si>
    <t>199318.00</t>
  </si>
  <si>
    <t>10/28/2010</t>
  </si>
  <si>
    <t>5457.82</t>
  </si>
  <si>
    <t>5457.28</t>
  </si>
  <si>
    <t>4940.80</t>
  </si>
  <si>
    <t>12/04/2015</t>
  </si>
  <si>
    <t>4786.69</t>
  </si>
  <si>
    <t>4795.70</t>
  </si>
  <si>
    <t>10/03/2013</t>
  </si>
  <si>
    <t>4553.40</t>
  </si>
  <si>
    <t>3310</t>
  </si>
  <si>
    <t>4328.42</t>
  </si>
  <si>
    <t>3166</t>
  </si>
  <si>
    <t>4231.75</t>
  </si>
  <si>
    <t>12/29/2010</t>
  </si>
  <si>
    <t>00-00-31-1017-0023-0000</t>
  </si>
  <si>
    <t>2416 LYNNDALE RD</t>
  </si>
  <si>
    <t>OFF BLDG MULTI-STORY</t>
  </si>
  <si>
    <t>30368</t>
  </si>
  <si>
    <t>1700000</t>
  </si>
  <si>
    <t>THE NORTHERN TRUST CO</t>
  </si>
  <si>
    <t>1360000.00</t>
  </si>
  <si>
    <t>PEMBROKE PINES INVESTORS LLC</t>
  </si>
  <si>
    <t>1700 EMBASSY DRIVE APT 30</t>
  </si>
  <si>
    <t>West Palm Beach</t>
  </si>
  <si>
    <t>33401</t>
  </si>
  <si>
    <t>LOTS 23 &amp; 24</t>
  </si>
  <si>
    <t>00-00-31-1017-0028-0000</t>
  </si>
  <si>
    <t>000031101700280000</t>
  </si>
  <si>
    <t>2887 JAMESTOWN RD</t>
  </si>
  <si>
    <t>4800</t>
  </si>
  <si>
    <t>08/14/1997</t>
  </si>
  <si>
    <t>O'CONNER JAMES M &amp;</t>
  </si>
  <si>
    <t>6038.63</t>
  </si>
  <si>
    <t>6167.87</t>
  </si>
  <si>
    <t>6664.47</t>
  </si>
  <si>
    <t>6721.05</t>
  </si>
  <si>
    <t>6570.26</t>
  </si>
  <si>
    <t>3314</t>
  </si>
  <si>
    <t>6487.83</t>
  </si>
  <si>
    <t>3170</t>
  </si>
  <si>
    <t>6538.10</t>
  </si>
  <si>
    <t>00-00-31-1017-0029-0000</t>
  </si>
  <si>
    <t>000031101700290000</t>
  </si>
  <si>
    <t>2385 JAMESTOWN RD</t>
  </si>
  <si>
    <t>455000.00</t>
  </si>
  <si>
    <t>11/29/2005</t>
  </si>
  <si>
    <t>NASSAU EQUIPMENT INC</t>
  </si>
  <si>
    <t>2385 JAMESTOWN ROA</t>
  </si>
  <si>
    <t>LOT 29         IN OR 914/1977</t>
  </si>
  <si>
    <t>5873.20</t>
  </si>
  <si>
    <t>6012.78</t>
  </si>
  <si>
    <t>6254.71</t>
  </si>
  <si>
    <t>7092.58</t>
  </si>
  <si>
    <t>2438</t>
  </si>
  <si>
    <t>7123.05</t>
  </si>
  <si>
    <t>8113.86</t>
  </si>
  <si>
    <t>9121.43</t>
  </si>
  <si>
    <t>09/29/2014</t>
  </si>
  <si>
    <t>3171</t>
  </si>
  <si>
    <t>6623.76</t>
  </si>
  <si>
    <t>00-00-31-1020-0056-0010</t>
  </si>
  <si>
    <t>000031102000560010</t>
  </si>
  <si>
    <t>31 FLETCHER AVE S</t>
  </si>
  <si>
    <t>HERBERT BATTEN</t>
  </si>
  <si>
    <t>THE PARKIN COMPANY</t>
  </si>
  <si>
    <t>31 S FLETCHER AV</t>
  </si>
  <si>
    <t>PT OF LOTS 56 &amp; 57 S-1</t>
  </si>
  <si>
    <t>8062.44</t>
  </si>
  <si>
    <t>3351</t>
  </si>
  <si>
    <t>8649.28</t>
  </si>
  <si>
    <t>00-00-31-102U-P101-0000</t>
  </si>
  <si>
    <t>000031102UP1010000</t>
  </si>
  <si>
    <t>1416 PARK AV 101</t>
  </si>
  <si>
    <t>AMELIA PARK TOWN CENTER LLC</t>
  </si>
  <si>
    <t>914 ATLANTIC AVE 1</t>
  </si>
  <si>
    <t>UNIT P101</t>
  </si>
  <si>
    <t>3219.57</t>
  </si>
  <si>
    <t>3259.87</t>
  </si>
  <si>
    <t>4131.74</t>
  </si>
  <si>
    <t>3990.81</t>
  </si>
  <si>
    <t>3979.79</t>
  </si>
  <si>
    <t>3850.65</t>
  </si>
  <si>
    <t>3360</t>
  </si>
  <si>
    <t>3885.47</t>
  </si>
  <si>
    <t>11/01/2011</t>
  </si>
  <si>
    <t>3285</t>
  </si>
  <si>
    <t>3789.57</t>
  </si>
  <si>
    <t>03/30/2011</t>
  </si>
  <si>
    <t>00-00-31-102U-P102-0000</t>
  </si>
  <si>
    <t>000031102UP1020000</t>
  </si>
  <si>
    <t>1416 PARK AV 102</t>
  </si>
  <si>
    <t>UNIT P102</t>
  </si>
  <si>
    <t>3438.54</t>
  </si>
  <si>
    <t>3481.63</t>
  </si>
  <si>
    <t>4399.77</t>
  </si>
  <si>
    <t>4249.66</t>
  </si>
  <si>
    <t>2459</t>
  </si>
  <si>
    <t>4251.23</t>
  </si>
  <si>
    <t>4113.80</t>
  </si>
  <si>
    <t>3361</t>
  </si>
  <si>
    <t>4151.09</t>
  </si>
  <si>
    <t>3286</t>
  </si>
  <si>
    <t>4048.70</t>
  </si>
  <si>
    <t>00-00-31-102U-P201-0000</t>
  </si>
  <si>
    <t>000031102UP2010000</t>
  </si>
  <si>
    <t>1416 PARK AV 201</t>
  </si>
  <si>
    <t>914 ATLANTIC AV 1</t>
  </si>
  <si>
    <t>UNIT P201</t>
  </si>
  <si>
    <t>4624.24</t>
  </si>
  <si>
    <t>4679.19</t>
  </si>
  <si>
    <t>4489.11</t>
  </si>
  <si>
    <t>4335.94</t>
  </si>
  <si>
    <t>4336.57</t>
  </si>
  <si>
    <t>4196.53</t>
  </si>
  <si>
    <t>3362</t>
  </si>
  <si>
    <t>4302.48</t>
  </si>
  <si>
    <t>4196.37</t>
  </si>
  <si>
    <t>00-00-31-102U-P202-0000</t>
  </si>
  <si>
    <t>000031102UP2020000</t>
  </si>
  <si>
    <t>1416 PARK AV 202</t>
  </si>
  <si>
    <t>UNIT P202</t>
  </si>
  <si>
    <t>4911.75</t>
  </si>
  <si>
    <t>4967.50</t>
  </si>
  <si>
    <t>2067</t>
  </si>
  <si>
    <t>4779.47</t>
  </si>
  <si>
    <t>2167</t>
  </si>
  <si>
    <t>4616.34</t>
  </si>
  <si>
    <t>2461</t>
  </si>
  <si>
    <t>4606.41</t>
  </si>
  <si>
    <t>4458.08</t>
  </si>
  <si>
    <t>3363</t>
  </si>
  <si>
    <t>4570.75</t>
  </si>
  <si>
    <t>4458.06</t>
  </si>
  <si>
    <t>00-00-31-102U-S101-0000</t>
  </si>
  <si>
    <t>000031102US1010000</t>
  </si>
  <si>
    <t>1880 S 14TH ST 101</t>
  </si>
  <si>
    <t>UNIT S101</t>
  </si>
  <si>
    <t>3009.67</t>
  </si>
  <si>
    <t>2927.21</t>
  </si>
  <si>
    <t>2947.97</t>
  </si>
  <si>
    <t>2847.63</t>
  </si>
  <si>
    <t>2848.02</t>
  </si>
  <si>
    <t>2753.54</t>
  </si>
  <si>
    <t>2692.93</t>
  </si>
  <si>
    <t>2626.27</t>
  </si>
  <si>
    <t>00-00-31-102U-S102-0000</t>
  </si>
  <si>
    <t>000031102US1020000</t>
  </si>
  <si>
    <t>1880 S 14TH ST 102</t>
  </si>
  <si>
    <t>UNIT S102</t>
  </si>
  <si>
    <t>3385.10</t>
  </si>
  <si>
    <t>3304.23</t>
  </si>
  <si>
    <t>3283.00</t>
  </si>
  <si>
    <t>3171.18</t>
  </si>
  <si>
    <t>2463</t>
  </si>
  <si>
    <t>3156.76</t>
  </si>
  <si>
    <t>3052.81</t>
  </si>
  <si>
    <t>3365</t>
  </si>
  <si>
    <t>3030.25</t>
  </si>
  <si>
    <t>2955.31</t>
  </si>
  <si>
    <t>00-00-31-102U-S103-0000</t>
  </si>
  <si>
    <t>000031102US1030000</t>
  </si>
  <si>
    <t>1880 S 14TH ST 103</t>
  </si>
  <si>
    <t>UNIT S103</t>
  </si>
  <si>
    <t>3373.27</t>
  </si>
  <si>
    <t>4097.06</t>
  </si>
  <si>
    <t>4070.35</t>
  </si>
  <si>
    <t>2170</t>
  </si>
  <si>
    <t>3931.51</t>
  </si>
  <si>
    <t>3924.31</t>
  </si>
  <si>
    <t>3796.86</t>
  </si>
  <si>
    <t>3366</t>
  </si>
  <si>
    <t>3771.28</t>
  </si>
  <si>
    <t>3291</t>
  </si>
  <si>
    <t>3678.19</t>
  </si>
  <si>
    <t>00-00-31-1030-002K-0000</t>
  </si>
  <si>
    <t>0000311030002K0000</t>
  </si>
  <si>
    <t>3350 S FLETCHER AV 2K</t>
  </si>
  <si>
    <t>TUCKER MARY ALICE TRUST</t>
  </si>
  <si>
    <t>8619 VILLA SAN JOSE DR</t>
  </si>
  <si>
    <t>UNIT 2K &amp;</t>
  </si>
  <si>
    <t>5106.04</t>
  </si>
  <si>
    <t>4585.33</t>
  </si>
  <si>
    <t>4154.09</t>
  </si>
  <si>
    <t>3688.85</t>
  </si>
  <si>
    <t>2467</t>
  </si>
  <si>
    <t>3977.63</t>
  </si>
  <si>
    <t>3848.57</t>
  </si>
  <si>
    <t>3373</t>
  </si>
  <si>
    <t>4180.88</t>
  </si>
  <si>
    <t>3296</t>
  </si>
  <si>
    <t>5805.71</t>
  </si>
  <si>
    <t>00-00-31-1030-002L-0000</t>
  </si>
  <si>
    <t>3350 S FLETCHER AV 2L</t>
  </si>
  <si>
    <t>SMITH MARY DUNCAN</t>
  </si>
  <si>
    <t>1902 OAK DRIV</t>
  </si>
  <si>
    <t>UNIT 2L &amp;</t>
  </si>
  <si>
    <t>00-00-31-1030-003B-0000</t>
  </si>
  <si>
    <t>3350 S FLETCHER AV 3B</t>
  </si>
  <si>
    <t>334400</t>
  </si>
  <si>
    <t>CARTER SUSAN</t>
  </si>
  <si>
    <t>3350 S FLETCHER AVE #3</t>
  </si>
  <si>
    <t>UNIT 3B &amp;</t>
  </si>
  <si>
    <t>00-00-31-1030-005L-0000</t>
  </si>
  <si>
    <t>3350 S FLETCHER AV 5L</t>
  </si>
  <si>
    <t>302000</t>
  </si>
  <si>
    <t>GEORGIA HERITAGE FEDERAL CREDIT UNION</t>
  </si>
  <si>
    <t>167000.00</t>
  </si>
  <si>
    <t>HUGHES DENNIS F</t>
  </si>
  <si>
    <t>180 CHURCH S</t>
  </si>
  <si>
    <t>UNIT 5L &amp;</t>
  </si>
  <si>
    <t>00-00-31-1030-007J-0000</t>
  </si>
  <si>
    <t>0000311030007J0000</t>
  </si>
  <si>
    <t>3350 S FLETCHER AV 7J</t>
  </si>
  <si>
    <t>DAUGHTREY JAMES T &amp; MARCIA</t>
  </si>
  <si>
    <t>BOX 7</t>
  </si>
  <si>
    <t>Cecil</t>
  </si>
  <si>
    <t>31627</t>
  </si>
  <si>
    <t>UNIT 7J &amp;</t>
  </si>
  <si>
    <t>3297</t>
  </si>
  <si>
    <t>6828.12</t>
  </si>
  <si>
    <t>09/14/2010</t>
  </si>
  <si>
    <t>00-00-31-1040-0026-0100</t>
  </si>
  <si>
    <t>1060 FLETCHER AVE S</t>
  </si>
  <si>
    <t>2952</t>
  </si>
  <si>
    <t>922500</t>
  </si>
  <si>
    <t>SMITH CHESTER M JR</t>
  </si>
  <si>
    <t>3571 HIGHWAY 20 WES</t>
  </si>
  <si>
    <t>Hampton</t>
  </si>
  <si>
    <t>30228</t>
  </si>
  <si>
    <t>BLOCK 26 LOT 10</t>
  </si>
  <si>
    <t>00-00-31-1060-000F-0022</t>
  </si>
  <si>
    <t>2002 HIGHLAND ST</t>
  </si>
  <si>
    <t>49928</t>
  </si>
  <si>
    <t>RENFROW BENJAMIN E &amp; CAROLYN R</t>
  </si>
  <si>
    <t>4542 GILBERTS BEACH R</t>
  </si>
  <si>
    <t>Tyner</t>
  </si>
  <si>
    <t>27980</t>
  </si>
  <si>
    <t>BLOCK F N1/2 OF W100 FT OF</t>
  </si>
  <si>
    <t>00-00-31-1060-000F-0042</t>
  </si>
  <si>
    <t>0000311060000F0042</t>
  </si>
  <si>
    <t>2022 ALACHUA ST</t>
  </si>
  <si>
    <t>44700</t>
  </si>
  <si>
    <t>MURRAY DANIEL N &amp; KATHY M</t>
  </si>
  <si>
    <t>2022 ALACHUA S</t>
  </si>
  <si>
    <t>BLOCK F LOT W1/2 OF 4</t>
  </si>
  <si>
    <t>1107.78</t>
  </si>
  <si>
    <t>1109.95</t>
  </si>
  <si>
    <t>1046.99</t>
  </si>
  <si>
    <t>00-00-31-1060-000J-0021</t>
  </si>
  <si>
    <t>0000311060000J0021</t>
  </si>
  <si>
    <t>1624 HIGHLAND ST</t>
  </si>
  <si>
    <t>CAMPBELL JOHN C</t>
  </si>
  <si>
    <t>1624 HIGHLAND S</t>
  </si>
  <si>
    <t>BLOCK J E1/2 OF LOT 2</t>
  </si>
  <si>
    <t>00-00-31-1060-000J-0052</t>
  </si>
  <si>
    <t>0000311060000J0052</t>
  </si>
  <si>
    <t>1601 ALACHUA ST</t>
  </si>
  <si>
    <t>FERRELL DEBORAH KAY &amp;</t>
  </si>
  <si>
    <t>6824 CITATION WA</t>
  </si>
  <si>
    <t>Victor</t>
  </si>
  <si>
    <t>14564</t>
  </si>
  <si>
    <t>BLOCK J LOT W 67 FT OF LOT 5</t>
  </si>
  <si>
    <t>00-00-31-114A-0045-0000</t>
  </si>
  <si>
    <t>000031114A00450000</t>
  </si>
  <si>
    <t>2377 FLETCHER AVE S</t>
  </si>
  <si>
    <t>1770</t>
  </si>
  <si>
    <t>00-00-31-114A-0061-0000</t>
  </si>
  <si>
    <t>000031114A00610000</t>
  </si>
  <si>
    <t>2700 FLETCHER AVE S</t>
  </si>
  <si>
    <t>MERRILL LYNCH CREDIT CORP</t>
  </si>
  <si>
    <t>750000.00</t>
  </si>
  <si>
    <t>02/23/2035</t>
  </si>
  <si>
    <t>RICHARDS JANET CHASE</t>
  </si>
  <si>
    <t>2700 S FLETCHER AV</t>
  </si>
  <si>
    <t>00-00-31-114A-0094-0000</t>
  </si>
  <si>
    <t>000031114A00940000</t>
  </si>
  <si>
    <t>FLETCHER AVE S</t>
  </si>
  <si>
    <t>LASSERRE CHARLES W</t>
  </si>
  <si>
    <t>130 S 7TH S</t>
  </si>
  <si>
    <t>00-00-31-114B-0006-0010</t>
  </si>
  <si>
    <t>000031114B00060010</t>
  </si>
  <si>
    <t>2453 1ST AV</t>
  </si>
  <si>
    <t xml:space="preserve"> KRAFT FOODS FCU</t>
  </si>
  <si>
    <t>02/15/2002</t>
  </si>
  <si>
    <t>JONAS BRADFORD LEE</t>
  </si>
  <si>
    <t>BLOCK 6 LOT 1</t>
  </si>
  <si>
    <t>1989.07</t>
  </si>
  <si>
    <t>1996.35</t>
  </si>
  <si>
    <t>01/29/2018</t>
  </si>
  <si>
    <t>1987.66</t>
  </si>
  <si>
    <t>2029.87</t>
  </si>
  <si>
    <t>2016.50</t>
  </si>
  <si>
    <t>2207.15</t>
  </si>
  <si>
    <t>3391</t>
  </si>
  <si>
    <t>2908.56</t>
  </si>
  <si>
    <t>3316</t>
  </si>
  <si>
    <t>3904.09</t>
  </si>
  <si>
    <t>00-00-31-1180-0072-0010</t>
  </si>
  <si>
    <t>1920 BEECH ST</t>
  </si>
  <si>
    <t>37700</t>
  </si>
  <si>
    <t>WALL EDWARD MILTON &amp; FRANCES E</t>
  </si>
  <si>
    <t>1920 BEECH S</t>
  </si>
  <si>
    <t>E 75 FT OF W 300 FT OF</t>
  </si>
  <si>
    <t>00-00-31-1250-6312-0000</t>
  </si>
  <si>
    <t>000031125063120000</t>
  </si>
  <si>
    <t>631 TARPON AV 6312</t>
  </si>
  <si>
    <t>162900</t>
  </si>
  <si>
    <t>261000.00</t>
  </si>
  <si>
    <t>BRUCE MARGARITE P</t>
  </si>
  <si>
    <t>403 BRITTANY DOWNS DRIV</t>
  </si>
  <si>
    <t>Macon</t>
  </si>
  <si>
    <t>31210</t>
  </si>
  <si>
    <t>UNIT 6312</t>
  </si>
  <si>
    <t>3421.02</t>
  </si>
  <si>
    <t>3383.47</t>
  </si>
  <si>
    <t>3209.74</t>
  </si>
  <si>
    <t>2780.79</t>
  </si>
  <si>
    <t>2445.80</t>
  </si>
  <si>
    <t>2363.62</t>
  </si>
  <si>
    <t>3397</t>
  </si>
  <si>
    <t>2566.86</t>
  </si>
  <si>
    <t>3323</t>
  </si>
  <si>
    <t>2965.65</t>
  </si>
  <si>
    <t>00-00-31-125C-0101-0000</t>
  </si>
  <si>
    <t>000031125C01010000</t>
  </si>
  <si>
    <t>2811 ATLANTIC AV 101</t>
  </si>
  <si>
    <t>01/16/2007</t>
  </si>
  <si>
    <t>SCARBOROUGH LONNIE T</t>
  </si>
  <si>
    <t>201 E 50TH S</t>
  </si>
  <si>
    <t>Savannah</t>
  </si>
  <si>
    <t>31405</t>
  </si>
  <si>
    <t>UNIT 101</t>
  </si>
  <si>
    <t>5344.50</t>
  </si>
  <si>
    <t>5047.51</t>
  </si>
  <si>
    <t>5953.67</t>
  </si>
  <si>
    <t>5946.84</t>
  </si>
  <si>
    <t>00-00-31-126B-0013-0000</t>
  </si>
  <si>
    <t>1123 FLETCHER AVE N</t>
  </si>
  <si>
    <t>Reinforced Concrete</t>
  </si>
  <si>
    <t>CROSBY ROBERT E &amp; REBECCA LYNN</t>
  </si>
  <si>
    <t>2865 FIRST AV</t>
  </si>
  <si>
    <t>LOT 13 SECT # 2</t>
  </si>
  <si>
    <t>00-00-31-126B-0014-0000</t>
  </si>
  <si>
    <t>1125 FLETCHER AVE N</t>
  </si>
  <si>
    <t>UNITED STATES SMALL BUSINESS ADMIN</t>
  </si>
  <si>
    <t>52500.00</t>
  </si>
  <si>
    <t>GOVERNMENT (FHA, VA, ETC.)</t>
  </si>
  <si>
    <t>11/07/2041</t>
  </si>
  <si>
    <t>NACHBAUER MATTHEW E</t>
  </si>
  <si>
    <t>1125 N FLETCHER A</t>
  </si>
  <si>
    <t>00-00-31-128A-0027-0000</t>
  </si>
  <si>
    <t>512 STANLEY DR</t>
  </si>
  <si>
    <t>67200.00</t>
  </si>
  <si>
    <t>05/01/2030</t>
  </si>
  <si>
    <t>SHAFFER APRIL A</t>
  </si>
  <si>
    <t>1802 CAROLE C</t>
  </si>
  <si>
    <t>Peru</t>
  </si>
  <si>
    <t>Indiana</t>
  </si>
  <si>
    <t>46970</t>
  </si>
  <si>
    <t>6141.97</t>
  </si>
  <si>
    <t>00-00-31-128A-0028-0000</t>
  </si>
  <si>
    <t>000031128A00280000</t>
  </si>
  <si>
    <t>508 STANLEY DR</t>
  </si>
  <si>
    <t>SIMMONS SHERRI O &amp;</t>
  </si>
  <si>
    <t>508 STANLEY D</t>
  </si>
  <si>
    <t>2684.14</t>
  </si>
  <si>
    <t>3403</t>
  </si>
  <si>
    <t>2799.36</t>
  </si>
  <si>
    <t>3332</t>
  </si>
  <si>
    <t>598.61</t>
  </si>
  <si>
    <t>00-00-31-128A-0037-0000</t>
  </si>
  <si>
    <t>000031128A00370000</t>
  </si>
  <si>
    <t>1809 HIGHLAND DR</t>
  </si>
  <si>
    <t>285000</t>
  </si>
  <si>
    <t>DEMKO DONNA J</t>
  </si>
  <si>
    <t>1809 HIGHLAND DRIV</t>
  </si>
  <si>
    <t>4346.81</t>
  </si>
  <si>
    <t>4080.33</t>
  </si>
  <si>
    <t>08/21/2017</t>
  </si>
  <si>
    <t>4190.40</t>
  </si>
  <si>
    <t>00-00-31-128R-000E-0030</t>
  </si>
  <si>
    <t>000031128R000E0030</t>
  </si>
  <si>
    <t>2643 FOREST RIDGE DR</t>
  </si>
  <si>
    <t>LENDING SOLUTIONS INC</t>
  </si>
  <si>
    <t>ASLEEP AT THE REEL LLC</t>
  </si>
  <si>
    <t>2643 FOREST RIDGE D</t>
  </si>
  <si>
    <t>UNIT E-3</t>
  </si>
  <si>
    <t>3158.25</t>
  </si>
  <si>
    <t>2905.03</t>
  </si>
  <si>
    <t>03/10/2018</t>
  </si>
  <si>
    <t>2925.63</t>
  </si>
  <si>
    <t>00-00-31-128R-000I-0020</t>
  </si>
  <si>
    <t>2742 FOREST RIDGE DR</t>
  </si>
  <si>
    <t>66000</t>
  </si>
  <si>
    <t>65450.00</t>
  </si>
  <si>
    <t>HILL JOHN W &amp; KAREN Y</t>
  </si>
  <si>
    <t>2742  FOREST RIDGE D</t>
  </si>
  <si>
    <t>UNIT I-2</t>
  </si>
  <si>
    <t>00-00-31-128R-000L-0010</t>
  </si>
  <si>
    <t>000031128R000L0010</t>
  </si>
  <si>
    <t>2701 FOREST RIDGE DR</t>
  </si>
  <si>
    <t>CROOM CONNIE</t>
  </si>
  <si>
    <t>PO BOX 91</t>
  </si>
  <si>
    <t>Taos</t>
  </si>
  <si>
    <t>New Mexico</t>
  </si>
  <si>
    <t>87571</t>
  </si>
  <si>
    <t>UNIT L-1</t>
  </si>
  <si>
    <t>2255.56</t>
  </si>
  <si>
    <t>00-00-31-134A-0084-0000</t>
  </si>
  <si>
    <t>000031134A00840000</t>
  </si>
  <si>
    <t>729 OCEAN AV</t>
  </si>
  <si>
    <t>50993.00</t>
  </si>
  <si>
    <t>01/04/2000</t>
  </si>
  <si>
    <t>ROBINSON ANTONIO Y</t>
  </si>
  <si>
    <t>999 E BASSE ROAD STE 180 #10</t>
  </si>
  <si>
    <t>San Antonio</t>
  </si>
  <si>
    <t>78209</t>
  </si>
  <si>
    <t>LOTS 84 &amp; 155</t>
  </si>
  <si>
    <t>7340.46</t>
  </si>
  <si>
    <t>7147.04</t>
  </si>
  <si>
    <t>00-00-31-134A-0094-0000</t>
  </si>
  <si>
    <t>000031134A00940000</t>
  </si>
  <si>
    <t>625 OCEAN AVE</t>
  </si>
  <si>
    <t>3167</t>
  </si>
  <si>
    <t>63700</t>
  </si>
  <si>
    <t>1261000.00</t>
  </si>
  <si>
    <t>FISHER GREGORY A</t>
  </si>
  <si>
    <t>625 OCEAN AV</t>
  </si>
  <si>
    <t>10131.18</t>
  </si>
  <si>
    <t>07/06/2016</t>
  </si>
  <si>
    <t>2503</t>
  </si>
  <si>
    <t>10150.01</t>
  </si>
  <si>
    <t>3341</t>
  </si>
  <si>
    <t>10975.19</t>
  </si>
  <si>
    <t>00-00-31-134B-0145-0000</t>
  </si>
  <si>
    <t>000031134B01450000</t>
  </si>
  <si>
    <t>626 N FLETCHER AV</t>
  </si>
  <si>
    <t>625 OCEAN A</t>
  </si>
  <si>
    <t>2406.05</t>
  </si>
  <si>
    <t>2423.07</t>
  </si>
  <si>
    <t>2340.74</t>
  </si>
  <si>
    <t>2338.06</t>
  </si>
  <si>
    <t>2259.17</t>
  </si>
  <si>
    <t>3411</t>
  </si>
  <si>
    <t>06/07/2013</t>
  </si>
  <si>
    <t>3342</t>
  </si>
  <si>
    <t>3325.39</t>
  </si>
  <si>
    <t>00-00-31-134B-0183-0000</t>
  </si>
  <si>
    <t>827 FLETCHER AVE N</t>
  </si>
  <si>
    <t>159750.00</t>
  </si>
  <si>
    <t>10/30/2010</t>
  </si>
  <si>
    <t>BATES TODD</t>
  </si>
  <si>
    <t>3106 JULINGTON CREEK R</t>
  </si>
  <si>
    <t>32223</t>
  </si>
  <si>
    <t>LOT 183</t>
  </si>
  <si>
    <t>00-00-31-134B-0189-0000</t>
  </si>
  <si>
    <t>000031134B01890000</t>
  </si>
  <si>
    <t>731 FLETCHER AVE N</t>
  </si>
  <si>
    <t>139900</t>
  </si>
  <si>
    <t>PAUL A &amp; BARBARA J PALUMBO</t>
  </si>
  <si>
    <t>SMITH MATTHEW</t>
  </si>
  <si>
    <t>731 N FLETCHER AV</t>
  </si>
  <si>
    <t>LOT 189</t>
  </si>
  <si>
    <t>2469.85</t>
  </si>
  <si>
    <t>2448.41</t>
  </si>
  <si>
    <t>00-00-31-134B-0192-0000</t>
  </si>
  <si>
    <t>000031-134B0192-0000</t>
  </si>
  <si>
    <t>725 FLETCHER AVE N U&amp;D</t>
  </si>
  <si>
    <t>ROBERSON ANTHONY L &amp; LENORE K</t>
  </si>
  <si>
    <t>PO BOX 77</t>
  </si>
  <si>
    <t>LOT 192</t>
  </si>
  <si>
    <t>4352.23</t>
  </si>
  <si>
    <t>3755.72</t>
  </si>
  <si>
    <t>00-00-31-134B-0238-00B0</t>
  </si>
  <si>
    <t>432 TARPON AVE B</t>
  </si>
  <si>
    <t>113500</t>
  </si>
  <si>
    <t>WELLS FARGO HOME MORTGAGE INC</t>
  </si>
  <si>
    <t>102216.00</t>
  </si>
  <si>
    <t>11/01/2018</t>
  </si>
  <si>
    <t>VESTAL CURTIS D &amp; JANET L</t>
  </si>
  <si>
    <t>432-B TARPON A</t>
  </si>
  <si>
    <t>LOT 238-B</t>
  </si>
  <si>
    <t>00-00-31-1360-0033-0000</t>
  </si>
  <si>
    <t>000031136000330000</t>
  </si>
  <si>
    <t>2180 FLETCHER AVE S</t>
  </si>
  <si>
    <t>3067</t>
  </si>
  <si>
    <t>1600000</t>
  </si>
  <si>
    <t>SUNTRUST MTG</t>
  </si>
  <si>
    <t>1280000.00</t>
  </si>
  <si>
    <t>03/28/2006</t>
  </si>
  <si>
    <t>RUSSELL JERRY K</t>
  </si>
  <si>
    <t>237 MARSH LAKES DRIV</t>
  </si>
  <si>
    <t>16180.65</t>
  </si>
  <si>
    <t>00-00-31-1390-0012-0030</t>
  </si>
  <si>
    <t>2976 1ST AV A</t>
  </si>
  <si>
    <t>206000.00</t>
  </si>
  <si>
    <t>07/01/2038</t>
  </si>
  <si>
    <t>JULIAO RICARDO</t>
  </si>
  <si>
    <t>2976-A 1ST A</t>
  </si>
  <si>
    <t>2641.66</t>
  </si>
  <si>
    <t>00-00-31-1390-0013-0000</t>
  </si>
  <si>
    <t>1ST AV</t>
  </si>
  <si>
    <t>GARY MOREAU</t>
  </si>
  <si>
    <t>155400.00</t>
  </si>
  <si>
    <t>RIVER GREEN ESTATES LLC</t>
  </si>
  <si>
    <t>11323 PHILLIPS PKWY DR E STE</t>
  </si>
  <si>
    <t>2588.94</t>
  </si>
  <si>
    <t>00-00-31-142I-0013-0000</t>
  </si>
  <si>
    <t>000031142I00130000</t>
  </si>
  <si>
    <t>1035 ISLE OF PALMS LN</t>
  </si>
  <si>
    <t>GARY DAIS</t>
  </si>
  <si>
    <t>08/29/2012</t>
  </si>
  <si>
    <t>DEADY ERIC M</t>
  </si>
  <si>
    <t>1035 ISLE OF PALMS L</t>
  </si>
  <si>
    <t>2708.00</t>
  </si>
  <si>
    <t>2576.97</t>
  </si>
  <si>
    <t>05/19/2015</t>
  </si>
  <si>
    <t>00-00-31-142L-0007-00E0</t>
  </si>
  <si>
    <t>000031142L000700E0</t>
  </si>
  <si>
    <t>2328 SADLER RD 7-E</t>
  </si>
  <si>
    <t>TAYLOR SCOTT</t>
  </si>
  <si>
    <t>145 COOL BREEZE L</t>
  </si>
  <si>
    <t>Alma</t>
  </si>
  <si>
    <t>31510</t>
  </si>
  <si>
    <t>UNIT 7-E</t>
  </si>
  <si>
    <t>2326.16</t>
  </si>
  <si>
    <t>2193.51</t>
  </si>
  <si>
    <t>12/04/2017</t>
  </si>
  <si>
    <t>2003.14</t>
  </si>
  <si>
    <t>1747.57</t>
  </si>
  <si>
    <t>1868.17</t>
  </si>
  <si>
    <t>2196.53</t>
  </si>
  <si>
    <t>3468</t>
  </si>
  <si>
    <t>2260.39</t>
  </si>
  <si>
    <t>3399</t>
  </si>
  <si>
    <t>2729.93</t>
  </si>
  <si>
    <t>00-00-31-143B-0012-0000</t>
  </si>
  <si>
    <t>000031143B00120000</t>
  </si>
  <si>
    <t>2202 WILL HARDEE RD</t>
  </si>
  <si>
    <t>NIPPER JUSTIN &amp; MARIE</t>
  </si>
  <si>
    <t>1902.78</t>
  </si>
  <si>
    <t>2549.22</t>
  </si>
  <si>
    <t>2540.09</t>
  </si>
  <si>
    <t>00-00-31-143B-0015-0000</t>
  </si>
  <si>
    <t>000031143B00150000</t>
  </si>
  <si>
    <t>2232 WILL HARDEE RD</t>
  </si>
  <si>
    <t>83000</t>
  </si>
  <si>
    <t>THOMASON JOSEPH D EST</t>
  </si>
  <si>
    <t>2232 WILL HARDEE ROA</t>
  </si>
  <si>
    <t>3591.30</t>
  </si>
  <si>
    <t>2114</t>
  </si>
  <si>
    <t>3323.57</t>
  </si>
  <si>
    <t>3086.46</t>
  </si>
  <si>
    <t>3063.12</t>
  </si>
  <si>
    <t>3472</t>
  </si>
  <si>
    <t>3223.14</t>
  </si>
  <si>
    <t>00-00-31-143C-0039-0000</t>
  </si>
  <si>
    <t>2133 CANTERBURY LN</t>
  </si>
  <si>
    <t>85500</t>
  </si>
  <si>
    <t>BERRY NANCY W</t>
  </si>
  <si>
    <t>2133 CANTERBURY LAN</t>
  </si>
  <si>
    <t>00-00-31-1460-0013-0000</t>
  </si>
  <si>
    <t>000031146000130000</t>
  </si>
  <si>
    <t>1482 FLETCHER AVE S</t>
  </si>
  <si>
    <t>NIXON WILLIAM F JR</t>
  </si>
  <si>
    <t>16 MEETINGHOUSE L</t>
  </si>
  <si>
    <t>South Easton</t>
  </si>
  <si>
    <t>02375</t>
  </si>
  <si>
    <t>00-00-31-147L-008B-0000</t>
  </si>
  <si>
    <t>000031147L008B0000</t>
  </si>
  <si>
    <t>1116 NATURES WALK DR B</t>
  </si>
  <si>
    <t>SALAMATIN JAMES N &amp;</t>
  </si>
  <si>
    <t>1116-B NATURES WALK D</t>
  </si>
  <si>
    <t>LOT 8B</t>
  </si>
  <si>
    <t>2088.09</t>
  </si>
  <si>
    <t>00-00-31-147L-017B-0000</t>
  </si>
  <si>
    <t>000031147L017B0000</t>
  </si>
  <si>
    <t>1131 NATURES WALK CT B</t>
  </si>
  <si>
    <t>144900</t>
  </si>
  <si>
    <t>FIRST UNION NATL BK/NC</t>
  </si>
  <si>
    <t>04/11/1996</t>
  </si>
  <si>
    <t>LAND CAROLYN &amp;</t>
  </si>
  <si>
    <t>1131 B NATURES WALK C</t>
  </si>
  <si>
    <t>LOT 17-B</t>
  </si>
  <si>
    <t>2486.36</t>
  </si>
  <si>
    <t>2600.67</t>
  </si>
  <si>
    <t>07/17/2013</t>
  </si>
  <si>
    <t>2789.02</t>
  </si>
  <si>
    <t>3489</t>
  </si>
  <si>
    <t>2707.13</t>
  </si>
  <si>
    <t>00-00-31-147L-026A-0000</t>
  </si>
  <si>
    <t>2072 NATURES LN A</t>
  </si>
  <si>
    <t>68700.00</t>
  </si>
  <si>
    <t>BERRY CRYSTAL L/E</t>
  </si>
  <si>
    <t>2072-A NATURES L</t>
  </si>
  <si>
    <t>LOT 26A &amp; W2' OF LOT 26B</t>
  </si>
  <si>
    <t>1500.41</t>
  </si>
  <si>
    <t>00-00-31-1480-0025-0000</t>
  </si>
  <si>
    <t>33 OAK GROVE PL</t>
  </si>
  <si>
    <t>ERDMANN THOMAS J</t>
  </si>
  <si>
    <t>1314 CLINCH D</t>
  </si>
  <si>
    <t>00-00-31-150C-0005-0110</t>
  </si>
  <si>
    <t>000031150C00050110</t>
  </si>
  <si>
    <t>301 16TH ST S</t>
  </si>
  <si>
    <t>4147.00</t>
  </si>
  <si>
    <t>08/11/2010</t>
  </si>
  <si>
    <t>HOLLAND CHRISTOPHER A &amp; MISTY</t>
  </si>
  <si>
    <t>301 S 16TH S</t>
  </si>
  <si>
    <t>BLOCK 5 LOT 11</t>
  </si>
  <si>
    <t>848.65</t>
  </si>
  <si>
    <t>849.33</t>
  </si>
  <si>
    <t>841.64</t>
  </si>
  <si>
    <t>2251</t>
  </si>
  <si>
    <t>799.23</t>
  </si>
  <si>
    <t>2524</t>
  </si>
  <si>
    <t>775.88</t>
  </si>
  <si>
    <t>611.96</t>
  </si>
  <si>
    <t>592.24</t>
  </si>
  <si>
    <t>3421</t>
  </si>
  <si>
    <t>565.82</t>
  </si>
  <si>
    <t>07/22/2010</t>
  </si>
  <si>
    <t>00-00-31-150F-0007-0140</t>
  </si>
  <si>
    <t>503 S 17TH ST</t>
  </si>
  <si>
    <t>2121</t>
  </si>
  <si>
    <t>LIPINSKI DOLORES J EST</t>
  </si>
  <si>
    <t>503 S 17TH S</t>
  </si>
  <si>
    <t>BLOCK 7 LOT 14</t>
  </si>
  <si>
    <t>00-00-31-150F-0007-0160</t>
  </si>
  <si>
    <t>000031150F00070160</t>
  </si>
  <si>
    <t>505 17TH ST S</t>
  </si>
  <si>
    <t>2226</t>
  </si>
  <si>
    <t>02/13/2029</t>
  </si>
  <si>
    <t>FEDERAL NATIONAL MORTGAGE</t>
  </si>
  <si>
    <t>950 EAST PACES FERRY RD #190</t>
  </si>
  <si>
    <t>30326</t>
  </si>
  <si>
    <t>BLOCK 7 LOT 16</t>
  </si>
  <si>
    <t>2768.99</t>
  </si>
  <si>
    <t>2647.93</t>
  </si>
  <si>
    <t>2452.87</t>
  </si>
  <si>
    <t>2256</t>
  </si>
  <si>
    <t>1986.59</t>
  </si>
  <si>
    <t>00-00-31-150F-0007-0180</t>
  </si>
  <si>
    <t>000031150F00070180</t>
  </si>
  <si>
    <t>507 17TH ST S</t>
  </si>
  <si>
    <t>TAYLOR JIMMY R &amp; JEAN B</t>
  </si>
  <si>
    <t>507 S 17TH S</t>
  </si>
  <si>
    <t>BLOCK 7 LOT 18</t>
  </si>
  <si>
    <t>2043</t>
  </si>
  <si>
    <t>694.96</t>
  </si>
  <si>
    <t>676.27</t>
  </si>
  <si>
    <t>3497</t>
  </si>
  <si>
    <t>00-00-31-150F-0008-0050</t>
  </si>
  <si>
    <t>000031150F00080050</t>
  </si>
  <si>
    <t>404 17TH ST S</t>
  </si>
  <si>
    <t>PATTERSON EDWARD G JR</t>
  </si>
  <si>
    <t>404 S 17TH S</t>
  </si>
  <si>
    <t>853.68</t>
  </si>
  <si>
    <t>1233.04</t>
  </si>
  <si>
    <t>2259</t>
  </si>
  <si>
    <t>1222.81</t>
  </si>
  <si>
    <t>1304.00</t>
  </si>
  <si>
    <t>397.18</t>
  </si>
  <si>
    <t>05/16/2012</t>
  </si>
  <si>
    <t>00-00-31-150F-0008-0070</t>
  </si>
  <si>
    <t>000031150F00080070</t>
  </si>
  <si>
    <t>406 17TH ST S</t>
  </si>
  <si>
    <t>76500.00</t>
  </si>
  <si>
    <t>Mortgage Funding Company</t>
  </si>
  <si>
    <t>08/04/1999</t>
  </si>
  <si>
    <t>HORNSBY STACEY L</t>
  </si>
  <si>
    <t>BLOCK 8 LOT 7</t>
  </si>
  <si>
    <t>738.79</t>
  </si>
  <si>
    <t>00-00-31-150F-0008-0110</t>
  </si>
  <si>
    <t>000031150F00080110</t>
  </si>
  <si>
    <t>500 17TH ST S</t>
  </si>
  <si>
    <t>78588.00</t>
  </si>
  <si>
    <t>EBENAL AMY R</t>
  </si>
  <si>
    <t>500 S 17TH S</t>
  </si>
  <si>
    <t>BLOCK 8 LOT 11</t>
  </si>
  <si>
    <t>716.42</t>
  </si>
  <si>
    <t>717.39</t>
  </si>
  <si>
    <t>00-00-31-1520-0003-0060</t>
  </si>
  <si>
    <t>487 FLETCHER AVE S ABC</t>
  </si>
  <si>
    <t>4097</t>
  </si>
  <si>
    <t>290000</t>
  </si>
  <si>
    <t>232000.00</t>
  </si>
  <si>
    <t>BLK 3 LOT 6</t>
  </si>
  <si>
    <t>00-00-31-1540-0017-0010</t>
  </si>
  <si>
    <t>000031154000170010</t>
  </si>
  <si>
    <t>1060 JEAN LAFITTE AVE</t>
  </si>
  <si>
    <t>2.47</t>
  </si>
  <si>
    <t>177500</t>
  </si>
  <si>
    <t>108000.00</t>
  </si>
  <si>
    <t>J R HOLDINGS OF NORTH FLORIDA</t>
  </si>
  <si>
    <t>109 NORTH LIBERTY S</t>
  </si>
  <si>
    <t>PT BLKS 16,17,19 &amp; PT</t>
  </si>
  <si>
    <t>3506.43</t>
  </si>
  <si>
    <t>2131</t>
  </si>
  <si>
    <t>3344.22</t>
  </si>
  <si>
    <t>2555.77</t>
  </si>
  <si>
    <t>2533</t>
  </si>
  <si>
    <t>2410.05</t>
  </si>
  <si>
    <t>2214.09</t>
  </si>
  <si>
    <t>1815.00</t>
  </si>
  <si>
    <t>03/15/2013</t>
  </si>
  <si>
    <t>00-00-31-155E-0008-0000</t>
  </si>
  <si>
    <t>1441 N FLETCHER AV</t>
  </si>
  <si>
    <t>EVANS JOHN R LVG IRREV TRUST</t>
  </si>
  <si>
    <t>2804 ST JOHNS BLUFF RD</t>
  </si>
  <si>
    <t>00-00-31-155I-2168-00A0</t>
  </si>
  <si>
    <t>2168 1ST AVE A</t>
  </si>
  <si>
    <t>DOUGLAS COMPANIES LLC</t>
  </si>
  <si>
    <t>85352 BOSTICK WOOD D</t>
  </si>
  <si>
    <t>NORTH UNIT</t>
  </si>
  <si>
    <t>00-00-31-155I-2168-00B0</t>
  </si>
  <si>
    <t>2168 1ST AVE B</t>
  </si>
  <si>
    <t>SOUTH UNIT</t>
  </si>
  <si>
    <t>00-00-31-155R-0018-0000</t>
  </si>
  <si>
    <t>138 OCEAN RIDGE DR</t>
  </si>
  <si>
    <t>200050</t>
  </si>
  <si>
    <t>FIRST NATIONWIDE MTG CORP</t>
  </si>
  <si>
    <t>145700.00</t>
  </si>
  <si>
    <t>MATNEY JIMMY L &amp; JILL A</t>
  </si>
  <si>
    <t>2703 MOORE CROSSING ROA</t>
  </si>
  <si>
    <t>31606</t>
  </si>
  <si>
    <t>4450.85</t>
  </si>
  <si>
    <t>00-00-31-155S-0017-0000</t>
  </si>
  <si>
    <t>990 OCEAN OVERLOOK DR</t>
  </si>
  <si>
    <t>CHASE MANHATTAN BANK USA NA</t>
  </si>
  <si>
    <t>TAYLOR MONTIE E &amp; CHERIE L</t>
  </si>
  <si>
    <t>1417 SADLER RD # 15</t>
  </si>
  <si>
    <t>LOT 17         IN OR 785/386</t>
  </si>
  <si>
    <t>00-00-31-1580-0023-0010</t>
  </si>
  <si>
    <t>1132 WHITE ST</t>
  </si>
  <si>
    <t>PAULS DEBORAH A &amp; MARTIN A</t>
  </si>
  <si>
    <t>6690 NW 33RD AVENU</t>
  </si>
  <si>
    <t>33309</t>
  </si>
  <si>
    <t>BLK 23 LOT 1</t>
  </si>
  <si>
    <t>00-00-31-1600-0002-0020</t>
  </si>
  <si>
    <t>000031160000020020</t>
  </si>
  <si>
    <t>1521 ALACHUA ST</t>
  </si>
  <si>
    <t>ROBERT J JARVIS</t>
  </si>
  <si>
    <t>PARKIN PETER GORDON TRUSTEE</t>
  </si>
  <si>
    <t>1521 ALACHUA S</t>
  </si>
  <si>
    <t>OUT LOT E1/2 OF S1/2 OF 2</t>
  </si>
  <si>
    <t>3407.67</t>
  </si>
  <si>
    <t>00-00-31-1600-0004-0040</t>
  </si>
  <si>
    <t>000031-16000004-0040</t>
  </si>
  <si>
    <t>1503 BROOME ST</t>
  </si>
  <si>
    <t>BROWN PAMELA L &amp;</t>
  </si>
  <si>
    <t>1503 BROOME STREE</t>
  </si>
  <si>
    <t>1/2 HX INT (S&amp;B)</t>
  </si>
  <si>
    <t>00-00-31-1600-0228-0020</t>
  </si>
  <si>
    <t>000031160002280020</t>
  </si>
  <si>
    <t>1804 BEECH ST</t>
  </si>
  <si>
    <t xml:space="preserve"> CAPITAL ONE HOMELOANS LLC</t>
  </si>
  <si>
    <t>55900.00</t>
  </si>
  <si>
    <t>06/30/2005</t>
  </si>
  <si>
    <t>DOBROSKY TERRANCE A</t>
  </si>
  <si>
    <t>506 STARBOARD LND</t>
  </si>
  <si>
    <t>E 136.5 FT OF W 166.5 FT OF</t>
  </si>
  <si>
    <t>2450.90</t>
  </si>
  <si>
    <t>2169.42</t>
  </si>
  <si>
    <t>2022.81</t>
  </si>
  <si>
    <t>1660.03</t>
  </si>
  <si>
    <t>11/14/2014</t>
  </si>
  <si>
    <t>878.29</t>
  </si>
  <si>
    <t>00-00-31-1611-0003-0000</t>
  </si>
  <si>
    <t>1512 COASTAL OAKS CIR</t>
  </si>
  <si>
    <t>427430.00</t>
  </si>
  <si>
    <t>03/04/2017</t>
  </si>
  <si>
    <t>00-00-31-1611-0006-0000</t>
  </si>
  <si>
    <t>1518 COASTAL OAKS CIR E</t>
  </si>
  <si>
    <t>00-00-31-1611-0007-0000</t>
  </si>
  <si>
    <t>1520 COASTAL OAKS CIR E</t>
  </si>
  <si>
    <t>00-00-31-1611-0010-0000</t>
  </si>
  <si>
    <t>1526 COASTAL OAKS CIR E</t>
  </si>
  <si>
    <t>00-00-31-1611-0013-0000</t>
  </si>
  <si>
    <t>1532 COASTAL OAKS DR</t>
  </si>
  <si>
    <t>314962.00</t>
  </si>
  <si>
    <t>00-00-31-1611-0014-0000</t>
  </si>
  <si>
    <t>1534 COASTAL OAKS DR</t>
  </si>
  <si>
    <t>325087.00</t>
  </si>
  <si>
    <t>00-00-31-1611-0016-0000</t>
  </si>
  <si>
    <t>1538 COASTAL OAKS DR</t>
  </si>
  <si>
    <t>347850.00</t>
  </si>
  <si>
    <t>305 KINGSLEY DRIVESUITE 70</t>
  </si>
  <si>
    <t>00-00-31-1611-0019-0000</t>
  </si>
  <si>
    <t>1543 COASTAL OAKS DR</t>
  </si>
  <si>
    <t>351220.00</t>
  </si>
  <si>
    <t>305 KINGSLEY LAKE DRIVESUITE 20</t>
  </si>
  <si>
    <t>00-00-31-1611-0024-0000</t>
  </si>
  <si>
    <t>1553 COASTAL OAKS CIR N</t>
  </si>
  <si>
    <t>310486.00</t>
  </si>
  <si>
    <t>305 KINGSLEY LAKE DRIVESTE #70</t>
  </si>
  <si>
    <t>00-00-31-1611-0026-0000</t>
  </si>
  <si>
    <t>1557 COASTAL OAKS CIR N</t>
  </si>
  <si>
    <t>00-00-31-1611-0027-0000</t>
  </si>
  <si>
    <t>1559 COASTAL OAKS CIR W</t>
  </si>
  <si>
    <t>319087.00</t>
  </si>
  <si>
    <t>393.30</t>
  </si>
  <si>
    <t>00-00-31-1611-0028-0000</t>
  </si>
  <si>
    <t>1561 COASTAL OAKS CIR W</t>
  </si>
  <si>
    <t>334837.00</t>
  </si>
  <si>
    <t>00-00-31-1611-0030-0000</t>
  </si>
  <si>
    <t>1565 COASTAL OAKS CIR W</t>
  </si>
  <si>
    <t>305 KINGSLEY LAKE DRIVESUITE #70</t>
  </si>
  <si>
    <t>00-00-31-1611-0036-0000</t>
  </si>
  <si>
    <t>1505 COASTAL OAKS CIR</t>
  </si>
  <si>
    <t>00-00-31-1611-0040-0000</t>
  </si>
  <si>
    <t>1521 COASTAL OAKS CIR E</t>
  </si>
  <si>
    <t>00-00-31-1632-0407-0000</t>
  </si>
  <si>
    <t>3460 S FLETCHER AV 407</t>
  </si>
  <si>
    <t>GRIFFIN LYNDA K TRUSTEE</t>
  </si>
  <si>
    <t>8 ROCK CREST LAN</t>
  </si>
  <si>
    <t>Signal Mountain</t>
  </si>
  <si>
    <t>37377</t>
  </si>
  <si>
    <t>UNIT 407</t>
  </si>
  <si>
    <t>00-00-31-163P-00E1-0000</t>
  </si>
  <si>
    <t>1601 NECTARINE ST E1</t>
  </si>
  <si>
    <t>67500</t>
  </si>
  <si>
    <t>FCCB</t>
  </si>
  <si>
    <t>04/01/2041</t>
  </si>
  <si>
    <t>THOMAS CORY</t>
  </si>
  <si>
    <t>1601 NECTARINE STREET E</t>
  </si>
  <si>
    <t>UNIT E1</t>
  </si>
  <si>
    <t>3467</t>
  </si>
  <si>
    <t>1763.78</t>
  </si>
  <si>
    <t>00-00-31-163V-0003-0000</t>
  </si>
  <si>
    <t>851 PARKVIEW PL W</t>
  </si>
  <si>
    <t>3183</t>
  </si>
  <si>
    <t>SATILLA COMMUNITY BANK</t>
  </si>
  <si>
    <t>06/20/2005</t>
  </si>
  <si>
    <t>CISCO ALETHA K</t>
  </si>
  <si>
    <t>851 PARKVIEW PLACE</t>
  </si>
  <si>
    <t>5177.09</t>
  </si>
  <si>
    <t>00-00-31-1652-0001-0000</t>
  </si>
  <si>
    <t>2763 LONG BOAT DR</t>
  </si>
  <si>
    <t>267900</t>
  </si>
  <si>
    <t>BANK OF AMERICA NATIONAL ASSN</t>
  </si>
  <si>
    <t>07/10/2027</t>
  </si>
  <si>
    <t>WARNER BRETT C</t>
  </si>
  <si>
    <t>1417 SADLER #33</t>
  </si>
  <si>
    <t>LOT 1 &amp; PT OF LOT 42(S-1)</t>
  </si>
  <si>
    <t>00-00-31-1665-0110-0000</t>
  </si>
  <si>
    <t>000031-16650110-0000</t>
  </si>
  <si>
    <t>3056 FLETCHER AVE S 110</t>
  </si>
  <si>
    <t xml:space="preserve"> PRIMESOUTH BANK</t>
  </si>
  <si>
    <t>405173.00</t>
  </si>
  <si>
    <t>TRAPNELL RALPH</t>
  </si>
  <si>
    <t>PO BOX 140</t>
  </si>
  <si>
    <t>UNIT 110</t>
  </si>
  <si>
    <t>00-00-31-1665-0111-0000</t>
  </si>
  <si>
    <t>3056 FLETCHER AVE S 111</t>
  </si>
  <si>
    <t>262500</t>
  </si>
  <si>
    <t>03/17/2024</t>
  </si>
  <si>
    <t>JAMES LESLIE PROPERTIES LLC</t>
  </si>
  <si>
    <t>162 VIRGINIA AVENUE SOUT</t>
  </si>
  <si>
    <t>Tifton</t>
  </si>
  <si>
    <t>31794</t>
  </si>
  <si>
    <t>UNIT 111</t>
  </si>
  <si>
    <t>00-00-31-1665-0313-0000</t>
  </si>
  <si>
    <t>3056 FLETCHER AVE S 313</t>
  </si>
  <si>
    <t>348000</t>
  </si>
  <si>
    <t>268000.00</t>
  </si>
  <si>
    <t>SCARBORO JOHN &amp; FRANCES</t>
  </si>
  <si>
    <t>UNIT 313</t>
  </si>
  <si>
    <t>00-00-31-1670-0006-0000</t>
  </si>
  <si>
    <t>000031167000060000</t>
  </si>
  <si>
    <t>3165 S FLETCHER AV 6</t>
  </si>
  <si>
    <t>CRIBBS JACK W &amp; REBECCA M</t>
  </si>
  <si>
    <t>3165 S FLETCHER AVE #</t>
  </si>
  <si>
    <t>2842.47</t>
  </si>
  <si>
    <t>2854.66</t>
  </si>
  <si>
    <t>2845.24</t>
  </si>
  <si>
    <t>2277</t>
  </si>
  <si>
    <t>2763.16</t>
  </si>
  <si>
    <t>2855.29</t>
  </si>
  <si>
    <t>00-00-31-1676-0034-0000</t>
  </si>
  <si>
    <t>2752 SEA GROVE LN</t>
  </si>
  <si>
    <t>3586</t>
  </si>
  <si>
    <t>574900</t>
  </si>
  <si>
    <t>10/25/2045</t>
  </si>
  <si>
    <t>HANEY HALLE B</t>
  </si>
  <si>
    <t>2752 SEA GROVE LAN</t>
  </si>
  <si>
    <t>7456.11</t>
  </si>
  <si>
    <t>00-00-31-1678-0026-0000</t>
  </si>
  <si>
    <t>000031167800260000</t>
  </si>
  <si>
    <t>MAGNOLIA WOODS CT</t>
  </si>
  <si>
    <t>00-00-31-167C-0009-0000</t>
  </si>
  <si>
    <t>SAFE HARBOR LN</t>
  </si>
  <si>
    <t>HARTLEY CHRISTOPHER C</t>
  </si>
  <si>
    <t>2410 SAFE HARBO</t>
  </si>
  <si>
    <t>00-00-31-1680-0010-0120</t>
  </si>
  <si>
    <t>000031168000100120</t>
  </si>
  <si>
    <t>3381 FLETCHER AVE S</t>
  </si>
  <si>
    <t>2469</t>
  </si>
  <si>
    <t>356000</t>
  </si>
  <si>
    <t>CLARK V HOSHALL JR</t>
  </si>
  <si>
    <t>360744.00</t>
  </si>
  <si>
    <t>96044 PINEY ISLAND DRIV</t>
  </si>
  <si>
    <t>BLOCK 10 LOTS 12 13 18 19 &amp;</t>
  </si>
  <si>
    <t>6489.45</t>
  </si>
  <si>
    <t>5962.27</t>
  </si>
  <si>
    <t>5894.62</t>
  </si>
  <si>
    <t>5739.25</t>
  </si>
  <si>
    <t>7565.74</t>
  </si>
  <si>
    <t>00-00-31-1680-0013-0110</t>
  </si>
  <si>
    <t>000031168000130110</t>
  </si>
  <si>
    <t>3635 FLETCHER AVE S</t>
  </si>
  <si>
    <t>GREENPOINT MORTGAGE FUNDING INC</t>
  </si>
  <si>
    <t>338000.00</t>
  </si>
  <si>
    <t>URIE ANTHONY M</t>
  </si>
  <si>
    <t>18130 MIDVALE AVE NORT</t>
  </si>
  <si>
    <t>Shoreline</t>
  </si>
  <si>
    <t>98133</t>
  </si>
  <si>
    <t>BLOCK 13 LOTS 11 &amp; 12 &amp;</t>
  </si>
  <si>
    <t>8150.89</t>
  </si>
  <si>
    <t>11/24/2015</t>
  </si>
  <si>
    <t>7144.09</t>
  </si>
  <si>
    <t>8343.18</t>
  </si>
  <si>
    <t>3570</t>
  </si>
  <si>
    <t>9337.99</t>
  </si>
  <si>
    <t>06/05/2012</t>
  </si>
  <si>
    <t>3513</t>
  </si>
  <si>
    <t>12546.94</t>
  </si>
  <si>
    <t>00-00-31-1680-0013-0290</t>
  </si>
  <si>
    <t>000031168000130290</t>
  </si>
  <si>
    <t>3580 1ST AVE</t>
  </si>
  <si>
    <t>2691</t>
  </si>
  <si>
    <t>209000</t>
  </si>
  <si>
    <t>ABN AMRO MORTGAGE GROUP INC</t>
  </si>
  <si>
    <t>BATES ROGER TODD &amp;</t>
  </si>
  <si>
    <t>3580 FIRST AV</t>
  </si>
  <si>
    <t>BLOCK 13 LOTS 29  30  31  32</t>
  </si>
  <si>
    <t>6721.48</t>
  </si>
  <si>
    <t>7625.41</t>
  </si>
  <si>
    <t>9723.77</t>
  </si>
  <si>
    <t>3571</t>
  </si>
  <si>
    <t>9112.23</t>
  </si>
  <si>
    <t>05/02/2013</t>
  </si>
  <si>
    <t>00-00-31-1680-0019-0110</t>
  </si>
  <si>
    <t>MINNALOTA AV</t>
  </si>
  <si>
    <t>11323 PHILLIPS HWY DR E STE</t>
  </si>
  <si>
    <t>BLOCK 19 LOT 11</t>
  </si>
  <si>
    <t>00-00-31-1680-0019-0120</t>
  </si>
  <si>
    <t>ROBERT L WIGGINS SR</t>
  </si>
  <si>
    <t>BLOCK 19 LOTS 12 13</t>
  </si>
  <si>
    <t>1669.28</t>
  </si>
  <si>
    <t>00-00-31-1681-0004-0000</t>
  </si>
  <si>
    <t>3978 1ST AV</t>
  </si>
  <si>
    <t>E TRADE BANK</t>
  </si>
  <si>
    <t>12/16/2020</t>
  </si>
  <si>
    <t>ALPHA INVESTMENTS OF ST</t>
  </si>
  <si>
    <t>242 OCEAN CAY BLV</t>
  </si>
  <si>
    <t>2081</t>
  </si>
  <si>
    <t>5298.84</t>
  </si>
  <si>
    <t>03/04/2018</t>
  </si>
  <si>
    <t>00-00-31-1690-0004-0000</t>
  </si>
  <si>
    <t>000031169000040000</t>
  </si>
  <si>
    <t>34 14TH ST N</t>
  </si>
  <si>
    <t>LOTS 4 &amp; 5</t>
  </si>
  <si>
    <t>2993.19</t>
  </si>
  <si>
    <t>2800.27</t>
  </si>
  <si>
    <t>2890.26</t>
  </si>
  <si>
    <t>2850.15</t>
  </si>
  <si>
    <t>2847.83</t>
  </si>
  <si>
    <t>3397.53</t>
  </si>
  <si>
    <t>00-00-31-1700-0023-0000</t>
  </si>
  <si>
    <t>000031170000230000</t>
  </si>
  <si>
    <t>843 MARY ST</t>
  </si>
  <si>
    <t>03/28/2007</t>
  </si>
  <si>
    <t>TUTEN FRANK DAVID</t>
  </si>
  <si>
    <t>843 MARY S</t>
  </si>
  <si>
    <t>LOT 23 (EX SO 6 FT) &amp;</t>
  </si>
  <si>
    <t>2788.47</t>
  </si>
  <si>
    <t>2591.27</t>
  </si>
  <si>
    <t>01/20/2017</t>
  </si>
  <si>
    <t>2595.80</t>
  </si>
  <si>
    <t>2488.27</t>
  </si>
  <si>
    <t>12/29/2014</t>
  </si>
  <si>
    <t>2621.11</t>
  </si>
  <si>
    <t>2488.21</t>
  </si>
  <si>
    <t>3575</t>
  </si>
  <si>
    <t>2403.20</t>
  </si>
  <si>
    <t>3520</t>
  </si>
  <si>
    <t>2592.34</t>
  </si>
  <si>
    <t>00-00-31-1720-000A-0110</t>
  </si>
  <si>
    <t>3075 1ST AVE</t>
  </si>
  <si>
    <t>314000</t>
  </si>
  <si>
    <t>AARON BELL</t>
  </si>
  <si>
    <t>08/31/2018</t>
  </si>
  <si>
    <t>4335.75</t>
  </si>
  <si>
    <t>00-00-31-1720-000A-0140</t>
  </si>
  <si>
    <t>000031-1720000A-0140</t>
  </si>
  <si>
    <t>3094 1ST AVE</t>
  </si>
  <si>
    <t>382000.00</t>
  </si>
  <si>
    <t>10/01/2016</t>
  </si>
  <si>
    <t>11323 PHILIPS PKWY DR E STE</t>
  </si>
  <si>
    <t>1480.27</t>
  </si>
  <si>
    <t>00-00-31-1741-0001-0010</t>
  </si>
  <si>
    <t>000031174100010010</t>
  </si>
  <si>
    <t>3205 EVENTIDE CT</t>
  </si>
  <si>
    <t>3652</t>
  </si>
  <si>
    <t>228750</t>
  </si>
  <si>
    <t>SB1 FCU</t>
  </si>
  <si>
    <t>06/16/2011</t>
  </si>
  <si>
    <t>07/01/2041</t>
  </si>
  <si>
    <t>TOLBERT CARLTON E JR &amp;</t>
  </si>
  <si>
    <t>38.6%)&amp; WILSON KATHLEEN LIV TST ETA</t>
  </si>
  <si>
    <t>19119</t>
  </si>
  <si>
    <t>LOT 1-1</t>
  </si>
  <si>
    <t>7441.23</t>
  </si>
  <si>
    <t>00-00-31-1760-0005-0020</t>
  </si>
  <si>
    <t>000031176000050020</t>
  </si>
  <si>
    <t>201 FRONT ST N</t>
  </si>
  <si>
    <t>WHLSALE OUTLET PROD</t>
  </si>
  <si>
    <t>3956</t>
  </si>
  <si>
    <t>298000</t>
  </si>
  <si>
    <t>BOX 15</t>
  </si>
  <si>
    <t>PT LOT 5 IN OR 788/1368</t>
  </si>
  <si>
    <t>4901.30</t>
  </si>
  <si>
    <t>2941.93</t>
  </si>
  <si>
    <t>3543.41</t>
  </si>
  <si>
    <t>3454.92</t>
  </si>
  <si>
    <t>2583</t>
  </si>
  <si>
    <t>3568.25</t>
  </si>
  <si>
    <t>4340.45</t>
  </si>
  <si>
    <t>3584</t>
  </si>
  <si>
    <t>4245.39</t>
  </si>
  <si>
    <t>3533</t>
  </si>
  <si>
    <t>5170.65</t>
  </si>
  <si>
    <t>00-00-31-179D-348B-0000</t>
  </si>
  <si>
    <t>348 FLETCHER AVE S B</t>
  </si>
  <si>
    <t>LEE MICHAEL PAUL</t>
  </si>
  <si>
    <t>348B S FLETCHER A</t>
  </si>
  <si>
    <t>LOT 348-B   IN OR 580/1297</t>
  </si>
  <si>
    <t>00-00-31-1800-0001-0012</t>
  </si>
  <si>
    <t>000031180000010012</t>
  </si>
  <si>
    <t>101 CENTRE ST</t>
  </si>
  <si>
    <t>6100</t>
  </si>
  <si>
    <t>MARIO MANGANARO</t>
  </si>
  <si>
    <t>48000.00</t>
  </si>
  <si>
    <t>11/16/2010</t>
  </si>
  <si>
    <t>TOUNDAS PATRICIA C</t>
  </si>
  <si>
    <t>96213 BLACKROCK ROA</t>
  </si>
  <si>
    <t>BLK 1 W1/2 OF LOTS 1,2,3 &amp; 4</t>
  </si>
  <si>
    <t>10095.26</t>
  </si>
  <si>
    <t>9238.26</t>
  </si>
  <si>
    <t>9173.77</t>
  </si>
  <si>
    <t>05/03/2017</t>
  </si>
  <si>
    <t>8334.06</t>
  </si>
  <si>
    <t>2585</t>
  </si>
  <si>
    <t>8298.15</t>
  </si>
  <si>
    <t>9854.06</t>
  </si>
  <si>
    <t>3591</t>
  </si>
  <si>
    <t>9641.37</t>
  </si>
  <si>
    <t>3537</t>
  </si>
  <si>
    <t>11015.85</t>
  </si>
  <si>
    <t>00-00-31-1800-0008-0020</t>
  </si>
  <si>
    <t>000031180000080020</t>
  </si>
  <si>
    <t>N 2ND ST</t>
  </si>
  <si>
    <t>CYRIL V HIGGS</t>
  </si>
  <si>
    <t>32000.00</t>
  </si>
  <si>
    <t>05/01/2003</t>
  </si>
  <si>
    <t>BLOCK 8 LOTS 2 THRU 4</t>
  </si>
  <si>
    <t>904.11</t>
  </si>
  <si>
    <t>910.34</t>
  </si>
  <si>
    <t>916.68</t>
  </si>
  <si>
    <t>886.01</t>
  </si>
  <si>
    <t>2587</t>
  </si>
  <si>
    <t>850.61</t>
  </si>
  <si>
    <t>3592</t>
  </si>
  <si>
    <t>948.33</t>
  </si>
  <si>
    <t>1038.44</t>
  </si>
  <si>
    <t>00-00-31-1800-0008-0310</t>
  </si>
  <si>
    <t>000031180000080310</t>
  </si>
  <si>
    <t>211 BROOME ST</t>
  </si>
  <si>
    <t>CLAYTON KERSTIN (3/16%) &amp;</t>
  </si>
  <si>
    <t>3/16%) &amp;HOLMES WM O &amp; LAWRENCE &amp;HOLMES THEODORE ETA</t>
  </si>
  <si>
    <t>BLOCK 8 LOTS 31 &amp; 32 &amp;</t>
  </si>
  <si>
    <t>2950.77</t>
  </si>
  <si>
    <t>2896.12</t>
  </si>
  <si>
    <t>2700.97</t>
  </si>
  <si>
    <t>10/29/2015</t>
  </si>
  <si>
    <t>2288.67</t>
  </si>
  <si>
    <t>00-00-31-1800-0011-0240</t>
  </si>
  <si>
    <t>000031180000110240</t>
  </si>
  <si>
    <t>211 S 4TH ST</t>
  </si>
  <si>
    <t>242000</t>
  </si>
  <si>
    <t>VILLANI NICHOLAS</t>
  </si>
  <si>
    <t>7838 GRANITE WALK A</t>
  </si>
  <si>
    <t>Las Vegas</t>
  </si>
  <si>
    <t>89178</t>
  </si>
  <si>
    <t>BLOCK 11 LOTS 24 THRU 30 INC</t>
  </si>
  <si>
    <t>3349.49</t>
  </si>
  <si>
    <t>00-00-31-1800-0017-0180</t>
  </si>
  <si>
    <t>000031180000170180</t>
  </si>
  <si>
    <t>331 4TH ST N</t>
  </si>
  <si>
    <t>TAYLOR MAMIE EST</t>
  </si>
  <si>
    <t>841 MARY STREET APT</t>
  </si>
  <si>
    <t>BLOCK 17 LOT 18</t>
  </si>
  <si>
    <t>411.24</t>
  </si>
  <si>
    <t>389.45</t>
  </si>
  <si>
    <t>323.97</t>
  </si>
  <si>
    <t>11/18/2014</t>
  </si>
  <si>
    <t>323.62</t>
  </si>
  <si>
    <t>306.39</t>
  </si>
  <si>
    <t>3598</t>
  </si>
  <si>
    <t>299.02</t>
  </si>
  <si>
    <t>744.78</t>
  </si>
  <si>
    <t>00-00-31-1800-0019-0020</t>
  </si>
  <si>
    <t>000031180000190020</t>
  </si>
  <si>
    <t>N 4TH ST</t>
  </si>
  <si>
    <t>HOWARD JAMES W ESTATE</t>
  </si>
  <si>
    <t>BLOCK 19 LOT 2</t>
  </si>
  <si>
    <t>820.43</t>
  </si>
  <si>
    <t>736.74</t>
  </si>
  <si>
    <t>712.24</t>
  </si>
  <si>
    <t>711.42</t>
  </si>
  <si>
    <t>682.31</t>
  </si>
  <si>
    <t>3599</t>
  </si>
  <si>
    <t>666.78</t>
  </si>
  <si>
    <t>3546</t>
  </si>
  <si>
    <t>729.49</t>
  </si>
  <si>
    <t>00-00-31-1800-0019-0130</t>
  </si>
  <si>
    <t>000031180000190130</t>
  </si>
  <si>
    <t>N 5TH ST</t>
  </si>
  <si>
    <t>STEWART WILLIAM E</t>
  </si>
  <si>
    <t>BLOCK 19 LOT 13</t>
  </si>
  <si>
    <t>140.49</t>
  </si>
  <si>
    <t>136.84</t>
  </si>
  <si>
    <t>61.08</t>
  </si>
  <si>
    <t>2318</t>
  </si>
  <si>
    <t>59.75</t>
  </si>
  <si>
    <t>59.71</t>
  </si>
  <si>
    <t>97.55</t>
  </si>
  <si>
    <t>94.72</t>
  </si>
  <si>
    <t>3547</t>
  </si>
  <si>
    <t>101.69</t>
  </si>
  <si>
    <t>00-00-31-1800-0019-0140</t>
  </si>
  <si>
    <t>000031180000190140</t>
  </si>
  <si>
    <t>DADE ST</t>
  </si>
  <si>
    <t>26800</t>
  </si>
  <si>
    <t>BLOCK 19 LOTS 14 &amp; 15</t>
  </si>
  <si>
    <t>355.45</t>
  </si>
  <si>
    <t>354.66</t>
  </si>
  <si>
    <t>334.69</t>
  </si>
  <si>
    <t>415.01</t>
  </si>
  <si>
    <t>3601</t>
  </si>
  <si>
    <t>405.27</t>
  </si>
  <si>
    <t>3548</t>
  </si>
  <si>
    <t>442.50</t>
  </si>
  <si>
    <t>00-00-31-1800-0023-0130</t>
  </si>
  <si>
    <t>415 CENTRE ST</t>
  </si>
  <si>
    <t>3906</t>
  </si>
  <si>
    <t>FRANKLIN SYNERGY BANK</t>
  </si>
  <si>
    <t>800000.00</t>
  </si>
  <si>
    <t>05/14/2026</t>
  </si>
  <si>
    <t>WHITMIRE JENNIFER N</t>
  </si>
  <si>
    <t>4045 BRANDYWINE POINTE BLV</t>
  </si>
  <si>
    <t>Old Hickory</t>
  </si>
  <si>
    <t>37138</t>
  </si>
  <si>
    <t>BLK 23 LOT 14 &amp; E 30FT OF LOT</t>
  </si>
  <si>
    <t>19815.65</t>
  </si>
  <si>
    <t>00-00-31-1800-0026-0020</t>
  </si>
  <si>
    <t>216 4TH ST S A&amp;B</t>
  </si>
  <si>
    <t>RICHO JEROME &amp;</t>
  </si>
  <si>
    <t>330 S 12TH STREE</t>
  </si>
  <si>
    <t>BLOCK 26 LOT 2 &amp; N1/2 OF 3</t>
  </si>
  <si>
    <t>00-00-31-1800-0026-0050</t>
  </si>
  <si>
    <t>000031180000260050</t>
  </si>
  <si>
    <t>222 4TH ST S</t>
  </si>
  <si>
    <t>EARNEST &amp; KHEMANI PROPERTIES</t>
  </si>
  <si>
    <t>4896 HUGH HOWELL ROA</t>
  </si>
  <si>
    <t>Stone Mountain</t>
  </si>
  <si>
    <t>30087</t>
  </si>
  <si>
    <t>BLOCK 26 LOT N45 FT OF 5 &amp;</t>
  </si>
  <si>
    <t>00-00-31-1800-0026-0140</t>
  </si>
  <si>
    <t>410 BEECH ST</t>
  </si>
  <si>
    <t>BREAKER MARY L L/E</t>
  </si>
  <si>
    <t>1619 W 30TH S</t>
  </si>
  <si>
    <t>BLOCK 26 LOT 14</t>
  </si>
  <si>
    <t>2764.41</t>
  </si>
  <si>
    <t>00-00-31-1800-0026-0150</t>
  </si>
  <si>
    <t>BREAKER MARY LOUISE L/E</t>
  </si>
  <si>
    <t>BLOCK 26 LOT 15</t>
  </si>
  <si>
    <t>902.88</t>
  </si>
  <si>
    <t>00-00-31-1800-0027-0041</t>
  </si>
  <si>
    <t>S 5TH ST</t>
  </si>
  <si>
    <t>CHAMPION WALTER EST</t>
  </si>
  <si>
    <t>221 S 5TH S</t>
  </si>
  <si>
    <t>S 5' OF E 40' OF LOT 4</t>
  </si>
  <si>
    <t>00-00-31-1800-0030-0014</t>
  </si>
  <si>
    <t>000031180000300014</t>
  </si>
  <si>
    <t>CENTRE ST</t>
  </si>
  <si>
    <t>NORTHWOODS LLC</t>
  </si>
  <si>
    <t>3190 NORTHEAST EXPRESSWAY #12</t>
  </si>
  <si>
    <t>30341</t>
  </si>
  <si>
    <t>BLK 30 E 3.40FT OF W 35FT OF</t>
  </si>
  <si>
    <t>330.91</t>
  </si>
  <si>
    <t>333.35</t>
  </si>
  <si>
    <t>2321</t>
  </si>
  <si>
    <t>322.90</t>
  </si>
  <si>
    <t>305.82</t>
  </si>
  <si>
    <t>3605</t>
  </si>
  <si>
    <t>299.00</t>
  </si>
  <si>
    <t>3554</t>
  </si>
  <si>
    <t>349.84</t>
  </si>
  <si>
    <t>00-00-31-1800-0033-0130</t>
  </si>
  <si>
    <t>000031180000330130</t>
  </si>
  <si>
    <t>N 6TH ST</t>
  </si>
  <si>
    <t>HARRIS CHARLES E JR</t>
  </si>
  <si>
    <t>1280 NW 58TH TERRAC</t>
  </si>
  <si>
    <t>BLOCK 33 LOT 13</t>
  </si>
  <si>
    <t>853.65</t>
  </si>
  <si>
    <t>1010.86</t>
  </si>
  <si>
    <t>2322</t>
  </si>
  <si>
    <t>904.81</t>
  </si>
  <si>
    <t>2601</t>
  </si>
  <si>
    <t>797.62</t>
  </si>
  <si>
    <t>765.87</t>
  </si>
  <si>
    <t>3606</t>
  </si>
  <si>
    <t>748.50</t>
  </si>
  <si>
    <t>3555</t>
  </si>
  <si>
    <t>1805.74</t>
  </si>
  <si>
    <t>00-00-31-1800-0041-0030</t>
  </si>
  <si>
    <t>S 7TH ST</t>
  </si>
  <si>
    <t>BLK 41 LOT 3</t>
  </si>
  <si>
    <t>00-00-31-1800-0048-0031</t>
  </si>
  <si>
    <t>000031180000480031</t>
  </si>
  <si>
    <t>218 9TH ST S</t>
  </si>
  <si>
    <t>MACEDONIA A M E CHURCH</t>
  </si>
  <si>
    <t>BOX 621</t>
  </si>
  <si>
    <t>BLOCK 48 N1/2 OF LOT 3</t>
  </si>
  <si>
    <t>1636.02</t>
  </si>
  <si>
    <t>1558.72</t>
  </si>
  <si>
    <t>1204.58</t>
  </si>
  <si>
    <t>1507.96</t>
  </si>
  <si>
    <t>00-00-31-1800-0048-0041</t>
  </si>
  <si>
    <t>000031180000480041</t>
  </si>
  <si>
    <t>905 CEDAR ST</t>
  </si>
  <si>
    <t>155988.00</t>
  </si>
  <si>
    <t>12/18/2006</t>
  </si>
  <si>
    <t>BLUE QUINTIN O</t>
  </si>
  <si>
    <t>905 CEDAR S</t>
  </si>
  <si>
    <t>BLOCK 48 LOT E1/2 OF 4</t>
  </si>
  <si>
    <t>634.03</t>
  </si>
  <si>
    <t>2174</t>
  </si>
  <si>
    <t>636.97</t>
  </si>
  <si>
    <t>07/06/2015</t>
  </si>
  <si>
    <t>00-00-31-1800-0048-0042</t>
  </si>
  <si>
    <t>000031180000480042</t>
  </si>
  <si>
    <t>901 CEDAR ST</t>
  </si>
  <si>
    <t>PO BOX 621</t>
  </si>
  <si>
    <t>BLOCK 48 LOT W1/2 OF 4</t>
  </si>
  <si>
    <t>2109</t>
  </si>
  <si>
    <t>1611.37</t>
  </si>
  <si>
    <t>1540.42</t>
  </si>
  <si>
    <t>2175</t>
  </si>
  <si>
    <t>1439.91</t>
  </si>
  <si>
    <t>1202.02</t>
  </si>
  <si>
    <t>00-00-31-1800-0048-0051</t>
  </si>
  <si>
    <t>000031180000480051</t>
  </si>
  <si>
    <t>913 CEDAR ST</t>
  </si>
  <si>
    <t>JOHNSON GEORGIA L EST &amp;</t>
  </si>
  <si>
    <t>BLOCK 48 LOT E1/2 OF 5</t>
  </si>
  <si>
    <t>3612</t>
  </si>
  <si>
    <t>858.58</t>
  </si>
  <si>
    <t>09/19/2011</t>
  </si>
  <si>
    <t>00-00-31-1800-0049-0010</t>
  </si>
  <si>
    <t>000031180000490010</t>
  </si>
  <si>
    <t>112 9TH ST S</t>
  </si>
  <si>
    <t>2907</t>
  </si>
  <si>
    <t>DAVIS-TAYLOR CECILIA M</t>
  </si>
  <si>
    <t>112 S 9TH S</t>
  </si>
  <si>
    <t>BLOCK 49 LOTS 1 2 &amp; 7</t>
  </si>
  <si>
    <t>2458.30</t>
  </si>
  <si>
    <t>2449.25</t>
  </si>
  <si>
    <t>2333</t>
  </si>
  <si>
    <t>2328.77</t>
  </si>
  <si>
    <t>2278.14</t>
  </si>
  <si>
    <t>3563</t>
  </si>
  <si>
    <t>1933.48</t>
  </si>
  <si>
    <t>00-00-31-1800-0051-0060</t>
  </si>
  <si>
    <t>000031180000510060</t>
  </si>
  <si>
    <t>N 10TH ST</t>
  </si>
  <si>
    <t>BAKER INEZ EST</t>
  </si>
  <si>
    <t>923 VERNON S</t>
  </si>
  <si>
    <t>BLOCK 51 LOTS 6 7</t>
  </si>
  <si>
    <t>333.55</t>
  </si>
  <si>
    <t>332.47</t>
  </si>
  <si>
    <t>367.11</t>
  </si>
  <si>
    <t>366.70</t>
  </si>
  <si>
    <t>07/25/2013</t>
  </si>
  <si>
    <t>3615</t>
  </si>
  <si>
    <t>339.89</t>
  </si>
  <si>
    <t>3567</t>
  </si>
  <si>
    <t>370.75</t>
  </si>
  <si>
    <t>05/03/2011</t>
  </si>
  <si>
    <t>00-00-31-1800-0052-0021</t>
  </si>
  <si>
    <t>000031180000520021</t>
  </si>
  <si>
    <t>16 10TH ST N</t>
  </si>
  <si>
    <t>RICHO CATHERINE SUSIE &amp;</t>
  </si>
  <si>
    <t>16 N 10TH ST</t>
  </si>
  <si>
    <t>BLOCK 52 LOT N1/2 OF 2</t>
  </si>
  <si>
    <t>1454.59</t>
  </si>
  <si>
    <t>1462.58</t>
  </si>
  <si>
    <t>1368.42</t>
  </si>
  <si>
    <t>1174.90</t>
  </si>
  <si>
    <t>2614</t>
  </si>
  <si>
    <t>1151.60</t>
  </si>
  <si>
    <t>1167.81</t>
  </si>
  <si>
    <t>04/25/2013</t>
  </si>
  <si>
    <t>3616</t>
  </si>
  <si>
    <t>1214.24</t>
  </si>
  <si>
    <t>00-00-31-1800-0054-0051</t>
  </si>
  <si>
    <t>000031180000540051</t>
  </si>
  <si>
    <t>125 11TH ST S</t>
  </si>
  <si>
    <t>BLUE ROBERT ELLIOTT JR &amp;</t>
  </si>
  <si>
    <t>PO BOX 579</t>
  </si>
  <si>
    <t>BLK 54 E 50' &amp; E 25' OF N35'</t>
  </si>
  <si>
    <t>361.48</t>
  </si>
  <si>
    <t>313.51</t>
  </si>
  <si>
    <t>300.41</t>
  </si>
  <si>
    <t>264.42</t>
  </si>
  <si>
    <t>283.11</t>
  </si>
  <si>
    <t>10/26/2015</t>
  </si>
  <si>
    <t>357.44</t>
  </si>
  <si>
    <t>3618</t>
  </si>
  <si>
    <t>374.02</t>
  </si>
  <si>
    <t>00-00-31-1800-0054-0052</t>
  </si>
  <si>
    <t>000031180000540052</t>
  </si>
  <si>
    <t>1015 BEECH ST</t>
  </si>
  <si>
    <t>BLUE SHUNTAY LAWANNA</t>
  </si>
  <si>
    <t>PO BOX 57</t>
  </si>
  <si>
    <t>BLOCK 54 LOT S65'FT OF E50' OF</t>
  </si>
  <si>
    <t>400.51</t>
  </si>
  <si>
    <t>406.98</t>
  </si>
  <si>
    <t>363.28</t>
  </si>
  <si>
    <t>2617</t>
  </si>
  <si>
    <t>305.80</t>
  </si>
  <si>
    <t>3619</t>
  </si>
  <si>
    <t>286.67</t>
  </si>
  <si>
    <t>258.87</t>
  </si>
  <si>
    <t>00-00-31-1800-0054-0053</t>
  </si>
  <si>
    <t>000031180000540053</t>
  </si>
  <si>
    <t>BEECH ST</t>
  </si>
  <si>
    <t>RAYSOR SHUNTAY B &amp;</t>
  </si>
  <si>
    <t>BLOCK 54 W 50' OFF W 65' &amp;</t>
  </si>
  <si>
    <t>641.84</t>
  </si>
  <si>
    <t>526.54</t>
  </si>
  <si>
    <t>530.14</t>
  </si>
  <si>
    <t>512.16</t>
  </si>
  <si>
    <t>726.72</t>
  </si>
  <si>
    <t>3620</t>
  </si>
  <si>
    <t>00-00-31-1800-0055-0032</t>
  </si>
  <si>
    <t>000031180000550032</t>
  </si>
  <si>
    <t>222 10TH ST S</t>
  </si>
  <si>
    <t>11/30/2004</t>
  </si>
  <si>
    <t>TURNER CYNTHIA E DAVIS</t>
  </si>
  <si>
    <t>BOX 126</t>
  </si>
  <si>
    <t>BLOCK 55 LOT S1/2 OF 3</t>
  </si>
  <si>
    <t>1208.67</t>
  </si>
  <si>
    <t>1113.33</t>
  </si>
  <si>
    <t>1033.49</t>
  </si>
  <si>
    <t>881.86</t>
  </si>
  <si>
    <t>841.55</t>
  </si>
  <si>
    <t>1060.14</t>
  </si>
  <si>
    <t>00-00-31-1800-0065-0011</t>
  </si>
  <si>
    <t>000031180000650011</t>
  </si>
  <si>
    <t>432 ESCAMBIA ST</t>
  </si>
  <si>
    <t>SHINE CELESTINE EST</t>
  </si>
  <si>
    <t>2304 JOHNS C</t>
  </si>
  <si>
    <t>Antioch</t>
  </si>
  <si>
    <t>94531</t>
  </si>
  <si>
    <t>BLOCK 65 LOT E1/2 OF 1</t>
  </si>
  <si>
    <t>467.54</t>
  </si>
  <si>
    <t>336.60</t>
  </si>
  <si>
    <t>288.08</t>
  </si>
  <si>
    <t>281.26</t>
  </si>
  <si>
    <t>278.76</t>
  </si>
  <si>
    <t>3624</t>
  </si>
  <si>
    <t>283.50</t>
  </si>
  <si>
    <t>3574</t>
  </si>
  <si>
    <t>448.60</t>
  </si>
  <si>
    <t>00-00-31-1800-0067-0080</t>
  </si>
  <si>
    <t>000031180000670080</t>
  </si>
  <si>
    <t>N 8TH ST</t>
  </si>
  <si>
    <t>BLOCK 67 LOT 8 EX N 10 FT</t>
  </si>
  <si>
    <t>148.63</t>
  </si>
  <si>
    <t>129.87</t>
  </si>
  <si>
    <t>122.52</t>
  </si>
  <si>
    <t>2345</t>
  </si>
  <si>
    <t>2622</t>
  </si>
  <si>
    <t>04/29/2015</t>
  </si>
  <si>
    <t>154.98</t>
  </si>
  <si>
    <t>3626</t>
  </si>
  <si>
    <t>160.09</t>
  </si>
  <si>
    <t>3576</t>
  </si>
  <si>
    <t>173.44</t>
  </si>
  <si>
    <t>00-00-31-1800-0068-0040</t>
  </si>
  <si>
    <t>000031180000680040</t>
  </si>
  <si>
    <t>CALHOUN ST</t>
  </si>
  <si>
    <t>SNIPE VIOLA &amp;</t>
  </si>
  <si>
    <t>914 CALHOUN S</t>
  </si>
  <si>
    <t>BLOCK 68 LOT 4</t>
  </si>
  <si>
    <t>37.93</t>
  </si>
  <si>
    <t>33.08</t>
  </si>
  <si>
    <t>33.16</t>
  </si>
  <si>
    <t>43.94</t>
  </si>
  <si>
    <t>32.56</t>
  </si>
  <si>
    <t>23.71</t>
  </si>
  <si>
    <t>3627</t>
  </si>
  <si>
    <t>21.17</t>
  </si>
  <si>
    <t>00-00-31-1800-0071-0031</t>
  </si>
  <si>
    <t>000031180000710031</t>
  </si>
  <si>
    <t>222 N 8TH ST</t>
  </si>
  <si>
    <t>BLOCK 71 LOT N 1/3 OF 3</t>
  </si>
  <si>
    <t>472.92</t>
  </si>
  <si>
    <t>387.93</t>
  </si>
  <si>
    <t>390.53</t>
  </si>
  <si>
    <t>377.90</t>
  </si>
  <si>
    <t>2625</t>
  </si>
  <si>
    <t>377.50</t>
  </si>
  <si>
    <t>530.92</t>
  </si>
  <si>
    <t>3629</t>
  </si>
  <si>
    <t>552.39</t>
  </si>
  <si>
    <t>3578</t>
  </si>
  <si>
    <t>603.93</t>
  </si>
  <si>
    <t>00-00-31-1800-0072-0011</t>
  </si>
  <si>
    <t>000031180000720011</t>
  </si>
  <si>
    <t>316 N 8TH ST</t>
  </si>
  <si>
    <t>BLOCK 72 LOT N 25 FT OF 1</t>
  </si>
  <si>
    <t>60.78</t>
  </si>
  <si>
    <t>49.93</t>
  </si>
  <si>
    <t>62.55</t>
  </si>
  <si>
    <t>2626</t>
  </si>
  <si>
    <t>48.92</t>
  </si>
  <si>
    <t>53.15</t>
  </si>
  <si>
    <t>3630</t>
  </si>
  <si>
    <t>53.85</t>
  </si>
  <si>
    <t>3579</t>
  </si>
  <si>
    <t>56.85</t>
  </si>
  <si>
    <t>00-00-31-1800-0072-0012</t>
  </si>
  <si>
    <t>000031180000720012</t>
  </si>
  <si>
    <t>BLOCK 72 LOT S 75 FT OF 1</t>
  </si>
  <si>
    <t>85.79</t>
  </si>
  <si>
    <t>70.24</t>
  </si>
  <si>
    <t>70.57</t>
  </si>
  <si>
    <t>86.53</t>
  </si>
  <si>
    <t>2627</t>
  </si>
  <si>
    <t>68.86</t>
  </si>
  <si>
    <t>82.12</t>
  </si>
  <si>
    <t>3631</t>
  </si>
  <si>
    <t>84.10</t>
  </si>
  <si>
    <t>3580</t>
  </si>
  <si>
    <t>00-00-31-1800-0072-0013</t>
  </si>
  <si>
    <t>000031180000720013</t>
  </si>
  <si>
    <t>BLOCK 72 S75' OF W1/2 OF LOT 1</t>
  </si>
  <si>
    <t>614.82</t>
  </si>
  <si>
    <t>2111</t>
  </si>
  <si>
    <t>504.36</t>
  </si>
  <si>
    <t>507.80</t>
  </si>
  <si>
    <t>491.14</t>
  </si>
  <si>
    <t>490.59</t>
  </si>
  <si>
    <t>695.39</t>
  </si>
  <si>
    <t>3632</t>
  </si>
  <si>
    <t>723.99</t>
  </si>
  <si>
    <t>3581</t>
  </si>
  <si>
    <t>792.26</t>
  </si>
  <si>
    <t>00-00-31-1800-0072-0020</t>
  </si>
  <si>
    <t>000031180000720020</t>
  </si>
  <si>
    <t>BLOCK 72 LOT 2</t>
  </si>
  <si>
    <t>1040.46</t>
  </si>
  <si>
    <t>2196</t>
  </si>
  <si>
    <t>859.59</t>
  </si>
  <si>
    <t>830.87</t>
  </si>
  <si>
    <t>1188.80</t>
  </si>
  <si>
    <t>3633</t>
  </si>
  <si>
    <t>1238.84</t>
  </si>
  <si>
    <t>3582</t>
  </si>
  <si>
    <t>1357.30</t>
  </si>
  <si>
    <t>00-00-31-1800-0072-0030</t>
  </si>
  <si>
    <t>000031180000720030</t>
  </si>
  <si>
    <t>BLOCK 72 LOT 3</t>
  </si>
  <si>
    <t>3634</t>
  </si>
  <si>
    <t>3583</t>
  </si>
  <si>
    <t>00-00-31-1800-0072-0071</t>
  </si>
  <si>
    <t>000031180000720071</t>
  </si>
  <si>
    <t>319 N 9TH ST</t>
  </si>
  <si>
    <t>BLOCK 72 LOT N1/2 OF 7</t>
  </si>
  <si>
    <t>136.48</t>
  </si>
  <si>
    <t>141.14</t>
  </si>
  <si>
    <t>143.94</t>
  </si>
  <si>
    <t>129.74</t>
  </si>
  <si>
    <t>118.45</t>
  </si>
  <si>
    <t>3636</t>
  </si>
  <si>
    <t>115.17</t>
  </si>
  <si>
    <t>3585</t>
  </si>
  <si>
    <t>146.52</t>
  </si>
  <si>
    <t>00-00-31-1800-0072-0072</t>
  </si>
  <si>
    <t>000031180000720072</t>
  </si>
  <si>
    <t>N 9TH ST</t>
  </si>
  <si>
    <t>BLOCK 72 LOT S1/2 OF 7</t>
  </si>
  <si>
    <t>2354</t>
  </si>
  <si>
    <t>3637</t>
  </si>
  <si>
    <t>00-00-31-1800-0077-0031</t>
  </si>
  <si>
    <t>000031180000770031</t>
  </si>
  <si>
    <t>320 9TH ST N</t>
  </si>
  <si>
    <t>WRIGHT LOIS</t>
  </si>
  <si>
    <t>1372 WASHINGTON AV #13</t>
  </si>
  <si>
    <t>Bronx</t>
  </si>
  <si>
    <t>10456</t>
  </si>
  <si>
    <t>BLOCK 77 N 1/2 OF LOT 3</t>
  </si>
  <si>
    <t>616.46</t>
  </si>
  <si>
    <t>2117</t>
  </si>
  <si>
    <t>619.00</t>
  </si>
  <si>
    <t>2201</t>
  </si>
  <si>
    <t>607.82</t>
  </si>
  <si>
    <t>551.20</t>
  </si>
  <si>
    <t>704.05</t>
  </si>
  <si>
    <t>703.62</t>
  </si>
  <si>
    <t>3638</t>
  </si>
  <si>
    <t>712.68</t>
  </si>
  <si>
    <t>3587</t>
  </si>
  <si>
    <t>878.04</t>
  </si>
  <si>
    <t>00-00-31-1800-0077-0071</t>
  </si>
  <si>
    <t>000031180000770071</t>
  </si>
  <si>
    <t>DEHART FINANCIAL SERVIES</t>
  </si>
  <si>
    <t>10/01/2025</t>
  </si>
  <si>
    <t>PO BOX 1516</t>
  </si>
  <si>
    <t>BLOCK 77 N1/2 OF LOT 7</t>
  </si>
  <si>
    <t>3639</t>
  </si>
  <si>
    <t>07/14/2011</t>
  </si>
  <si>
    <t>09/28/2010</t>
  </si>
  <si>
    <t>00-00-31-1800-0078-0020</t>
  </si>
  <si>
    <t>000031180000780020</t>
  </si>
  <si>
    <t>BLOCK 78 LOTS 2 3 6</t>
  </si>
  <si>
    <t>645.58</t>
  </si>
  <si>
    <t>00-00-31-1800-0081-0030</t>
  </si>
  <si>
    <t>000031180000810030</t>
  </si>
  <si>
    <t>222 10TH ST N</t>
  </si>
  <si>
    <t>DAVIS JOHN L EST</t>
  </si>
  <si>
    <t>222 N 10TH S</t>
  </si>
  <si>
    <t>BLOCK 81 LOT 3 OR 130/615</t>
  </si>
  <si>
    <t>1080.22</t>
  </si>
  <si>
    <t>2202</t>
  </si>
  <si>
    <t>1074.16</t>
  </si>
  <si>
    <t>3642</t>
  </si>
  <si>
    <t>874.87</t>
  </si>
  <si>
    <t>00-00-31-1800-0082-0050</t>
  </si>
  <si>
    <t>000031180000820050</t>
  </si>
  <si>
    <t>N 11TH ST</t>
  </si>
  <si>
    <t xml:space="preserve"> ARGENT MORTGAGE CO LLC</t>
  </si>
  <si>
    <t>11/23/2004</t>
  </si>
  <si>
    <t>ALBERTIE GREGORY K &amp; KATHERINE</t>
  </si>
  <si>
    <t>319 NORTH 11TH S</t>
  </si>
  <si>
    <t>BLOCK 82 LOT 5</t>
  </si>
  <si>
    <t>114.57</t>
  </si>
  <si>
    <t>110.71</t>
  </si>
  <si>
    <t>126.97</t>
  </si>
  <si>
    <t>138.42</t>
  </si>
  <si>
    <t>153.37</t>
  </si>
  <si>
    <t>3593</t>
  </si>
  <si>
    <t>191.37</t>
  </si>
  <si>
    <t>00-00-31-1800-0082-0080</t>
  </si>
  <si>
    <t>000031180000820080</t>
  </si>
  <si>
    <t>1009 CALHOUN ST</t>
  </si>
  <si>
    <t>BOOTH SHARON H</t>
  </si>
  <si>
    <t>1009 CALHOUN S</t>
  </si>
  <si>
    <t>BLOCK 82 W1/2 OF LOT 8</t>
  </si>
  <si>
    <t>2141</t>
  </si>
  <si>
    <t>1410.54</t>
  </si>
  <si>
    <t>12/01/2017</t>
  </si>
  <si>
    <t>1306.10</t>
  </si>
  <si>
    <t>2359</t>
  </si>
  <si>
    <t>1107.74</t>
  </si>
  <si>
    <t>1061.35</t>
  </si>
  <si>
    <t>1087.99</t>
  </si>
  <si>
    <t>09/13/2013</t>
  </si>
  <si>
    <t>3644</t>
  </si>
  <si>
    <t>1109.32</t>
  </si>
  <si>
    <t>3594</t>
  </si>
  <si>
    <t>1680.84</t>
  </si>
  <si>
    <t>08/16/2010</t>
  </si>
  <si>
    <t>00-00-31-1800-0084-0040</t>
  </si>
  <si>
    <t>000031180000840040</t>
  </si>
  <si>
    <t>1012 FRANKLIN ST</t>
  </si>
  <si>
    <t>RILEY FANNIE MAE EST</t>
  </si>
  <si>
    <t>1012 FRANKLIN S</t>
  </si>
  <si>
    <t>BLOCK 84 LOT 4</t>
  </si>
  <si>
    <t>2142</t>
  </si>
  <si>
    <t>1336.74</t>
  </si>
  <si>
    <t>1034.40</t>
  </si>
  <si>
    <t>904.49</t>
  </si>
  <si>
    <t>2639</t>
  </si>
  <si>
    <t>952.03</t>
  </si>
  <si>
    <t>1003.98</t>
  </si>
  <si>
    <t>3645</t>
  </si>
  <si>
    <t>1019.83</t>
  </si>
  <si>
    <t>00-00-31-1800-0084-0051</t>
  </si>
  <si>
    <t>000031180000840051</t>
  </si>
  <si>
    <t>RILEY IDA MAE &amp;</t>
  </si>
  <si>
    <t>BLOCK 84 LOT N 1/2 OF 5</t>
  </si>
  <si>
    <t>552.53</t>
  </si>
  <si>
    <t>554.26</t>
  </si>
  <si>
    <t>558.05</t>
  </si>
  <si>
    <t>539.07</t>
  </si>
  <si>
    <t>00-00-31-1800-0129-0030</t>
  </si>
  <si>
    <t>000031180001290030</t>
  </si>
  <si>
    <t>320 8TH ST S</t>
  </si>
  <si>
    <t>BUILDING AMELIA LLC</t>
  </si>
  <si>
    <t>BLOCK 129 LOT 3</t>
  </si>
  <si>
    <t>00-00-31-1800-0129-0062</t>
  </si>
  <si>
    <t>000031180001290062</t>
  </si>
  <si>
    <t>323 S 9TH ST</t>
  </si>
  <si>
    <t>BLOCK 129 LOT S1/2 OF 6</t>
  </si>
  <si>
    <t>797.21</t>
  </si>
  <si>
    <t>3648</t>
  </si>
  <si>
    <t>779.15</t>
  </si>
  <si>
    <t>852.80</t>
  </si>
  <si>
    <t>00-00-31-1800-0130-0022</t>
  </si>
  <si>
    <t>000031180001300022</t>
  </si>
  <si>
    <t>316 9TH ST S U&amp;D</t>
  </si>
  <si>
    <t>BLOCK 130 S1/2 OF LOT 2</t>
  </si>
  <si>
    <t>1811.55</t>
  </si>
  <si>
    <t>1626.61</t>
  </si>
  <si>
    <t>1582.55</t>
  </si>
  <si>
    <t>2364</t>
  </si>
  <si>
    <t>1359.97</t>
  </si>
  <si>
    <t>2646</t>
  </si>
  <si>
    <t>1398.94</t>
  </si>
  <si>
    <t>1660.81</t>
  </si>
  <si>
    <t>3650</t>
  </si>
  <si>
    <t>1717.63</t>
  </si>
  <si>
    <t>1982.43</t>
  </si>
  <si>
    <t>00-00-31-1800-0130-0060</t>
  </si>
  <si>
    <t>317 10TH ST S</t>
  </si>
  <si>
    <t>TOLBERT CARLTON E</t>
  </si>
  <si>
    <t>45 WEST DURHAM S</t>
  </si>
  <si>
    <t>BLOCK 130 LOT 6 (EX S-1)</t>
  </si>
  <si>
    <t>00-00-31-1800-0130-0071</t>
  </si>
  <si>
    <t>000031180001300071</t>
  </si>
  <si>
    <t>311 10TH ST S</t>
  </si>
  <si>
    <t>FMF CAPITAL LLC</t>
  </si>
  <si>
    <t>68400.00</t>
  </si>
  <si>
    <t>05/01/2036</t>
  </si>
  <si>
    <t>TOLBERT CARLTON E &amp;</t>
  </si>
  <si>
    <t>45 W DURHAM S</t>
  </si>
  <si>
    <t>BLOCK 130 N1/2 OF LOT 7</t>
  </si>
  <si>
    <t>1063.98</t>
  </si>
  <si>
    <t>11/14/2013</t>
  </si>
  <si>
    <t>00-00-31-1800-0133-0060</t>
  </si>
  <si>
    <t>000031180001330060</t>
  </si>
  <si>
    <t>S 10TH ST</t>
  </si>
  <si>
    <t>YOUMAN EARL</t>
  </si>
  <si>
    <t>425 S 10TH ST</t>
  </si>
  <si>
    <t>BLK 133 LOT 6</t>
  </si>
  <si>
    <t>472.39</t>
  </si>
  <si>
    <t>410.11</t>
  </si>
  <si>
    <t>503.18</t>
  </si>
  <si>
    <t>480.54</t>
  </si>
  <si>
    <t>2652</t>
  </si>
  <si>
    <t>537.56</t>
  </si>
  <si>
    <t>3656</t>
  </si>
  <si>
    <t>651.45</t>
  </si>
  <si>
    <t>00-00-31-1800-0134-0062</t>
  </si>
  <si>
    <t>000031180001340062</t>
  </si>
  <si>
    <t>423 9TH ST S</t>
  </si>
  <si>
    <t>RAYSOR ROBIN R</t>
  </si>
  <si>
    <t>423 S 9TH S</t>
  </si>
  <si>
    <t>BLOCK 134 LOT S1/2 OF 6</t>
  </si>
  <si>
    <t>582.32</t>
  </si>
  <si>
    <t>11/27/2017</t>
  </si>
  <si>
    <t>580.60</t>
  </si>
  <si>
    <t>662.13</t>
  </si>
  <si>
    <t>03/13/2013</t>
  </si>
  <si>
    <t>3662</t>
  </si>
  <si>
    <t>695.23</t>
  </si>
  <si>
    <t>04/12/2012</t>
  </si>
  <si>
    <t>3611</t>
  </si>
  <si>
    <t>831.21</t>
  </si>
  <si>
    <t>10/05/2011</t>
  </si>
  <si>
    <t>00-00-31-1800-0135-0050</t>
  </si>
  <si>
    <t>000031180001350050</t>
  </si>
  <si>
    <t>425 S 8TH ST</t>
  </si>
  <si>
    <t>235000</t>
  </si>
  <si>
    <t>JAMES K CROFT</t>
  </si>
  <si>
    <t>229000.00</t>
  </si>
  <si>
    <t>08/15/2013</t>
  </si>
  <si>
    <t>HAIR TONY R &amp; VIRGINIA G</t>
  </si>
  <si>
    <t>BLOCK 135 LOTS 5 &amp; 6</t>
  </si>
  <si>
    <t>5580.48</t>
  </si>
  <si>
    <t>5671.30</t>
  </si>
  <si>
    <t>01/12/2017</t>
  </si>
  <si>
    <t>5717.38</t>
  </si>
  <si>
    <t>5655.38</t>
  </si>
  <si>
    <t>5645.16</t>
  </si>
  <si>
    <t>3664</t>
  </si>
  <si>
    <t>5891.92</t>
  </si>
  <si>
    <t>3613</t>
  </si>
  <si>
    <t>6091.67</t>
  </si>
  <si>
    <t>12/21/2012</t>
  </si>
  <si>
    <t>00-00-31-1800-0135-0070</t>
  </si>
  <si>
    <t>000031180001350070</t>
  </si>
  <si>
    <t>425 8TH ST S</t>
  </si>
  <si>
    <t>11/16/2001</t>
  </si>
  <si>
    <t>BLOCK 135 LOT 7</t>
  </si>
  <si>
    <t>1559.78</t>
  </si>
  <si>
    <t>1585.49</t>
  </si>
  <si>
    <t>1531.88</t>
  </si>
  <si>
    <t>1517.73</t>
  </si>
  <si>
    <t>3665</t>
  </si>
  <si>
    <t>1647.46</t>
  </si>
  <si>
    <t>3614</t>
  </si>
  <si>
    <t>1706.08</t>
  </si>
  <si>
    <t>00-00-31-1800-0139-0080</t>
  </si>
  <si>
    <t>000031180001390080</t>
  </si>
  <si>
    <t>531 6TH ST S</t>
  </si>
  <si>
    <t>JONES TERRY &amp;</t>
  </si>
  <si>
    <t>531 S 6TH S</t>
  </si>
  <si>
    <t>BLOCK 139 LOTS 8 &amp; 9</t>
  </si>
  <si>
    <t>1688.49</t>
  </si>
  <si>
    <t>01/31/2017</t>
  </si>
  <si>
    <t>2374</t>
  </si>
  <si>
    <t>1511.53</t>
  </si>
  <si>
    <t>1503.74</t>
  </si>
  <si>
    <t>1699.05</t>
  </si>
  <si>
    <t>1770.48</t>
  </si>
  <si>
    <t>00-00-31-1800-0139-0130</t>
  </si>
  <si>
    <t>000031180001390130</t>
  </si>
  <si>
    <t>511 6TH ST S</t>
  </si>
  <si>
    <t>BROWN ALDO R EST</t>
  </si>
  <si>
    <t>511 S 6TH S</t>
  </si>
  <si>
    <t>BLOCK 139 LOT 13</t>
  </si>
  <si>
    <t>1448.55</t>
  </si>
  <si>
    <t>1287.62</t>
  </si>
  <si>
    <t>1198.40</t>
  </si>
  <si>
    <t>2375</t>
  </si>
  <si>
    <t>1033.18</t>
  </si>
  <si>
    <t>1458.13</t>
  </si>
  <si>
    <t>3668</t>
  </si>
  <si>
    <t>00-00-31-1800-0140-0070</t>
  </si>
  <si>
    <t>000031180001400070</t>
  </si>
  <si>
    <t>517 7TH ST S</t>
  </si>
  <si>
    <t>CHESTER NIELAND</t>
  </si>
  <si>
    <t>38683.00</t>
  </si>
  <si>
    <t>09/17/2010</t>
  </si>
  <si>
    <t>TESTON RASTUS T JR</t>
  </si>
  <si>
    <t>517 S 7TH S</t>
  </si>
  <si>
    <t>BLOCK 140 LOT 7</t>
  </si>
  <si>
    <t>875.56</t>
  </si>
  <si>
    <t>876.39</t>
  </si>
  <si>
    <t>868.68</t>
  </si>
  <si>
    <t>1125.14</t>
  </si>
  <si>
    <t>1364.56</t>
  </si>
  <si>
    <t>00-00-31-1800-0143-0022</t>
  </si>
  <si>
    <t>000031180001430022</t>
  </si>
  <si>
    <t>514 9TH ST S</t>
  </si>
  <si>
    <t>GILBERT WARREN EST</t>
  </si>
  <si>
    <t>PO BOX 1676</t>
  </si>
  <si>
    <t>BLOCK 143 LOT S1/2 OF 2</t>
  </si>
  <si>
    <t>662.65</t>
  </si>
  <si>
    <t>643.53</t>
  </si>
  <si>
    <t>11/04/2016</t>
  </si>
  <si>
    <t>772.61</t>
  </si>
  <si>
    <t>823.11</t>
  </si>
  <si>
    <t>00-00-31-1800-0143-0042</t>
  </si>
  <si>
    <t>000031180001430042</t>
  </si>
  <si>
    <t>530 9TH ST S A&amp;B</t>
  </si>
  <si>
    <t>BLOCK 143 LOT S1/2 OF 4</t>
  </si>
  <si>
    <t>653.29</t>
  </si>
  <si>
    <t>606.84</t>
  </si>
  <si>
    <t>611.02</t>
  </si>
  <si>
    <t>2378</t>
  </si>
  <si>
    <t>548.35</t>
  </si>
  <si>
    <t>2663</t>
  </si>
  <si>
    <t>3671</t>
  </si>
  <si>
    <t>795.16</t>
  </si>
  <si>
    <t>3622</t>
  </si>
  <si>
    <t>892.51</t>
  </si>
  <si>
    <t>00-00-31-1800-0146-0022</t>
  </si>
  <si>
    <t>000031180001460022</t>
  </si>
  <si>
    <t>S 9TH ST</t>
  </si>
  <si>
    <t>11323 PHILLIPS PKWY DR STE</t>
  </si>
  <si>
    <t>BLOCK 146 LOT S1/2 OF 2</t>
  </si>
  <si>
    <t>412.79</t>
  </si>
  <si>
    <t>04/30/2015</t>
  </si>
  <si>
    <t>656.37</t>
  </si>
  <si>
    <t>3675</t>
  </si>
  <si>
    <t>643.68</t>
  </si>
  <si>
    <t>3623</t>
  </si>
  <si>
    <t>704.20</t>
  </si>
  <si>
    <t>00-00-31-1800-0146-0061</t>
  </si>
  <si>
    <t>000031180001460061</t>
  </si>
  <si>
    <t>619 10TH ST S</t>
  </si>
  <si>
    <t>HOLCEY MARK C &amp;</t>
  </si>
  <si>
    <t>619 S 10TH ST</t>
  </si>
  <si>
    <t>BLOCK 146 N1/2 OF LOT 6</t>
  </si>
  <si>
    <t>1403.98</t>
  </si>
  <si>
    <t>1060.84</t>
  </si>
  <si>
    <t>1667.34</t>
  </si>
  <si>
    <t>3676</t>
  </si>
  <si>
    <t>1719.20</t>
  </si>
  <si>
    <t>00-00-31-1800-0156-0270</t>
  </si>
  <si>
    <t>000031180001560270</t>
  </si>
  <si>
    <t>1012 GUM ST</t>
  </si>
  <si>
    <t>3475</t>
  </si>
  <si>
    <t>TYLER ONEAL JR TRUSTEE</t>
  </si>
  <si>
    <t>504 N DONAR DR</t>
  </si>
  <si>
    <t>Columbia</t>
  </si>
  <si>
    <t>29229</t>
  </si>
  <si>
    <t>BLOCK 156 LOTS 27 28 29 30</t>
  </si>
  <si>
    <t>3777.64</t>
  </si>
  <si>
    <t>3531.15</t>
  </si>
  <si>
    <t>3261.55</t>
  </si>
  <si>
    <t>2383</t>
  </si>
  <si>
    <t>2737.79</t>
  </si>
  <si>
    <t>2863.49</t>
  </si>
  <si>
    <t>3594.42</t>
  </si>
  <si>
    <t>3683</t>
  </si>
  <si>
    <t>3720.97</t>
  </si>
  <si>
    <t>4146.18</t>
  </si>
  <si>
    <t>00-00-31-1800-0157-0011</t>
  </si>
  <si>
    <t>1010 HICKORY ST A&amp;B</t>
  </si>
  <si>
    <t>EMILIE A KLEIN REVOCABLE TRUST</t>
  </si>
  <si>
    <t>JGSP INVESTMENTS LLC</t>
  </si>
  <si>
    <t>BLOCK 157 E1/2 OF LOTS 1 2</t>
  </si>
  <si>
    <t>00-00-31-1800-0158-0070</t>
  </si>
  <si>
    <t>806 S 9TH ST</t>
  </si>
  <si>
    <t>EVANS JESSIE H EST</t>
  </si>
  <si>
    <t>3501 T AVENU</t>
  </si>
  <si>
    <t>Riviera Beach</t>
  </si>
  <si>
    <t>33404</t>
  </si>
  <si>
    <t>BLOCK 158 LOT 7</t>
  </si>
  <si>
    <t>230.30</t>
  </si>
  <si>
    <t>00-00-31-1800-0168-0090</t>
  </si>
  <si>
    <t>000031180001680090</t>
  </si>
  <si>
    <t>MCCOY BERTHA EST</t>
  </si>
  <si>
    <t>905 S 9TH ST</t>
  </si>
  <si>
    <t>BLOCK 168 LOTS 9 10</t>
  </si>
  <si>
    <t>3696</t>
  </si>
  <si>
    <t>151.30</t>
  </si>
  <si>
    <t>106.32</t>
  </si>
  <si>
    <t>00-00-31-1800-0170-0070</t>
  </si>
  <si>
    <t>000031180001700070</t>
  </si>
  <si>
    <t>1014 10TH ST S</t>
  </si>
  <si>
    <t>TYLER LEONIA M</t>
  </si>
  <si>
    <t>1274 NIPIGON AV</t>
  </si>
  <si>
    <t>Atlantic Bch</t>
  </si>
  <si>
    <t>32233</t>
  </si>
  <si>
    <t>BLOCK 170 LOTS 7 8 9 &amp; 10</t>
  </si>
  <si>
    <t>2607.86</t>
  </si>
  <si>
    <t>2455.17</t>
  </si>
  <si>
    <t>2370.36</t>
  </si>
  <si>
    <t>2168.19</t>
  </si>
  <si>
    <t>3072.59</t>
  </si>
  <si>
    <t>3647.60</t>
  </si>
  <si>
    <t>01/17/2014</t>
  </si>
  <si>
    <t>3700</t>
  </si>
  <si>
    <t>3578.84</t>
  </si>
  <si>
    <t>803.07</t>
  </si>
  <si>
    <t>00-00-31-1800-0171-0190</t>
  </si>
  <si>
    <t>000031180001710190</t>
  </si>
  <si>
    <t>1023 10TH ST S</t>
  </si>
  <si>
    <t>87000</t>
  </si>
  <si>
    <t>33700.00</t>
  </si>
  <si>
    <t>OLSON FAMILY LIVING TRUST</t>
  </si>
  <si>
    <t>3RA AV</t>
  </si>
  <si>
    <t>Sacatepquez</t>
  </si>
  <si>
    <t>33716</t>
  </si>
  <si>
    <t>BLOCK 171 LOTS 19 20 21 &amp;</t>
  </si>
  <si>
    <t>1958.17</t>
  </si>
  <si>
    <t>1677.46</t>
  </si>
  <si>
    <t>11/23/2015</t>
  </si>
  <si>
    <t>1409.87</t>
  </si>
  <si>
    <t>637.24</t>
  </si>
  <si>
    <t>00-00-31-1800-0172-0310</t>
  </si>
  <si>
    <t>000031180001720310</t>
  </si>
  <si>
    <t>814 JASMINE ST</t>
  </si>
  <si>
    <t>05/24/2007</t>
  </si>
  <si>
    <t>KYLE ELAINE S TRUSTEE</t>
  </si>
  <si>
    <t>1050 VICTORY LAKE DRIV</t>
  </si>
  <si>
    <t>BLOCK 172 LOTS 31 &amp; 32</t>
  </si>
  <si>
    <t>1067.79</t>
  </si>
  <si>
    <t>07/18/2017</t>
  </si>
  <si>
    <t>1016.75</t>
  </si>
  <si>
    <t>10/19/2016</t>
  </si>
  <si>
    <t>992.52</t>
  </si>
  <si>
    <t>2395</t>
  </si>
  <si>
    <t>786.76</t>
  </si>
  <si>
    <t>843.92</t>
  </si>
  <si>
    <t>2886</t>
  </si>
  <si>
    <t>1256.19</t>
  </si>
  <si>
    <t>1738.10</t>
  </si>
  <si>
    <t>2904</t>
  </si>
  <si>
    <t>2110.73</t>
  </si>
  <si>
    <t>00-00-31-1800-0181-0020</t>
  </si>
  <si>
    <t>000031180001810020</t>
  </si>
  <si>
    <t>1111 10TH ST S</t>
  </si>
  <si>
    <t>FISHER PAMELIA F &amp;</t>
  </si>
  <si>
    <t>BLOCK 181 LOT 2 &amp;</t>
  </si>
  <si>
    <t>1516.43</t>
  </si>
  <si>
    <t>1452.89</t>
  </si>
  <si>
    <t>2238</t>
  </si>
  <si>
    <t>1364.55</t>
  </si>
  <si>
    <t>1137.28</t>
  </si>
  <si>
    <t>2688</t>
  </si>
  <si>
    <t>1191.72</t>
  </si>
  <si>
    <t>459</t>
  </si>
  <si>
    <t>1429.41</t>
  </si>
  <si>
    <t>00-00-31-1800-0182-0071</t>
  </si>
  <si>
    <t>000031180001820071</t>
  </si>
  <si>
    <t>1111 11TH ST S</t>
  </si>
  <si>
    <t>POLLARD JAVONE D</t>
  </si>
  <si>
    <t>1111 S 11TH S</t>
  </si>
  <si>
    <t>BLOCK 182 N1/2 OF LOT 7</t>
  </si>
  <si>
    <t>550.87</t>
  </si>
  <si>
    <t>545.03</t>
  </si>
  <si>
    <t>540.14</t>
  </si>
  <si>
    <t>507.01</t>
  </si>
  <si>
    <t>489.34</t>
  </si>
  <si>
    <t>3706</t>
  </si>
  <si>
    <t>414.72</t>
  </si>
  <si>
    <t>3641</t>
  </si>
  <si>
    <t>380.47</t>
  </si>
  <si>
    <t>00-00-31-1800-0182-0072</t>
  </si>
  <si>
    <t>000031180001820072</t>
  </si>
  <si>
    <t>1115 11TH ST S</t>
  </si>
  <si>
    <t>MARTIN ROBERT EST</t>
  </si>
  <si>
    <t>BOX 1507</t>
  </si>
  <si>
    <t>BLOCK 182 S1/2 OF LOT 7</t>
  </si>
  <si>
    <t>412.86</t>
  </si>
  <si>
    <t>399.46</t>
  </si>
  <si>
    <t>452.90</t>
  </si>
  <si>
    <t>09/03/2015</t>
  </si>
  <si>
    <t>640.58</t>
  </si>
  <si>
    <t>3707</t>
  </si>
  <si>
    <t>625.93</t>
  </si>
  <si>
    <t>882.22</t>
  </si>
  <si>
    <t>00-00-31-1800-0188-0080</t>
  </si>
  <si>
    <t>000031180001880080</t>
  </si>
  <si>
    <t>1223 5TH ST S</t>
  </si>
  <si>
    <t xml:space="preserve"> QUICKEN LNS</t>
  </si>
  <si>
    <t>105075.00</t>
  </si>
  <si>
    <t>DOUGLAS MARK S &amp; NANCY</t>
  </si>
  <si>
    <t>1223 S 5TH S</t>
  </si>
  <si>
    <t>BLOCK 188 LOT 8</t>
  </si>
  <si>
    <t>653.93</t>
  </si>
  <si>
    <t>08/17/2016</t>
  </si>
  <si>
    <t>00-00-31-1800-0190-0010</t>
  </si>
  <si>
    <t>000031180001900010</t>
  </si>
  <si>
    <t>360 MAGNOLIA ST</t>
  </si>
  <si>
    <t>FRENCH SUSAN N</t>
  </si>
  <si>
    <t>360 MAGNOLIA S</t>
  </si>
  <si>
    <t>BLOCK 190 LOTS 1 2 &amp; 8</t>
  </si>
  <si>
    <t>2171</t>
  </si>
  <si>
    <t>454.48</t>
  </si>
  <si>
    <t>452.98</t>
  </si>
  <si>
    <t>417.96</t>
  </si>
  <si>
    <t>2694</t>
  </si>
  <si>
    <t>409.20</t>
  </si>
  <si>
    <t>383.99</t>
  </si>
  <si>
    <t>00-00-31-1800-0190-0070</t>
  </si>
  <si>
    <t>1311 4TH ST S</t>
  </si>
  <si>
    <t>THEOBALD THOMAS A &amp; RAMONA R</t>
  </si>
  <si>
    <t>BLOCK 190 LOT 7</t>
  </si>
  <si>
    <t>00-00-31-1800-0192-0030</t>
  </si>
  <si>
    <t>000031180001920030</t>
  </si>
  <si>
    <t>1320 5TH ST S</t>
  </si>
  <si>
    <t>36141.00</t>
  </si>
  <si>
    <t>06/28/2004</t>
  </si>
  <si>
    <t>LOVE SHEILA A EST</t>
  </si>
  <si>
    <t>1320 S 5TH ST EX</t>
  </si>
  <si>
    <t>BLOCK 192 LOT 3</t>
  </si>
  <si>
    <t>736.53</t>
  </si>
  <si>
    <t>730.00</t>
  </si>
  <si>
    <t>02/16/2017</t>
  </si>
  <si>
    <t>3711</t>
  </si>
  <si>
    <t>322.07</t>
  </si>
  <si>
    <t>00-00-31-1800-0193-0030</t>
  </si>
  <si>
    <t>000031180001930030</t>
  </si>
  <si>
    <t>1322 6TH ST S</t>
  </si>
  <si>
    <t>01/01/2034</t>
  </si>
  <si>
    <t>NAGLE EARL S IV</t>
  </si>
  <si>
    <t>7343 TARPON AV</t>
  </si>
  <si>
    <t>BLOCK 193 LOT 3</t>
  </si>
  <si>
    <t>1678.61</t>
  </si>
  <si>
    <t>1596.69</t>
  </si>
  <si>
    <t>1443.62</t>
  </si>
  <si>
    <t>1568.12</t>
  </si>
  <si>
    <t>05/07/2013</t>
  </si>
  <si>
    <t>3712</t>
  </si>
  <si>
    <t>1755.71</t>
  </si>
  <si>
    <t>1930.15</t>
  </si>
  <si>
    <t>08/17/2010</t>
  </si>
  <si>
    <t>00-00-31-1800-0193-0042</t>
  </si>
  <si>
    <t>000031180001930042</t>
  </si>
  <si>
    <t>1330 6TH ST S</t>
  </si>
  <si>
    <t>85250.00</t>
  </si>
  <si>
    <t>THRIFT BARBARA SUE</t>
  </si>
  <si>
    <t>1330 S 6TH S</t>
  </si>
  <si>
    <t>BLOCK 193 S10 FT OF LOT 4 &amp;</t>
  </si>
  <si>
    <t>1869.24</t>
  </si>
  <si>
    <t>1822.63</t>
  </si>
  <si>
    <t>1689.80</t>
  </si>
  <si>
    <t>00-00-31-1800-0196-0010</t>
  </si>
  <si>
    <t>000031180001960010</t>
  </si>
  <si>
    <t>56500</t>
  </si>
  <si>
    <t>GALLUP WILLIAM F &amp; MARILYN L</t>
  </si>
  <si>
    <t>1108 OLIVE S</t>
  </si>
  <si>
    <t>BLOCK 196 LOTS 1 2 &amp; 3</t>
  </si>
  <si>
    <t>1578.74</t>
  </si>
  <si>
    <t>1541.38</t>
  </si>
  <si>
    <t>1489.69</t>
  </si>
  <si>
    <t>12/16/2016</t>
  </si>
  <si>
    <t>977.70</t>
  </si>
  <si>
    <t>989.39</t>
  </si>
  <si>
    <t>997.65</t>
  </si>
  <si>
    <t>3646</t>
  </si>
  <si>
    <t>1938.12</t>
  </si>
  <si>
    <t>00-00-31-1800-0196-0080</t>
  </si>
  <si>
    <t>000031180001960080</t>
  </si>
  <si>
    <t>1090 OLIVE ST</t>
  </si>
  <si>
    <t>GALLUP WILLIAM F &amp;</t>
  </si>
  <si>
    <t>1090 OLIVE S</t>
  </si>
  <si>
    <t>BLOCK 196 LOT 8</t>
  </si>
  <si>
    <t>483.60</t>
  </si>
  <si>
    <t>878.53</t>
  </si>
  <si>
    <t>803.79</t>
  </si>
  <si>
    <t>646.92</t>
  </si>
  <si>
    <t>635.01</t>
  </si>
  <si>
    <t>688.45</t>
  </si>
  <si>
    <t>3714</t>
  </si>
  <si>
    <t>944.68</t>
  </si>
  <si>
    <t>00-00-31-1800-0199-0030</t>
  </si>
  <si>
    <t>000031180001990030</t>
  </si>
  <si>
    <t>1474 CLINCH DR</t>
  </si>
  <si>
    <t>SALESABILITY INC</t>
  </si>
  <si>
    <t>9705.00</t>
  </si>
  <si>
    <t>FELDMAN IRMA K</t>
  </si>
  <si>
    <t>1474 CLINCH DRIV</t>
  </si>
  <si>
    <t>BLOCK 199 LOT 3</t>
  </si>
  <si>
    <t>424.08</t>
  </si>
  <si>
    <t>00-00-31-1800-0199-0081</t>
  </si>
  <si>
    <t>000031180001990081</t>
  </si>
  <si>
    <t>BRAND JANICE</t>
  </si>
  <si>
    <t>3163 GLENRIDGE D</t>
  </si>
  <si>
    <t>34685</t>
  </si>
  <si>
    <t>BLOCK 199 N10 FT OF LOT 8 &amp;</t>
  </si>
  <si>
    <t>179.88</t>
  </si>
  <si>
    <t>181.82</t>
  </si>
  <si>
    <t>294.13</t>
  </si>
  <si>
    <t>3716</t>
  </si>
  <si>
    <t>294.52</t>
  </si>
  <si>
    <t>3649</t>
  </si>
  <si>
    <t>328.46</t>
  </si>
  <si>
    <t>00-00-31-1800-0201-0010</t>
  </si>
  <si>
    <t>000031180002010010</t>
  </si>
  <si>
    <t>514 NOVELTY ST</t>
  </si>
  <si>
    <t>PLATT MICHAEL V EST</t>
  </si>
  <si>
    <t>1411 S 6TH S</t>
  </si>
  <si>
    <t>BLOCK 201 LOTS 1 &amp; 8</t>
  </si>
  <si>
    <t>2159</t>
  </si>
  <si>
    <t>792.89</t>
  </si>
  <si>
    <t>01/18/2017</t>
  </si>
  <si>
    <t>768.89</t>
  </si>
  <si>
    <t>986.23</t>
  </si>
  <si>
    <t>3718</t>
  </si>
  <si>
    <t>618.49</t>
  </si>
  <si>
    <t>686.55</t>
  </si>
  <si>
    <t>00-00-31-1800-0201-0020</t>
  </si>
  <si>
    <t>000031180002010020</t>
  </si>
  <si>
    <t>1466 S 5TH ST</t>
  </si>
  <si>
    <t>HOOPER SPICER EST</t>
  </si>
  <si>
    <t>1412 SO NAPA S</t>
  </si>
  <si>
    <t>Phildelphia</t>
  </si>
  <si>
    <t>19146</t>
  </si>
  <si>
    <t>BLOCK 201 LOT 2</t>
  </si>
  <si>
    <t>465.98</t>
  </si>
  <si>
    <t>05/19/2016</t>
  </si>
  <si>
    <t>446.76</t>
  </si>
  <si>
    <t>518.44</t>
  </si>
  <si>
    <t>3719</t>
  </si>
  <si>
    <t>661.86</t>
  </si>
  <si>
    <t>00-00-31-1800-0201-0050</t>
  </si>
  <si>
    <t>000031180002010050</t>
  </si>
  <si>
    <t>S 6TH ST</t>
  </si>
  <si>
    <t>HOOPER JACKIE LASHAWN</t>
  </si>
  <si>
    <t>86145 FORTUNE DRIV</t>
  </si>
  <si>
    <t>BLOCK 201 LOT 5</t>
  </si>
  <si>
    <t>00-00-31-1800-0201-0070</t>
  </si>
  <si>
    <t>000031180002010070</t>
  </si>
  <si>
    <t>HOOPER MARION H</t>
  </si>
  <si>
    <t>1412 S NAPA STREE</t>
  </si>
  <si>
    <t>BLOCK 201 LOT 7</t>
  </si>
  <si>
    <t>575.75</t>
  </si>
  <si>
    <t>582.83</t>
  </si>
  <si>
    <t>552.95</t>
  </si>
  <si>
    <t>644.54</t>
  </si>
  <si>
    <t>3720</t>
  </si>
  <si>
    <t>824.09</t>
  </si>
  <si>
    <t>00-00-31-1800-0206-0070</t>
  </si>
  <si>
    <t>000031180002060070</t>
  </si>
  <si>
    <t>SIMMONS ARTHUR</t>
  </si>
  <si>
    <t>5028 DOSTIE DR</t>
  </si>
  <si>
    <t>BLK 206 LOT 7</t>
  </si>
  <si>
    <t>548.30</t>
  </si>
  <si>
    <t>551.95</t>
  </si>
  <si>
    <t>554.78</t>
  </si>
  <si>
    <t>526.40</t>
  </si>
  <si>
    <t>00-00-31-1800-0209-0011</t>
  </si>
  <si>
    <t>000031180002090011</t>
  </si>
  <si>
    <t>1534 8TH ST S</t>
  </si>
  <si>
    <t xml:space="preserve"> J P MORGAN CHASE BANK</t>
  </si>
  <si>
    <t>GALLUP WILLIAM</t>
  </si>
  <si>
    <t>BLOCK 209 N1/2 OF LOT 1</t>
  </si>
  <si>
    <t>865.88</t>
  </si>
  <si>
    <t>875.58</t>
  </si>
  <si>
    <t>798.99</t>
  </si>
  <si>
    <t>776.99</t>
  </si>
  <si>
    <t>759.91</t>
  </si>
  <si>
    <t>769.88</t>
  </si>
  <si>
    <t>00-00-31-1800-0209-0012</t>
  </si>
  <si>
    <t>000031180002090012</t>
  </si>
  <si>
    <t>S 8TH ST</t>
  </si>
  <si>
    <t>GALLUP WILLIAM &amp; MARILYN</t>
  </si>
  <si>
    <t>BLOCK 209 LOT S1/2 OF 1</t>
  </si>
  <si>
    <t>603.91</t>
  </si>
  <si>
    <t>479.43</t>
  </si>
  <si>
    <t>485.04</t>
  </si>
  <si>
    <t>00-00-31-1800-0213-0022</t>
  </si>
  <si>
    <t>000031180002130022</t>
  </si>
  <si>
    <t>820 11TH ST S</t>
  </si>
  <si>
    <t>BLUE BENJAMIN J &amp;</t>
  </si>
  <si>
    <t>PO BOX 371</t>
  </si>
  <si>
    <t>BLOCK 213 N111'OF W100 OF LOT2</t>
  </si>
  <si>
    <t>00-00-31-1800-0213-0091</t>
  </si>
  <si>
    <t>815 12TH ST S</t>
  </si>
  <si>
    <t>JONES JOLYN &amp;</t>
  </si>
  <si>
    <t>815 S 12TH S</t>
  </si>
  <si>
    <t>BLOCK 213 N50 FT OF E100 FT</t>
  </si>
  <si>
    <t>00-00-31-1800-0213-0094</t>
  </si>
  <si>
    <t>000031180002130094</t>
  </si>
  <si>
    <t>DIVISION ST</t>
  </si>
  <si>
    <t>17669.00</t>
  </si>
  <si>
    <t>CMR ISLAND LLC</t>
  </si>
  <si>
    <t>1766 MEMORIAL DR SUITE</t>
  </si>
  <si>
    <t>BLOCK 213 PT OF LOTS 9 &amp; 10</t>
  </si>
  <si>
    <t>258.74</t>
  </si>
  <si>
    <t>00-00-31-1800-0213-0103</t>
  </si>
  <si>
    <t>CMR ISLAND INC</t>
  </si>
  <si>
    <t>1766 MEMORIAL DR #</t>
  </si>
  <si>
    <t>BLOCK 213 E 100' OF W 130' OF</t>
  </si>
  <si>
    <t>00-00-31-1800-0214-01A0</t>
  </si>
  <si>
    <t>000031-18000214-01A0</t>
  </si>
  <si>
    <t>602 11TH ST S</t>
  </si>
  <si>
    <t>HARDY MERRITT S</t>
  </si>
  <si>
    <t>528 S 13TH TERRAC</t>
  </si>
  <si>
    <t>BLK 214 TRACT A OF LOT 1 &amp;</t>
  </si>
  <si>
    <t>2394.05</t>
  </si>
  <si>
    <t>04/10/2018</t>
  </si>
  <si>
    <t>2263.37</t>
  </si>
  <si>
    <t>00-00-31-1800-0214-03D2</t>
  </si>
  <si>
    <t>1109 GUM ST</t>
  </si>
  <si>
    <t>MCNEIL DELORES M EST</t>
  </si>
  <si>
    <t>1109 GUM S</t>
  </si>
  <si>
    <t>BLK 214 W1/2 OF S 44 FT OF</t>
  </si>
  <si>
    <t>50.71</t>
  </si>
  <si>
    <t>00-00-31-1800-0214-06A1</t>
  </si>
  <si>
    <t>722 DIVISION ST</t>
  </si>
  <si>
    <t>33692.00</t>
  </si>
  <si>
    <t>RICHO ABRAHAM &amp; DOROTHY J</t>
  </si>
  <si>
    <t>722 DIVISION S</t>
  </si>
  <si>
    <t>BLOCK 214</t>
  </si>
  <si>
    <t>00-00-31-1800-0214-07A2</t>
  </si>
  <si>
    <t>000031-18000214-07A2</t>
  </si>
  <si>
    <t>710 DIVISION ST</t>
  </si>
  <si>
    <t>ABENDROTH AMANDA</t>
  </si>
  <si>
    <t>13700 RICHMOND PARK DR N #130</t>
  </si>
  <si>
    <t>BLOCK 214 LOT S 42 FT</t>
  </si>
  <si>
    <t>1501.31</t>
  </si>
  <si>
    <t>1411.66</t>
  </si>
  <si>
    <t>00-00-31-1800-0214-07D1</t>
  </si>
  <si>
    <t>0000311800021407D1</t>
  </si>
  <si>
    <t>6/8</t>
  </si>
  <si>
    <t>707 12TH ST S</t>
  </si>
  <si>
    <t>ROBERT LANGLEY</t>
  </si>
  <si>
    <t>DUFFY TAWN CHRISTOPHER</t>
  </si>
  <si>
    <t>1473 FOUNTAIN D</t>
  </si>
  <si>
    <t>BLOCK 214 N 50 FT OF</t>
  </si>
  <si>
    <t>1250.42</t>
  </si>
  <si>
    <t>1156.06</t>
  </si>
  <si>
    <t>1096.98</t>
  </si>
  <si>
    <t>03/10/2017</t>
  </si>
  <si>
    <t>2428</t>
  </si>
  <si>
    <t>1136.71</t>
  </si>
  <si>
    <t>12/02/2015</t>
  </si>
  <si>
    <t>1193.33</t>
  </si>
  <si>
    <t>1436.55</t>
  </si>
  <si>
    <t>11/15/2012</t>
  </si>
  <si>
    <t>3728</t>
  </si>
  <si>
    <t>1472.77</t>
  </si>
  <si>
    <t>3886</t>
  </si>
  <si>
    <t>1915.74</t>
  </si>
  <si>
    <t>00-00-31-1800-0214-08D0</t>
  </si>
  <si>
    <t>0000311800021408D0</t>
  </si>
  <si>
    <t>631 12TH ST S</t>
  </si>
  <si>
    <t>WHICKER DANA ROBERT</t>
  </si>
  <si>
    <t>842 PARKVIEW PLACE</t>
  </si>
  <si>
    <t>BLK 214 SUB D OF 8</t>
  </si>
  <si>
    <t>607.35</t>
  </si>
  <si>
    <t>00-00-31-1800-0214-09C2</t>
  </si>
  <si>
    <t>0000311800021409C2</t>
  </si>
  <si>
    <t>631 S 12TH ST</t>
  </si>
  <si>
    <t>4100</t>
  </si>
  <si>
    <t>842 PARKVIEW PL</t>
  </si>
  <si>
    <t>BLOCK 214 S44 FT OF SUB C OF</t>
  </si>
  <si>
    <t>386.14</t>
  </si>
  <si>
    <t>388.68</t>
  </si>
  <si>
    <t>354.17</t>
  </si>
  <si>
    <t>401.20</t>
  </si>
  <si>
    <t>3730</t>
  </si>
  <si>
    <t>00-00-31-1800-0215-02C1</t>
  </si>
  <si>
    <t>0000311800021502C1</t>
  </si>
  <si>
    <t>421 DIVISION ST</t>
  </si>
  <si>
    <t>AMERICAN GENERAL HOME EQUITY INC</t>
  </si>
  <si>
    <t>63920.00</t>
  </si>
  <si>
    <t>RICHO DAYLON</t>
  </si>
  <si>
    <t>330 SOUTH 12TH STREE</t>
  </si>
  <si>
    <t>BLOCK 215 N29 FT OF C OF LOT 2</t>
  </si>
  <si>
    <t>3669</t>
  </si>
  <si>
    <t>966.56</t>
  </si>
  <si>
    <t>06/24/2010</t>
  </si>
  <si>
    <t>00-00-31-1800-0215-10A0</t>
  </si>
  <si>
    <t>0000311800021510A0</t>
  </si>
  <si>
    <t>SMITH MENTORIA</t>
  </si>
  <si>
    <t>400 RONDA KAY CT APT 6</t>
  </si>
  <si>
    <t>Ft Walton Beach</t>
  </si>
  <si>
    <t>32548</t>
  </si>
  <si>
    <t>BLOCK 215 SUB A OF 10</t>
  </si>
  <si>
    <t>522.64</t>
  </si>
  <si>
    <t>526.22</t>
  </si>
  <si>
    <t>822.27</t>
  </si>
  <si>
    <t>00-00-31-1800-0216-04A0</t>
  </si>
  <si>
    <t>0000311800021604A0</t>
  </si>
  <si>
    <t>S 11TH ST</t>
  </si>
  <si>
    <t>ULSAKER NORMAN L &amp; JUNE TRUST</t>
  </si>
  <si>
    <t>325 ROUNDHOUSE D</t>
  </si>
  <si>
    <t>Perryville</t>
  </si>
  <si>
    <t>21903</t>
  </si>
  <si>
    <t>BLOCK 216 SUB A OF LOT 4</t>
  </si>
  <si>
    <t>2723</t>
  </si>
  <si>
    <t>577.86</t>
  </si>
  <si>
    <t>11/17/2014</t>
  </si>
  <si>
    <t>00-00-31-1800-0216-04D2</t>
  </si>
  <si>
    <t>0000311800021604D2</t>
  </si>
  <si>
    <t>SADLER BELLE</t>
  </si>
  <si>
    <t>1476 N W 37TH S</t>
  </si>
  <si>
    <t>33142</t>
  </si>
  <si>
    <t>BLOCK 216 SUB S 29 FT</t>
  </si>
  <si>
    <t>285.33</t>
  </si>
  <si>
    <t>338.59</t>
  </si>
  <si>
    <t>273.61</t>
  </si>
  <si>
    <t>2439</t>
  </si>
  <si>
    <t>240.94</t>
  </si>
  <si>
    <t>271.92</t>
  </si>
  <si>
    <t>377.41</t>
  </si>
  <si>
    <t>3740</t>
  </si>
  <si>
    <t>368.49</t>
  </si>
  <si>
    <t>00-00-31-1800-0216-05D0</t>
  </si>
  <si>
    <t>0000311800021605D0</t>
  </si>
  <si>
    <t>REMSON DOROTHY</t>
  </si>
  <si>
    <t>102 W PALM C</t>
  </si>
  <si>
    <t>BLOCK 216 SUB D OF 5</t>
  </si>
  <si>
    <t>601.57</t>
  </si>
  <si>
    <t>803.67</t>
  </si>
  <si>
    <t>879.70</t>
  </si>
  <si>
    <t>00-00-31-1800-0216-08B0</t>
  </si>
  <si>
    <t>0000311800021608B0</t>
  </si>
  <si>
    <t>304 DIVISION ST</t>
  </si>
  <si>
    <t>SOUTHERS REBECCA G EST &amp;</t>
  </si>
  <si>
    <t>BLOCK 216 SUB B OF 8</t>
  </si>
  <si>
    <t>498.50</t>
  </si>
  <si>
    <t>435.63</t>
  </si>
  <si>
    <t>430.21</t>
  </si>
  <si>
    <t>375.45</t>
  </si>
  <si>
    <t>2730</t>
  </si>
  <si>
    <t>406.93</t>
  </si>
  <si>
    <t>520.77</t>
  </si>
  <si>
    <t>3677</t>
  </si>
  <si>
    <t>763.15</t>
  </si>
  <si>
    <t>00-00-31-1800-0230-01A0</t>
  </si>
  <si>
    <t>0000311800023001A0</t>
  </si>
  <si>
    <t>200 S 12TH ST</t>
  </si>
  <si>
    <t>THE AMERICAN LEGION POST 174</t>
  </si>
  <si>
    <t>174PO BOX 1570</t>
  </si>
  <si>
    <t>BLOCK 230 SUB A &amp; B OF 1</t>
  </si>
  <si>
    <t>1251.31</t>
  </si>
  <si>
    <t>1260.09</t>
  </si>
  <si>
    <t>1217.62</t>
  </si>
  <si>
    <t>1216.24</t>
  </si>
  <si>
    <t>1800.11</t>
  </si>
  <si>
    <t>05/23/2014</t>
  </si>
  <si>
    <t>00-00-31-1800-0230-03A0</t>
  </si>
  <si>
    <t>0000311800023003A0</t>
  </si>
  <si>
    <t>S 12TH ST</t>
  </si>
  <si>
    <t>BLOCK 230 SUB A OF LOT 3</t>
  </si>
  <si>
    <t>525.83</t>
  </si>
  <si>
    <t>459.77</t>
  </si>
  <si>
    <t>2445</t>
  </si>
  <si>
    <t>444.76</t>
  </si>
  <si>
    <t>05/12/2016</t>
  </si>
  <si>
    <t>3751</t>
  </si>
  <si>
    <t>699.48</t>
  </si>
  <si>
    <t>3682</t>
  </si>
  <si>
    <t>765.35</t>
  </si>
  <si>
    <t>00-00-31-1800-0230-03D0</t>
  </si>
  <si>
    <t>0000311800023003D0</t>
  </si>
  <si>
    <t>227 VERNON ST</t>
  </si>
  <si>
    <t>BLOCK 230 SUB D OF 3</t>
  </si>
  <si>
    <t>1750.12</t>
  </si>
  <si>
    <t>1626.23</t>
  </si>
  <si>
    <t>2286</t>
  </si>
  <si>
    <t>1504.15</t>
  </si>
  <si>
    <t>1279.07</t>
  </si>
  <si>
    <t>1343.62</t>
  </si>
  <si>
    <t>3752</t>
  </si>
  <si>
    <t>1667.91</t>
  </si>
  <si>
    <t>1855.59</t>
  </si>
  <si>
    <t>00-00-31-1800-0230-05B0</t>
  </si>
  <si>
    <t>330 12TH ST S</t>
  </si>
  <si>
    <t>132446.00</t>
  </si>
  <si>
    <t>11/01/2042</t>
  </si>
  <si>
    <t>330 S 12TH S</t>
  </si>
  <si>
    <t>BLOCK 230 SUB B OF LOT 5</t>
  </si>
  <si>
    <t>00-00-31-1800-0230-08B0</t>
  </si>
  <si>
    <t>302 VERNON ST</t>
  </si>
  <si>
    <t>BENTON TOMMIE L</t>
  </si>
  <si>
    <t>BLK 230 TRACT B OF LOT 8</t>
  </si>
  <si>
    <t>00-00-31-1800-0230-08D0</t>
  </si>
  <si>
    <t>0000311800023008D0</t>
  </si>
  <si>
    <t>229 13TH ST S</t>
  </si>
  <si>
    <t>41500</t>
  </si>
  <si>
    <t>JONES CATHERINE &amp;</t>
  </si>
  <si>
    <t>229 S 13TH ST</t>
  </si>
  <si>
    <t>BLK 230 TRACT D OF LOT 8</t>
  </si>
  <si>
    <t>00-00-31-1800-0230-09C0</t>
  </si>
  <si>
    <t>0000311800023009C0</t>
  </si>
  <si>
    <t>225 13TH ST S</t>
  </si>
  <si>
    <t>DEMPS OSTEAN JR</t>
  </si>
  <si>
    <t>225 S 13TH S</t>
  </si>
  <si>
    <t>BLK 230 TRACT C OF LOT 9</t>
  </si>
  <si>
    <t>1460.38</t>
  </si>
  <si>
    <t>1344.23</t>
  </si>
  <si>
    <t>2287</t>
  </si>
  <si>
    <t>1250.09</t>
  </si>
  <si>
    <t>1052.91</t>
  </si>
  <si>
    <t>1125.43</t>
  </si>
  <si>
    <t>1409.94</t>
  </si>
  <si>
    <t>3755</t>
  </si>
  <si>
    <t>1428.23</t>
  </si>
  <si>
    <t>3686</t>
  </si>
  <si>
    <t>1576.17</t>
  </si>
  <si>
    <t>00-00-31-1800-0230-09D0</t>
  </si>
  <si>
    <t>0000311800023009D0</t>
  </si>
  <si>
    <t>217 13TH ST S</t>
  </si>
  <si>
    <t>SIMS DORIS J</t>
  </si>
  <si>
    <t>217 S 13TH S</t>
  </si>
  <si>
    <t>Fernandina Bech</t>
  </si>
  <si>
    <t>BLOCK 230 SUB D OF LOT 9</t>
  </si>
  <si>
    <t>2156.10</t>
  </si>
  <si>
    <t>2010.28</t>
  </si>
  <si>
    <t>2288</t>
  </si>
  <si>
    <t>1859.83</t>
  </si>
  <si>
    <t>1562.36</t>
  </si>
  <si>
    <t>00-00-31-1800-0231-02C2</t>
  </si>
  <si>
    <t>0000311800023102C2</t>
  </si>
  <si>
    <t>ELM ST</t>
  </si>
  <si>
    <t>BLK 231 W1/2 TRACT C OF LOT 2</t>
  </si>
  <si>
    <t>2451</t>
  </si>
  <si>
    <t>452.31</t>
  </si>
  <si>
    <t>3759</t>
  </si>
  <si>
    <t>711.73</t>
  </si>
  <si>
    <t>3688</t>
  </si>
  <si>
    <t>778.82</t>
  </si>
  <si>
    <t>00-00-31-1800-0232-05C2</t>
  </si>
  <si>
    <t>0000311800023205C2</t>
  </si>
  <si>
    <t>731 VERNON ST</t>
  </si>
  <si>
    <t>THOMAS LORA ANN</t>
  </si>
  <si>
    <t>731 VERNON S</t>
  </si>
  <si>
    <t>BLOCK 232 S 50 FT OF C OF 5</t>
  </si>
  <si>
    <t>1630.13</t>
  </si>
  <si>
    <t>2738</t>
  </si>
  <si>
    <t>1250.49</t>
  </si>
  <si>
    <t>00-00-31-1800-0233-0023</t>
  </si>
  <si>
    <t>000031180002330023</t>
  </si>
  <si>
    <t>816 12TH ST S</t>
  </si>
  <si>
    <t>ROBERTS TERRY LEE</t>
  </si>
  <si>
    <t>816 S 12TH S</t>
  </si>
  <si>
    <t>BLOCK 233 W 100FT OF N 1/2</t>
  </si>
  <si>
    <t>00-00-31-1800-0233-0041</t>
  </si>
  <si>
    <t>000031180002330041</t>
  </si>
  <si>
    <t>909 VERNON ST</t>
  </si>
  <si>
    <t>40920.00</t>
  </si>
  <si>
    <t>08/27/2003</t>
  </si>
  <si>
    <t>WILLIAMSON JAMES JR</t>
  </si>
  <si>
    <t>909 VERNON S</t>
  </si>
  <si>
    <t>BLOCK 233 N 65.5 FT OF W100 FT</t>
  </si>
  <si>
    <t>699.13</t>
  </si>
  <si>
    <t>704.16</t>
  </si>
  <si>
    <t>705.54</t>
  </si>
  <si>
    <t>681.46</t>
  </si>
  <si>
    <t>675.66</t>
  </si>
  <si>
    <t>639.94</t>
  </si>
  <si>
    <t>12/03/2013</t>
  </si>
  <si>
    <t>3765</t>
  </si>
  <si>
    <t>620.61</t>
  </si>
  <si>
    <t>3703</t>
  </si>
  <si>
    <t>594.30</t>
  </si>
  <si>
    <t>00-00-31-1800-0233-0076</t>
  </si>
  <si>
    <t>000031180002330076</t>
  </si>
  <si>
    <t>920 VERNON ST</t>
  </si>
  <si>
    <t>MITCHELL GLENITA M</t>
  </si>
  <si>
    <t>920 VERNON S</t>
  </si>
  <si>
    <t>BLOCK 233 S41 FT OF E100 FT OF</t>
  </si>
  <si>
    <t>1591.12</t>
  </si>
  <si>
    <t>1437.77</t>
  </si>
  <si>
    <t>1332.51</t>
  </si>
  <si>
    <t>1141.76</t>
  </si>
  <si>
    <t>1485.03</t>
  </si>
  <si>
    <t>3768</t>
  </si>
  <si>
    <t>1516.68</t>
  </si>
  <si>
    <t>1680.70</t>
  </si>
  <si>
    <t>00-00-31-1800-0233-0093</t>
  </si>
  <si>
    <t>000031180002330093</t>
  </si>
  <si>
    <t>816 VERNON ST</t>
  </si>
  <si>
    <t>WILSON NETHERLAND F</t>
  </si>
  <si>
    <t>BLOCK 233 E100 FT OF W130 FT</t>
  </si>
  <si>
    <t>2208</t>
  </si>
  <si>
    <t>614.56</t>
  </si>
  <si>
    <t>616.07</t>
  </si>
  <si>
    <t>616.89</t>
  </si>
  <si>
    <t>592.48</t>
  </si>
  <si>
    <t>2748</t>
  </si>
  <si>
    <t>585.38</t>
  </si>
  <si>
    <t>3708</t>
  </si>
  <si>
    <t>387.66</t>
  </si>
  <si>
    <t>00-00-31-1800-0238-0070</t>
  </si>
  <si>
    <t>1107 14TH ST S</t>
  </si>
  <si>
    <t>MURPHY LONNIE HOWARD</t>
  </si>
  <si>
    <t>1107 S 14TH S</t>
  </si>
  <si>
    <t>BLOCK 238 LOT 7 EX S1/2</t>
  </si>
  <si>
    <t>00-00-31-1800-0240-0091</t>
  </si>
  <si>
    <t>000031180002400091</t>
  </si>
  <si>
    <t>615 14TH ST S</t>
  </si>
  <si>
    <t>MCLAUGHLIN HOLLE M</t>
  </si>
  <si>
    <t>1849 HIGHLAND D</t>
  </si>
  <si>
    <t>BLOCK 240 LOT E200 FT OF</t>
  </si>
  <si>
    <t>2233.41</t>
  </si>
  <si>
    <t>2148.33</t>
  </si>
  <si>
    <t>2002.21</t>
  </si>
  <si>
    <t>1682.72</t>
  </si>
  <si>
    <t>1785.59</t>
  </si>
  <si>
    <t>2121.31</t>
  </si>
  <si>
    <t>3770</t>
  </si>
  <si>
    <t>2080.18</t>
  </si>
  <si>
    <t>3713</t>
  </si>
  <si>
    <t>2299.94</t>
  </si>
  <si>
    <t>00-00-31-1800-0241-1090</t>
  </si>
  <si>
    <t>14TH ST S</t>
  </si>
  <si>
    <t>155555.00</t>
  </si>
  <si>
    <t>01/01/2047</t>
  </si>
  <si>
    <t>14TH STREET FERNANDINA LLC</t>
  </si>
  <si>
    <t>14TH STREET FERNANDINA LLC56 MARSH CREEK ROA</t>
  </si>
  <si>
    <t>BLOCK 241 LOTS 109 110 111 &amp;</t>
  </si>
  <si>
    <t>00-00-31-1800-0242-02C0</t>
  </si>
  <si>
    <t>0000311800024202C0</t>
  </si>
  <si>
    <t>216 13TH ST S</t>
  </si>
  <si>
    <t>PROFESSIONAL BLDG</t>
  </si>
  <si>
    <t>BENJAMIN CARL T &amp; MARGIE L</t>
  </si>
  <si>
    <t>294 HILLCREST R</t>
  </si>
  <si>
    <t>BLOCK 242 SUB C &amp; D OF LOT 2</t>
  </si>
  <si>
    <t>2211</t>
  </si>
  <si>
    <t>2088.28</t>
  </si>
  <si>
    <t>2004.14</t>
  </si>
  <si>
    <t>2150.12</t>
  </si>
  <si>
    <t>2751</t>
  </si>
  <si>
    <t>2216.57</t>
  </si>
  <si>
    <t>2303.41</t>
  </si>
  <si>
    <t>3773</t>
  </si>
  <si>
    <t>2261.43</t>
  </si>
  <si>
    <t>00-00-31-1800-0242-10A0</t>
  </si>
  <si>
    <t>0000311800024210A0</t>
  </si>
  <si>
    <t>1316 BEECH ST</t>
  </si>
  <si>
    <t>WILLIAM J MOCK JR</t>
  </si>
  <si>
    <t>14500.00</t>
  </si>
  <si>
    <t>11/20/2008</t>
  </si>
  <si>
    <t>11/10/2023</t>
  </si>
  <si>
    <t>HILL SHEILA</t>
  </si>
  <si>
    <t>1316 BEECH S</t>
  </si>
  <si>
    <t>BLOCK 242 SUB A OF LOT 10</t>
  </si>
  <si>
    <t>258.57</t>
  </si>
  <si>
    <t>300.51</t>
  </si>
  <si>
    <t>514.46</t>
  </si>
  <si>
    <t>3775</t>
  </si>
  <si>
    <t>533.71</t>
  </si>
  <si>
    <t>00-00-31-1800-0243-06D0</t>
  </si>
  <si>
    <t>1323 BEECH ST</t>
  </si>
  <si>
    <t>BEACH DANA &amp; JENNIFER (M/C)</t>
  </si>
  <si>
    <t>85052 CHAMPLAIN D</t>
  </si>
  <si>
    <t>BLK 243 TRACT D OF LOT 6</t>
  </si>
  <si>
    <t>00-00-31-1800-0244-06A2</t>
  </si>
  <si>
    <t>0000311800024406A2</t>
  </si>
  <si>
    <t>128 13TH TER N</t>
  </si>
  <si>
    <t>14700</t>
  </si>
  <si>
    <t>MICHAEL &amp; CAROLINE BURLING</t>
  </si>
  <si>
    <t>9000.00</t>
  </si>
  <si>
    <t>04/13/2006</t>
  </si>
  <si>
    <t>GEORGE PATSY SUE EST</t>
  </si>
  <si>
    <t>128 N 13TH ST TE</t>
  </si>
  <si>
    <t>BLOCK 244 SUB G N12 FT OF H OF</t>
  </si>
  <si>
    <t>932.44</t>
  </si>
  <si>
    <t>941.43</t>
  </si>
  <si>
    <t>772.99</t>
  </si>
  <si>
    <t>206.84</t>
  </si>
  <si>
    <t>3174</t>
  </si>
  <si>
    <t>121.34</t>
  </si>
  <si>
    <t>07/11/2012</t>
  </si>
  <si>
    <t>82.58</t>
  </si>
  <si>
    <t>08/20/2010</t>
  </si>
  <si>
    <t>00-00-31-1800-0244-10B1</t>
  </si>
  <si>
    <t>0000311800024410B1</t>
  </si>
  <si>
    <t>9 14TH ST N</t>
  </si>
  <si>
    <t>310000.00</t>
  </si>
  <si>
    <t>04/18/2006</t>
  </si>
  <si>
    <t>BLK 244 N 55 FT OF TRACT B OF</t>
  </si>
  <si>
    <t>2639.87</t>
  </si>
  <si>
    <t>2756</t>
  </si>
  <si>
    <t>2862.48</t>
  </si>
  <si>
    <t>2744.05</t>
  </si>
  <si>
    <t>3780</t>
  </si>
  <si>
    <t>2855.62</t>
  </si>
  <si>
    <t>3717</t>
  </si>
  <si>
    <t>3158.66</t>
  </si>
  <si>
    <t>00-00-31-1800-0245-01B1</t>
  </si>
  <si>
    <t>000031-18000245-01B1</t>
  </si>
  <si>
    <t>213 13TH TER N</t>
  </si>
  <si>
    <t>47000</t>
  </si>
  <si>
    <t>BLK 245 N1/2 OF TRACT B OF</t>
  </si>
  <si>
    <t>1019.47</t>
  </si>
  <si>
    <t>1031.18</t>
  </si>
  <si>
    <t>00-00-31-1800-0245-02A0</t>
  </si>
  <si>
    <t>225 13TH TER N</t>
  </si>
  <si>
    <t>BOUNDS JUDY</t>
  </si>
  <si>
    <t>225 N 13TH S</t>
  </si>
  <si>
    <t>BLK 245 TRACTS A,B,C &amp; NORTH</t>
  </si>
  <si>
    <t>65.64</t>
  </si>
  <si>
    <t>00-00-31-1800-0245-10A0</t>
  </si>
  <si>
    <t>0000311800024510A0</t>
  </si>
  <si>
    <t>205 14TH ST N</t>
  </si>
  <si>
    <t>RYALS JUANITA C</t>
  </si>
  <si>
    <t>205 N 14TH S</t>
  </si>
  <si>
    <t>BLOCK 245 SUB A &amp; B 0F 10</t>
  </si>
  <si>
    <t>589.93</t>
  </si>
  <si>
    <t>07/03/2017</t>
  </si>
  <si>
    <t>00-00-31-1800-0253-0051</t>
  </si>
  <si>
    <t>000031180002530051</t>
  </si>
  <si>
    <t>1401 HIGHLAND DR</t>
  </si>
  <si>
    <t>12/13/2007</t>
  </si>
  <si>
    <t>VELTRE SUZAN &amp;</t>
  </si>
  <si>
    <t>1401 HIGHLAND D</t>
  </si>
  <si>
    <t>BLK 253 PT OF LOTS 5,6 &amp;</t>
  </si>
  <si>
    <t>6284.88</t>
  </si>
  <si>
    <t>5998.44</t>
  </si>
  <si>
    <t>5236.35</t>
  </si>
  <si>
    <t>2473</t>
  </si>
  <si>
    <t>2348.53</t>
  </si>
  <si>
    <t>00-00-31-1800-0256-0102</t>
  </si>
  <si>
    <t>1423 FRANKLIN ST</t>
  </si>
  <si>
    <t>139000</t>
  </si>
  <si>
    <t>RMC VANGUARD MORTGAGE CORP</t>
  </si>
  <si>
    <t>104250.00</t>
  </si>
  <si>
    <t>HAWKE JENNIFER SUPAN &amp;</t>
  </si>
  <si>
    <t>1423 FRANKLIN STREE</t>
  </si>
  <si>
    <t>BLOCK 256 W80 FT OF LOT 10</t>
  </si>
  <si>
    <t>00-00-31-1800-0262-0041</t>
  </si>
  <si>
    <t>000031180002620041</t>
  </si>
  <si>
    <t>502 14TH ST S</t>
  </si>
  <si>
    <t>152737.00</t>
  </si>
  <si>
    <t>03/02/2035</t>
  </si>
  <si>
    <t>YOUNG PATRICIA</t>
  </si>
  <si>
    <t>BLOCK 262 S75 FT OF N106 FT</t>
  </si>
  <si>
    <t>1873.32</t>
  </si>
  <si>
    <t>00-00-31-1800-0266-0061</t>
  </si>
  <si>
    <t>000031180002660061</t>
  </si>
  <si>
    <t>1463 NECTARINE ST</t>
  </si>
  <si>
    <t>7072</t>
  </si>
  <si>
    <t xml:space="preserve"> CNL BANK</t>
  </si>
  <si>
    <t>CEMR INC</t>
  </si>
  <si>
    <t>86229 NORTH HAMPTON CLUB WA</t>
  </si>
  <si>
    <t>BLK 266 E 180FT OF LOT 6</t>
  </si>
  <si>
    <t>00-00-31-1800-0269-0280</t>
  </si>
  <si>
    <t>000031180002690280</t>
  </si>
  <si>
    <t>216 CENTRE ST</t>
  </si>
  <si>
    <t>BURGESS ANNETTE J</t>
  </si>
  <si>
    <t>216 CENTRE S</t>
  </si>
  <si>
    <t>BLOCK 269 LOT 28 EX S29.9 FT</t>
  </si>
  <si>
    <t>00-00-31-1800-0271-0110</t>
  </si>
  <si>
    <t>000031180002710110</t>
  </si>
  <si>
    <t>117 2ND ST S</t>
  </si>
  <si>
    <t>5350</t>
  </si>
  <si>
    <t>ARTISAN HOMES LLC</t>
  </si>
  <si>
    <t>9995 GATE PARKWAY N STE 40</t>
  </si>
  <si>
    <t>BLOCK 271 PT LOTS 11 &amp; 12 EAST</t>
  </si>
  <si>
    <t>3659.90</t>
  </si>
  <si>
    <t>3267</t>
  </si>
  <si>
    <t>4204.78</t>
  </si>
  <si>
    <t>00-00-31-1800-0273-0010</t>
  </si>
  <si>
    <t>000031180002730010</t>
  </si>
  <si>
    <t>208 BEECH ST</t>
  </si>
  <si>
    <t>6635</t>
  </si>
  <si>
    <t>GIEDRYS NORA</t>
  </si>
  <si>
    <t>208 BEECH S</t>
  </si>
  <si>
    <t>BLK 273 PT LOTS 1,2,3,4,5,32,</t>
  </si>
  <si>
    <t>5180.76</t>
  </si>
  <si>
    <t>5283.10</t>
  </si>
  <si>
    <t>5259.97</t>
  </si>
  <si>
    <t>2485</t>
  </si>
  <si>
    <t>4761.09</t>
  </si>
  <si>
    <t>10/19/2015</t>
  </si>
  <si>
    <t>5039.57</t>
  </si>
  <si>
    <t>05/01/2013</t>
  </si>
  <si>
    <t>3794</t>
  </si>
  <si>
    <t>5183.52</t>
  </si>
  <si>
    <t>00-00-31-1800-0281-0002</t>
  </si>
  <si>
    <t>314 ELM ST</t>
  </si>
  <si>
    <t>PO BOX 48</t>
  </si>
  <si>
    <t>BLOCK 281 LOTS LYING EAST</t>
  </si>
  <si>
    <t>2325.19</t>
  </si>
  <si>
    <t>00-00-31-1800-0281-0020</t>
  </si>
  <si>
    <t>000031180002810020</t>
  </si>
  <si>
    <t>S 3RD ST</t>
  </si>
  <si>
    <t>BLOCK 281 LOTS 2-5 &amp; PT OF</t>
  </si>
  <si>
    <t>429.00</t>
  </si>
  <si>
    <t>351.89</t>
  </si>
  <si>
    <t>354.24</t>
  </si>
  <si>
    <t>342.84</t>
  </si>
  <si>
    <t>342.48</t>
  </si>
  <si>
    <t>511.07</t>
  </si>
  <si>
    <t>3798</t>
  </si>
  <si>
    <t>499.26</t>
  </si>
  <si>
    <t>545.63</t>
  </si>
  <si>
    <t>00-00-31-1800-0308-0080</t>
  </si>
  <si>
    <t>000031180003080080</t>
  </si>
  <si>
    <t>1241 S 8TH ST</t>
  </si>
  <si>
    <t>COMMUNITY SHOPPING</t>
  </si>
  <si>
    <t>350000</t>
  </si>
  <si>
    <t>DONNA BALLARD</t>
  </si>
  <si>
    <t>315000.00</t>
  </si>
  <si>
    <t>03/28/2023</t>
  </si>
  <si>
    <t>DRAKUS NICHOLAS L</t>
  </si>
  <si>
    <t>94140 MERLIN D</t>
  </si>
  <si>
    <t>BLOCK 308 LOT 8 &amp; N 50' OF 7</t>
  </si>
  <si>
    <t>2261.22</t>
  </si>
  <si>
    <t>2317.16</t>
  </si>
  <si>
    <t>3429.45</t>
  </si>
  <si>
    <t>2492</t>
  </si>
  <si>
    <t>3288.20</t>
  </si>
  <si>
    <t>00-00-31-1800-0309-0032</t>
  </si>
  <si>
    <t>000031180003090032</t>
  </si>
  <si>
    <t>1335 S 8TH ST</t>
  </si>
  <si>
    <t>GLENDA SMITH</t>
  </si>
  <si>
    <t>280000.00</t>
  </si>
  <si>
    <t>07/01/2024</t>
  </si>
  <si>
    <t>GAGE SCOTT MICHAEL &amp;</t>
  </si>
  <si>
    <t>4901 E WINDRIDGE AV</t>
  </si>
  <si>
    <t>Wasilla</t>
  </si>
  <si>
    <t>Alaska</t>
  </si>
  <si>
    <t>99654</t>
  </si>
  <si>
    <t>BLOCK 309 PT OF LOTS 3 4 5 &amp;</t>
  </si>
  <si>
    <t>00-00-31-1800-0310-0050</t>
  </si>
  <si>
    <t>000031180003100050</t>
  </si>
  <si>
    <t>BLOCK 310 LOT 5 (W OF RR)</t>
  </si>
  <si>
    <t>260.26</t>
  </si>
  <si>
    <t>247.57</t>
  </si>
  <si>
    <t>250.31</t>
  </si>
  <si>
    <t>414.18</t>
  </si>
  <si>
    <t>3803</t>
  </si>
  <si>
    <t>415.16</t>
  </si>
  <si>
    <t>3734</t>
  </si>
  <si>
    <t>464.09</t>
  </si>
  <si>
    <t>35-2N-28-0000-0001-1130</t>
  </si>
  <si>
    <t>352N28000000011130</t>
  </si>
  <si>
    <t>Confidential</t>
  </si>
  <si>
    <t>80031</t>
  </si>
  <si>
    <t>PT OR 1740/1277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</si>
</sst>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name val="Calibri"/>
    </font>
    <font>
      <u/>
      <sz val="11"/>
      <color rgb="FF0000FF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 applyNumberFormat="1" applyFont="1"/>
    <xf numFmtId="0" fontId="2" fillId="0" borderId="0" xfId="0" applyNumberFormat="1" applyFont="1"/>
  </cellXfs>
  <cellStyles count="2">
    <cellStyle name="HyperLink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U2296"/>
  <sheetViews>
    <sheetView tabSelected="1" workbookViewId="0"/>
  </sheetViews>
  <sheetFormatPr defaultRowHeight="15"/>
  <cols>
    <col min="1" max="1" width="16.42578125" customWidth="1"/>
    <col min="2" max="2" width="11.28515625" customWidth="1"/>
    <col min="3" max="3" width="9.140625" customWidth="1"/>
    <col min="4" max="4" width="9.28515625" customWidth="1"/>
    <col min="5" max="6" width="9.140625" customWidth="1"/>
    <col min="7" max="7" width="11.28515625" customWidth="1"/>
    <col min="8" max="8" width="9.5703125" customWidth="1"/>
    <col min="9" max="11" width="9.140625" customWidth="1"/>
    <col min="12" max="12" width="24.140625" customWidth="1"/>
    <col min="13" max="13" width="13.140625" customWidth="1"/>
    <col min="14" max="15" width="24.140625" customWidth="1"/>
    <col min="16" max="16" width="21.7109375" customWidth="1"/>
    <col min="17" max="17" width="24.140625" customWidth="1"/>
    <col min="18" max="18" width="15.5703125" customWidth="1"/>
    <col min="19" max="19" width="12.42578125" customWidth="1"/>
    <col min="20" max="20" width="9.140625" customWidth="1"/>
    <col min="21" max="21" width="14.140625" customWidth="1"/>
    <col min="22" max="22" width="11" customWidth="1"/>
    <col min="23" max="23" width="12.5703125" customWidth="1"/>
    <col min="24" max="24" width="12.28515625" customWidth="1"/>
    <col min="25" max="26" width="9.42578125" customWidth="1"/>
    <col min="27" max="27" width="9.7109375" customWidth="1"/>
    <col min="28" max="28" width="18.42578125" customWidth="1"/>
    <col min="29" max="29" width="14.140625" customWidth="1"/>
    <col min="30" max="30" width="20.42578125" customWidth="1"/>
    <col min="31" max="31" width="17.42578125" customWidth="1"/>
    <col min="32" max="32" width="18.42578125" customWidth="1"/>
    <col min="33" max="33" width="9.7109375" customWidth="1"/>
    <col min="34" max="34" width="9.140625" customWidth="1"/>
    <col min="35" max="35" width="10" customWidth="1"/>
    <col min="36" max="36" width="12.7109375" customWidth="1"/>
    <col min="37" max="37" width="10.42578125" customWidth="1"/>
    <col min="38" max="38" width="13.140625" customWidth="1"/>
    <col min="39" max="39" width="9.5703125" customWidth="1"/>
    <col min="40" max="40" width="13.42578125" customWidth="1"/>
    <col min="41" max="41" width="10.5703125" customWidth="1"/>
    <col min="42" max="44" width="9.140625" customWidth="1"/>
    <col min="45" max="45" width="35.5703125" customWidth="1"/>
    <col min="46" max="46" width="18.42578125" customWidth="1"/>
    <col min="47" max="47" width="12.5703125" customWidth="1"/>
    <col min="48" max="48" width="10.7109375" customWidth="1"/>
    <col min="49" max="49" width="9.140625" customWidth="1"/>
    <col min="50" max="50" width="10.85546875" customWidth="1"/>
    <col min="51" max="51" width="17.28515625" customWidth="1"/>
    <col min="52" max="52" width="14" customWidth="1"/>
    <col min="53" max="53" width="22.7109375" customWidth="1"/>
    <col min="54" max="54" width="34.28515625" customWidth="1"/>
    <col min="55" max="55" width="9.85546875" customWidth="1"/>
    <col min="56" max="56" width="14" customWidth="1"/>
    <col min="57" max="57" width="9.42578125" customWidth="1"/>
    <col min="58" max="58" width="17.42578125" customWidth="1"/>
    <col min="59" max="59" width="17.140625" customWidth="1"/>
    <col min="60" max="60" width="9.140625" customWidth="1"/>
    <col min="61" max="61" width="10.28515625" customWidth="1"/>
    <col min="62" max="62" width="17.5703125" customWidth="1"/>
    <col min="63" max="63" width="32.85546875" customWidth="1"/>
    <col min="64" max="64" width="14.5703125" customWidth="1"/>
    <col min="65" max="65" width="11.42578125" customWidth="1"/>
    <col min="66" max="66" width="9.140625" customWidth="1"/>
    <col min="67" max="67" width="44.140625" customWidth="1"/>
    <col min="68" max="68" width="13.5703125" customWidth="1"/>
    <col min="69" max="69" width="35.28515625" customWidth="1"/>
    <col min="70" max="70" width="44.85546875" customWidth="1"/>
    <col min="71" max="71" width="17.42578125" customWidth="1"/>
    <col min="72" max="72" width="12.28515625" customWidth="1"/>
    <col min="73" max="73" width="9.140625" customWidth="1"/>
    <col min="74" max="74" width="22.85546875" customWidth="1"/>
    <col min="75" max="75" width="11.140625" customWidth="1"/>
    <col min="76" max="76" width="16.42578125" customWidth="1"/>
    <col min="77" max="77" width="20" customWidth="1"/>
    <col min="78" max="78" width="9.140625" customWidth="1"/>
    <col min="79" max="79" width="10.140625" customWidth="1"/>
    <col min="80" max="80" width="33.85546875" customWidth="1"/>
    <col min="81" max="81" width="17.7109375" customWidth="1"/>
    <col min="82" max="82" width="12.85546875" customWidth="1"/>
    <col min="83" max="83" width="69.7109375" customWidth="1"/>
    <col min="84" max="84" width="18.42578125" customWidth="1"/>
    <col min="85" max="85" width="17.85546875" customWidth="1"/>
    <col min="86" max="86" width="9.5703125" customWidth="1"/>
    <col min="87" max="87" width="31.85546875" customWidth="1"/>
    <col min="88" max="88" width="14.140625" customWidth="1"/>
    <col min="89" max="89" width="14.42578125" customWidth="1"/>
    <col min="90" max="90" width="12.28515625" customWidth="1"/>
    <col min="91" max="91" width="11.5703125" customWidth="1"/>
    <col min="92" max="92" width="9.140625" customWidth="1"/>
    <col min="93" max="93" width="21.5703125" customWidth="1"/>
    <col min="94" max="94" width="17" customWidth="1"/>
    <col min="95" max="95" width="9.140625" customWidth="1"/>
    <col min="96" max="96" width="15.28515625" customWidth="1"/>
    <col min="97" max="97" width="15.140625" customWidth="1"/>
    <col min="98" max="98" width="14.140625" customWidth="1"/>
    <col min="99" max="99" width="14.42578125" customWidth="1"/>
    <col min="100" max="100" width="12.28515625" customWidth="1"/>
    <col min="101" max="101" width="11.5703125" customWidth="1"/>
    <col min="102" max="102" width="9.140625" customWidth="1"/>
    <col min="103" max="103" width="21.5703125" customWidth="1"/>
    <col min="104" max="104" width="17" customWidth="1"/>
    <col min="105" max="105" width="9.140625" customWidth="1"/>
    <col min="106" max="106" width="15.28515625" customWidth="1"/>
    <col min="107" max="107" width="15.140625" customWidth="1"/>
    <col min="108" max="108" width="14.140625" customWidth="1"/>
    <col min="109" max="109" width="14.42578125" customWidth="1"/>
    <col min="110" max="110" width="12.28515625" customWidth="1"/>
    <col min="111" max="111" width="11.5703125" customWidth="1"/>
    <col min="112" max="112" width="9.140625" customWidth="1"/>
    <col min="113" max="113" width="21.5703125" customWidth="1"/>
    <col min="114" max="114" width="17" customWidth="1"/>
    <col min="115" max="115" width="9.140625" customWidth="1"/>
    <col min="116" max="116" width="15.28515625" customWidth="1"/>
    <col min="117" max="117" width="15.140625" customWidth="1"/>
    <col min="118" max="118" width="14.140625" customWidth="1"/>
    <col min="119" max="119" width="14.42578125" customWidth="1"/>
    <col min="120" max="120" width="12.28515625" customWidth="1"/>
    <col min="121" max="121" width="11.5703125" customWidth="1"/>
    <col min="122" max="122" width="9.140625" customWidth="1"/>
    <col min="123" max="123" width="21.5703125" customWidth="1"/>
    <col min="124" max="124" width="17" customWidth="1"/>
    <col min="125" max="125" width="9.140625" customWidth="1"/>
    <col min="126" max="126" width="15.28515625" customWidth="1"/>
    <col min="127" max="127" width="15.140625" customWidth="1"/>
    <col min="128" max="128" width="14.140625" customWidth="1"/>
    <col min="129" max="129" width="14.42578125" customWidth="1"/>
    <col min="130" max="130" width="12.28515625" customWidth="1"/>
    <col min="131" max="131" width="11.5703125" customWidth="1"/>
    <col min="132" max="132" width="9.140625" customWidth="1"/>
    <col min="133" max="133" width="21.5703125" customWidth="1"/>
    <col min="134" max="134" width="17" customWidth="1"/>
    <col min="135" max="135" width="9.140625" customWidth="1"/>
    <col min="136" max="136" width="15.28515625" customWidth="1"/>
    <col min="137" max="137" width="15.140625" customWidth="1"/>
    <col min="138" max="138" width="14.140625" customWidth="1"/>
    <col min="139" max="139" width="14.42578125" customWidth="1"/>
    <col min="140" max="140" width="12.28515625" customWidth="1"/>
    <col min="141" max="141" width="11.5703125" customWidth="1"/>
    <col min="142" max="142" width="9.140625" customWidth="1"/>
    <col min="143" max="143" width="21.5703125" customWidth="1"/>
    <col min="144" max="144" width="17" customWidth="1"/>
    <col min="145" max="145" width="9.140625" customWidth="1"/>
    <col min="146" max="146" width="15.28515625" customWidth="1"/>
    <col min="147" max="147" width="15.140625" customWidth="1"/>
    <col min="148" max="148" width="14.140625" customWidth="1"/>
    <col min="149" max="149" width="14.42578125" customWidth="1"/>
    <col min="150" max="150" width="12.28515625" customWidth="1"/>
    <col min="151" max="151" width="11.5703125" customWidth="1"/>
    <col min="152" max="152" width="9.140625" customWidth="1"/>
    <col min="153" max="153" width="21.5703125" customWidth="1"/>
    <col min="154" max="154" width="17" customWidth="1"/>
    <col min="155" max="155" width="9.140625" customWidth="1"/>
    <col min="156" max="156" width="15.28515625" customWidth="1"/>
    <col min="157" max="157" width="15.140625" customWidth="1"/>
    <col min="158" max="158" width="14.140625" customWidth="1"/>
    <col min="159" max="159" width="14.42578125" customWidth="1"/>
    <col min="160" max="160" width="12.28515625" customWidth="1"/>
    <col min="161" max="161" width="11.5703125" customWidth="1"/>
    <col min="162" max="162" width="9.140625" customWidth="1"/>
    <col min="163" max="163" width="21.5703125" customWidth="1"/>
    <col min="164" max="164" width="17" customWidth="1"/>
    <col min="165" max="165" width="9.140625" customWidth="1"/>
    <col min="166" max="166" width="15.28515625" customWidth="1"/>
    <col min="167" max="167" width="15.140625" customWidth="1"/>
    <col min="168" max="168" width="14.140625" customWidth="1"/>
    <col min="169" max="169" width="14.42578125" customWidth="1"/>
    <col min="170" max="170" width="12.28515625" customWidth="1"/>
    <col min="171" max="171" width="11.5703125" customWidth="1"/>
    <col min="172" max="172" width="9.140625" customWidth="1"/>
    <col min="173" max="173" width="21.5703125" customWidth="1"/>
    <col min="174" max="174" width="17" customWidth="1"/>
    <col min="175" max="175" width="9.140625" customWidth="1"/>
    <col min="176" max="176" width="15.28515625" customWidth="1"/>
    <col min="177" max="177" width="15.140625" customWidth="1"/>
  </cols>
  <sheetData>
    <row r="1" spans="1:177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</row>
    <row r="2" spans="1:177">
      <c r="A2" s="1" t="str">
        <f>HYPERLINK("http://digipan.lumentumllc.com/apps/getLink/index.php?t=PropLink&amp;p=5244913","PL")</f>
        <v>PL</v>
      </c>
      <c r="B2" s="1" t="str">
        <f>HYPERLINK("http://digipan.lumentumllc.com/apps/getLink/index.php?t=TaxLink&amp;p=5244913","TL")</f>
        <v>TL</v>
      </c>
      <c r="C2" s="1" t="str">
        <f>HYPERLINK("http://digipan.lumentumllc.com/apps/getMap/index.php?p=5244913","Map")</f>
        <v>Map</v>
      </c>
      <c r="E2" t="s">
        <v>177</v>
      </c>
      <c r="F2" t="s">
        <v>178</v>
      </c>
      <c r="L2" t="s">
        <v>179</v>
      </c>
      <c r="N2" t="s">
        <v>179</v>
      </c>
      <c r="O2" t="s">
        <v>179</v>
      </c>
      <c r="P2" t="s">
        <v>180</v>
      </c>
      <c r="Q2" t="s">
        <v>179</v>
      </c>
      <c r="V2">
        <v>1</v>
      </c>
      <c r="W2">
        <v>1</v>
      </c>
      <c r="X2">
        <v>2017</v>
      </c>
      <c r="Y2">
        <v>2018</v>
      </c>
      <c r="Z2">
        <v>582.82000000000005</v>
      </c>
      <c r="AB2" t="s">
        <v>181</v>
      </c>
      <c r="AC2" t="s">
        <v>182</v>
      </c>
      <c r="AD2" t="s">
        <v>183</v>
      </c>
      <c r="AE2">
        <v>0</v>
      </c>
      <c r="AF2">
        <v>1</v>
      </c>
      <c r="AG2" t="s">
        <v>184</v>
      </c>
      <c r="AH2">
        <v>0</v>
      </c>
      <c r="AK2">
        <v>0</v>
      </c>
      <c r="AL2">
        <v>33643</v>
      </c>
      <c r="AM2">
        <v>28800</v>
      </c>
      <c r="AN2">
        <v>4843</v>
      </c>
      <c r="AO2">
        <v>516</v>
      </c>
      <c r="AP2">
        <v>2016</v>
      </c>
      <c r="AQ2">
        <v>1.73</v>
      </c>
      <c r="AS2" t="s">
        <v>185</v>
      </c>
      <c r="AT2" t="s">
        <v>186</v>
      </c>
      <c r="AU2" t="s">
        <v>177</v>
      </c>
      <c r="AV2" t="s">
        <v>187</v>
      </c>
      <c r="AW2" t="s">
        <v>182</v>
      </c>
      <c r="AX2">
        <v>2</v>
      </c>
      <c r="AY2" t="s">
        <v>188</v>
      </c>
      <c r="AZ2" t="s">
        <v>189</v>
      </c>
      <c r="BA2" t="s">
        <v>190</v>
      </c>
      <c r="BB2" t="s">
        <v>191</v>
      </c>
      <c r="BC2" t="s">
        <v>182</v>
      </c>
      <c r="BD2" t="s">
        <v>182</v>
      </c>
      <c r="BE2" t="s">
        <v>192</v>
      </c>
      <c r="BF2">
        <v>1</v>
      </c>
      <c r="BG2">
        <v>1</v>
      </c>
      <c r="BH2">
        <v>1970</v>
      </c>
      <c r="BI2" t="s">
        <v>193</v>
      </c>
      <c r="BJ2" t="s">
        <v>194</v>
      </c>
      <c r="BK2" t="s">
        <v>195</v>
      </c>
      <c r="BL2" t="s">
        <v>196</v>
      </c>
      <c r="BM2" t="s">
        <v>197</v>
      </c>
      <c r="BN2" t="s">
        <v>182</v>
      </c>
      <c r="BO2" t="s">
        <v>198</v>
      </c>
      <c r="BP2" t="s">
        <v>198</v>
      </c>
      <c r="BQ2" t="s">
        <v>198</v>
      </c>
      <c r="BR2" t="s">
        <v>198</v>
      </c>
      <c r="BS2" t="s">
        <v>198</v>
      </c>
      <c r="BT2" t="s">
        <v>198</v>
      </c>
      <c r="BU2" t="s">
        <v>182</v>
      </c>
      <c r="BV2" t="s">
        <v>198</v>
      </c>
      <c r="BW2" t="s">
        <v>198</v>
      </c>
      <c r="BX2" t="s">
        <v>199</v>
      </c>
      <c r="BY2" t="s">
        <v>198</v>
      </c>
      <c r="BZ2" t="s">
        <v>199</v>
      </c>
      <c r="CA2" t="s">
        <v>199</v>
      </c>
      <c r="CB2" t="s">
        <v>200</v>
      </c>
      <c r="CC2" t="s">
        <v>201</v>
      </c>
      <c r="CD2" t="s">
        <v>202</v>
      </c>
      <c r="CE2" t="s">
        <v>203</v>
      </c>
      <c r="CF2" t="s">
        <v>204</v>
      </c>
      <c r="CG2" t="s">
        <v>177</v>
      </c>
      <c r="CH2" t="s">
        <v>187</v>
      </c>
      <c r="CI2" t="s">
        <v>205</v>
      </c>
      <c r="CJ2" t="s">
        <v>206</v>
      </c>
      <c r="CK2" t="s">
        <v>207</v>
      </c>
      <c r="CL2" t="s">
        <v>208</v>
      </c>
      <c r="CM2" t="s">
        <v>209</v>
      </c>
      <c r="CN2" t="s">
        <v>210</v>
      </c>
      <c r="CO2" t="s">
        <v>183</v>
      </c>
      <c r="CP2" t="s">
        <v>211</v>
      </c>
      <c r="CQ2" t="s">
        <v>212</v>
      </c>
      <c r="CS2" t="s">
        <v>213</v>
      </c>
      <c r="DC2" t="s">
        <v>198</v>
      </c>
      <c r="DM2" t="s">
        <v>198</v>
      </c>
      <c r="DW2" t="s">
        <v>198</v>
      </c>
      <c r="EG2" t="s">
        <v>198</v>
      </c>
      <c r="EQ2" t="s">
        <v>198</v>
      </c>
      <c r="FA2" t="s">
        <v>198</v>
      </c>
      <c r="FK2" t="s">
        <v>198</v>
      </c>
      <c r="FU2" t="s">
        <v>198</v>
      </c>
    </row>
    <row r="3" spans="1:177">
      <c r="A3" s="1" t="str">
        <f>HYPERLINK("http://digipan.lumentumllc.com/apps/getLink/index.php?t=PropLink&amp;p=6128832","PL")</f>
        <v>PL</v>
      </c>
      <c r="B3" s="1" t="str">
        <f>HYPERLINK("http://digipan.lumentumllc.com/apps/getLink/index.php?t=TaxLink&amp;p=6128832","TL")</f>
        <v>TL</v>
      </c>
      <c r="C3" s="1" t="str">
        <f>HYPERLINK("http://digipan.lumentumllc.com/apps/getMap/index.php?p=6128832","Map")</f>
        <v>Map</v>
      </c>
      <c r="E3" t="s">
        <v>177</v>
      </c>
      <c r="F3" t="s">
        <v>178</v>
      </c>
      <c r="L3" t="s">
        <v>214</v>
      </c>
      <c r="N3" t="s">
        <v>214</v>
      </c>
      <c r="O3" t="s">
        <v>214</v>
      </c>
      <c r="P3" t="s">
        <v>215</v>
      </c>
      <c r="Q3" t="s">
        <v>214</v>
      </c>
      <c r="V3">
        <v>2</v>
      </c>
      <c r="W3">
        <v>1</v>
      </c>
      <c r="X3">
        <v>2017</v>
      </c>
      <c r="Y3">
        <v>2018</v>
      </c>
      <c r="Z3">
        <v>659.47</v>
      </c>
      <c r="AB3" t="s">
        <v>181</v>
      </c>
      <c r="AC3" t="s">
        <v>182</v>
      </c>
      <c r="AD3" t="s">
        <v>183</v>
      </c>
      <c r="AE3">
        <v>0</v>
      </c>
      <c r="AF3">
        <v>2</v>
      </c>
      <c r="AG3" t="s">
        <v>216</v>
      </c>
      <c r="AH3">
        <v>100</v>
      </c>
      <c r="AK3">
        <v>0</v>
      </c>
      <c r="AL3">
        <v>205074</v>
      </c>
      <c r="AM3">
        <v>24531</v>
      </c>
      <c r="AN3">
        <v>180543</v>
      </c>
      <c r="AO3">
        <v>559</v>
      </c>
      <c r="AP3">
        <v>2016</v>
      </c>
      <c r="AQ3">
        <v>0.32</v>
      </c>
      <c r="AS3" t="s">
        <v>217</v>
      </c>
      <c r="AT3" t="s">
        <v>186</v>
      </c>
      <c r="AU3" t="s">
        <v>177</v>
      </c>
      <c r="AV3" t="s">
        <v>187</v>
      </c>
      <c r="AW3" t="s">
        <v>202</v>
      </c>
      <c r="AX3">
        <v>56</v>
      </c>
      <c r="AY3" t="s">
        <v>218</v>
      </c>
      <c r="AZ3" t="s">
        <v>219</v>
      </c>
      <c r="BA3" t="s">
        <v>220</v>
      </c>
      <c r="BB3" t="s">
        <v>191</v>
      </c>
      <c r="BC3" t="s">
        <v>182</v>
      </c>
      <c r="BD3" t="s">
        <v>182</v>
      </c>
      <c r="BE3" t="s">
        <v>221</v>
      </c>
      <c r="BF3">
        <v>1</v>
      </c>
      <c r="BG3">
        <v>1</v>
      </c>
      <c r="BH3">
        <v>2002</v>
      </c>
      <c r="BI3" t="s">
        <v>222</v>
      </c>
      <c r="BJ3" t="s">
        <v>194</v>
      </c>
      <c r="BK3" t="s">
        <v>195</v>
      </c>
      <c r="BL3" t="s">
        <v>223</v>
      </c>
      <c r="BM3" t="s">
        <v>207</v>
      </c>
      <c r="BN3" t="s">
        <v>182</v>
      </c>
      <c r="BO3" t="s">
        <v>224</v>
      </c>
      <c r="BP3" t="s">
        <v>225</v>
      </c>
      <c r="BQ3" t="s">
        <v>226</v>
      </c>
      <c r="BR3" t="s">
        <v>227</v>
      </c>
      <c r="BS3" t="s">
        <v>198</v>
      </c>
      <c r="BT3" t="s">
        <v>228</v>
      </c>
      <c r="BU3" t="s">
        <v>182</v>
      </c>
      <c r="BV3" t="s">
        <v>198</v>
      </c>
      <c r="BW3" t="s">
        <v>198</v>
      </c>
      <c r="BX3" t="s">
        <v>199</v>
      </c>
      <c r="BY3" t="s">
        <v>198</v>
      </c>
      <c r="BZ3" t="s">
        <v>199</v>
      </c>
      <c r="CA3" t="s">
        <v>199</v>
      </c>
      <c r="CB3" t="s">
        <v>229</v>
      </c>
      <c r="CC3" t="s">
        <v>201</v>
      </c>
      <c r="CD3" t="s">
        <v>182</v>
      </c>
      <c r="CE3" t="s">
        <v>230</v>
      </c>
      <c r="CF3" t="s">
        <v>204</v>
      </c>
      <c r="CG3" t="s">
        <v>177</v>
      </c>
      <c r="CH3" t="s">
        <v>187</v>
      </c>
      <c r="CI3" t="s">
        <v>231</v>
      </c>
      <c r="CJ3" t="s">
        <v>189</v>
      </c>
      <c r="CK3" t="s">
        <v>232</v>
      </c>
      <c r="CL3" t="s">
        <v>233</v>
      </c>
      <c r="CM3" t="s">
        <v>234</v>
      </c>
      <c r="CN3" t="s">
        <v>235</v>
      </c>
      <c r="CO3" t="s">
        <v>183</v>
      </c>
      <c r="CP3" t="s">
        <v>211</v>
      </c>
      <c r="CQ3" t="s">
        <v>199</v>
      </c>
      <c r="CS3" t="s">
        <v>236</v>
      </c>
      <c r="CT3" t="s">
        <v>237</v>
      </c>
      <c r="CU3" t="s">
        <v>238</v>
      </c>
      <c r="CV3" t="s">
        <v>239</v>
      </c>
      <c r="CW3" t="s">
        <v>240</v>
      </c>
      <c r="CX3" t="s">
        <v>235</v>
      </c>
      <c r="CY3" t="s">
        <v>183</v>
      </c>
      <c r="CZ3" t="s">
        <v>211</v>
      </c>
      <c r="DA3" t="s">
        <v>199</v>
      </c>
      <c r="DC3" t="s">
        <v>241</v>
      </c>
      <c r="DM3" t="s">
        <v>198</v>
      </c>
      <c r="DW3" t="s">
        <v>198</v>
      </c>
      <c r="EG3" t="s">
        <v>198</v>
      </c>
      <c r="EQ3" t="s">
        <v>198</v>
      </c>
      <c r="FA3" t="s">
        <v>198</v>
      </c>
      <c r="FK3" t="s">
        <v>198</v>
      </c>
      <c r="FU3" t="s">
        <v>198</v>
      </c>
    </row>
    <row r="4" spans="1:177">
      <c r="A4" s="1" t="str">
        <f>HYPERLINK("http://digipan.lumentumllc.com/apps/getLink/index.php?t=PropLink&amp;p=6128833","PL")</f>
        <v>PL</v>
      </c>
      <c r="B4" s="1" t="str">
        <f>HYPERLINK("http://digipan.lumentumllc.com/apps/getLink/index.php?t=TaxLink&amp;p=6128833","TL")</f>
        <v>TL</v>
      </c>
      <c r="C4" s="1" t="str">
        <f>HYPERLINK("http://digipan.lumentumllc.com/apps/getMap/index.php?p=6128833","Map")</f>
        <v>Map</v>
      </c>
      <c r="E4" t="s">
        <v>177</v>
      </c>
      <c r="F4" t="s">
        <v>178</v>
      </c>
      <c r="L4" t="s">
        <v>242</v>
      </c>
      <c r="N4" t="s">
        <v>242</v>
      </c>
      <c r="O4" t="s">
        <v>242</v>
      </c>
      <c r="P4" t="s">
        <v>243</v>
      </c>
      <c r="Q4" t="s">
        <v>242</v>
      </c>
      <c r="V4">
        <v>3</v>
      </c>
      <c r="W4">
        <v>1</v>
      </c>
      <c r="X4">
        <v>2017</v>
      </c>
      <c r="Y4">
        <v>2018</v>
      </c>
      <c r="Z4">
        <v>121.11</v>
      </c>
      <c r="AB4" t="s">
        <v>181</v>
      </c>
      <c r="AC4" t="s">
        <v>182</v>
      </c>
      <c r="AD4" t="s">
        <v>183</v>
      </c>
      <c r="AE4">
        <v>0</v>
      </c>
      <c r="AF4">
        <v>2</v>
      </c>
      <c r="AG4" t="s">
        <v>216</v>
      </c>
      <c r="AH4">
        <v>100</v>
      </c>
      <c r="AK4">
        <v>0</v>
      </c>
      <c r="AL4">
        <v>44400</v>
      </c>
      <c r="AM4">
        <v>1725</v>
      </c>
      <c r="AN4">
        <v>42675</v>
      </c>
      <c r="AO4">
        <v>70</v>
      </c>
      <c r="AP4">
        <v>2016</v>
      </c>
      <c r="AQ4">
        <v>0.27</v>
      </c>
      <c r="AS4" t="s">
        <v>244</v>
      </c>
      <c r="AT4" t="s">
        <v>186</v>
      </c>
      <c r="AU4" t="s">
        <v>177</v>
      </c>
      <c r="AV4" t="s">
        <v>187</v>
      </c>
      <c r="AW4" t="s">
        <v>182</v>
      </c>
      <c r="AX4">
        <v>60</v>
      </c>
      <c r="AY4" t="s">
        <v>218</v>
      </c>
      <c r="AZ4" t="s">
        <v>245</v>
      </c>
      <c r="BA4" t="s">
        <v>246</v>
      </c>
      <c r="BB4" t="s">
        <v>191</v>
      </c>
      <c r="BC4" t="s">
        <v>182</v>
      </c>
      <c r="BD4" t="s">
        <v>182</v>
      </c>
      <c r="BE4" t="s">
        <v>247</v>
      </c>
      <c r="BF4">
        <v>0</v>
      </c>
      <c r="BG4">
        <v>0</v>
      </c>
      <c r="BH4">
        <v>0</v>
      </c>
      <c r="BI4" t="s">
        <v>199</v>
      </c>
      <c r="BJ4" t="s">
        <v>248</v>
      </c>
      <c r="BL4" t="s">
        <v>199</v>
      </c>
      <c r="BM4" t="s">
        <v>207</v>
      </c>
      <c r="BN4" t="s">
        <v>182</v>
      </c>
      <c r="BO4" t="s">
        <v>198</v>
      </c>
      <c r="BP4" t="s">
        <v>198</v>
      </c>
      <c r="BQ4" t="s">
        <v>198</v>
      </c>
      <c r="BR4" t="s">
        <v>198</v>
      </c>
      <c r="BS4" t="s">
        <v>198</v>
      </c>
      <c r="BT4" t="s">
        <v>198</v>
      </c>
      <c r="BU4" t="s">
        <v>182</v>
      </c>
      <c r="BV4" t="s">
        <v>198</v>
      </c>
      <c r="BW4" t="s">
        <v>198</v>
      </c>
      <c r="BX4" t="s">
        <v>199</v>
      </c>
      <c r="BY4" t="s">
        <v>198</v>
      </c>
      <c r="BZ4" t="s">
        <v>199</v>
      </c>
      <c r="CA4" t="s">
        <v>199</v>
      </c>
      <c r="CB4" t="s">
        <v>229</v>
      </c>
      <c r="CC4" t="s">
        <v>201</v>
      </c>
      <c r="CD4" t="s">
        <v>182</v>
      </c>
      <c r="CE4" t="s">
        <v>230</v>
      </c>
      <c r="CF4" t="s">
        <v>204</v>
      </c>
      <c r="CG4" t="s">
        <v>177</v>
      </c>
      <c r="CH4" t="s">
        <v>187</v>
      </c>
      <c r="CI4" t="s">
        <v>249</v>
      </c>
      <c r="CJ4" t="s">
        <v>250</v>
      </c>
      <c r="CK4" t="s">
        <v>232</v>
      </c>
      <c r="CL4" t="s">
        <v>233</v>
      </c>
      <c r="CM4" t="s">
        <v>251</v>
      </c>
      <c r="CN4" t="s">
        <v>235</v>
      </c>
      <c r="CO4" t="s">
        <v>183</v>
      </c>
      <c r="CP4" t="s">
        <v>211</v>
      </c>
      <c r="CQ4" t="s">
        <v>199</v>
      </c>
      <c r="CS4" t="s">
        <v>236</v>
      </c>
      <c r="CT4" t="s">
        <v>252</v>
      </c>
      <c r="CU4" t="s">
        <v>238</v>
      </c>
      <c r="CV4" t="s">
        <v>239</v>
      </c>
      <c r="CW4" t="s">
        <v>253</v>
      </c>
      <c r="CX4" t="s">
        <v>254</v>
      </c>
      <c r="CY4" t="s">
        <v>183</v>
      </c>
      <c r="CZ4" t="s">
        <v>211</v>
      </c>
      <c r="DA4" t="s">
        <v>199</v>
      </c>
      <c r="DC4" t="s">
        <v>241</v>
      </c>
      <c r="DM4" t="s">
        <v>198</v>
      </c>
      <c r="DW4" t="s">
        <v>198</v>
      </c>
      <c r="EG4" t="s">
        <v>198</v>
      </c>
      <c r="EQ4" t="s">
        <v>198</v>
      </c>
      <c r="FA4" t="s">
        <v>198</v>
      </c>
      <c r="FK4" t="s">
        <v>198</v>
      </c>
      <c r="FU4" t="s">
        <v>198</v>
      </c>
    </row>
    <row r="5" spans="1:177">
      <c r="A5" s="1" t="str">
        <f>HYPERLINK("http://digipan.lumentumllc.com/apps/getLink/index.php?t=PropLink&amp;p=5244968","PL")</f>
        <v>PL</v>
      </c>
      <c r="B5" s="1" t="str">
        <f>HYPERLINK("http://digipan.lumentumllc.com/apps/getLink/index.php?t=TaxLink&amp;p=5244968","TL")</f>
        <v>TL</v>
      </c>
      <c r="C5" s="1" t="str">
        <f>HYPERLINK("http://digipan.lumentumllc.com/apps/getMap/index.php?p=5244968","Map")</f>
        <v>Map</v>
      </c>
      <c r="E5" t="s">
        <v>177</v>
      </c>
      <c r="F5" t="s">
        <v>178</v>
      </c>
      <c r="L5" t="s">
        <v>255</v>
      </c>
      <c r="N5" t="s">
        <v>255</v>
      </c>
      <c r="O5" t="s">
        <v>255</v>
      </c>
      <c r="P5" t="s">
        <v>256</v>
      </c>
      <c r="Q5" t="s">
        <v>255</v>
      </c>
      <c r="V5">
        <v>4</v>
      </c>
      <c r="W5">
        <v>1</v>
      </c>
      <c r="X5">
        <v>2017</v>
      </c>
      <c r="Y5">
        <v>2018</v>
      </c>
      <c r="Z5">
        <v>819.19</v>
      </c>
      <c r="AB5" t="s">
        <v>181</v>
      </c>
      <c r="AC5" t="s">
        <v>202</v>
      </c>
      <c r="AD5" t="s">
        <v>183</v>
      </c>
      <c r="AE5">
        <v>1</v>
      </c>
      <c r="AF5">
        <v>3</v>
      </c>
      <c r="AG5" t="s">
        <v>257</v>
      </c>
      <c r="AH5">
        <v>75</v>
      </c>
      <c r="AI5">
        <v>745.67</v>
      </c>
      <c r="AJ5">
        <v>37.28</v>
      </c>
      <c r="AK5">
        <v>782.95</v>
      </c>
      <c r="AL5">
        <v>49099</v>
      </c>
      <c r="AM5">
        <v>16500</v>
      </c>
      <c r="AN5">
        <v>32599</v>
      </c>
      <c r="AO5">
        <v>665</v>
      </c>
      <c r="AP5">
        <v>2016</v>
      </c>
      <c r="AQ5">
        <v>1.67</v>
      </c>
      <c r="AR5">
        <v>1.59</v>
      </c>
      <c r="AS5" t="s">
        <v>258</v>
      </c>
      <c r="AT5" t="s">
        <v>186</v>
      </c>
      <c r="AU5" t="s">
        <v>177</v>
      </c>
      <c r="AV5" t="s">
        <v>187</v>
      </c>
      <c r="AW5" t="s">
        <v>182</v>
      </c>
      <c r="AX5">
        <v>2</v>
      </c>
      <c r="AY5" t="s">
        <v>188</v>
      </c>
      <c r="AZ5" t="s">
        <v>189</v>
      </c>
      <c r="BA5" t="s">
        <v>190</v>
      </c>
      <c r="BB5" t="s">
        <v>191</v>
      </c>
      <c r="BC5" t="s">
        <v>182</v>
      </c>
      <c r="BD5" t="s">
        <v>182</v>
      </c>
      <c r="BE5" t="s">
        <v>259</v>
      </c>
      <c r="BF5">
        <v>1</v>
      </c>
      <c r="BG5">
        <v>1</v>
      </c>
      <c r="BH5">
        <v>2000</v>
      </c>
      <c r="BI5" t="s">
        <v>260</v>
      </c>
      <c r="BJ5" t="s">
        <v>194</v>
      </c>
      <c r="BK5" t="s">
        <v>195</v>
      </c>
      <c r="BL5" t="s">
        <v>199</v>
      </c>
      <c r="BM5" t="s">
        <v>238</v>
      </c>
      <c r="BN5" t="s">
        <v>182</v>
      </c>
      <c r="BO5" t="s">
        <v>198</v>
      </c>
      <c r="BP5" t="s">
        <v>198</v>
      </c>
      <c r="BQ5" t="s">
        <v>198</v>
      </c>
      <c r="BR5" t="s">
        <v>198</v>
      </c>
      <c r="BS5" t="s">
        <v>198</v>
      </c>
      <c r="BT5" t="s">
        <v>198</v>
      </c>
      <c r="BU5" t="s">
        <v>182</v>
      </c>
      <c r="BV5" t="s">
        <v>198</v>
      </c>
      <c r="BW5" t="s">
        <v>198</v>
      </c>
      <c r="BX5" t="s">
        <v>199</v>
      </c>
      <c r="BY5" t="s">
        <v>198</v>
      </c>
      <c r="BZ5" t="s">
        <v>199</v>
      </c>
      <c r="CA5" t="s">
        <v>199</v>
      </c>
      <c r="CB5" t="s">
        <v>261</v>
      </c>
      <c r="CC5" t="s">
        <v>201</v>
      </c>
      <c r="CD5" t="s">
        <v>182</v>
      </c>
      <c r="CE5" t="s">
        <v>262</v>
      </c>
      <c r="CF5" t="s">
        <v>204</v>
      </c>
      <c r="CG5" t="s">
        <v>177</v>
      </c>
      <c r="CH5" t="s">
        <v>187</v>
      </c>
      <c r="CI5" t="s">
        <v>263</v>
      </c>
      <c r="CJ5" t="s">
        <v>264</v>
      </c>
      <c r="CK5" t="s">
        <v>232</v>
      </c>
      <c r="CL5" t="s">
        <v>233</v>
      </c>
      <c r="CM5" t="s">
        <v>265</v>
      </c>
      <c r="CN5" t="s">
        <v>235</v>
      </c>
      <c r="CO5" t="s">
        <v>183</v>
      </c>
      <c r="CP5" t="s">
        <v>266</v>
      </c>
      <c r="CS5" t="s">
        <v>198</v>
      </c>
      <c r="CT5" t="s">
        <v>189</v>
      </c>
      <c r="CU5" t="s">
        <v>267</v>
      </c>
      <c r="CV5" t="s">
        <v>268</v>
      </c>
      <c r="CW5" t="s">
        <v>269</v>
      </c>
      <c r="CX5" t="s">
        <v>235</v>
      </c>
      <c r="CY5" t="s">
        <v>183</v>
      </c>
      <c r="CZ5" t="s">
        <v>211</v>
      </c>
      <c r="DA5" t="s">
        <v>270</v>
      </c>
      <c r="DB5" t="s">
        <v>271</v>
      </c>
      <c r="DC5" t="s">
        <v>272</v>
      </c>
      <c r="DD5" t="s">
        <v>250</v>
      </c>
      <c r="DE5" t="s">
        <v>273</v>
      </c>
      <c r="DF5" t="s">
        <v>274</v>
      </c>
      <c r="DG5" t="s">
        <v>275</v>
      </c>
      <c r="DH5" t="s">
        <v>235</v>
      </c>
      <c r="DI5" t="s">
        <v>183</v>
      </c>
      <c r="DJ5" t="s">
        <v>211</v>
      </c>
      <c r="DL5" t="s">
        <v>271</v>
      </c>
      <c r="DM5" t="s">
        <v>198</v>
      </c>
      <c r="DN5" t="s">
        <v>276</v>
      </c>
      <c r="DO5" t="s">
        <v>238</v>
      </c>
      <c r="DP5" t="s">
        <v>239</v>
      </c>
      <c r="DQ5" t="s">
        <v>277</v>
      </c>
      <c r="DR5" t="s">
        <v>278</v>
      </c>
      <c r="DS5" t="s">
        <v>183</v>
      </c>
      <c r="DT5" t="s">
        <v>211</v>
      </c>
      <c r="DU5" t="s">
        <v>212</v>
      </c>
      <c r="DW5" t="s">
        <v>279</v>
      </c>
      <c r="EG5" t="s">
        <v>198</v>
      </c>
      <c r="EQ5" t="s">
        <v>198</v>
      </c>
      <c r="FA5" t="s">
        <v>198</v>
      </c>
      <c r="FK5" t="s">
        <v>198</v>
      </c>
      <c r="FU5" t="s">
        <v>198</v>
      </c>
    </row>
    <row r="6" spans="1:177">
      <c r="A6" s="1" t="str">
        <f>HYPERLINK("http://digipan.lumentumllc.com/apps/getLink/index.php?t=PropLink&amp;p=5244969","PL")</f>
        <v>PL</v>
      </c>
      <c r="B6" s="1" t="str">
        <f>HYPERLINK("http://digipan.lumentumllc.com/apps/getLink/index.php?t=TaxLink&amp;p=5244969","TL")</f>
        <v>TL</v>
      </c>
      <c r="C6" s="1" t="str">
        <f>HYPERLINK("http://digipan.lumentumllc.com/apps/getMap/index.php?p=5244969","Map")</f>
        <v>Map</v>
      </c>
      <c r="E6" t="s">
        <v>177</v>
      </c>
      <c r="F6" t="s">
        <v>178</v>
      </c>
      <c r="L6" t="s">
        <v>280</v>
      </c>
      <c r="N6" t="s">
        <v>280</v>
      </c>
      <c r="O6" t="s">
        <v>280</v>
      </c>
      <c r="P6" t="s">
        <v>281</v>
      </c>
      <c r="Q6" t="s">
        <v>280</v>
      </c>
      <c r="V6">
        <v>5</v>
      </c>
      <c r="W6">
        <v>1</v>
      </c>
      <c r="X6">
        <v>2017</v>
      </c>
      <c r="Y6">
        <v>2018</v>
      </c>
      <c r="Z6">
        <v>656.11</v>
      </c>
      <c r="AB6" t="s">
        <v>181</v>
      </c>
      <c r="AC6" t="s">
        <v>202</v>
      </c>
      <c r="AD6" t="s">
        <v>183</v>
      </c>
      <c r="AE6">
        <v>2</v>
      </c>
      <c r="AF6">
        <v>4</v>
      </c>
      <c r="AG6" t="s">
        <v>282</v>
      </c>
      <c r="AH6">
        <v>67</v>
      </c>
      <c r="AI6">
        <v>1304.8599999999999</v>
      </c>
      <c r="AJ6">
        <v>113.65</v>
      </c>
      <c r="AK6">
        <v>1418.51</v>
      </c>
      <c r="AL6">
        <v>38119</v>
      </c>
      <c r="AM6">
        <v>30600</v>
      </c>
      <c r="AN6">
        <v>7519</v>
      </c>
      <c r="AO6">
        <v>585</v>
      </c>
      <c r="AP6">
        <v>2016</v>
      </c>
      <c r="AQ6">
        <v>1.72</v>
      </c>
      <c r="AR6">
        <v>3.72</v>
      </c>
      <c r="AS6" t="s">
        <v>283</v>
      </c>
      <c r="AT6" t="s">
        <v>186</v>
      </c>
      <c r="AU6" t="s">
        <v>177</v>
      </c>
      <c r="AV6" t="s">
        <v>187</v>
      </c>
      <c r="AW6" t="s">
        <v>182</v>
      </c>
      <c r="AX6">
        <v>2</v>
      </c>
      <c r="AY6" t="s">
        <v>188</v>
      </c>
      <c r="AZ6" t="s">
        <v>189</v>
      </c>
      <c r="BA6" t="s">
        <v>190</v>
      </c>
      <c r="BB6" t="s">
        <v>191</v>
      </c>
      <c r="BC6" t="s">
        <v>182</v>
      </c>
      <c r="BD6" t="s">
        <v>182</v>
      </c>
      <c r="BE6" t="s">
        <v>278</v>
      </c>
      <c r="BF6">
        <v>2</v>
      </c>
      <c r="BG6">
        <v>2</v>
      </c>
      <c r="BH6">
        <v>1970</v>
      </c>
      <c r="BI6" t="s">
        <v>284</v>
      </c>
      <c r="BJ6" t="s">
        <v>285</v>
      </c>
      <c r="BK6" t="s">
        <v>195</v>
      </c>
      <c r="BL6" t="s">
        <v>199</v>
      </c>
      <c r="BM6" t="s">
        <v>286</v>
      </c>
      <c r="BN6" t="s">
        <v>182</v>
      </c>
      <c r="BO6" t="s">
        <v>198</v>
      </c>
      <c r="BP6" t="s">
        <v>198</v>
      </c>
      <c r="BQ6" t="s">
        <v>198</v>
      </c>
      <c r="BR6" t="s">
        <v>198</v>
      </c>
      <c r="BS6" t="s">
        <v>198</v>
      </c>
      <c r="BT6" t="s">
        <v>198</v>
      </c>
      <c r="BU6" t="s">
        <v>182</v>
      </c>
      <c r="BV6" t="s">
        <v>198</v>
      </c>
      <c r="BW6" t="s">
        <v>198</v>
      </c>
      <c r="BX6" t="s">
        <v>199</v>
      </c>
      <c r="BY6" t="s">
        <v>198</v>
      </c>
      <c r="BZ6" t="s">
        <v>199</v>
      </c>
      <c r="CA6" t="s">
        <v>199</v>
      </c>
      <c r="CB6" t="s">
        <v>287</v>
      </c>
      <c r="CC6" t="s">
        <v>201</v>
      </c>
      <c r="CD6" t="s">
        <v>182</v>
      </c>
      <c r="CE6" t="s">
        <v>288</v>
      </c>
      <c r="CF6" t="s">
        <v>204</v>
      </c>
      <c r="CG6" t="s">
        <v>177</v>
      </c>
      <c r="CH6" t="s">
        <v>187</v>
      </c>
      <c r="CI6" t="s">
        <v>289</v>
      </c>
      <c r="CJ6" t="s">
        <v>290</v>
      </c>
      <c r="CK6" t="s">
        <v>232</v>
      </c>
      <c r="CL6" t="s">
        <v>233</v>
      </c>
      <c r="CM6" t="s">
        <v>291</v>
      </c>
      <c r="CN6" t="s">
        <v>235</v>
      </c>
      <c r="CO6" t="s">
        <v>183</v>
      </c>
      <c r="CP6" t="s">
        <v>266</v>
      </c>
      <c r="CS6" t="s">
        <v>198</v>
      </c>
      <c r="CT6" t="s">
        <v>189</v>
      </c>
      <c r="CU6" t="s">
        <v>292</v>
      </c>
      <c r="CV6" t="s">
        <v>293</v>
      </c>
      <c r="CW6" t="s">
        <v>294</v>
      </c>
      <c r="CX6" t="s">
        <v>295</v>
      </c>
      <c r="CY6" t="s">
        <v>183</v>
      </c>
      <c r="CZ6" t="s">
        <v>266</v>
      </c>
      <c r="DC6" t="s">
        <v>198</v>
      </c>
      <c r="DD6" t="s">
        <v>296</v>
      </c>
      <c r="DE6" t="s">
        <v>267</v>
      </c>
      <c r="DF6" t="s">
        <v>268</v>
      </c>
      <c r="DG6" t="s">
        <v>297</v>
      </c>
      <c r="DH6" t="s">
        <v>235</v>
      </c>
      <c r="DI6" t="s">
        <v>183</v>
      </c>
      <c r="DJ6" t="s">
        <v>211</v>
      </c>
      <c r="DK6" t="s">
        <v>298</v>
      </c>
      <c r="DM6" t="s">
        <v>299</v>
      </c>
      <c r="DN6" t="s">
        <v>296</v>
      </c>
      <c r="DO6" t="s">
        <v>273</v>
      </c>
      <c r="DP6" t="s">
        <v>274</v>
      </c>
      <c r="DQ6" t="s">
        <v>300</v>
      </c>
      <c r="DR6" t="s">
        <v>235</v>
      </c>
      <c r="DS6" t="s">
        <v>183</v>
      </c>
      <c r="DT6" t="s">
        <v>211</v>
      </c>
      <c r="DU6" t="s">
        <v>206</v>
      </c>
      <c r="DV6" t="s">
        <v>271</v>
      </c>
      <c r="DW6" t="s">
        <v>301</v>
      </c>
      <c r="DX6" t="s">
        <v>250</v>
      </c>
      <c r="DY6" t="s">
        <v>302</v>
      </c>
      <c r="DZ6" t="s">
        <v>303</v>
      </c>
      <c r="EA6" t="s">
        <v>304</v>
      </c>
      <c r="EB6" t="s">
        <v>305</v>
      </c>
      <c r="EC6" t="s">
        <v>183</v>
      </c>
      <c r="ED6" t="s">
        <v>211</v>
      </c>
      <c r="EE6" t="s">
        <v>306</v>
      </c>
      <c r="EF6" t="s">
        <v>271</v>
      </c>
      <c r="EG6" t="s">
        <v>301</v>
      </c>
      <c r="EH6" t="s">
        <v>307</v>
      </c>
      <c r="EI6" t="s">
        <v>238</v>
      </c>
      <c r="EJ6" t="s">
        <v>239</v>
      </c>
      <c r="EK6" t="s">
        <v>308</v>
      </c>
      <c r="EL6" t="s">
        <v>278</v>
      </c>
      <c r="EM6" t="s">
        <v>183</v>
      </c>
      <c r="EN6" t="s">
        <v>211</v>
      </c>
      <c r="EP6" t="s">
        <v>271</v>
      </c>
      <c r="EQ6" t="s">
        <v>198</v>
      </c>
      <c r="FA6" t="s">
        <v>198</v>
      </c>
      <c r="FK6" t="s">
        <v>198</v>
      </c>
      <c r="FU6" t="s">
        <v>198</v>
      </c>
    </row>
    <row r="7" spans="1:177">
      <c r="A7" s="1" t="str">
        <f>HYPERLINK("http://digipan.lumentumllc.com/apps/getLink/index.php?t=PropLink&amp;p=4637355","PL")</f>
        <v>PL</v>
      </c>
      <c r="B7" s="1" t="str">
        <f>HYPERLINK("http://digipan.lumentumllc.com/apps/getLink/index.php?t=TaxLink&amp;p=4637355","TL")</f>
        <v>TL</v>
      </c>
      <c r="C7" s="1" t="str">
        <f>HYPERLINK("http://digipan.lumentumllc.com/apps/getMap/index.php?p=4637355","Map")</f>
        <v>Map</v>
      </c>
      <c r="E7" t="s">
        <v>177</v>
      </c>
      <c r="F7" t="s">
        <v>178</v>
      </c>
      <c r="L7" t="s">
        <v>309</v>
      </c>
      <c r="N7" t="s">
        <v>309</v>
      </c>
      <c r="O7" t="s">
        <v>309</v>
      </c>
      <c r="P7" t="s">
        <v>310</v>
      </c>
      <c r="Q7" t="s">
        <v>309</v>
      </c>
      <c r="V7">
        <v>6</v>
      </c>
      <c r="W7">
        <v>1</v>
      </c>
      <c r="X7">
        <v>2017</v>
      </c>
      <c r="Y7">
        <v>2018</v>
      </c>
      <c r="Z7">
        <v>526.87</v>
      </c>
      <c r="AG7" t="s">
        <v>184</v>
      </c>
      <c r="AH7">
        <v>0</v>
      </c>
      <c r="AK7">
        <v>0</v>
      </c>
      <c r="AL7">
        <v>45375</v>
      </c>
      <c r="AM7">
        <v>45375</v>
      </c>
      <c r="AN7">
        <v>0</v>
      </c>
      <c r="AO7">
        <v>452</v>
      </c>
      <c r="AP7">
        <v>2016</v>
      </c>
      <c r="AQ7">
        <v>1.1599999999999999</v>
      </c>
      <c r="AS7" t="s">
        <v>311</v>
      </c>
      <c r="AT7" t="s">
        <v>186</v>
      </c>
      <c r="AU7" t="s">
        <v>177</v>
      </c>
      <c r="AV7" t="s">
        <v>187</v>
      </c>
      <c r="AW7" t="s">
        <v>182</v>
      </c>
      <c r="AX7">
        <v>0</v>
      </c>
      <c r="AY7" t="s">
        <v>312</v>
      </c>
      <c r="AZ7" t="s">
        <v>199</v>
      </c>
      <c r="BA7" t="s">
        <v>313</v>
      </c>
      <c r="BB7" t="s">
        <v>191</v>
      </c>
      <c r="BC7" t="s">
        <v>182</v>
      </c>
      <c r="BD7" t="s">
        <v>182</v>
      </c>
      <c r="BE7" t="s">
        <v>314</v>
      </c>
      <c r="BF7">
        <v>0</v>
      </c>
      <c r="BG7">
        <v>0</v>
      </c>
      <c r="BH7">
        <v>0</v>
      </c>
      <c r="BI7" t="s">
        <v>199</v>
      </c>
      <c r="BJ7" t="s">
        <v>315</v>
      </c>
      <c r="BL7" t="s">
        <v>199</v>
      </c>
      <c r="BM7" t="s">
        <v>302</v>
      </c>
      <c r="BN7" t="s">
        <v>182</v>
      </c>
      <c r="BO7" t="s">
        <v>316</v>
      </c>
      <c r="BP7" t="s">
        <v>317</v>
      </c>
      <c r="BQ7" t="s">
        <v>226</v>
      </c>
      <c r="BR7" t="s">
        <v>227</v>
      </c>
      <c r="BS7" t="s">
        <v>198</v>
      </c>
      <c r="BT7" t="s">
        <v>228</v>
      </c>
      <c r="BU7" t="s">
        <v>182</v>
      </c>
      <c r="BV7" t="s">
        <v>198</v>
      </c>
      <c r="BW7" t="s">
        <v>198</v>
      </c>
      <c r="BX7" t="s">
        <v>199</v>
      </c>
      <c r="BY7" t="s">
        <v>198</v>
      </c>
      <c r="BZ7" t="s">
        <v>199</v>
      </c>
      <c r="CA7" t="s">
        <v>199</v>
      </c>
      <c r="CB7" t="s">
        <v>318</v>
      </c>
      <c r="CC7" t="s">
        <v>201</v>
      </c>
      <c r="CD7" t="s">
        <v>202</v>
      </c>
      <c r="CE7" t="s">
        <v>203</v>
      </c>
      <c r="CF7" t="s">
        <v>204</v>
      </c>
      <c r="CG7" t="s">
        <v>177</v>
      </c>
      <c r="CH7" t="s">
        <v>187</v>
      </c>
      <c r="CI7" t="s">
        <v>319</v>
      </c>
      <c r="CS7" t="s">
        <v>198</v>
      </c>
      <c r="DC7" t="s">
        <v>198</v>
      </c>
      <c r="DM7" t="s">
        <v>198</v>
      </c>
      <c r="DW7" t="s">
        <v>198</v>
      </c>
      <c r="EG7" t="s">
        <v>198</v>
      </c>
      <c r="EQ7" t="s">
        <v>198</v>
      </c>
      <c r="FA7" t="s">
        <v>198</v>
      </c>
      <c r="FK7" t="s">
        <v>198</v>
      </c>
      <c r="FU7" t="s">
        <v>198</v>
      </c>
    </row>
    <row r="8" spans="1:177">
      <c r="A8" s="1" t="str">
        <f>HYPERLINK("http://digipan.lumentumllc.com/apps/getLink/index.php?t=PropLink&amp;p=5244971","PL")</f>
        <v>PL</v>
      </c>
      <c r="B8" s="1" t="str">
        <f>HYPERLINK("http://digipan.lumentumllc.com/apps/getLink/index.php?t=TaxLink&amp;p=5244971","TL")</f>
        <v>TL</v>
      </c>
      <c r="C8" s="1" t="str">
        <f>HYPERLINK("http://digipan.lumentumllc.com/apps/getMap/index.php?p=5244971","Map")</f>
        <v>Map</v>
      </c>
      <c r="E8" t="s">
        <v>177</v>
      </c>
      <c r="F8" t="s">
        <v>178</v>
      </c>
      <c r="L8" t="s">
        <v>320</v>
      </c>
      <c r="N8" t="s">
        <v>320</v>
      </c>
      <c r="O8" t="s">
        <v>320</v>
      </c>
      <c r="P8" t="s">
        <v>321</v>
      </c>
      <c r="Q8" t="s">
        <v>320</v>
      </c>
      <c r="V8">
        <v>7</v>
      </c>
      <c r="W8">
        <v>1</v>
      </c>
      <c r="X8">
        <v>2017</v>
      </c>
      <c r="Y8">
        <v>2018</v>
      </c>
      <c r="Z8">
        <v>581.49</v>
      </c>
      <c r="AB8" t="s">
        <v>181</v>
      </c>
      <c r="AC8" t="s">
        <v>182</v>
      </c>
      <c r="AD8" t="s">
        <v>183</v>
      </c>
      <c r="AE8">
        <v>1</v>
      </c>
      <c r="AF8">
        <v>6</v>
      </c>
      <c r="AG8" t="s">
        <v>322</v>
      </c>
      <c r="AH8">
        <v>83</v>
      </c>
      <c r="AI8">
        <v>545</v>
      </c>
      <c r="AJ8">
        <v>27.25</v>
      </c>
      <c r="AK8">
        <v>572.25</v>
      </c>
      <c r="AL8">
        <v>33562</v>
      </c>
      <c r="AM8">
        <v>24960</v>
      </c>
      <c r="AN8">
        <v>8602</v>
      </c>
      <c r="AO8">
        <v>479</v>
      </c>
      <c r="AP8">
        <v>2016</v>
      </c>
      <c r="AQ8">
        <v>1.73</v>
      </c>
      <c r="AR8">
        <v>1.71</v>
      </c>
      <c r="AS8" t="s">
        <v>323</v>
      </c>
      <c r="AT8" t="s">
        <v>186</v>
      </c>
      <c r="AU8" t="s">
        <v>177</v>
      </c>
      <c r="AV8" t="s">
        <v>187</v>
      </c>
      <c r="AW8" t="s">
        <v>182</v>
      </c>
      <c r="AX8">
        <v>0</v>
      </c>
      <c r="AY8" t="s">
        <v>312</v>
      </c>
      <c r="AZ8" t="s">
        <v>199</v>
      </c>
      <c r="BA8" t="s">
        <v>313</v>
      </c>
      <c r="BB8" t="s">
        <v>191</v>
      </c>
      <c r="BC8" t="s">
        <v>182</v>
      </c>
      <c r="BD8" t="s">
        <v>182</v>
      </c>
      <c r="BE8" t="s">
        <v>324</v>
      </c>
      <c r="BF8">
        <v>0</v>
      </c>
      <c r="BG8">
        <v>0</v>
      </c>
      <c r="BH8">
        <v>0</v>
      </c>
      <c r="BI8" t="s">
        <v>199</v>
      </c>
      <c r="BJ8" t="s">
        <v>248</v>
      </c>
      <c r="BL8" t="s">
        <v>199</v>
      </c>
      <c r="BM8" t="s">
        <v>325</v>
      </c>
      <c r="BN8" t="s">
        <v>182</v>
      </c>
      <c r="BO8" t="s">
        <v>198</v>
      </c>
      <c r="BP8" t="s">
        <v>198</v>
      </c>
      <c r="BQ8" t="s">
        <v>198</v>
      </c>
      <c r="BR8" t="s">
        <v>198</v>
      </c>
      <c r="BS8" t="s">
        <v>198</v>
      </c>
      <c r="BT8" t="s">
        <v>198</v>
      </c>
      <c r="BU8" t="s">
        <v>182</v>
      </c>
      <c r="BV8" t="s">
        <v>198</v>
      </c>
      <c r="BW8" t="s">
        <v>198</v>
      </c>
      <c r="BX8" t="s">
        <v>199</v>
      </c>
      <c r="BY8" t="s">
        <v>198</v>
      </c>
      <c r="BZ8" t="s">
        <v>199</v>
      </c>
      <c r="CA8" t="s">
        <v>199</v>
      </c>
      <c r="CB8" t="s">
        <v>326</v>
      </c>
      <c r="CC8" t="s">
        <v>201</v>
      </c>
      <c r="CD8" t="s">
        <v>202</v>
      </c>
      <c r="CE8" t="s">
        <v>327</v>
      </c>
      <c r="CF8" t="s">
        <v>204</v>
      </c>
      <c r="CG8" t="s">
        <v>177</v>
      </c>
      <c r="CH8" t="s">
        <v>187</v>
      </c>
      <c r="CI8" t="s">
        <v>328</v>
      </c>
      <c r="CJ8" t="s">
        <v>329</v>
      </c>
      <c r="CK8" t="s">
        <v>232</v>
      </c>
      <c r="CL8" t="s">
        <v>233</v>
      </c>
      <c r="CM8" t="s">
        <v>330</v>
      </c>
      <c r="CN8" t="s">
        <v>331</v>
      </c>
      <c r="CO8" t="s">
        <v>183</v>
      </c>
      <c r="CP8" t="s">
        <v>266</v>
      </c>
      <c r="CS8" t="s">
        <v>198</v>
      </c>
      <c r="CT8" t="s">
        <v>250</v>
      </c>
      <c r="CU8" t="s">
        <v>292</v>
      </c>
      <c r="CV8" t="s">
        <v>293</v>
      </c>
      <c r="CW8" t="s">
        <v>332</v>
      </c>
      <c r="CX8" t="s">
        <v>333</v>
      </c>
      <c r="CY8" t="s">
        <v>183</v>
      </c>
      <c r="CZ8" t="s">
        <v>211</v>
      </c>
      <c r="DA8" t="s">
        <v>334</v>
      </c>
      <c r="DC8" t="s">
        <v>335</v>
      </c>
      <c r="DD8" t="s">
        <v>264</v>
      </c>
      <c r="DE8" t="s">
        <v>267</v>
      </c>
      <c r="DF8" t="s">
        <v>268</v>
      </c>
      <c r="DG8" t="s">
        <v>336</v>
      </c>
      <c r="DH8" t="s">
        <v>331</v>
      </c>
      <c r="DI8" t="s">
        <v>183</v>
      </c>
      <c r="DJ8" t="s">
        <v>211</v>
      </c>
      <c r="DK8" t="s">
        <v>337</v>
      </c>
      <c r="DM8" t="s">
        <v>338</v>
      </c>
      <c r="DN8" t="s">
        <v>339</v>
      </c>
      <c r="DO8" t="s">
        <v>273</v>
      </c>
      <c r="DP8" t="s">
        <v>274</v>
      </c>
      <c r="DQ8" t="s">
        <v>340</v>
      </c>
      <c r="DR8" t="s">
        <v>341</v>
      </c>
      <c r="DS8" t="s">
        <v>183</v>
      </c>
      <c r="DT8" t="s">
        <v>211</v>
      </c>
      <c r="DU8" t="s">
        <v>342</v>
      </c>
      <c r="DW8" t="s">
        <v>343</v>
      </c>
      <c r="DX8" t="s">
        <v>264</v>
      </c>
      <c r="DY8" t="s">
        <v>302</v>
      </c>
      <c r="DZ8" t="s">
        <v>303</v>
      </c>
      <c r="EA8" t="s">
        <v>344</v>
      </c>
      <c r="EB8" t="s">
        <v>305</v>
      </c>
      <c r="EC8" t="s">
        <v>183</v>
      </c>
      <c r="ED8" t="s">
        <v>211</v>
      </c>
      <c r="EE8" t="s">
        <v>345</v>
      </c>
      <c r="EG8" t="s">
        <v>343</v>
      </c>
      <c r="EH8" t="s">
        <v>189</v>
      </c>
      <c r="EI8" t="s">
        <v>346</v>
      </c>
      <c r="EJ8" t="s">
        <v>347</v>
      </c>
      <c r="EK8" t="s">
        <v>348</v>
      </c>
      <c r="EL8" t="s">
        <v>247</v>
      </c>
      <c r="EM8" t="s">
        <v>183</v>
      </c>
      <c r="EN8" t="s">
        <v>211</v>
      </c>
      <c r="EO8" t="s">
        <v>342</v>
      </c>
      <c r="EQ8" t="s">
        <v>349</v>
      </c>
      <c r="ER8" t="s">
        <v>290</v>
      </c>
      <c r="ES8" t="s">
        <v>207</v>
      </c>
      <c r="ET8" t="s">
        <v>208</v>
      </c>
      <c r="EU8" t="s">
        <v>350</v>
      </c>
      <c r="EV8" t="s">
        <v>351</v>
      </c>
      <c r="EW8" t="s">
        <v>183</v>
      </c>
      <c r="EX8" t="s">
        <v>211</v>
      </c>
      <c r="EY8" t="s">
        <v>345</v>
      </c>
      <c r="FA8" t="s">
        <v>349</v>
      </c>
      <c r="FK8" t="s">
        <v>198</v>
      </c>
      <c r="FU8" t="s">
        <v>198</v>
      </c>
    </row>
    <row r="9" spans="1:177">
      <c r="A9" s="1" t="str">
        <f>HYPERLINK("http://digipan.lumentumllc.com/apps/getLink/index.php?t=PropLink&amp;p=6128837","PL")</f>
        <v>PL</v>
      </c>
      <c r="B9" s="1" t="str">
        <f>HYPERLINK("http://digipan.lumentumllc.com/apps/getLink/index.php?t=TaxLink&amp;p=6128837","TL")</f>
        <v>TL</v>
      </c>
      <c r="C9" s="1" t="str">
        <f>HYPERLINK("http://digipan.lumentumllc.com/apps/getMap/index.php?p=6128837","Map")</f>
        <v>Map</v>
      </c>
      <c r="E9" t="s">
        <v>177</v>
      </c>
      <c r="F9" t="s">
        <v>178</v>
      </c>
      <c r="L9" t="s">
        <v>352</v>
      </c>
      <c r="N9" t="s">
        <v>352</v>
      </c>
      <c r="O9" t="s">
        <v>352</v>
      </c>
      <c r="P9" t="s">
        <v>353</v>
      </c>
      <c r="Q9" t="s">
        <v>352</v>
      </c>
      <c r="V9">
        <v>8</v>
      </c>
      <c r="W9">
        <v>1</v>
      </c>
      <c r="X9">
        <v>2017</v>
      </c>
      <c r="Y9">
        <v>2018</v>
      </c>
      <c r="Z9">
        <v>589.89</v>
      </c>
      <c r="AB9" t="s">
        <v>181</v>
      </c>
      <c r="AC9" t="s">
        <v>182</v>
      </c>
      <c r="AD9" t="s">
        <v>183</v>
      </c>
      <c r="AE9">
        <v>0</v>
      </c>
      <c r="AF9">
        <v>1</v>
      </c>
      <c r="AG9" t="s">
        <v>184</v>
      </c>
      <c r="AH9">
        <v>0</v>
      </c>
      <c r="AK9">
        <v>0</v>
      </c>
      <c r="AL9">
        <v>123878</v>
      </c>
      <c r="AM9">
        <v>27590</v>
      </c>
      <c r="AN9">
        <v>96288</v>
      </c>
      <c r="AO9">
        <v>517</v>
      </c>
      <c r="AP9">
        <v>2016</v>
      </c>
      <c r="AQ9">
        <v>0.48</v>
      </c>
      <c r="AS9" t="s">
        <v>354</v>
      </c>
      <c r="AT9" t="s">
        <v>186</v>
      </c>
      <c r="AU9" t="s">
        <v>177</v>
      </c>
      <c r="AV9" t="s">
        <v>187</v>
      </c>
      <c r="AW9" t="s">
        <v>202</v>
      </c>
      <c r="AX9">
        <v>1</v>
      </c>
      <c r="AY9" t="s">
        <v>188</v>
      </c>
      <c r="AZ9" t="s">
        <v>206</v>
      </c>
      <c r="BA9" t="s">
        <v>355</v>
      </c>
      <c r="BB9" t="s">
        <v>191</v>
      </c>
      <c r="BC9" t="s">
        <v>182</v>
      </c>
      <c r="BD9" t="s">
        <v>182</v>
      </c>
      <c r="BE9" t="s">
        <v>356</v>
      </c>
      <c r="BF9">
        <v>1</v>
      </c>
      <c r="BG9">
        <v>1</v>
      </c>
      <c r="BH9">
        <v>1972</v>
      </c>
      <c r="BI9" t="s">
        <v>357</v>
      </c>
      <c r="BJ9" t="s">
        <v>194</v>
      </c>
      <c r="BK9" t="s">
        <v>195</v>
      </c>
      <c r="BL9" t="s">
        <v>199</v>
      </c>
      <c r="BM9" t="s">
        <v>358</v>
      </c>
      <c r="BN9" t="s">
        <v>182</v>
      </c>
      <c r="BO9" t="s">
        <v>198</v>
      </c>
      <c r="BP9" t="s">
        <v>198</v>
      </c>
      <c r="BQ9" t="s">
        <v>198</v>
      </c>
      <c r="BR9" t="s">
        <v>198</v>
      </c>
      <c r="BS9" t="s">
        <v>198</v>
      </c>
      <c r="BT9" t="s">
        <v>198</v>
      </c>
      <c r="BU9" t="s">
        <v>182</v>
      </c>
      <c r="BV9" t="s">
        <v>198</v>
      </c>
      <c r="BW9" t="s">
        <v>198</v>
      </c>
      <c r="BX9" t="s">
        <v>199</v>
      </c>
      <c r="BY9" t="s">
        <v>198</v>
      </c>
      <c r="BZ9" t="s">
        <v>199</v>
      </c>
      <c r="CA9" t="s">
        <v>199</v>
      </c>
      <c r="CB9" t="s">
        <v>318</v>
      </c>
      <c r="CC9" t="s">
        <v>201</v>
      </c>
      <c r="CD9" t="s">
        <v>182</v>
      </c>
      <c r="CE9" t="s">
        <v>203</v>
      </c>
      <c r="CF9" t="s">
        <v>204</v>
      </c>
      <c r="CG9" t="s">
        <v>177</v>
      </c>
      <c r="CH9" t="s">
        <v>187</v>
      </c>
      <c r="CI9" t="s">
        <v>359</v>
      </c>
      <c r="CJ9" t="s">
        <v>329</v>
      </c>
      <c r="CK9" t="s">
        <v>207</v>
      </c>
      <c r="CL9" t="s">
        <v>208</v>
      </c>
      <c r="CM9" t="s">
        <v>360</v>
      </c>
      <c r="CN9" t="s">
        <v>314</v>
      </c>
      <c r="CO9" t="s">
        <v>183</v>
      </c>
      <c r="CP9" t="s">
        <v>211</v>
      </c>
      <c r="CQ9" t="s">
        <v>212</v>
      </c>
      <c r="CS9" t="s">
        <v>213</v>
      </c>
      <c r="DC9" t="s">
        <v>198</v>
      </c>
      <c r="DM9" t="s">
        <v>198</v>
      </c>
      <c r="DW9" t="s">
        <v>198</v>
      </c>
      <c r="EG9" t="s">
        <v>198</v>
      </c>
      <c r="EQ9" t="s">
        <v>198</v>
      </c>
      <c r="FA9" t="s">
        <v>198</v>
      </c>
      <c r="FK9" t="s">
        <v>198</v>
      </c>
      <c r="FU9" t="s">
        <v>198</v>
      </c>
    </row>
    <row r="10" spans="1:177">
      <c r="A10" s="1" t="str">
        <f>HYPERLINK("http://digipan.lumentumllc.com/apps/getLink/index.php?t=PropLink&amp;p=5244973","PL")</f>
        <v>PL</v>
      </c>
      <c r="B10" s="1" t="str">
        <f>HYPERLINK("http://digipan.lumentumllc.com/apps/getLink/index.php?t=TaxLink&amp;p=5244973","TL")</f>
        <v>TL</v>
      </c>
      <c r="C10" s="1" t="str">
        <f>HYPERLINK("http://digipan.lumentumllc.com/apps/getMap/index.php?p=5244973","Map")</f>
        <v>Map</v>
      </c>
      <c r="E10" t="s">
        <v>177</v>
      </c>
      <c r="F10" t="s">
        <v>178</v>
      </c>
      <c r="L10" t="s">
        <v>361</v>
      </c>
      <c r="N10" t="s">
        <v>361</v>
      </c>
      <c r="O10" t="s">
        <v>361</v>
      </c>
      <c r="P10" t="s">
        <v>362</v>
      </c>
      <c r="Q10" t="s">
        <v>361</v>
      </c>
      <c r="V10">
        <v>10</v>
      </c>
      <c r="W10">
        <v>1</v>
      </c>
      <c r="X10">
        <v>2017</v>
      </c>
      <c r="Y10">
        <v>2018</v>
      </c>
      <c r="Z10">
        <v>1091.8699999999999</v>
      </c>
      <c r="AB10" t="s">
        <v>181</v>
      </c>
      <c r="AC10" t="s">
        <v>182</v>
      </c>
      <c r="AD10" t="s">
        <v>183</v>
      </c>
      <c r="AE10">
        <v>1</v>
      </c>
      <c r="AF10">
        <v>2</v>
      </c>
      <c r="AG10" t="s">
        <v>363</v>
      </c>
      <c r="AH10">
        <v>67</v>
      </c>
      <c r="AI10">
        <v>1008.92</v>
      </c>
      <c r="AJ10">
        <v>50.45</v>
      </c>
      <c r="AK10">
        <v>1059.3699999999999</v>
      </c>
      <c r="AL10">
        <v>67709</v>
      </c>
      <c r="AM10">
        <v>24000</v>
      </c>
      <c r="AN10">
        <v>43709</v>
      </c>
      <c r="AO10">
        <v>908</v>
      </c>
      <c r="AP10">
        <v>2016</v>
      </c>
      <c r="AQ10">
        <v>1.61</v>
      </c>
      <c r="AR10">
        <v>1.56</v>
      </c>
      <c r="AS10" t="s">
        <v>364</v>
      </c>
      <c r="AT10" t="s">
        <v>186</v>
      </c>
      <c r="AU10" t="s">
        <v>177</v>
      </c>
      <c r="AV10" t="s">
        <v>187</v>
      </c>
      <c r="AW10" t="s">
        <v>182</v>
      </c>
      <c r="AX10">
        <v>2</v>
      </c>
      <c r="AY10" t="s">
        <v>188</v>
      </c>
      <c r="AZ10" t="s">
        <v>189</v>
      </c>
      <c r="BA10" t="s">
        <v>190</v>
      </c>
      <c r="BB10" t="s">
        <v>191</v>
      </c>
      <c r="BC10" t="s">
        <v>182</v>
      </c>
      <c r="BD10" t="s">
        <v>182</v>
      </c>
      <c r="BE10" t="s">
        <v>365</v>
      </c>
      <c r="BF10">
        <v>1</v>
      </c>
      <c r="BG10">
        <v>1</v>
      </c>
      <c r="BH10">
        <v>1995</v>
      </c>
      <c r="BI10" t="s">
        <v>366</v>
      </c>
      <c r="BJ10" t="s">
        <v>194</v>
      </c>
      <c r="BK10" t="s">
        <v>195</v>
      </c>
      <c r="BL10" t="s">
        <v>367</v>
      </c>
      <c r="BM10" t="s">
        <v>368</v>
      </c>
      <c r="BN10" t="s">
        <v>182</v>
      </c>
      <c r="BO10" t="s">
        <v>198</v>
      </c>
      <c r="BP10" t="s">
        <v>198</v>
      </c>
      <c r="BQ10" t="s">
        <v>198</v>
      </c>
      <c r="BR10" t="s">
        <v>198</v>
      </c>
      <c r="BS10" t="s">
        <v>198</v>
      </c>
      <c r="BT10" t="s">
        <v>198</v>
      </c>
      <c r="BU10" t="s">
        <v>182</v>
      </c>
      <c r="BV10" t="s">
        <v>198</v>
      </c>
      <c r="BW10" t="s">
        <v>198</v>
      </c>
      <c r="BX10" t="s">
        <v>199</v>
      </c>
      <c r="BY10" t="s">
        <v>198</v>
      </c>
      <c r="BZ10" t="s">
        <v>199</v>
      </c>
      <c r="CA10" t="s">
        <v>199</v>
      </c>
      <c r="CB10" t="s">
        <v>369</v>
      </c>
      <c r="CC10" t="s">
        <v>201</v>
      </c>
      <c r="CD10" t="s">
        <v>202</v>
      </c>
      <c r="CE10" t="s">
        <v>370</v>
      </c>
      <c r="CF10" t="s">
        <v>204</v>
      </c>
      <c r="CG10" t="s">
        <v>177</v>
      </c>
      <c r="CH10" t="s">
        <v>371</v>
      </c>
      <c r="CI10" t="s">
        <v>372</v>
      </c>
      <c r="CJ10" t="s">
        <v>342</v>
      </c>
      <c r="CK10" t="s">
        <v>232</v>
      </c>
      <c r="CL10" t="s">
        <v>233</v>
      </c>
      <c r="CM10" t="s">
        <v>373</v>
      </c>
      <c r="CN10" t="s">
        <v>235</v>
      </c>
      <c r="CO10" t="s">
        <v>183</v>
      </c>
      <c r="CP10" t="s">
        <v>266</v>
      </c>
      <c r="CS10" t="s">
        <v>198</v>
      </c>
      <c r="CT10" t="s">
        <v>264</v>
      </c>
      <c r="CU10" t="s">
        <v>292</v>
      </c>
      <c r="CV10" t="s">
        <v>293</v>
      </c>
      <c r="CW10" t="s">
        <v>374</v>
      </c>
      <c r="CX10" t="s">
        <v>235</v>
      </c>
      <c r="CY10" t="s">
        <v>183</v>
      </c>
      <c r="CZ10" t="s">
        <v>211</v>
      </c>
      <c r="DA10" t="s">
        <v>345</v>
      </c>
      <c r="DC10" t="s">
        <v>375</v>
      </c>
      <c r="DD10" t="s">
        <v>376</v>
      </c>
      <c r="DE10" t="s">
        <v>238</v>
      </c>
      <c r="DF10" t="s">
        <v>239</v>
      </c>
      <c r="DG10" t="s">
        <v>377</v>
      </c>
      <c r="DH10" t="s">
        <v>278</v>
      </c>
      <c r="DI10" t="s">
        <v>183</v>
      </c>
      <c r="DJ10" t="s">
        <v>211</v>
      </c>
      <c r="DK10" t="s">
        <v>206</v>
      </c>
      <c r="DM10" t="s">
        <v>378</v>
      </c>
      <c r="DW10" t="s">
        <v>198</v>
      </c>
      <c r="EG10" t="s">
        <v>198</v>
      </c>
      <c r="EQ10" t="s">
        <v>198</v>
      </c>
      <c r="FA10" t="s">
        <v>198</v>
      </c>
      <c r="FK10" t="s">
        <v>198</v>
      </c>
      <c r="FU10" t="s">
        <v>198</v>
      </c>
    </row>
    <row r="11" spans="1:177">
      <c r="A11" s="1" t="str">
        <f>HYPERLINK("http://digipan.lumentumllc.com/apps/getLink/index.php?t=PropLink&amp;p=6594123","PL")</f>
        <v>PL</v>
      </c>
      <c r="B11" s="1" t="str">
        <f>HYPERLINK("http://digipan.lumentumllc.com/apps/getLink/index.php?t=TaxLink&amp;p=6594123","TL")</f>
        <v>TL</v>
      </c>
      <c r="C11" s="1" t="str">
        <f>HYPERLINK("http://digipan.lumentumllc.com/apps/getMap/index.php?p=6594123","Map")</f>
        <v>Map</v>
      </c>
      <c r="E11" t="s">
        <v>177</v>
      </c>
      <c r="F11" t="s">
        <v>178</v>
      </c>
      <c r="L11" t="s">
        <v>379</v>
      </c>
      <c r="N11" t="s">
        <v>379</v>
      </c>
      <c r="O11" t="s">
        <v>379</v>
      </c>
      <c r="P11" t="s">
        <v>380</v>
      </c>
      <c r="Q11" t="s">
        <v>379</v>
      </c>
      <c r="V11">
        <v>13</v>
      </c>
      <c r="W11">
        <v>1</v>
      </c>
      <c r="X11">
        <v>2017</v>
      </c>
      <c r="Y11">
        <v>2018</v>
      </c>
      <c r="Z11">
        <v>277.60000000000002</v>
      </c>
      <c r="AB11" t="s">
        <v>181</v>
      </c>
      <c r="AC11" t="s">
        <v>182</v>
      </c>
      <c r="AD11" t="s">
        <v>183</v>
      </c>
      <c r="AE11">
        <v>0</v>
      </c>
      <c r="AF11">
        <v>3</v>
      </c>
      <c r="AG11" t="s">
        <v>381</v>
      </c>
      <c r="AH11">
        <v>100</v>
      </c>
      <c r="AK11">
        <v>0</v>
      </c>
      <c r="AL11">
        <v>15000</v>
      </c>
      <c r="AM11">
        <v>15000</v>
      </c>
      <c r="AN11">
        <v>0</v>
      </c>
      <c r="AO11">
        <v>184</v>
      </c>
      <c r="AP11">
        <v>2016</v>
      </c>
      <c r="AQ11">
        <v>1.85</v>
      </c>
      <c r="AS11" t="s">
        <v>382</v>
      </c>
      <c r="AT11" t="s">
        <v>186</v>
      </c>
      <c r="AU11" t="s">
        <v>177</v>
      </c>
      <c r="AV11" t="s">
        <v>187</v>
      </c>
      <c r="AW11" t="s">
        <v>182</v>
      </c>
      <c r="AX11">
        <v>0</v>
      </c>
      <c r="AY11" t="s">
        <v>312</v>
      </c>
      <c r="AZ11" t="s">
        <v>199</v>
      </c>
      <c r="BA11" t="s">
        <v>313</v>
      </c>
      <c r="BB11" t="s">
        <v>191</v>
      </c>
      <c r="BC11" t="s">
        <v>182</v>
      </c>
      <c r="BD11" t="s">
        <v>182</v>
      </c>
      <c r="BE11" t="s">
        <v>383</v>
      </c>
      <c r="BF11">
        <v>0</v>
      </c>
      <c r="BG11">
        <v>0</v>
      </c>
      <c r="BH11">
        <v>0</v>
      </c>
      <c r="BI11" t="s">
        <v>199</v>
      </c>
      <c r="BJ11" t="s">
        <v>315</v>
      </c>
      <c r="BL11" t="s">
        <v>199</v>
      </c>
      <c r="BM11" t="s">
        <v>292</v>
      </c>
      <c r="BN11" t="s">
        <v>182</v>
      </c>
      <c r="BO11" t="s">
        <v>198</v>
      </c>
      <c r="BP11" t="s">
        <v>198</v>
      </c>
      <c r="BQ11" t="s">
        <v>198</v>
      </c>
      <c r="BR11" t="s">
        <v>198</v>
      </c>
      <c r="BS11" t="s">
        <v>198</v>
      </c>
      <c r="BT11" t="s">
        <v>198</v>
      </c>
      <c r="BU11" t="s">
        <v>182</v>
      </c>
      <c r="BV11" t="s">
        <v>198</v>
      </c>
      <c r="BW11" t="s">
        <v>198</v>
      </c>
      <c r="BX11" t="s">
        <v>199</v>
      </c>
      <c r="BY11" t="s">
        <v>198</v>
      </c>
      <c r="BZ11" t="s">
        <v>199</v>
      </c>
      <c r="CA11" t="s">
        <v>199</v>
      </c>
      <c r="CB11" t="s">
        <v>384</v>
      </c>
      <c r="CC11" t="s">
        <v>201</v>
      </c>
      <c r="CD11" t="s">
        <v>202</v>
      </c>
      <c r="CE11" t="s">
        <v>203</v>
      </c>
      <c r="CF11" t="s">
        <v>204</v>
      </c>
      <c r="CG11" t="s">
        <v>177</v>
      </c>
      <c r="CH11" t="s">
        <v>187</v>
      </c>
      <c r="CI11" t="s">
        <v>385</v>
      </c>
      <c r="CJ11" t="s">
        <v>339</v>
      </c>
      <c r="CK11" t="s">
        <v>292</v>
      </c>
      <c r="CL11" t="s">
        <v>293</v>
      </c>
      <c r="CM11" t="s">
        <v>386</v>
      </c>
      <c r="CN11" t="s">
        <v>387</v>
      </c>
      <c r="CO11" t="s">
        <v>183</v>
      </c>
      <c r="CP11" t="s">
        <v>211</v>
      </c>
      <c r="CQ11" t="s">
        <v>329</v>
      </c>
      <c r="CS11" t="s">
        <v>299</v>
      </c>
      <c r="CT11" t="s">
        <v>290</v>
      </c>
      <c r="CU11" t="s">
        <v>267</v>
      </c>
      <c r="CV11" t="s">
        <v>268</v>
      </c>
      <c r="CW11" t="s">
        <v>388</v>
      </c>
      <c r="CX11" t="s">
        <v>389</v>
      </c>
      <c r="CY11" t="s">
        <v>183</v>
      </c>
      <c r="CZ11" t="s">
        <v>211</v>
      </c>
      <c r="DA11" t="s">
        <v>298</v>
      </c>
      <c r="DC11" t="s">
        <v>299</v>
      </c>
      <c r="DD11" t="s">
        <v>342</v>
      </c>
      <c r="DE11" t="s">
        <v>273</v>
      </c>
      <c r="DF11" t="s">
        <v>274</v>
      </c>
      <c r="DG11" t="s">
        <v>390</v>
      </c>
      <c r="DH11" t="s">
        <v>391</v>
      </c>
      <c r="DI11" t="s">
        <v>183</v>
      </c>
      <c r="DJ11" t="s">
        <v>211</v>
      </c>
      <c r="DK11" t="s">
        <v>345</v>
      </c>
      <c r="DM11" t="s">
        <v>392</v>
      </c>
      <c r="DW11" t="s">
        <v>198</v>
      </c>
      <c r="EG11" t="s">
        <v>198</v>
      </c>
      <c r="EQ11" t="s">
        <v>198</v>
      </c>
      <c r="FA11" t="s">
        <v>198</v>
      </c>
      <c r="FK11" t="s">
        <v>198</v>
      </c>
      <c r="FU11" t="s">
        <v>198</v>
      </c>
    </row>
    <row r="12" spans="1:177">
      <c r="A12" s="1" t="str">
        <f>HYPERLINK("http://digipan.lumentumllc.com/apps/getLink/index.php?t=PropLink&amp;p=6594124","PL")</f>
        <v>PL</v>
      </c>
      <c r="B12" s="1" t="str">
        <f>HYPERLINK("http://digipan.lumentumllc.com/apps/getLink/index.php?t=TaxLink&amp;p=6594124","TL")</f>
        <v>TL</v>
      </c>
      <c r="C12" s="1" t="str">
        <f>HYPERLINK("http://digipan.lumentumllc.com/apps/getMap/index.php?p=6594124","Map")</f>
        <v>Map</v>
      </c>
      <c r="E12" t="s">
        <v>177</v>
      </c>
      <c r="F12" t="s">
        <v>178</v>
      </c>
      <c r="L12" t="s">
        <v>393</v>
      </c>
      <c r="N12" t="s">
        <v>393</v>
      </c>
      <c r="O12" t="s">
        <v>393</v>
      </c>
      <c r="P12" t="s">
        <v>394</v>
      </c>
      <c r="Q12" t="s">
        <v>393</v>
      </c>
      <c r="V12">
        <v>14</v>
      </c>
      <c r="W12">
        <v>1</v>
      </c>
      <c r="X12">
        <v>2017</v>
      </c>
      <c r="Y12">
        <v>2018</v>
      </c>
      <c r="Z12">
        <v>424.95</v>
      </c>
      <c r="AB12" t="s">
        <v>181</v>
      </c>
      <c r="AC12" t="s">
        <v>182</v>
      </c>
      <c r="AD12" t="s">
        <v>183</v>
      </c>
      <c r="AE12">
        <v>0</v>
      </c>
      <c r="AF12">
        <v>3</v>
      </c>
      <c r="AG12" t="s">
        <v>381</v>
      </c>
      <c r="AH12">
        <v>100</v>
      </c>
      <c r="AK12">
        <v>0</v>
      </c>
      <c r="AL12">
        <v>24000</v>
      </c>
      <c r="AM12">
        <v>24000</v>
      </c>
      <c r="AN12">
        <v>0</v>
      </c>
      <c r="AO12">
        <v>345</v>
      </c>
      <c r="AP12">
        <v>2016</v>
      </c>
      <c r="AQ12">
        <v>1.77</v>
      </c>
      <c r="AS12" t="s">
        <v>395</v>
      </c>
      <c r="AT12" t="s">
        <v>186</v>
      </c>
      <c r="AU12" t="s">
        <v>177</v>
      </c>
      <c r="AV12" t="s">
        <v>187</v>
      </c>
      <c r="AW12" t="s">
        <v>182</v>
      </c>
      <c r="AX12">
        <v>0</v>
      </c>
      <c r="AY12" t="s">
        <v>312</v>
      </c>
      <c r="AZ12" t="s">
        <v>199</v>
      </c>
      <c r="BA12" t="s">
        <v>313</v>
      </c>
      <c r="BB12" t="s">
        <v>191</v>
      </c>
      <c r="BC12" t="s">
        <v>182</v>
      </c>
      <c r="BD12" t="s">
        <v>182</v>
      </c>
      <c r="BE12" t="s">
        <v>365</v>
      </c>
      <c r="BF12">
        <v>0</v>
      </c>
      <c r="BG12">
        <v>0</v>
      </c>
      <c r="BH12">
        <v>0</v>
      </c>
      <c r="BI12" t="s">
        <v>199</v>
      </c>
      <c r="BJ12" t="s">
        <v>396</v>
      </c>
      <c r="BL12" t="s">
        <v>199</v>
      </c>
      <c r="BM12" t="s">
        <v>302</v>
      </c>
      <c r="BN12" t="s">
        <v>182</v>
      </c>
      <c r="BO12" t="s">
        <v>198</v>
      </c>
      <c r="BP12" t="s">
        <v>198</v>
      </c>
      <c r="BQ12" t="s">
        <v>198</v>
      </c>
      <c r="BR12" t="s">
        <v>198</v>
      </c>
      <c r="BS12" t="s">
        <v>198</v>
      </c>
      <c r="BT12" t="s">
        <v>198</v>
      </c>
      <c r="BU12" t="s">
        <v>182</v>
      </c>
      <c r="BV12" t="s">
        <v>198</v>
      </c>
      <c r="BW12" t="s">
        <v>198</v>
      </c>
      <c r="BX12" t="s">
        <v>199</v>
      </c>
      <c r="BY12" t="s">
        <v>198</v>
      </c>
      <c r="BZ12" t="s">
        <v>199</v>
      </c>
      <c r="CA12" t="s">
        <v>199</v>
      </c>
      <c r="CB12" t="s">
        <v>384</v>
      </c>
      <c r="CC12" t="s">
        <v>201</v>
      </c>
      <c r="CD12" t="s">
        <v>202</v>
      </c>
      <c r="CE12" t="s">
        <v>203</v>
      </c>
      <c r="CF12" t="s">
        <v>204</v>
      </c>
      <c r="CG12" t="s">
        <v>177</v>
      </c>
      <c r="CH12" t="s">
        <v>187</v>
      </c>
      <c r="CI12" t="s">
        <v>397</v>
      </c>
      <c r="CJ12" t="s">
        <v>290</v>
      </c>
      <c r="CK12" t="s">
        <v>292</v>
      </c>
      <c r="CL12" t="s">
        <v>293</v>
      </c>
      <c r="CM12" t="s">
        <v>398</v>
      </c>
      <c r="CN12" t="s">
        <v>295</v>
      </c>
      <c r="CO12" t="s">
        <v>183</v>
      </c>
      <c r="CP12" t="s">
        <v>211</v>
      </c>
      <c r="CQ12" t="s">
        <v>329</v>
      </c>
      <c r="CS12" t="s">
        <v>299</v>
      </c>
      <c r="CT12" t="s">
        <v>329</v>
      </c>
      <c r="CU12" t="s">
        <v>267</v>
      </c>
      <c r="CV12" t="s">
        <v>268</v>
      </c>
      <c r="CW12" t="s">
        <v>399</v>
      </c>
      <c r="CX12" t="s">
        <v>400</v>
      </c>
      <c r="CY12" t="s">
        <v>183</v>
      </c>
      <c r="CZ12" t="s">
        <v>211</v>
      </c>
      <c r="DA12" t="s">
        <v>298</v>
      </c>
      <c r="DC12" t="s">
        <v>299</v>
      </c>
      <c r="DD12" t="s">
        <v>270</v>
      </c>
      <c r="DE12" t="s">
        <v>273</v>
      </c>
      <c r="DF12" t="s">
        <v>274</v>
      </c>
      <c r="DG12" t="s">
        <v>401</v>
      </c>
      <c r="DH12" t="s">
        <v>402</v>
      </c>
      <c r="DI12" t="s">
        <v>183</v>
      </c>
      <c r="DJ12" t="s">
        <v>211</v>
      </c>
      <c r="DK12" t="s">
        <v>345</v>
      </c>
      <c r="DM12" t="s">
        <v>392</v>
      </c>
      <c r="DW12" t="s">
        <v>198</v>
      </c>
      <c r="EG12" t="s">
        <v>198</v>
      </c>
      <c r="EQ12" t="s">
        <v>198</v>
      </c>
      <c r="FA12" t="s">
        <v>198</v>
      </c>
      <c r="FK12" t="s">
        <v>198</v>
      </c>
      <c r="FU12" t="s">
        <v>198</v>
      </c>
    </row>
    <row r="13" spans="1:177">
      <c r="A13" s="1" t="str">
        <f>HYPERLINK("http://digipan.lumentumllc.com/apps/getLink/index.php?t=PropLink&amp;p=15739931","PL")</f>
        <v>PL</v>
      </c>
      <c r="B13" s="1" t="str">
        <f>HYPERLINK("http://digipan.lumentumllc.com/apps/getLink/index.php?t=TaxLink&amp;p=15739931","TL")</f>
        <v>TL</v>
      </c>
      <c r="C13" s="1" t="str">
        <f>HYPERLINK("http://digipan.lumentumllc.com/apps/getMap/index.php?p=15739931","Map")</f>
        <v>Map</v>
      </c>
      <c r="E13" t="s">
        <v>177</v>
      </c>
      <c r="F13" t="s">
        <v>178</v>
      </c>
      <c r="L13" t="s">
        <v>403</v>
      </c>
      <c r="N13" t="s">
        <v>403</v>
      </c>
      <c r="O13" t="s">
        <v>403</v>
      </c>
      <c r="Q13" t="s">
        <v>403</v>
      </c>
      <c r="V13">
        <v>15</v>
      </c>
      <c r="W13">
        <v>1</v>
      </c>
      <c r="X13">
        <v>2017</v>
      </c>
      <c r="Y13">
        <v>2018</v>
      </c>
      <c r="Z13">
        <v>582.12</v>
      </c>
      <c r="AG13" t="s">
        <v>184</v>
      </c>
      <c r="AH13">
        <v>0</v>
      </c>
      <c r="AK13">
        <v>0</v>
      </c>
      <c r="AL13">
        <v>33600</v>
      </c>
      <c r="AM13">
        <v>33600</v>
      </c>
      <c r="AN13">
        <v>0</v>
      </c>
      <c r="AO13">
        <v>516</v>
      </c>
      <c r="AP13">
        <v>2016</v>
      </c>
      <c r="AQ13">
        <v>1.73</v>
      </c>
      <c r="AS13" t="s">
        <v>311</v>
      </c>
      <c r="AT13" t="s">
        <v>186</v>
      </c>
      <c r="AU13" t="s">
        <v>177</v>
      </c>
      <c r="AV13" t="s">
        <v>187</v>
      </c>
      <c r="AW13" t="s">
        <v>182</v>
      </c>
      <c r="AX13">
        <v>0</v>
      </c>
      <c r="AY13" t="s">
        <v>312</v>
      </c>
      <c r="AZ13" t="s">
        <v>199</v>
      </c>
      <c r="BA13" t="s">
        <v>313</v>
      </c>
      <c r="BB13" t="s">
        <v>191</v>
      </c>
      <c r="BC13" t="s">
        <v>182</v>
      </c>
      <c r="BD13" t="s">
        <v>182</v>
      </c>
      <c r="BE13" t="s">
        <v>404</v>
      </c>
      <c r="BF13">
        <v>0</v>
      </c>
      <c r="BG13">
        <v>0</v>
      </c>
      <c r="BH13">
        <v>0</v>
      </c>
      <c r="BI13" t="s">
        <v>199</v>
      </c>
      <c r="BJ13" t="s">
        <v>315</v>
      </c>
      <c r="BL13" t="s">
        <v>196</v>
      </c>
      <c r="BM13" t="s">
        <v>197</v>
      </c>
      <c r="BN13" t="s">
        <v>182</v>
      </c>
      <c r="BO13" t="s">
        <v>198</v>
      </c>
      <c r="BP13" t="s">
        <v>198</v>
      </c>
      <c r="BQ13" t="s">
        <v>198</v>
      </c>
      <c r="BR13" t="s">
        <v>198</v>
      </c>
      <c r="BS13" t="s">
        <v>198</v>
      </c>
      <c r="BT13" t="s">
        <v>198</v>
      </c>
      <c r="BU13" t="s">
        <v>182</v>
      </c>
      <c r="BV13" t="s">
        <v>198</v>
      </c>
      <c r="BW13" t="s">
        <v>198</v>
      </c>
      <c r="BX13" t="s">
        <v>199</v>
      </c>
      <c r="BY13" t="s">
        <v>198</v>
      </c>
      <c r="BZ13" t="s">
        <v>199</v>
      </c>
      <c r="CA13" t="s">
        <v>199</v>
      </c>
      <c r="CB13" t="s">
        <v>318</v>
      </c>
      <c r="CC13" t="s">
        <v>201</v>
      </c>
      <c r="CD13" t="s">
        <v>202</v>
      </c>
      <c r="CE13" t="s">
        <v>203</v>
      </c>
      <c r="CF13" t="s">
        <v>204</v>
      </c>
      <c r="CG13" t="s">
        <v>177</v>
      </c>
      <c r="CH13" t="s">
        <v>187</v>
      </c>
      <c r="CI13" t="s">
        <v>319</v>
      </c>
      <c r="CS13" t="s">
        <v>198</v>
      </c>
      <c r="DC13" t="s">
        <v>198</v>
      </c>
      <c r="DM13" t="s">
        <v>198</v>
      </c>
      <c r="DW13" t="s">
        <v>198</v>
      </c>
      <c r="EG13" t="s">
        <v>198</v>
      </c>
      <c r="EQ13" t="s">
        <v>198</v>
      </c>
      <c r="FA13" t="s">
        <v>198</v>
      </c>
      <c r="FK13" t="s">
        <v>198</v>
      </c>
      <c r="FU13" t="s">
        <v>198</v>
      </c>
    </row>
    <row r="14" spans="1:177">
      <c r="A14" s="1" t="str">
        <f>HYPERLINK("http://digipan.lumentumllc.com/apps/getLink/index.php?t=PropLink&amp;p=4637379","PL")</f>
        <v>PL</v>
      </c>
      <c r="B14" s="1" t="str">
        <f>HYPERLINK("http://digipan.lumentumllc.com/apps/getLink/index.php?t=TaxLink&amp;p=4637379","TL")</f>
        <v>TL</v>
      </c>
      <c r="C14" s="1" t="str">
        <f>HYPERLINK("http://digipan.lumentumllc.com/apps/getMap/index.php?p=4637379","Map")</f>
        <v>Map</v>
      </c>
      <c r="E14" t="s">
        <v>177</v>
      </c>
      <c r="F14" t="s">
        <v>178</v>
      </c>
      <c r="L14" t="s">
        <v>405</v>
      </c>
      <c r="N14" t="s">
        <v>405</v>
      </c>
      <c r="O14" t="s">
        <v>405</v>
      </c>
      <c r="P14" t="s">
        <v>406</v>
      </c>
      <c r="Q14" t="s">
        <v>405</v>
      </c>
      <c r="V14">
        <v>16</v>
      </c>
      <c r="W14">
        <v>1</v>
      </c>
      <c r="X14">
        <v>2017</v>
      </c>
      <c r="Y14">
        <v>2018</v>
      </c>
      <c r="Z14">
        <v>1827.59</v>
      </c>
      <c r="AG14" t="s">
        <v>184</v>
      </c>
      <c r="AH14">
        <v>0</v>
      </c>
      <c r="AK14">
        <v>0</v>
      </c>
      <c r="AL14">
        <v>109671</v>
      </c>
      <c r="AM14">
        <v>82500</v>
      </c>
      <c r="AN14">
        <v>27171</v>
      </c>
      <c r="AO14">
        <v>1688</v>
      </c>
      <c r="AP14">
        <v>2016</v>
      </c>
      <c r="AQ14">
        <v>1.67</v>
      </c>
      <c r="AS14" t="s">
        <v>407</v>
      </c>
      <c r="AT14" t="s">
        <v>186</v>
      </c>
      <c r="AU14" t="s">
        <v>177</v>
      </c>
      <c r="AV14" t="s">
        <v>187</v>
      </c>
      <c r="AW14" t="s">
        <v>182</v>
      </c>
      <c r="AX14">
        <v>1</v>
      </c>
      <c r="AY14" t="s">
        <v>188</v>
      </c>
      <c r="AZ14" t="s">
        <v>206</v>
      </c>
      <c r="BA14" t="s">
        <v>355</v>
      </c>
      <c r="BB14" t="s">
        <v>191</v>
      </c>
      <c r="BC14" t="s">
        <v>182</v>
      </c>
      <c r="BD14" t="s">
        <v>182</v>
      </c>
      <c r="BE14" t="s">
        <v>408</v>
      </c>
      <c r="BF14">
        <v>1</v>
      </c>
      <c r="BG14">
        <v>1</v>
      </c>
      <c r="BH14">
        <v>2004</v>
      </c>
      <c r="BI14" t="s">
        <v>409</v>
      </c>
      <c r="BJ14" t="s">
        <v>194</v>
      </c>
      <c r="BK14" t="s">
        <v>195</v>
      </c>
      <c r="BL14" t="s">
        <v>199</v>
      </c>
      <c r="BM14" t="s">
        <v>410</v>
      </c>
      <c r="BN14" t="s">
        <v>182</v>
      </c>
      <c r="BO14" t="s">
        <v>198</v>
      </c>
      <c r="BP14" t="s">
        <v>198</v>
      </c>
      <c r="BQ14" t="s">
        <v>198</v>
      </c>
      <c r="BR14" t="s">
        <v>198</v>
      </c>
      <c r="BS14" t="s">
        <v>198</v>
      </c>
      <c r="BT14" t="s">
        <v>198</v>
      </c>
      <c r="BU14" t="s">
        <v>182</v>
      </c>
      <c r="BV14" t="s">
        <v>198</v>
      </c>
      <c r="BW14" t="s">
        <v>198</v>
      </c>
      <c r="BX14" t="s">
        <v>199</v>
      </c>
      <c r="BY14" t="s">
        <v>198</v>
      </c>
      <c r="BZ14" t="s">
        <v>199</v>
      </c>
      <c r="CA14" t="s">
        <v>199</v>
      </c>
      <c r="CB14" t="s">
        <v>411</v>
      </c>
      <c r="CC14" t="s">
        <v>201</v>
      </c>
      <c r="CD14" t="s">
        <v>182</v>
      </c>
      <c r="CE14" t="s">
        <v>412</v>
      </c>
      <c r="CF14" t="s">
        <v>413</v>
      </c>
      <c r="CG14" t="s">
        <v>177</v>
      </c>
      <c r="CH14" t="s">
        <v>414</v>
      </c>
      <c r="CI14" t="s">
        <v>415</v>
      </c>
      <c r="CS14" t="s">
        <v>198</v>
      </c>
      <c r="DC14" t="s">
        <v>198</v>
      </c>
      <c r="DM14" t="s">
        <v>198</v>
      </c>
      <c r="DW14" t="s">
        <v>198</v>
      </c>
      <c r="EG14" t="s">
        <v>198</v>
      </c>
      <c r="EQ14" t="s">
        <v>198</v>
      </c>
      <c r="FA14" t="s">
        <v>198</v>
      </c>
      <c r="FK14" t="s">
        <v>198</v>
      </c>
      <c r="FU14" t="s">
        <v>198</v>
      </c>
    </row>
    <row r="15" spans="1:177">
      <c r="A15" s="1" t="str">
        <f>HYPERLINK("http://digipan.lumentumllc.com/apps/getLink/index.php?t=PropLink&amp;p=5245789","PL")</f>
        <v>PL</v>
      </c>
      <c r="B15" s="1" t="str">
        <f>HYPERLINK("http://digipan.lumentumllc.com/apps/getLink/index.php?t=TaxLink&amp;p=5245789","TL")</f>
        <v>TL</v>
      </c>
      <c r="C15" s="1" t="str">
        <f>HYPERLINK("http://digipan.lumentumllc.com/apps/getMap/index.php?p=5245789","Map")</f>
        <v>Map</v>
      </c>
      <c r="E15" t="s">
        <v>177</v>
      </c>
      <c r="F15" t="s">
        <v>178</v>
      </c>
      <c r="L15" t="s">
        <v>416</v>
      </c>
      <c r="N15" t="s">
        <v>416</v>
      </c>
      <c r="O15" t="s">
        <v>416</v>
      </c>
      <c r="P15" t="s">
        <v>417</v>
      </c>
      <c r="Q15" t="s">
        <v>416</v>
      </c>
      <c r="V15">
        <v>18</v>
      </c>
      <c r="W15">
        <v>1</v>
      </c>
      <c r="X15">
        <v>2017</v>
      </c>
      <c r="Y15">
        <v>2018</v>
      </c>
      <c r="Z15">
        <v>446.19</v>
      </c>
      <c r="AB15" t="s">
        <v>181</v>
      </c>
      <c r="AC15" t="s">
        <v>182</v>
      </c>
      <c r="AD15" t="s">
        <v>183</v>
      </c>
      <c r="AE15">
        <v>1</v>
      </c>
      <c r="AF15">
        <v>7</v>
      </c>
      <c r="AG15" t="s">
        <v>418</v>
      </c>
      <c r="AH15">
        <v>86</v>
      </c>
      <c r="AI15">
        <v>436.08</v>
      </c>
      <c r="AJ15">
        <v>21.8</v>
      </c>
      <c r="AK15">
        <v>457.88</v>
      </c>
      <c r="AL15">
        <v>63970</v>
      </c>
      <c r="AM15">
        <v>15000</v>
      </c>
      <c r="AN15">
        <v>48970</v>
      </c>
      <c r="AO15">
        <v>378</v>
      </c>
      <c r="AP15">
        <v>2016</v>
      </c>
      <c r="AQ15">
        <v>0.7</v>
      </c>
      <c r="AR15">
        <v>0.72</v>
      </c>
      <c r="AS15" t="s">
        <v>419</v>
      </c>
      <c r="AT15" t="s">
        <v>420</v>
      </c>
      <c r="AU15" t="s">
        <v>177</v>
      </c>
      <c r="AV15" t="s">
        <v>421</v>
      </c>
      <c r="AW15" t="s">
        <v>202</v>
      </c>
      <c r="AX15">
        <v>2</v>
      </c>
      <c r="AY15" t="s">
        <v>188</v>
      </c>
      <c r="AZ15" t="s">
        <v>189</v>
      </c>
      <c r="BA15" t="s">
        <v>190</v>
      </c>
      <c r="BB15" t="s">
        <v>191</v>
      </c>
      <c r="BC15" t="s">
        <v>182</v>
      </c>
      <c r="BD15" t="s">
        <v>182</v>
      </c>
      <c r="BE15" t="s">
        <v>383</v>
      </c>
      <c r="BF15">
        <v>1</v>
      </c>
      <c r="BG15">
        <v>1</v>
      </c>
      <c r="BH15">
        <v>1997</v>
      </c>
      <c r="BI15" t="s">
        <v>422</v>
      </c>
      <c r="BJ15" t="s">
        <v>194</v>
      </c>
      <c r="BK15" t="s">
        <v>195</v>
      </c>
      <c r="BL15" t="s">
        <v>199</v>
      </c>
      <c r="BM15" t="s">
        <v>238</v>
      </c>
      <c r="BN15" t="s">
        <v>182</v>
      </c>
      <c r="BO15" t="s">
        <v>198</v>
      </c>
      <c r="BP15" t="s">
        <v>198</v>
      </c>
      <c r="BQ15" t="s">
        <v>198</v>
      </c>
      <c r="BR15" t="s">
        <v>198</v>
      </c>
      <c r="BS15" t="s">
        <v>198</v>
      </c>
      <c r="BT15" t="s">
        <v>198</v>
      </c>
      <c r="BU15" t="s">
        <v>182</v>
      </c>
      <c r="BV15" t="s">
        <v>198</v>
      </c>
      <c r="BW15" t="s">
        <v>198</v>
      </c>
      <c r="BX15" t="s">
        <v>199</v>
      </c>
      <c r="BY15" t="s">
        <v>198</v>
      </c>
      <c r="BZ15" t="s">
        <v>199</v>
      </c>
      <c r="CA15" t="s">
        <v>199</v>
      </c>
      <c r="CB15" t="s">
        <v>423</v>
      </c>
      <c r="CC15" t="s">
        <v>201</v>
      </c>
      <c r="CD15" t="s">
        <v>202</v>
      </c>
      <c r="CE15" t="s">
        <v>424</v>
      </c>
      <c r="CF15" t="s">
        <v>425</v>
      </c>
      <c r="CG15" t="s">
        <v>177</v>
      </c>
      <c r="CH15" t="s">
        <v>421</v>
      </c>
      <c r="CI15" t="s">
        <v>426</v>
      </c>
      <c r="CJ15" t="s">
        <v>427</v>
      </c>
      <c r="CK15" t="s">
        <v>232</v>
      </c>
      <c r="CL15" t="s">
        <v>233</v>
      </c>
      <c r="CM15" t="s">
        <v>428</v>
      </c>
      <c r="CN15" t="s">
        <v>235</v>
      </c>
      <c r="CO15" t="s">
        <v>183</v>
      </c>
      <c r="CP15" t="s">
        <v>266</v>
      </c>
      <c r="CS15" t="s">
        <v>198</v>
      </c>
      <c r="CT15" t="s">
        <v>270</v>
      </c>
      <c r="CU15" t="s">
        <v>292</v>
      </c>
      <c r="CV15" t="s">
        <v>293</v>
      </c>
      <c r="CW15" t="s">
        <v>429</v>
      </c>
      <c r="CX15" t="s">
        <v>235</v>
      </c>
      <c r="CY15" t="s">
        <v>183</v>
      </c>
      <c r="CZ15" t="s">
        <v>211</v>
      </c>
      <c r="DA15" t="s">
        <v>298</v>
      </c>
      <c r="DC15" t="s">
        <v>430</v>
      </c>
      <c r="DD15" t="s">
        <v>212</v>
      </c>
      <c r="DE15" t="s">
        <v>267</v>
      </c>
      <c r="DF15" t="s">
        <v>268</v>
      </c>
      <c r="DG15" t="s">
        <v>431</v>
      </c>
      <c r="DH15" t="s">
        <v>235</v>
      </c>
      <c r="DI15" t="s">
        <v>183</v>
      </c>
      <c r="DJ15" t="s">
        <v>211</v>
      </c>
      <c r="DK15" t="s">
        <v>298</v>
      </c>
      <c r="DM15" t="s">
        <v>432</v>
      </c>
      <c r="DN15" t="s">
        <v>306</v>
      </c>
      <c r="DO15" t="s">
        <v>273</v>
      </c>
      <c r="DP15" t="s">
        <v>274</v>
      </c>
      <c r="DQ15" t="s">
        <v>433</v>
      </c>
      <c r="DR15" t="s">
        <v>235</v>
      </c>
      <c r="DS15" t="s">
        <v>183</v>
      </c>
      <c r="DT15" t="s">
        <v>211</v>
      </c>
      <c r="DU15" t="s">
        <v>298</v>
      </c>
      <c r="DW15" t="s">
        <v>434</v>
      </c>
      <c r="DX15" t="s">
        <v>427</v>
      </c>
      <c r="DY15" t="s">
        <v>302</v>
      </c>
      <c r="DZ15" t="s">
        <v>303</v>
      </c>
      <c r="EA15" t="s">
        <v>435</v>
      </c>
      <c r="EB15" t="s">
        <v>436</v>
      </c>
      <c r="EC15" t="s">
        <v>183</v>
      </c>
      <c r="ED15" t="s">
        <v>211</v>
      </c>
      <c r="EE15" t="s">
        <v>298</v>
      </c>
      <c r="EG15" t="s">
        <v>437</v>
      </c>
      <c r="EH15" t="s">
        <v>438</v>
      </c>
      <c r="EI15" t="s">
        <v>238</v>
      </c>
      <c r="EJ15" t="s">
        <v>239</v>
      </c>
      <c r="EK15" t="s">
        <v>439</v>
      </c>
      <c r="EL15" t="s">
        <v>440</v>
      </c>
      <c r="EM15" t="s">
        <v>183</v>
      </c>
      <c r="EN15" t="s">
        <v>211</v>
      </c>
      <c r="EO15" t="s">
        <v>298</v>
      </c>
      <c r="EQ15" t="s">
        <v>441</v>
      </c>
      <c r="ER15" t="s">
        <v>427</v>
      </c>
      <c r="ES15" t="s">
        <v>346</v>
      </c>
      <c r="ET15" t="s">
        <v>347</v>
      </c>
      <c r="EU15" t="s">
        <v>442</v>
      </c>
      <c r="EV15" t="s">
        <v>247</v>
      </c>
      <c r="EW15" t="s">
        <v>183</v>
      </c>
      <c r="EX15" t="s">
        <v>211</v>
      </c>
      <c r="EY15" t="s">
        <v>298</v>
      </c>
      <c r="FA15" t="s">
        <v>443</v>
      </c>
      <c r="FB15" t="s">
        <v>444</v>
      </c>
      <c r="FC15" t="s">
        <v>207</v>
      </c>
      <c r="FD15" t="s">
        <v>208</v>
      </c>
      <c r="FE15" t="s">
        <v>445</v>
      </c>
      <c r="FF15" t="s">
        <v>210</v>
      </c>
      <c r="FG15" t="s">
        <v>183</v>
      </c>
      <c r="FH15" t="s">
        <v>211</v>
      </c>
      <c r="FI15" t="s">
        <v>298</v>
      </c>
      <c r="FK15" t="s">
        <v>446</v>
      </c>
      <c r="FU15" t="s">
        <v>198</v>
      </c>
    </row>
    <row r="16" spans="1:177">
      <c r="A16" s="1" t="str">
        <f>HYPERLINK("http://digipan.lumentumllc.com/apps/getLink/index.php?t=PropLink&amp;p=5245790","PL")</f>
        <v>PL</v>
      </c>
      <c r="B16" s="1" t="str">
        <f>HYPERLINK("http://digipan.lumentumllc.com/apps/getLink/index.php?t=TaxLink&amp;p=5245790","TL")</f>
        <v>TL</v>
      </c>
      <c r="C16" s="1" t="str">
        <f>HYPERLINK("http://digipan.lumentumllc.com/apps/getMap/index.php?p=5245790","Map")</f>
        <v>Map</v>
      </c>
      <c r="E16" t="s">
        <v>177</v>
      </c>
      <c r="F16" t="s">
        <v>178</v>
      </c>
      <c r="L16" t="s">
        <v>447</v>
      </c>
      <c r="N16" t="s">
        <v>447</v>
      </c>
      <c r="O16" t="s">
        <v>447</v>
      </c>
      <c r="P16" t="s">
        <v>448</v>
      </c>
      <c r="Q16" t="s">
        <v>447</v>
      </c>
      <c r="V16">
        <v>19</v>
      </c>
      <c r="W16">
        <v>1</v>
      </c>
      <c r="X16">
        <v>2017</v>
      </c>
      <c r="Y16">
        <v>2018</v>
      </c>
      <c r="Z16">
        <v>811.34</v>
      </c>
      <c r="AB16" t="s">
        <v>181</v>
      </c>
      <c r="AC16" t="s">
        <v>182</v>
      </c>
      <c r="AD16" t="s">
        <v>183</v>
      </c>
      <c r="AE16">
        <v>1</v>
      </c>
      <c r="AF16">
        <v>7</v>
      </c>
      <c r="AG16" t="s">
        <v>418</v>
      </c>
      <c r="AH16">
        <v>86</v>
      </c>
      <c r="AI16">
        <v>670.53</v>
      </c>
      <c r="AJ16">
        <v>33.53</v>
      </c>
      <c r="AK16">
        <v>704.06</v>
      </c>
      <c r="AL16">
        <v>54024</v>
      </c>
      <c r="AM16">
        <v>15000</v>
      </c>
      <c r="AN16">
        <v>39024</v>
      </c>
      <c r="AO16">
        <v>595</v>
      </c>
      <c r="AP16">
        <v>2016</v>
      </c>
      <c r="AQ16">
        <v>1.5</v>
      </c>
      <c r="AR16">
        <v>1.3</v>
      </c>
      <c r="AS16" t="s">
        <v>449</v>
      </c>
      <c r="AT16" t="s">
        <v>420</v>
      </c>
      <c r="AU16" t="s">
        <v>177</v>
      </c>
      <c r="AV16" t="s">
        <v>421</v>
      </c>
      <c r="AW16" t="s">
        <v>182</v>
      </c>
      <c r="AX16">
        <v>2</v>
      </c>
      <c r="AY16" t="s">
        <v>188</v>
      </c>
      <c r="AZ16" t="s">
        <v>189</v>
      </c>
      <c r="BA16" t="s">
        <v>190</v>
      </c>
      <c r="BB16" t="s">
        <v>191</v>
      </c>
      <c r="BC16" t="s">
        <v>182</v>
      </c>
      <c r="BD16" t="s">
        <v>182</v>
      </c>
      <c r="BE16" t="s">
        <v>383</v>
      </c>
      <c r="BF16">
        <v>1</v>
      </c>
      <c r="BG16">
        <v>1</v>
      </c>
      <c r="BH16">
        <v>1994</v>
      </c>
      <c r="BI16" t="s">
        <v>450</v>
      </c>
      <c r="BJ16" t="s">
        <v>194</v>
      </c>
      <c r="BK16" t="s">
        <v>195</v>
      </c>
      <c r="BL16" t="s">
        <v>199</v>
      </c>
      <c r="BM16" t="s">
        <v>451</v>
      </c>
      <c r="BN16" t="s">
        <v>182</v>
      </c>
      <c r="BO16" t="s">
        <v>198</v>
      </c>
      <c r="BP16" t="s">
        <v>198</v>
      </c>
      <c r="BQ16" t="s">
        <v>198</v>
      </c>
      <c r="BR16" t="s">
        <v>198</v>
      </c>
      <c r="BS16" t="s">
        <v>198</v>
      </c>
      <c r="BT16" t="s">
        <v>198</v>
      </c>
      <c r="BU16" t="s">
        <v>182</v>
      </c>
      <c r="BV16" t="s">
        <v>198</v>
      </c>
      <c r="BW16" t="s">
        <v>198</v>
      </c>
      <c r="BX16" t="s">
        <v>199</v>
      </c>
      <c r="BY16" t="s">
        <v>198</v>
      </c>
      <c r="BZ16" t="s">
        <v>199</v>
      </c>
      <c r="CA16" t="s">
        <v>199</v>
      </c>
      <c r="CB16" t="s">
        <v>452</v>
      </c>
      <c r="CC16" t="s">
        <v>201</v>
      </c>
      <c r="CD16" t="s">
        <v>182</v>
      </c>
      <c r="CE16" t="s">
        <v>453</v>
      </c>
      <c r="CF16" t="s">
        <v>425</v>
      </c>
      <c r="CG16" t="s">
        <v>177</v>
      </c>
      <c r="CH16" t="s">
        <v>421</v>
      </c>
      <c r="CI16" t="s">
        <v>454</v>
      </c>
      <c r="CJ16" t="s">
        <v>306</v>
      </c>
      <c r="CK16" t="s">
        <v>232</v>
      </c>
      <c r="CL16" t="s">
        <v>233</v>
      </c>
      <c r="CM16" t="s">
        <v>455</v>
      </c>
      <c r="CN16" t="s">
        <v>235</v>
      </c>
      <c r="CO16" t="s">
        <v>183</v>
      </c>
      <c r="CP16" t="s">
        <v>266</v>
      </c>
      <c r="CS16" t="s">
        <v>198</v>
      </c>
      <c r="CT16" t="s">
        <v>212</v>
      </c>
      <c r="CU16" t="s">
        <v>292</v>
      </c>
      <c r="CV16" t="s">
        <v>293</v>
      </c>
      <c r="CW16" t="s">
        <v>456</v>
      </c>
      <c r="CX16" t="s">
        <v>235</v>
      </c>
      <c r="CY16" t="s">
        <v>183</v>
      </c>
      <c r="CZ16" t="s">
        <v>211</v>
      </c>
      <c r="DA16" t="s">
        <v>298</v>
      </c>
      <c r="DC16" t="s">
        <v>457</v>
      </c>
      <c r="DD16" t="s">
        <v>427</v>
      </c>
      <c r="DE16" t="s">
        <v>267</v>
      </c>
      <c r="DF16" t="s">
        <v>268</v>
      </c>
      <c r="DG16" t="s">
        <v>458</v>
      </c>
      <c r="DH16" t="s">
        <v>235</v>
      </c>
      <c r="DI16" t="s">
        <v>183</v>
      </c>
      <c r="DJ16" t="s">
        <v>211</v>
      </c>
      <c r="DK16" t="s">
        <v>298</v>
      </c>
      <c r="DM16" t="s">
        <v>459</v>
      </c>
      <c r="DN16" t="s">
        <v>460</v>
      </c>
      <c r="DO16" t="s">
        <v>273</v>
      </c>
      <c r="DP16" t="s">
        <v>274</v>
      </c>
      <c r="DQ16" t="s">
        <v>461</v>
      </c>
      <c r="DR16" t="s">
        <v>235</v>
      </c>
      <c r="DS16" t="s">
        <v>183</v>
      </c>
      <c r="DT16" t="s">
        <v>211</v>
      </c>
      <c r="DU16" t="s">
        <v>298</v>
      </c>
      <c r="DW16" t="s">
        <v>462</v>
      </c>
      <c r="DX16" t="s">
        <v>306</v>
      </c>
      <c r="DY16" t="s">
        <v>302</v>
      </c>
      <c r="DZ16" t="s">
        <v>303</v>
      </c>
      <c r="EA16" t="s">
        <v>463</v>
      </c>
      <c r="EB16" t="s">
        <v>305</v>
      </c>
      <c r="EC16" t="s">
        <v>183</v>
      </c>
      <c r="ED16" t="s">
        <v>211</v>
      </c>
      <c r="EE16" t="s">
        <v>298</v>
      </c>
      <c r="EG16" t="s">
        <v>464</v>
      </c>
      <c r="EH16" t="s">
        <v>465</v>
      </c>
      <c r="EI16" t="s">
        <v>238</v>
      </c>
      <c r="EJ16" t="s">
        <v>239</v>
      </c>
      <c r="EK16" t="s">
        <v>466</v>
      </c>
      <c r="EL16" t="s">
        <v>278</v>
      </c>
      <c r="EM16" t="s">
        <v>183</v>
      </c>
      <c r="EN16" t="s">
        <v>211</v>
      </c>
      <c r="EO16" t="s">
        <v>298</v>
      </c>
      <c r="EQ16" t="s">
        <v>467</v>
      </c>
      <c r="ER16" t="s">
        <v>306</v>
      </c>
      <c r="ES16" t="s">
        <v>346</v>
      </c>
      <c r="ET16" t="s">
        <v>347</v>
      </c>
      <c r="EU16" t="s">
        <v>468</v>
      </c>
      <c r="EV16" t="s">
        <v>469</v>
      </c>
      <c r="EW16" t="s">
        <v>183</v>
      </c>
      <c r="EX16" t="s">
        <v>211</v>
      </c>
      <c r="EY16" t="s">
        <v>298</v>
      </c>
      <c r="FA16" t="s">
        <v>470</v>
      </c>
      <c r="FB16" t="s">
        <v>471</v>
      </c>
      <c r="FC16" t="s">
        <v>207</v>
      </c>
      <c r="FD16" t="s">
        <v>208</v>
      </c>
      <c r="FE16" t="s">
        <v>472</v>
      </c>
      <c r="FF16" t="s">
        <v>473</v>
      </c>
      <c r="FG16" t="s">
        <v>183</v>
      </c>
      <c r="FH16" t="s">
        <v>211</v>
      </c>
      <c r="FI16" t="s">
        <v>298</v>
      </c>
      <c r="FK16" t="s">
        <v>474</v>
      </c>
      <c r="FU16" t="s">
        <v>198</v>
      </c>
    </row>
    <row r="17" spans="1:177">
      <c r="A17" s="1" t="str">
        <f>HYPERLINK("http://digipan.lumentumllc.com/apps/getLink/index.php?t=PropLink&amp;p=5245791","PL")</f>
        <v>PL</v>
      </c>
      <c r="B17" s="1" t="str">
        <f>HYPERLINK("http://digipan.lumentumllc.com/apps/getLink/index.php?t=TaxLink&amp;p=5245791","TL")</f>
        <v>TL</v>
      </c>
      <c r="C17" s="1" t="str">
        <f>HYPERLINK("http://digipan.lumentumllc.com/apps/getMap/index.php?p=5245791","Map")</f>
        <v>Map</v>
      </c>
      <c r="E17" t="s">
        <v>177</v>
      </c>
      <c r="F17" t="s">
        <v>178</v>
      </c>
      <c r="L17" t="s">
        <v>475</v>
      </c>
      <c r="N17" t="s">
        <v>475</v>
      </c>
      <c r="O17" t="s">
        <v>475</v>
      </c>
      <c r="P17" t="s">
        <v>476</v>
      </c>
      <c r="Q17" t="s">
        <v>475</v>
      </c>
      <c r="V17">
        <v>20</v>
      </c>
      <c r="W17">
        <v>1</v>
      </c>
      <c r="X17">
        <v>2017</v>
      </c>
      <c r="Y17">
        <v>2018</v>
      </c>
      <c r="Z17">
        <v>71.83</v>
      </c>
      <c r="AB17" t="s">
        <v>181</v>
      </c>
      <c r="AC17" t="s">
        <v>182</v>
      </c>
      <c r="AD17" t="s">
        <v>183</v>
      </c>
      <c r="AE17">
        <v>1</v>
      </c>
      <c r="AF17">
        <v>7</v>
      </c>
      <c r="AG17" t="s">
        <v>418</v>
      </c>
      <c r="AH17">
        <v>86</v>
      </c>
      <c r="AI17">
        <v>61.64</v>
      </c>
      <c r="AJ17">
        <v>11.1</v>
      </c>
      <c r="AK17">
        <v>72.739999999999995</v>
      </c>
      <c r="AL17">
        <v>2670</v>
      </c>
      <c r="AM17">
        <v>2670</v>
      </c>
      <c r="AN17">
        <v>0</v>
      </c>
      <c r="AO17">
        <v>32</v>
      </c>
      <c r="AP17">
        <v>2016</v>
      </c>
      <c r="AQ17">
        <v>2.69</v>
      </c>
      <c r="AR17">
        <v>2.72</v>
      </c>
      <c r="AS17" t="s">
        <v>477</v>
      </c>
      <c r="AT17" t="s">
        <v>420</v>
      </c>
      <c r="AU17" t="s">
        <v>177</v>
      </c>
      <c r="AV17" t="s">
        <v>421</v>
      </c>
      <c r="AW17" t="s">
        <v>182</v>
      </c>
      <c r="AX17">
        <v>0</v>
      </c>
      <c r="AY17" t="s">
        <v>312</v>
      </c>
      <c r="AZ17" t="s">
        <v>199</v>
      </c>
      <c r="BA17" t="s">
        <v>313</v>
      </c>
      <c r="BB17" t="s">
        <v>191</v>
      </c>
      <c r="BC17" t="s">
        <v>182</v>
      </c>
      <c r="BD17" t="s">
        <v>182</v>
      </c>
      <c r="BE17" t="s">
        <v>478</v>
      </c>
      <c r="BF17">
        <v>0</v>
      </c>
      <c r="BG17">
        <v>0</v>
      </c>
      <c r="BH17">
        <v>0</v>
      </c>
      <c r="BI17" t="s">
        <v>199</v>
      </c>
      <c r="BJ17" t="s">
        <v>248</v>
      </c>
      <c r="BL17" t="s">
        <v>199</v>
      </c>
      <c r="BM17" t="s">
        <v>286</v>
      </c>
      <c r="BN17" t="s">
        <v>182</v>
      </c>
      <c r="BO17" t="s">
        <v>198</v>
      </c>
      <c r="BP17" t="s">
        <v>198</v>
      </c>
      <c r="BQ17" t="s">
        <v>198</v>
      </c>
      <c r="BR17" t="s">
        <v>198</v>
      </c>
      <c r="BS17" t="s">
        <v>198</v>
      </c>
      <c r="BT17" t="s">
        <v>198</v>
      </c>
      <c r="BU17" t="s">
        <v>182</v>
      </c>
      <c r="BV17" t="s">
        <v>198</v>
      </c>
      <c r="BW17" t="s">
        <v>198</v>
      </c>
      <c r="BX17" t="s">
        <v>199</v>
      </c>
      <c r="BY17" t="s">
        <v>198</v>
      </c>
      <c r="BZ17" t="s">
        <v>199</v>
      </c>
      <c r="CA17" t="s">
        <v>199</v>
      </c>
      <c r="CB17" t="s">
        <v>479</v>
      </c>
      <c r="CC17" t="s">
        <v>201</v>
      </c>
      <c r="CD17" t="s">
        <v>182</v>
      </c>
      <c r="CE17" t="s">
        <v>453</v>
      </c>
      <c r="CF17" t="s">
        <v>425</v>
      </c>
      <c r="CG17" t="s">
        <v>177</v>
      </c>
      <c r="CH17" t="s">
        <v>421</v>
      </c>
      <c r="CI17" t="s">
        <v>480</v>
      </c>
      <c r="CJ17" t="s">
        <v>460</v>
      </c>
      <c r="CK17" t="s">
        <v>232</v>
      </c>
      <c r="CL17" t="s">
        <v>233</v>
      </c>
      <c r="CM17" t="s">
        <v>481</v>
      </c>
      <c r="CN17" t="s">
        <v>482</v>
      </c>
      <c r="CO17" t="s">
        <v>183</v>
      </c>
      <c r="CP17" t="s">
        <v>266</v>
      </c>
      <c r="CS17" t="s">
        <v>198</v>
      </c>
      <c r="CT17" t="s">
        <v>427</v>
      </c>
      <c r="CU17" t="s">
        <v>292</v>
      </c>
      <c r="CV17" t="s">
        <v>293</v>
      </c>
      <c r="CW17" t="s">
        <v>483</v>
      </c>
      <c r="CX17" t="s">
        <v>484</v>
      </c>
      <c r="CY17" t="s">
        <v>183</v>
      </c>
      <c r="CZ17" t="s">
        <v>211</v>
      </c>
      <c r="DA17" t="s">
        <v>298</v>
      </c>
      <c r="DC17" t="s">
        <v>457</v>
      </c>
      <c r="DD17" t="s">
        <v>306</v>
      </c>
      <c r="DE17" t="s">
        <v>267</v>
      </c>
      <c r="DF17" t="s">
        <v>268</v>
      </c>
      <c r="DG17" t="s">
        <v>485</v>
      </c>
      <c r="DH17" t="s">
        <v>486</v>
      </c>
      <c r="DI17" t="s">
        <v>183</v>
      </c>
      <c r="DJ17" t="s">
        <v>211</v>
      </c>
      <c r="DK17" t="s">
        <v>298</v>
      </c>
      <c r="DM17" t="s">
        <v>459</v>
      </c>
      <c r="DN17" t="s">
        <v>487</v>
      </c>
      <c r="DO17" t="s">
        <v>273</v>
      </c>
      <c r="DP17" t="s">
        <v>274</v>
      </c>
      <c r="DQ17" t="s">
        <v>488</v>
      </c>
      <c r="DR17" t="s">
        <v>482</v>
      </c>
      <c r="DS17" t="s">
        <v>183</v>
      </c>
      <c r="DT17" t="s">
        <v>211</v>
      </c>
      <c r="DU17" t="s">
        <v>298</v>
      </c>
      <c r="DW17" t="s">
        <v>462</v>
      </c>
      <c r="DX17" t="s">
        <v>460</v>
      </c>
      <c r="DY17" t="s">
        <v>302</v>
      </c>
      <c r="DZ17" t="s">
        <v>303</v>
      </c>
      <c r="EA17" t="s">
        <v>489</v>
      </c>
      <c r="EB17" t="s">
        <v>333</v>
      </c>
      <c r="EC17" t="s">
        <v>183</v>
      </c>
      <c r="ED17" t="s">
        <v>211</v>
      </c>
      <c r="EE17" t="s">
        <v>298</v>
      </c>
      <c r="EG17" t="s">
        <v>464</v>
      </c>
      <c r="EH17" t="s">
        <v>490</v>
      </c>
      <c r="EI17" t="s">
        <v>238</v>
      </c>
      <c r="EJ17" t="s">
        <v>239</v>
      </c>
      <c r="EK17" t="s">
        <v>491</v>
      </c>
      <c r="EL17" t="s">
        <v>482</v>
      </c>
      <c r="EM17" t="s">
        <v>183</v>
      </c>
      <c r="EN17" t="s">
        <v>211</v>
      </c>
      <c r="EO17" t="s">
        <v>298</v>
      </c>
      <c r="EQ17" t="s">
        <v>467</v>
      </c>
      <c r="ER17" t="s">
        <v>460</v>
      </c>
      <c r="ES17" t="s">
        <v>346</v>
      </c>
      <c r="ET17" t="s">
        <v>347</v>
      </c>
      <c r="EU17" t="s">
        <v>492</v>
      </c>
      <c r="EV17" t="s">
        <v>235</v>
      </c>
      <c r="EW17" t="s">
        <v>183</v>
      </c>
      <c r="EX17" t="s">
        <v>211</v>
      </c>
      <c r="EY17" t="s">
        <v>298</v>
      </c>
      <c r="FA17" t="s">
        <v>470</v>
      </c>
      <c r="FB17" t="s">
        <v>493</v>
      </c>
      <c r="FC17" t="s">
        <v>207</v>
      </c>
      <c r="FD17" t="s">
        <v>208</v>
      </c>
      <c r="FE17" t="s">
        <v>494</v>
      </c>
      <c r="FF17" t="s">
        <v>473</v>
      </c>
      <c r="FG17" t="s">
        <v>183</v>
      </c>
      <c r="FH17" t="s">
        <v>211</v>
      </c>
      <c r="FI17" t="s">
        <v>298</v>
      </c>
      <c r="FK17" t="s">
        <v>474</v>
      </c>
      <c r="FU17" t="s">
        <v>198</v>
      </c>
    </row>
    <row r="18" spans="1:177">
      <c r="A18" s="1" t="str">
        <f>HYPERLINK("http://digipan.lumentumllc.com/apps/getLink/index.php?t=PropLink&amp;p=5246246","PL")</f>
        <v>PL</v>
      </c>
      <c r="B18" s="1" t="str">
        <f>HYPERLINK("http://digipan.lumentumllc.com/apps/getLink/index.php?t=TaxLink&amp;p=5246246","TL")</f>
        <v>TL</v>
      </c>
      <c r="C18" s="1" t="str">
        <f>HYPERLINK("http://digipan.lumentumllc.com/apps/getMap/index.php?p=5246246","Map")</f>
        <v>Map</v>
      </c>
      <c r="E18" t="s">
        <v>177</v>
      </c>
      <c r="F18" t="s">
        <v>178</v>
      </c>
      <c r="L18" t="s">
        <v>495</v>
      </c>
      <c r="N18" t="s">
        <v>495</v>
      </c>
      <c r="O18" t="s">
        <v>495</v>
      </c>
      <c r="P18" t="s">
        <v>496</v>
      </c>
      <c r="Q18" t="s">
        <v>495</v>
      </c>
      <c r="V18">
        <v>21</v>
      </c>
      <c r="W18">
        <v>1</v>
      </c>
      <c r="X18">
        <v>2017</v>
      </c>
      <c r="Y18">
        <v>2018</v>
      </c>
      <c r="Z18">
        <v>454.78</v>
      </c>
      <c r="AB18" t="s">
        <v>181</v>
      </c>
      <c r="AC18" t="s">
        <v>182</v>
      </c>
      <c r="AD18" t="s">
        <v>183</v>
      </c>
      <c r="AE18">
        <v>1</v>
      </c>
      <c r="AF18">
        <v>7</v>
      </c>
      <c r="AG18" t="s">
        <v>418</v>
      </c>
      <c r="AH18">
        <v>86</v>
      </c>
      <c r="AI18">
        <v>433.04</v>
      </c>
      <c r="AJ18">
        <v>21.65</v>
      </c>
      <c r="AK18">
        <v>454.69</v>
      </c>
      <c r="AL18">
        <v>25822</v>
      </c>
      <c r="AM18">
        <v>9150</v>
      </c>
      <c r="AN18">
        <v>16672</v>
      </c>
      <c r="AO18">
        <v>375</v>
      </c>
      <c r="AP18">
        <v>2016</v>
      </c>
      <c r="AQ18">
        <v>1.76</v>
      </c>
      <c r="AR18">
        <v>1.76</v>
      </c>
      <c r="AS18" t="s">
        <v>497</v>
      </c>
      <c r="AT18" t="s">
        <v>420</v>
      </c>
      <c r="AU18" t="s">
        <v>177</v>
      </c>
      <c r="AV18" t="s">
        <v>421</v>
      </c>
      <c r="AW18" t="s">
        <v>182</v>
      </c>
      <c r="AX18">
        <v>2</v>
      </c>
      <c r="AY18" t="s">
        <v>188</v>
      </c>
      <c r="AZ18" t="s">
        <v>189</v>
      </c>
      <c r="BA18" t="s">
        <v>190</v>
      </c>
      <c r="BB18" t="s">
        <v>191</v>
      </c>
      <c r="BC18" t="s">
        <v>182</v>
      </c>
      <c r="BD18" t="s">
        <v>182</v>
      </c>
      <c r="BE18" t="s">
        <v>498</v>
      </c>
      <c r="BF18">
        <v>1</v>
      </c>
      <c r="BG18">
        <v>1</v>
      </c>
      <c r="BH18">
        <v>1970</v>
      </c>
      <c r="BI18" t="s">
        <v>499</v>
      </c>
      <c r="BJ18" t="s">
        <v>194</v>
      </c>
      <c r="BK18" t="s">
        <v>195</v>
      </c>
      <c r="BL18" t="s">
        <v>500</v>
      </c>
      <c r="BM18" t="s">
        <v>501</v>
      </c>
      <c r="BN18" t="s">
        <v>182</v>
      </c>
      <c r="BO18" t="s">
        <v>502</v>
      </c>
      <c r="BP18" t="s">
        <v>503</v>
      </c>
      <c r="BS18" t="s">
        <v>504</v>
      </c>
      <c r="BT18" t="s">
        <v>198</v>
      </c>
      <c r="BU18" t="s">
        <v>182</v>
      </c>
      <c r="BV18" t="s">
        <v>198</v>
      </c>
      <c r="BW18" t="s">
        <v>198</v>
      </c>
      <c r="BX18" t="s">
        <v>199</v>
      </c>
      <c r="BY18" t="s">
        <v>198</v>
      </c>
      <c r="BZ18" t="s">
        <v>199</v>
      </c>
      <c r="CA18" t="s">
        <v>199</v>
      </c>
      <c r="CB18" t="s">
        <v>505</v>
      </c>
      <c r="CC18" t="s">
        <v>201</v>
      </c>
      <c r="CD18" t="s">
        <v>182</v>
      </c>
      <c r="CE18" t="s">
        <v>506</v>
      </c>
      <c r="CF18" t="s">
        <v>425</v>
      </c>
      <c r="CG18" t="s">
        <v>177</v>
      </c>
      <c r="CH18" t="s">
        <v>421</v>
      </c>
      <c r="CI18" t="s">
        <v>507</v>
      </c>
      <c r="CJ18" t="s">
        <v>487</v>
      </c>
      <c r="CK18" t="s">
        <v>232</v>
      </c>
      <c r="CL18" t="s">
        <v>233</v>
      </c>
      <c r="CM18" t="s">
        <v>508</v>
      </c>
      <c r="CN18" t="s">
        <v>331</v>
      </c>
      <c r="CO18" t="s">
        <v>183</v>
      </c>
      <c r="CP18" t="s">
        <v>266</v>
      </c>
      <c r="CS18" t="s">
        <v>198</v>
      </c>
      <c r="CT18" t="s">
        <v>306</v>
      </c>
      <c r="CU18" t="s">
        <v>292</v>
      </c>
      <c r="CV18" t="s">
        <v>293</v>
      </c>
      <c r="CW18" t="s">
        <v>509</v>
      </c>
      <c r="CX18" t="s">
        <v>278</v>
      </c>
      <c r="CY18" t="s">
        <v>183</v>
      </c>
      <c r="CZ18" t="s">
        <v>211</v>
      </c>
      <c r="DA18" t="s">
        <v>298</v>
      </c>
      <c r="DC18" t="s">
        <v>457</v>
      </c>
      <c r="DD18" t="s">
        <v>460</v>
      </c>
      <c r="DE18" t="s">
        <v>267</v>
      </c>
      <c r="DF18" t="s">
        <v>268</v>
      </c>
      <c r="DG18" t="s">
        <v>510</v>
      </c>
      <c r="DH18" t="s">
        <v>511</v>
      </c>
      <c r="DI18" t="s">
        <v>183</v>
      </c>
      <c r="DJ18" t="s">
        <v>211</v>
      </c>
      <c r="DK18" t="s">
        <v>270</v>
      </c>
      <c r="DM18" t="s">
        <v>512</v>
      </c>
      <c r="DN18" t="s">
        <v>444</v>
      </c>
      <c r="DO18" t="s">
        <v>273</v>
      </c>
      <c r="DP18" t="s">
        <v>274</v>
      </c>
      <c r="DQ18" t="s">
        <v>513</v>
      </c>
      <c r="DR18" t="s">
        <v>514</v>
      </c>
      <c r="DS18" t="s">
        <v>183</v>
      </c>
      <c r="DT18" t="s">
        <v>211</v>
      </c>
      <c r="DU18" t="s">
        <v>296</v>
      </c>
      <c r="DW18" t="s">
        <v>515</v>
      </c>
      <c r="DX18" t="s">
        <v>487</v>
      </c>
      <c r="DY18" t="s">
        <v>302</v>
      </c>
      <c r="DZ18" t="s">
        <v>303</v>
      </c>
      <c r="EA18" t="s">
        <v>516</v>
      </c>
      <c r="EB18" t="s">
        <v>305</v>
      </c>
      <c r="EC18" t="s">
        <v>183</v>
      </c>
      <c r="ED18" t="s">
        <v>211</v>
      </c>
      <c r="EE18" t="s">
        <v>444</v>
      </c>
      <c r="EG18" t="s">
        <v>515</v>
      </c>
      <c r="EH18" t="s">
        <v>517</v>
      </c>
      <c r="EI18" t="s">
        <v>238</v>
      </c>
      <c r="EJ18" t="s">
        <v>239</v>
      </c>
      <c r="EK18" t="s">
        <v>518</v>
      </c>
      <c r="EL18" t="s">
        <v>519</v>
      </c>
      <c r="EM18" t="s">
        <v>183</v>
      </c>
      <c r="EN18" t="s">
        <v>211</v>
      </c>
      <c r="EO18" t="s">
        <v>298</v>
      </c>
      <c r="EQ18" t="s">
        <v>520</v>
      </c>
      <c r="ER18" t="s">
        <v>487</v>
      </c>
      <c r="ES18" t="s">
        <v>346</v>
      </c>
      <c r="ET18" t="s">
        <v>347</v>
      </c>
      <c r="EU18" t="s">
        <v>521</v>
      </c>
      <c r="EV18" t="s">
        <v>391</v>
      </c>
      <c r="EW18" t="s">
        <v>183</v>
      </c>
      <c r="EX18" t="s">
        <v>211</v>
      </c>
      <c r="EY18" t="s">
        <v>298</v>
      </c>
      <c r="FA18" t="s">
        <v>522</v>
      </c>
      <c r="FB18" t="s">
        <v>523</v>
      </c>
      <c r="FC18" t="s">
        <v>207</v>
      </c>
      <c r="FD18" t="s">
        <v>208</v>
      </c>
      <c r="FE18" t="s">
        <v>524</v>
      </c>
      <c r="FF18" t="s">
        <v>210</v>
      </c>
      <c r="FG18" t="s">
        <v>183</v>
      </c>
      <c r="FH18" t="s">
        <v>211</v>
      </c>
      <c r="FI18" t="s">
        <v>525</v>
      </c>
      <c r="FK18" t="s">
        <v>522</v>
      </c>
      <c r="FU18" t="s">
        <v>198</v>
      </c>
    </row>
    <row r="19" spans="1:177">
      <c r="A19" s="1" t="str">
        <f>HYPERLINK("http://digipan.lumentumllc.com/apps/getLink/index.php?t=PropLink&amp;p=5246248","PL")</f>
        <v>PL</v>
      </c>
      <c r="B19" s="1" t="str">
        <f>HYPERLINK("http://digipan.lumentumllc.com/apps/getLink/index.php?t=TaxLink&amp;p=5246248","TL")</f>
        <v>TL</v>
      </c>
      <c r="C19" s="1" t="str">
        <f>HYPERLINK("http://digipan.lumentumllc.com/apps/getMap/index.php?p=5246248","Map")</f>
        <v>Map</v>
      </c>
      <c r="E19" t="s">
        <v>177</v>
      </c>
      <c r="F19" t="s">
        <v>178</v>
      </c>
      <c r="L19" t="s">
        <v>526</v>
      </c>
      <c r="N19" t="s">
        <v>526</v>
      </c>
      <c r="O19" t="s">
        <v>526</v>
      </c>
      <c r="P19" t="s">
        <v>527</v>
      </c>
      <c r="Q19" t="s">
        <v>526</v>
      </c>
      <c r="V19">
        <v>23</v>
      </c>
      <c r="W19">
        <v>1</v>
      </c>
      <c r="X19">
        <v>2017</v>
      </c>
      <c r="Y19">
        <v>2018</v>
      </c>
      <c r="Z19">
        <v>627.91</v>
      </c>
      <c r="AB19" t="s">
        <v>181</v>
      </c>
      <c r="AC19" t="s">
        <v>182</v>
      </c>
      <c r="AD19" t="s">
        <v>183</v>
      </c>
      <c r="AE19">
        <v>0</v>
      </c>
      <c r="AF19">
        <v>7</v>
      </c>
      <c r="AG19" t="s">
        <v>528</v>
      </c>
      <c r="AH19">
        <v>100</v>
      </c>
      <c r="AK19">
        <v>0</v>
      </c>
      <c r="AL19">
        <v>41809</v>
      </c>
      <c r="AM19">
        <v>21000</v>
      </c>
      <c r="AN19">
        <v>20809</v>
      </c>
      <c r="AO19">
        <v>450</v>
      </c>
      <c r="AP19">
        <v>2016</v>
      </c>
      <c r="AQ19">
        <v>1.5</v>
      </c>
      <c r="AS19" t="s">
        <v>529</v>
      </c>
      <c r="AT19" t="s">
        <v>420</v>
      </c>
      <c r="AU19" t="s">
        <v>177</v>
      </c>
      <c r="AV19" t="s">
        <v>421</v>
      </c>
      <c r="AW19" t="s">
        <v>182</v>
      </c>
      <c r="AX19">
        <v>2</v>
      </c>
      <c r="AY19" t="s">
        <v>188</v>
      </c>
      <c r="AZ19" t="s">
        <v>189</v>
      </c>
      <c r="BA19" t="s">
        <v>190</v>
      </c>
      <c r="BB19" t="s">
        <v>191</v>
      </c>
      <c r="BC19" t="s">
        <v>182</v>
      </c>
      <c r="BD19" t="s">
        <v>530</v>
      </c>
      <c r="BE19" t="s">
        <v>531</v>
      </c>
      <c r="BF19">
        <v>1</v>
      </c>
      <c r="BG19">
        <v>1</v>
      </c>
      <c r="BH19">
        <v>1988</v>
      </c>
      <c r="BI19" t="s">
        <v>532</v>
      </c>
      <c r="BJ19" t="s">
        <v>194</v>
      </c>
      <c r="BK19" t="s">
        <v>195</v>
      </c>
      <c r="BL19" t="s">
        <v>199</v>
      </c>
      <c r="BM19" t="s">
        <v>533</v>
      </c>
      <c r="BN19" t="s">
        <v>182</v>
      </c>
      <c r="BO19" t="s">
        <v>198</v>
      </c>
      <c r="BP19" t="s">
        <v>198</v>
      </c>
      <c r="BQ19" t="s">
        <v>198</v>
      </c>
      <c r="BR19" t="s">
        <v>198</v>
      </c>
      <c r="BS19" t="s">
        <v>198</v>
      </c>
      <c r="BT19" t="s">
        <v>198</v>
      </c>
      <c r="BU19" t="s">
        <v>182</v>
      </c>
      <c r="BV19" t="s">
        <v>198</v>
      </c>
      <c r="BW19" t="s">
        <v>198</v>
      </c>
      <c r="BX19" t="s">
        <v>199</v>
      </c>
      <c r="BY19" t="s">
        <v>198</v>
      </c>
      <c r="BZ19" t="s">
        <v>199</v>
      </c>
      <c r="CA19" t="s">
        <v>199</v>
      </c>
      <c r="CB19" t="s">
        <v>534</v>
      </c>
      <c r="CC19" t="s">
        <v>201</v>
      </c>
      <c r="CD19" t="s">
        <v>182</v>
      </c>
      <c r="CE19" t="s">
        <v>535</v>
      </c>
      <c r="CF19" t="s">
        <v>536</v>
      </c>
      <c r="CG19" t="s">
        <v>177</v>
      </c>
      <c r="CH19" t="s">
        <v>537</v>
      </c>
      <c r="CI19" t="s">
        <v>538</v>
      </c>
      <c r="CJ19" t="s">
        <v>444</v>
      </c>
      <c r="CK19" t="s">
        <v>232</v>
      </c>
      <c r="CL19" t="s">
        <v>233</v>
      </c>
      <c r="CM19" t="s">
        <v>539</v>
      </c>
      <c r="CN19" t="s">
        <v>235</v>
      </c>
      <c r="CO19" t="s">
        <v>183</v>
      </c>
      <c r="CP19" t="s">
        <v>211</v>
      </c>
      <c r="CQ19" t="s">
        <v>270</v>
      </c>
      <c r="CS19" t="s">
        <v>540</v>
      </c>
      <c r="CT19" t="s">
        <v>460</v>
      </c>
      <c r="CU19" t="s">
        <v>292</v>
      </c>
      <c r="CV19" t="s">
        <v>293</v>
      </c>
      <c r="CW19" t="s">
        <v>541</v>
      </c>
      <c r="CX19" t="s">
        <v>295</v>
      </c>
      <c r="CY19" t="s">
        <v>183</v>
      </c>
      <c r="CZ19" t="s">
        <v>211</v>
      </c>
      <c r="DA19" t="s">
        <v>342</v>
      </c>
      <c r="DC19" t="s">
        <v>542</v>
      </c>
      <c r="DD19" t="s">
        <v>487</v>
      </c>
      <c r="DE19" t="s">
        <v>267</v>
      </c>
      <c r="DF19" t="s">
        <v>268</v>
      </c>
      <c r="DG19" t="s">
        <v>543</v>
      </c>
      <c r="DH19" t="s">
        <v>235</v>
      </c>
      <c r="DI19" t="s">
        <v>183</v>
      </c>
      <c r="DJ19" t="s">
        <v>211</v>
      </c>
      <c r="DK19" t="s">
        <v>270</v>
      </c>
      <c r="DM19" t="s">
        <v>544</v>
      </c>
      <c r="DN19" t="s">
        <v>471</v>
      </c>
      <c r="DO19" t="s">
        <v>302</v>
      </c>
      <c r="DP19" t="s">
        <v>303</v>
      </c>
      <c r="DQ19" t="s">
        <v>545</v>
      </c>
      <c r="DR19" t="s">
        <v>305</v>
      </c>
      <c r="DS19" t="s">
        <v>183</v>
      </c>
      <c r="DT19" t="s">
        <v>211</v>
      </c>
      <c r="DU19" t="s">
        <v>329</v>
      </c>
      <c r="DW19" t="s">
        <v>546</v>
      </c>
      <c r="DX19" t="s">
        <v>547</v>
      </c>
      <c r="DY19" t="s">
        <v>238</v>
      </c>
      <c r="DZ19" t="s">
        <v>239</v>
      </c>
      <c r="EA19" t="s">
        <v>548</v>
      </c>
      <c r="EB19" t="s">
        <v>278</v>
      </c>
      <c r="EC19" t="s">
        <v>183</v>
      </c>
      <c r="ED19" t="s">
        <v>211</v>
      </c>
      <c r="EE19" t="s">
        <v>460</v>
      </c>
      <c r="EG19" t="s">
        <v>549</v>
      </c>
      <c r="EH19" t="s">
        <v>471</v>
      </c>
      <c r="EI19" t="s">
        <v>346</v>
      </c>
      <c r="EJ19" t="s">
        <v>347</v>
      </c>
      <c r="EK19" t="s">
        <v>550</v>
      </c>
      <c r="EL19" t="s">
        <v>247</v>
      </c>
      <c r="EM19" t="s">
        <v>183</v>
      </c>
      <c r="EN19" t="s">
        <v>211</v>
      </c>
      <c r="EO19" t="s">
        <v>342</v>
      </c>
      <c r="EQ19" t="s">
        <v>551</v>
      </c>
      <c r="ER19" t="s">
        <v>345</v>
      </c>
      <c r="ES19" t="s">
        <v>207</v>
      </c>
      <c r="ET19" t="s">
        <v>208</v>
      </c>
      <c r="EU19" t="s">
        <v>552</v>
      </c>
      <c r="EV19" t="s">
        <v>210</v>
      </c>
      <c r="EW19" t="s">
        <v>183</v>
      </c>
      <c r="EX19" t="s">
        <v>211</v>
      </c>
      <c r="EY19" t="s">
        <v>342</v>
      </c>
      <c r="FA19" t="s">
        <v>553</v>
      </c>
      <c r="FK19" t="s">
        <v>198</v>
      </c>
      <c r="FU19" t="s">
        <v>198</v>
      </c>
    </row>
    <row r="20" spans="1:177">
      <c r="A20" s="1" t="str">
        <f>HYPERLINK("http://digipan.lumentumllc.com/apps/getLink/index.php?t=PropLink&amp;p=5246330","PL")</f>
        <v>PL</v>
      </c>
      <c r="B20" s="1" t="str">
        <f>HYPERLINK("http://digipan.lumentumllc.com/apps/getLink/index.php?t=TaxLink&amp;p=5246330","TL")</f>
        <v>TL</v>
      </c>
      <c r="C20" s="1" t="str">
        <f>HYPERLINK("http://digipan.lumentumllc.com/apps/getMap/index.php?p=5246330","Map")</f>
        <v>Map</v>
      </c>
      <c r="E20" t="s">
        <v>177</v>
      </c>
      <c r="F20" t="s">
        <v>178</v>
      </c>
      <c r="L20" t="s">
        <v>554</v>
      </c>
      <c r="N20" t="s">
        <v>554</v>
      </c>
      <c r="O20" t="s">
        <v>554</v>
      </c>
      <c r="P20" t="s">
        <v>555</v>
      </c>
      <c r="Q20" t="s">
        <v>554</v>
      </c>
      <c r="V20">
        <v>24</v>
      </c>
      <c r="W20">
        <v>1</v>
      </c>
      <c r="X20">
        <v>2017</v>
      </c>
      <c r="Y20">
        <v>2018</v>
      </c>
      <c r="Z20">
        <v>3183.03</v>
      </c>
      <c r="AB20" t="s">
        <v>181</v>
      </c>
      <c r="AC20" t="s">
        <v>182</v>
      </c>
      <c r="AD20" t="s">
        <v>183</v>
      </c>
      <c r="AE20">
        <v>0</v>
      </c>
      <c r="AF20">
        <v>3</v>
      </c>
      <c r="AG20" t="s">
        <v>216</v>
      </c>
      <c r="AH20">
        <v>100</v>
      </c>
      <c r="AK20">
        <v>0</v>
      </c>
      <c r="AL20">
        <v>306557</v>
      </c>
      <c r="AM20">
        <v>61620</v>
      </c>
      <c r="AN20">
        <v>244937</v>
      </c>
      <c r="AO20">
        <v>2891</v>
      </c>
      <c r="AP20">
        <v>2016</v>
      </c>
      <c r="AQ20">
        <v>1.04</v>
      </c>
      <c r="AS20" t="s">
        <v>556</v>
      </c>
      <c r="AT20" t="s">
        <v>420</v>
      </c>
      <c r="AU20" t="s">
        <v>177</v>
      </c>
      <c r="AV20" t="s">
        <v>421</v>
      </c>
      <c r="AW20" t="s">
        <v>202</v>
      </c>
      <c r="AX20">
        <v>1</v>
      </c>
      <c r="AY20" t="s">
        <v>188</v>
      </c>
      <c r="AZ20" t="s">
        <v>206</v>
      </c>
      <c r="BA20" t="s">
        <v>355</v>
      </c>
      <c r="BB20" t="s">
        <v>191</v>
      </c>
      <c r="BC20" t="s">
        <v>182</v>
      </c>
      <c r="BD20" t="s">
        <v>182</v>
      </c>
      <c r="BE20" t="s">
        <v>557</v>
      </c>
      <c r="BF20">
        <v>2</v>
      </c>
      <c r="BG20">
        <v>2</v>
      </c>
      <c r="BH20">
        <v>2002</v>
      </c>
      <c r="BI20" t="s">
        <v>558</v>
      </c>
      <c r="BJ20" t="s">
        <v>194</v>
      </c>
      <c r="BK20" t="s">
        <v>195</v>
      </c>
      <c r="BL20" t="s">
        <v>199</v>
      </c>
      <c r="BM20" t="s">
        <v>559</v>
      </c>
      <c r="BN20" t="s">
        <v>182</v>
      </c>
      <c r="BO20" t="s">
        <v>560</v>
      </c>
      <c r="BP20" t="s">
        <v>561</v>
      </c>
      <c r="BQ20" t="s">
        <v>562</v>
      </c>
      <c r="BR20" t="s">
        <v>563</v>
      </c>
      <c r="BS20" t="s">
        <v>198</v>
      </c>
      <c r="BT20" t="s">
        <v>564</v>
      </c>
      <c r="BU20" t="s">
        <v>182</v>
      </c>
      <c r="BV20" t="s">
        <v>198</v>
      </c>
      <c r="BW20" t="s">
        <v>198</v>
      </c>
      <c r="BX20" t="s">
        <v>199</v>
      </c>
      <c r="BY20" t="s">
        <v>198</v>
      </c>
      <c r="BZ20" t="s">
        <v>199</v>
      </c>
      <c r="CA20" t="s">
        <v>199</v>
      </c>
      <c r="CB20" t="s">
        <v>565</v>
      </c>
      <c r="CC20" t="s">
        <v>201</v>
      </c>
      <c r="CD20" t="s">
        <v>182</v>
      </c>
      <c r="CE20" t="s">
        <v>566</v>
      </c>
      <c r="CF20" t="s">
        <v>425</v>
      </c>
      <c r="CG20" t="s">
        <v>177</v>
      </c>
      <c r="CH20" t="s">
        <v>421</v>
      </c>
      <c r="CI20" t="s">
        <v>567</v>
      </c>
      <c r="CJ20" t="s">
        <v>493</v>
      </c>
      <c r="CK20" t="s">
        <v>273</v>
      </c>
      <c r="CL20" t="s">
        <v>274</v>
      </c>
      <c r="CM20" t="s">
        <v>568</v>
      </c>
      <c r="CN20" t="s">
        <v>235</v>
      </c>
      <c r="CO20" t="s">
        <v>183</v>
      </c>
      <c r="CP20" t="s">
        <v>211</v>
      </c>
      <c r="CQ20" t="s">
        <v>206</v>
      </c>
      <c r="CS20" t="s">
        <v>569</v>
      </c>
      <c r="CT20" t="s">
        <v>493</v>
      </c>
      <c r="CU20" t="s">
        <v>346</v>
      </c>
      <c r="CV20" t="s">
        <v>347</v>
      </c>
      <c r="CW20" t="s">
        <v>570</v>
      </c>
      <c r="CX20" t="s">
        <v>235</v>
      </c>
      <c r="CY20" t="s">
        <v>183</v>
      </c>
      <c r="CZ20" t="s">
        <v>211</v>
      </c>
      <c r="DA20" t="s">
        <v>199</v>
      </c>
      <c r="DC20" t="s">
        <v>571</v>
      </c>
      <c r="DD20" t="s">
        <v>337</v>
      </c>
      <c r="DE20" t="s">
        <v>207</v>
      </c>
      <c r="DF20" t="s">
        <v>208</v>
      </c>
      <c r="DG20" t="s">
        <v>572</v>
      </c>
      <c r="DH20" t="s">
        <v>235</v>
      </c>
      <c r="DI20" t="s">
        <v>183</v>
      </c>
      <c r="DJ20" t="s">
        <v>211</v>
      </c>
      <c r="DK20" t="s">
        <v>206</v>
      </c>
      <c r="DM20" t="s">
        <v>573</v>
      </c>
      <c r="DW20" t="s">
        <v>198</v>
      </c>
      <c r="EG20" t="s">
        <v>198</v>
      </c>
      <c r="EQ20" t="s">
        <v>198</v>
      </c>
      <c r="FA20" t="s">
        <v>198</v>
      </c>
      <c r="FK20" t="s">
        <v>198</v>
      </c>
      <c r="FU20" t="s">
        <v>198</v>
      </c>
    </row>
    <row r="21" spans="1:177">
      <c r="A21" s="1" t="str">
        <f>HYPERLINK("http://digipan.lumentumllc.com/apps/getLink/index.php?t=PropLink&amp;p=15748081","PL")</f>
        <v>PL</v>
      </c>
      <c r="B21" s="1" t="str">
        <f>HYPERLINK("http://digipan.lumentumllc.com/apps/getLink/index.php?t=TaxLink&amp;p=15748081","TL")</f>
        <v>TL</v>
      </c>
      <c r="C21" s="1" t="str">
        <f>HYPERLINK("http://digipan.lumentumllc.com/apps/getMap/index.php?p=15748081","Map")</f>
        <v>Map</v>
      </c>
      <c r="E21" t="s">
        <v>177</v>
      </c>
      <c r="F21" t="s">
        <v>178</v>
      </c>
      <c r="L21" t="s">
        <v>574</v>
      </c>
      <c r="N21" t="s">
        <v>574</v>
      </c>
      <c r="O21" t="s">
        <v>574</v>
      </c>
      <c r="Q21" t="s">
        <v>574</v>
      </c>
      <c r="V21">
        <v>25</v>
      </c>
      <c r="W21">
        <v>1</v>
      </c>
      <c r="X21">
        <v>2017</v>
      </c>
      <c r="Y21">
        <v>2018</v>
      </c>
      <c r="Z21">
        <v>2386.08</v>
      </c>
      <c r="AG21" t="s">
        <v>184</v>
      </c>
      <c r="AH21">
        <v>0</v>
      </c>
      <c r="AK21">
        <v>0</v>
      </c>
      <c r="AL21">
        <v>143781</v>
      </c>
      <c r="AM21">
        <v>60000</v>
      </c>
      <c r="AN21">
        <v>83781</v>
      </c>
      <c r="AO21">
        <v>2016</v>
      </c>
      <c r="AP21">
        <v>2016</v>
      </c>
      <c r="AQ21">
        <v>1.66</v>
      </c>
      <c r="AS21" t="s">
        <v>575</v>
      </c>
      <c r="AT21" t="s">
        <v>420</v>
      </c>
      <c r="AU21" t="s">
        <v>177</v>
      </c>
      <c r="AV21" t="s">
        <v>421</v>
      </c>
      <c r="AW21" t="s">
        <v>182</v>
      </c>
      <c r="AX21">
        <v>2</v>
      </c>
      <c r="AY21" t="s">
        <v>188</v>
      </c>
      <c r="AZ21" t="s">
        <v>189</v>
      </c>
      <c r="BA21" t="s">
        <v>190</v>
      </c>
      <c r="BB21" t="s">
        <v>191</v>
      </c>
      <c r="BC21" t="s">
        <v>182</v>
      </c>
      <c r="BD21" t="s">
        <v>182</v>
      </c>
      <c r="BE21" t="s">
        <v>576</v>
      </c>
      <c r="BF21">
        <v>1</v>
      </c>
      <c r="BG21">
        <v>1</v>
      </c>
      <c r="BH21">
        <v>1997</v>
      </c>
      <c r="BI21" t="s">
        <v>577</v>
      </c>
      <c r="BJ21" t="s">
        <v>194</v>
      </c>
      <c r="BK21" t="s">
        <v>195</v>
      </c>
      <c r="BL21" t="s">
        <v>578</v>
      </c>
      <c r="BM21" t="s">
        <v>232</v>
      </c>
      <c r="BN21" t="s">
        <v>182</v>
      </c>
      <c r="BO21" t="s">
        <v>579</v>
      </c>
      <c r="BP21" t="s">
        <v>580</v>
      </c>
      <c r="BQ21" t="s">
        <v>581</v>
      </c>
      <c r="BR21" t="s">
        <v>582</v>
      </c>
      <c r="BS21" t="s">
        <v>198</v>
      </c>
      <c r="BT21" t="s">
        <v>583</v>
      </c>
      <c r="BU21" t="s">
        <v>182</v>
      </c>
      <c r="BV21" t="s">
        <v>198</v>
      </c>
      <c r="BW21" t="s">
        <v>198</v>
      </c>
      <c r="BX21" t="s">
        <v>199</v>
      </c>
      <c r="BY21" t="s">
        <v>198</v>
      </c>
      <c r="BZ21" t="s">
        <v>199</v>
      </c>
      <c r="CA21" t="s">
        <v>199</v>
      </c>
      <c r="CB21" t="s">
        <v>584</v>
      </c>
      <c r="CC21" t="s">
        <v>201</v>
      </c>
      <c r="CD21" t="s">
        <v>182</v>
      </c>
      <c r="CE21" t="s">
        <v>585</v>
      </c>
      <c r="CF21" t="s">
        <v>425</v>
      </c>
      <c r="CG21" t="s">
        <v>177</v>
      </c>
      <c r="CH21" t="s">
        <v>421</v>
      </c>
      <c r="CI21" t="s">
        <v>586</v>
      </c>
      <c r="CS21" t="s">
        <v>198</v>
      </c>
      <c r="DC21" t="s">
        <v>198</v>
      </c>
      <c r="DM21" t="s">
        <v>198</v>
      </c>
      <c r="DW21" t="s">
        <v>198</v>
      </c>
      <c r="EG21" t="s">
        <v>198</v>
      </c>
      <c r="EQ21" t="s">
        <v>198</v>
      </c>
      <c r="FA21" t="s">
        <v>198</v>
      </c>
      <c r="FK21" t="s">
        <v>198</v>
      </c>
      <c r="FU21" t="s">
        <v>198</v>
      </c>
    </row>
    <row r="22" spans="1:177">
      <c r="A22" s="1" t="str">
        <f>HYPERLINK("http://digipan.lumentumllc.com/apps/getLink/index.php?t=PropLink&amp;p=41029618","PL")</f>
        <v>PL</v>
      </c>
      <c r="B22" s="1" t="str">
        <f>HYPERLINK("http://digipan.lumentumllc.com/apps/getLink/index.php?t=TaxLink&amp;p=41029618","TL")</f>
        <v>TL</v>
      </c>
      <c r="C22" s="1" t="str">
        <f>HYPERLINK("","")</f>
        <v/>
      </c>
      <c r="E22" t="s">
        <v>177</v>
      </c>
      <c r="F22" t="s">
        <v>178</v>
      </c>
      <c r="L22" t="s">
        <v>587</v>
      </c>
      <c r="N22" t="s">
        <v>587</v>
      </c>
      <c r="O22" t="s">
        <v>587</v>
      </c>
      <c r="Q22" t="s">
        <v>587</v>
      </c>
      <c r="V22">
        <v>26</v>
      </c>
      <c r="W22">
        <v>1</v>
      </c>
      <c r="X22">
        <v>2017</v>
      </c>
      <c r="Y22">
        <v>2018</v>
      </c>
      <c r="Z22">
        <v>909.87</v>
      </c>
      <c r="AG22" t="s">
        <v>184</v>
      </c>
      <c r="AH22">
        <v>0</v>
      </c>
      <c r="AK22">
        <v>0</v>
      </c>
      <c r="AL22">
        <v>98858</v>
      </c>
      <c r="AM22">
        <v>26760</v>
      </c>
      <c r="AN22">
        <v>72098</v>
      </c>
      <c r="AQ22">
        <v>0.92</v>
      </c>
      <c r="AS22" t="s">
        <v>588</v>
      </c>
      <c r="AT22" t="s">
        <v>420</v>
      </c>
      <c r="AU22" t="s">
        <v>177</v>
      </c>
      <c r="AV22" t="s">
        <v>421</v>
      </c>
      <c r="AW22" t="s">
        <v>182</v>
      </c>
      <c r="AX22">
        <v>50</v>
      </c>
      <c r="AY22" t="s">
        <v>218</v>
      </c>
      <c r="AZ22" t="s">
        <v>589</v>
      </c>
      <c r="BA22" t="s">
        <v>590</v>
      </c>
      <c r="BB22" t="s">
        <v>191</v>
      </c>
      <c r="BC22" t="s">
        <v>202</v>
      </c>
      <c r="BD22" t="s">
        <v>182</v>
      </c>
      <c r="BE22" t="s">
        <v>576</v>
      </c>
      <c r="BF22">
        <v>1</v>
      </c>
      <c r="BG22">
        <v>1</v>
      </c>
      <c r="BH22">
        <v>1990</v>
      </c>
      <c r="BI22" t="s">
        <v>591</v>
      </c>
      <c r="BJ22" t="s">
        <v>194</v>
      </c>
      <c r="BK22" t="s">
        <v>195</v>
      </c>
      <c r="BL22" t="s">
        <v>592</v>
      </c>
      <c r="BM22" t="s">
        <v>197</v>
      </c>
      <c r="BN22" t="s">
        <v>182</v>
      </c>
      <c r="BO22" t="s">
        <v>198</v>
      </c>
      <c r="BP22" t="s">
        <v>198</v>
      </c>
      <c r="BQ22" t="s">
        <v>198</v>
      </c>
      <c r="BR22" t="s">
        <v>198</v>
      </c>
      <c r="BS22" t="s">
        <v>198</v>
      </c>
      <c r="BT22" t="s">
        <v>198</v>
      </c>
      <c r="BU22" t="s">
        <v>182</v>
      </c>
      <c r="BV22" t="s">
        <v>198</v>
      </c>
      <c r="BW22" t="s">
        <v>198</v>
      </c>
      <c r="BX22" t="s">
        <v>199</v>
      </c>
      <c r="BY22" t="s">
        <v>198</v>
      </c>
      <c r="CB22" t="s">
        <v>593</v>
      </c>
      <c r="CC22" t="s">
        <v>201</v>
      </c>
      <c r="CD22" t="s">
        <v>182</v>
      </c>
      <c r="CE22" t="s">
        <v>594</v>
      </c>
      <c r="CF22" t="s">
        <v>425</v>
      </c>
      <c r="CG22" t="s">
        <v>177</v>
      </c>
      <c r="CH22" t="s">
        <v>421</v>
      </c>
      <c r="CI22" t="s">
        <v>595</v>
      </c>
      <c r="CS22" t="s">
        <v>198</v>
      </c>
      <c r="DC22" t="s">
        <v>198</v>
      </c>
      <c r="DM22" t="s">
        <v>198</v>
      </c>
      <c r="DW22" t="s">
        <v>198</v>
      </c>
      <c r="EG22" t="s">
        <v>198</v>
      </c>
      <c r="EQ22" t="s">
        <v>198</v>
      </c>
      <c r="FA22" t="s">
        <v>198</v>
      </c>
      <c r="FK22" t="s">
        <v>198</v>
      </c>
      <c r="FU22" t="s">
        <v>198</v>
      </c>
    </row>
    <row r="23" spans="1:177">
      <c r="A23" s="1" t="str">
        <f>HYPERLINK("http://digipan.lumentumllc.com/apps/getLink/index.php?t=PropLink&amp;p=5246402","PL")</f>
        <v>PL</v>
      </c>
      <c r="B23" s="1" t="str">
        <f>HYPERLINK("http://digipan.lumentumllc.com/apps/getLink/index.php?t=TaxLink&amp;p=5246402","TL")</f>
        <v>TL</v>
      </c>
      <c r="C23" s="1" t="str">
        <f>HYPERLINK("http://digipan.lumentumllc.com/apps/getMap/index.php?p=5246402","Map")</f>
        <v>Map</v>
      </c>
      <c r="E23" t="s">
        <v>177</v>
      </c>
      <c r="F23" t="s">
        <v>178</v>
      </c>
      <c r="L23" t="s">
        <v>596</v>
      </c>
      <c r="N23" t="s">
        <v>596</v>
      </c>
      <c r="O23" t="s">
        <v>596</v>
      </c>
      <c r="P23" t="s">
        <v>597</v>
      </c>
      <c r="Q23" t="s">
        <v>596</v>
      </c>
      <c r="V23">
        <v>27</v>
      </c>
      <c r="W23">
        <v>1</v>
      </c>
      <c r="X23">
        <v>2017</v>
      </c>
      <c r="Y23">
        <v>2018</v>
      </c>
      <c r="Z23">
        <v>901.6</v>
      </c>
      <c r="AB23" t="s">
        <v>181</v>
      </c>
      <c r="AC23" t="s">
        <v>182</v>
      </c>
      <c r="AD23" t="s">
        <v>183</v>
      </c>
      <c r="AE23">
        <v>0</v>
      </c>
      <c r="AF23">
        <v>3</v>
      </c>
      <c r="AG23" t="s">
        <v>216</v>
      </c>
      <c r="AH23">
        <v>100</v>
      </c>
      <c r="AK23">
        <v>0</v>
      </c>
      <c r="AL23">
        <v>53112</v>
      </c>
      <c r="AM23">
        <v>53112</v>
      </c>
      <c r="AN23">
        <v>0</v>
      </c>
      <c r="AO23">
        <v>815</v>
      </c>
      <c r="AP23">
        <v>2016</v>
      </c>
      <c r="AQ23">
        <v>1.7</v>
      </c>
      <c r="AS23" t="s">
        <v>598</v>
      </c>
      <c r="AT23" t="s">
        <v>420</v>
      </c>
      <c r="AU23" t="s">
        <v>177</v>
      </c>
      <c r="AV23" t="s">
        <v>421</v>
      </c>
      <c r="AW23" t="s">
        <v>182</v>
      </c>
      <c r="AX23">
        <v>0</v>
      </c>
      <c r="AY23" t="s">
        <v>312</v>
      </c>
      <c r="AZ23" t="s">
        <v>199</v>
      </c>
      <c r="BA23" t="s">
        <v>313</v>
      </c>
      <c r="BB23" t="s">
        <v>191</v>
      </c>
      <c r="BC23" t="s">
        <v>182</v>
      </c>
      <c r="BD23" t="s">
        <v>182</v>
      </c>
      <c r="BE23" t="s">
        <v>599</v>
      </c>
      <c r="BF23">
        <v>0</v>
      </c>
      <c r="BG23">
        <v>0</v>
      </c>
      <c r="BH23">
        <v>0</v>
      </c>
      <c r="BI23" t="s">
        <v>199</v>
      </c>
      <c r="BJ23" t="s">
        <v>315</v>
      </c>
      <c r="BL23" t="s">
        <v>600</v>
      </c>
      <c r="BM23" t="s">
        <v>267</v>
      </c>
      <c r="BN23" t="s">
        <v>182</v>
      </c>
      <c r="BO23" t="s">
        <v>601</v>
      </c>
      <c r="BP23" t="s">
        <v>602</v>
      </c>
      <c r="BQ23" t="s">
        <v>603</v>
      </c>
      <c r="BR23" t="s">
        <v>563</v>
      </c>
      <c r="BS23" t="s">
        <v>198</v>
      </c>
      <c r="BT23" t="s">
        <v>604</v>
      </c>
      <c r="BU23" t="s">
        <v>182</v>
      </c>
      <c r="BV23" t="s">
        <v>198</v>
      </c>
      <c r="BW23" t="s">
        <v>198</v>
      </c>
      <c r="BX23" t="s">
        <v>199</v>
      </c>
      <c r="BY23" t="s">
        <v>198</v>
      </c>
      <c r="BZ23" t="s">
        <v>199</v>
      </c>
      <c r="CA23" t="s">
        <v>199</v>
      </c>
      <c r="CB23" t="s">
        <v>605</v>
      </c>
      <c r="CC23" t="s">
        <v>201</v>
      </c>
      <c r="CD23" t="s">
        <v>182</v>
      </c>
      <c r="CE23" t="s">
        <v>606</v>
      </c>
      <c r="CF23" t="s">
        <v>607</v>
      </c>
      <c r="CG23" t="s">
        <v>608</v>
      </c>
      <c r="CH23" t="s">
        <v>609</v>
      </c>
      <c r="CI23" t="s">
        <v>610</v>
      </c>
      <c r="CJ23" t="s">
        <v>611</v>
      </c>
      <c r="CK23" t="s">
        <v>238</v>
      </c>
      <c r="CL23" t="s">
        <v>239</v>
      </c>
      <c r="CM23" t="s">
        <v>612</v>
      </c>
      <c r="CN23" t="s">
        <v>331</v>
      </c>
      <c r="CO23" t="s">
        <v>183</v>
      </c>
      <c r="CP23" t="s">
        <v>211</v>
      </c>
      <c r="CQ23" t="s">
        <v>296</v>
      </c>
      <c r="CS23" t="s">
        <v>613</v>
      </c>
      <c r="CT23" t="s">
        <v>334</v>
      </c>
      <c r="CU23" t="s">
        <v>346</v>
      </c>
      <c r="CV23" t="s">
        <v>347</v>
      </c>
      <c r="CW23" t="s">
        <v>614</v>
      </c>
      <c r="CX23" t="s">
        <v>615</v>
      </c>
      <c r="CY23" t="s">
        <v>183</v>
      </c>
      <c r="CZ23" t="s">
        <v>211</v>
      </c>
      <c r="DA23" t="s">
        <v>444</v>
      </c>
      <c r="DC23" t="s">
        <v>613</v>
      </c>
      <c r="DD23" t="s">
        <v>616</v>
      </c>
      <c r="DE23" t="s">
        <v>207</v>
      </c>
      <c r="DF23" t="s">
        <v>208</v>
      </c>
      <c r="DG23" t="s">
        <v>617</v>
      </c>
      <c r="DH23" t="s">
        <v>618</v>
      </c>
      <c r="DI23" t="s">
        <v>183</v>
      </c>
      <c r="DJ23" t="s">
        <v>211</v>
      </c>
      <c r="DK23" t="s">
        <v>345</v>
      </c>
      <c r="DM23" t="s">
        <v>619</v>
      </c>
      <c r="DW23" t="s">
        <v>198</v>
      </c>
      <c r="EG23" t="s">
        <v>198</v>
      </c>
      <c r="EQ23" t="s">
        <v>198</v>
      </c>
      <c r="FA23" t="s">
        <v>198</v>
      </c>
      <c r="FK23" t="s">
        <v>198</v>
      </c>
      <c r="FU23" t="s">
        <v>198</v>
      </c>
    </row>
    <row r="24" spans="1:177">
      <c r="A24" s="1" t="str">
        <f>HYPERLINK("http://digipan.lumentumllc.com/apps/getLink/index.php?t=PropLink&amp;p=5246403","PL")</f>
        <v>PL</v>
      </c>
      <c r="B24" s="1" t="str">
        <f>HYPERLINK("http://digipan.lumentumllc.com/apps/getLink/index.php?t=TaxLink&amp;p=5246403","TL")</f>
        <v>TL</v>
      </c>
      <c r="C24" s="1" t="str">
        <f>HYPERLINK("http://digipan.lumentumllc.com/apps/getMap/index.php?p=5246403","Map")</f>
        <v>Map</v>
      </c>
      <c r="E24" t="s">
        <v>177</v>
      </c>
      <c r="F24" t="s">
        <v>178</v>
      </c>
      <c r="L24" t="s">
        <v>620</v>
      </c>
      <c r="N24" t="s">
        <v>620</v>
      </c>
      <c r="O24" t="s">
        <v>620</v>
      </c>
      <c r="P24" t="s">
        <v>621</v>
      </c>
      <c r="Q24" t="s">
        <v>620</v>
      </c>
      <c r="V24">
        <v>28</v>
      </c>
      <c r="W24">
        <v>1</v>
      </c>
      <c r="X24">
        <v>2017</v>
      </c>
      <c r="Y24">
        <v>2018</v>
      </c>
      <c r="Z24">
        <v>502.56</v>
      </c>
      <c r="AB24" t="s">
        <v>181</v>
      </c>
      <c r="AC24" t="s">
        <v>182</v>
      </c>
      <c r="AD24" t="s">
        <v>183</v>
      </c>
      <c r="AE24">
        <v>1</v>
      </c>
      <c r="AF24">
        <v>3</v>
      </c>
      <c r="AG24" t="s">
        <v>363</v>
      </c>
      <c r="AH24">
        <v>67</v>
      </c>
      <c r="AI24">
        <v>504.15</v>
      </c>
      <c r="AJ24">
        <v>25.21</v>
      </c>
      <c r="AK24">
        <v>529.36</v>
      </c>
      <c r="AL24">
        <v>28740</v>
      </c>
      <c r="AM24">
        <v>28740</v>
      </c>
      <c r="AN24">
        <v>0</v>
      </c>
      <c r="AO24">
        <v>441</v>
      </c>
      <c r="AP24">
        <v>2016</v>
      </c>
      <c r="AQ24">
        <v>1.75</v>
      </c>
      <c r="AR24">
        <v>1.84</v>
      </c>
      <c r="AS24" t="s">
        <v>598</v>
      </c>
      <c r="AT24" t="s">
        <v>420</v>
      </c>
      <c r="AU24" t="s">
        <v>177</v>
      </c>
      <c r="AV24" t="s">
        <v>421</v>
      </c>
      <c r="AW24" t="s">
        <v>182</v>
      </c>
      <c r="AX24">
        <v>0</v>
      </c>
      <c r="AY24" t="s">
        <v>312</v>
      </c>
      <c r="AZ24" t="s">
        <v>199</v>
      </c>
      <c r="BA24" t="s">
        <v>313</v>
      </c>
      <c r="BB24" t="s">
        <v>191</v>
      </c>
      <c r="BC24" t="s">
        <v>182</v>
      </c>
      <c r="BD24" t="s">
        <v>182</v>
      </c>
      <c r="BE24" t="s">
        <v>622</v>
      </c>
      <c r="BF24">
        <v>0</v>
      </c>
      <c r="BG24">
        <v>0</v>
      </c>
      <c r="BH24">
        <v>0</v>
      </c>
      <c r="BI24" t="s">
        <v>199</v>
      </c>
      <c r="BJ24" t="s">
        <v>315</v>
      </c>
      <c r="BL24" t="s">
        <v>623</v>
      </c>
      <c r="BM24" t="s">
        <v>267</v>
      </c>
      <c r="BN24" t="s">
        <v>182</v>
      </c>
      <c r="BO24" t="s">
        <v>601</v>
      </c>
      <c r="BP24" t="s">
        <v>602</v>
      </c>
      <c r="BQ24" t="s">
        <v>603</v>
      </c>
      <c r="BR24" t="s">
        <v>563</v>
      </c>
      <c r="BS24" t="s">
        <v>198</v>
      </c>
      <c r="BT24" t="s">
        <v>604</v>
      </c>
      <c r="BU24" t="s">
        <v>182</v>
      </c>
      <c r="BV24" t="s">
        <v>198</v>
      </c>
      <c r="BW24" t="s">
        <v>198</v>
      </c>
      <c r="BX24" t="s">
        <v>199</v>
      </c>
      <c r="BY24" t="s">
        <v>198</v>
      </c>
      <c r="BZ24" t="s">
        <v>199</v>
      </c>
      <c r="CA24" t="s">
        <v>199</v>
      </c>
      <c r="CB24" t="s">
        <v>624</v>
      </c>
      <c r="CC24" t="s">
        <v>201</v>
      </c>
      <c r="CD24" t="s">
        <v>202</v>
      </c>
      <c r="CE24" t="s">
        <v>625</v>
      </c>
      <c r="CF24" t="s">
        <v>626</v>
      </c>
      <c r="CG24" t="s">
        <v>627</v>
      </c>
      <c r="CH24" t="s">
        <v>628</v>
      </c>
      <c r="CI24" t="s">
        <v>629</v>
      </c>
      <c r="CJ24" t="s">
        <v>523</v>
      </c>
      <c r="CK24" t="s">
        <v>232</v>
      </c>
      <c r="CL24" t="s">
        <v>233</v>
      </c>
      <c r="CM24" t="s">
        <v>630</v>
      </c>
      <c r="CN24" t="s">
        <v>331</v>
      </c>
      <c r="CO24" t="s">
        <v>183</v>
      </c>
      <c r="CP24" t="s">
        <v>266</v>
      </c>
      <c r="CS24" t="s">
        <v>198</v>
      </c>
      <c r="CT24" t="s">
        <v>631</v>
      </c>
      <c r="CU24" t="s">
        <v>238</v>
      </c>
      <c r="CV24" t="s">
        <v>239</v>
      </c>
      <c r="CW24" t="s">
        <v>632</v>
      </c>
      <c r="CX24" t="s">
        <v>331</v>
      </c>
      <c r="CY24" t="s">
        <v>183</v>
      </c>
      <c r="CZ24" t="s">
        <v>211</v>
      </c>
      <c r="DA24" t="s">
        <v>296</v>
      </c>
      <c r="DC24" t="s">
        <v>613</v>
      </c>
      <c r="DD24" t="s">
        <v>633</v>
      </c>
      <c r="DE24" t="s">
        <v>346</v>
      </c>
      <c r="DF24" t="s">
        <v>347</v>
      </c>
      <c r="DG24" t="s">
        <v>634</v>
      </c>
      <c r="DH24" t="s">
        <v>615</v>
      </c>
      <c r="DI24" t="s">
        <v>183</v>
      </c>
      <c r="DJ24" t="s">
        <v>211</v>
      </c>
      <c r="DK24" t="s">
        <v>444</v>
      </c>
      <c r="DM24" t="s">
        <v>613</v>
      </c>
      <c r="DN24" t="s">
        <v>635</v>
      </c>
      <c r="DO24" t="s">
        <v>207</v>
      </c>
      <c r="DP24" t="s">
        <v>208</v>
      </c>
      <c r="DQ24" t="s">
        <v>636</v>
      </c>
      <c r="DR24" t="s">
        <v>618</v>
      </c>
      <c r="DS24" t="s">
        <v>183</v>
      </c>
      <c r="DT24" t="s">
        <v>211</v>
      </c>
      <c r="DU24" t="s">
        <v>345</v>
      </c>
      <c r="DW24" t="s">
        <v>619</v>
      </c>
      <c r="EG24" t="s">
        <v>198</v>
      </c>
      <c r="EQ24" t="s">
        <v>198</v>
      </c>
      <c r="FA24" t="s">
        <v>198</v>
      </c>
      <c r="FK24" t="s">
        <v>198</v>
      </c>
      <c r="FU24" t="s">
        <v>198</v>
      </c>
    </row>
    <row r="25" spans="1:177">
      <c r="A25" s="1" t="str">
        <f>HYPERLINK("http://digipan.lumentumllc.com/apps/getLink/index.php?t=PropLink&amp;p=5246411","PL")</f>
        <v>PL</v>
      </c>
      <c r="B25" s="1" t="str">
        <f>HYPERLINK("http://digipan.lumentumllc.com/apps/getLink/index.php?t=TaxLink&amp;p=5246411","TL")</f>
        <v>TL</v>
      </c>
      <c r="C25" s="1" t="str">
        <f>HYPERLINK("http://digipan.lumentumllc.com/apps/getMap/index.php?p=5246411","Map")</f>
        <v>Map</v>
      </c>
      <c r="E25" t="s">
        <v>177</v>
      </c>
      <c r="F25" t="s">
        <v>178</v>
      </c>
      <c r="L25" t="s">
        <v>637</v>
      </c>
      <c r="N25" t="s">
        <v>637</v>
      </c>
      <c r="O25" t="s">
        <v>637</v>
      </c>
      <c r="P25" t="s">
        <v>638</v>
      </c>
      <c r="Q25" t="s">
        <v>637</v>
      </c>
      <c r="V25">
        <v>29</v>
      </c>
      <c r="W25">
        <v>1</v>
      </c>
      <c r="X25">
        <v>2017</v>
      </c>
      <c r="Y25">
        <v>2018</v>
      </c>
      <c r="Z25">
        <v>824.35</v>
      </c>
      <c r="AB25" t="s">
        <v>181</v>
      </c>
      <c r="AC25" t="s">
        <v>182</v>
      </c>
      <c r="AD25" t="s">
        <v>183</v>
      </c>
      <c r="AE25">
        <v>0</v>
      </c>
      <c r="AF25">
        <v>4</v>
      </c>
      <c r="AG25" t="s">
        <v>381</v>
      </c>
      <c r="AH25">
        <v>100</v>
      </c>
      <c r="AK25">
        <v>0</v>
      </c>
      <c r="AL25">
        <v>48395</v>
      </c>
      <c r="AM25">
        <v>48395</v>
      </c>
      <c r="AN25">
        <v>0</v>
      </c>
      <c r="AO25">
        <v>743</v>
      </c>
      <c r="AP25">
        <v>2016</v>
      </c>
      <c r="AQ25">
        <v>1.7</v>
      </c>
      <c r="AS25" t="s">
        <v>598</v>
      </c>
      <c r="AT25" t="s">
        <v>420</v>
      </c>
      <c r="AU25" t="s">
        <v>177</v>
      </c>
      <c r="AV25" t="s">
        <v>421</v>
      </c>
      <c r="AW25" t="s">
        <v>182</v>
      </c>
      <c r="AX25">
        <v>0</v>
      </c>
      <c r="AY25" t="s">
        <v>312</v>
      </c>
      <c r="AZ25" t="s">
        <v>199</v>
      </c>
      <c r="BA25" t="s">
        <v>313</v>
      </c>
      <c r="BB25" t="s">
        <v>191</v>
      </c>
      <c r="BC25" t="s">
        <v>182</v>
      </c>
      <c r="BD25" t="s">
        <v>182</v>
      </c>
      <c r="BE25" t="s">
        <v>639</v>
      </c>
      <c r="BF25">
        <v>0</v>
      </c>
      <c r="BG25">
        <v>0</v>
      </c>
      <c r="BH25">
        <v>0</v>
      </c>
      <c r="BI25" t="s">
        <v>199</v>
      </c>
      <c r="BJ25" t="s">
        <v>315</v>
      </c>
      <c r="BL25" t="s">
        <v>640</v>
      </c>
      <c r="BM25" t="s">
        <v>267</v>
      </c>
      <c r="BN25" t="s">
        <v>182</v>
      </c>
      <c r="BO25" t="s">
        <v>641</v>
      </c>
      <c r="BP25" t="s">
        <v>642</v>
      </c>
      <c r="BQ25" t="s">
        <v>603</v>
      </c>
      <c r="BR25" t="s">
        <v>643</v>
      </c>
      <c r="BS25" t="s">
        <v>198</v>
      </c>
      <c r="BT25" t="s">
        <v>644</v>
      </c>
      <c r="BU25" t="s">
        <v>182</v>
      </c>
      <c r="BV25" t="s">
        <v>198</v>
      </c>
      <c r="BW25" t="s">
        <v>198</v>
      </c>
      <c r="BX25" t="s">
        <v>199</v>
      </c>
      <c r="BY25" t="s">
        <v>198</v>
      </c>
      <c r="BZ25" t="s">
        <v>199</v>
      </c>
      <c r="CA25" t="s">
        <v>199</v>
      </c>
      <c r="CB25" t="s">
        <v>645</v>
      </c>
      <c r="CC25" t="s">
        <v>201</v>
      </c>
      <c r="CD25" t="s">
        <v>202</v>
      </c>
      <c r="CE25" t="s">
        <v>646</v>
      </c>
      <c r="CF25" t="s">
        <v>647</v>
      </c>
      <c r="CG25" t="s">
        <v>177</v>
      </c>
      <c r="CH25" t="s">
        <v>648</v>
      </c>
      <c r="CI25" t="s">
        <v>649</v>
      </c>
      <c r="CJ25" t="s">
        <v>493</v>
      </c>
      <c r="CK25" t="s">
        <v>267</v>
      </c>
      <c r="CL25" t="s">
        <v>268</v>
      </c>
      <c r="CM25" t="s">
        <v>650</v>
      </c>
      <c r="CN25" t="s">
        <v>331</v>
      </c>
      <c r="CO25" t="s">
        <v>183</v>
      </c>
      <c r="CP25" t="s">
        <v>211</v>
      </c>
      <c r="CQ25" t="s">
        <v>264</v>
      </c>
      <c r="CS25" t="s">
        <v>651</v>
      </c>
      <c r="CT25" t="s">
        <v>652</v>
      </c>
      <c r="CU25" t="s">
        <v>238</v>
      </c>
      <c r="CV25" t="s">
        <v>239</v>
      </c>
      <c r="CW25" t="s">
        <v>653</v>
      </c>
      <c r="CX25" t="s">
        <v>331</v>
      </c>
      <c r="CY25" t="s">
        <v>183</v>
      </c>
      <c r="CZ25" t="s">
        <v>211</v>
      </c>
      <c r="DA25" t="s">
        <v>296</v>
      </c>
      <c r="DC25" t="s">
        <v>613</v>
      </c>
      <c r="DD25" t="s">
        <v>525</v>
      </c>
      <c r="DE25" t="s">
        <v>346</v>
      </c>
      <c r="DF25" t="s">
        <v>347</v>
      </c>
      <c r="DG25" t="s">
        <v>654</v>
      </c>
      <c r="DH25" t="s">
        <v>615</v>
      </c>
      <c r="DI25" t="s">
        <v>183</v>
      </c>
      <c r="DJ25" t="s">
        <v>211</v>
      </c>
      <c r="DK25" t="s">
        <v>444</v>
      </c>
      <c r="DM25" t="s">
        <v>613</v>
      </c>
      <c r="DN25" t="s">
        <v>655</v>
      </c>
      <c r="DO25" t="s">
        <v>207</v>
      </c>
      <c r="DP25" t="s">
        <v>208</v>
      </c>
      <c r="DQ25" t="s">
        <v>656</v>
      </c>
      <c r="DR25" t="s">
        <v>314</v>
      </c>
      <c r="DS25" t="s">
        <v>183</v>
      </c>
      <c r="DT25" t="s">
        <v>211</v>
      </c>
      <c r="DU25" t="s">
        <v>345</v>
      </c>
      <c r="DW25" t="s">
        <v>619</v>
      </c>
      <c r="EG25" t="s">
        <v>198</v>
      </c>
      <c r="EQ25" t="s">
        <v>198</v>
      </c>
      <c r="FA25" t="s">
        <v>198</v>
      </c>
      <c r="FK25" t="s">
        <v>198</v>
      </c>
      <c r="FU25" t="s">
        <v>198</v>
      </c>
    </row>
    <row r="26" spans="1:177">
      <c r="A26" s="1" t="str">
        <f>HYPERLINK("http://digipan.lumentumllc.com/apps/getLink/index.php?t=PropLink&amp;p=5246428","PL")</f>
        <v>PL</v>
      </c>
      <c r="B26" s="1" t="str">
        <f>HYPERLINK("http://digipan.lumentumllc.com/apps/getLink/index.php?t=TaxLink&amp;p=5246428","TL")</f>
        <v>TL</v>
      </c>
      <c r="C26" s="1" t="str">
        <f>HYPERLINK("http://digipan.lumentumllc.com/apps/getMap/index.php?p=5246428","Map")</f>
        <v>Map</v>
      </c>
      <c r="E26" t="s">
        <v>177</v>
      </c>
      <c r="F26" t="s">
        <v>178</v>
      </c>
      <c r="L26" t="s">
        <v>657</v>
      </c>
      <c r="N26" t="s">
        <v>657</v>
      </c>
      <c r="O26" t="s">
        <v>657</v>
      </c>
      <c r="P26" t="s">
        <v>658</v>
      </c>
      <c r="Q26" t="s">
        <v>657</v>
      </c>
      <c r="V26">
        <v>30</v>
      </c>
      <c r="W26">
        <v>1</v>
      </c>
      <c r="X26">
        <v>2017</v>
      </c>
      <c r="Y26">
        <v>2018</v>
      </c>
      <c r="Z26">
        <v>609.71</v>
      </c>
      <c r="AB26" t="s">
        <v>181</v>
      </c>
      <c r="AC26" t="s">
        <v>182</v>
      </c>
      <c r="AD26" t="s">
        <v>183</v>
      </c>
      <c r="AE26">
        <v>0</v>
      </c>
      <c r="AF26">
        <v>4</v>
      </c>
      <c r="AG26" t="s">
        <v>381</v>
      </c>
      <c r="AH26">
        <v>100</v>
      </c>
      <c r="AK26">
        <v>0</v>
      </c>
      <c r="AL26">
        <v>47267</v>
      </c>
      <c r="AM26">
        <v>47267</v>
      </c>
      <c r="AN26">
        <v>0</v>
      </c>
      <c r="AO26">
        <v>726</v>
      </c>
      <c r="AP26">
        <v>2016</v>
      </c>
      <c r="AQ26">
        <v>1.29</v>
      </c>
      <c r="AS26" t="s">
        <v>659</v>
      </c>
      <c r="AT26" t="s">
        <v>420</v>
      </c>
      <c r="AU26" t="s">
        <v>177</v>
      </c>
      <c r="AV26" t="s">
        <v>421</v>
      </c>
      <c r="AW26" t="s">
        <v>182</v>
      </c>
      <c r="AX26">
        <v>0</v>
      </c>
      <c r="AY26" t="s">
        <v>312</v>
      </c>
      <c r="AZ26" t="s">
        <v>199</v>
      </c>
      <c r="BA26" t="s">
        <v>313</v>
      </c>
      <c r="BB26" t="s">
        <v>191</v>
      </c>
      <c r="BC26" t="s">
        <v>182</v>
      </c>
      <c r="BD26" t="s">
        <v>182</v>
      </c>
      <c r="BE26" t="s">
        <v>660</v>
      </c>
      <c r="BF26">
        <v>0</v>
      </c>
      <c r="BG26">
        <v>0</v>
      </c>
      <c r="BH26">
        <v>0</v>
      </c>
      <c r="BI26" t="s">
        <v>199</v>
      </c>
      <c r="BJ26" t="s">
        <v>396</v>
      </c>
      <c r="BL26" t="s">
        <v>640</v>
      </c>
      <c r="BM26" t="s">
        <v>267</v>
      </c>
      <c r="BN26" t="s">
        <v>182</v>
      </c>
      <c r="BO26" t="s">
        <v>641</v>
      </c>
      <c r="BP26" t="s">
        <v>661</v>
      </c>
      <c r="BQ26" t="s">
        <v>226</v>
      </c>
      <c r="BR26" t="s">
        <v>227</v>
      </c>
      <c r="BS26" t="s">
        <v>198</v>
      </c>
      <c r="BT26" t="s">
        <v>228</v>
      </c>
      <c r="BU26" t="s">
        <v>182</v>
      </c>
      <c r="BV26" t="s">
        <v>198</v>
      </c>
      <c r="BW26" t="s">
        <v>198</v>
      </c>
      <c r="BX26" t="s">
        <v>199</v>
      </c>
      <c r="BY26" t="s">
        <v>198</v>
      </c>
      <c r="BZ26" t="s">
        <v>199</v>
      </c>
      <c r="CA26" t="s">
        <v>199</v>
      </c>
      <c r="CB26" t="s">
        <v>662</v>
      </c>
      <c r="CC26" t="s">
        <v>201</v>
      </c>
      <c r="CD26" t="s">
        <v>202</v>
      </c>
      <c r="CE26" t="s">
        <v>663</v>
      </c>
      <c r="CF26" t="s">
        <v>664</v>
      </c>
      <c r="CG26" t="s">
        <v>177</v>
      </c>
      <c r="CH26" t="s">
        <v>665</v>
      </c>
      <c r="CI26" t="s">
        <v>666</v>
      </c>
      <c r="CJ26" t="s">
        <v>337</v>
      </c>
      <c r="CK26" t="s">
        <v>232</v>
      </c>
      <c r="CL26" t="s">
        <v>233</v>
      </c>
      <c r="CM26" t="s">
        <v>667</v>
      </c>
      <c r="CN26" t="s">
        <v>235</v>
      </c>
      <c r="CO26" t="s">
        <v>183</v>
      </c>
      <c r="CP26" t="s">
        <v>211</v>
      </c>
      <c r="CQ26" t="s">
        <v>206</v>
      </c>
      <c r="CS26" t="s">
        <v>668</v>
      </c>
      <c r="CT26" t="s">
        <v>669</v>
      </c>
      <c r="CU26" t="s">
        <v>238</v>
      </c>
      <c r="CV26" t="s">
        <v>239</v>
      </c>
      <c r="CW26" t="s">
        <v>670</v>
      </c>
      <c r="CX26" t="s">
        <v>331</v>
      </c>
      <c r="CY26" t="s">
        <v>183</v>
      </c>
      <c r="CZ26" t="s">
        <v>211</v>
      </c>
      <c r="DA26" t="s">
        <v>296</v>
      </c>
      <c r="DC26" t="s">
        <v>613</v>
      </c>
      <c r="DD26" t="s">
        <v>671</v>
      </c>
      <c r="DE26" t="s">
        <v>346</v>
      </c>
      <c r="DF26" t="s">
        <v>347</v>
      </c>
      <c r="DG26" t="s">
        <v>672</v>
      </c>
      <c r="DH26" t="s">
        <v>469</v>
      </c>
      <c r="DI26" t="s">
        <v>183</v>
      </c>
      <c r="DJ26" t="s">
        <v>211</v>
      </c>
      <c r="DK26" t="s">
        <v>444</v>
      </c>
      <c r="DM26" t="s">
        <v>613</v>
      </c>
      <c r="DN26" t="s">
        <v>673</v>
      </c>
      <c r="DO26" t="s">
        <v>207</v>
      </c>
      <c r="DP26" t="s">
        <v>208</v>
      </c>
      <c r="DQ26" t="s">
        <v>674</v>
      </c>
      <c r="DR26" t="s">
        <v>235</v>
      </c>
      <c r="DS26" t="s">
        <v>183</v>
      </c>
      <c r="DT26" t="s">
        <v>211</v>
      </c>
      <c r="DU26" t="s">
        <v>345</v>
      </c>
      <c r="DW26" t="s">
        <v>619</v>
      </c>
      <c r="EG26" t="s">
        <v>198</v>
      </c>
      <c r="EQ26" t="s">
        <v>198</v>
      </c>
      <c r="FA26" t="s">
        <v>198</v>
      </c>
      <c r="FK26" t="s">
        <v>198</v>
      </c>
      <c r="FU26" t="s">
        <v>198</v>
      </c>
    </row>
    <row r="27" spans="1:177">
      <c r="A27" s="1" t="str">
        <f>HYPERLINK("http://digipan.lumentumllc.com/apps/getLink/index.php?t=PropLink&amp;p=5246430","PL")</f>
        <v>PL</v>
      </c>
      <c r="B27" s="1" t="str">
        <f>HYPERLINK("http://digipan.lumentumllc.com/apps/getLink/index.php?t=TaxLink&amp;p=5246430","TL")</f>
        <v>TL</v>
      </c>
      <c r="C27" s="1" t="str">
        <f>HYPERLINK("http://digipan.lumentumllc.com/apps/getMap/index.php?p=5246430","Map")</f>
        <v>Map</v>
      </c>
      <c r="E27" t="s">
        <v>177</v>
      </c>
      <c r="F27" t="s">
        <v>178</v>
      </c>
      <c r="L27" t="s">
        <v>675</v>
      </c>
      <c r="N27" t="s">
        <v>675</v>
      </c>
      <c r="O27" t="s">
        <v>675</v>
      </c>
      <c r="P27" t="s">
        <v>676</v>
      </c>
      <c r="Q27" t="s">
        <v>675</v>
      </c>
      <c r="V27">
        <v>31</v>
      </c>
      <c r="W27">
        <v>1</v>
      </c>
      <c r="X27">
        <v>2017</v>
      </c>
      <c r="Y27">
        <v>2018</v>
      </c>
      <c r="Z27">
        <v>420.01</v>
      </c>
      <c r="AB27" t="s">
        <v>181</v>
      </c>
      <c r="AC27" t="s">
        <v>182</v>
      </c>
      <c r="AD27" t="s">
        <v>183</v>
      </c>
      <c r="AE27">
        <v>1</v>
      </c>
      <c r="AF27">
        <v>2</v>
      </c>
      <c r="AG27" t="s">
        <v>363</v>
      </c>
      <c r="AH27">
        <v>67</v>
      </c>
      <c r="AI27">
        <v>413.23</v>
      </c>
      <c r="AJ27">
        <v>26.86</v>
      </c>
      <c r="AK27">
        <v>440.09</v>
      </c>
      <c r="AL27">
        <v>38700</v>
      </c>
      <c r="AM27">
        <v>38700</v>
      </c>
      <c r="AN27">
        <v>0</v>
      </c>
      <c r="AO27">
        <v>357</v>
      </c>
      <c r="AP27">
        <v>2016</v>
      </c>
      <c r="AQ27">
        <v>1.0900000000000001</v>
      </c>
      <c r="AR27">
        <v>1.1399999999999999</v>
      </c>
      <c r="AS27" t="s">
        <v>659</v>
      </c>
      <c r="AT27" t="s">
        <v>420</v>
      </c>
      <c r="AU27" t="s">
        <v>177</v>
      </c>
      <c r="AV27" t="s">
        <v>421</v>
      </c>
      <c r="AW27" t="s">
        <v>182</v>
      </c>
      <c r="AX27">
        <v>0</v>
      </c>
      <c r="AY27" t="s">
        <v>312</v>
      </c>
      <c r="AZ27" t="s">
        <v>199</v>
      </c>
      <c r="BA27" t="s">
        <v>313</v>
      </c>
      <c r="BB27" t="s">
        <v>191</v>
      </c>
      <c r="BC27" t="s">
        <v>182</v>
      </c>
      <c r="BD27" t="s">
        <v>182</v>
      </c>
      <c r="BE27" t="s">
        <v>677</v>
      </c>
      <c r="BF27">
        <v>0</v>
      </c>
      <c r="BG27">
        <v>0</v>
      </c>
      <c r="BH27">
        <v>0</v>
      </c>
      <c r="BI27" t="s">
        <v>199</v>
      </c>
      <c r="BJ27" t="s">
        <v>396</v>
      </c>
      <c r="BL27" t="s">
        <v>678</v>
      </c>
      <c r="BM27" t="s">
        <v>679</v>
      </c>
      <c r="BN27" t="s">
        <v>182</v>
      </c>
      <c r="BO27" t="s">
        <v>680</v>
      </c>
      <c r="BP27" t="s">
        <v>681</v>
      </c>
      <c r="BQ27" t="s">
        <v>581</v>
      </c>
      <c r="BR27" t="s">
        <v>563</v>
      </c>
      <c r="BS27" t="s">
        <v>198</v>
      </c>
      <c r="BT27" t="s">
        <v>682</v>
      </c>
      <c r="BU27" t="s">
        <v>182</v>
      </c>
      <c r="BV27" t="s">
        <v>198</v>
      </c>
      <c r="BW27" t="s">
        <v>198</v>
      </c>
      <c r="BX27" t="s">
        <v>199</v>
      </c>
      <c r="BY27" t="s">
        <v>198</v>
      </c>
      <c r="BZ27" t="s">
        <v>199</v>
      </c>
      <c r="CA27" t="s">
        <v>199</v>
      </c>
      <c r="CB27" t="s">
        <v>683</v>
      </c>
      <c r="CC27" t="s">
        <v>201</v>
      </c>
      <c r="CD27" t="s">
        <v>182</v>
      </c>
      <c r="CE27" t="s">
        <v>684</v>
      </c>
      <c r="CF27" t="s">
        <v>413</v>
      </c>
      <c r="CG27" t="s">
        <v>177</v>
      </c>
      <c r="CH27" t="s">
        <v>685</v>
      </c>
      <c r="CI27" t="s">
        <v>686</v>
      </c>
      <c r="CJ27" t="s">
        <v>334</v>
      </c>
      <c r="CK27" t="s">
        <v>232</v>
      </c>
      <c r="CL27" t="s">
        <v>233</v>
      </c>
      <c r="CM27" t="s">
        <v>687</v>
      </c>
      <c r="CN27" t="s">
        <v>688</v>
      </c>
      <c r="CO27" t="s">
        <v>183</v>
      </c>
      <c r="CP27" t="s">
        <v>266</v>
      </c>
      <c r="CS27" t="s">
        <v>198</v>
      </c>
      <c r="CT27" t="s">
        <v>523</v>
      </c>
      <c r="CU27" t="s">
        <v>292</v>
      </c>
      <c r="CV27" t="s">
        <v>293</v>
      </c>
      <c r="CW27" t="s">
        <v>689</v>
      </c>
      <c r="CX27" t="s">
        <v>440</v>
      </c>
      <c r="CY27" t="s">
        <v>183</v>
      </c>
      <c r="CZ27" t="s">
        <v>211</v>
      </c>
      <c r="DA27" t="s">
        <v>296</v>
      </c>
      <c r="DC27" t="s">
        <v>690</v>
      </c>
      <c r="DD27" t="s">
        <v>345</v>
      </c>
      <c r="DE27" t="s">
        <v>273</v>
      </c>
      <c r="DF27" t="s">
        <v>274</v>
      </c>
      <c r="DG27" t="s">
        <v>691</v>
      </c>
      <c r="DH27" t="s">
        <v>389</v>
      </c>
      <c r="DI27" t="s">
        <v>183</v>
      </c>
      <c r="DJ27" t="s">
        <v>211</v>
      </c>
      <c r="DK27" t="s">
        <v>270</v>
      </c>
      <c r="DM27" t="s">
        <v>692</v>
      </c>
      <c r="DW27" t="s">
        <v>198</v>
      </c>
      <c r="EG27" t="s">
        <v>198</v>
      </c>
      <c r="EQ27" t="s">
        <v>198</v>
      </c>
      <c r="FA27" t="s">
        <v>198</v>
      </c>
      <c r="FK27" t="s">
        <v>198</v>
      </c>
      <c r="FU27" t="s">
        <v>198</v>
      </c>
    </row>
    <row r="28" spans="1:177">
      <c r="A28" s="1" t="str">
        <f>HYPERLINK("http://digipan.lumentumllc.com/apps/getLink/index.php?t=PropLink&amp;p=5246447","PL")</f>
        <v>PL</v>
      </c>
      <c r="B28" s="1" t="str">
        <f>HYPERLINK("http://digipan.lumentumllc.com/apps/getLink/index.php?t=TaxLink&amp;p=5246447","TL")</f>
        <v>TL</v>
      </c>
      <c r="C28" s="1" t="str">
        <f>HYPERLINK("http://digipan.lumentumllc.com/apps/getMap/index.php?p=5246447","Map")</f>
        <v>Map</v>
      </c>
      <c r="E28" t="s">
        <v>177</v>
      </c>
      <c r="F28" t="s">
        <v>178</v>
      </c>
      <c r="L28" t="s">
        <v>693</v>
      </c>
      <c r="N28" t="s">
        <v>693</v>
      </c>
      <c r="O28" t="s">
        <v>693</v>
      </c>
      <c r="P28" t="s">
        <v>694</v>
      </c>
      <c r="Q28" t="s">
        <v>693</v>
      </c>
      <c r="V28">
        <v>33</v>
      </c>
      <c r="W28">
        <v>1</v>
      </c>
      <c r="X28">
        <v>2017</v>
      </c>
      <c r="Y28">
        <v>2018</v>
      </c>
      <c r="Z28">
        <v>726.92</v>
      </c>
      <c r="AB28" t="s">
        <v>181</v>
      </c>
      <c r="AC28" t="s">
        <v>182</v>
      </c>
      <c r="AD28" t="s">
        <v>183</v>
      </c>
      <c r="AE28">
        <v>0</v>
      </c>
      <c r="AF28">
        <v>3</v>
      </c>
      <c r="AG28" t="s">
        <v>216</v>
      </c>
      <c r="AH28">
        <v>100</v>
      </c>
      <c r="AK28">
        <v>0</v>
      </c>
      <c r="AL28">
        <v>42444</v>
      </c>
      <c r="AM28">
        <v>42444</v>
      </c>
      <c r="AN28">
        <v>0</v>
      </c>
      <c r="AO28">
        <v>652</v>
      </c>
      <c r="AP28">
        <v>2016</v>
      </c>
      <c r="AQ28">
        <v>1.71</v>
      </c>
      <c r="AS28" t="s">
        <v>695</v>
      </c>
      <c r="AT28" t="s">
        <v>420</v>
      </c>
      <c r="AU28" t="s">
        <v>177</v>
      </c>
      <c r="AV28" t="s">
        <v>421</v>
      </c>
      <c r="AW28" t="s">
        <v>182</v>
      </c>
      <c r="AX28">
        <v>0</v>
      </c>
      <c r="AY28" t="s">
        <v>312</v>
      </c>
      <c r="AZ28" t="s">
        <v>199</v>
      </c>
      <c r="BA28" t="s">
        <v>313</v>
      </c>
      <c r="BB28" t="s">
        <v>191</v>
      </c>
      <c r="BC28" t="s">
        <v>182</v>
      </c>
      <c r="BD28" t="s">
        <v>182</v>
      </c>
      <c r="BE28" t="s">
        <v>696</v>
      </c>
      <c r="BF28">
        <v>0</v>
      </c>
      <c r="BG28">
        <v>0</v>
      </c>
      <c r="BH28">
        <v>0</v>
      </c>
      <c r="BI28" t="s">
        <v>199</v>
      </c>
      <c r="BJ28" t="s">
        <v>315</v>
      </c>
      <c r="BL28" t="s">
        <v>697</v>
      </c>
      <c r="BM28" t="s">
        <v>267</v>
      </c>
      <c r="BN28" t="s">
        <v>182</v>
      </c>
      <c r="BO28" t="s">
        <v>641</v>
      </c>
      <c r="BP28" t="s">
        <v>698</v>
      </c>
      <c r="BQ28" t="s">
        <v>226</v>
      </c>
      <c r="BR28" t="s">
        <v>227</v>
      </c>
      <c r="BS28" t="s">
        <v>198</v>
      </c>
      <c r="BT28" t="s">
        <v>699</v>
      </c>
      <c r="BU28" t="s">
        <v>182</v>
      </c>
      <c r="BV28" t="s">
        <v>198</v>
      </c>
      <c r="BW28" t="s">
        <v>198</v>
      </c>
      <c r="BX28" t="s">
        <v>199</v>
      </c>
      <c r="BY28" t="s">
        <v>198</v>
      </c>
      <c r="BZ28" t="s">
        <v>199</v>
      </c>
      <c r="CA28" t="s">
        <v>199</v>
      </c>
      <c r="CB28" t="s">
        <v>700</v>
      </c>
      <c r="CC28" t="s">
        <v>201</v>
      </c>
      <c r="CD28" t="s">
        <v>182</v>
      </c>
      <c r="CE28" t="s">
        <v>701</v>
      </c>
      <c r="CF28" t="s">
        <v>702</v>
      </c>
      <c r="CG28" t="s">
        <v>177</v>
      </c>
      <c r="CH28" t="s">
        <v>703</v>
      </c>
      <c r="CI28" t="s">
        <v>704</v>
      </c>
      <c r="CJ28" t="s">
        <v>705</v>
      </c>
      <c r="CK28" t="s">
        <v>238</v>
      </c>
      <c r="CL28" t="s">
        <v>239</v>
      </c>
      <c r="CM28" t="s">
        <v>706</v>
      </c>
      <c r="CN28" t="s">
        <v>331</v>
      </c>
      <c r="CO28" t="s">
        <v>183</v>
      </c>
      <c r="CP28" t="s">
        <v>211</v>
      </c>
      <c r="CQ28" t="s">
        <v>296</v>
      </c>
      <c r="CS28" t="s">
        <v>613</v>
      </c>
      <c r="CT28" t="s">
        <v>707</v>
      </c>
      <c r="CU28" t="s">
        <v>346</v>
      </c>
      <c r="CV28" t="s">
        <v>347</v>
      </c>
      <c r="CW28" t="s">
        <v>708</v>
      </c>
      <c r="CX28" t="s">
        <v>615</v>
      </c>
      <c r="CY28" t="s">
        <v>183</v>
      </c>
      <c r="CZ28" t="s">
        <v>211</v>
      </c>
      <c r="DA28" t="s">
        <v>444</v>
      </c>
      <c r="DC28" t="s">
        <v>613</v>
      </c>
      <c r="DD28" t="s">
        <v>709</v>
      </c>
      <c r="DE28" t="s">
        <v>207</v>
      </c>
      <c r="DF28" t="s">
        <v>208</v>
      </c>
      <c r="DG28" t="s">
        <v>710</v>
      </c>
      <c r="DH28" t="s">
        <v>618</v>
      </c>
      <c r="DI28" t="s">
        <v>183</v>
      </c>
      <c r="DJ28" t="s">
        <v>211</v>
      </c>
      <c r="DK28" t="s">
        <v>345</v>
      </c>
      <c r="DM28" t="s">
        <v>619</v>
      </c>
      <c r="DW28" t="s">
        <v>198</v>
      </c>
      <c r="EG28" t="s">
        <v>198</v>
      </c>
      <c r="EQ28" t="s">
        <v>198</v>
      </c>
      <c r="FA28" t="s">
        <v>198</v>
      </c>
      <c r="FK28" t="s">
        <v>198</v>
      </c>
      <c r="FU28" t="s">
        <v>198</v>
      </c>
    </row>
    <row r="29" spans="1:177">
      <c r="A29" s="1" t="str">
        <f>HYPERLINK("http://digipan.lumentumllc.com/apps/getLink/index.php?t=PropLink&amp;p=5246452","PL")</f>
        <v>PL</v>
      </c>
      <c r="B29" s="1" t="str">
        <f>HYPERLINK("http://digipan.lumentumllc.com/apps/getLink/index.php?t=TaxLink&amp;p=5246452","TL")</f>
        <v>TL</v>
      </c>
      <c r="C29" s="1" t="str">
        <f>HYPERLINK("http://digipan.lumentumllc.com/apps/getMap/index.php?p=5246452","Map")</f>
        <v>Map</v>
      </c>
      <c r="E29" t="s">
        <v>177</v>
      </c>
      <c r="F29" t="s">
        <v>178</v>
      </c>
      <c r="L29" t="s">
        <v>711</v>
      </c>
      <c r="N29" t="s">
        <v>711</v>
      </c>
      <c r="O29" t="s">
        <v>711</v>
      </c>
      <c r="P29" t="s">
        <v>712</v>
      </c>
      <c r="Q29" t="s">
        <v>711</v>
      </c>
      <c r="V29">
        <v>34</v>
      </c>
      <c r="W29">
        <v>1</v>
      </c>
      <c r="X29">
        <v>2017</v>
      </c>
      <c r="Y29">
        <v>2018</v>
      </c>
      <c r="Z29">
        <v>741.93</v>
      </c>
      <c r="AB29" t="s">
        <v>181</v>
      </c>
      <c r="AC29" t="s">
        <v>182</v>
      </c>
      <c r="AD29" t="s">
        <v>183</v>
      </c>
      <c r="AE29">
        <v>0</v>
      </c>
      <c r="AF29">
        <v>3</v>
      </c>
      <c r="AG29" t="s">
        <v>216</v>
      </c>
      <c r="AH29">
        <v>100</v>
      </c>
      <c r="AK29">
        <v>0</v>
      </c>
      <c r="AL29">
        <v>43360</v>
      </c>
      <c r="AM29">
        <v>43360</v>
      </c>
      <c r="AN29">
        <v>0</v>
      </c>
      <c r="AO29">
        <v>666</v>
      </c>
      <c r="AP29">
        <v>2016</v>
      </c>
      <c r="AQ29">
        <v>1.71</v>
      </c>
      <c r="AS29" t="s">
        <v>695</v>
      </c>
      <c r="AT29" t="s">
        <v>420</v>
      </c>
      <c r="AU29" t="s">
        <v>177</v>
      </c>
      <c r="AV29" t="s">
        <v>421</v>
      </c>
      <c r="AW29" t="s">
        <v>182</v>
      </c>
      <c r="AX29">
        <v>0</v>
      </c>
      <c r="AY29" t="s">
        <v>312</v>
      </c>
      <c r="AZ29" t="s">
        <v>199</v>
      </c>
      <c r="BA29" t="s">
        <v>313</v>
      </c>
      <c r="BB29" t="s">
        <v>191</v>
      </c>
      <c r="BC29" t="s">
        <v>182</v>
      </c>
      <c r="BD29" t="s">
        <v>182</v>
      </c>
      <c r="BE29" t="s">
        <v>713</v>
      </c>
      <c r="BF29">
        <v>0</v>
      </c>
      <c r="BG29">
        <v>0</v>
      </c>
      <c r="BH29">
        <v>0</v>
      </c>
      <c r="BI29" t="s">
        <v>199</v>
      </c>
      <c r="BJ29" t="s">
        <v>315</v>
      </c>
      <c r="BL29" t="s">
        <v>714</v>
      </c>
      <c r="BM29" t="s">
        <v>267</v>
      </c>
      <c r="BN29" t="s">
        <v>182</v>
      </c>
      <c r="BO29" t="s">
        <v>601</v>
      </c>
      <c r="BP29" t="s">
        <v>602</v>
      </c>
      <c r="BQ29" t="s">
        <v>603</v>
      </c>
      <c r="BR29" t="s">
        <v>563</v>
      </c>
      <c r="BS29" t="s">
        <v>198</v>
      </c>
      <c r="BT29" t="s">
        <v>604</v>
      </c>
      <c r="BU29" t="s">
        <v>182</v>
      </c>
      <c r="BV29" t="s">
        <v>198</v>
      </c>
      <c r="BW29" t="s">
        <v>198</v>
      </c>
      <c r="BX29" t="s">
        <v>199</v>
      </c>
      <c r="BY29" t="s">
        <v>198</v>
      </c>
      <c r="BZ29" t="s">
        <v>199</v>
      </c>
      <c r="CA29" t="s">
        <v>199</v>
      </c>
      <c r="CB29" t="s">
        <v>715</v>
      </c>
      <c r="CC29" t="s">
        <v>201</v>
      </c>
      <c r="CD29" t="s">
        <v>202</v>
      </c>
      <c r="CE29" t="s">
        <v>716</v>
      </c>
      <c r="CF29" t="s">
        <v>664</v>
      </c>
      <c r="CG29" t="s">
        <v>177</v>
      </c>
      <c r="CH29" t="s">
        <v>665</v>
      </c>
      <c r="CI29" t="s">
        <v>717</v>
      </c>
      <c r="CJ29" t="s">
        <v>718</v>
      </c>
      <c r="CK29" t="s">
        <v>238</v>
      </c>
      <c r="CL29" t="s">
        <v>239</v>
      </c>
      <c r="CM29" t="s">
        <v>719</v>
      </c>
      <c r="CN29" t="s">
        <v>331</v>
      </c>
      <c r="CO29" t="s">
        <v>183</v>
      </c>
      <c r="CP29" t="s">
        <v>211</v>
      </c>
      <c r="CQ29" t="s">
        <v>296</v>
      </c>
      <c r="CS29" t="s">
        <v>613</v>
      </c>
      <c r="CT29" t="s">
        <v>720</v>
      </c>
      <c r="CU29" t="s">
        <v>346</v>
      </c>
      <c r="CV29" t="s">
        <v>347</v>
      </c>
      <c r="CW29" t="s">
        <v>721</v>
      </c>
      <c r="CX29" t="s">
        <v>615</v>
      </c>
      <c r="CY29" t="s">
        <v>183</v>
      </c>
      <c r="CZ29" t="s">
        <v>211</v>
      </c>
      <c r="DA29" t="s">
        <v>444</v>
      </c>
      <c r="DC29" t="s">
        <v>613</v>
      </c>
      <c r="DD29" t="s">
        <v>722</v>
      </c>
      <c r="DE29" t="s">
        <v>207</v>
      </c>
      <c r="DF29" t="s">
        <v>208</v>
      </c>
      <c r="DG29" t="s">
        <v>723</v>
      </c>
      <c r="DH29" t="s">
        <v>314</v>
      </c>
      <c r="DI29" t="s">
        <v>183</v>
      </c>
      <c r="DJ29" t="s">
        <v>211</v>
      </c>
      <c r="DK29" t="s">
        <v>345</v>
      </c>
      <c r="DM29" t="s">
        <v>619</v>
      </c>
      <c r="DW29" t="s">
        <v>198</v>
      </c>
      <c r="EG29" t="s">
        <v>198</v>
      </c>
      <c r="EQ29" t="s">
        <v>198</v>
      </c>
      <c r="FA29" t="s">
        <v>198</v>
      </c>
      <c r="FK29" t="s">
        <v>198</v>
      </c>
      <c r="FU29" t="s">
        <v>198</v>
      </c>
    </row>
    <row r="30" spans="1:177">
      <c r="A30" s="1" t="str">
        <f>HYPERLINK("http://digipan.lumentumllc.com/apps/getLink/index.php?t=PropLink&amp;p=5246462","PL")</f>
        <v>PL</v>
      </c>
      <c r="B30" s="1" t="str">
        <f>HYPERLINK("http://digipan.lumentumllc.com/apps/getLink/index.php?t=TaxLink&amp;p=5246462","TL")</f>
        <v>TL</v>
      </c>
      <c r="C30" s="1" t="str">
        <f>HYPERLINK("http://digipan.lumentumllc.com/apps/getMap/index.php?p=5246462","Map")</f>
        <v>Map</v>
      </c>
      <c r="E30" t="s">
        <v>177</v>
      </c>
      <c r="F30" t="s">
        <v>178</v>
      </c>
      <c r="L30" t="s">
        <v>724</v>
      </c>
      <c r="N30" t="s">
        <v>724</v>
      </c>
      <c r="O30" t="s">
        <v>724</v>
      </c>
      <c r="P30" t="s">
        <v>725</v>
      </c>
      <c r="Q30" t="s">
        <v>724</v>
      </c>
      <c r="V30">
        <v>35</v>
      </c>
      <c r="W30">
        <v>1</v>
      </c>
      <c r="X30">
        <v>2017</v>
      </c>
      <c r="Y30">
        <v>2018</v>
      </c>
      <c r="Z30">
        <v>639.1</v>
      </c>
      <c r="AB30" t="s">
        <v>181</v>
      </c>
      <c r="AC30" t="s">
        <v>182</v>
      </c>
      <c r="AD30" t="s">
        <v>183</v>
      </c>
      <c r="AE30">
        <v>0</v>
      </c>
      <c r="AF30">
        <v>4</v>
      </c>
      <c r="AG30" t="s">
        <v>381</v>
      </c>
      <c r="AH30">
        <v>100</v>
      </c>
      <c r="AK30">
        <v>0</v>
      </c>
      <c r="AL30">
        <v>37080</v>
      </c>
      <c r="AM30">
        <v>37080</v>
      </c>
      <c r="AN30">
        <v>0</v>
      </c>
      <c r="AO30">
        <v>569</v>
      </c>
      <c r="AP30">
        <v>2016</v>
      </c>
      <c r="AQ30">
        <v>1.72</v>
      </c>
      <c r="AS30" t="s">
        <v>598</v>
      </c>
      <c r="AT30" t="s">
        <v>420</v>
      </c>
      <c r="AU30" t="s">
        <v>177</v>
      </c>
      <c r="AV30" t="s">
        <v>421</v>
      </c>
      <c r="AW30" t="s">
        <v>182</v>
      </c>
      <c r="AX30">
        <v>0</v>
      </c>
      <c r="AY30" t="s">
        <v>312</v>
      </c>
      <c r="AZ30" t="s">
        <v>199</v>
      </c>
      <c r="BA30" t="s">
        <v>313</v>
      </c>
      <c r="BB30" t="s">
        <v>191</v>
      </c>
      <c r="BC30" t="s">
        <v>182</v>
      </c>
      <c r="BD30" t="s">
        <v>182</v>
      </c>
      <c r="BE30" t="s">
        <v>726</v>
      </c>
      <c r="BF30">
        <v>0</v>
      </c>
      <c r="BG30">
        <v>0</v>
      </c>
      <c r="BH30">
        <v>0</v>
      </c>
      <c r="BI30" t="s">
        <v>199</v>
      </c>
      <c r="BJ30" t="s">
        <v>315</v>
      </c>
      <c r="BL30" t="s">
        <v>727</v>
      </c>
      <c r="BM30" t="s">
        <v>267</v>
      </c>
      <c r="BN30" t="s">
        <v>182</v>
      </c>
      <c r="BO30" t="s">
        <v>728</v>
      </c>
      <c r="BP30" t="s">
        <v>602</v>
      </c>
      <c r="BS30" t="s">
        <v>729</v>
      </c>
      <c r="BT30" t="s">
        <v>198</v>
      </c>
      <c r="BU30" t="s">
        <v>182</v>
      </c>
      <c r="BV30" t="s">
        <v>198</v>
      </c>
      <c r="BW30" t="s">
        <v>198</v>
      </c>
      <c r="BX30" t="s">
        <v>199</v>
      </c>
      <c r="BY30" t="s">
        <v>198</v>
      </c>
      <c r="BZ30" t="s">
        <v>199</v>
      </c>
      <c r="CA30" t="s">
        <v>199</v>
      </c>
      <c r="CB30" t="s">
        <v>730</v>
      </c>
      <c r="CC30" t="s">
        <v>201</v>
      </c>
      <c r="CD30" t="s">
        <v>182</v>
      </c>
      <c r="CE30" t="s">
        <v>731</v>
      </c>
      <c r="CF30" t="s">
        <v>413</v>
      </c>
      <c r="CG30" t="s">
        <v>177</v>
      </c>
      <c r="CH30" t="s">
        <v>732</v>
      </c>
      <c r="CI30" t="s">
        <v>733</v>
      </c>
      <c r="CJ30" t="s">
        <v>616</v>
      </c>
      <c r="CK30" t="s">
        <v>232</v>
      </c>
      <c r="CL30" t="s">
        <v>233</v>
      </c>
      <c r="CM30" t="s">
        <v>734</v>
      </c>
      <c r="CN30" t="s">
        <v>235</v>
      </c>
      <c r="CO30" t="s">
        <v>183</v>
      </c>
      <c r="CP30" t="s">
        <v>211</v>
      </c>
      <c r="CQ30" t="s">
        <v>199</v>
      </c>
      <c r="CS30" t="s">
        <v>735</v>
      </c>
      <c r="CT30" t="s">
        <v>736</v>
      </c>
      <c r="CU30" t="s">
        <v>238</v>
      </c>
      <c r="CV30" t="s">
        <v>239</v>
      </c>
      <c r="CW30" t="s">
        <v>737</v>
      </c>
      <c r="CX30" t="s">
        <v>331</v>
      </c>
      <c r="CY30" t="s">
        <v>183</v>
      </c>
      <c r="CZ30" t="s">
        <v>211</v>
      </c>
      <c r="DA30" t="s">
        <v>296</v>
      </c>
      <c r="DC30" t="s">
        <v>613</v>
      </c>
      <c r="DD30" t="s">
        <v>738</v>
      </c>
      <c r="DE30" t="s">
        <v>346</v>
      </c>
      <c r="DF30" t="s">
        <v>347</v>
      </c>
      <c r="DG30" t="s">
        <v>739</v>
      </c>
      <c r="DH30" t="s">
        <v>615</v>
      </c>
      <c r="DI30" t="s">
        <v>183</v>
      </c>
      <c r="DJ30" t="s">
        <v>211</v>
      </c>
      <c r="DK30" t="s">
        <v>444</v>
      </c>
      <c r="DM30" t="s">
        <v>613</v>
      </c>
      <c r="DN30" t="s">
        <v>740</v>
      </c>
      <c r="DO30" t="s">
        <v>207</v>
      </c>
      <c r="DP30" t="s">
        <v>208</v>
      </c>
      <c r="DQ30" t="s">
        <v>741</v>
      </c>
      <c r="DR30" t="s">
        <v>314</v>
      </c>
      <c r="DS30" t="s">
        <v>183</v>
      </c>
      <c r="DT30" t="s">
        <v>211</v>
      </c>
      <c r="DU30" t="s">
        <v>345</v>
      </c>
      <c r="DW30" t="s">
        <v>619</v>
      </c>
      <c r="EG30" t="s">
        <v>198</v>
      </c>
      <c r="EQ30" t="s">
        <v>198</v>
      </c>
      <c r="FA30" t="s">
        <v>198</v>
      </c>
      <c r="FK30" t="s">
        <v>198</v>
      </c>
      <c r="FU30" t="s">
        <v>198</v>
      </c>
    </row>
    <row r="31" spans="1:177">
      <c r="A31" s="1" t="str">
        <f>HYPERLINK("http://digipan.lumentumllc.com/apps/getLink/index.php?t=PropLink&amp;p=5246463","PL")</f>
        <v>PL</v>
      </c>
      <c r="B31" s="1" t="str">
        <f>HYPERLINK("http://digipan.lumentumllc.com/apps/getLink/index.php?t=TaxLink&amp;p=5246463","TL")</f>
        <v>TL</v>
      </c>
      <c r="C31" s="1" t="str">
        <f>HYPERLINK("http://digipan.lumentumllc.com/apps/getMap/index.php?p=5246463","Map")</f>
        <v>Map</v>
      </c>
      <c r="E31" t="s">
        <v>177</v>
      </c>
      <c r="F31" t="s">
        <v>178</v>
      </c>
      <c r="L31" t="s">
        <v>742</v>
      </c>
      <c r="N31" t="s">
        <v>742</v>
      </c>
      <c r="O31" t="s">
        <v>742</v>
      </c>
      <c r="P31" t="s">
        <v>743</v>
      </c>
      <c r="Q31" t="s">
        <v>742</v>
      </c>
      <c r="V31">
        <v>36</v>
      </c>
      <c r="W31">
        <v>1</v>
      </c>
      <c r="X31">
        <v>2017</v>
      </c>
      <c r="Y31">
        <v>2018</v>
      </c>
      <c r="Z31">
        <v>896.47</v>
      </c>
      <c r="AB31" t="s">
        <v>181</v>
      </c>
      <c r="AC31" t="s">
        <v>182</v>
      </c>
      <c r="AD31" t="s">
        <v>183</v>
      </c>
      <c r="AE31">
        <v>0</v>
      </c>
      <c r="AF31">
        <v>5</v>
      </c>
      <c r="AG31" t="s">
        <v>744</v>
      </c>
      <c r="AH31">
        <v>100</v>
      </c>
      <c r="AK31">
        <v>0</v>
      </c>
      <c r="AL31">
        <v>52800</v>
      </c>
      <c r="AM31">
        <v>52800</v>
      </c>
      <c r="AN31">
        <v>0</v>
      </c>
      <c r="AO31">
        <v>811</v>
      </c>
      <c r="AP31">
        <v>2016</v>
      </c>
      <c r="AQ31">
        <v>1.7</v>
      </c>
      <c r="AS31" t="s">
        <v>745</v>
      </c>
      <c r="AT31" t="s">
        <v>420</v>
      </c>
      <c r="AU31" t="s">
        <v>177</v>
      </c>
      <c r="AV31" t="s">
        <v>421</v>
      </c>
      <c r="AW31" t="s">
        <v>182</v>
      </c>
      <c r="AX31">
        <v>0</v>
      </c>
      <c r="AY31" t="s">
        <v>312</v>
      </c>
      <c r="AZ31" t="s">
        <v>199</v>
      </c>
      <c r="BA31" t="s">
        <v>313</v>
      </c>
      <c r="BB31" t="s">
        <v>191</v>
      </c>
      <c r="BC31" t="s">
        <v>182</v>
      </c>
      <c r="BD31" t="s">
        <v>182</v>
      </c>
      <c r="BE31" t="s">
        <v>746</v>
      </c>
      <c r="BF31">
        <v>0</v>
      </c>
      <c r="BG31">
        <v>0</v>
      </c>
      <c r="BH31">
        <v>0</v>
      </c>
      <c r="BI31" t="s">
        <v>199</v>
      </c>
      <c r="BJ31" t="s">
        <v>315</v>
      </c>
      <c r="BL31" t="s">
        <v>640</v>
      </c>
      <c r="BM31" t="s">
        <v>267</v>
      </c>
      <c r="BN31" t="s">
        <v>182</v>
      </c>
      <c r="BO31" t="s">
        <v>728</v>
      </c>
      <c r="BP31" t="s">
        <v>602</v>
      </c>
      <c r="BS31" t="s">
        <v>729</v>
      </c>
      <c r="BT31" t="s">
        <v>198</v>
      </c>
      <c r="BU31" t="s">
        <v>182</v>
      </c>
      <c r="BV31" t="s">
        <v>198</v>
      </c>
      <c r="BW31" t="s">
        <v>198</v>
      </c>
      <c r="BX31" t="s">
        <v>199</v>
      </c>
      <c r="BY31" t="s">
        <v>198</v>
      </c>
      <c r="BZ31" t="s">
        <v>199</v>
      </c>
      <c r="CA31" t="s">
        <v>199</v>
      </c>
      <c r="CB31" t="s">
        <v>747</v>
      </c>
      <c r="CC31" t="s">
        <v>201</v>
      </c>
      <c r="CD31" t="s">
        <v>182</v>
      </c>
      <c r="CE31" t="s">
        <v>748</v>
      </c>
      <c r="CF31" t="s">
        <v>413</v>
      </c>
      <c r="CG31" t="s">
        <v>177</v>
      </c>
      <c r="CH31" t="s">
        <v>749</v>
      </c>
      <c r="CI31" t="s">
        <v>750</v>
      </c>
      <c r="CJ31" t="s">
        <v>635</v>
      </c>
      <c r="CK31" t="s">
        <v>232</v>
      </c>
      <c r="CL31" t="s">
        <v>233</v>
      </c>
      <c r="CM31" t="s">
        <v>751</v>
      </c>
      <c r="CN31" t="s">
        <v>235</v>
      </c>
      <c r="CO31" t="s">
        <v>183</v>
      </c>
      <c r="CP31" t="s">
        <v>211</v>
      </c>
      <c r="CQ31" t="s">
        <v>270</v>
      </c>
      <c r="CS31" t="s">
        <v>752</v>
      </c>
      <c r="CT31" t="s">
        <v>337</v>
      </c>
      <c r="CU31" t="s">
        <v>292</v>
      </c>
      <c r="CV31" t="s">
        <v>293</v>
      </c>
      <c r="CW31" t="s">
        <v>753</v>
      </c>
      <c r="CX31" t="s">
        <v>235</v>
      </c>
      <c r="CY31" t="s">
        <v>183</v>
      </c>
      <c r="CZ31" t="s">
        <v>211</v>
      </c>
      <c r="DA31" t="s">
        <v>337</v>
      </c>
      <c r="DC31" t="s">
        <v>752</v>
      </c>
      <c r="DD31" t="s">
        <v>754</v>
      </c>
      <c r="DE31" t="s">
        <v>238</v>
      </c>
      <c r="DF31" t="s">
        <v>239</v>
      </c>
      <c r="DG31" t="s">
        <v>755</v>
      </c>
      <c r="DH31" t="s">
        <v>331</v>
      </c>
      <c r="DI31" t="s">
        <v>183</v>
      </c>
      <c r="DJ31" t="s">
        <v>211</v>
      </c>
      <c r="DK31" t="s">
        <v>296</v>
      </c>
      <c r="DM31" t="s">
        <v>613</v>
      </c>
      <c r="DN31" t="s">
        <v>756</v>
      </c>
      <c r="DO31" t="s">
        <v>346</v>
      </c>
      <c r="DP31" t="s">
        <v>347</v>
      </c>
      <c r="DQ31" t="s">
        <v>757</v>
      </c>
      <c r="DR31" t="s">
        <v>615</v>
      </c>
      <c r="DS31" t="s">
        <v>183</v>
      </c>
      <c r="DT31" t="s">
        <v>211</v>
      </c>
      <c r="DU31" t="s">
        <v>444</v>
      </c>
      <c r="DW31" t="s">
        <v>613</v>
      </c>
      <c r="DX31" t="s">
        <v>758</v>
      </c>
      <c r="DY31" t="s">
        <v>207</v>
      </c>
      <c r="DZ31" t="s">
        <v>208</v>
      </c>
      <c r="EA31" t="s">
        <v>759</v>
      </c>
      <c r="EB31" t="s">
        <v>314</v>
      </c>
      <c r="EC31" t="s">
        <v>183</v>
      </c>
      <c r="ED31" t="s">
        <v>211</v>
      </c>
      <c r="EE31" t="s">
        <v>345</v>
      </c>
      <c r="EG31" t="s">
        <v>619</v>
      </c>
      <c r="EQ31" t="s">
        <v>198</v>
      </c>
      <c r="FA31" t="s">
        <v>198</v>
      </c>
      <c r="FK31" t="s">
        <v>198</v>
      </c>
      <c r="FU31" t="s">
        <v>198</v>
      </c>
    </row>
    <row r="32" spans="1:177">
      <c r="A32" s="1" t="str">
        <f>HYPERLINK("http://digipan.lumentumllc.com/apps/getLink/index.php?t=PropLink&amp;p=5246470","PL")</f>
        <v>PL</v>
      </c>
      <c r="B32" s="1" t="str">
        <f>HYPERLINK("http://digipan.lumentumllc.com/apps/getLink/index.php?t=TaxLink&amp;p=5246470","TL")</f>
        <v>TL</v>
      </c>
      <c r="C32" s="1" t="str">
        <f>HYPERLINK("http://digipan.lumentumllc.com/apps/getMap/index.php?p=5246470","Map")</f>
        <v>Map</v>
      </c>
      <c r="E32" t="s">
        <v>177</v>
      </c>
      <c r="F32" t="s">
        <v>178</v>
      </c>
      <c r="L32" t="s">
        <v>760</v>
      </c>
      <c r="N32" t="s">
        <v>760</v>
      </c>
      <c r="O32" t="s">
        <v>760</v>
      </c>
      <c r="P32" t="s">
        <v>761</v>
      </c>
      <c r="Q32" t="s">
        <v>760</v>
      </c>
      <c r="V32">
        <v>37</v>
      </c>
      <c r="W32">
        <v>1</v>
      </c>
      <c r="X32">
        <v>2017</v>
      </c>
      <c r="Y32">
        <v>2018</v>
      </c>
      <c r="Z32">
        <v>916.71</v>
      </c>
      <c r="AB32" t="s">
        <v>181</v>
      </c>
      <c r="AC32" t="s">
        <v>182</v>
      </c>
      <c r="AD32" t="s">
        <v>183</v>
      </c>
      <c r="AE32">
        <v>2</v>
      </c>
      <c r="AF32">
        <v>3</v>
      </c>
      <c r="AG32" t="s">
        <v>762</v>
      </c>
      <c r="AH32">
        <v>50</v>
      </c>
      <c r="AI32">
        <v>1865.01</v>
      </c>
      <c r="AJ32">
        <v>93.25</v>
      </c>
      <c r="AK32">
        <v>1958.26</v>
      </c>
      <c r="AL32">
        <v>54036</v>
      </c>
      <c r="AM32">
        <v>54036</v>
      </c>
      <c r="AN32">
        <v>0</v>
      </c>
      <c r="AO32">
        <v>830</v>
      </c>
      <c r="AP32">
        <v>2016</v>
      </c>
      <c r="AQ32">
        <v>1.7</v>
      </c>
      <c r="AR32">
        <v>3.62</v>
      </c>
      <c r="AS32" t="s">
        <v>745</v>
      </c>
      <c r="AT32" t="s">
        <v>420</v>
      </c>
      <c r="AU32" t="s">
        <v>177</v>
      </c>
      <c r="AV32" t="s">
        <v>421</v>
      </c>
      <c r="AW32" t="s">
        <v>182</v>
      </c>
      <c r="AX32">
        <v>0</v>
      </c>
      <c r="AY32" t="s">
        <v>312</v>
      </c>
      <c r="AZ32" t="s">
        <v>199</v>
      </c>
      <c r="BA32" t="s">
        <v>313</v>
      </c>
      <c r="BB32" t="s">
        <v>191</v>
      </c>
      <c r="BC32" t="s">
        <v>182</v>
      </c>
      <c r="BD32" t="s">
        <v>182</v>
      </c>
      <c r="BE32" t="s">
        <v>763</v>
      </c>
      <c r="BF32">
        <v>0</v>
      </c>
      <c r="BG32">
        <v>0</v>
      </c>
      <c r="BH32">
        <v>0</v>
      </c>
      <c r="BI32" t="s">
        <v>199</v>
      </c>
      <c r="BJ32" t="s">
        <v>315</v>
      </c>
      <c r="BL32" t="s">
        <v>764</v>
      </c>
      <c r="BM32" t="s">
        <v>267</v>
      </c>
      <c r="BN32" t="s">
        <v>182</v>
      </c>
      <c r="BO32" t="s">
        <v>728</v>
      </c>
      <c r="BP32" t="s">
        <v>602</v>
      </c>
      <c r="BS32" t="s">
        <v>729</v>
      </c>
      <c r="BT32" t="s">
        <v>198</v>
      </c>
      <c r="BU32" t="s">
        <v>182</v>
      </c>
      <c r="BV32" t="s">
        <v>198</v>
      </c>
      <c r="BW32" t="s">
        <v>198</v>
      </c>
      <c r="BX32" t="s">
        <v>199</v>
      </c>
      <c r="BY32" t="s">
        <v>198</v>
      </c>
      <c r="BZ32" t="s">
        <v>199</v>
      </c>
      <c r="CA32" t="s">
        <v>199</v>
      </c>
      <c r="CB32" t="s">
        <v>765</v>
      </c>
      <c r="CC32" t="s">
        <v>201</v>
      </c>
      <c r="CD32" t="s">
        <v>202</v>
      </c>
      <c r="CE32" t="s">
        <v>766</v>
      </c>
      <c r="CF32" t="s">
        <v>413</v>
      </c>
      <c r="CG32" t="s">
        <v>177</v>
      </c>
      <c r="CH32" t="s">
        <v>414</v>
      </c>
      <c r="CI32" t="s">
        <v>767</v>
      </c>
      <c r="CJ32" t="s">
        <v>768</v>
      </c>
      <c r="CK32" t="s">
        <v>232</v>
      </c>
      <c r="CL32" t="s">
        <v>233</v>
      </c>
      <c r="CM32" t="s">
        <v>769</v>
      </c>
      <c r="CN32" t="s">
        <v>235</v>
      </c>
      <c r="CO32" t="s">
        <v>183</v>
      </c>
      <c r="CP32" t="s">
        <v>266</v>
      </c>
      <c r="CS32" t="s">
        <v>198</v>
      </c>
      <c r="CT32" t="s">
        <v>334</v>
      </c>
      <c r="CU32" t="s">
        <v>292</v>
      </c>
      <c r="CV32" t="s">
        <v>293</v>
      </c>
      <c r="CW32" t="s">
        <v>770</v>
      </c>
      <c r="CX32" t="s">
        <v>235</v>
      </c>
      <c r="CY32" t="s">
        <v>183</v>
      </c>
      <c r="CZ32" t="s">
        <v>266</v>
      </c>
      <c r="DC32" t="s">
        <v>198</v>
      </c>
      <c r="DD32" t="s">
        <v>771</v>
      </c>
      <c r="DE32" t="s">
        <v>238</v>
      </c>
      <c r="DF32" t="s">
        <v>239</v>
      </c>
      <c r="DG32" t="s">
        <v>772</v>
      </c>
      <c r="DH32" t="s">
        <v>331</v>
      </c>
      <c r="DI32" t="s">
        <v>183</v>
      </c>
      <c r="DJ32" t="s">
        <v>211</v>
      </c>
      <c r="DK32" t="s">
        <v>296</v>
      </c>
      <c r="DM32" t="s">
        <v>613</v>
      </c>
      <c r="DN32" t="s">
        <v>773</v>
      </c>
      <c r="DO32" t="s">
        <v>346</v>
      </c>
      <c r="DP32" t="s">
        <v>347</v>
      </c>
      <c r="DQ32" t="s">
        <v>774</v>
      </c>
      <c r="DR32" t="s">
        <v>469</v>
      </c>
      <c r="DS32" t="s">
        <v>183</v>
      </c>
      <c r="DT32" t="s">
        <v>211</v>
      </c>
      <c r="DU32" t="s">
        <v>444</v>
      </c>
      <c r="DW32" t="s">
        <v>613</v>
      </c>
      <c r="DX32" t="s">
        <v>775</v>
      </c>
      <c r="DY32" t="s">
        <v>207</v>
      </c>
      <c r="DZ32" t="s">
        <v>208</v>
      </c>
      <c r="EA32" t="s">
        <v>776</v>
      </c>
      <c r="EB32" t="s">
        <v>235</v>
      </c>
      <c r="EC32" t="s">
        <v>183</v>
      </c>
      <c r="ED32" t="s">
        <v>211</v>
      </c>
      <c r="EE32" t="s">
        <v>345</v>
      </c>
      <c r="EG32" t="s">
        <v>619</v>
      </c>
      <c r="EQ32" t="s">
        <v>198</v>
      </c>
      <c r="FA32" t="s">
        <v>198</v>
      </c>
      <c r="FK32" t="s">
        <v>198</v>
      </c>
      <c r="FU32" t="s">
        <v>198</v>
      </c>
    </row>
    <row r="33" spans="1:177">
      <c r="A33" s="1" t="str">
        <f>HYPERLINK("http://digipan.lumentumllc.com/apps/getLink/index.php?t=PropLink&amp;p=5246472","PL")</f>
        <v>PL</v>
      </c>
      <c r="B33" s="1" t="str">
        <f>HYPERLINK("http://digipan.lumentumllc.com/apps/getLink/index.php?t=TaxLink&amp;p=5246472","TL")</f>
        <v>TL</v>
      </c>
      <c r="C33" s="1" t="str">
        <f>HYPERLINK("http://digipan.lumentumllc.com/apps/getMap/index.php?p=5246472","Map")</f>
        <v>Map</v>
      </c>
      <c r="E33" t="s">
        <v>177</v>
      </c>
      <c r="F33" t="s">
        <v>178</v>
      </c>
      <c r="L33" t="s">
        <v>777</v>
      </c>
      <c r="N33" t="s">
        <v>777</v>
      </c>
      <c r="O33" t="s">
        <v>777</v>
      </c>
      <c r="P33" t="s">
        <v>778</v>
      </c>
      <c r="Q33" t="s">
        <v>777</v>
      </c>
      <c r="V33">
        <v>38</v>
      </c>
      <c r="W33">
        <v>1</v>
      </c>
      <c r="X33">
        <v>2017</v>
      </c>
      <c r="Y33">
        <v>2018</v>
      </c>
      <c r="Z33">
        <v>985</v>
      </c>
      <c r="AB33" t="s">
        <v>181</v>
      </c>
      <c r="AC33" t="s">
        <v>182</v>
      </c>
      <c r="AD33" t="s">
        <v>183</v>
      </c>
      <c r="AE33">
        <v>0</v>
      </c>
      <c r="AF33">
        <v>4</v>
      </c>
      <c r="AG33" t="s">
        <v>381</v>
      </c>
      <c r="AH33">
        <v>100</v>
      </c>
      <c r="AK33">
        <v>0</v>
      </c>
      <c r="AL33">
        <v>58206</v>
      </c>
      <c r="AM33">
        <v>58206</v>
      </c>
      <c r="AN33">
        <v>0</v>
      </c>
      <c r="AO33">
        <v>894</v>
      </c>
      <c r="AP33">
        <v>2016</v>
      </c>
      <c r="AQ33">
        <v>1.69</v>
      </c>
      <c r="AS33" t="s">
        <v>745</v>
      </c>
      <c r="AT33" t="s">
        <v>420</v>
      </c>
      <c r="AU33" t="s">
        <v>177</v>
      </c>
      <c r="AV33" t="s">
        <v>421</v>
      </c>
      <c r="AW33" t="s">
        <v>182</v>
      </c>
      <c r="AX33">
        <v>0</v>
      </c>
      <c r="AY33" t="s">
        <v>312</v>
      </c>
      <c r="AZ33" t="s">
        <v>199</v>
      </c>
      <c r="BA33" t="s">
        <v>313</v>
      </c>
      <c r="BB33" t="s">
        <v>191</v>
      </c>
      <c r="BC33" t="s">
        <v>182</v>
      </c>
      <c r="BD33" t="s">
        <v>182</v>
      </c>
      <c r="BE33" t="s">
        <v>779</v>
      </c>
      <c r="BF33">
        <v>0</v>
      </c>
      <c r="BG33">
        <v>0</v>
      </c>
      <c r="BH33">
        <v>0</v>
      </c>
      <c r="BI33" t="s">
        <v>199</v>
      </c>
      <c r="BJ33" t="s">
        <v>315</v>
      </c>
      <c r="BL33" t="s">
        <v>640</v>
      </c>
      <c r="BM33" t="s">
        <v>267</v>
      </c>
      <c r="BN33" t="s">
        <v>182</v>
      </c>
      <c r="BO33" t="s">
        <v>728</v>
      </c>
      <c r="BP33" t="s">
        <v>602</v>
      </c>
      <c r="BS33" t="s">
        <v>729</v>
      </c>
      <c r="BT33" t="s">
        <v>198</v>
      </c>
      <c r="BU33" t="s">
        <v>182</v>
      </c>
      <c r="BV33" t="s">
        <v>198</v>
      </c>
      <c r="BW33" t="s">
        <v>198</v>
      </c>
      <c r="BX33" t="s">
        <v>199</v>
      </c>
      <c r="BY33" t="s">
        <v>198</v>
      </c>
      <c r="BZ33" t="s">
        <v>199</v>
      </c>
      <c r="CA33" t="s">
        <v>199</v>
      </c>
      <c r="CB33" t="s">
        <v>780</v>
      </c>
      <c r="CC33" t="s">
        <v>201</v>
      </c>
      <c r="CD33" t="s">
        <v>182</v>
      </c>
      <c r="CE33" t="s">
        <v>781</v>
      </c>
      <c r="CF33" t="s">
        <v>413</v>
      </c>
      <c r="CG33" t="s">
        <v>177</v>
      </c>
      <c r="CH33" t="s">
        <v>782</v>
      </c>
      <c r="CI33" t="s">
        <v>783</v>
      </c>
      <c r="CJ33" t="s">
        <v>633</v>
      </c>
      <c r="CK33" t="s">
        <v>292</v>
      </c>
      <c r="CL33" t="s">
        <v>293</v>
      </c>
      <c r="CM33" t="s">
        <v>784</v>
      </c>
      <c r="CN33" t="s">
        <v>235</v>
      </c>
      <c r="CO33" t="s">
        <v>183</v>
      </c>
      <c r="CP33" t="s">
        <v>211</v>
      </c>
      <c r="CQ33" t="s">
        <v>342</v>
      </c>
      <c r="CS33" t="s">
        <v>785</v>
      </c>
      <c r="CT33" t="s">
        <v>786</v>
      </c>
      <c r="CU33" t="s">
        <v>238</v>
      </c>
      <c r="CV33" t="s">
        <v>239</v>
      </c>
      <c r="CW33" t="s">
        <v>787</v>
      </c>
      <c r="CX33" t="s">
        <v>331</v>
      </c>
      <c r="CY33" t="s">
        <v>183</v>
      </c>
      <c r="CZ33" t="s">
        <v>211</v>
      </c>
      <c r="DA33" t="s">
        <v>296</v>
      </c>
      <c r="DC33" t="s">
        <v>613</v>
      </c>
      <c r="DD33" t="s">
        <v>788</v>
      </c>
      <c r="DE33" t="s">
        <v>346</v>
      </c>
      <c r="DF33" t="s">
        <v>347</v>
      </c>
      <c r="DG33" t="s">
        <v>789</v>
      </c>
      <c r="DH33" t="s">
        <v>576</v>
      </c>
      <c r="DI33" t="s">
        <v>183</v>
      </c>
      <c r="DJ33" t="s">
        <v>211</v>
      </c>
      <c r="DK33" t="s">
        <v>444</v>
      </c>
      <c r="DM33" t="s">
        <v>613</v>
      </c>
      <c r="DN33" t="s">
        <v>790</v>
      </c>
      <c r="DO33" t="s">
        <v>207</v>
      </c>
      <c r="DP33" t="s">
        <v>208</v>
      </c>
      <c r="DQ33" t="s">
        <v>791</v>
      </c>
      <c r="DR33" t="s">
        <v>314</v>
      </c>
      <c r="DS33" t="s">
        <v>183</v>
      </c>
      <c r="DT33" t="s">
        <v>211</v>
      </c>
      <c r="DU33" t="s">
        <v>345</v>
      </c>
      <c r="DW33" t="s">
        <v>619</v>
      </c>
      <c r="EG33" t="s">
        <v>198</v>
      </c>
      <c r="EQ33" t="s">
        <v>198</v>
      </c>
      <c r="FA33" t="s">
        <v>198</v>
      </c>
      <c r="FK33" t="s">
        <v>198</v>
      </c>
      <c r="FU33" t="s">
        <v>198</v>
      </c>
    </row>
    <row r="34" spans="1:177">
      <c r="A34" s="1" t="str">
        <f>HYPERLINK("http://digipan.lumentumllc.com/apps/getLink/index.php?t=PropLink&amp;p=5246512","PL")</f>
        <v>PL</v>
      </c>
      <c r="B34" s="1" t="str">
        <f>HYPERLINK("http://digipan.lumentumllc.com/apps/getLink/index.php?t=TaxLink&amp;p=5246512","TL")</f>
        <v>TL</v>
      </c>
      <c r="C34" s="1" t="str">
        <f>HYPERLINK("http://digipan.lumentumllc.com/apps/getMap/index.php?p=5246512","Map")</f>
        <v>Map</v>
      </c>
      <c r="E34" t="s">
        <v>177</v>
      </c>
      <c r="F34" t="s">
        <v>178</v>
      </c>
      <c r="L34" t="s">
        <v>792</v>
      </c>
      <c r="N34" t="s">
        <v>792</v>
      </c>
      <c r="O34" t="s">
        <v>792</v>
      </c>
      <c r="P34" t="s">
        <v>793</v>
      </c>
      <c r="Q34" t="s">
        <v>792</v>
      </c>
      <c r="V34">
        <v>39</v>
      </c>
      <c r="W34">
        <v>1</v>
      </c>
      <c r="X34">
        <v>2017</v>
      </c>
      <c r="Y34">
        <v>2018</v>
      </c>
      <c r="Z34">
        <v>1052.32</v>
      </c>
      <c r="AB34" t="s">
        <v>181</v>
      </c>
      <c r="AC34" t="s">
        <v>182</v>
      </c>
      <c r="AD34" t="s">
        <v>183</v>
      </c>
      <c r="AE34">
        <v>2</v>
      </c>
      <c r="AF34">
        <v>5</v>
      </c>
      <c r="AG34" t="s">
        <v>794</v>
      </c>
      <c r="AH34">
        <v>71</v>
      </c>
      <c r="AI34">
        <v>1882.09</v>
      </c>
      <c r="AJ34">
        <v>94.1</v>
      </c>
      <c r="AK34">
        <v>1976.19</v>
      </c>
      <c r="AL34">
        <v>65788</v>
      </c>
      <c r="AM34">
        <v>24000</v>
      </c>
      <c r="AN34">
        <v>41788</v>
      </c>
      <c r="AO34">
        <v>832</v>
      </c>
      <c r="AP34">
        <v>2016</v>
      </c>
      <c r="AQ34">
        <v>1.6</v>
      </c>
      <c r="AR34">
        <v>3</v>
      </c>
      <c r="AS34" t="s">
        <v>795</v>
      </c>
      <c r="AT34" t="s">
        <v>420</v>
      </c>
      <c r="AU34" t="s">
        <v>177</v>
      </c>
      <c r="AV34" t="s">
        <v>421</v>
      </c>
      <c r="AW34" t="s">
        <v>182</v>
      </c>
      <c r="AX34">
        <v>2</v>
      </c>
      <c r="AY34" t="s">
        <v>188</v>
      </c>
      <c r="AZ34" t="s">
        <v>189</v>
      </c>
      <c r="BA34" t="s">
        <v>190</v>
      </c>
      <c r="BB34" t="s">
        <v>191</v>
      </c>
      <c r="BC34" t="s">
        <v>182</v>
      </c>
      <c r="BD34" t="s">
        <v>182</v>
      </c>
      <c r="BE34" t="s">
        <v>796</v>
      </c>
      <c r="BF34">
        <v>1</v>
      </c>
      <c r="BG34">
        <v>1</v>
      </c>
      <c r="BH34">
        <v>1996</v>
      </c>
      <c r="BI34" t="s">
        <v>450</v>
      </c>
      <c r="BJ34" t="s">
        <v>194</v>
      </c>
      <c r="BK34" t="s">
        <v>195</v>
      </c>
      <c r="BL34" t="s">
        <v>797</v>
      </c>
      <c r="BM34" t="s">
        <v>292</v>
      </c>
      <c r="BN34" t="s">
        <v>182</v>
      </c>
      <c r="BO34" t="s">
        <v>798</v>
      </c>
      <c r="BP34" t="s">
        <v>799</v>
      </c>
      <c r="BQ34" t="s">
        <v>800</v>
      </c>
      <c r="BR34" t="s">
        <v>563</v>
      </c>
      <c r="BS34" t="s">
        <v>198</v>
      </c>
      <c r="BT34" t="s">
        <v>801</v>
      </c>
      <c r="BU34" t="s">
        <v>182</v>
      </c>
      <c r="BV34" t="s">
        <v>198</v>
      </c>
      <c r="BW34" t="s">
        <v>198</v>
      </c>
      <c r="BX34" t="s">
        <v>199</v>
      </c>
      <c r="BY34" t="s">
        <v>198</v>
      </c>
      <c r="BZ34" t="s">
        <v>199</v>
      </c>
      <c r="CA34" t="s">
        <v>199</v>
      </c>
      <c r="CB34" t="s">
        <v>802</v>
      </c>
      <c r="CC34" t="s">
        <v>201</v>
      </c>
      <c r="CD34" t="s">
        <v>202</v>
      </c>
      <c r="CE34" t="s">
        <v>803</v>
      </c>
      <c r="CF34" t="s">
        <v>413</v>
      </c>
      <c r="CG34" t="s">
        <v>177</v>
      </c>
      <c r="CH34" t="s">
        <v>804</v>
      </c>
      <c r="CI34" t="s">
        <v>805</v>
      </c>
      <c r="CJ34" t="s">
        <v>806</v>
      </c>
      <c r="CK34" t="s">
        <v>232</v>
      </c>
      <c r="CL34" t="s">
        <v>233</v>
      </c>
      <c r="CM34" t="s">
        <v>807</v>
      </c>
      <c r="CN34" t="s">
        <v>235</v>
      </c>
      <c r="CO34" t="s">
        <v>183</v>
      </c>
      <c r="CP34" t="s">
        <v>266</v>
      </c>
      <c r="CS34" t="s">
        <v>198</v>
      </c>
      <c r="CT34" t="s">
        <v>808</v>
      </c>
      <c r="CU34" t="s">
        <v>292</v>
      </c>
      <c r="CV34" t="s">
        <v>293</v>
      </c>
      <c r="CW34" t="s">
        <v>809</v>
      </c>
      <c r="CX34" t="s">
        <v>235</v>
      </c>
      <c r="CY34" t="s">
        <v>183</v>
      </c>
      <c r="CZ34" t="s">
        <v>266</v>
      </c>
      <c r="DC34" t="s">
        <v>198</v>
      </c>
      <c r="DD34" t="s">
        <v>337</v>
      </c>
      <c r="DE34" t="s">
        <v>267</v>
      </c>
      <c r="DF34" t="s">
        <v>268</v>
      </c>
      <c r="DG34" t="s">
        <v>810</v>
      </c>
      <c r="DH34" t="s">
        <v>331</v>
      </c>
      <c r="DI34" t="s">
        <v>183</v>
      </c>
      <c r="DJ34" t="s">
        <v>211</v>
      </c>
      <c r="DK34" t="s">
        <v>199</v>
      </c>
      <c r="DM34" t="s">
        <v>811</v>
      </c>
      <c r="DN34" t="s">
        <v>334</v>
      </c>
      <c r="DO34" t="s">
        <v>273</v>
      </c>
      <c r="DP34" t="s">
        <v>274</v>
      </c>
      <c r="DQ34" t="s">
        <v>812</v>
      </c>
      <c r="DR34" t="s">
        <v>341</v>
      </c>
      <c r="DS34" t="s">
        <v>183</v>
      </c>
      <c r="DT34" t="s">
        <v>211</v>
      </c>
      <c r="DU34" t="s">
        <v>427</v>
      </c>
      <c r="DW34" t="s">
        <v>811</v>
      </c>
      <c r="DX34" t="s">
        <v>345</v>
      </c>
      <c r="DY34" t="s">
        <v>302</v>
      </c>
      <c r="DZ34" t="s">
        <v>303</v>
      </c>
      <c r="EA34" t="s">
        <v>813</v>
      </c>
      <c r="EB34" t="s">
        <v>235</v>
      </c>
      <c r="EC34" t="s">
        <v>183</v>
      </c>
      <c r="ED34" t="s">
        <v>211</v>
      </c>
      <c r="EE34" t="s">
        <v>633</v>
      </c>
      <c r="EG34" t="s">
        <v>811</v>
      </c>
      <c r="EH34" t="s">
        <v>814</v>
      </c>
      <c r="EI34" t="s">
        <v>238</v>
      </c>
      <c r="EJ34" t="s">
        <v>239</v>
      </c>
      <c r="EK34" t="s">
        <v>815</v>
      </c>
      <c r="EL34" t="s">
        <v>816</v>
      </c>
      <c r="EM34" t="s">
        <v>183</v>
      </c>
      <c r="EN34" t="s">
        <v>211</v>
      </c>
      <c r="EO34" t="s">
        <v>525</v>
      </c>
      <c r="EQ34" t="s">
        <v>464</v>
      </c>
      <c r="ER34" t="s">
        <v>817</v>
      </c>
      <c r="ES34" t="s">
        <v>346</v>
      </c>
      <c r="ET34" t="s">
        <v>347</v>
      </c>
      <c r="EU34" t="s">
        <v>818</v>
      </c>
      <c r="EV34" t="s">
        <v>469</v>
      </c>
      <c r="EW34" t="s">
        <v>183</v>
      </c>
      <c r="EX34" t="s">
        <v>211</v>
      </c>
      <c r="EY34" t="s">
        <v>298</v>
      </c>
      <c r="FA34" t="s">
        <v>522</v>
      </c>
      <c r="FK34" t="s">
        <v>198</v>
      </c>
      <c r="FU34" t="s">
        <v>198</v>
      </c>
    </row>
    <row r="35" spans="1:177">
      <c r="A35" s="1" t="str">
        <f>HYPERLINK("http://digipan.lumentumllc.com/apps/getLink/index.php?t=PropLink&amp;p=5246514","PL")</f>
        <v>PL</v>
      </c>
      <c r="B35" s="1" t="str">
        <f>HYPERLINK("http://digipan.lumentumllc.com/apps/getLink/index.php?t=TaxLink&amp;p=5246514","TL")</f>
        <v>TL</v>
      </c>
      <c r="C35" s="1" t="str">
        <f>HYPERLINK("http://digipan.lumentumllc.com/apps/getMap/index.php?p=5246514","Map")</f>
        <v>Map</v>
      </c>
      <c r="E35" t="s">
        <v>177</v>
      </c>
      <c r="F35" t="s">
        <v>178</v>
      </c>
      <c r="L35" t="s">
        <v>819</v>
      </c>
      <c r="N35" t="s">
        <v>819</v>
      </c>
      <c r="O35" t="s">
        <v>819</v>
      </c>
      <c r="P35" t="s">
        <v>820</v>
      </c>
      <c r="Q35" t="s">
        <v>819</v>
      </c>
      <c r="V35">
        <v>40</v>
      </c>
      <c r="W35">
        <v>1</v>
      </c>
      <c r="X35">
        <v>2017</v>
      </c>
      <c r="Y35">
        <v>2018</v>
      </c>
      <c r="Z35">
        <v>812.32</v>
      </c>
      <c r="AB35" t="s">
        <v>181</v>
      </c>
      <c r="AC35" t="s">
        <v>182</v>
      </c>
      <c r="AD35" t="s">
        <v>183</v>
      </c>
      <c r="AE35">
        <v>0</v>
      </c>
      <c r="AF35">
        <v>1</v>
      </c>
      <c r="AG35" t="s">
        <v>821</v>
      </c>
      <c r="AH35">
        <v>100</v>
      </c>
      <c r="AK35">
        <v>0</v>
      </c>
      <c r="AL35">
        <v>47660</v>
      </c>
      <c r="AM35">
        <v>40160</v>
      </c>
      <c r="AN35">
        <v>7500</v>
      </c>
      <c r="AO35">
        <v>693</v>
      </c>
      <c r="AP35">
        <v>2016</v>
      </c>
      <c r="AQ35">
        <v>1.7</v>
      </c>
      <c r="AS35" t="s">
        <v>822</v>
      </c>
      <c r="AT35" t="s">
        <v>420</v>
      </c>
      <c r="AU35" t="s">
        <v>177</v>
      </c>
      <c r="AV35" t="s">
        <v>421</v>
      </c>
      <c r="AW35" t="s">
        <v>182</v>
      </c>
      <c r="AX35">
        <v>0</v>
      </c>
      <c r="AY35" t="s">
        <v>312</v>
      </c>
      <c r="AZ35" t="s">
        <v>199</v>
      </c>
      <c r="BA35" t="s">
        <v>313</v>
      </c>
      <c r="BB35" t="s">
        <v>191</v>
      </c>
      <c r="BC35" t="s">
        <v>182</v>
      </c>
      <c r="BD35" t="s">
        <v>182</v>
      </c>
      <c r="BE35" t="s">
        <v>823</v>
      </c>
      <c r="BF35">
        <v>1</v>
      </c>
      <c r="BG35">
        <v>0</v>
      </c>
      <c r="BH35">
        <v>0</v>
      </c>
      <c r="BI35" t="s">
        <v>199</v>
      </c>
      <c r="BJ35" t="s">
        <v>396</v>
      </c>
      <c r="BL35" t="s">
        <v>824</v>
      </c>
      <c r="BM35" t="s">
        <v>207</v>
      </c>
      <c r="BN35" t="s">
        <v>182</v>
      </c>
      <c r="BO35" t="s">
        <v>825</v>
      </c>
      <c r="BP35" t="s">
        <v>826</v>
      </c>
      <c r="BQ35" t="s">
        <v>226</v>
      </c>
      <c r="BR35" t="s">
        <v>227</v>
      </c>
      <c r="BS35" t="s">
        <v>198</v>
      </c>
      <c r="BT35" t="s">
        <v>827</v>
      </c>
      <c r="BU35" t="s">
        <v>182</v>
      </c>
      <c r="BV35" t="s">
        <v>198</v>
      </c>
      <c r="BW35" t="s">
        <v>198</v>
      </c>
      <c r="BX35" t="s">
        <v>199</v>
      </c>
      <c r="BY35" t="s">
        <v>198</v>
      </c>
      <c r="BZ35" t="s">
        <v>199</v>
      </c>
      <c r="CA35" t="s">
        <v>199</v>
      </c>
      <c r="CB35" t="s">
        <v>828</v>
      </c>
      <c r="CC35" t="s">
        <v>201</v>
      </c>
      <c r="CD35" t="s">
        <v>182</v>
      </c>
      <c r="CE35" t="s">
        <v>829</v>
      </c>
      <c r="CF35" t="s">
        <v>425</v>
      </c>
      <c r="CG35" t="s">
        <v>177</v>
      </c>
      <c r="CH35" t="s">
        <v>421</v>
      </c>
      <c r="CI35" t="s">
        <v>830</v>
      </c>
      <c r="CJ35" t="s">
        <v>831</v>
      </c>
      <c r="CK35" t="s">
        <v>346</v>
      </c>
      <c r="CL35" t="s">
        <v>347</v>
      </c>
      <c r="CM35" t="s">
        <v>832</v>
      </c>
      <c r="CN35" t="s">
        <v>833</v>
      </c>
      <c r="CO35" t="s">
        <v>183</v>
      </c>
      <c r="CP35" t="s">
        <v>211</v>
      </c>
      <c r="CQ35" t="s">
        <v>250</v>
      </c>
      <c r="CS35" t="s">
        <v>834</v>
      </c>
      <c r="DC35" t="s">
        <v>198</v>
      </c>
      <c r="DM35" t="s">
        <v>198</v>
      </c>
      <c r="DW35" t="s">
        <v>198</v>
      </c>
      <c r="EG35" t="s">
        <v>198</v>
      </c>
      <c r="EQ35" t="s">
        <v>198</v>
      </c>
      <c r="FA35" t="s">
        <v>198</v>
      </c>
      <c r="FK35" t="s">
        <v>198</v>
      </c>
      <c r="FU35" t="s">
        <v>198</v>
      </c>
    </row>
    <row r="36" spans="1:177">
      <c r="A36" s="1" t="str">
        <f>HYPERLINK("http://digipan.lumentumllc.com/apps/getLink/index.php?t=PropLink&amp;p=4637792","PL")</f>
        <v>PL</v>
      </c>
      <c r="B36" s="1" t="str">
        <f>HYPERLINK("http://digipan.lumentumllc.com/apps/getLink/index.php?t=TaxLink&amp;p=4637792","TL")</f>
        <v>TL</v>
      </c>
      <c r="C36" s="1" t="str">
        <f>HYPERLINK("http://digipan.lumentumllc.com/apps/getMap/index.php?p=4637792","Map")</f>
        <v>Map</v>
      </c>
      <c r="E36" t="s">
        <v>177</v>
      </c>
      <c r="F36" t="s">
        <v>178</v>
      </c>
      <c r="L36" t="s">
        <v>835</v>
      </c>
      <c r="N36" t="s">
        <v>835</v>
      </c>
      <c r="O36" t="s">
        <v>835</v>
      </c>
      <c r="P36" t="s">
        <v>836</v>
      </c>
      <c r="Q36" t="s">
        <v>835</v>
      </c>
      <c r="V36">
        <v>41</v>
      </c>
      <c r="W36">
        <v>1</v>
      </c>
      <c r="X36">
        <v>2017</v>
      </c>
      <c r="Y36">
        <v>2018</v>
      </c>
      <c r="Z36">
        <v>1460.02</v>
      </c>
      <c r="AB36" t="s">
        <v>181</v>
      </c>
      <c r="AC36" t="s">
        <v>182</v>
      </c>
      <c r="AD36" t="s">
        <v>183</v>
      </c>
      <c r="AE36">
        <v>0</v>
      </c>
      <c r="AF36">
        <v>4</v>
      </c>
      <c r="AG36" t="s">
        <v>381</v>
      </c>
      <c r="AH36">
        <v>100</v>
      </c>
      <c r="AK36">
        <v>0</v>
      </c>
      <c r="AL36">
        <v>87220</v>
      </c>
      <c r="AM36">
        <v>30000</v>
      </c>
      <c r="AN36">
        <v>57220</v>
      </c>
      <c r="AO36">
        <v>1302</v>
      </c>
      <c r="AP36">
        <v>2016</v>
      </c>
      <c r="AQ36">
        <v>1.67</v>
      </c>
      <c r="AS36" t="s">
        <v>837</v>
      </c>
      <c r="AT36" t="s">
        <v>420</v>
      </c>
      <c r="AU36" t="s">
        <v>177</v>
      </c>
      <c r="AV36" t="s">
        <v>421</v>
      </c>
      <c r="AW36" t="s">
        <v>182</v>
      </c>
      <c r="AX36">
        <v>2</v>
      </c>
      <c r="AY36" t="s">
        <v>188</v>
      </c>
      <c r="AZ36" t="s">
        <v>189</v>
      </c>
      <c r="BA36" t="s">
        <v>190</v>
      </c>
      <c r="BB36" t="s">
        <v>191</v>
      </c>
      <c r="BC36" t="s">
        <v>182</v>
      </c>
      <c r="BD36" t="s">
        <v>182</v>
      </c>
      <c r="BE36" t="s">
        <v>838</v>
      </c>
      <c r="BF36">
        <v>1</v>
      </c>
      <c r="BG36">
        <v>1</v>
      </c>
      <c r="BH36">
        <v>2000</v>
      </c>
      <c r="BI36" t="s">
        <v>839</v>
      </c>
      <c r="BJ36" t="s">
        <v>194</v>
      </c>
      <c r="BK36" t="s">
        <v>840</v>
      </c>
      <c r="BL36" t="s">
        <v>841</v>
      </c>
      <c r="BM36" t="s">
        <v>368</v>
      </c>
      <c r="BN36" t="s">
        <v>182</v>
      </c>
      <c r="BO36" t="s">
        <v>842</v>
      </c>
      <c r="BP36" t="s">
        <v>843</v>
      </c>
      <c r="BS36" t="s">
        <v>844</v>
      </c>
      <c r="BT36" t="s">
        <v>198</v>
      </c>
      <c r="BU36" t="s">
        <v>182</v>
      </c>
      <c r="BV36" t="s">
        <v>198</v>
      </c>
      <c r="BW36" t="s">
        <v>198</v>
      </c>
      <c r="BX36" t="s">
        <v>199</v>
      </c>
      <c r="BY36" t="s">
        <v>198</v>
      </c>
      <c r="BZ36" t="s">
        <v>199</v>
      </c>
      <c r="CA36" t="s">
        <v>199</v>
      </c>
      <c r="CB36" t="s">
        <v>845</v>
      </c>
      <c r="CC36" t="s">
        <v>201</v>
      </c>
      <c r="CD36" t="s">
        <v>182</v>
      </c>
      <c r="CE36" t="s">
        <v>846</v>
      </c>
      <c r="CF36" t="s">
        <v>425</v>
      </c>
      <c r="CG36" t="s">
        <v>177</v>
      </c>
      <c r="CH36" t="s">
        <v>421</v>
      </c>
      <c r="CI36" t="s">
        <v>805</v>
      </c>
      <c r="CJ36" t="s">
        <v>847</v>
      </c>
      <c r="CK36" t="s">
        <v>292</v>
      </c>
      <c r="CL36" t="s">
        <v>293</v>
      </c>
      <c r="CM36" t="s">
        <v>848</v>
      </c>
      <c r="CN36" t="s">
        <v>235</v>
      </c>
      <c r="CO36" t="s">
        <v>183</v>
      </c>
      <c r="CP36" t="s">
        <v>211</v>
      </c>
      <c r="CQ36" t="s">
        <v>296</v>
      </c>
      <c r="CS36" t="s">
        <v>849</v>
      </c>
      <c r="CT36" t="s">
        <v>633</v>
      </c>
      <c r="CU36" t="s">
        <v>273</v>
      </c>
      <c r="CV36" t="s">
        <v>274</v>
      </c>
      <c r="CW36" t="s">
        <v>850</v>
      </c>
      <c r="CX36" t="s">
        <v>235</v>
      </c>
      <c r="CY36" t="s">
        <v>183</v>
      </c>
      <c r="CZ36" t="s">
        <v>211</v>
      </c>
      <c r="DA36" t="s">
        <v>270</v>
      </c>
      <c r="DC36" t="s">
        <v>851</v>
      </c>
      <c r="DD36" t="s">
        <v>852</v>
      </c>
      <c r="DE36" t="s">
        <v>238</v>
      </c>
      <c r="DF36" t="s">
        <v>239</v>
      </c>
      <c r="DG36" t="s">
        <v>853</v>
      </c>
      <c r="DH36" t="s">
        <v>440</v>
      </c>
      <c r="DI36" t="s">
        <v>183</v>
      </c>
      <c r="DJ36" t="s">
        <v>211</v>
      </c>
      <c r="DK36" t="s">
        <v>250</v>
      </c>
      <c r="DM36" t="s">
        <v>854</v>
      </c>
      <c r="DN36" t="s">
        <v>855</v>
      </c>
      <c r="DO36" t="s">
        <v>207</v>
      </c>
      <c r="DP36" t="s">
        <v>208</v>
      </c>
      <c r="DQ36" t="s">
        <v>856</v>
      </c>
      <c r="DR36" t="s">
        <v>576</v>
      </c>
      <c r="DS36" t="s">
        <v>183</v>
      </c>
      <c r="DT36" t="s">
        <v>211</v>
      </c>
      <c r="DU36" t="s">
        <v>290</v>
      </c>
      <c r="DW36" t="s">
        <v>857</v>
      </c>
      <c r="EG36" t="s">
        <v>198</v>
      </c>
      <c r="EQ36" t="s">
        <v>198</v>
      </c>
      <c r="FA36" t="s">
        <v>198</v>
      </c>
      <c r="FK36" t="s">
        <v>198</v>
      </c>
      <c r="FU36" t="s">
        <v>198</v>
      </c>
    </row>
    <row r="37" spans="1:177">
      <c r="A37" s="1" t="str">
        <f>HYPERLINK("http://digipan.lumentumllc.com/apps/getLink/index.php?t=PropLink&amp;p=5246516","PL")</f>
        <v>PL</v>
      </c>
      <c r="B37" s="1" t="str">
        <f>HYPERLINK("http://digipan.lumentumllc.com/apps/getLink/index.php?t=TaxLink&amp;p=5246516","TL")</f>
        <v>TL</v>
      </c>
      <c r="C37" s="1" t="str">
        <f>HYPERLINK("http://digipan.lumentumllc.com/apps/getMap/index.php?p=5246516","Map")</f>
        <v>Map</v>
      </c>
      <c r="E37" t="s">
        <v>177</v>
      </c>
      <c r="F37" t="s">
        <v>178</v>
      </c>
      <c r="L37" t="s">
        <v>858</v>
      </c>
      <c r="N37" t="s">
        <v>858</v>
      </c>
      <c r="O37" t="s">
        <v>858</v>
      </c>
      <c r="P37" t="s">
        <v>859</v>
      </c>
      <c r="Q37" t="s">
        <v>858</v>
      </c>
      <c r="V37">
        <v>42</v>
      </c>
      <c r="W37">
        <v>1</v>
      </c>
      <c r="X37">
        <v>2017</v>
      </c>
      <c r="Y37">
        <v>2018</v>
      </c>
      <c r="Z37">
        <v>439.88</v>
      </c>
      <c r="AB37" t="s">
        <v>181</v>
      </c>
      <c r="AC37" t="s">
        <v>182</v>
      </c>
      <c r="AD37" t="s">
        <v>183</v>
      </c>
      <c r="AE37">
        <v>1</v>
      </c>
      <c r="AF37">
        <v>6</v>
      </c>
      <c r="AG37" t="s">
        <v>418</v>
      </c>
      <c r="AH37">
        <v>86</v>
      </c>
      <c r="AI37">
        <v>423.55</v>
      </c>
      <c r="AJ37">
        <v>21.18</v>
      </c>
      <c r="AK37">
        <v>444.73</v>
      </c>
      <c r="AL37">
        <v>61798</v>
      </c>
      <c r="AM37">
        <v>20400</v>
      </c>
      <c r="AN37">
        <v>41398</v>
      </c>
      <c r="AO37">
        <v>367</v>
      </c>
      <c r="AP37">
        <v>2016</v>
      </c>
      <c r="AQ37">
        <v>0.71</v>
      </c>
      <c r="AR37">
        <v>0.72</v>
      </c>
      <c r="AS37" t="s">
        <v>860</v>
      </c>
      <c r="AT37" t="s">
        <v>420</v>
      </c>
      <c r="AU37" t="s">
        <v>177</v>
      </c>
      <c r="AV37" t="s">
        <v>421</v>
      </c>
      <c r="AW37" t="s">
        <v>202</v>
      </c>
      <c r="AX37">
        <v>2</v>
      </c>
      <c r="AY37" t="s">
        <v>188</v>
      </c>
      <c r="AZ37" t="s">
        <v>189</v>
      </c>
      <c r="BA37" t="s">
        <v>190</v>
      </c>
      <c r="BB37" t="s">
        <v>191</v>
      </c>
      <c r="BC37" t="s">
        <v>182</v>
      </c>
      <c r="BD37" t="s">
        <v>182</v>
      </c>
      <c r="BE37" t="s">
        <v>365</v>
      </c>
      <c r="BF37">
        <v>1</v>
      </c>
      <c r="BG37">
        <v>1</v>
      </c>
      <c r="BH37">
        <v>2001</v>
      </c>
      <c r="BI37" t="s">
        <v>861</v>
      </c>
      <c r="BJ37" t="s">
        <v>194</v>
      </c>
      <c r="BK37" t="s">
        <v>195</v>
      </c>
      <c r="BL37" t="s">
        <v>862</v>
      </c>
      <c r="BM37" t="s">
        <v>368</v>
      </c>
      <c r="BN37" t="s">
        <v>182</v>
      </c>
      <c r="BO37" t="s">
        <v>198</v>
      </c>
      <c r="BP37" t="s">
        <v>198</v>
      </c>
      <c r="BQ37" t="s">
        <v>198</v>
      </c>
      <c r="BR37" t="s">
        <v>198</v>
      </c>
      <c r="BS37" t="s">
        <v>198</v>
      </c>
      <c r="BT37" t="s">
        <v>198</v>
      </c>
      <c r="BU37" t="s">
        <v>182</v>
      </c>
      <c r="BV37" t="s">
        <v>198</v>
      </c>
      <c r="BW37" t="s">
        <v>198</v>
      </c>
      <c r="BX37" t="s">
        <v>199</v>
      </c>
      <c r="BY37" t="s">
        <v>198</v>
      </c>
      <c r="BZ37" t="s">
        <v>199</v>
      </c>
      <c r="CA37" t="s">
        <v>199</v>
      </c>
      <c r="CB37" t="s">
        <v>863</v>
      </c>
      <c r="CC37" t="s">
        <v>201</v>
      </c>
      <c r="CD37" t="s">
        <v>182</v>
      </c>
      <c r="CE37" t="s">
        <v>864</v>
      </c>
      <c r="CF37" t="s">
        <v>425</v>
      </c>
      <c r="CG37" t="s">
        <v>177</v>
      </c>
      <c r="CH37" t="s">
        <v>421</v>
      </c>
      <c r="CI37" t="s">
        <v>805</v>
      </c>
      <c r="CJ37" t="s">
        <v>865</v>
      </c>
      <c r="CK37" t="s">
        <v>232</v>
      </c>
      <c r="CL37" t="s">
        <v>233</v>
      </c>
      <c r="CM37" t="s">
        <v>866</v>
      </c>
      <c r="CN37" t="s">
        <v>235</v>
      </c>
      <c r="CO37" t="s">
        <v>183</v>
      </c>
      <c r="CP37" t="s">
        <v>266</v>
      </c>
      <c r="CS37" t="s">
        <v>198</v>
      </c>
      <c r="CT37" t="s">
        <v>616</v>
      </c>
      <c r="CU37" t="s">
        <v>292</v>
      </c>
      <c r="CV37" t="s">
        <v>293</v>
      </c>
      <c r="CW37" t="s">
        <v>867</v>
      </c>
      <c r="CX37" t="s">
        <v>235</v>
      </c>
      <c r="CY37" t="s">
        <v>183</v>
      </c>
      <c r="CZ37" t="s">
        <v>211</v>
      </c>
      <c r="DA37" t="s">
        <v>329</v>
      </c>
      <c r="DC37" t="s">
        <v>868</v>
      </c>
      <c r="DD37" t="s">
        <v>334</v>
      </c>
      <c r="DE37" t="s">
        <v>267</v>
      </c>
      <c r="DF37" t="s">
        <v>268</v>
      </c>
      <c r="DG37" t="s">
        <v>869</v>
      </c>
      <c r="DH37" t="s">
        <v>235</v>
      </c>
      <c r="DI37" t="s">
        <v>183</v>
      </c>
      <c r="DJ37" t="s">
        <v>211</v>
      </c>
      <c r="DK37" t="s">
        <v>298</v>
      </c>
      <c r="DM37" t="s">
        <v>868</v>
      </c>
      <c r="DN37" t="s">
        <v>808</v>
      </c>
      <c r="DO37" t="s">
        <v>273</v>
      </c>
      <c r="DP37" t="s">
        <v>274</v>
      </c>
      <c r="DQ37" t="s">
        <v>870</v>
      </c>
      <c r="DR37" t="s">
        <v>514</v>
      </c>
      <c r="DS37" t="s">
        <v>183</v>
      </c>
      <c r="DT37" t="s">
        <v>211</v>
      </c>
      <c r="DU37" t="s">
        <v>298</v>
      </c>
      <c r="DW37" t="s">
        <v>871</v>
      </c>
      <c r="DX37" t="s">
        <v>334</v>
      </c>
      <c r="DY37" t="s">
        <v>302</v>
      </c>
      <c r="DZ37" t="s">
        <v>303</v>
      </c>
      <c r="EA37" t="s">
        <v>872</v>
      </c>
      <c r="EB37" t="s">
        <v>436</v>
      </c>
      <c r="EC37" t="s">
        <v>183</v>
      </c>
      <c r="ED37" t="s">
        <v>211</v>
      </c>
      <c r="EE37" t="s">
        <v>525</v>
      </c>
      <c r="EG37" t="s">
        <v>871</v>
      </c>
      <c r="EH37" t="s">
        <v>873</v>
      </c>
      <c r="EI37" t="s">
        <v>238</v>
      </c>
      <c r="EJ37" t="s">
        <v>239</v>
      </c>
      <c r="EK37" t="s">
        <v>874</v>
      </c>
      <c r="EL37" t="s">
        <v>440</v>
      </c>
      <c r="EM37" t="s">
        <v>183</v>
      </c>
      <c r="EN37" t="s">
        <v>211</v>
      </c>
      <c r="EO37" t="s">
        <v>298</v>
      </c>
      <c r="EQ37" t="s">
        <v>875</v>
      </c>
      <c r="ER37" t="s">
        <v>876</v>
      </c>
      <c r="ES37" t="s">
        <v>346</v>
      </c>
      <c r="ET37" t="s">
        <v>347</v>
      </c>
      <c r="EU37" t="s">
        <v>877</v>
      </c>
      <c r="EV37" t="s">
        <v>247</v>
      </c>
      <c r="EW37" t="s">
        <v>183</v>
      </c>
      <c r="EX37" t="s">
        <v>211</v>
      </c>
      <c r="EY37" t="s">
        <v>298</v>
      </c>
      <c r="FA37" t="s">
        <v>878</v>
      </c>
      <c r="FK37" t="s">
        <v>198</v>
      </c>
      <c r="FU37" t="s">
        <v>198</v>
      </c>
    </row>
    <row r="38" spans="1:177">
      <c r="A38" s="1" t="str">
        <f>HYPERLINK("http://digipan.lumentumllc.com/apps/getLink/index.php?t=PropLink&amp;p=5245006","PL")</f>
        <v>PL</v>
      </c>
      <c r="B38" s="1" t="str">
        <f>HYPERLINK("http://digipan.lumentumllc.com/apps/getLink/index.php?t=TaxLink&amp;p=5245006","TL")</f>
        <v>TL</v>
      </c>
      <c r="C38" s="1" t="str">
        <f>HYPERLINK("http://digipan.lumentumllc.com/apps/getMap/index.php?p=5245006","Map")</f>
        <v>Map</v>
      </c>
      <c r="E38" t="s">
        <v>177</v>
      </c>
      <c r="F38" t="s">
        <v>178</v>
      </c>
      <c r="L38" t="s">
        <v>879</v>
      </c>
      <c r="N38" t="s">
        <v>879</v>
      </c>
      <c r="O38" t="s">
        <v>879</v>
      </c>
      <c r="P38" t="s">
        <v>880</v>
      </c>
      <c r="Q38" t="s">
        <v>879</v>
      </c>
      <c r="V38">
        <v>43</v>
      </c>
      <c r="W38">
        <v>1</v>
      </c>
      <c r="X38">
        <v>2017</v>
      </c>
      <c r="Y38">
        <v>2018</v>
      </c>
      <c r="Z38">
        <v>575.33000000000004</v>
      </c>
      <c r="AB38" t="s">
        <v>181</v>
      </c>
      <c r="AC38" t="s">
        <v>182</v>
      </c>
      <c r="AD38" t="s">
        <v>183</v>
      </c>
      <c r="AE38">
        <v>0</v>
      </c>
      <c r="AF38">
        <v>2</v>
      </c>
      <c r="AG38" t="s">
        <v>216</v>
      </c>
      <c r="AH38">
        <v>100</v>
      </c>
      <c r="AK38">
        <v>0</v>
      </c>
      <c r="AL38">
        <v>86618</v>
      </c>
      <c r="AM38">
        <v>17250</v>
      </c>
      <c r="AN38">
        <v>69368</v>
      </c>
      <c r="AO38">
        <v>502</v>
      </c>
      <c r="AP38">
        <v>2016</v>
      </c>
      <c r="AQ38">
        <v>0.66</v>
      </c>
      <c r="AS38" t="s">
        <v>881</v>
      </c>
      <c r="AT38" t="s">
        <v>420</v>
      </c>
      <c r="AU38" t="s">
        <v>177</v>
      </c>
      <c r="AV38" t="s">
        <v>421</v>
      </c>
      <c r="AW38" t="s">
        <v>202</v>
      </c>
      <c r="AX38">
        <v>2</v>
      </c>
      <c r="AY38" t="s">
        <v>188</v>
      </c>
      <c r="AZ38" t="s">
        <v>189</v>
      </c>
      <c r="BA38" t="s">
        <v>190</v>
      </c>
      <c r="BB38" t="s">
        <v>191</v>
      </c>
      <c r="BC38" t="s">
        <v>182</v>
      </c>
      <c r="BD38" t="s">
        <v>182</v>
      </c>
      <c r="BE38" t="s">
        <v>882</v>
      </c>
      <c r="BF38">
        <v>1</v>
      </c>
      <c r="BG38">
        <v>1</v>
      </c>
      <c r="BH38">
        <v>2002</v>
      </c>
      <c r="BI38" t="s">
        <v>883</v>
      </c>
      <c r="BJ38" t="s">
        <v>194</v>
      </c>
      <c r="BK38" t="s">
        <v>195</v>
      </c>
      <c r="BL38" t="s">
        <v>884</v>
      </c>
      <c r="BM38" t="s">
        <v>207</v>
      </c>
      <c r="BN38" t="s">
        <v>182</v>
      </c>
      <c r="BO38" t="s">
        <v>885</v>
      </c>
      <c r="BP38" t="s">
        <v>886</v>
      </c>
      <c r="BQ38" t="s">
        <v>226</v>
      </c>
      <c r="BR38" t="s">
        <v>227</v>
      </c>
      <c r="BS38" t="s">
        <v>198</v>
      </c>
      <c r="BT38" t="s">
        <v>887</v>
      </c>
      <c r="BU38" t="s">
        <v>182</v>
      </c>
      <c r="BV38" t="s">
        <v>198</v>
      </c>
      <c r="BW38" t="s">
        <v>198</v>
      </c>
      <c r="BX38" t="s">
        <v>199</v>
      </c>
      <c r="BY38" t="s">
        <v>198</v>
      </c>
      <c r="BZ38" t="s">
        <v>199</v>
      </c>
      <c r="CA38" t="s">
        <v>199</v>
      </c>
      <c r="CB38" t="s">
        <v>888</v>
      </c>
      <c r="CC38" t="s">
        <v>201</v>
      </c>
      <c r="CD38" t="s">
        <v>182</v>
      </c>
      <c r="CE38" t="s">
        <v>889</v>
      </c>
      <c r="CF38" t="s">
        <v>425</v>
      </c>
      <c r="CG38" t="s">
        <v>177</v>
      </c>
      <c r="CH38" t="s">
        <v>421</v>
      </c>
      <c r="CI38" t="s">
        <v>890</v>
      </c>
      <c r="CJ38" t="s">
        <v>633</v>
      </c>
      <c r="CK38" t="s">
        <v>302</v>
      </c>
      <c r="CL38" t="s">
        <v>303</v>
      </c>
      <c r="CM38" t="s">
        <v>891</v>
      </c>
      <c r="CN38" t="s">
        <v>436</v>
      </c>
      <c r="CO38" t="s">
        <v>183</v>
      </c>
      <c r="CP38" t="s">
        <v>211</v>
      </c>
      <c r="CQ38" t="s">
        <v>212</v>
      </c>
      <c r="CS38" t="s">
        <v>892</v>
      </c>
      <c r="CT38" t="s">
        <v>893</v>
      </c>
      <c r="CU38" t="s">
        <v>238</v>
      </c>
      <c r="CV38" t="s">
        <v>239</v>
      </c>
      <c r="CW38" t="s">
        <v>894</v>
      </c>
      <c r="CX38" t="s">
        <v>440</v>
      </c>
      <c r="CY38" t="s">
        <v>183</v>
      </c>
      <c r="CZ38" t="s">
        <v>211</v>
      </c>
      <c r="DA38" t="s">
        <v>189</v>
      </c>
      <c r="DC38" t="s">
        <v>895</v>
      </c>
      <c r="DM38" t="s">
        <v>198</v>
      </c>
      <c r="DW38" t="s">
        <v>198</v>
      </c>
      <c r="EG38" t="s">
        <v>198</v>
      </c>
      <c r="EQ38" t="s">
        <v>198</v>
      </c>
      <c r="FA38" t="s">
        <v>198</v>
      </c>
      <c r="FK38" t="s">
        <v>198</v>
      </c>
      <c r="FU38" t="s">
        <v>198</v>
      </c>
    </row>
    <row r="39" spans="1:177">
      <c r="A39" s="1" t="str">
        <f>HYPERLINK("http://digipan.lumentumllc.com/apps/getLink/index.php?t=PropLink&amp;p=5245007","PL")</f>
        <v>PL</v>
      </c>
      <c r="B39" s="1" t="str">
        <f>HYPERLINK("http://digipan.lumentumllc.com/apps/getLink/index.php?t=TaxLink&amp;p=5245007","TL")</f>
        <v>TL</v>
      </c>
      <c r="C39" s="1" t="str">
        <f>HYPERLINK("http://digipan.lumentumllc.com/apps/getMap/index.php?p=5245007","Map")</f>
        <v>Map</v>
      </c>
      <c r="E39" t="s">
        <v>177</v>
      </c>
      <c r="F39" t="s">
        <v>178</v>
      </c>
      <c r="L39" t="s">
        <v>896</v>
      </c>
      <c r="N39" t="s">
        <v>896</v>
      </c>
      <c r="O39" t="s">
        <v>896</v>
      </c>
      <c r="P39" t="s">
        <v>897</v>
      </c>
      <c r="Q39" t="s">
        <v>896</v>
      </c>
      <c r="V39">
        <v>44</v>
      </c>
      <c r="W39">
        <v>1</v>
      </c>
      <c r="X39">
        <v>2017</v>
      </c>
      <c r="Y39">
        <v>2018</v>
      </c>
      <c r="Z39">
        <v>1044.8499999999999</v>
      </c>
      <c r="AB39" t="s">
        <v>181</v>
      </c>
      <c r="AC39" t="s">
        <v>182</v>
      </c>
      <c r="AD39" t="s">
        <v>183</v>
      </c>
      <c r="AE39">
        <v>2</v>
      </c>
      <c r="AF39">
        <v>5</v>
      </c>
      <c r="AG39" t="s">
        <v>282</v>
      </c>
      <c r="AH39">
        <v>67</v>
      </c>
      <c r="AI39">
        <v>2013.92</v>
      </c>
      <c r="AJ39">
        <v>100.7</v>
      </c>
      <c r="AK39">
        <v>2114.62</v>
      </c>
      <c r="AL39">
        <v>89610</v>
      </c>
      <c r="AM39">
        <v>15150</v>
      </c>
      <c r="AN39">
        <v>74460</v>
      </c>
      <c r="AO39">
        <v>906</v>
      </c>
      <c r="AP39">
        <v>2016</v>
      </c>
      <c r="AQ39">
        <v>1.17</v>
      </c>
      <c r="AR39">
        <v>2.36</v>
      </c>
      <c r="AS39" t="s">
        <v>898</v>
      </c>
      <c r="AT39" t="s">
        <v>420</v>
      </c>
      <c r="AU39" t="s">
        <v>177</v>
      </c>
      <c r="AV39" t="s">
        <v>421</v>
      </c>
      <c r="AW39" t="s">
        <v>202</v>
      </c>
      <c r="AX39">
        <v>2</v>
      </c>
      <c r="AY39" t="s">
        <v>188</v>
      </c>
      <c r="AZ39" t="s">
        <v>189</v>
      </c>
      <c r="BA39" t="s">
        <v>190</v>
      </c>
      <c r="BB39" t="s">
        <v>191</v>
      </c>
      <c r="BC39" t="s">
        <v>182</v>
      </c>
      <c r="BD39" t="s">
        <v>182</v>
      </c>
      <c r="BE39" t="s">
        <v>899</v>
      </c>
      <c r="BF39">
        <v>1</v>
      </c>
      <c r="BG39">
        <v>1</v>
      </c>
      <c r="BH39">
        <v>2013</v>
      </c>
      <c r="BI39" t="s">
        <v>900</v>
      </c>
      <c r="BJ39" t="s">
        <v>194</v>
      </c>
      <c r="BK39" t="s">
        <v>195</v>
      </c>
      <c r="BL39" t="s">
        <v>901</v>
      </c>
      <c r="BM39" t="s">
        <v>559</v>
      </c>
      <c r="BN39" t="s">
        <v>182</v>
      </c>
      <c r="BO39" t="s">
        <v>902</v>
      </c>
      <c r="BP39" t="s">
        <v>903</v>
      </c>
      <c r="BQ39" t="s">
        <v>904</v>
      </c>
      <c r="BR39" t="s">
        <v>563</v>
      </c>
      <c r="BS39" t="s">
        <v>198</v>
      </c>
      <c r="BT39" t="s">
        <v>905</v>
      </c>
      <c r="BU39" t="s">
        <v>182</v>
      </c>
      <c r="BV39" t="s">
        <v>198</v>
      </c>
      <c r="BW39" t="s">
        <v>198</v>
      </c>
      <c r="BX39" t="s">
        <v>199</v>
      </c>
      <c r="BY39" t="s">
        <v>198</v>
      </c>
      <c r="BZ39" t="s">
        <v>199</v>
      </c>
      <c r="CA39" t="s">
        <v>199</v>
      </c>
      <c r="CB39" t="s">
        <v>906</v>
      </c>
      <c r="CC39" t="s">
        <v>201</v>
      </c>
      <c r="CD39" t="s">
        <v>202</v>
      </c>
      <c r="CE39" t="s">
        <v>907</v>
      </c>
      <c r="CF39" t="s">
        <v>425</v>
      </c>
      <c r="CG39" t="s">
        <v>177</v>
      </c>
      <c r="CH39" t="s">
        <v>421</v>
      </c>
      <c r="CI39" t="s">
        <v>908</v>
      </c>
      <c r="CJ39" t="s">
        <v>909</v>
      </c>
      <c r="CK39" t="s">
        <v>232</v>
      </c>
      <c r="CL39" t="s">
        <v>233</v>
      </c>
      <c r="CM39" t="s">
        <v>910</v>
      </c>
      <c r="CN39" t="s">
        <v>235</v>
      </c>
      <c r="CO39" t="s">
        <v>183</v>
      </c>
      <c r="CP39" t="s">
        <v>266</v>
      </c>
      <c r="CS39" t="s">
        <v>198</v>
      </c>
      <c r="CT39" t="s">
        <v>635</v>
      </c>
      <c r="CU39" t="s">
        <v>292</v>
      </c>
      <c r="CV39" t="s">
        <v>293</v>
      </c>
      <c r="CW39" t="s">
        <v>911</v>
      </c>
      <c r="CX39" t="s">
        <v>235</v>
      </c>
      <c r="CY39" t="s">
        <v>183</v>
      </c>
      <c r="CZ39" t="s">
        <v>266</v>
      </c>
      <c r="DC39" t="s">
        <v>198</v>
      </c>
      <c r="DD39" t="s">
        <v>633</v>
      </c>
      <c r="DE39" t="s">
        <v>267</v>
      </c>
      <c r="DF39" t="s">
        <v>268</v>
      </c>
      <c r="DG39" t="s">
        <v>912</v>
      </c>
      <c r="DH39" t="s">
        <v>235</v>
      </c>
      <c r="DI39" t="s">
        <v>183</v>
      </c>
      <c r="DJ39" t="s">
        <v>211</v>
      </c>
      <c r="DK39" t="s">
        <v>633</v>
      </c>
      <c r="DM39" t="s">
        <v>913</v>
      </c>
      <c r="DN39" t="s">
        <v>808</v>
      </c>
      <c r="DO39" t="s">
        <v>302</v>
      </c>
      <c r="DP39" t="s">
        <v>303</v>
      </c>
      <c r="DQ39" t="s">
        <v>914</v>
      </c>
      <c r="DR39" t="s">
        <v>436</v>
      </c>
      <c r="DS39" t="s">
        <v>183</v>
      </c>
      <c r="DT39" t="s">
        <v>211</v>
      </c>
      <c r="DU39" t="s">
        <v>212</v>
      </c>
      <c r="DW39" t="s">
        <v>915</v>
      </c>
      <c r="DX39" t="s">
        <v>916</v>
      </c>
      <c r="DY39" t="s">
        <v>238</v>
      </c>
      <c r="DZ39" t="s">
        <v>239</v>
      </c>
      <c r="EA39" t="s">
        <v>917</v>
      </c>
      <c r="EB39" t="s">
        <v>295</v>
      </c>
      <c r="EC39" t="s">
        <v>183</v>
      </c>
      <c r="ED39" t="s">
        <v>211</v>
      </c>
      <c r="EE39" t="s">
        <v>212</v>
      </c>
      <c r="EG39" t="s">
        <v>918</v>
      </c>
      <c r="EH39" t="s">
        <v>855</v>
      </c>
      <c r="EI39" t="s">
        <v>346</v>
      </c>
      <c r="EJ39" t="s">
        <v>347</v>
      </c>
      <c r="EK39" t="s">
        <v>919</v>
      </c>
      <c r="EL39" t="s">
        <v>247</v>
      </c>
      <c r="EM39" t="s">
        <v>183</v>
      </c>
      <c r="EN39" t="s">
        <v>211</v>
      </c>
      <c r="EO39" t="s">
        <v>334</v>
      </c>
      <c r="EQ39" t="s">
        <v>918</v>
      </c>
      <c r="ER39" t="s">
        <v>920</v>
      </c>
      <c r="ES39" t="s">
        <v>207</v>
      </c>
      <c r="ET39" t="s">
        <v>208</v>
      </c>
      <c r="EU39" t="s">
        <v>921</v>
      </c>
      <c r="EV39" t="s">
        <v>922</v>
      </c>
      <c r="EW39" t="s">
        <v>183</v>
      </c>
      <c r="EX39" t="s">
        <v>211</v>
      </c>
      <c r="EY39" t="s">
        <v>493</v>
      </c>
      <c r="FA39" t="s">
        <v>923</v>
      </c>
      <c r="FK39" t="s">
        <v>198</v>
      </c>
      <c r="FU39" t="s">
        <v>198</v>
      </c>
    </row>
    <row r="40" spans="1:177">
      <c r="A40" s="1" t="str">
        <f>HYPERLINK("http://digipan.lumentumllc.com/apps/getLink/index.php?t=PropLink&amp;p=5245010","PL")</f>
        <v>PL</v>
      </c>
      <c r="B40" s="1" t="str">
        <f>HYPERLINK("http://digipan.lumentumllc.com/apps/getLink/index.php?t=TaxLink&amp;p=5245010","TL")</f>
        <v>TL</v>
      </c>
      <c r="C40" s="1" t="str">
        <f>HYPERLINK("http://digipan.lumentumllc.com/apps/getMap/index.php?p=5245010","Map")</f>
        <v>Map</v>
      </c>
      <c r="E40" t="s">
        <v>177</v>
      </c>
      <c r="F40" t="s">
        <v>178</v>
      </c>
      <c r="L40" t="s">
        <v>924</v>
      </c>
      <c r="N40" t="s">
        <v>924</v>
      </c>
      <c r="O40" t="s">
        <v>924</v>
      </c>
      <c r="P40" t="s">
        <v>925</v>
      </c>
      <c r="Q40" t="s">
        <v>924</v>
      </c>
      <c r="V40">
        <v>45</v>
      </c>
      <c r="W40">
        <v>1</v>
      </c>
      <c r="X40">
        <v>2017</v>
      </c>
      <c r="Y40">
        <v>2018</v>
      </c>
      <c r="Z40">
        <v>691.57</v>
      </c>
      <c r="AG40" t="s">
        <v>184</v>
      </c>
      <c r="AH40">
        <v>0</v>
      </c>
      <c r="AK40">
        <v>0</v>
      </c>
      <c r="AL40">
        <v>252388</v>
      </c>
      <c r="AM40">
        <v>32000</v>
      </c>
      <c r="AN40">
        <v>220388</v>
      </c>
      <c r="AO40">
        <v>0</v>
      </c>
      <c r="AP40">
        <v>0</v>
      </c>
      <c r="AQ40">
        <v>0.27</v>
      </c>
      <c r="AS40" t="s">
        <v>926</v>
      </c>
      <c r="AT40" t="s">
        <v>420</v>
      </c>
      <c r="AU40" t="s">
        <v>177</v>
      </c>
      <c r="AV40" t="s">
        <v>421</v>
      </c>
      <c r="AW40" t="s">
        <v>202</v>
      </c>
      <c r="AX40">
        <v>1</v>
      </c>
      <c r="AY40" t="s">
        <v>188</v>
      </c>
      <c r="AZ40" t="s">
        <v>206</v>
      </c>
      <c r="BA40" t="s">
        <v>355</v>
      </c>
      <c r="BB40" t="s">
        <v>191</v>
      </c>
      <c r="BC40" t="s">
        <v>182</v>
      </c>
      <c r="BD40" t="s">
        <v>182</v>
      </c>
      <c r="BE40" t="s">
        <v>927</v>
      </c>
      <c r="BF40">
        <v>2</v>
      </c>
      <c r="BG40">
        <v>2</v>
      </c>
      <c r="BH40">
        <v>1989</v>
      </c>
      <c r="BI40" t="s">
        <v>928</v>
      </c>
      <c r="BJ40" t="s">
        <v>194</v>
      </c>
      <c r="BK40" t="s">
        <v>195</v>
      </c>
      <c r="BL40" t="s">
        <v>929</v>
      </c>
      <c r="BM40" t="s">
        <v>930</v>
      </c>
      <c r="BN40" t="s">
        <v>182</v>
      </c>
      <c r="BO40" t="s">
        <v>198</v>
      </c>
      <c r="BP40" t="s">
        <v>198</v>
      </c>
      <c r="BQ40" t="s">
        <v>198</v>
      </c>
      <c r="BR40" t="s">
        <v>198</v>
      </c>
      <c r="BS40" t="s">
        <v>198</v>
      </c>
      <c r="BT40" t="s">
        <v>198</v>
      </c>
      <c r="BU40" t="s">
        <v>182</v>
      </c>
      <c r="BV40" t="s">
        <v>198</v>
      </c>
      <c r="BW40" t="s">
        <v>198</v>
      </c>
      <c r="BX40" t="s">
        <v>199</v>
      </c>
      <c r="BY40" t="s">
        <v>198</v>
      </c>
      <c r="BZ40" t="s">
        <v>199</v>
      </c>
      <c r="CA40" t="s">
        <v>199</v>
      </c>
      <c r="CB40" t="s">
        <v>931</v>
      </c>
      <c r="CC40" t="s">
        <v>201</v>
      </c>
      <c r="CD40" t="s">
        <v>182</v>
      </c>
      <c r="CE40" t="s">
        <v>932</v>
      </c>
      <c r="CF40" t="s">
        <v>425</v>
      </c>
      <c r="CG40" t="s">
        <v>177</v>
      </c>
      <c r="CH40" t="s">
        <v>421</v>
      </c>
      <c r="CI40" t="s">
        <v>933</v>
      </c>
      <c r="CS40" t="s">
        <v>198</v>
      </c>
      <c r="DC40" t="s">
        <v>198</v>
      </c>
      <c r="DM40" t="s">
        <v>198</v>
      </c>
      <c r="DW40" t="s">
        <v>198</v>
      </c>
      <c r="EG40" t="s">
        <v>198</v>
      </c>
      <c r="EQ40" t="s">
        <v>198</v>
      </c>
      <c r="FA40" t="s">
        <v>198</v>
      </c>
      <c r="FK40" t="s">
        <v>198</v>
      </c>
      <c r="FU40" t="s">
        <v>198</v>
      </c>
    </row>
    <row r="41" spans="1:177">
      <c r="A41" s="1" t="str">
        <f>HYPERLINK("http://digipan.lumentumllc.com/apps/getLink/index.php?t=PropLink&amp;p=15740197","PL")</f>
        <v>PL</v>
      </c>
      <c r="B41" s="1" t="str">
        <f>HYPERLINK("http://digipan.lumentumllc.com/apps/getLink/index.php?t=TaxLink&amp;p=15740197","TL")</f>
        <v>TL</v>
      </c>
      <c r="C41" s="1" t="str">
        <f>HYPERLINK("http://digipan.lumentumllc.com/apps/getMap/index.php?p=15740197","Map")</f>
        <v>Map</v>
      </c>
      <c r="E41" t="s">
        <v>177</v>
      </c>
      <c r="F41" t="s">
        <v>178</v>
      </c>
      <c r="L41" t="s">
        <v>934</v>
      </c>
      <c r="N41" t="s">
        <v>934</v>
      </c>
      <c r="O41" t="s">
        <v>934</v>
      </c>
      <c r="Q41" t="s">
        <v>934</v>
      </c>
      <c r="V41">
        <v>46</v>
      </c>
      <c r="W41">
        <v>1</v>
      </c>
      <c r="X41">
        <v>2017</v>
      </c>
      <c r="Y41">
        <v>2018</v>
      </c>
      <c r="Z41">
        <v>802.06</v>
      </c>
      <c r="AG41" t="s">
        <v>184</v>
      </c>
      <c r="AH41">
        <v>0</v>
      </c>
      <c r="AK41">
        <v>0</v>
      </c>
      <c r="AL41">
        <v>47033</v>
      </c>
      <c r="AM41">
        <v>26880</v>
      </c>
      <c r="AN41">
        <v>20153</v>
      </c>
      <c r="AO41">
        <v>707</v>
      </c>
      <c r="AP41">
        <v>2016</v>
      </c>
      <c r="AQ41">
        <v>1.71</v>
      </c>
      <c r="AS41" t="s">
        <v>935</v>
      </c>
      <c r="AT41" t="s">
        <v>420</v>
      </c>
      <c r="AU41" t="s">
        <v>177</v>
      </c>
      <c r="AV41" t="s">
        <v>421</v>
      </c>
      <c r="AW41" t="s">
        <v>182</v>
      </c>
      <c r="AX41">
        <v>2</v>
      </c>
      <c r="AY41" t="s">
        <v>188</v>
      </c>
      <c r="AZ41" t="s">
        <v>189</v>
      </c>
      <c r="BA41" t="s">
        <v>190</v>
      </c>
      <c r="BB41" t="s">
        <v>191</v>
      </c>
      <c r="BC41" t="s">
        <v>182</v>
      </c>
      <c r="BD41" t="s">
        <v>182</v>
      </c>
      <c r="BE41" t="s">
        <v>936</v>
      </c>
      <c r="BF41">
        <v>1</v>
      </c>
      <c r="BG41">
        <v>1</v>
      </c>
      <c r="BH41">
        <v>1973</v>
      </c>
      <c r="BI41" t="s">
        <v>937</v>
      </c>
      <c r="BJ41" t="s">
        <v>194</v>
      </c>
      <c r="BK41" t="s">
        <v>195</v>
      </c>
      <c r="BL41" t="s">
        <v>938</v>
      </c>
      <c r="BM41" t="s">
        <v>273</v>
      </c>
      <c r="BN41" t="s">
        <v>182</v>
      </c>
      <c r="BO41" t="s">
        <v>198</v>
      </c>
      <c r="BP41" t="s">
        <v>198</v>
      </c>
      <c r="BQ41" t="s">
        <v>198</v>
      </c>
      <c r="BR41" t="s">
        <v>198</v>
      </c>
      <c r="BS41" t="s">
        <v>198</v>
      </c>
      <c r="BT41" t="s">
        <v>198</v>
      </c>
      <c r="BU41" t="s">
        <v>182</v>
      </c>
      <c r="BV41" t="s">
        <v>198</v>
      </c>
      <c r="BW41" t="s">
        <v>198</v>
      </c>
      <c r="BX41" t="s">
        <v>199</v>
      </c>
      <c r="BY41" t="s">
        <v>198</v>
      </c>
      <c r="BZ41" t="s">
        <v>199</v>
      </c>
      <c r="CA41" t="s">
        <v>199</v>
      </c>
      <c r="CB41" t="s">
        <v>939</v>
      </c>
      <c r="CC41" t="s">
        <v>201</v>
      </c>
      <c r="CD41" t="s">
        <v>182</v>
      </c>
      <c r="CE41" t="s">
        <v>940</v>
      </c>
      <c r="CF41" t="s">
        <v>425</v>
      </c>
      <c r="CG41" t="s">
        <v>177</v>
      </c>
      <c r="CH41" t="s">
        <v>421</v>
      </c>
      <c r="CI41" t="s">
        <v>941</v>
      </c>
      <c r="CS41" t="s">
        <v>198</v>
      </c>
      <c r="DC41" t="s">
        <v>198</v>
      </c>
      <c r="DM41" t="s">
        <v>198</v>
      </c>
      <c r="DW41" t="s">
        <v>198</v>
      </c>
      <c r="EG41" t="s">
        <v>198</v>
      </c>
      <c r="EQ41" t="s">
        <v>198</v>
      </c>
      <c r="FA41" t="s">
        <v>198</v>
      </c>
      <c r="FK41" t="s">
        <v>198</v>
      </c>
      <c r="FU41" t="s">
        <v>198</v>
      </c>
    </row>
    <row r="42" spans="1:177">
      <c r="A42" s="1" t="str">
        <f>HYPERLINK("http://digipan.lumentumllc.com/apps/getLink/index.php?t=PropLink&amp;p=15741665","PL")</f>
        <v>PL</v>
      </c>
      <c r="B42" s="1" t="str">
        <f>HYPERLINK("http://digipan.lumentumllc.com/apps/getLink/index.php?t=TaxLink&amp;p=15741665","TL")</f>
        <v>TL</v>
      </c>
      <c r="C42" s="1" t="str">
        <f>HYPERLINK("http://digipan.lumentumllc.com/apps/getMap/index.php?p=15741665","Map")</f>
        <v>Map</v>
      </c>
      <c r="E42" t="s">
        <v>177</v>
      </c>
      <c r="F42" t="s">
        <v>178</v>
      </c>
      <c r="L42" t="s">
        <v>942</v>
      </c>
      <c r="N42" t="s">
        <v>942</v>
      </c>
      <c r="O42" t="s">
        <v>942</v>
      </c>
      <c r="Q42" t="s">
        <v>942</v>
      </c>
      <c r="V42">
        <v>47</v>
      </c>
      <c r="W42">
        <v>1</v>
      </c>
      <c r="X42">
        <v>2017</v>
      </c>
      <c r="Y42">
        <v>2018</v>
      </c>
      <c r="Z42">
        <v>169.37</v>
      </c>
      <c r="AG42" t="s">
        <v>184</v>
      </c>
      <c r="AH42">
        <v>0</v>
      </c>
      <c r="AK42">
        <v>0</v>
      </c>
      <c r="AL42">
        <v>9000</v>
      </c>
      <c r="AM42">
        <v>9000</v>
      </c>
      <c r="AN42">
        <v>0</v>
      </c>
      <c r="AO42">
        <v>111</v>
      </c>
      <c r="AP42">
        <v>2016</v>
      </c>
      <c r="AQ42">
        <v>1.88</v>
      </c>
      <c r="AS42" t="s">
        <v>943</v>
      </c>
      <c r="AT42" t="s">
        <v>420</v>
      </c>
      <c r="AU42" t="s">
        <v>177</v>
      </c>
      <c r="AV42" t="s">
        <v>421</v>
      </c>
      <c r="AW42" t="s">
        <v>182</v>
      </c>
      <c r="AX42">
        <v>0</v>
      </c>
      <c r="AY42" t="s">
        <v>312</v>
      </c>
      <c r="AZ42" t="s">
        <v>199</v>
      </c>
      <c r="BA42" t="s">
        <v>313</v>
      </c>
      <c r="BB42" t="s">
        <v>191</v>
      </c>
      <c r="BC42" t="s">
        <v>182</v>
      </c>
      <c r="BD42" t="s">
        <v>182</v>
      </c>
      <c r="BE42" t="s">
        <v>383</v>
      </c>
      <c r="BF42">
        <v>0</v>
      </c>
      <c r="BG42">
        <v>0</v>
      </c>
      <c r="BH42">
        <v>0</v>
      </c>
      <c r="BI42" t="s">
        <v>199</v>
      </c>
      <c r="BJ42" t="s">
        <v>248</v>
      </c>
      <c r="BL42" t="s">
        <v>944</v>
      </c>
      <c r="BM42" t="s">
        <v>945</v>
      </c>
      <c r="BN42" t="s">
        <v>182</v>
      </c>
      <c r="BO42" t="s">
        <v>198</v>
      </c>
      <c r="BP42" t="s">
        <v>198</v>
      </c>
      <c r="BQ42" t="s">
        <v>198</v>
      </c>
      <c r="BR42" t="s">
        <v>198</v>
      </c>
      <c r="BS42" t="s">
        <v>198</v>
      </c>
      <c r="BT42" t="s">
        <v>198</v>
      </c>
      <c r="BU42" t="s">
        <v>182</v>
      </c>
      <c r="BV42" t="s">
        <v>198</v>
      </c>
      <c r="BW42" t="s">
        <v>198</v>
      </c>
      <c r="BX42" t="s">
        <v>199</v>
      </c>
      <c r="BY42" t="s">
        <v>198</v>
      </c>
      <c r="BZ42" t="s">
        <v>199</v>
      </c>
      <c r="CA42" t="s">
        <v>199</v>
      </c>
      <c r="CB42" t="s">
        <v>946</v>
      </c>
      <c r="CC42" t="s">
        <v>201</v>
      </c>
      <c r="CD42" t="s">
        <v>182</v>
      </c>
      <c r="CE42" t="s">
        <v>947</v>
      </c>
      <c r="CF42" t="s">
        <v>425</v>
      </c>
      <c r="CG42" t="s">
        <v>177</v>
      </c>
      <c r="CH42" t="s">
        <v>421</v>
      </c>
      <c r="CI42" t="s">
        <v>948</v>
      </c>
      <c r="CS42" t="s">
        <v>198</v>
      </c>
      <c r="DC42" t="s">
        <v>198</v>
      </c>
      <c r="DM42" t="s">
        <v>198</v>
      </c>
      <c r="DW42" t="s">
        <v>198</v>
      </c>
      <c r="EG42" t="s">
        <v>198</v>
      </c>
      <c r="EQ42" t="s">
        <v>198</v>
      </c>
      <c r="FA42" t="s">
        <v>198</v>
      </c>
      <c r="FK42" t="s">
        <v>198</v>
      </c>
      <c r="FU42" t="s">
        <v>198</v>
      </c>
    </row>
    <row r="43" spans="1:177">
      <c r="A43" s="1" t="str">
        <f>HYPERLINK("http://digipan.lumentumllc.com/apps/getLink/index.php?t=PropLink&amp;p=5245183","PL")</f>
        <v>PL</v>
      </c>
      <c r="B43" s="1" t="str">
        <f>HYPERLINK("http://digipan.lumentumllc.com/apps/getLink/index.php?t=TaxLink&amp;p=5245183","TL")</f>
        <v>TL</v>
      </c>
      <c r="C43" s="1" t="str">
        <f>HYPERLINK("http://digipan.lumentumllc.com/apps/getMap/index.php?p=5245183","Map")</f>
        <v>Map</v>
      </c>
      <c r="E43" t="s">
        <v>177</v>
      </c>
      <c r="F43" t="s">
        <v>178</v>
      </c>
      <c r="L43" t="s">
        <v>949</v>
      </c>
      <c r="N43" t="s">
        <v>949</v>
      </c>
      <c r="O43" t="s">
        <v>949</v>
      </c>
      <c r="P43" t="s">
        <v>950</v>
      </c>
      <c r="Q43" t="s">
        <v>949</v>
      </c>
      <c r="V43">
        <v>48</v>
      </c>
      <c r="W43">
        <v>1</v>
      </c>
      <c r="X43">
        <v>2017</v>
      </c>
      <c r="Y43">
        <v>2018</v>
      </c>
      <c r="Z43">
        <v>1628.92</v>
      </c>
      <c r="AB43" t="s">
        <v>181</v>
      </c>
      <c r="AC43" t="s">
        <v>202</v>
      </c>
      <c r="AD43" t="s">
        <v>183</v>
      </c>
      <c r="AE43">
        <v>1</v>
      </c>
      <c r="AF43">
        <v>5</v>
      </c>
      <c r="AG43" t="s">
        <v>951</v>
      </c>
      <c r="AH43">
        <v>80</v>
      </c>
      <c r="AI43">
        <v>1653</v>
      </c>
      <c r="AJ43">
        <v>82.65</v>
      </c>
      <c r="AK43">
        <v>1735.65</v>
      </c>
      <c r="AL43">
        <v>97536</v>
      </c>
      <c r="AM43">
        <v>36880</v>
      </c>
      <c r="AN43">
        <v>60656</v>
      </c>
      <c r="AO43">
        <v>1503</v>
      </c>
      <c r="AP43">
        <v>2016</v>
      </c>
      <c r="AQ43">
        <v>1.67</v>
      </c>
      <c r="AR43">
        <v>1.78</v>
      </c>
      <c r="AS43" t="s">
        <v>952</v>
      </c>
      <c r="AT43" t="s">
        <v>420</v>
      </c>
      <c r="AU43" t="s">
        <v>177</v>
      </c>
      <c r="AV43" t="s">
        <v>421</v>
      </c>
      <c r="AW43" t="s">
        <v>182</v>
      </c>
      <c r="AX43">
        <v>1</v>
      </c>
      <c r="AY43" t="s">
        <v>188</v>
      </c>
      <c r="AZ43" t="s">
        <v>206</v>
      </c>
      <c r="BA43" t="s">
        <v>355</v>
      </c>
      <c r="BB43" t="s">
        <v>191</v>
      </c>
      <c r="BC43" t="s">
        <v>182</v>
      </c>
      <c r="BD43" t="s">
        <v>182</v>
      </c>
      <c r="BE43" t="s">
        <v>953</v>
      </c>
      <c r="BF43">
        <v>1</v>
      </c>
      <c r="BG43">
        <v>1</v>
      </c>
      <c r="BH43">
        <v>1971</v>
      </c>
      <c r="BI43" t="s">
        <v>718</v>
      </c>
      <c r="BJ43" t="s">
        <v>194</v>
      </c>
      <c r="BK43" t="s">
        <v>195</v>
      </c>
      <c r="BL43" t="s">
        <v>954</v>
      </c>
      <c r="BM43" t="s">
        <v>232</v>
      </c>
      <c r="BN43" t="s">
        <v>182</v>
      </c>
      <c r="BO43" t="s">
        <v>955</v>
      </c>
      <c r="BP43" t="s">
        <v>956</v>
      </c>
      <c r="BS43" t="s">
        <v>957</v>
      </c>
      <c r="BT43" t="s">
        <v>198</v>
      </c>
      <c r="BU43" t="s">
        <v>182</v>
      </c>
      <c r="BV43" t="s">
        <v>198</v>
      </c>
      <c r="BW43" t="s">
        <v>198</v>
      </c>
      <c r="BX43" t="s">
        <v>199</v>
      </c>
      <c r="BY43" t="s">
        <v>198</v>
      </c>
      <c r="BZ43" t="s">
        <v>199</v>
      </c>
      <c r="CA43" t="s">
        <v>199</v>
      </c>
      <c r="CB43" t="s">
        <v>958</v>
      </c>
      <c r="CC43" t="s">
        <v>201</v>
      </c>
      <c r="CD43" t="s">
        <v>202</v>
      </c>
      <c r="CE43" t="s">
        <v>959</v>
      </c>
      <c r="CF43" t="s">
        <v>960</v>
      </c>
      <c r="CG43" t="s">
        <v>177</v>
      </c>
      <c r="CH43" t="s">
        <v>961</v>
      </c>
      <c r="CI43" t="s">
        <v>962</v>
      </c>
      <c r="CJ43" t="s">
        <v>963</v>
      </c>
      <c r="CK43" t="s">
        <v>232</v>
      </c>
      <c r="CL43" t="s">
        <v>233</v>
      </c>
      <c r="CM43" t="s">
        <v>964</v>
      </c>
      <c r="CN43" t="s">
        <v>235</v>
      </c>
      <c r="CO43" t="s">
        <v>183</v>
      </c>
      <c r="CP43" t="s">
        <v>266</v>
      </c>
      <c r="CS43" t="s">
        <v>198</v>
      </c>
      <c r="CT43" t="s">
        <v>635</v>
      </c>
      <c r="CU43" t="s">
        <v>267</v>
      </c>
      <c r="CV43" t="s">
        <v>268</v>
      </c>
      <c r="CW43" t="s">
        <v>965</v>
      </c>
      <c r="CX43" t="s">
        <v>235</v>
      </c>
      <c r="CY43" t="s">
        <v>183</v>
      </c>
      <c r="CZ43" t="s">
        <v>211</v>
      </c>
      <c r="DA43" t="s">
        <v>270</v>
      </c>
      <c r="DC43" t="s">
        <v>512</v>
      </c>
      <c r="DD43" t="s">
        <v>966</v>
      </c>
      <c r="DE43" t="s">
        <v>273</v>
      </c>
      <c r="DF43" t="s">
        <v>274</v>
      </c>
      <c r="DG43" t="s">
        <v>967</v>
      </c>
      <c r="DH43" t="s">
        <v>235</v>
      </c>
      <c r="DI43" t="s">
        <v>183</v>
      </c>
      <c r="DJ43" t="s">
        <v>211</v>
      </c>
      <c r="DK43" t="s">
        <v>337</v>
      </c>
      <c r="DM43" t="s">
        <v>512</v>
      </c>
      <c r="DN43" t="s">
        <v>968</v>
      </c>
      <c r="DO43" t="s">
        <v>238</v>
      </c>
      <c r="DP43" t="s">
        <v>239</v>
      </c>
      <c r="DQ43" t="s">
        <v>969</v>
      </c>
      <c r="DR43" t="s">
        <v>235</v>
      </c>
      <c r="DS43" t="s">
        <v>183</v>
      </c>
      <c r="DT43" t="s">
        <v>211</v>
      </c>
      <c r="DU43" t="s">
        <v>212</v>
      </c>
      <c r="DV43" t="s">
        <v>271</v>
      </c>
      <c r="DW43" t="s">
        <v>970</v>
      </c>
      <c r="DX43" t="s">
        <v>971</v>
      </c>
      <c r="DY43" t="s">
        <v>346</v>
      </c>
      <c r="DZ43" t="s">
        <v>347</v>
      </c>
      <c r="EA43" t="s">
        <v>972</v>
      </c>
      <c r="EB43" t="s">
        <v>235</v>
      </c>
      <c r="EC43" t="s">
        <v>183</v>
      </c>
      <c r="ED43" t="s">
        <v>211</v>
      </c>
      <c r="EF43" t="s">
        <v>271</v>
      </c>
      <c r="EG43" t="s">
        <v>198</v>
      </c>
      <c r="EH43" t="s">
        <v>973</v>
      </c>
      <c r="EI43" t="s">
        <v>207</v>
      </c>
      <c r="EJ43" t="s">
        <v>208</v>
      </c>
      <c r="EK43" t="s">
        <v>974</v>
      </c>
      <c r="EL43" t="s">
        <v>235</v>
      </c>
      <c r="EM43" t="s">
        <v>183</v>
      </c>
      <c r="EN43" t="s">
        <v>211</v>
      </c>
      <c r="EO43" t="s">
        <v>189</v>
      </c>
      <c r="EQ43" t="s">
        <v>975</v>
      </c>
      <c r="FA43" t="s">
        <v>198</v>
      </c>
      <c r="FK43" t="s">
        <v>198</v>
      </c>
      <c r="FU43" t="s">
        <v>198</v>
      </c>
    </row>
    <row r="44" spans="1:177">
      <c r="A44" s="1" t="str">
        <f>HYPERLINK("http://digipan.lumentumllc.com/apps/getLink/index.php?t=PropLink&amp;p=4637429","PL")</f>
        <v>PL</v>
      </c>
      <c r="B44" s="1" t="str">
        <f>HYPERLINK("http://digipan.lumentumllc.com/apps/getLink/index.php?t=TaxLink&amp;p=4637429","TL")</f>
        <v>TL</v>
      </c>
      <c r="C44" s="1" t="str">
        <f>HYPERLINK("http://digipan.lumentumllc.com/apps/getMap/index.php?p=4637429","Map")</f>
        <v>Map</v>
      </c>
      <c r="E44" t="s">
        <v>177</v>
      </c>
      <c r="F44" t="s">
        <v>178</v>
      </c>
      <c r="L44" t="s">
        <v>976</v>
      </c>
      <c r="N44" t="s">
        <v>976</v>
      </c>
      <c r="O44" t="s">
        <v>976</v>
      </c>
      <c r="P44" t="s">
        <v>977</v>
      </c>
      <c r="Q44" t="s">
        <v>976</v>
      </c>
      <c r="V44">
        <v>49</v>
      </c>
      <c r="W44">
        <v>1</v>
      </c>
      <c r="X44">
        <v>2017</v>
      </c>
      <c r="Y44">
        <v>2018</v>
      </c>
      <c r="Z44">
        <v>1781.08</v>
      </c>
      <c r="AB44" t="s">
        <v>181</v>
      </c>
      <c r="AC44" t="s">
        <v>182</v>
      </c>
      <c r="AD44" t="s">
        <v>183</v>
      </c>
      <c r="AE44">
        <v>0</v>
      </c>
      <c r="AF44">
        <v>4</v>
      </c>
      <c r="AG44" t="s">
        <v>381</v>
      </c>
      <c r="AH44">
        <v>100</v>
      </c>
      <c r="AK44">
        <v>0</v>
      </c>
      <c r="AL44">
        <v>159722</v>
      </c>
      <c r="AM44">
        <v>24000</v>
      </c>
      <c r="AN44">
        <v>135722</v>
      </c>
      <c r="AO44">
        <v>1596</v>
      </c>
      <c r="AP44">
        <v>2016</v>
      </c>
      <c r="AQ44">
        <v>1.1200000000000001</v>
      </c>
      <c r="AS44" t="s">
        <v>978</v>
      </c>
      <c r="AT44" t="s">
        <v>420</v>
      </c>
      <c r="AU44" t="s">
        <v>177</v>
      </c>
      <c r="AV44" t="s">
        <v>421</v>
      </c>
      <c r="AW44" t="s">
        <v>202</v>
      </c>
      <c r="AX44">
        <v>1</v>
      </c>
      <c r="AY44" t="s">
        <v>188</v>
      </c>
      <c r="AZ44" t="s">
        <v>206</v>
      </c>
      <c r="BA44" t="s">
        <v>355</v>
      </c>
      <c r="BB44" t="s">
        <v>191</v>
      </c>
      <c r="BC44" t="s">
        <v>182</v>
      </c>
      <c r="BD44" t="s">
        <v>182</v>
      </c>
      <c r="BE44" t="s">
        <v>796</v>
      </c>
      <c r="BF44">
        <v>1</v>
      </c>
      <c r="BG44">
        <v>1</v>
      </c>
      <c r="BH44">
        <v>1995</v>
      </c>
      <c r="BI44" t="s">
        <v>979</v>
      </c>
      <c r="BJ44" t="s">
        <v>194</v>
      </c>
      <c r="BK44" t="s">
        <v>195</v>
      </c>
      <c r="BL44" t="s">
        <v>980</v>
      </c>
      <c r="BM44" t="s">
        <v>981</v>
      </c>
      <c r="BN44" t="s">
        <v>182</v>
      </c>
      <c r="BO44" t="s">
        <v>982</v>
      </c>
      <c r="BP44" t="s">
        <v>983</v>
      </c>
      <c r="BS44" t="s">
        <v>984</v>
      </c>
      <c r="BT44" t="s">
        <v>198</v>
      </c>
      <c r="BU44" t="s">
        <v>182</v>
      </c>
      <c r="BV44" t="s">
        <v>198</v>
      </c>
      <c r="BW44" t="s">
        <v>198</v>
      </c>
      <c r="BX44" t="s">
        <v>199</v>
      </c>
      <c r="BY44" t="s">
        <v>198</v>
      </c>
      <c r="BZ44" t="s">
        <v>199</v>
      </c>
      <c r="CA44" t="s">
        <v>199</v>
      </c>
      <c r="CB44" t="s">
        <v>985</v>
      </c>
      <c r="CC44" t="s">
        <v>201</v>
      </c>
      <c r="CD44" t="s">
        <v>182</v>
      </c>
      <c r="CE44" t="s">
        <v>986</v>
      </c>
      <c r="CF44" t="s">
        <v>425</v>
      </c>
      <c r="CG44" t="s">
        <v>177</v>
      </c>
      <c r="CH44" t="s">
        <v>421</v>
      </c>
      <c r="CI44" t="s">
        <v>987</v>
      </c>
      <c r="CJ44" t="s">
        <v>988</v>
      </c>
      <c r="CK44" t="s">
        <v>232</v>
      </c>
      <c r="CL44" t="s">
        <v>233</v>
      </c>
      <c r="CM44" t="s">
        <v>989</v>
      </c>
      <c r="CN44" t="s">
        <v>235</v>
      </c>
      <c r="CO44" t="s">
        <v>183</v>
      </c>
      <c r="CP44" t="s">
        <v>211</v>
      </c>
      <c r="CQ44" t="s">
        <v>264</v>
      </c>
      <c r="CS44" t="s">
        <v>990</v>
      </c>
      <c r="CT44" t="s">
        <v>806</v>
      </c>
      <c r="CU44" t="s">
        <v>292</v>
      </c>
      <c r="CV44" t="s">
        <v>293</v>
      </c>
      <c r="CW44" t="s">
        <v>991</v>
      </c>
      <c r="CX44" t="s">
        <v>235</v>
      </c>
      <c r="CY44" t="s">
        <v>183</v>
      </c>
      <c r="CZ44" t="s">
        <v>211</v>
      </c>
      <c r="DA44" t="s">
        <v>471</v>
      </c>
      <c r="DC44" t="s">
        <v>990</v>
      </c>
      <c r="DD44" t="s">
        <v>768</v>
      </c>
      <c r="DE44" t="s">
        <v>267</v>
      </c>
      <c r="DF44" t="s">
        <v>268</v>
      </c>
      <c r="DG44" t="s">
        <v>992</v>
      </c>
      <c r="DH44" t="s">
        <v>235</v>
      </c>
      <c r="DI44" t="s">
        <v>183</v>
      </c>
      <c r="DJ44" t="s">
        <v>211</v>
      </c>
      <c r="DK44" t="s">
        <v>342</v>
      </c>
      <c r="DM44" t="s">
        <v>993</v>
      </c>
      <c r="DN44" t="s">
        <v>994</v>
      </c>
      <c r="DO44" t="s">
        <v>207</v>
      </c>
      <c r="DP44" t="s">
        <v>208</v>
      </c>
      <c r="DQ44" t="s">
        <v>995</v>
      </c>
      <c r="DR44" t="s">
        <v>235</v>
      </c>
      <c r="DS44" t="s">
        <v>183</v>
      </c>
      <c r="DT44" t="s">
        <v>211</v>
      </c>
      <c r="DU44" t="s">
        <v>199</v>
      </c>
      <c r="DW44" t="s">
        <v>996</v>
      </c>
      <c r="EG44" t="s">
        <v>198</v>
      </c>
      <c r="EQ44" t="s">
        <v>198</v>
      </c>
      <c r="FA44" t="s">
        <v>198</v>
      </c>
      <c r="FK44" t="s">
        <v>198</v>
      </c>
      <c r="FU44" t="s">
        <v>198</v>
      </c>
    </row>
    <row r="45" spans="1:177">
      <c r="A45" s="1" t="str">
        <f>HYPERLINK("http://digipan.lumentumllc.com/apps/getLink/index.php?t=PropLink&amp;p=5245184","PL")</f>
        <v>PL</v>
      </c>
      <c r="B45" s="1" t="str">
        <f>HYPERLINK("http://digipan.lumentumllc.com/apps/getLink/index.php?t=TaxLink&amp;p=5245184","TL")</f>
        <v>TL</v>
      </c>
      <c r="C45" s="1" t="str">
        <f>HYPERLINK("http://digipan.lumentumllc.com/apps/getMap/index.php?p=5245184","Map")</f>
        <v>Map</v>
      </c>
      <c r="E45" t="s">
        <v>177</v>
      </c>
      <c r="F45" t="s">
        <v>178</v>
      </c>
      <c r="L45" t="s">
        <v>997</v>
      </c>
      <c r="N45" t="s">
        <v>997</v>
      </c>
      <c r="O45" t="s">
        <v>997</v>
      </c>
      <c r="P45" t="s">
        <v>998</v>
      </c>
      <c r="Q45" t="s">
        <v>997</v>
      </c>
      <c r="V45">
        <v>50</v>
      </c>
      <c r="W45">
        <v>1</v>
      </c>
      <c r="X45">
        <v>2017</v>
      </c>
      <c r="Y45">
        <v>2018</v>
      </c>
      <c r="Z45">
        <v>1777.28</v>
      </c>
      <c r="AB45" t="s">
        <v>181</v>
      </c>
      <c r="AC45" t="s">
        <v>182</v>
      </c>
      <c r="AD45" t="s">
        <v>183</v>
      </c>
      <c r="AE45">
        <v>0</v>
      </c>
      <c r="AF45">
        <v>6</v>
      </c>
      <c r="AG45" t="s">
        <v>528</v>
      </c>
      <c r="AH45">
        <v>100</v>
      </c>
      <c r="AK45">
        <v>0</v>
      </c>
      <c r="AL45">
        <v>189563</v>
      </c>
      <c r="AM45">
        <v>45720</v>
      </c>
      <c r="AN45">
        <v>143843</v>
      </c>
      <c r="AO45">
        <v>1593</v>
      </c>
      <c r="AP45">
        <v>2016</v>
      </c>
      <c r="AQ45">
        <v>0.94</v>
      </c>
      <c r="AS45" t="s">
        <v>999</v>
      </c>
      <c r="AT45" t="s">
        <v>420</v>
      </c>
      <c r="AU45" t="s">
        <v>177</v>
      </c>
      <c r="AV45" t="s">
        <v>421</v>
      </c>
      <c r="AW45" t="s">
        <v>202</v>
      </c>
      <c r="AX45">
        <v>1</v>
      </c>
      <c r="AY45" t="s">
        <v>188</v>
      </c>
      <c r="AZ45" t="s">
        <v>206</v>
      </c>
      <c r="BA45" t="s">
        <v>355</v>
      </c>
      <c r="BB45" t="s">
        <v>191</v>
      </c>
      <c r="BC45" t="s">
        <v>182</v>
      </c>
      <c r="BD45" t="s">
        <v>182</v>
      </c>
      <c r="BE45" t="s">
        <v>1000</v>
      </c>
      <c r="BF45">
        <v>1</v>
      </c>
      <c r="BG45">
        <v>1</v>
      </c>
      <c r="BH45">
        <v>1985</v>
      </c>
      <c r="BI45" t="s">
        <v>1001</v>
      </c>
      <c r="BJ45" t="s">
        <v>315</v>
      </c>
      <c r="BK45" t="s">
        <v>195</v>
      </c>
      <c r="BL45" t="s">
        <v>1002</v>
      </c>
      <c r="BM45" t="s">
        <v>1003</v>
      </c>
      <c r="BN45" t="s">
        <v>182</v>
      </c>
      <c r="BO45" t="s">
        <v>198</v>
      </c>
      <c r="BP45" t="s">
        <v>198</v>
      </c>
      <c r="BQ45" t="s">
        <v>198</v>
      </c>
      <c r="BR45" t="s">
        <v>198</v>
      </c>
      <c r="BS45" t="s">
        <v>198</v>
      </c>
      <c r="BT45" t="s">
        <v>198</v>
      </c>
      <c r="BU45" t="s">
        <v>182</v>
      </c>
      <c r="BV45" t="s">
        <v>198</v>
      </c>
      <c r="BW45" t="s">
        <v>198</v>
      </c>
      <c r="BX45" t="s">
        <v>199</v>
      </c>
      <c r="BY45" t="s">
        <v>198</v>
      </c>
      <c r="BZ45" t="s">
        <v>199</v>
      </c>
      <c r="CA45" t="s">
        <v>199</v>
      </c>
      <c r="CB45" t="s">
        <v>1004</v>
      </c>
      <c r="CC45" t="s">
        <v>201</v>
      </c>
      <c r="CD45" t="s">
        <v>182</v>
      </c>
      <c r="CE45" t="s">
        <v>1005</v>
      </c>
      <c r="CF45" t="s">
        <v>425</v>
      </c>
      <c r="CG45" t="s">
        <v>177</v>
      </c>
      <c r="CH45" t="s">
        <v>421</v>
      </c>
      <c r="CI45" t="s">
        <v>962</v>
      </c>
      <c r="CJ45" t="s">
        <v>1006</v>
      </c>
      <c r="CK45" t="s">
        <v>232</v>
      </c>
      <c r="CL45" t="s">
        <v>233</v>
      </c>
      <c r="CM45" t="s">
        <v>1007</v>
      </c>
      <c r="CN45" t="s">
        <v>235</v>
      </c>
      <c r="CO45" t="s">
        <v>183</v>
      </c>
      <c r="CP45" t="s">
        <v>211</v>
      </c>
      <c r="CQ45" t="s">
        <v>199</v>
      </c>
      <c r="CS45" t="s">
        <v>1008</v>
      </c>
      <c r="CT45" t="s">
        <v>966</v>
      </c>
      <c r="CU45" t="s">
        <v>267</v>
      </c>
      <c r="CV45" t="s">
        <v>268</v>
      </c>
      <c r="CW45" t="s">
        <v>1009</v>
      </c>
      <c r="CX45" t="s">
        <v>235</v>
      </c>
      <c r="CY45" t="s">
        <v>183</v>
      </c>
      <c r="CZ45" t="s">
        <v>211</v>
      </c>
      <c r="DA45" t="s">
        <v>206</v>
      </c>
      <c r="DC45" t="s">
        <v>1010</v>
      </c>
      <c r="DD45" t="s">
        <v>806</v>
      </c>
      <c r="DE45" t="s">
        <v>273</v>
      </c>
      <c r="DF45" t="s">
        <v>274</v>
      </c>
      <c r="DG45" t="s">
        <v>1011</v>
      </c>
      <c r="DH45" t="s">
        <v>235</v>
      </c>
      <c r="DI45" t="s">
        <v>183</v>
      </c>
      <c r="DJ45" t="s">
        <v>211</v>
      </c>
      <c r="DK45" t="s">
        <v>427</v>
      </c>
      <c r="DM45" t="s">
        <v>1012</v>
      </c>
      <c r="DN45" t="s">
        <v>966</v>
      </c>
      <c r="DO45" t="s">
        <v>302</v>
      </c>
      <c r="DP45" t="s">
        <v>303</v>
      </c>
      <c r="DQ45" t="s">
        <v>1013</v>
      </c>
      <c r="DR45" t="s">
        <v>235</v>
      </c>
      <c r="DS45" t="s">
        <v>183</v>
      </c>
      <c r="DT45" t="s">
        <v>211</v>
      </c>
      <c r="DU45" t="s">
        <v>523</v>
      </c>
      <c r="DW45" t="s">
        <v>1014</v>
      </c>
      <c r="DX45" t="s">
        <v>1015</v>
      </c>
      <c r="DY45" t="s">
        <v>238</v>
      </c>
      <c r="DZ45" t="s">
        <v>239</v>
      </c>
      <c r="EA45" t="s">
        <v>1016</v>
      </c>
      <c r="EB45" t="s">
        <v>235</v>
      </c>
      <c r="EC45" t="s">
        <v>183</v>
      </c>
      <c r="ED45" t="s">
        <v>211</v>
      </c>
      <c r="EE45" t="s">
        <v>290</v>
      </c>
      <c r="EG45" t="s">
        <v>1017</v>
      </c>
      <c r="EH45" t="s">
        <v>1018</v>
      </c>
      <c r="EI45" t="s">
        <v>346</v>
      </c>
      <c r="EJ45" t="s">
        <v>347</v>
      </c>
      <c r="EK45" t="s">
        <v>1019</v>
      </c>
      <c r="EL45" t="s">
        <v>235</v>
      </c>
      <c r="EM45" t="s">
        <v>183</v>
      </c>
      <c r="EN45" t="s">
        <v>211</v>
      </c>
      <c r="EO45" t="s">
        <v>290</v>
      </c>
      <c r="EQ45" t="s">
        <v>1020</v>
      </c>
      <c r="FA45" t="s">
        <v>198</v>
      </c>
      <c r="FK45" t="s">
        <v>198</v>
      </c>
      <c r="FU45" t="s">
        <v>198</v>
      </c>
    </row>
    <row r="46" spans="1:177">
      <c r="A46" s="1" t="str">
        <f>HYPERLINK("http://digipan.lumentumllc.com/apps/getLink/index.php?t=PropLink&amp;p=15741849","PL")</f>
        <v>PL</v>
      </c>
      <c r="B46" s="1" t="str">
        <f>HYPERLINK("http://digipan.lumentumllc.com/apps/getLink/index.php?t=TaxLink&amp;p=15741849","TL")</f>
        <v>TL</v>
      </c>
      <c r="C46" s="1" t="str">
        <f>HYPERLINK("http://digipan.lumentumllc.com/apps/getMap/index.php?p=15741849","Map")</f>
        <v>Map</v>
      </c>
      <c r="E46" t="s">
        <v>177</v>
      </c>
      <c r="F46" t="s">
        <v>178</v>
      </c>
      <c r="L46" t="s">
        <v>1021</v>
      </c>
      <c r="N46" t="s">
        <v>1021</v>
      </c>
      <c r="O46" t="s">
        <v>1021</v>
      </c>
      <c r="Q46" t="s">
        <v>1021</v>
      </c>
      <c r="V46">
        <v>52</v>
      </c>
      <c r="W46">
        <v>1</v>
      </c>
      <c r="X46">
        <v>2017</v>
      </c>
      <c r="Y46">
        <v>2018</v>
      </c>
      <c r="Z46">
        <v>2073.4699999999998</v>
      </c>
      <c r="AB46" t="s">
        <v>181</v>
      </c>
      <c r="AC46" t="s">
        <v>182</v>
      </c>
      <c r="AD46" t="s">
        <v>183</v>
      </c>
      <c r="AE46">
        <v>0</v>
      </c>
      <c r="AF46">
        <v>1</v>
      </c>
      <c r="AG46" t="s">
        <v>821</v>
      </c>
      <c r="AH46">
        <v>100</v>
      </c>
      <c r="AK46">
        <v>0</v>
      </c>
      <c r="AL46">
        <v>208020</v>
      </c>
      <c r="AM46">
        <v>19118</v>
      </c>
      <c r="AN46">
        <v>188902</v>
      </c>
      <c r="AO46">
        <v>0</v>
      </c>
      <c r="AP46">
        <v>0</v>
      </c>
      <c r="AQ46">
        <v>1</v>
      </c>
      <c r="AS46" t="s">
        <v>1022</v>
      </c>
      <c r="AT46" t="s">
        <v>420</v>
      </c>
      <c r="AU46" t="s">
        <v>177</v>
      </c>
      <c r="AV46" t="s">
        <v>421</v>
      </c>
      <c r="AW46" t="s">
        <v>182</v>
      </c>
      <c r="AX46">
        <v>50</v>
      </c>
      <c r="AY46" t="s">
        <v>218</v>
      </c>
      <c r="AZ46" t="s">
        <v>589</v>
      </c>
      <c r="BA46" t="s">
        <v>590</v>
      </c>
      <c r="BB46" t="s">
        <v>191</v>
      </c>
      <c r="BC46" t="s">
        <v>182</v>
      </c>
      <c r="BD46" t="s">
        <v>182</v>
      </c>
      <c r="BE46" t="s">
        <v>1023</v>
      </c>
      <c r="BF46">
        <v>1</v>
      </c>
      <c r="BG46">
        <v>1</v>
      </c>
      <c r="BH46">
        <v>1975</v>
      </c>
      <c r="BI46" t="s">
        <v>1024</v>
      </c>
      <c r="BJ46" t="s">
        <v>194</v>
      </c>
      <c r="BK46" t="s">
        <v>195</v>
      </c>
      <c r="BL46" t="s">
        <v>1025</v>
      </c>
      <c r="BM46" t="s">
        <v>1026</v>
      </c>
      <c r="BN46" t="s">
        <v>182</v>
      </c>
      <c r="BO46" t="s">
        <v>198</v>
      </c>
      <c r="BP46" t="s">
        <v>198</v>
      </c>
      <c r="BQ46" t="s">
        <v>198</v>
      </c>
      <c r="BR46" t="s">
        <v>198</v>
      </c>
      <c r="BS46" t="s">
        <v>198</v>
      </c>
      <c r="BT46" t="s">
        <v>198</v>
      </c>
      <c r="BU46" t="s">
        <v>182</v>
      </c>
      <c r="BV46" t="s">
        <v>198</v>
      </c>
      <c r="BW46" t="s">
        <v>198</v>
      </c>
      <c r="BX46" t="s">
        <v>199</v>
      </c>
      <c r="BY46" t="s">
        <v>198</v>
      </c>
      <c r="BZ46" t="s">
        <v>199</v>
      </c>
      <c r="CA46" t="s">
        <v>199</v>
      </c>
      <c r="CB46" t="s">
        <v>1027</v>
      </c>
      <c r="CC46" t="s">
        <v>201</v>
      </c>
      <c r="CD46" t="s">
        <v>202</v>
      </c>
      <c r="CE46" t="s">
        <v>1028</v>
      </c>
      <c r="CF46" t="s">
        <v>1029</v>
      </c>
      <c r="CG46" t="s">
        <v>177</v>
      </c>
      <c r="CH46" t="s">
        <v>1030</v>
      </c>
      <c r="CI46" t="s">
        <v>1031</v>
      </c>
      <c r="CJ46" t="s">
        <v>1032</v>
      </c>
      <c r="CK46" t="s">
        <v>232</v>
      </c>
      <c r="CL46" t="s">
        <v>233</v>
      </c>
      <c r="CM46" t="s">
        <v>1033</v>
      </c>
      <c r="CN46" t="s">
        <v>235</v>
      </c>
      <c r="CO46" t="s">
        <v>183</v>
      </c>
      <c r="CP46" t="s">
        <v>211</v>
      </c>
      <c r="CQ46" t="s">
        <v>296</v>
      </c>
      <c r="CS46" t="s">
        <v>1034</v>
      </c>
      <c r="DC46" t="s">
        <v>198</v>
      </c>
      <c r="DM46" t="s">
        <v>198</v>
      </c>
      <c r="DW46" t="s">
        <v>198</v>
      </c>
      <c r="EG46" t="s">
        <v>198</v>
      </c>
      <c r="EQ46" t="s">
        <v>198</v>
      </c>
      <c r="FA46" t="s">
        <v>198</v>
      </c>
      <c r="FK46" t="s">
        <v>198</v>
      </c>
      <c r="FU46" t="s">
        <v>198</v>
      </c>
    </row>
    <row r="47" spans="1:177">
      <c r="A47" s="1" t="str">
        <f>HYPERLINK("http://digipan.lumentumllc.com/apps/getLink/index.php?t=PropLink&amp;p=5245190","PL")</f>
        <v>PL</v>
      </c>
      <c r="B47" s="1" t="str">
        <f>HYPERLINK("http://digipan.lumentumllc.com/apps/getLink/index.php?t=TaxLink&amp;p=5245190","TL")</f>
        <v>TL</v>
      </c>
      <c r="C47" s="1" t="str">
        <f>HYPERLINK("http://digipan.lumentumllc.com/apps/getMap/index.php?p=5245190","Map")</f>
        <v>Map</v>
      </c>
      <c r="E47" t="s">
        <v>177</v>
      </c>
      <c r="F47" t="s">
        <v>178</v>
      </c>
      <c r="L47" t="s">
        <v>1035</v>
      </c>
      <c r="N47" t="s">
        <v>1035</v>
      </c>
      <c r="O47" t="s">
        <v>1035</v>
      </c>
      <c r="P47" t="s">
        <v>1036</v>
      </c>
      <c r="Q47" t="s">
        <v>1035</v>
      </c>
      <c r="V47">
        <v>55</v>
      </c>
      <c r="W47">
        <v>1</v>
      </c>
      <c r="X47">
        <v>2017</v>
      </c>
      <c r="Y47">
        <v>2018</v>
      </c>
      <c r="Z47">
        <v>71.38</v>
      </c>
      <c r="AB47" t="s">
        <v>181</v>
      </c>
      <c r="AC47" t="s">
        <v>182</v>
      </c>
      <c r="AD47" t="s">
        <v>1037</v>
      </c>
      <c r="AE47">
        <v>7</v>
      </c>
      <c r="AF47">
        <v>0</v>
      </c>
      <c r="AG47" t="s">
        <v>1038</v>
      </c>
      <c r="AH47">
        <v>0</v>
      </c>
      <c r="AI47">
        <v>381.32</v>
      </c>
      <c r="AJ47">
        <v>243.06</v>
      </c>
      <c r="AK47">
        <v>624.38</v>
      </c>
      <c r="AL47">
        <v>2580</v>
      </c>
      <c r="AM47">
        <v>2580</v>
      </c>
      <c r="AN47">
        <v>0</v>
      </c>
      <c r="AO47">
        <v>32</v>
      </c>
      <c r="AP47">
        <v>2016</v>
      </c>
      <c r="AQ47">
        <v>2.77</v>
      </c>
      <c r="AR47">
        <v>24.2</v>
      </c>
      <c r="AS47" t="s">
        <v>1039</v>
      </c>
      <c r="AT47" t="s">
        <v>420</v>
      </c>
      <c r="AU47" t="s">
        <v>177</v>
      </c>
      <c r="AV47" t="s">
        <v>421</v>
      </c>
      <c r="AW47" t="s">
        <v>182</v>
      </c>
      <c r="AX47">
        <v>0</v>
      </c>
      <c r="AY47" t="s">
        <v>312</v>
      </c>
      <c r="AZ47" t="s">
        <v>199</v>
      </c>
      <c r="BA47" t="s">
        <v>313</v>
      </c>
      <c r="BB47" t="s">
        <v>191</v>
      </c>
      <c r="BC47" t="s">
        <v>182</v>
      </c>
      <c r="BD47" t="s">
        <v>182</v>
      </c>
      <c r="BE47" t="s">
        <v>1040</v>
      </c>
      <c r="BF47">
        <v>0</v>
      </c>
      <c r="BG47">
        <v>0</v>
      </c>
      <c r="BH47">
        <v>0</v>
      </c>
      <c r="BI47" t="s">
        <v>199</v>
      </c>
      <c r="BJ47" t="s">
        <v>315</v>
      </c>
      <c r="BL47" t="s">
        <v>199</v>
      </c>
      <c r="BM47" t="s">
        <v>1041</v>
      </c>
      <c r="BN47" t="s">
        <v>182</v>
      </c>
      <c r="BO47" t="s">
        <v>198</v>
      </c>
      <c r="BP47" t="s">
        <v>198</v>
      </c>
      <c r="BQ47" t="s">
        <v>198</v>
      </c>
      <c r="BR47" t="s">
        <v>198</v>
      </c>
      <c r="BS47" t="s">
        <v>198</v>
      </c>
      <c r="BT47" t="s">
        <v>198</v>
      </c>
      <c r="BU47" t="s">
        <v>182</v>
      </c>
      <c r="BV47" t="s">
        <v>198</v>
      </c>
      <c r="BW47" t="s">
        <v>198</v>
      </c>
      <c r="BX47" t="s">
        <v>199</v>
      </c>
      <c r="BY47" t="s">
        <v>198</v>
      </c>
      <c r="BZ47" t="s">
        <v>199</v>
      </c>
      <c r="CA47" t="s">
        <v>199</v>
      </c>
      <c r="CB47" t="s">
        <v>1042</v>
      </c>
      <c r="CC47" t="s">
        <v>201</v>
      </c>
      <c r="CD47" t="s">
        <v>202</v>
      </c>
      <c r="CE47" t="s">
        <v>1043</v>
      </c>
      <c r="CF47" t="s">
        <v>413</v>
      </c>
      <c r="CG47" t="s">
        <v>177</v>
      </c>
      <c r="CH47" t="s">
        <v>1044</v>
      </c>
      <c r="CI47" t="s">
        <v>1045</v>
      </c>
      <c r="CJ47" t="s">
        <v>1046</v>
      </c>
      <c r="CK47" t="s">
        <v>232</v>
      </c>
      <c r="CL47" t="s">
        <v>233</v>
      </c>
      <c r="CM47" t="s">
        <v>1047</v>
      </c>
      <c r="CN47" t="s">
        <v>482</v>
      </c>
      <c r="CO47" t="s">
        <v>183</v>
      </c>
      <c r="CP47" t="s">
        <v>266</v>
      </c>
      <c r="CS47" t="s">
        <v>198</v>
      </c>
      <c r="CT47" t="s">
        <v>865</v>
      </c>
      <c r="CU47" t="s">
        <v>292</v>
      </c>
      <c r="CV47" t="s">
        <v>293</v>
      </c>
      <c r="CW47" t="s">
        <v>1048</v>
      </c>
      <c r="CX47" t="s">
        <v>482</v>
      </c>
      <c r="CY47" t="s">
        <v>183</v>
      </c>
      <c r="CZ47" t="s">
        <v>266</v>
      </c>
      <c r="DC47" t="s">
        <v>198</v>
      </c>
      <c r="DD47" t="s">
        <v>909</v>
      </c>
      <c r="DE47" t="s">
        <v>267</v>
      </c>
      <c r="DF47" t="s">
        <v>268</v>
      </c>
      <c r="DG47" t="s">
        <v>1049</v>
      </c>
      <c r="DH47" t="s">
        <v>482</v>
      </c>
      <c r="DI47" t="s">
        <v>183</v>
      </c>
      <c r="DJ47" t="s">
        <v>266</v>
      </c>
      <c r="DM47" t="s">
        <v>198</v>
      </c>
      <c r="DN47" t="s">
        <v>525</v>
      </c>
      <c r="DO47" t="s">
        <v>273</v>
      </c>
      <c r="DP47" t="s">
        <v>274</v>
      </c>
      <c r="DQ47" t="s">
        <v>1050</v>
      </c>
      <c r="DR47" t="s">
        <v>482</v>
      </c>
      <c r="DS47" t="s">
        <v>5</v>
      </c>
      <c r="DT47" t="s">
        <v>266</v>
      </c>
      <c r="DW47" t="s">
        <v>198</v>
      </c>
      <c r="DX47" t="s">
        <v>865</v>
      </c>
      <c r="DY47" t="s">
        <v>302</v>
      </c>
      <c r="DZ47" t="s">
        <v>303</v>
      </c>
      <c r="EA47" t="s">
        <v>1051</v>
      </c>
      <c r="EB47" t="s">
        <v>1052</v>
      </c>
      <c r="EC47" t="s">
        <v>183</v>
      </c>
      <c r="ED47" t="s">
        <v>266</v>
      </c>
      <c r="EG47" t="s">
        <v>198</v>
      </c>
      <c r="EH47" t="s">
        <v>1053</v>
      </c>
      <c r="EI47" t="s">
        <v>238</v>
      </c>
      <c r="EJ47" t="s">
        <v>239</v>
      </c>
      <c r="EK47" t="s">
        <v>1054</v>
      </c>
      <c r="EL47" t="s">
        <v>482</v>
      </c>
      <c r="EM47" t="s">
        <v>183</v>
      </c>
      <c r="EN47" t="s">
        <v>266</v>
      </c>
      <c r="EQ47" t="s">
        <v>198</v>
      </c>
      <c r="ER47" t="s">
        <v>973</v>
      </c>
      <c r="ES47" t="s">
        <v>346</v>
      </c>
      <c r="ET47" t="s">
        <v>347</v>
      </c>
      <c r="EU47" t="s">
        <v>1055</v>
      </c>
      <c r="EV47" t="s">
        <v>1056</v>
      </c>
      <c r="EW47" t="s">
        <v>183</v>
      </c>
      <c r="EX47" t="s">
        <v>266</v>
      </c>
      <c r="FA47" t="s">
        <v>198</v>
      </c>
      <c r="FK47" t="s">
        <v>198</v>
      </c>
      <c r="FU47" t="s">
        <v>198</v>
      </c>
    </row>
    <row r="48" spans="1:177">
      <c r="A48" s="1" t="str">
        <f>HYPERLINK("http://digipan.lumentumllc.com/apps/getLink/index.php?t=PropLink&amp;p=5245191","PL")</f>
        <v>PL</v>
      </c>
      <c r="B48" s="1" t="str">
        <f>HYPERLINK("http://digipan.lumentumllc.com/apps/getLink/index.php?t=TaxLink&amp;p=5245191","TL")</f>
        <v>TL</v>
      </c>
      <c r="C48" s="1" t="str">
        <f>HYPERLINK("http://digipan.lumentumllc.com/apps/getMap/index.php?p=5245191","Map")</f>
        <v>Map</v>
      </c>
      <c r="E48" t="s">
        <v>177</v>
      </c>
      <c r="F48" t="s">
        <v>178</v>
      </c>
      <c r="L48" t="s">
        <v>1057</v>
      </c>
      <c r="N48" t="s">
        <v>1057</v>
      </c>
      <c r="O48" t="s">
        <v>1057</v>
      </c>
      <c r="P48" t="s">
        <v>1058</v>
      </c>
      <c r="Q48" t="s">
        <v>1057</v>
      </c>
      <c r="V48">
        <v>56</v>
      </c>
      <c r="W48">
        <v>1</v>
      </c>
      <c r="X48">
        <v>2017</v>
      </c>
      <c r="Y48">
        <v>2018</v>
      </c>
      <c r="Z48">
        <v>247.22</v>
      </c>
      <c r="AB48" t="s">
        <v>181</v>
      </c>
      <c r="AC48" t="s">
        <v>182</v>
      </c>
      <c r="AD48" t="s">
        <v>183</v>
      </c>
      <c r="AE48">
        <v>0</v>
      </c>
      <c r="AF48">
        <v>7</v>
      </c>
      <c r="AG48" t="s">
        <v>1059</v>
      </c>
      <c r="AH48">
        <v>100</v>
      </c>
      <c r="AK48">
        <v>0</v>
      </c>
      <c r="AL48">
        <v>15000</v>
      </c>
      <c r="AM48">
        <v>15000</v>
      </c>
      <c r="AN48">
        <v>0</v>
      </c>
      <c r="AO48">
        <v>173</v>
      </c>
      <c r="AP48">
        <v>2016</v>
      </c>
      <c r="AQ48">
        <v>1.65</v>
      </c>
      <c r="AS48" t="s">
        <v>1060</v>
      </c>
      <c r="AT48" t="s">
        <v>420</v>
      </c>
      <c r="AU48" t="s">
        <v>177</v>
      </c>
      <c r="AV48" t="s">
        <v>421</v>
      </c>
      <c r="AW48" t="s">
        <v>182</v>
      </c>
      <c r="AX48">
        <v>0</v>
      </c>
      <c r="AY48" t="s">
        <v>312</v>
      </c>
      <c r="AZ48" t="s">
        <v>199</v>
      </c>
      <c r="BA48" t="s">
        <v>313</v>
      </c>
      <c r="BB48" t="s">
        <v>191</v>
      </c>
      <c r="BC48" t="s">
        <v>182</v>
      </c>
      <c r="BD48" t="s">
        <v>182</v>
      </c>
      <c r="BE48" t="s">
        <v>383</v>
      </c>
      <c r="BF48">
        <v>0</v>
      </c>
      <c r="BG48">
        <v>0</v>
      </c>
      <c r="BH48">
        <v>0</v>
      </c>
      <c r="BI48" t="s">
        <v>199</v>
      </c>
      <c r="BJ48" t="s">
        <v>248</v>
      </c>
      <c r="BL48" t="s">
        <v>199</v>
      </c>
      <c r="BM48" t="s">
        <v>346</v>
      </c>
      <c r="BN48" t="s">
        <v>182</v>
      </c>
      <c r="BO48" t="s">
        <v>198</v>
      </c>
      <c r="BP48" t="s">
        <v>198</v>
      </c>
      <c r="BQ48" t="s">
        <v>198</v>
      </c>
      <c r="BR48" t="s">
        <v>198</v>
      </c>
      <c r="BS48" t="s">
        <v>198</v>
      </c>
      <c r="BT48" t="s">
        <v>198</v>
      </c>
      <c r="BU48" t="s">
        <v>182</v>
      </c>
      <c r="BV48" t="s">
        <v>198</v>
      </c>
      <c r="BW48" t="s">
        <v>198</v>
      </c>
      <c r="BX48" t="s">
        <v>199</v>
      </c>
      <c r="BY48" t="s">
        <v>198</v>
      </c>
      <c r="BZ48" t="s">
        <v>199</v>
      </c>
      <c r="CA48" t="s">
        <v>199</v>
      </c>
      <c r="CB48" t="s">
        <v>1061</v>
      </c>
      <c r="CC48" t="s">
        <v>201</v>
      </c>
      <c r="CD48" t="s">
        <v>182</v>
      </c>
      <c r="CE48" t="s">
        <v>1062</v>
      </c>
      <c r="CF48" t="s">
        <v>425</v>
      </c>
      <c r="CG48" t="s">
        <v>177</v>
      </c>
      <c r="CH48" t="s">
        <v>421</v>
      </c>
      <c r="CI48" t="s">
        <v>1063</v>
      </c>
      <c r="CJ48" t="s">
        <v>1064</v>
      </c>
      <c r="CK48" t="s">
        <v>232</v>
      </c>
      <c r="CL48" t="s">
        <v>233</v>
      </c>
      <c r="CM48" t="s">
        <v>1065</v>
      </c>
      <c r="CN48" t="s">
        <v>688</v>
      </c>
      <c r="CO48" t="s">
        <v>183</v>
      </c>
      <c r="CP48" t="s">
        <v>211</v>
      </c>
      <c r="CQ48" t="s">
        <v>329</v>
      </c>
      <c r="CS48" t="s">
        <v>1066</v>
      </c>
      <c r="CT48" t="s">
        <v>909</v>
      </c>
      <c r="CU48" t="s">
        <v>292</v>
      </c>
      <c r="CV48" t="s">
        <v>293</v>
      </c>
      <c r="CW48" t="s">
        <v>386</v>
      </c>
      <c r="CX48" t="s">
        <v>333</v>
      </c>
      <c r="CY48" t="s">
        <v>183</v>
      </c>
      <c r="CZ48" t="s">
        <v>211</v>
      </c>
      <c r="DA48" t="s">
        <v>298</v>
      </c>
      <c r="DC48" t="s">
        <v>1066</v>
      </c>
      <c r="DD48" t="s">
        <v>1067</v>
      </c>
      <c r="DE48" t="s">
        <v>267</v>
      </c>
      <c r="DF48" t="s">
        <v>268</v>
      </c>
      <c r="DG48" t="s">
        <v>388</v>
      </c>
      <c r="DH48" t="s">
        <v>389</v>
      </c>
      <c r="DI48" t="s">
        <v>183</v>
      </c>
      <c r="DJ48" t="s">
        <v>211</v>
      </c>
      <c r="DK48" t="s">
        <v>345</v>
      </c>
      <c r="DM48" t="s">
        <v>1068</v>
      </c>
      <c r="DN48" t="s">
        <v>865</v>
      </c>
      <c r="DO48" t="s">
        <v>273</v>
      </c>
      <c r="DP48" t="s">
        <v>274</v>
      </c>
      <c r="DQ48" t="s">
        <v>390</v>
      </c>
      <c r="DR48" t="s">
        <v>389</v>
      </c>
      <c r="DS48" t="s">
        <v>183</v>
      </c>
      <c r="DT48" t="s">
        <v>211</v>
      </c>
      <c r="DU48" t="s">
        <v>298</v>
      </c>
      <c r="DW48" t="s">
        <v>1069</v>
      </c>
      <c r="DX48" t="s">
        <v>909</v>
      </c>
      <c r="DY48" t="s">
        <v>302</v>
      </c>
      <c r="DZ48" t="s">
        <v>303</v>
      </c>
      <c r="EA48" t="s">
        <v>1070</v>
      </c>
      <c r="EB48" t="s">
        <v>295</v>
      </c>
      <c r="EC48" t="s">
        <v>183</v>
      </c>
      <c r="ED48" t="s">
        <v>211</v>
      </c>
      <c r="EE48" t="s">
        <v>298</v>
      </c>
      <c r="EG48" t="s">
        <v>1071</v>
      </c>
      <c r="EH48" t="s">
        <v>1072</v>
      </c>
      <c r="EI48" t="s">
        <v>238</v>
      </c>
      <c r="EJ48" t="s">
        <v>239</v>
      </c>
      <c r="EK48" t="s">
        <v>1073</v>
      </c>
      <c r="EL48" t="s">
        <v>1074</v>
      </c>
      <c r="EM48" t="s">
        <v>183</v>
      </c>
      <c r="EN48" t="s">
        <v>211</v>
      </c>
      <c r="EO48" t="s">
        <v>298</v>
      </c>
      <c r="EQ48" t="s">
        <v>467</v>
      </c>
      <c r="ER48" t="s">
        <v>994</v>
      </c>
      <c r="ES48" t="s">
        <v>346</v>
      </c>
      <c r="ET48" t="s">
        <v>347</v>
      </c>
      <c r="EU48" t="s">
        <v>1075</v>
      </c>
      <c r="EV48" t="s">
        <v>615</v>
      </c>
      <c r="EW48" t="s">
        <v>183</v>
      </c>
      <c r="EX48" t="s">
        <v>211</v>
      </c>
      <c r="EY48" t="s">
        <v>298</v>
      </c>
      <c r="FA48" t="s">
        <v>878</v>
      </c>
      <c r="FK48" t="s">
        <v>198</v>
      </c>
      <c r="FU48" t="s">
        <v>198</v>
      </c>
    </row>
    <row r="49" spans="1:177">
      <c r="A49" s="1" t="str">
        <f>HYPERLINK("http://digipan.lumentumllc.com/apps/getLink/index.php?t=PropLink&amp;p=5245194","PL")</f>
        <v>PL</v>
      </c>
      <c r="B49" s="1" t="str">
        <f>HYPERLINK("http://digipan.lumentumllc.com/apps/getLink/index.php?t=TaxLink&amp;p=5245194","TL")</f>
        <v>TL</v>
      </c>
      <c r="C49" s="1" t="str">
        <f>HYPERLINK("http://digipan.lumentumllc.com/apps/getMap/index.php?p=5245194","Map")</f>
        <v>Map</v>
      </c>
      <c r="E49" t="s">
        <v>177</v>
      </c>
      <c r="F49" t="s">
        <v>178</v>
      </c>
      <c r="L49" t="s">
        <v>1076</v>
      </c>
      <c r="N49" t="s">
        <v>1076</v>
      </c>
      <c r="O49" t="s">
        <v>1076</v>
      </c>
      <c r="P49" t="s">
        <v>1077</v>
      </c>
      <c r="Q49" t="s">
        <v>1076</v>
      </c>
      <c r="V49">
        <v>57</v>
      </c>
      <c r="W49">
        <v>1</v>
      </c>
      <c r="X49">
        <v>2017</v>
      </c>
      <c r="Y49">
        <v>2018</v>
      </c>
      <c r="Z49">
        <v>699</v>
      </c>
      <c r="AB49" t="s">
        <v>181</v>
      </c>
      <c r="AC49" t="s">
        <v>182</v>
      </c>
      <c r="AD49" t="s">
        <v>183</v>
      </c>
      <c r="AE49">
        <v>1</v>
      </c>
      <c r="AF49">
        <v>7</v>
      </c>
      <c r="AG49" t="s">
        <v>418</v>
      </c>
      <c r="AH49">
        <v>86</v>
      </c>
      <c r="AI49">
        <v>675.84</v>
      </c>
      <c r="AJ49">
        <v>33.79</v>
      </c>
      <c r="AK49">
        <v>709.63</v>
      </c>
      <c r="AL49">
        <v>118636</v>
      </c>
      <c r="AM49">
        <v>26720</v>
      </c>
      <c r="AN49">
        <v>91916</v>
      </c>
      <c r="AO49">
        <v>600</v>
      </c>
      <c r="AP49">
        <v>2016</v>
      </c>
      <c r="AQ49">
        <v>0.59</v>
      </c>
      <c r="AR49">
        <v>0.6</v>
      </c>
      <c r="AS49" t="s">
        <v>1078</v>
      </c>
      <c r="AT49" t="s">
        <v>420</v>
      </c>
      <c r="AU49" t="s">
        <v>177</v>
      </c>
      <c r="AV49" t="s">
        <v>421</v>
      </c>
      <c r="AW49" t="s">
        <v>202</v>
      </c>
      <c r="AX49">
        <v>1</v>
      </c>
      <c r="AY49" t="s">
        <v>188</v>
      </c>
      <c r="AZ49" t="s">
        <v>206</v>
      </c>
      <c r="BA49" t="s">
        <v>355</v>
      </c>
      <c r="BB49" t="s">
        <v>191</v>
      </c>
      <c r="BC49" t="s">
        <v>182</v>
      </c>
      <c r="BD49" t="s">
        <v>182</v>
      </c>
      <c r="BE49" t="s">
        <v>1079</v>
      </c>
      <c r="BF49">
        <v>1</v>
      </c>
      <c r="BG49">
        <v>1</v>
      </c>
      <c r="BH49">
        <v>1994</v>
      </c>
      <c r="BI49" t="s">
        <v>1080</v>
      </c>
      <c r="BJ49" t="s">
        <v>194</v>
      </c>
      <c r="BK49" t="s">
        <v>195</v>
      </c>
      <c r="BL49" t="s">
        <v>1081</v>
      </c>
      <c r="BM49" t="s">
        <v>945</v>
      </c>
      <c r="BN49" t="s">
        <v>182</v>
      </c>
      <c r="BO49" t="s">
        <v>198</v>
      </c>
      <c r="BP49" t="s">
        <v>198</v>
      </c>
      <c r="BQ49" t="s">
        <v>198</v>
      </c>
      <c r="BR49" t="s">
        <v>198</v>
      </c>
      <c r="BS49" t="s">
        <v>198</v>
      </c>
      <c r="BT49" t="s">
        <v>198</v>
      </c>
      <c r="BU49" t="s">
        <v>182</v>
      </c>
      <c r="BV49" t="s">
        <v>198</v>
      </c>
      <c r="BW49" t="s">
        <v>198</v>
      </c>
      <c r="BX49" t="s">
        <v>199</v>
      </c>
      <c r="BY49" t="s">
        <v>198</v>
      </c>
      <c r="BZ49" t="s">
        <v>199</v>
      </c>
      <c r="CA49" t="s">
        <v>199</v>
      </c>
      <c r="CB49" t="s">
        <v>1082</v>
      </c>
      <c r="CC49" t="s">
        <v>201</v>
      </c>
      <c r="CD49" t="s">
        <v>182</v>
      </c>
      <c r="CE49" t="s">
        <v>1083</v>
      </c>
      <c r="CF49" t="s">
        <v>425</v>
      </c>
      <c r="CG49" t="s">
        <v>177</v>
      </c>
      <c r="CH49" t="s">
        <v>421</v>
      </c>
      <c r="CI49" t="s">
        <v>1084</v>
      </c>
      <c r="CJ49" t="s">
        <v>1085</v>
      </c>
      <c r="CK49" t="s">
        <v>232</v>
      </c>
      <c r="CL49" t="s">
        <v>233</v>
      </c>
      <c r="CM49" t="s">
        <v>1086</v>
      </c>
      <c r="CN49" t="s">
        <v>235</v>
      </c>
      <c r="CO49" t="s">
        <v>183</v>
      </c>
      <c r="CP49" t="s">
        <v>266</v>
      </c>
      <c r="CS49" t="s">
        <v>198</v>
      </c>
      <c r="CT49" t="s">
        <v>655</v>
      </c>
      <c r="CU49" t="s">
        <v>292</v>
      </c>
      <c r="CV49" t="s">
        <v>293</v>
      </c>
      <c r="CW49" t="s">
        <v>1087</v>
      </c>
      <c r="CX49" t="s">
        <v>235</v>
      </c>
      <c r="CY49" t="s">
        <v>183</v>
      </c>
      <c r="CZ49" t="s">
        <v>211</v>
      </c>
      <c r="DA49" t="s">
        <v>345</v>
      </c>
      <c r="DC49" t="s">
        <v>1088</v>
      </c>
      <c r="DD49" t="s">
        <v>1089</v>
      </c>
      <c r="DE49" t="s">
        <v>267</v>
      </c>
      <c r="DF49" t="s">
        <v>268</v>
      </c>
      <c r="DG49" t="s">
        <v>1090</v>
      </c>
      <c r="DH49" t="s">
        <v>235</v>
      </c>
      <c r="DI49" t="s">
        <v>183</v>
      </c>
      <c r="DJ49" t="s">
        <v>211</v>
      </c>
      <c r="DK49" t="s">
        <v>290</v>
      </c>
      <c r="DM49" t="s">
        <v>1091</v>
      </c>
      <c r="DN49" t="s">
        <v>1067</v>
      </c>
      <c r="DO49" t="s">
        <v>273</v>
      </c>
      <c r="DP49" t="s">
        <v>274</v>
      </c>
      <c r="DQ49" t="s">
        <v>1092</v>
      </c>
      <c r="DR49" t="s">
        <v>235</v>
      </c>
      <c r="DS49" t="s">
        <v>183</v>
      </c>
      <c r="DT49" t="s">
        <v>211</v>
      </c>
      <c r="DU49" t="s">
        <v>523</v>
      </c>
      <c r="DW49" t="s">
        <v>1091</v>
      </c>
      <c r="DX49" t="s">
        <v>655</v>
      </c>
      <c r="DY49" t="s">
        <v>302</v>
      </c>
      <c r="DZ49" t="s">
        <v>303</v>
      </c>
      <c r="EA49" t="s">
        <v>1093</v>
      </c>
      <c r="EB49" t="s">
        <v>235</v>
      </c>
      <c r="EC49" t="s">
        <v>183</v>
      </c>
      <c r="ED49" t="s">
        <v>211</v>
      </c>
      <c r="EE49" t="s">
        <v>345</v>
      </c>
      <c r="EG49" t="s">
        <v>1094</v>
      </c>
      <c r="EH49" t="s">
        <v>1095</v>
      </c>
      <c r="EI49" t="s">
        <v>238</v>
      </c>
      <c r="EJ49" t="s">
        <v>239</v>
      </c>
      <c r="EK49" t="s">
        <v>1096</v>
      </c>
      <c r="EL49" t="s">
        <v>235</v>
      </c>
      <c r="EM49" t="s">
        <v>183</v>
      </c>
      <c r="EN49" t="s">
        <v>211</v>
      </c>
      <c r="EO49" t="s">
        <v>345</v>
      </c>
      <c r="EQ49" t="s">
        <v>1097</v>
      </c>
      <c r="ER49" t="s">
        <v>1098</v>
      </c>
      <c r="ES49" t="s">
        <v>346</v>
      </c>
      <c r="ET49" t="s">
        <v>347</v>
      </c>
      <c r="EU49" t="s">
        <v>1099</v>
      </c>
      <c r="EV49" t="s">
        <v>235</v>
      </c>
      <c r="EW49" t="s">
        <v>183</v>
      </c>
      <c r="EX49" t="s">
        <v>211</v>
      </c>
      <c r="EY49" t="s">
        <v>298</v>
      </c>
      <c r="FA49" t="s">
        <v>1100</v>
      </c>
      <c r="FB49" t="s">
        <v>1101</v>
      </c>
      <c r="FC49" t="s">
        <v>207</v>
      </c>
      <c r="FD49" t="s">
        <v>208</v>
      </c>
      <c r="FE49" t="s">
        <v>1102</v>
      </c>
      <c r="FF49" t="s">
        <v>235</v>
      </c>
      <c r="FG49" t="s">
        <v>183</v>
      </c>
      <c r="FH49" t="s">
        <v>211</v>
      </c>
      <c r="FI49" t="s">
        <v>199</v>
      </c>
      <c r="FK49" t="s">
        <v>1103</v>
      </c>
      <c r="FU49" t="s">
        <v>198</v>
      </c>
    </row>
    <row r="50" spans="1:177">
      <c r="A50" s="1" t="str">
        <f>HYPERLINK("http://digipan.lumentumllc.com/apps/getLink/index.php?t=PropLink&amp;p=6594149","PL")</f>
        <v>PL</v>
      </c>
      <c r="B50" s="1" t="str">
        <f>HYPERLINK("http://digipan.lumentumllc.com/apps/getLink/index.php?t=TaxLink&amp;p=6594149","TL")</f>
        <v>TL</v>
      </c>
      <c r="C50" s="1" t="str">
        <f>HYPERLINK("http://digipan.lumentumllc.com/apps/getMap/index.php?p=6594149","Map")</f>
        <v>Map</v>
      </c>
      <c r="E50" t="s">
        <v>177</v>
      </c>
      <c r="F50" t="s">
        <v>178</v>
      </c>
      <c r="L50" t="s">
        <v>1104</v>
      </c>
      <c r="N50" t="s">
        <v>1104</v>
      </c>
      <c r="O50" t="s">
        <v>1104</v>
      </c>
      <c r="P50" t="s">
        <v>1105</v>
      </c>
      <c r="Q50" t="s">
        <v>1104</v>
      </c>
      <c r="V50">
        <v>58</v>
      </c>
      <c r="W50">
        <v>1</v>
      </c>
      <c r="X50">
        <v>2017</v>
      </c>
      <c r="Y50">
        <v>2018</v>
      </c>
      <c r="Z50">
        <v>1613.34</v>
      </c>
      <c r="AB50" t="s">
        <v>181</v>
      </c>
      <c r="AC50" t="s">
        <v>182</v>
      </c>
      <c r="AD50" t="s">
        <v>183</v>
      </c>
      <c r="AE50">
        <v>0</v>
      </c>
      <c r="AF50">
        <v>1</v>
      </c>
      <c r="AG50" t="s">
        <v>821</v>
      </c>
      <c r="AH50">
        <v>100</v>
      </c>
      <c r="AK50">
        <v>0</v>
      </c>
      <c r="AL50">
        <v>96585</v>
      </c>
      <c r="AM50">
        <v>30360</v>
      </c>
      <c r="AN50">
        <v>66225</v>
      </c>
      <c r="AO50">
        <v>1381</v>
      </c>
      <c r="AP50">
        <v>2016</v>
      </c>
      <c r="AQ50">
        <v>1.67</v>
      </c>
      <c r="AS50" t="s">
        <v>1106</v>
      </c>
      <c r="AT50" t="s">
        <v>420</v>
      </c>
      <c r="AU50" t="s">
        <v>177</v>
      </c>
      <c r="AV50" t="s">
        <v>421</v>
      </c>
      <c r="AW50" t="s">
        <v>182</v>
      </c>
      <c r="AX50">
        <v>2</v>
      </c>
      <c r="AY50" t="s">
        <v>188</v>
      </c>
      <c r="AZ50" t="s">
        <v>189</v>
      </c>
      <c r="BA50" t="s">
        <v>190</v>
      </c>
      <c r="BB50" t="s">
        <v>191</v>
      </c>
      <c r="BC50" t="s">
        <v>182</v>
      </c>
      <c r="BD50" t="s">
        <v>182</v>
      </c>
      <c r="BE50" t="s">
        <v>1107</v>
      </c>
      <c r="BF50">
        <v>1</v>
      </c>
      <c r="BG50">
        <v>1</v>
      </c>
      <c r="BH50">
        <v>1995</v>
      </c>
      <c r="BI50" t="s">
        <v>1108</v>
      </c>
      <c r="BJ50" t="s">
        <v>194</v>
      </c>
      <c r="BK50" t="s">
        <v>195</v>
      </c>
      <c r="BL50" t="s">
        <v>1109</v>
      </c>
      <c r="BM50" t="s">
        <v>302</v>
      </c>
      <c r="BN50" t="s">
        <v>182</v>
      </c>
      <c r="BO50" t="s">
        <v>885</v>
      </c>
      <c r="BP50" t="s">
        <v>1110</v>
      </c>
      <c r="BS50" t="s">
        <v>1111</v>
      </c>
      <c r="BT50" t="s">
        <v>198</v>
      </c>
      <c r="BU50" t="s">
        <v>182</v>
      </c>
      <c r="BV50" t="s">
        <v>198</v>
      </c>
      <c r="BW50" t="s">
        <v>198</v>
      </c>
      <c r="BX50" t="s">
        <v>199</v>
      </c>
      <c r="BY50" t="s">
        <v>198</v>
      </c>
      <c r="BZ50" t="s">
        <v>199</v>
      </c>
      <c r="CA50" t="s">
        <v>199</v>
      </c>
      <c r="CB50" t="s">
        <v>1112</v>
      </c>
      <c r="CC50" t="s">
        <v>201</v>
      </c>
      <c r="CD50" t="s">
        <v>182</v>
      </c>
      <c r="CE50" t="s">
        <v>1113</v>
      </c>
      <c r="CF50" t="s">
        <v>425</v>
      </c>
      <c r="CG50" t="s">
        <v>177</v>
      </c>
      <c r="CH50" t="s">
        <v>421</v>
      </c>
      <c r="CI50" t="s">
        <v>1114</v>
      </c>
      <c r="CJ50" t="s">
        <v>1089</v>
      </c>
      <c r="CK50" t="s">
        <v>292</v>
      </c>
      <c r="CL50" t="s">
        <v>293</v>
      </c>
      <c r="CM50" t="s">
        <v>1115</v>
      </c>
      <c r="CN50" t="s">
        <v>235</v>
      </c>
      <c r="CO50" t="s">
        <v>183</v>
      </c>
      <c r="CP50" t="s">
        <v>211</v>
      </c>
      <c r="CQ50" t="s">
        <v>206</v>
      </c>
      <c r="CS50" t="s">
        <v>1116</v>
      </c>
      <c r="DC50" t="s">
        <v>198</v>
      </c>
      <c r="DM50" t="s">
        <v>198</v>
      </c>
      <c r="DW50" t="s">
        <v>198</v>
      </c>
      <c r="EG50" t="s">
        <v>198</v>
      </c>
      <c r="EQ50" t="s">
        <v>198</v>
      </c>
      <c r="FA50" t="s">
        <v>198</v>
      </c>
      <c r="FK50" t="s">
        <v>198</v>
      </c>
      <c r="FU50" t="s">
        <v>198</v>
      </c>
    </row>
    <row r="51" spans="1:177">
      <c r="A51" s="1" t="str">
        <f>HYPERLINK("http://digipan.lumentumllc.com/apps/getLink/index.php?t=PropLink&amp;p=5245195","PL")</f>
        <v>PL</v>
      </c>
      <c r="B51" s="1" t="str">
        <f>HYPERLINK("http://digipan.lumentumllc.com/apps/getLink/index.php?t=TaxLink&amp;p=5245195","TL")</f>
        <v>TL</v>
      </c>
      <c r="C51" s="1" t="str">
        <f>HYPERLINK("http://digipan.lumentumllc.com/apps/getMap/index.php?p=5245195","Map")</f>
        <v>Map</v>
      </c>
      <c r="E51" t="s">
        <v>177</v>
      </c>
      <c r="F51" t="s">
        <v>178</v>
      </c>
      <c r="L51" t="s">
        <v>1117</v>
      </c>
      <c r="N51" t="s">
        <v>1117</v>
      </c>
      <c r="O51" t="s">
        <v>1117</v>
      </c>
      <c r="P51" t="s">
        <v>1118</v>
      </c>
      <c r="Q51" t="s">
        <v>1117</v>
      </c>
      <c r="V51">
        <v>59</v>
      </c>
      <c r="W51">
        <v>1</v>
      </c>
      <c r="X51">
        <v>2017</v>
      </c>
      <c r="Y51">
        <v>2018</v>
      </c>
      <c r="Z51">
        <v>505.05</v>
      </c>
      <c r="AB51" t="s">
        <v>181</v>
      </c>
      <c r="AC51" t="s">
        <v>182</v>
      </c>
      <c r="AD51" t="s">
        <v>183</v>
      </c>
      <c r="AE51">
        <v>1</v>
      </c>
      <c r="AF51">
        <v>4</v>
      </c>
      <c r="AG51" t="s">
        <v>951</v>
      </c>
      <c r="AH51">
        <v>80</v>
      </c>
      <c r="AI51">
        <v>498.78</v>
      </c>
      <c r="AJ51">
        <v>24.94</v>
      </c>
      <c r="AK51">
        <v>523.72</v>
      </c>
      <c r="AL51">
        <v>70324</v>
      </c>
      <c r="AM51">
        <v>24000</v>
      </c>
      <c r="AN51">
        <v>46324</v>
      </c>
      <c r="AO51">
        <v>436</v>
      </c>
      <c r="AP51">
        <v>2016</v>
      </c>
      <c r="AQ51">
        <v>0.72</v>
      </c>
      <c r="AR51">
        <v>0.74</v>
      </c>
      <c r="AS51" t="s">
        <v>1119</v>
      </c>
      <c r="AT51" t="s">
        <v>420</v>
      </c>
      <c r="AU51" t="s">
        <v>177</v>
      </c>
      <c r="AV51" t="s">
        <v>421</v>
      </c>
      <c r="AW51" t="s">
        <v>202</v>
      </c>
      <c r="AX51">
        <v>1</v>
      </c>
      <c r="AY51" t="s">
        <v>188</v>
      </c>
      <c r="AZ51" t="s">
        <v>206</v>
      </c>
      <c r="BA51" t="s">
        <v>355</v>
      </c>
      <c r="BB51" t="s">
        <v>191</v>
      </c>
      <c r="BC51" t="s">
        <v>182</v>
      </c>
      <c r="BD51" t="s">
        <v>182</v>
      </c>
      <c r="BE51" t="s">
        <v>365</v>
      </c>
      <c r="BF51">
        <v>1</v>
      </c>
      <c r="BG51">
        <v>1</v>
      </c>
      <c r="BH51">
        <v>1975</v>
      </c>
      <c r="BI51" t="s">
        <v>1120</v>
      </c>
      <c r="BJ51" t="s">
        <v>285</v>
      </c>
      <c r="BK51" t="s">
        <v>195</v>
      </c>
      <c r="BL51" t="s">
        <v>199</v>
      </c>
      <c r="BM51" t="s">
        <v>679</v>
      </c>
      <c r="BN51" t="s">
        <v>182</v>
      </c>
      <c r="BO51" t="s">
        <v>1121</v>
      </c>
      <c r="BP51" t="s">
        <v>1122</v>
      </c>
      <c r="BR51" t="s">
        <v>1123</v>
      </c>
      <c r="BS51" t="s">
        <v>1124</v>
      </c>
      <c r="BT51" t="s">
        <v>198</v>
      </c>
      <c r="BU51" t="s">
        <v>182</v>
      </c>
      <c r="BV51" t="s">
        <v>198</v>
      </c>
      <c r="BW51" t="s">
        <v>198</v>
      </c>
      <c r="BX51" t="s">
        <v>199</v>
      </c>
      <c r="BY51" t="s">
        <v>198</v>
      </c>
      <c r="BZ51" t="s">
        <v>199</v>
      </c>
      <c r="CA51" t="s">
        <v>199</v>
      </c>
      <c r="CB51" t="s">
        <v>1125</v>
      </c>
      <c r="CC51" t="s">
        <v>201</v>
      </c>
      <c r="CD51" t="s">
        <v>202</v>
      </c>
      <c r="CE51" t="s">
        <v>1126</v>
      </c>
      <c r="CF51" t="s">
        <v>425</v>
      </c>
      <c r="CG51" t="s">
        <v>177</v>
      </c>
      <c r="CH51" t="s">
        <v>421</v>
      </c>
      <c r="CI51" t="s">
        <v>1127</v>
      </c>
      <c r="CJ51" t="s">
        <v>1128</v>
      </c>
      <c r="CK51" t="s">
        <v>232</v>
      </c>
      <c r="CL51" t="s">
        <v>233</v>
      </c>
      <c r="CM51" t="s">
        <v>1129</v>
      </c>
      <c r="CN51" t="s">
        <v>235</v>
      </c>
      <c r="CO51" t="s">
        <v>183</v>
      </c>
      <c r="CP51" t="s">
        <v>266</v>
      </c>
      <c r="CS51" t="s">
        <v>198</v>
      </c>
      <c r="CT51" t="s">
        <v>655</v>
      </c>
      <c r="CU51" t="s">
        <v>273</v>
      </c>
      <c r="CV51" t="s">
        <v>274</v>
      </c>
      <c r="CW51" t="s">
        <v>1130</v>
      </c>
      <c r="CX51" t="s">
        <v>235</v>
      </c>
      <c r="CY51" t="s">
        <v>183</v>
      </c>
      <c r="CZ51" t="s">
        <v>211</v>
      </c>
      <c r="DA51" t="s">
        <v>329</v>
      </c>
      <c r="DC51" t="s">
        <v>1131</v>
      </c>
      <c r="DD51" t="s">
        <v>1089</v>
      </c>
      <c r="DE51" t="s">
        <v>302</v>
      </c>
      <c r="DF51" t="s">
        <v>303</v>
      </c>
      <c r="DG51" t="s">
        <v>1132</v>
      </c>
      <c r="DH51" t="s">
        <v>235</v>
      </c>
      <c r="DI51" t="s">
        <v>183</v>
      </c>
      <c r="DJ51" t="s">
        <v>211</v>
      </c>
      <c r="DK51" t="s">
        <v>329</v>
      </c>
      <c r="DM51" t="s">
        <v>1133</v>
      </c>
      <c r="DN51" t="s">
        <v>1134</v>
      </c>
      <c r="DO51" t="s">
        <v>238</v>
      </c>
      <c r="DP51" t="s">
        <v>239</v>
      </c>
      <c r="DQ51" t="s">
        <v>1135</v>
      </c>
      <c r="DR51" t="s">
        <v>295</v>
      </c>
      <c r="DS51" t="s">
        <v>183</v>
      </c>
      <c r="DT51" t="s">
        <v>211</v>
      </c>
      <c r="DU51" t="s">
        <v>329</v>
      </c>
      <c r="DW51" t="s">
        <v>1136</v>
      </c>
      <c r="DX51" t="s">
        <v>1137</v>
      </c>
      <c r="DY51" t="s">
        <v>346</v>
      </c>
      <c r="DZ51" t="s">
        <v>347</v>
      </c>
      <c r="EA51" t="s">
        <v>1138</v>
      </c>
      <c r="EB51" t="s">
        <v>254</v>
      </c>
      <c r="EC51" t="s">
        <v>183</v>
      </c>
      <c r="ED51" t="s">
        <v>211</v>
      </c>
      <c r="EE51" t="s">
        <v>329</v>
      </c>
      <c r="EG51" t="s">
        <v>1139</v>
      </c>
      <c r="EQ51" t="s">
        <v>198</v>
      </c>
      <c r="FA51" t="s">
        <v>198</v>
      </c>
      <c r="FK51" t="s">
        <v>198</v>
      </c>
      <c r="FU51" t="s">
        <v>198</v>
      </c>
    </row>
    <row r="52" spans="1:177">
      <c r="A52" s="1" t="str">
        <f>HYPERLINK("http://digipan.lumentumllc.com/apps/getLink/index.php?t=PropLink&amp;p=5245198","PL")</f>
        <v>PL</v>
      </c>
      <c r="B52" s="1" t="str">
        <f>HYPERLINK("http://digipan.lumentumllc.com/apps/getLink/index.php?t=TaxLink&amp;p=5245198","TL")</f>
        <v>TL</v>
      </c>
      <c r="C52" s="1" t="str">
        <f>HYPERLINK("http://digipan.lumentumllc.com/apps/getMap/index.php?p=5245198","Map")</f>
        <v>Map</v>
      </c>
      <c r="E52" t="s">
        <v>177</v>
      </c>
      <c r="F52" t="s">
        <v>178</v>
      </c>
      <c r="L52" t="s">
        <v>1140</v>
      </c>
      <c r="N52" t="s">
        <v>1140</v>
      </c>
      <c r="O52" t="s">
        <v>1140</v>
      </c>
      <c r="P52" t="s">
        <v>1141</v>
      </c>
      <c r="Q52" t="s">
        <v>1140</v>
      </c>
      <c r="V52">
        <v>61</v>
      </c>
      <c r="W52">
        <v>1</v>
      </c>
      <c r="X52">
        <v>2017</v>
      </c>
      <c r="Y52">
        <v>2018</v>
      </c>
      <c r="Z52">
        <v>499.97</v>
      </c>
      <c r="AG52" t="s">
        <v>184</v>
      </c>
      <c r="AH52">
        <v>0</v>
      </c>
      <c r="AK52">
        <v>0</v>
      </c>
      <c r="AL52">
        <v>67589</v>
      </c>
      <c r="AM52">
        <v>24000</v>
      </c>
      <c r="AN52">
        <v>43589</v>
      </c>
      <c r="AO52">
        <v>431</v>
      </c>
      <c r="AP52">
        <v>2016</v>
      </c>
      <c r="AQ52">
        <v>0.74</v>
      </c>
      <c r="AS52" t="s">
        <v>1142</v>
      </c>
      <c r="AT52" t="s">
        <v>420</v>
      </c>
      <c r="AU52" t="s">
        <v>177</v>
      </c>
      <c r="AV52" t="s">
        <v>421</v>
      </c>
      <c r="AW52" t="s">
        <v>202</v>
      </c>
      <c r="AX52">
        <v>2</v>
      </c>
      <c r="AY52" t="s">
        <v>188</v>
      </c>
      <c r="AZ52" t="s">
        <v>189</v>
      </c>
      <c r="BA52" t="s">
        <v>190</v>
      </c>
      <c r="BB52" t="s">
        <v>191</v>
      </c>
      <c r="BC52" t="s">
        <v>182</v>
      </c>
      <c r="BD52" t="s">
        <v>182</v>
      </c>
      <c r="BE52" t="s">
        <v>365</v>
      </c>
      <c r="BF52">
        <v>1</v>
      </c>
      <c r="BG52">
        <v>1</v>
      </c>
      <c r="BH52">
        <v>2002</v>
      </c>
      <c r="BI52" t="s">
        <v>1143</v>
      </c>
      <c r="BJ52" t="s">
        <v>194</v>
      </c>
      <c r="BK52" t="s">
        <v>195</v>
      </c>
      <c r="BL52" t="s">
        <v>1144</v>
      </c>
      <c r="BM52" t="s">
        <v>1041</v>
      </c>
      <c r="BN52" t="s">
        <v>182</v>
      </c>
      <c r="BO52" t="s">
        <v>1145</v>
      </c>
      <c r="BP52" t="s">
        <v>1146</v>
      </c>
      <c r="BS52" t="s">
        <v>1147</v>
      </c>
      <c r="BT52" t="s">
        <v>198</v>
      </c>
      <c r="BU52" t="s">
        <v>182</v>
      </c>
      <c r="BV52" t="s">
        <v>198</v>
      </c>
      <c r="BW52" t="s">
        <v>198</v>
      </c>
      <c r="BX52" t="s">
        <v>199</v>
      </c>
      <c r="BY52" t="s">
        <v>198</v>
      </c>
      <c r="BZ52" t="s">
        <v>199</v>
      </c>
      <c r="CA52" t="s">
        <v>199</v>
      </c>
      <c r="CB52" t="s">
        <v>1148</v>
      </c>
      <c r="CC52" t="s">
        <v>201</v>
      </c>
      <c r="CD52" t="s">
        <v>182</v>
      </c>
      <c r="CE52" t="s">
        <v>1149</v>
      </c>
      <c r="CF52" t="s">
        <v>425</v>
      </c>
      <c r="CG52" t="s">
        <v>177</v>
      </c>
      <c r="CH52" t="s">
        <v>421</v>
      </c>
      <c r="CI52" t="s">
        <v>1150</v>
      </c>
      <c r="CS52" t="s">
        <v>198</v>
      </c>
      <c r="DC52" t="s">
        <v>198</v>
      </c>
      <c r="DM52" t="s">
        <v>198</v>
      </c>
      <c r="DW52" t="s">
        <v>198</v>
      </c>
      <c r="EG52" t="s">
        <v>198</v>
      </c>
      <c r="EQ52" t="s">
        <v>198</v>
      </c>
      <c r="FA52" t="s">
        <v>198</v>
      </c>
      <c r="FK52" t="s">
        <v>198</v>
      </c>
      <c r="FU52" t="s">
        <v>198</v>
      </c>
    </row>
    <row r="53" spans="1:177">
      <c r="A53" s="1" t="str">
        <f>HYPERLINK("http://digipan.lumentumllc.com/apps/getLink/index.php?t=PropLink&amp;p=5245201","PL")</f>
        <v>PL</v>
      </c>
      <c r="B53" s="1" t="str">
        <f>HYPERLINK("http://digipan.lumentumllc.com/apps/getLink/index.php?t=TaxLink&amp;p=5245201","TL")</f>
        <v>TL</v>
      </c>
      <c r="C53" s="1" t="str">
        <f>HYPERLINK("http://digipan.lumentumllc.com/apps/getMap/index.php?p=5245201","Map")</f>
        <v>Map</v>
      </c>
      <c r="E53" t="s">
        <v>177</v>
      </c>
      <c r="F53" t="s">
        <v>178</v>
      </c>
      <c r="L53" t="s">
        <v>1151</v>
      </c>
      <c r="N53" t="s">
        <v>1151</v>
      </c>
      <c r="O53" t="s">
        <v>1151</v>
      </c>
      <c r="P53" t="s">
        <v>1152</v>
      </c>
      <c r="Q53" t="s">
        <v>1151</v>
      </c>
      <c r="V53">
        <v>63</v>
      </c>
      <c r="W53">
        <v>1</v>
      </c>
      <c r="X53">
        <v>2017</v>
      </c>
      <c r="Y53">
        <v>2018</v>
      </c>
      <c r="Z53">
        <v>292.33</v>
      </c>
      <c r="AB53" t="s">
        <v>181</v>
      </c>
      <c r="AC53" t="s">
        <v>182</v>
      </c>
      <c r="AD53" t="s">
        <v>183</v>
      </c>
      <c r="AE53">
        <v>1</v>
      </c>
      <c r="AF53">
        <v>2</v>
      </c>
      <c r="AG53" t="s">
        <v>363</v>
      </c>
      <c r="AH53">
        <v>67</v>
      </c>
      <c r="AI53">
        <v>290.97000000000003</v>
      </c>
      <c r="AJ53">
        <v>16</v>
      </c>
      <c r="AK53">
        <v>306.97000000000003</v>
      </c>
      <c r="AL53">
        <v>15900</v>
      </c>
      <c r="AM53">
        <v>15900</v>
      </c>
      <c r="AN53">
        <v>0</v>
      </c>
      <c r="AO53">
        <v>244</v>
      </c>
      <c r="AP53">
        <v>2016</v>
      </c>
      <c r="AQ53">
        <v>1.84</v>
      </c>
      <c r="AR53">
        <v>1.93</v>
      </c>
      <c r="AS53" t="s">
        <v>1153</v>
      </c>
      <c r="AT53" t="s">
        <v>420</v>
      </c>
      <c r="AU53" t="s">
        <v>177</v>
      </c>
      <c r="AV53" t="s">
        <v>421</v>
      </c>
      <c r="AW53" t="s">
        <v>182</v>
      </c>
      <c r="AX53">
        <v>0</v>
      </c>
      <c r="AY53" t="s">
        <v>312</v>
      </c>
      <c r="AZ53" t="s">
        <v>199</v>
      </c>
      <c r="BA53" t="s">
        <v>313</v>
      </c>
      <c r="BB53" t="s">
        <v>191</v>
      </c>
      <c r="BC53" t="s">
        <v>182</v>
      </c>
      <c r="BD53" t="s">
        <v>182</v>
      </c>
      <c r="BE53" t="s">
        <v>1154</v>
      </c>
      <c r="BF53">
        <v>0</v>
      </c>
      <c r="BG53">
        <v>0</v>
      </c>
      <c r="BH53">
        <v>0</v>
      </c>
      <c r="BI53" t="s">
        <v>199</v>
      </c>
      <c r="BJ53" t="s">
        <v>315</v>
      </c>
      <c r="BL53" t="s">
        <v>1155</v>
      </c>
      <c r="BM53" t="s">
        <v>1156</v>
      </c>
      <c r="BN53" t="s">
        <v>182</v>
      </c>
      <c r="BO53" t="s">
        <v>198</v>
      </c>
      <c r="BP53" t="s">
        <v>198</v>
      </c>
      <c r="BQ53" t="s">
        <v>198</v>
      </c>
      <c r="BR53" t="s">
        <v>198</v>
      </c>
      <c r="BS53" t="s">
        <v>198</v>
      </c>
      <c r="BT53" t="s">
        <v>198</v>
      </c>
      <c r="BU53" t="s">
        <v>182</v>
      </c>
      <c r="BV53" t="s">
        <v>198</v>
      </c>
      <c r="BW53" t="s">
        <v>198</v>
      </c>
      <c r="BX53" t="s">
        <v>199</v>
      </c>
      <c r="BY53" t="s">
        <v>198</v>
      </c>
      <c r="BZ53" t="s">
        <v>199</v>
      </c>
      <c r="CA53" t="s">
        <v>199</v>
      </c>
      <c r="CB53" t="s">
        <v>1157</v>
      </c>
      <c r="CC53" t="s">
        <v>201</v>
      </c>
      <c r="CD53" t="s">
        <v>182</v>
      </c>
      <c r="CE53" t="s">
        <v>1158</v>
      </c>
      <c r="CF53" t="s">
        <v>1159</v>
      </c>
      <c r="CG53" t="s">
        <v>177</v>
      </c>
      <c r="CH53" t="s">
        <v>1160</v>
      </c>
      <c r="CI53" t="s">
        <v>1161</v>
      </c>
      <c r="CJ53" t="s">
        <v>1162</v>
      </c>
      <c r="CK53" t="s">
        <v>232</v>
      </c>
      <c r="CL53" t="s">
        <v>233</v>
      </c>
      <c r="CM53" t="s">
        <v>1163</v>
      </c>
      <c r="CN53" t="s">
        <v>1164</v>
      </c>
      <c r="CO53" t="s">
        <v>183</v>
      </c>
      <c r="CP53" t="s">
        <v>266</v>
      </c>
      <c r="CS53" t="s">
        <v>198</v>
      </c>
      <c r="CT53" t="s">
        <v>963</v>
      </c>
      <c r="CU53" t="s">
        <v>267</v>
      </c>
      <c r="CV53" t="s">
        <v>268</v>
      </c>
      <c r="CW53" t="s">
        <v>1165</v>
      </c>
      <c r="CX53" t="s">
        <v>1164</v>
      </c>
      <c r="CY53" t="s">
        <v>183</v>
      </c>
      <c r="CZ53" t="s">
        <v>211</v>
      </c>
      <c r="DA53" t="s">
        <v>270</v>
      </c>
      <c r="DC53" t="s">
        <v>544</v>
      </c>
      <c r="DD53" t="s">
        <v>1166</v>
      </c>
      <c r="DE53" t="s">
        <v>346</v>
      </c>
      <c r="DF53" t="s">
        <v>347</v>
      </c>
      <c r="DG53" t="s">
        <v>1075</v>
      </c>
      <c r="DH53" t="s">
        <v>615</v>
      </c>
      <c r="DI53" t="s">
        <v>183</v>
      </c>
      <c r="DJ53" t="s">
        <v>211</v>
      </c>
      <c r="DK53" t="s">
        <v>329</v>
      </c>
      <c r="DM53" t="s">
        <v>1167</v>
      </c>
      <c r="DW53" t="s">
        <v>198</v>
      </c>
      <c r="EG53" t="s">
        <v>198</v>
      </c>
      <c r="EQ53" t="s">
        <v>198</v>
      </c>
      <c r="FA53" t="s">
        <v>198</v>
      </c>
      <c r="FK53" t="s">
        <v>198</v>
      </c>
      <c r="FU53" t="s">
        <v>198</v>
      </c>
    </row>
    <row r="54" spans="1:177">
      <c r="A54" s="1" t="str">
        <f>HYPERLINK("http://digipan.lumentumllc.com/apps/getLink/index.php?t=PropLink&amp;p=5245202","PL")</f>
        <v>PL</v>
      </c>
      <c r="B54" s="1" t="str">
        <f>HYPERLINK("http://digipan.lumentumllc.com/apps/getLink/index.php?t=TaxLink&amp;p=5245202","TL")</f>
        <v>TL</v>
      </c>
      <c r="C54" s="1" t="str">
        <f>HYPERLINK("http://digipan.lumentumllc.com/apps/getMap/index.php?p=5245202","Map")</f>
        <v>Map</v>
      </c>
      <c r="E54" t="s">
        <v>177</v>
      </c>
      <c r="F54" t="s">
        <v>178</v>
      </c>
      <c r="L54" t="s">
        <v>1168</v>
      </c>
      <c r="N54" t="s">
        <v>1168</v>
      </c>
      <c r="O54" t="s">
        <v>1168</v>
      </c>
      <c r="P54" t="s">
        <v>1169</v>
      </c>
      <c r="Q54" t="s">
        <v>1168</v>
      </c>
      <c r="V54">
        <v>64</v>
      </c>
      <c r="W54">
        <v>1</v>
      </c>
      <c r="X54">
        <v>2017</v>
      </c>
      <c r="Y54">
        <v>2018</v>
      </c>
      <c r="Z54">
        <v>338.5</v>
      </c>
      <c r="AB54" t="s">
        <v>181</v>
      </c>
      <c r="AC54" t="s">
        <v>182</v>
      </c>
      <c r="AD54" t="s">
        <v>183</v>
      </c>
      <c r="AE54">
        <v>1</v>
      </c>
      <c r="AF54">
        <v>2</v>
      </c>
      <c r="AG54" t="s">
        <v>363</v>
      </c>
      <c r="AH54">
        <v>67</v>
      </c>
      <c r="AI54">
        <v>326.52</v>
      </c>
      <c r="AJ54">
        <v>17.14</v>
      </c>
      <c r="AK54">
        <v>343.66</v>
      </c>
      <c r="AL54">
        <v>24000</v>
      </c>
      <c r="AM54">
        <v>24000</v>
      </c>
      <c r="AN54">
        <v>0</v>
      </c>
      <c r="AO54">
        <v>277</v>
      </c>
      <c r="AP54">
        <v>2016</v>
      </c>
      <c r="AQ54">
        <v>1.41</v>
      </c>
      <c r="AR54">
        <v>1.43</v>
      </c>
      <c r="AS54" t="s">
        <v>1153</v>
      </c>
      <c r="AT54" t="s">
        <v>420</v>
      </c>
      <c r="AU54" t="s">
        <v>177</v>
      </c>
      <c r="AV54" t="s">
        <v>421</v>
      </c>
      <c r="AW54" t="s">
        <v>182</v>
      </c>
      <c r="AX54">
        <v>0</v>
      </c>
      <c r="AY54" t="s">
        <v>312</v>
      </c>
      <c r="AZ54" t="s">
        <v>199</v>
      </c>
      <c r="BA54" t="s">
        <v>313</v>
      </c>
      <c r="BB54" t="s">
        <v>191</v>
      </c>
      <c r="BC54" t="s">
        <v>182</v>
      </c>
      <c r="BD54" t="s">
        <v>182</v>
      </c>
      <c r="BE54" t="s">
        <v>365</v>
      </c>
      <c r="BF54">
        <v>0</v>
      </c>
      <c r="BG54">
        <v>0</v>
      </c>
      <c r="BH54">
        <v>0</v>
      </c>
      <c r="BI54" t="s">
        <v>199</v>
      </c>
      <c r="BJ54" t="s">
        <v>315</v>
      </c>
      <c r="BL54" t="s">
        <v>1155</v>
      </c>
      <c r="BM54" t="s">
        <v>1156</v>
      </c>
      <c r="BN54" t="s">
        <v>182</v>
      </c>
      <c r="BO54" t="s">
        <v>198</v>
      </c>
      <c r="BP54" t="s">
        <v>198</v>
      </c>
      <c r="BQ54" t="s">
        <v>198</v>
      </c>
      <c r="BR54" t="s">
        <v>198</v>
      </c>
      <c r="BS54" t="s">
        <v>198</v>
      </c>
      <c r="BT54" t="s">
        <v>198</v>
      </c>
      <c r="BU54" t="s">
        <v>182</v>
      </c>
      <c r="BV54" t="s">
        <v>198</v>
      </c>
      <c r="BW54" t="s">
        <v>198</v>
      </c>
      <c r="BX54" t="s">
        <v>199</v>
      </c>
      <c r="BY54" t="s">
        <v>198</v>
      </c>
      <c r="BZ54" t="s">
        <v>199</v>
      </c>
      <c r="CA54" t="s">
        <v>199</v>
      </c>
      <c r="CB54" t="s">
        <v>1157</v>
      </c>
      <c r="CC54" t="s">
        <v>201</v>
      </c>
      <c r="CD54" t="s">
        <v>182</v>
      </c>
      <c r="CE54" t="s">
        <v>1158</v>
      </c>
      <c r="CF54" t="s">
        <v>1159</v>
      </c>
      <c r="CG54" t="s">
        <v>177</v>
      </c>
      <c r="CH54" t="s">
        <v>1160</v>
      </c>
      <c r="CI54" t="s">
        <v>1170</v>
      </c>
      <c r="CJ54" t="s">
        <v>671</v>
      </c>
      <c r="CK54" t="s">
        <v>232</v>
      </c>
      <c r="CL54" t="s">
        <v>233</v>
      </c>
      <c r="CM54" t="s">
        <v>1171</v>
      </c>
      <c r="CN54" t="s">
        <v>816</v>
      </c>
      <c r="CO54" t="s">
        <v>183</v>
      </c>
      <c r="CP54" t="s">
        <v>266</v>
      </c>
      <c r="CS54" t="s">
        <v>198</v>
      </c>
      <c r="CT54" t="s">
        <v>988</v>
      </c>
      <c r="CU54" t="s">
        <v>267</v>
      </c>
      <c r="CV54" t="s">
        <v>268</v>
      </c>
      <c r="CW54" t="s">
        <v>1172</v>
      </c>
      <c r="CX54" t="s">
        <v>331</v>
      </c>
      <c r="CY54" t="s">
        <v>183</v>
      </c>
      <c r="CZ54" t="s">
        <v>211</v>
      </c>
      <c r="DA54" t="s">
        <v>270</v>
      </c>
      <c r="DC54" t="s">
        <v>544</v>
      </c>
      <c r="DD54" t="s">
        <v>1173</v>
      </c>
      <c r="DE54" t="s">
        <v>346</v>
      </c>
      <c r="DF54" t="s">
        <v>347</v>
      </c>
      <c r="DG54" t="s">
        <v>1075</v>
      </c>
      <c r="DH54" t="s">
        <v>615</v>
      </c>
      <c r="DI54" t="s">
        <v>183</v>
      </c>
      <c r="DJ54" t="s">
        <v>211</v>
      </c>
      <c r="DK54" t="s">
        <v>329</v>
      </c>
      <c r="DM54" t="s">
        <v>1167</v>
      </c>
      <c r="DW54" t="s">
        <v>198</v>
      </c>
      <c r="EG54" t="s">
        <v>198</v>
      </c>
      <c r="EQ54" t="s">
        <v>198</v>
      </c>
      <c r="FA54" t="s">
        <v>198</v>
      </c>
      <c r="FK54" t="s">
        <v>198</v>
      </c>
      <c r="FU54" t="s">
        <v>198</v>
      </c>
    </row>
    <row r="55" spans="1:177">
      <c r="A55" s="1" t="str">
        <f>HYPERLINK("http://digipan.lumentumllc.com/apps/getLink/index.php?t=PropLink&amp;p=5245203","PL")</f>
        <v>PL</v>
      </c>
      <c r="B55" s="1" t="str">
        <f>HYPERLINK("http://digipan.lumentumllc.com/apps/getLink/index.php?t=TaxLink&amp;p=5245203","TL")</f>
        <v>TL</v>
      </c>
      <c r="C55" s="1" t="str">
        <f>HYPERLINK("http://digipan.lumentumllc.com/apps/getMap/index.php?p=5245203","Map")</f>
        <v>Map</v>
      </c>
      <c r="E55" t="s">
        <v>177</v>
      </c>
      <c r="F55" t="s">
        <v>178</v>
      </c>
      <c r="L55" t="s">
        <v>1174</v>
      </c>
      <c r="N55" t="s">
        <v>1174</v>
      </c>
      <c r="O55" t="s">
        <v>1174</v>
      </c>
      <c r="P55" t="s">
        <v>1175</v>
      </c>
      <c r="Q55" t="s">
        <v>1174</v>
      </c>
      <c r="V55">
        <v>65</v>
      </c>
      <c r="W55">
        <v>1</v>
      </c>
      <c r="X55">
        <v>2017</v>
      </c>
      <c r="Y55">
        <v>2018</v>
      </c>
      <c r="Z55">
        <v>338.5</v>
      </c>
      <c r="AB55" t="s">
        <v>181</v>
      </c>
      <c r="AC55" t="s">
        <v>182</v>
      </c>
      <c r="AD55" t="s">
        <v>183</v>
      </c>
      <c r="AE55">
        <v>1</v>
      </c>
      <c r="AF55">
        <v>2</v>
      </c>
      <c r="AG55" t="s">
        <v>363</v>
      </c>
      <c r="AH55">
        <v>67</v>
      </c>
      <c r="AI55">
        <v>326.52</v>
      </c>
      <c r="AJ55">
        <v>17.14</v>
      </c>
      <c r="AK55">
        <v>343.66</v>
      </c>
      <c r="AL55">
        <v>24000</v>
      </c>
      <c r="AM55">
        <v>24000</v>
      </c>
      <c r="AN55">
        <v>0</v>
      </c>
      <c r="AO55">
        <v>277</v>
      </c>
      <c r="AP55">
        <v>2016</v>
      </c>
      <c r="AQ55">
        <v>1.41</v>
      </c>
      <c r="AR55">
        <v>1.43</v>
      </c>
      <c r="AS55" t="s">
        <v>1153</v>
      </c>
      <c r="AT55" t="s">
        <v>420</v>
      </c>
      <c r="AU55" t="s">
        <v>177</v>
      </c>
      <c r="AV55" t="s">
        <v>421</v>
      </c>
      <c r="AW55" t="s">
        <v>182</v>
      </c>
      <c r="AX55">
        <v>0</v>
      </c>
      <c r="AY55" t="s">
        <v>312</v>
      </c>
      <c r="AZ55" t="s">
        <v>199</v>
      </c>
      <c r="BA55" t="s">
        <v>313</v>
      </c>
      <c r="BB55" t="s">
        <v>191</v>
      </c>
      <c r="BC55" t="s">
        <v>182</v>
      </c>
      <c r="BD55" t="s">
        <v>182</v>
      </c>
      <c r="BE55" t="s">
        <v>365</v>
      </c>
      <c r="BF55">
        <v>0</v>
      </c>
      <c r="BG55">
        <v>0</v>
      </c>
      <c r="BH55">
        <v>0</v>
      </c>
      <c r="BI55" t="s">
        <v>199</v>
      </c>
      <c r="BJ55" t="s">
        <v>315</v>
      </c>
      <c r="BL55" t="s">
        <v>1155</v>
      </c>
      <c r="BM55" t="s">
        <v>1156</v>
      </c>
      <c r="BN55" t="s">
        <v>182</v>
      </c>
      <c r="BO55" t="s">
        <v>1121</v>
      </c>
      <c r="BP55" t="s">
        <v>1176</v>
      </c>
      <c r="BR55" t="s">
        <v>1123</v>
      </c>
      <c r="BS55" t="s">
        <v>1177</v>
      </c>
      <c r="BT55" t="s">
        <v>198</v>
      </c>
      <c r="BU55" t="s">
        <v>182</v>
      </c>
      <c r="BV55" t="s">
        <v>198</v>
      </c>
      <c r="BW55" t="s">
        <v>198</v>
      </c>
      <c r="BX55" t="s">
        <v>199</v>
      </c>
      <c r="BY55" t="s">
        <v>198</v>
      </c>
      <c r="BZ55" t="s">
        <v>199</v>
      </c>
      <c r="CA55" t="s">
        <v>199</v>
      </c>
      <c r="CB55" t="s">
        <v>1157</v>
      </c>
      <c r="CC55" t="s">
        <v>201</v>
      </c>
      <c r="CD55" t="s">
        <v>182</v>
      </c>
      <c r="CE55" t="s">
        <v>1158</v>
      </c>
      <c r="CF55" t="s">
        <v>1159</v>
      </c>
      <c r="CG55" t="s">
        <v>177</v>
      </c>
      <c r="CH55" t="s">
        <v>1160</v>
      </c>
      <c r="CI55" t="s">
        <v>1178</v>
      </c>
      <c r="CJ55" t="s">
        <v>589</v>
      </c>
      <c r="CK55" t="s">
        <v>232</v>
      </c>
      <c r="CL55" t="s">
        <v>233</v>
      </c>
      <c r="CM55" t="s">
        <v>1171</v>
      </c>
      <c r="CN55" t="s">
        <v>816</v>
      </c>
      <c r="CO55" t="s">
        <v>183</v>
      </c>
      <c r="CP55" t="s">
        <v>266</v>
      </c>
      <c r="CS55" t="s">
        <v>198</v>
      </c>
      <c r="CT55" t="s">
        <v>963</v>
      </c>
      <c r="CU55" t="s">
        <v>273</v>
      </c>
      <c r="CV55" t="s">
        <v>274</v>
      </c>
      <c r="CW55" t="s">
        <v>1179</v>
      </c>
      <c r="CX55" t="s">
        <v>1180</v>
      </c>
      <c r="CY55" t="s">
        <v>183</v>
      </c>
      <c r="CZ55" t="s">
        <v>211</v>
      </c>
      <c r="DA55" t="s">
        <v>270</v>
      </c>
      <c r="DC55" t="s">
        <v>692</v>
      </c>
      <c r="DD55" t="s">
        <v>1181</v>
      </c>
      <c r="DE55" t="s">
        <v>346</v>
      </c>
      <c r="DF55" t="s">
        <v>347</v>
      </c>
      <c r="DG55" t="s">
        <v>1075</v>
      </c>
      <c r="DH55" t="s">
        <v>615</v>
      </c>
      <c r="DI55" t="s">
        <v>183</v>
      </c>
      <c r="DJ55" t="s">
        <v>211</v>
      </c>
      <c r="DK55" t="s">
        <v>329</v>
      </c>
      <c r="DM55" t="s">
        <v>1167</v>
      </c>
      <c r="DW55" t="s">
        <v>198</v>
      </c>
      <c r="EG55" t="s">
        <v>198</v>
      </c>
      <c r="EQ55" t="s">
        <v>198</v>
      </c>
      <c r="FA55" t="s">
        <v>198</v>
      </c>
      <c r="FK55" t="s">
        <v>198</v>
      </c>
      <c r="FU55" t="s">
        <v>198</v>
      </c>
    </row>
    <row r="56" spans="1:177">
      <c r="A56" s="1" t="str">
        <f>HYPERLINK("http://digipan.lumentumllc.com/apps/getLink/index.php?t=PropLink&amp;p=5245204","PL")</f>
        <v>PL</v>
      </c>
      <c r="B56" s="1" t="str">
        <f>HYPERLINK("http://digipan.lumentumllc.com/apps/getLink/index.php?t=TaxLink&amp;p=5245204","TL")</f>
        <v>TL</v>
      </c>
      <c r="C56" s="1" t="str">
        <f>HYPERLINK("http://digipan.lumentumllc.com/apps/getMap/index.php?p=5245204","Map")</f>
        <v>Map</v>
      </c>
      <c r="E56" t="s">
        <v>177</v>
      </c>
      <c r="F56" t="s">
        <v>178</v>
      </c>
      <c r="L56" t="s">
        <v>1182</v>
      </c>
      <c r="N56" t="s">
        <v>1182</v>
      </c>
      <c r="O56" t="s">
        <v>1182</v>
      </c>
      <c r="P56" t="s">
        <v>1183</v>
      </c>
      <c r="Q56" t="s">
        <v>1182</v>
      </c>
      <c r="V56">
        <v>66</v>
      </c>
      <c r="W56">
        <v>1</v>
      </c>
      <c r="X56">
        <v>2017</v>
      </c>
      <c r="Y56">
        <v>2018</v>
      </c>
      <c r="Z56">
        <v>338.5</v>
      </c>
      <c r="AB56" t="s">
        <v>181</v>
      </c>
      <c r="AC56" t="s">
        <v>182</v>
      </c>
      <c r="AD56" t="s">
        <v>183</v>
      </c>
      <c r="AE56">
        <v>1</v>
      </c>
      <c r="AF56">
        <v>2</v>
      </c>
      <c r="AG56" t="s">
        <v>363</v>
      </c>
      <c r="AH56">
        <v>67</v>
      </c>
      <c r="AI56">
        <v>326.52</v>
      </c>
      <c r="AJ56">
        <v>17.14</v>
      </c>
      <c r="AK56">
        <v>343.66</v>
      </c>
      <c r="AL56">
        <v>24000</v>
      </c>
      <c r="AM56">
        <v>24000</v>
      </c>
      <c r="AN56">
        <v>0</v>
      </c>
      <c r="AO56">
        <v>277</v>
      </c>
      <c r="AP56">
        <v>2016</v>
      </c>
      <c r="AQ56">
        <v>1.41</v>
      </c>
      <c r="AR56">
        <v>1.43</v>
      </c>
      <c r="AS56" t="s">
        <v>1153</v>
      </c>
      <c r="AT56" t="s">
        <v>420</v>
      </c>
      <c r="AU56" t="s">
        <v>177</v>
      </c>
      <c r="AV56" t="s">
        <v>421</v>
      </c>
      <c r="AW56" t="s">
        <v>182</v>
      </c>
      <c r="AX56">
        <v>0</v>
      </c>
      <c r="AY56" t="s">
        <v>312</v>
      </c>
      <c r="AZ56" t="s">
        <v>199</v>
      </c>
      <c r="BA56" t="s">
        <v>313</v>
      </c>
      <c r="BB56" t="s">
        <v>191</v>
      </c>
      <c r="BC56" t="s">
        <v>182</v>
      </c>
      <c r="BD56" t="s">
        <v>182</v>
      </c>
      <c r="BE56" t="s">
        <v>365</v>
      </c>
      <c r="BF56">
        <v>0</v>
      </c>
      <c r="BG56">
        <v>0</v>
      </c>
      <c r="BH56">
        <v>0</v>
      </c>
      <c r="BI56" t="s">
        <v>199</v>
      </c>
      <c r="BJ56" t="s">
        <v>315</v>
      </c>
      <c r="BL56" t="s">
        <v>1155</v>
      </c>
      <c r="BM56" t="s">
        <v>1156</v>
      </c>
      <c r="BN56" t="s">
        <v>182</v>
      </c>
      <c r="BO56" t="s">
        <v>1121</v>
      </c>
      <c r="BP56" t="s">
        <v>1176</v>
      </c>
      <c r="BR56" t="s">
        <v>1123</v>
      </c>
      <c r="BS56" t="s">
        <v>1177</v>
      </c>
      <c r="BT56" t="s">
        <v>198</v>
      </c>
      <c r="BU56" t="s">
        <v>182</v>
      </c>
      <c r="BV56" t="s">
        <v>198</v>
      </c>
      <c r="BW56" t="s">
        <v>198</v>
      </c>
      <c r="BX56" t="s">
        <v>199</v>
      </c>
      <c r="BY56" t="s">
        <v>198</v>
      </c>
      <c r="BZ56" t="s">
        <v>199</v>
      </c>
      <c r="CA56" t="s">
        <v>199</v>
      </c>
      <c r="CB56" t="s">
        <v>1157</v>
      </c>
      <c r="CC56" t="s">
        <v>201</v>
      </c>
      <c r="CD56" t="s">
        <v>182</v>
      </c>
      <c r="CE56" t="s">
        <v>1158</v>
      </c>
      <c r="CF56" t="s">
        <v>1159</v>
      </c>
      <c r="CG56" t="s">
        <v>177</v>
      </c>
      <c r="CH56" t="s">
        <v>1160</v>
      </c>
      <c r="CI56" t="s">
        <v>1184</v>
      </c>
      <c r="CJ56" t="s">
        <v>1185</v>
      </c>
      <c r="CK56" t="s">
        <v>232</v>
      </c>
      <c r="CL56" t="s">
        <v>233</v>
      </c>
      <c r="CM56" t="s">
        <v>1171</v>
      </c>
      <c r="CN56" t="s">
        <v>816</v>
      </c>
      <c r="CO56" t="s">
        <v>183</v>
      </c>
      <c r="CP56" t="s">
        <v>266</v>
      </c>
      <c r="CS56" t="s">
        <v>198</v>
      </c>
      <c r="CT56" t="s">
        <v>988</v>
      </c>
      <c r="CU56" t="s">
        <v>273</v>
      </c>
      <c r="CV56" t="s">
        <v>274</v>
      </c>
      <c r="CW56" t="s">
        <v>1179</v>
      </c>
      <c r="CX56" t="s">
        <v>1180</v>
      </c>
      <c r="CY56" t="s">
        <v>183</v>
      </c>
      <c r="CZ56" t="s">
        <v>211</v>
      </c>
      <c r="DA56" t="s">
        <v>270</v>
      </c>
      <c r="DC56" t="s">
        <v>692</v>
      </c>
      <c r="DD56" t="s">
        <v>1186</v>
      </c>
      <c r="DE56" t="s">
        <v>346</v>
      </c>
      <c r="DF56" t="s">
        <v>347</v>
      </c>
      <c r="DG56" t="s">
        <v>1075</v>
      </c>
      <c r="DH56" t="s">
        <v>615</v>
      </c>
      <c r="DI56" t="s">
        <v>183</v>
      </c>
      <c r="DJ56" t="s">
        <v>211</v>
      </c>
      <c r="DK56" t="s">
        <v>329</v>
      </c>
      <c r="DM56" t="s">
        <v>1167</v>
      </c>
      <c r="DW56" t="s">
        <v>198</v>
      </c>
      <c r="EG56" t="s">
        <v>198</v>
      </c>
      <c r="EQ56" t="s">
        <v>198</v>
      </c>
      <c r="FA56" t="s">
        <v>198</v>
      </c>
      <c r="FK56" t="s">
        <v>198</v>
      </c>
      <c r="FU56" t="s">
        <v>198</v>
      </c>
    </row>
    <row r="57" spans="1:177">
      <c r="A57" s="1" t="str">
        <f>HYPERLINK("http://digipan.lumentumllc.com/apps/getLink/index.php?t=PropLink&amp;p=5245205","PL")</f>
        <v>PL</v>
      </c>
      <c r="B57" s="1" t="str">
        <f>HYPERLINK("http://digipan.lumentumllc.com/apps/getLink/index.php?t=TaxLink&amp;p=5245205","TL")</f>
        <v>TL</v>
      </c>
      <c r="C57" s="1" t="str">
        <f>HYPERLINK("http://digipan.lumentumllc.com/apps/getMap/index.php?p=5245205","Map")</f>
        <v>Map</v>
      </c>
      <c r="E57" t="s">
        <v>177</v>
      </c>
      <c r="F57" t="s">
        <v>178</v>
      </c>
      <c r="L57" t="s">
        <v>1187</v>
      </c>
      <c r="N57" t="s">
        <v>1187</v>
      </c>
      <c r="O57" t="s">
        <v>1187</v>
      </c>
      <c r="P57" t="s">
        <v>1188</v>
      </c>
      <c r="Q57" t="s">
        <v>1187</v>
      </c>
      <c r="V57">
        <v>67</v>
      </c>
      <c r="W57">
        <v>1</v>
      </c>
      <c r="X57">
        <v>2017</v>
      </c>
      <c r="Y57">
        <v>2018</v>
      </c>
      <c r="Z57">
        <v>338.5</v>
      </c>
      <c r="AB57" t="s">
        <v>181</v>
      </c>
      <c r="AC57" t="s">
        <v>182</v>
      </c>
      <c r="AD57" t="s">
        <v>183</v>
      </c>
      <c r="AE57">
        <v>1</v>
      </c>
      <c r="AF57">
        <v>3</v>
      </c>
      <c r="AG57" t="s">
        <v>257</v>
      </c>
      <c r="AH57">
        <v>75</v>
      </c>
      <c r="AI57">
        <v>326.52</v>
      </c>
      <c r="AJ57">
        <v>17.14</v>
      </c>
      <c r="AK57">
        <v>343.66</v>
      </c>
      <c r="AL57">
        <v>24000</v>
      </c>
      <c r="AM57">
        <v>24000</v>
      </c>
      <c r="AN57">
        <v>0</v>
      </c>
      <c r="AO57">
        <v>277</v>
      </c>
      <c r="AP57">
        <v>2016</v>
      </c>
      <c r="AQ57">
        <v>1.41</v>
      </c>
      <c r="AR57">
        <v>1.43</v>
      </c>
      <c r="AS57" t="s">
        <v>1153</v>
      </c>
      <c r="AT57" t="s">
        <v>420</v>
      </c>
      <c r="AU57" t="s">
        <v>177</v>
      </c>
      <c r="AV57" t="s">
        <v>421</v>
      </c>
      <c r="AW57" t="s">
        <v>182</v>
      </c>
      <c r="AX57">
        <v>0</v>
      </c>
      <c r="AY57" t="s">
        <v>312</v>
      </c>
      <c r="AZ57" t="s">
        <v>199</v>
      </c>
      <c r="BA57" t="s">
        <v>313</v>
      </c>
      <c r="BB57" t="s">
        <v>191</v>
      </c>
      <c r="BC57" t="s">
        <v>182</v>
      </c>
      <c r="BD57" t="s">
        <v>182</v>
      </c>
      <c r="BE57" t="s">
        <v>365</v>
      </c>
      <c r="BF57">
        <v>0</v>
      </c>
      <c r="BG57">
        <v>0</v>
      </c>
      <c r="BH57">
        <v>0</v>
      </c>
      <c r="BI57" t="s">
        <v>199</v>
      </c>
      <c r="BJ57" t="s">
        <v>315</v>
      </c>
      <c r="BL57" t="s">
        <v>1155</v>
      </c>
      <c r="BM57" t="s">
        <v>1156</v>
      </c>
      <c r="BN57" t="s">
        <v>182</v>
      </c>
      <c r="BO57" t="s">
        <v>198</v>
      </c>
      <c r="BP57" t="s">
        <v>198</v>
      </c>
      <c r="BQ57" t="s">
        <v>198</v>
      </c>
      <c r="BR57" t="s">
        <v>198</v>
      </c>
      <c r="BS57" t="s">
        <v>198</v>
      </c>
      <c r="BT57" t="s">
        <v>198</v>
      </c>
      <c r="BU57" t="s">
        <v>182</v>
      </c>
      <c r="BV57" t="s">
        <v>198</v>
      </c>
      <c r="BW57" t="s">
        <v>198</v>
      </c>
      <c r="BX57" t="s">
        <v>199</v>
      </c>
      <c r="BY57" t="s">
        <v>198</v>
      </c>
      <c r="BZ57" t="s">
        <v>199</v>
      </c>
      <c r="CA57" t="s">
        <v>199</v>
      </c>
      <c r="CB57" t="s">
        <v>1157</v>
      </c>
      <c r="CC57" t="s">
        <v>201</v>
      </c>
      <c r="CD57" t="s">
        <v>182</v>
      </c>
      <c r="CE57" t="s">
        <v>1158</v>
      </c>
      <c r="CF57" t="s">
        <v>1159</v>
      </c>
      <c r="CG57" t="s">
        <v>177</v>
      </c>
      <c r="CH57" t="s">
        <v>1160</v>
      </c>
      <c r="CI57" t="s">
        <v>1189</v>
      </c>
      <c r="CJ57" t="s">
        <v>1190</v>
      </c>
      <c r="CK57" t="s">
        <v>232</v>
      </c>
      <c r="CL57" t="s">
        <v>233</v>
      </c>
      <c r="CM57" t="s">
        <v>1171</v>
      </c>
      <c r="CN57" t="s">
        <v>816</v>
      </c>
      <c r="CO57" t="s">
        <v>183</v>
      </c>
      <c r="CP57" t="s">
        <v>266</v>
      </c>
      <c r="CS57" t="s">
        <v>198</v>
      </c>
      <c r="CT57" t="s">
        <v>1006</v>
      </c>
      <c r="CU57" t="s">
        <v>267</v>
      </c>
      <c r="CV57" t="s">
        <v>268</v>
      </c>
      <c r="CW57" t="s">
        <v>1172</v>
      </c>
      <c r="CX57" t="s">
        <v>400</v>
      </c>
      <c r="CY57" t="s">
        <v>183</v>
      </c>
      <c r="CZ57" t="s">
        <v>211</v>
      </c>
      <c r="DA57" t="s">
        <v>270</v>
      </c>
      <c r="DC57" t="s">
        <v>544</v>
      </c>
      <c r="DD57" t="s">
        <v>1006</v>
      </c>
      <c r="DE57" t="s">
        <v>273</v>
      </c>
      <c r="DF57" t="s">
        <v>274</v>
      </c>
      <c r="DG57" t="s">
        <v>1179</v>
      </c>
      <c r="DH57" t="s">
        <v>387</v>
      </c>
      <c r="DI57" t="s">
        <v>183</v>
      </c>
      <c r="DJ57" t="s">
        <v>211</v>
      </c>
      <c r="DK57" t="s">
        <v>270</v>
      </c>
      <c r="DM57" t="s">
        <v>692</v>
      </c>
      <c r="DN57" t="s">
        <v>1191</v>
      </c>
      <c r="DO57" t="s">
        <v>346</v>
      </c>
      <c r="DP57" t="s">
        <v>347</v>
      </c>
      <c r="DQ57" t="s">
        <v>1075</v>
      </c>
      <c r="DR57" t="s">
        <v>615</v>
      </c>
      <c r="DS57" t="s">
        <v>183</v>
      </c>
      <c r="DT57" t="s">
        <v>211</v>
      </c>
      <c r="DU57" t="s">
        <v>329</v>
      </c>
      <c r="DW57" t="s">
        <v>1167</v>
      </c>
      <c r="EG57" t="s">
        <v>198</v>
      </c>
      <c r="EQ57" t="s">
        <v>198</v>
      </c>
      <c r="FA57" t="s">
        <v>198</v>
      </c>
      <c r="FK57" t="s">
        <v>198</v>
      </c>
      <c r="FU57" t="s">
        <v>198</v>
      </c>
    </row>
    <row r="58" spans="1:177">
      <c r="A58" s="1" t="str">
        <f>HYPERLINK("http://digipan.lumentumllc.com/apps/getLink/index.php?t=PropLink&amp;p=5245206","PL")</f>
        <v>PL</v>
      </c>
      <c r="B58" s="1" t="str">
        <f>HYPERLINK("http://digipan.lumentumllc.com/apps/getLink/index.php?t=TaxLink&amp;p=5245206","TL")</f>
        <v>TL</v>
      </c>
      <c r="C58" s="1" t="str">
        <f>HYPERLINK("http://digipan.lumentumllc.com/apps/getMap/index.php?p=5245206","Map")</f>
        <v>Map</v>
      </c>
      <c r="E58" t="s">
        <v>177</v>
      </c>
      <c r="F58" t="s">
        <v>178</v>
      </c>
      <c r="L58" t="s">
        <v>1192</v>
      </c>
      <c r="N58" t="s">
        <v>1192</v>
      </c>
      <c r="O58" t="s">
        <v>1192</v>
      </c>
      <c r="P58" t="s">
        <v>1193</v>
      </c>
      <c r="Q58" t="s">
        <v>1192</v>
      </c>
      <c r="V58">
        <v>68</v>
      </c>
      <c r="W58">
        <v>1</v>
      </c>
      <c r="X58">
        <v>2017</v>
      </c>
      <c r="Y58">
        <v>2018</v>
      </c>
      <c r="Z58">
        <v>228.47</v>
      </c>
      <c r="AB58" t="s">
        <v>181</v>
      </c>
      <c r="AC58" t="s">
        <v>182</v>
      </c>
      <c r="AD58" t="s">
        <v>183</v>
      </c>
      <c r="AE58">
        <v>1</v>
      </c>
      <c r="AF58">
        <v>3</v>
      </c>
      <c r="AG58" t="s">
        <v>257</v>
      </c>
      <c r="AH58">
        <v>75</v>
      </c>
      <c r="AI58">
        <v>226.22</v>
      </c>
      <c r="AJ58">
        <v>12.44</v>
      </c>
      <c r="AK58">
        <v>238.66</v>
      </c>
      <c r="AL58">
        <v>12000</v>
      </c>
      <c r="AM58">
        <v>12000</v>
      </c>
      <c r="AN58">
        <v>0</v>
      </c>
      <c r="AO58">
        <v>184</v>
      </c>
      <c r="AP58">
        <v>2016</v>
      </c>
      <c r="AQ58">
        <v>1.9</v>
      </c>
      <c r="AR58">
        <v>1.99</v>
      </c>
      <c r="AS58" t="s">
        <v>1153</v>
      </c>
      <c r="AT58" t="s">
        <v>420</v>
      </c>
      <c r="AU58" t="s">
        <v>177</v>
      </c>
      <c r="AV58" t="s">
        <v>421</v>
      </c>
      <c r="AW58" t="s">
        <v>182</v>
      </c>
      <c r="AX58">
        <v>0</v>
      </c>
      <c r="AY58" t="s">
        <v>312</v>
      </c>
      <c r="AZ58" t="s">
        <v>199</v>
      </c>
      <c r="BA58" t="s">
        <v>313</v>
      </c>
      <c r="BB58" t="s">
        <v>191</v>
      </c>
      <c r="BC58" t="s">
        <v>182</v>
      </c>
      <c r="BD58" t="s">
        <v>182</v>
      </c>
      <c r="BE58" t="s">
        <v>365</v>
      </c>
      <c r="BF58">
        <v>0</v>
      </c>
      <c r="BG58">
        <v>0</v>
      </c>
      <c r="BH58">
        <v>0</v>
      </c>
      <c r="BI58" t="s">
        <v>199</v>
      </c>
      <c r="BJ58" t="s">
        <v>315</v>
      </c>
      <c r="BL58" t="s">
        <v>1155</v>
      </c>
      <c r="BM58" t="s">
        <v>1156</v>
      </c>
      <c r="BN58" t="s">
        <v>182</v>
      </c>
      <c r="BO58" t="s">
        <v>198</v>
      </c>
      <c r="BP58" t="s">
        <v>198</v>
      </c>
      <c r="BQ58" t="s">
        <v>198</v>
      </c>
      <c r="BR58" t="s">
        <v>198</v>
      </c>
      <c r="BS58" t="s">
        <v>198</v>
      </c>
      <c r="BT58" t="s">
        <v>198</v>
      </c>
      <c r="BU58" t="s">
        <v>182</v>
      </c>
      <c r="BV58" t="s">
        <v>198</v>
      </c>
      <c r="BW58" t="s">
        <v>198</v>
      </c>
      <c r="BX58" t="s">
        <v>199</v>
      </c>
      <c r="BY58" t="s">
        <v>198</v>
      </c>
      <c r="BZ58" t="s">
        <v>199</v>
      </c>
      <c r="CA58" t="s">
        <v>199</v>
      </c>
      <c r="CB58" t="s">
        <v>1157</v>
      </c>
      <c r="CC58" t="s">
        <v>201</v>
      </c>
      <c r="CD58" t="s">
        <v>182</v>
      </c>
      <c r="CE58" t="s">
        <v>1158</v>
      </c>
      <c r="CF58" t="s">
        <v>1159</v>
      </c>
      <c r="CG58" t="s">
        <v>177</v>
      </c>
      <c r="CH58" t="s">
        <v>1160</v>
      </c>
      <c r="CI58" t="s">
        <v>1194</v>
      </c>
      <c r="CJ58" t="s">
        <v>673</v>
      </c>
      <c r="CK58" t="s">
        <v>232</v>
      </c>
      <c r="CL58" t="s">
        <v>233</v>
      </c>
      <c r="CM58" t="s">
        <v>1195</v>
      </c>
      <c r="CN58" t="s">
        <v>1164</v>
      </c>
      <c r="CO58" t="s">
        <v>183</v>
      </c>
      <c r="CP58" t="s">
        <v>266</v>
      </c>
      <c r="CS58" t="s">
        <v>198</v>
      </c>
      <c r="CT58" t="s">
        <v>1032</v>
      </c>
      <c r="CU58" t="s">
        <v>267</v>
      </c>
      <c r="CV58" t="s">
        <v>268</v>
      </c>
      <c r="CW58" t="s">
        <v>1196</v>
      </c>
      <c r="CX58" t="s">
        <v>331</v>
      </c>
      <c r="CY58" t="s">
        <v>183</v>
      </c>
      <c r="CZ58" t="s">
        <v>211</v>
      </c>
      <c r="DA58" t="s">
        <v>270</v>
      </c>
      <c r="DC58" t="s">
        <v>544</v>
      </c>
      <c r="DD58" t="s">
        <v>1032</v>
      </c>
      <c r="DE58" t="s">
        <v>273</v>
      </c>
      <c r="DF58" t="s">
        <v>274</v>
      </c>
      <c r="DG58" t="s">
        <v>1179</v>
      </c>
      <c r="DH58" t="s">
        <v>1180</v>
      </c>
      <c r="DI58" t="s">
        <v>183</v>
      </c>
      <c r="DJ58" t="s">
        <v>211</v>
      </c>
      <c r="DK58" t="s">
        <v>270</v>
      </c>
      <c r="DM58" t="s">
        <v>692</v>
      </c>
      <c r="DN58" t="s">
        <v>1197</v>
      </c>
      <c r="DO58" t="s">
        <v>346</v>
      </c>
      <c r="DP58" t="s">
        <v>347</v>
      </c>
      <c r="DQ58" t="s">
        <v>1075</v>
      </c>
      <c r="DR58" t="s">
        <v>615</v>
      </c>
      <c r="DS58" t="s">
        <v>183</v>
      </c>
      <c r="DT58" t="s">
        <v>211</v>
      </c>
      <c r="DU58" t="s">
        <v>329</v>
      </c>
      <c r="DW58" t="s">
        <v>1167</v>
      </c>
      <c r="EG58" t="s">
        <v>198</v>
      </c>
      <c r="EQ58" t="s">
        <v>198</v>
      </c>
      <c r="FA58" t="s">
        <v>198</v>
      </c>
      <c r="FK58" t="s">
        <v>198</v>
      </c>
      <c r="FU58" t="s">
        <v>198</v>
      </c>
    </row>
    <row r="59" spans="1:177">
      <c r="A59" s="1" t="str">
        <f>HYPERLINK("http://digipan.lumentumllc.com/apps/getLink/index.php?t=PropLink&amp;p=4637432","PL")</f>
        <v>PL</v>
      </c>
      <c r="B59" s="1" t="str">
        <f>HYPERLINK("http://digipan.lumentumllc.com/apps/getLink/index.php?t=TaxLink&amp;p=4637432","TL")</f>
        <v>TL</v>
      </c>
      <c r="C59" s="1" t="str">
        <f>HYPERLINK("http://digipan.lumentumllc.com/apps/getMap/index.php?p=4637432","Map")</f>
        <v>Map</v>
      </c>
      <c r="E59" t="s">
        <v>177</v>
      </c>
      <c r="F59" t="s">
        <v>178</v>
      </c>
      <c r="L59" t="s">
        <v>1198</v>
      </c>
      <c r="N59" t="s">
        <v>1198</v>
      </c>
      <c r="O59" t="s">
        <v>1198</v>
      </c>
      <c r="P59" t="s">
        <v>1199</v>
      </c>
      <c r="Q59" t="s">
        <v>1198</v>
      </c>
      <c r="V59">
        <v>69</v>
      </c>
      <c r="W59">
        <v>1</v>
      </c>
      <c r="X59">
        <v>2017</v>
      </c>
      <c r="Y59">
        <v>2018</v>
      </c>
      <c r="Z59">
        <v>602.29999999999995</v>
      </c>
      <c r="AB59" t="s">
        <v>181</v>
      </c>
      <c r="AC59" t="s">
        <v>182</v>
      </c>
      <c r="AD59" t="s">
        <v>183</v>
      </c>
      <c r="AE59">
        <v>1</v>
      </c>
      <c r="AF59">
        <v>1</v>
      </c>
      <c r="AG59" t="s">
        <v>1200</v>
      </c>
      <c r="AH59">
        <v>0</v>
      </c>
      <c r="AI59">
        <v>553</v>
      </c>
      <c r="AJ59">
        <v>27.65</v>
      </c>
      <c r="AK59">
        <v>580.65</v>
      </c>
      <c r="AL59">
        <v>34833</v>
      </c>
      <c r="AM59">
        <v>24000</v>
      </c>
      <c r="AN59">
        <v>10833</v>
      </c>
      <c r="AO59">
        <v>486</v>
      </c>
      <c r="AP59">
        <v>2016</v>
      </c>
      <c r="AQ59">
        <v>1.73</v>
      </c>
      <c r="AR59">
        <v>1.67</v>
      </c>
      <c r="AS59" t="s">
        <v>1201</v>
      </c>
      <c r="AT59" t="s">
        <v>420</v>
      </c>
      <c r="AU59" t="s">
        <v>177</v>
      </c>
      <c r="AV59" t="s">
        <v>421</v>
      </c>
      <c r="AW59" t="s">
        <v>182</v>
      </c>
      <c r="AX59">
        <v>2</v>
      </c>
      <c r="AY59" t="s">
        <v>188</v>
      </c>
      <c r="AZ59" t="s">
        <v>189</v>
      </c>
      <c r="BA59" t="s">
        <v>190</v>
      </c>
      <c r="BB59" t="s">
        <v>191</v>
      </c>
      <c r="BC59" t="s">
        <v>182</v>
      </c>
      <c r="BD59" t="s">
        <v>182</v>
      </c>
      <c r="BE59" t="s">
        <v>365</v>
      </c>
      <c r="BF59">
        <v>1</v>
      </c>
      <c r="BG59">
        <v>1</v>
      </c>
      <c r="BH59">
        <v>1987</v>
      </c>
      <c r="BI59" t="s">
        <v>1202</v>
      </c>
      <c r="BJ59" t="s">
        <v>194</v>
      </c>
      <c r="BK59" t="s">
        <v>195</v>
      </c>
      <c r="BL59" t="s">
        <v>1203</v>
      </c>
      <c r="BM59" t="s">
        <v>325</v>
      </c>
      <c r="BN59" t="s">
        <v>182</v>
      </c>
      <c r="BO59" t="s">
        <v>1204</v>
      </c>
      <c r="BP59" t="s">
        <v>1205</v>
      </c>
      <c r="BQ59" t="s">
        <v>800</v>
      </c>
      <c r="BR59" t="s">
        <v>563</v>
      </c>
      <c r="BS59" t="s">
        <v>198</v>
      </c>
      <c r="BT59" t="s">
        <v>1206</v>
      </c>
      <c r="BU59" t="s">
        <v>182</v>
      </c>
      <c r="BV59" t="s">
        <v>198</v>
      </c>
      <c r="BW59" t="s">
        <v>198</v>
      </c>
      <c r="BX59" t="s">
        <v>199</v>
      </c>
      <c r="BY59" t="s">
        <v>198</v>
      </c>
      <c r="BZ59" t="s">
        <v>199</v>
      </c>
      <c r="CA59" t="s">
        <v>199</v>
      </c>
      <c r="CB59" t="s">
        <v>1207</v>
      </c>
      <c r="CC59" t="s">
        <v>201</v>
      </c>
      <c r="CD59" t="s">
        <v>182</v>
      </c>
      <c r="CE59" t="s">
        <v>986</v>
      </c>
      <c r="CF59" t="s">
        <v>425</v>
      </c>
      <c r="CG59" t="s">
        <v>177</v>
      </c>
      <c r="CH59" t="s">
        <v>421</v>
      </c>
      <c r="CI59" t="s">
        <v>1208</v>
      </c>
      <c r="CJ59" t="s">
        <v>1209</v>
      </c>
      <c r="CK59" t="s">
        <v>232</v>
      </c>
      <c r="CL59" t="s">
        <v>233</v>
      </c>
      <c r="CM59" t="s">
        <v>1210</v>
      </c>
      <c r="CN59" t="s">
        <v>235</v>
      </c>
      <c r="CO59" t="s">
        <v>183</v>
      </c>
      <c r="CP59" t="s">
        <v>266</v>
      </c>
      <c r="CS59" t="s">
        <v>198</v>
      </c>
      <c r="CT59" t="s">
        <v>1181</v>
      </c>
      <c r="CU59" t="s">
        <v>207</v>
      </c>
      <c r="CV59" t="s">
        <v>208</v>
      </c>
      <c r="CW59" t="s">
        <v>1211</v>
      </c>
      <c r="CX59" t="s">
        <v>210</v>
      </c>
      <c r="CY59" t="s">
        <v>183</v>
      </c>
      <c r="CZ59" t="s">
        <v>211</v>
      </c>
      <c r="DA59" t="s">
        <v>199</v>
      </c>
      <c r="DC59" t="s">
        <v>996</v>
      </c>
      <c r="DM59" t="s">
        <v>198</v>
      </c>
      <c r="DW59" t="s">
        <v>198</v>
      </c>
      <c r="EG59" t="s">
        <v>198</v>
      </c>
      <c r="EQ59" t="s">
        <v>198</v>
      </c>
      <c r="FA59" t="s">
        <v>198</v>
      </c>
      <c r="FK59" t="s">
        <v>198</v>
      </c>
      <c r="FU59" t="s">
        <v>198</v>
      </c>
    </row>
    <row r="60" spans="1:177">
      <c r="A60" s="1" t="str">
        <f>HYPERLINK("http://digipan.lumentumllc.com/apps/getLink/index.php?t=PropLink&amp;p=15741948","PL")</f>
        <v>PL</v>
      </c>
      <c r="B60" s="1" t="str">
        <f>HYPERLINK("http://digipan.lumentumllc.com/apps/getLink/index.php?t=TaxLink&amp;p=15741948","TL")</f>
        <v>TL</v>
      </c>
      <c r="C60" s="1" t="str">
        <f>HYPERLINK("http://digipan.lumentumllc.com/apps/getMap/index.php?p=15741948","Map")</f>
        <v>Map</v>
      </c>
      <c r="E60" t="s">
        <v>177</v>
      </c>
      <c r="F60" t="s">
        <v>178</v>
      </c>
      <c r="L60" t="s">
        <v>1212</v>
      </c>
      <c r="N60" t="s">
        <v>1212</v>
      </c>
      <c r="O60" t="s">
        <v>1212</v>
      </c>
      <c r="Q60" t="s">
        <v>1212</v>
      </c>
      <c r="V60">
        <v>70</v>
      </c>
      <c r="W60">
        <v>1</v>
      </c>
      <c r="X60">
        <v>2017</v>
      </c>
      <c r="Y60">
        <v>2018</v>
      </c>
      <c r="Z60">
        <v>538.1</v>
      </c>
      <c r="AB60" t="s">
        <v>181</v>
      </c>
      <c r="AC60" t="s">
        <v>182</v>
      </c>
      <c r="AD60" t="s">
        <v>183</v>
      </c>
      <c r="AE60">
        <v>1</v>
      </c>
      <c r="AF60">
        <v>0</v>
      </c>
      <c r="AG60" t="s">
        <v>1200</v>
      </c>
      <c r="AH60">
        <v>0</v>
      </c>
      <c r="AI60">
        <v>526.89</v>
      </c>
      <c r="AJ60">
        <v>26.34</v>
      </c>
      <c r="AK60">
        <v>553.23</v>
      </c>
      <c r="AL60">
        <v>74504</v>
      </c>
      <c r="AM60">
        <v>26160</v>
      </c>
      <c r="AN60">
        <v>48344</v>
      </c>
      <c r="AO60">
        <v>462</v>
      </c>
      <c r="AP60">
        <v>2016</v>
      </c>
      <c r="AQ60">
        <v>0.72</v>
      </c>
      <c r="AR60">
        <v>0.74</v>
      </c>
      <c r="AS60" t="s">
        <v>1213</v>
      </c>
      <c r="AT60" t="s">
        <v>420</v>
      </c>
      <c r="AU60" t="s">
        <v>177</v>
      </c>
      <c r="AV60" t="s">
        <v>421</v>
      </c>
      <c r="AW60" t="s">
        <v>202</v>
      </c>
      <c r="AX60">
        <v>2</v>
      </c>
      <c r="AY60" t="s">
        <v>188</v>
      </c>
      <c r="AZ60" t="s">
        <v>189</v>
      </c>
      <c r="BA60" t="s">
        <v>190</v>
      </c>
      <c r="BB60" t="s">
        <v>191</v>
      </c>
      <c r="BC60" t="s">
        <v>182</v>
      </c>
      <c r="BD60" t="s">
        <v>182</v>
      </c>
      <c r="BE60" t="s">
        <v>1214</v>
      </c>
      <c r="BF60">
        <v>1</v>
      </c>
      <c r="BG60">
        <v>1</v>
      </c>
      <c r="BH60">
        <v>1997</v>
      </c>
      <c r="BI60" t="s">
        <v>1215</v>
      </c>
      <c r="BJ60" t="s">
        <v>194</v>
      </c>
      <c r="BK60" t="s">
        <v>195</v>
      </c>
      <c r="BL60" t="s">
        <v>199</v>
      </c>
      <c r="BM60" t="s">
        <v>346</v>
      </c>
      <c r="BN60" t="s">
        <v>182</v>
      </c>
      <c r="BO60" t="s">
        <v>198</v>
      </c>
      <c r="BP60" t="s">
        <v>198</v>
      </c>
      <c r="BQ60" t="s">
        <v>198</v>
      </c>
      <c r="BR60" t="s">
        <v>198</v>
      </c>
      <c r="BS60" t="s">
        <v>198</v>
      </c>
      <c r="BT60" t="s">
        <v>198</v>
      </c>
      <c r="BU60" t="s">
        <v>182</v>
      </c>
      <c r="BV60" t="s">
        <v>198</v>
      </c>
      <c r="BW60" t="s">
        <v>198</v>
      </c>
      <c r="BX60" t="s">
        <v>199</v>
      </c>
      <c r="BY60" t="s">
        <v>198</v>
      </c>
      <c r="BZ60" t="s">
        <v>199</v>
      </c>
      <c r="CA60" t="s">
        <v>199</v>
      </c>
      <c r="CB60" t="s">
        <v>1216</v>
      </c>
      <c r="CC60" t="s">
        <v>201</v>
      </c>
      <c r="CD60" t="s">
        <v>202</v>
      </c>
      <c r="CE60" t="s">
        <v>1217</v>
      </c>
      <c r="CF60" t="s">
        <v>425</v>
      </c>
      <c r="CG60" t="s">
        <v>177</v>
      </c>
      <c r="CH60" t="s">
        <v>421</v>
      </c>
      <c r="CI60" t="s">
        <v>1218</v>
      </c>
      <c r="CJ60" t="s">
        <v>219</v>
      </c>
      <c r="CK60" t="s">
        <v>232</v>
      </c>
      <c r="CL60" t="s">
        <v>233</v>
      </c>
      <c r="CM60" t="s">
        <v>1219</v>
      </c>
      <c r="CN60" t="s">
        <v>235</v>
      </c>
      <c r="CO60" t="s">
        <v>183</v>
      </c>
      <c r="CP60" t="s">
        <v>266</v>
      </c>
      <c r="CS60" t="s">
        <v>198</v>
      </c>
      <c r="DC60" t="s">
        <v>198</v>
      </c>
      <c r="DM60" t="s">
        <v>198</v>
      </c>
      <c r="DW60" t="s">
        <v>198</v>
      </c>
      <c r="EG60" t="s">
        <v>198</v>
      </c>
      <c r="EQ60" t="s">
        <v>198</v>
      </c>
      <c r="FA60" t="s">
        <v>198</v>
      </c>
      <c r="FK60" t="s">
        <v>198</v>
      </c>
      <c r="FU60" t="s">
        <v>198</v>
      </c>
    </row>
    <row r="61" spans="1:177">
      <c r="A61" s="1" t="str">
        <f>HYPERLINK("http://digipan.lumentumllc.com/apps/getLink/index.php?t=PropLink&amp;p=6594151","PL")</f>
        <v>PL</v>
      </c>
      <c r="B61" s="1" t="str">
        <f>HYPERLINK("http://digipan.lumentumllc.com/apps/getLink/index.php?t=TaxLink&amp;p=6594151","TL")</f>
        <v>TL</v>
      </c>
      <c r="C61" s="1" t="str">
        <f>HYPERLINK("http://digipan.lumentumllc.com/apps/getMap/index.php?p=6594151","Map")</f>
        <v>Map</v>
      </c>
      <c r="E61" t="s">
        <v>177</v>
      </c>
      <c r="F61" t="s">
        <v>178</v>
      </c>
      <c r="L61" t="s">
        <v>1220</v>
      </c>
      <c r="N61" t="s">
        <v>1220</v>
      </c>
      <c r="O61" t="s">
        <v>1220</v>
      </c>
      <c r="P61" t="s">
        <v>1221</v>
      </c>
      <c r="Q61" t="s">
        <v>1220</v>
      </c>
      <c r="V61">
        <v>71</v>
      </c>
      <c r="W61">
        <v>1</v>
      </c>
      <c r="X61">
        <v>2017</v>
      </c>
      <c r="Y61">
        <v>2018</v>
      </c>
      <c r="Z61">
        <v>952.48</v>
      </c>
      <c r="AB61" t="s">
        <v>181</v>
      </c>
      <c r="AC61" t="s">
        <v>182</v>
      </c>
      <c r="AD61" t="s">
        <v>183</v>
      </c>
      <c r="AE61">
        <v>1</v>
      </c>
      <c r="AF61">
        <v>2</v>
      </c>
      <c r="AG61" t="s">
        <v>363</v>
      </c>
      <c r="AH61">
        <v>67</v>
      </c>
      <c r="AI61">
        <v>930.63</v>
      </c>
      <c r="AJ61">
        <v>46.53</v>
      </c>
      <c r="AK61">
        <v>977.16</v>
      </c>
      <c r="AL61">
        <v>105501</v>
      </c>
      <c r="AM61">
        <v>17745</v>
      </c>
      <c r="AN61">
        <v>87756</v>
      </c>
      <c r="AO61">
        <v>836</v>
      </c>
      <c r="AP61">
        <v>2016</v>
      </c>
      <c r="AQ61">
        <v>0.9</v>
      </c>
      <c r="AR61">
        <v>0.93</v>
      </c>
      <c r="AS61" t="s">
        <v>1222</v>
      </c>
      <c r="AT61" t="s">
        <v>420</v>
      </c>
      <c r="AU61" t="s">
        <v>177</v>
      </c>
      <c r="AV61" t="s">
        <v>421</v>
      </c>
      <c r="AW61" t="s">
        <v>202</v>
      </c>
      <c r="AX61">
        <v>1</v>
      </c>
      <c r="AY61" t="s">
        <v>188</v>
      </c>
      <c r="AZ61" t="s">
        <v>206</v>
      </c>
      <c r="BA61" t="s">
        <v>355</v>
      </c>
      <c r="BB61" t="s">
        <v>191</v>
      </c>
      <c r="BC61" t="s">
        <v>182</v>
      </c>
      <c r="BD61" t="s">
        <v>530</v>
      </c>
      <c r="BE61" t="s">
        <v>1223</v>
      </c>
      <c r="BF61">
        <v>1</v>
      </c>
      <c r="BG61">
        <v>1</v>
      </c>
      <c r="BH61">
        <v>1998</v>
      </c>
      <c r="BI61" t="s">
        <v>1224</v>
      </c>
      <c r="BJ61" t="s">
        <v>194</v>
      </c>
      <c r="BK61" t="s">
        <v>195</v>
      </c>
      <c r="BL61" t="s">
        <v>1225</v>
      </c>
      <c r="BM61" t="s">
        <v>292</v>
      </c>
      <c r="BN61" t="s">
        <v>182</v>
      </c>
      <c r="BO61" t="s">
        <v>1226</v>
      </c>
      <c r="BP61" t="s">
        <v>1227</v>
      </c>
      <c r="BQ61" t="s">
        <v>562</v>
      </c>
      <c r="BR61" t="s">
        <v>563</v>
      </c>
      <c r="BS61" t="s">
        <v>198</v>
      </c>
      <c r="BT61" t="s">
        <v>1228</v>
      </c>
      <c r="BU61" t="s">
        <v>182</v>
      </c>
      <c r="BV61" t="s">
        <v>198</v>
      </c>
      <c r="BW61" t="s">
        <v>198</v>
      </c>
      <c r="BX61" t="s">
        <v>199</v>
      </c>
      <c r="BY61" t="s">
        <v>198</v>
      </c>
      <c r="BZ61" t="s">
        <v>199</v>
      </c>
      <c r="CA61" t="s">
        <v>199</v>
      </c>
      <c r="CB61" t="s">
        <v>1229</v>
      </c>
      <c r="CC61" t="s">
        <v>201</v>
      </c>
      <c r="CD61" t="s">
        <v>182</v>
      </c>
      <c r="CE61" t="s">
        <v>1230</v>
      </c>
      <c r="CF61" t="s">
        <v>425</v>
      </c>
      <c r="CG61" t="s">
        <v>177</v>
      </c>
      <c r="CH61" t="s">
        <v>421</v>
      </c>
      <c r="CI61" t="s">
        <v>1231</v>
      </c>
      <c r="CJ61" t="s">
        <v>1232</v>
      </c>
      <c r="CK61" t="s">
        <v>232</v>
      </c>
      <c r="CL61" t="s">
        <v>233</v>
      </c>
      <c r="CM61" t="s">
        <v>1233</v>
      </c>
      <c r="CN61" t="s">
        <v>235</v>
      </c>
      <c r="CO61" t="s">
        <v>183</v>
      </c>
      <c r="CP61" t="s">
        <v>266</v>
      </c>
      <c r="CS61" t="s">
        <v>198</v>
      </c>
      <c r="CT61" t="s">
        <v>963</v>
      </c>
      <c r="CU61" t="s">
        <v>292</v>
      </c>
      <c r="CV61" t="s">
        <v>293</v>
      </c>
      <c r="CW61" t="s">
        <v>1234</v>
      </c>
      <c r="CX61" t="s">
        <v>235</v>
      </c>
      <c r="CY61" t="s">
        <v>183</v>
      </c>
      <c r="CZ61" t="s">
        <v>211</v>
      </c>
      <c r="DA61" t="s">
        <v>298</v>
      </c>
      <c r="DC61" t="s">
        <v>1235</v>
      </c>
      <c r="DD61" t="s">
        <v>1064</v>
      </c>
      <c r="DE61" t="s">
        <v>273</v>
      </c>
      <c r="DF61" t="s">
        <v>274</v>
      </c>
      <c r="DG61" t="s">
        <v>1236</v>
      </c>
      <c r="DH61" t="s">
        <v>235</v>
      </c>
      <c r="DI61" t="s">
        <v>183</v>
      </c>
      <c r="DJ61" t="s">
        <v>211</v>
      </c>
      <c r="DK61" t="s">
        <v>206</v>
      </c>
      <c r="DM61" t="s">
        <v>1237</v>
      </c>
      <c r="DW61" t="s">
        <v>198</v>
      </c>
      <c r="EG61" t="s">
        <v>198</v>
      </c>
      <c r="EQ61" t="s">
        <v>198</v>
      </c>
      <c r="FA61" t="s">
        <v>198</v>
      </c>
      <c r="FK61" t="s">
        <v>198</v>
      </c>
      <c r="FU61" t="s">
        <v>198</v>
      </c>
    </row>
    <row r="62" spans="1:177">
      <c r="A62" s="1" t="str">
        <f>HYPERLINK("http://digipan.lumentumllc.com/apps/getLink/index.php?t=PropLink&amp;p=5245211","PL")</f>
        <v>PL</v>
      </c>
      <c r="B62" s="1" t="str">
        <f>HYPERLINK("http://digipan.lumentumllc.com/apps/getLink/index.php?t=TaxLink&amp;p=5245211","TL")</f>
        <v>TL</v>
      </c>
      <c r="C62" s="1" t="str">
        <f>HYPERLINK("http://digipan.lumentumllc.com/apps/getMap/index.php?p=5245211","Map")</f>
        <v>Map</v>
      </c>
      <c r="E62" t="s">
        <v>177</v>
      </c>
      <c r="F62" t="s">
        <v>178</v>
      </c>
      <c r="L62" t="s">
        <v>1238</v>
      </c>
      <c r="N62" t="s">
        <v>1238</v>
      </c>
      <c r="O62" t="s">
        <v>1238</v>
      </c>
      <c r="P62" t="s">
        <v>1239</v>
      </c>
      <c r="Q62" t="s">
        <v>1238</v>
      </c>
      <c r="V62">
        <v>72</v>
      </c>
      <c r="W62">
        <v>1</v>
      </c>
      <c r="X62">
        <v>2017</v>
      </c>
      <c r="Y62">
        <v>2018</v>
      </c>
      <c r="Z62">
        <v>424.95</v>
      </c>
      <c r="AG62" t="s">
        <v>184</v>
      </c>
      <c r="AH62">
        <v>0</v>
      </c>
      <c r="AK62">
        <v>0</v>
      </c>
      <c r="AL62">
        <v>24000</v>
      </c>
      <c r="AM62">
        <v>24000</v>
      </c>
      <c r="AN62">
        <v>0</v>
      </c>
      <c r="AO62">
        <v>368</v>
      </c>
      <c r="AP62">
        <v>2016</v>
      </c>
      <c r="AQ62">
        <v>1.77</v>
      </c>
      <c r="AS62" t="s">
        <v>1240</v>
      </c>
      <c r="AT62" t="s">
        <v>420</v>
      </c>
      <c r="AU62" t="s">
        <v>177</v>
      </c>
      <c r="AV62" t="s">
        <v>421</v>
      </c>
      <c r="AW62" t="s">
        <v>182</v>
      </c>
      <c r="AX62">
        <v>0</v>
      </c>
      <c r="AY62" t="s">
        <v>312</v>
      </c>
      <c r="AZ62" t="s">
        <v>199</v>
      </c>
      <c r="BA62" t="s">
        <v>313</v>
      </c>
      <c r="BB62" t="s">
        <v>191</v>
      </c>
      <c r="BC62" t="s">
        <v>182</v>
      </c>
      <c r="BD62" t="s">
        <v>182</v>
      </c>
      <c r="BE62" t="s">
        <v>365</v>
      </c>
      <c r="BF62">
        <v>0</v>
      </c>
      <c r="BG62">
        <v>0</v>
      </c>
      <c r="BH62">
        <v>0</v>
      </c>
      <c r="BI62" t="s">
        <v>199</v>
      </c>
      <c r="BJ62" t="s">
        <v>396</v>
      </c>
      <c r="BL62" t="s">
        <v>199</v>
      </c>
      <c r="BM62" t="s">
        <v>302</v>
      </c>
      <c r="BN62" t="s">
        <v>182</v>
      </c>
      <c r="BO62" t="s">
        <v>198</v>
      </c>
      <c r="BP62" t="s">
        <v>198</v>
      </c>
      <c r="BQ62" t="s">
        <v>198</v>
      </c>
      <c r="BR62" t="s">
        <v>198</v>
      </c>
      <c r="BS62" t="s">
        <v>198</v>
      </c>
      <c r="BT62" t="s">
        <v>198</v>
      </c>
      <c r="BU62" t="s">
        <v>182</v>
      </c>
      <c r="BV62" t="s">
        <v>198</v>
      </c>
      <c r="BW62" t="s">
        <v>198</v>
      </c>
      <c r="BX62" t="s">
        <v>199</v>
      </c>
      <c r="BY62" t="s">
        <v>198</v>
      </c>
      <c r="BZ62" t="s">
        <v>199</v>
      </c>
      <c r="CA62" t="s">
        <v>199</v>
      </c>
      <c r="CB62" t="s">
        <v>1241</v>
      </c>
      <c r="CC62" t="s">
        <v>201</v>
      </c>
      <c r="CD62" t="s">
        <v>182</v>
      </c>
      <c r="CE62" t="s">
        <v>1242</v>
      </c>
      <c r="CF62" t="s">
        <v>413</v>
      </c>
      <c r="CG62" t="s">
        <v>177</v>
      </c>
      <c r="CH62" t="s">
        <v>749</v>
      </c>
      <c r="CI62" t="s">
        <v>1243</v>
      </c>
      <c r="CS62" t="s">
        <v>198</v>
      </c>
      <c r="DC62" t="s">
        <v>198</v>
      </c>
      <c r="DM62" t="s">
        <v>198</v>
      </c>
      <c r="DW62" t="s">
        <v>198</v>
      </c>
      <c r="EG62" t="s">
        <v>198</v>
      </c>
      <c r="EQ62" t="s">
        <v>198</v>
      </c>
      <c r="FA62" t="s">
        <v>198</v>
      </c>
      <c r="FK62" t="s">
        <v>198</v>
      </c>
      <c r="FU62" t="s">
        <v>198</v>
      </c>
    </row>
    <row r="63" spans="1:177">
      <c r="A63" s="1" t="str">
        <f>HYPERLINK("http://digipan.lumentumllc.com/apps/getLink/index.php?t=PropLink&amp;p=5245212","PL")</f>
        <v>PL</v>
      </c>
      <c r="B63" s="1" t="str">
        <f>HYPERLINK("http://digipan.lumentumllc.com/apps/getLink/index.php?t=TaxLink&amp;p=5245212","TL")</f>
        <v>TL</v>
      </c>
      <c r="C63" s="1" t="str">
        <f>HYPERLINK("http://digipan.lumentumllc.com/apps/getMap/index.php?p=5245212","Map")</f>
        <v>Map</v>
      </c>
      <c r="E63" t="s">
        <v>177</v>
      </c>
      <c r="F63" t="s">
        <v>178</v>
      </c>
      <c r="L63" t="s">
        <v>1244</v>
      </c>
      <c r="N63" t="s">
        <v>1244</v>
      </c>
      <c r="O63" t="s">
        <v>1244</v>
      </c>
      <c r="P63" t="s">
        <v>1245</v>
      </c>
      <c r="Q63" t="s">
        <v>1244</v>
      </c>
      <c r="V63">
        <v>73</v>
      </c>
      <c r="W63">
        <v>1</v>
      </c>
      <c r="X63">
        <v>2017</v>
      </c>
      <c r="Y63">
        <v>2018</v>
      </c>
      <c r="Z63">
        <v>574.27</v>
      </c>
      <c r="AB63" t="s">
        <v>181</v>
      </c>
      <c r="AC63" t="s">
        <v>182</v>
      </c>
      <c r="AD63" t="s">
        <v>183</v>
      </c>
      <c r="AE63">
        <v>2</v>
      </c>
      <c r="AF63">
        <v>6</v>
      </c>
      <c r="AG63" t="s">
        <v>794</v>
      </c>
      <c r="AH63">
        <v>71</v>
      </c>
      <c r="AI63">
        <v>1145.33</v>
      </c>
      <c r="AJ63">
        <v>57.27</v>
      </c>
      <c r="AK63">
        <v>1202.5999999999999</v>
      </c>
      <c r="AL63">
        <v>82656</v>
      </c>
      <c r="AM63">
        <v>37440</v>
      </c>
      <c r="AN63">
        <v>45216</v>
      </c>
      <c r="AO63">
        <v>501</v>
      </c>
      <c r="AP63">
        <v>2016</v>
      </c>
      <c r="AQ63">
        <v>0.69</v>
      </c>
      <c r="AR63">
        <v>1.45</v>
      </c>
      <c r="AS63" t="s">
        <v>1246</v>
      </c>
      <c r="AT63" t="s">
        <v>420</v>
      </c>
      <c r="AU63" t="s">
        <v>177</v>
      </c>
      <c r="AV63" t="s">
        <v>421</v>
      </c>
      <c r="AW63" t="s">
        <v>202</v>
      </c>
      <c r="AX63">
        <v>2</v>
      </c>
      <c r="AY63" t="s">
        <v>188</v>
      </c>
      <c r="AZ63" t="s">
        <v>189</v>
      </c>
      <c r="BA63" t="s">
        <v>190</v>
      </c>
      <c r="BB63" t="s">
        <v>191</v>
      </c>
      <c r="BC63" t="s">
        <v>182</v>
      </c>
      <c r="BD63" t="s">
        <v>182</v>
      </c>
      <c r="BE63" t="s">
        <v>1247</v>
      </c>
      <c r="BF63">
        <v>2</v>
      </c>
      <c r="BG63">
        <v>2</v>
      </c>
      <c r="BH63">
        <v>2001</v>
      </c>
      <c r="BI63" t="s">
        <v>1248</v>
      </c>
      <c r="BJ63" t="s">
        <v>194</v>
      </c>
      <c r="BK63" t="s">
        <v>195</v>
      </c>
      <c r="BL63" t="s">
        <v>1249</v>
      </c>
      <c r="BM63" t="s">
        <v>1041</v>
      </c>
      <c r="BN63" t="s">
        <v>182</v>
      </c>
      <c r="BO63" t="s">
        <v>198</v>
      </c>
      <c r="BP63" t="s">
        <v>198</v>
      </c>
      <c r="BQ63" t="s">
        <v>198</v>
      </c>
      <c r="BR63" t="s">
        <v>198</v>
      </c>
      <c r="BS63" t="s">
        <v>198</v>
      </c>
      <c r="BT63" t="s">
        <v>198</v>
      </c>
      <c r="BU63" t="s">
        <v>182</v>
      </c>
      <c r="BV63" t="s">
        <v>198</v>
      </c>
      <c r="BW63" t="s">
        <v>198</v>
      </c>
      <c r="BX63" t="s">
        <v>199</v>
      </c>
      <c r="BY63" t="s">
        <v>198</v>
      </c>
      <c r="BZ63" t="s">
        <v>199</v>
      </c>
      <c r="CA63" t="s">
        <v>199</v>
      </c>
      <c r="CB63" t="s">
        <v>1250</v>
      </c>
      <c r="CC63" t="s">
        <v>201</v>
      </c>
      <c r="CD63" t="s">
        <v>182</v>
      </c>
      <c r="CE63" t="s">
        <v>1251</v>
      </c>
      <c r="CF63" t="s">
        <v>425</v>
      </c>
      <c r="CG63" t="s">
        <v>177</v>
      </c>
      <c r="CH63" t="s">
        <v>421</v>
      </c>
      <c r="CI63" t="s">
        <v>1252</v>
      </c>
      <c r="CJ63" t="s">
        <v>1253</v>
      </c>
      <c r="CK63" t="s">
        <v>232</v>
      </c>
      <c r="CL63" t="s">
        <v>233</v>
      </c>
      <c r="CM63" t="s">
        <v>1254</v>
      </c>
      <c r="CN63" t="s">
        <v>235</v>
      </c>
      <c r="CO63" t="s">
        <v>183</v>
      </c>
      <c r="CP63" t="s">
        <v>266</v>
      </c>
      <c r="CS63" t="s">
        <v>198</v>
      </c>
      <c r="CT63" t="s">
        <v>988</v>
      </c>
      <c r="CU63" t="s">
        <v>292</v>
      </c>
      <c r="CV63" t="s">
        <v>293</v>
      </c>
      <c r="CW63" t="s">
        <v>1255</v>
      </c>
      <c r="CX63" t="s">
        <v>235</v>
      </c>
      <c r="CY63" t="s">
        <v>183</v>
      </c>
      <c r="CZ63" t="s">
        <v>266</v>
      </c>
      <c r="DC63" t="s">
        <v>198</v>
      </c>
      <c r="DD63" t="s">
        <v>1064</v>
      </c>
      <c r="DE63" t="s">
        <v>267</v>
      </c>
      <c r="DF63" t="s">
        <v>268</v>
      </c>
      <c r="DG63" t="s">
        <v>1256</v>
      </c>
      <c r="DH63" t="s">
        <v>331</v>
      </c>
      <c r="DI63" t="s">
        <v>183</v>
      </c>
      <c r="DJ63" t="s">
        <v>211</v>
      </c>
      <c r="DK63" t="s">
        <v>345</v>
      </c>
      <c r="DM63" t="s">
        <v>785</v>
      </c>
      <c r="DN63" t="s">
        <v>1128</v>
      </c>
      <c r="DO63" t="s">
        <v>273</v>
      </c>
      <c r="DP63" t="s">
        <v>274</v>
      </c>
      <c r="DQ63" t="s">
        <v>1257</v>
      </c>
      <c r="DR63" t="s">
        <v>796</v>
      </c>
      <c r="DS63" t="s">
        <v>183</v>
      </c>
      <c r="DT63" t="s">
        <v>211</v>
      </c>
      <c r="DU63" t="s">
        <v>345</v>
      </c>
      <c r="DW63" t="s">
        <v>1258</v>
      </c>
      <c r="DX63" t="s">
        <v>1046</v>
      </c>
      <c r="DY63" t="s">
        <v>302</v>
      </c>
      <c r="DZ63" t="s">
        <v>303</v>
      </c>
      <c r="EA63" t="s">
        <v>1259</v>
      </c>
      <c r="EB63" t="s">
        <v>436</v>
      </c>
      <c r="EC63" t="s">
        <v>183</v>
      </c>
      <c r="ED63" t="s">
        <v>211</v>
      </c>
      <c r="EE63" t="s">
        <v>337</v>
      </c>
      <c r="EG63" t="s">
        <v>1260</v>
      </c>
      <c r="EH63" t="s">
        <v>1261</v>
      </c>
      <c r="EI63" t="s">
        <v>238</v>
      </c>
      <c r="EJ63" t="s">
        <v>239</v>
      </c>
      <c r="EK63" t="s">
        <v>1262</v>
      </c>
      <c r="EL63" t="s">
        <v>278</v>
      </c>
      <c r="EM63" t="s">
        <v>183</v>
      </c>
      <c r="EN63" t="s">
        <v>211</v>
      </c>
      <c r="EO63" t="s">
        <v>1263</v>
      </c>
      <c r="EQ63" t="s">
        <v>1264</v>
      </c>
      <c r="ER63" t="s">
        <v>1265</v>
      </c>
      <c r="ES63" t="s">
        <v>346</v>
      </c>
      <c r="ET63" t="s">
        <v>347</v>
      </c>
      <c r="EU63" t="s">
        <v>1266</v>
      </c>
      <c r="EV63" t="s">
        <v>247</v>
      </c>
      <c r="EW63" t="s">
        <v>183</v>
      </c>
      <c r="EX63" t="s">
        <v>211</v>
      </c>
      <c r="EY63" t="s">
        <v>1064</v>
      </c>
      <c r="FA63" t="s">
        <v>464</v>
      </c>
      <c r="FB63" t="s">
        <v>1197</v>
      </c>
      <c r="FC63" t="s">
        <v>207</v>
      </c>
      <c r="FD63" t="s">
        <v>208</v>
      </c>
      <c r="FE63" t="s">
        <v>1267</v>
      </c>
      <c r="FF63" t="s">
        <v>210</v>
      </c>
      <c r="FG63" t="s">
        <v>183</v>
      </c>
      <c r="FH63" t="s">
        <v>211</v>
      </c>
      <c r="FI63" t="s">
        <v>345</v>
      </c>
      <c r="FK63" t="s">
        <v>1268</v>
      </c>
      <c r="FU63" t="s">
        <v>198</v>
      </c>
    </row>
    <row r="64" spans="1:177">
      <c r="A64" s="1" t="str">
        <f>HYPERLINK("http://digipan.lumentumllc.com/apps/getLink/index.php?t=PropLink&amp;p=15741976","PL")</f>
        <v>PL</v>
      </c>
      <c r="B64" s="1" t="str">
        <f>HYPERLINK("http://digipan.lumentumllc.com/apps/getLink/index.php?t=TaxLink&amp;p=15741976","TL")</f>
        <v>TL</v>
      </c>
      <c r="C64" s="1" t="str">
        <f>HYPERLINK("http://digipan.lumentumllc.com/apps/getMap/index.php?p=15741976","Map")</f>
        <v>Map</v>
      </c>
      <c r="E64" t="s">
        <v>177</v>
      </c>
      <c r="F64" t="s">
        <v>178</v>
      </c>
      <c r="L64" t="s">
        <v>1269</v>
      </c>
      <c r="N64" t="s">
        <v>1269</v>
      </c>
      <c r="O64" t="s">
        <v>1269</v>
      </c>
      <c r="Q64" t="s">
        <v>1269</v>
      </c>
      <c r="V64">
        <v>74</v>
      </c>
      <c r="W64">
        <v>1</v>
      </c>
      <c r="X64">
        <v>2017</v>
      </c>
      <c r="Y64">
        <v>2018</v>
      </c>
      <c r="Z64">
        <v>1197.47</v>
      </c>
      <c r="AB64" t="s">
        <v>181</v>
      </c>
      <c r="AC64" t="s">
        <v>182</v>
      </c>
      <c r="AD64" t="s">
        <v>183</v>
      </c>
      <c r="AE64">
        <v>1</v>
      </c>
      <c r="AF64">
        <v>0</v>
      </c>
      <c r="AG64" t="s">
        <v>1200</v>
      </c>
      <c r="AH64">
        <v>0</v>
      </c>
      <c r="AI64">
        <v>1151.8800000000001</v>
      </c>
      <c r="AJ64">
        <v>57.59</v>
      </c>
      <c r="AK64">
        <v>1209.47</v>
      </c>
      <c r="AL64">
        <v>71184</v>
      </c>
      <c r="AM64">
        <v>40000</v>
      </c>
      <c r="AN64">
        <v>31184</v>
      </c>
      <c r="AO64">
        <v>1040</v>
      </c>
      <c r="AP64">
        <v>2016</v>
      </c>
      <c r="AQ64">
        <v>1.68</v>
      </c>
      <c r="AR64">
        <v>1.7</v>
      </c>
      <c r="AS64" t="s">
        <v>1270</v>
      </c>
      <c r="AT64" t="s">
        <v>420</v>
      </c>
      <c r="AU64" t="s">
        <v>177</v>
      </c>
      <c r="AV64" t="s">
        <v>421</v>
      </c>
      <c r="AW64" t="s">
        <v>182</v>
      </c>
      <c r="AX64">
        <v>2</v>
      </c>
      <c r="AY64" t="s">
        <v>188</v>
      </c>
      <c r="AZ64" t="s">
        <v>189</v>
      </c>
      <c r="BA64" t="s">
        <v>190</v>
      </c>
      <c r="BB64" t="s">
        <v>191</v>
      </c>
      <c r="BC64" t="s">
        <v>182</v>
      </c>
      <c r="BD64" t="s">
        <v>182</v>
      </c>
      <c r="BE64" t="s">
        <v>247</v>
      </c>
      <c r="BF64">
        <v>1</v>
      </c>
      <c r="BG64">
        <v>1</v>
      </c>
      <c r="BH64">
        <v>1995</v>
      </c>
      <c r="BI64" t="s">
        <v>1271</v>
      </c>
      <c r="BJ64" t="s">
        <v>194</v>
      </c>
      <c r="BK64" t="s">
        <v>195</v>
      </c>
      <c r="BL64" t="s">
        <v>199</v>
      </c>
      <c r="BM64" t="s">
        <v>267</v>
      </c>
      <c r="BN64" t="s">
        <v>182</v>
      </c>
      <c r="BO64" t="s">
        <v>198</v>
      </c>
      <c r="BP64" t="s">
        <v>198</v>
      </c>
      <c r="BQ64" t="s">
        <v>198</v>
      </c>
      <c r="BR64" t="s">
        <v>198</v>
      </c>
      <c r="BS64" t="s">
        <v>198</v>
      </c>
      <c r="BT64" t="s">
        <v>198</v>
      </c>
      <c r="BU64" t="s">
        <v>182</v>
      </c>
      <c r="BV64" t="s">
        <v>198</v>
      </c>
      <c r="BW64" t="s">
        <v>198</v>
      </c>
      <c r="BX64" t="s">
        <v>199</v>
      </c>
      <c r="BY64" t="s">
        <v>198</v>
      </c>
      <c r="BZ64" t="s">
        <v>199</v>
      </c>
      <c r="CA64" t="s">
        <v>199</v>
      </c>
      <c r="CB64" t="s">
        <v>1272</v>
      </c>
      <c r="CC64" t="s">
        <v>201</v>
      </c>
      <c r="CD64" t="s">
        <v>182</v>
      </c>
      <c r="CE64" t="s">
        <v>1273</v>
      </c>
      <c r="CF64" t="s">
        <v>413</v>
      </c>
      <c r="CG64" t="s">
        <v>177</v>
      </c>
      <c r="CH64" t="s">
        <v>1044</v>
      </c>
      <c r="CI64" t="s">
        <v>1274</v>
      </c>
      <c r="CJ64" t="s">
        <v>1275</v>
      </c>
      <c r="CK64" t="s">
        <v>232</v>
      </c>
      <c r="CL64" t="s">
        <v>233</v>
      </c>
      <c r="CM64" t="s">
        <v>1276</v>
      </c>
      <c r="CN64" t="s">
        <v>235</v>
      </c>
      <c r="CO64" t="s">
        <v>183</v>
      </c>
      <c r="CP64" t="s">
        <v>266</v>
      </c>
      <c r="CS64" t="s">
        <v>198</v>
      </c>
      <c r="DC64" t="s">
        <v>198</v>
      </c>
      <c r="DM64" t="s">
        <v>198</v>
      </c>
      <c r="DW64" t="s">
        <v>198</v>
      </c>
      <c r="EG64" t="s">
        <v>198</v>
      </c>
      <c r="EQ64" t="s">
        <v>198</v>
      </c>
      <c r="FA64" t="s">
        <v>198</v>
      </c>
      <c r="FK64" t="s">
        <v>198</v>
      </c>
      <c r="FU64" t="s">
        <v>198</v>
      </c>
    </row>
    <row r="65" spans="1:177">
      <c r="A65" s="1" t="str">
        <f>HYPERLINK("http://digipan.lumentumllc.com/apps/getLink/index.php?t=PropLink&amp;p=6129019","PL")</f>
        <v>PL</v>
      </c>
      <c r="B65" s="1" t="str">
        <f>HYPERLINK("http://digipan.lumentumllc.com/apps/getLink/index.php?t=TaxLink&amp;p=6129019","TL")</f>
        <v>TL</v>
      </c>
      <c r="C65" s="1" t="str">
        <f>HYPERLINK("http://digipan.lumentumllc.com/apps/getMap/index.php?p=6129019","Map")</f>
        <v>Map</v>
      </c>
      <c r="E65" t="s">
        <v>177</v>
      </c>
      <c r="F65" t="s">
        <v>178</v>
      </c>
      <c r="L65" t="s">
        <v>1277</v>
      </c>
      <c r="N65" t="s">
        <v>1277</v>
      </c>
      <c r="O65" t="s">
        <v>1277</v>
      </c>
      <c r="P65" t="s">
        <v>1278</v>
      </c>
      <c r="Q65" t="s">
        <v>1277</v>
      </c>
      <c r="V65">
        <v>75</v>
      </c>
      <c r="W65">
        <v>1</v>
      </c>
      <c r="X65">
        <v>2017</v>
      </c>
      <c r="Y65">
        <v>2018</v>
      </c>
      <c r="Z65">
        <v>1842.77</v>
      </c>
      <c r="AB65" t="s">
        <v>181</v>
      </c>
      <c r="AC65" t="s">
        <v>182</v>
      </c>
      <c r="AD65" t="s">
        <v>183</v>
      </c>
      <c r="AE65">
        <v>0</v>
      </c>
      <c r="AF65">
        <v>1</v>
      </c>
      <c r="AG65" t="s">
        <v>821</v>
      </c>
      <c r="AH65">
        <v>100</v>
      </c>
      <c r="AK65">
        <v>0</v>
      </c>
      <c r="AL65">
        <v>257062</v>
      </c>
      <c r="AM65">
        <v>43240</v>
      </c>
      <c r="AN65">
        <v>213822</v>
      </c>
      <c r="AO65">
        <v>1595</v>
      </c>
      <c r="AP65">
        <v>2016</v>
      </c>
      <c r="AQ65">
        <v>0.72</v>
      </c>
      <c r="AS65" t="s">
        <v>1279</v>
      </c>
      <c r="AT65" t="s">
        <v>420</v>
      </c>
      <c r="AU65" t="s">
        <v>177</v>
      </c>
      <c r="AV65" t="s">
        <v>421</v>
      </c>
      <c r="AW65" t="s">
        <v>182</v>
      </c>
      <c r="AX65">
        <v>50</v>
      </c>
      <c r="AY65" t="s">
        <v>218</v>
      </c>
      <c r="AZ65" t="s">
        <v>589</v>
      </c>
      <c r="BA65" t="s">
        <v>590</v>
      </c>
      <c r="BB65" t="s">
        <v>191</v>
      </c>
      <c r="BC65" t="s">
        <v>182</v>
      </c>
      <c r="BD65" t="s">
        <v>182</v>
      </c>
      <c r="BE65" t="s">
        <v>1280</v>
      </c>
      <c r="BF65">
        <v>2</v>
      </c>
      <c r="BG65">
        <v>2</v>
      </c>
      <c r="BH65">
        <v>1963</v>
      </c>
      <c r="BI65" t="s">
        <v>1281</v>
      </c>
      <c r="BJ65" t="s">
        <v>194</v>
      </c>
      <c r="BK65" t="s">
        <v>195</v>
      </c>
      <c r="BL65" t="s">
        <v>1282</v>
      </c>
      <c r="BM65" t="s">
        <v>197</v>
      </c>
      <c r="BN65" t="s">
        <v>182</v>
      </c>
      <c r="BO65" t="s">
        <v>1283</v>
      </c>
      <c r="BP65" t="s">
        <v>1284</v>
      </c>
      <c r="BQ65" t="s">
        <v>1285</v>
      </c>
      <c r="BS65" t="s">
        <v>198</v>
      </c>
      <c r="BT65" t="s">
        <v>1286</v>
      </c>
      <c r="BU65" t="s">
        <v>182</v>
      </c>
      <c r="BV65" t="s">
        <v>198</v>
      </c>
      <c r="BW65" t="s">
        <v>198</v>
      </c>
      <c r="BX65" t="s">
        <v>199</v>
      </c>
      <c r="BY65" t="s">
        <v>198</v>
      </c>
      <c r="BZ65" t="s">
        <v>199</v>
      </c>
      <c r="CA65" t="s">
        <v>199</v>
      </c>
      <c r="CB65" t="s">
        <v>1287</v>
      </c>
      <c r="CC65" t="s">
        <v>201</v>
      </c>
      <c r="CD65" t="s">
        <v>202</v>
      </c>
      <c r="CE65" t="s">
        <v>1288</v>
      </c>
      <c r="CF65" t="s">
        <v>413</v>
      </c>
      <c r="CG65" t="s">
        <v>177</v>
      </c>
      <c r="CH65" t="s">
        <v>1289</v>
      </c>
      <c r="CI65" t="s">
        <v>1290</v>
      </c>
      <c r="CJ65" t="s">
        <v>1291</v>
      </c>
      <c r="CK65" t="s">
        <v>238</v>
      </c>
      <c r="CL65" t="s">
        <v>239</v>
      </c>
      <c r="CM65" t="s">
        <v>1292</v>
      </c>
      <c r="CN65" t="s">
        <v>235</v>
      </c>
      <c r="CO65" t="s">
        <v>183</v>
      </c>
      <c r="CP65" t="s">
        <v>211</v>
      </c>
      <c r="CQ65" t="s">
        <v>206</v>
      </c>
      <c r="CS65" t="s">
        <v>1293</v>
      </c>
      <c r="DC65" t="s">
        <v>198</v>
      </c>
      <c r="DM65" t="s">
        <v>198</v>
      </c>
      <c r="DW65" t="s">
        <v>198</v>
      </c>
      <c r="EG65" t="s">
        <v>198</v>
      </c>
      <c r="EQ65" t="s">
        <v>198</v>
      </c>
      <c r="FA65" t="s">
        <v>198</v>
      </c>
      <c r="FK65" t="s">
        <v>198</v>
      </c>
      <c r="FU65" t="s">
        <v>198</v>
      </c>
    </row>
    <row r="66" spans="1:177">
      <c r="A66" s="1" t="str">
        <f>HYPERLINK("http://digipan.lumentumllc.com/apps/getLink/index.php?t=PropLink&amp;p=15747214","PL")</f>
        <v>PL</v>
      </c>
      <c r="B66" s="1" t="str">
        <f>HYPERLINK("http://digipan.lumentumllc.com/apps/getLink/index.php?t=TaxLink&amp;p=15747214","TL")</f>
        <v>TL</v>
      </c>
      <c r="C66" s="1" t="str">
        <f>HYPERLINK("http://digipan.lumentumllc.com/apps/getMap/index.php?p=15747214","Map")</f>
        <v>Map</v>
      </c>
      <c r="E66" t="s">
        <v>177</v>
      </c>
      <c r="F66" t="s">
        <v>178</v>
      </c>
      <c r="L66" t="s">
        <v>1294</v>
      </c>
      <c r="N66" t="s">
        <v>1294</v>
      </c>
      <c r="O66" t="s">
        <v>1294</v>
      </c>
      <c r="Q66" t="s">
        <v>1294</v>
      </c>
      <c r="V66">
        <v>76</v>
      </c>
      <c r="W66">
        <v>1</v>
      </c>
      <c r="X66">
        <v>2017</v>
      </c>
      <c r="Y66">
        <v>2018</v>
      </c>
      <c r="Z66">
        <v>3120.6</v>
      </c>
      <c r="AB66" t="s">
        <v>181</v>
      </c>
      <c r="AC66" t="s">
        <v>182</v>
      </c>
      <c r="AD66" t="s">
        <v>183</v>
      </c>
      <c r="AE66">
        <v>0</v>
      </c>
      <c r="AF66">
        <v>1</v>
      </c>
      <c r="AG66" t="s">
        <v>821</v>
      </c>
      <c r="AH66">
        <v>100</v>
      </c>
      <c r="AK66">
        <v>0</v>
      </c>
      <c r="AL66">
        <v>188643</v>
      </c>
      <c r="AM66">
        <v>63000</v>
      </c>
      <c r="AN66">
        <v>125643</v>
      </c>
      <c r="AO66">
        <v>2806</v>
      </c>
      <c r="AP66">
        <v>2016</v>
      </c>
      <c r="AQ66">
        <v>1.65</v>
      </c>
      <c r="AS66" t="s">
        <v>1295</v>
      </c>
      <c r="AT66" t="s">
        <v>420</v>
      </c>
      <c r="AU66" t="s">
        <v>177</v>
      </c>
      <c r="AV66" t="s">
        <v>421</v>
      </c>
      <c r="AW66" t="s">
        <v>182</v>
      </c>
      <c r="AX66">
        <v>1</v>
      </c>
      <c r="AY66" t="s">
        <v>188</v>
      </c>
      <c r="AZ66" t="s">
        <v>206</v>
      </c>
      <c r="BA66" t="s">
        <v>355</v>
      </c>
      <c r="BB66" t="s">
        <v>191</v>
      </c>
      <c r="BC66" t="s">
        <v>182</v>
      </c>
      <c r="BD66" t="s">
        <v>182</v>
      </c>
      <c r="BE66" t="s">
        <v>1296</v>
      </c>
      <c r="BF66">
        <v>1</v>
      </c>
      <c r="BG66">
        <v>1</v>
      </c>
      <c r="BH66">
        <v>1974</v>
      </c>
      <c r="BI66" t="s">
        <v>1297</v>
      </c>
      <c r="BJ66" t="s">
        <v>194</v>
      </c>
      <c r="BK66" t="s">
        <v>195</v>
      </c>
      <c r="BL66" t="s">
        <v>1298</v>
      </c>
      <c r="BM66" t="s">
        <v>232</v>
      </c>
      <c r="BN66" t="s">
        <v>182</v>
      </c>
      <c r="BO66" t="s">
        <v>1299</v>
      </c>
      <c r="BP66" t="s">
        <v>317</v>
      </c>
      <c r="BQ66" t="s">
        <v>1285</v>
      </c>
      <c r="BR66" t="s">
        <v>1300</v>
      </c>
      <c r="BS66" t="s">
        <v>198</v>
      </c>
      <c r="BT66" t="s">
        <v>1301</v>
      </c>
      <c r="BU66" t="s">
        <v>182</v>
      </c>
      <c r="BV66" t="s">
        <v>198</v>
      </c>
      <c r="BW66" t="s">
        <v>198</v>
      </c>
      <c r="BX66" t="s">
        <v>199</v>
      </c>
      <c r="BY66" t="s">
        <v>198</v>
      </c>
      <c r="BZ66" t="s">
        <v>199</v>
      </c>
      <c r="CA66" t="s">
        <v>199</v>
      </c>
      <c r="CB66" t="s">
        <v>1302</v>
      </c>
      <c r="CC66" t="s">
        <v>201</v>
      </c>
      <c r="CD66" t="s">
        <v>202</v>
      </c>
      <c r="CE66" t="s">
        <v>1303</v>
      </c>
      <c r="CF66" t="s">
        <v>425</v>
      </c>
      <c r="CG66" t="s">
        <v>177</v>
      </c>
      <c r="CH66" t="s">
        <v>421</v>
      </c>
      <c r="CI66" t="s">
        <v>1290</v>
      </c>
      <c r="CJ66" t="s">
        <v>245</v>
      </c>
      <c r="CK66" t="s">
        <v>232</v>
      </c>
      <c r="CL66" t="s">
        <v>233</v>
      </c>
      <c r="CM66" t="s">
        <v>1304</v>
      </c>
      <c r="CN66" t="s">
        <v>235</v>
      </c>
      <c r="CO66" t="s">
        <v>183</v>
      </c>
      <c r="CP66" t="s">
        <v>211</v>
      </c>
      <c r="CQ66" t="s">
        <v>264</v>
      </c>
      <c r="CS66" t="s">
        <v>990</v>
      </c>
      <c r="DC66" t="s">
        <v>198</v>
      </c>
      <c r="DM66" t="s">
        <v>198</v>
      </c>
      <c r="DW66" t="s">
        <v>198</v>
      </c>
      <c r="EG66" t="s">
        <v>198</v>
      </c>
      <c r="EQ66" t="s">
        <v>198</v>
      </c>
      <c r="FA66" t="s">
        <v>198</v>
      </c>
      <c r="FK66" t="s">
        <v>198</v>
      </c>
      <c r="FU66" t="s">
        <v>198</v>
      </c>
    </row>
    <row r="67" spans="1:177">
      <c r="A67" s="1" t="str">
        <f>HYPERLINK("http://digipan.lumentumllc.com/apps/getLink/index.php?t=PropLink&amp;p=5246176","PL")</f>
        <v>PL</v>
      </c>
      <c r="B67" s="1" t="str">
        <f>HYPERLINK("http://digipan.lumentumllc.com/apps/getLink/index.php?t=TaxLink&amp;p=5246176","TL")</f>
        <v>TL</v>
      </c>
      <c r="C67" s="1" t="str">
        <f>HYPERLINK("http://digipan.lumentumllc.com/apps/getMap/index.php?p=5246176","Map")</f>
        <v>Map</v>
      </c>
      <c r="E67" t="s">
        <v>177</v>
      </c>
      <c r="F67" t="s">
        <v>178</v>
      </c>
      <c r="L67" t="s">
        <v>1305</v>
      </c>
      <c r="N67" t="s">
        <v>1305</v>
      </c>
      <c r="O67" t="s">
        <v>1305</v>
      </c>
      <c r="P67" t="s">
        <v>1306</v>
      </c>
      <c r="Q67" t="s">
        <v>1305</v>
      </c>
      <c r="V67">
        <v>77</v>
      </c>
      <c r="W67">
        <v>1</v>
      </c>
      <c r="X67">
        <v>2017</v>
      </c>
      <c r="Y67">
        <v>2018</v>
      </c>
      <c r="Z67">
        <v>496.78</v>
      </c>
      <c r="AB67" t="s">
        <v>181</v>
      </c>
      <c r="AC67" t="s">
        <v>202</v>
      </c>
      <c r="AD67" t="s">
        <v>183</v>
      </c>
      <c r="AE67">
        <v>1</v>
      </c>
      <c r="AF67">
        <v>4</v>
      </c>
      <c r="AG67" t="s">
        <v>257</v>
      </c>
      <c r="AH67">
        <v>75</v>
      </c>
      <c r="AI67">
        <v>490.44</v>
      </c>
      <c r="AJ67">
        <v>24.52</v>
      </c>
      <c r="AK67">
        <v>514.96</v>
      </c>
      <c r="AL67">
        <v>72193</v>
      </c>
      <c r="AM67">
        <v>25200</v>
      </c>
      <c r="AN67">
        <v>46993</v>
      </c>
      <c r="AO67">
        <v>429</v>
      </c>
      <c r="AP67">
        <v>2016</v>
      </c>
      <c r="AQ67">
        <v>0.69</v>
      </c>
      <c r="AR67">
        <v>0.71</v>
      </c>
      <c r="AS67" t="s">
        <v>1307</v>
      </c>
      <c r="AT67" t="s">
        <v>420</v>
      </c>
      <c r="AU67" t="s">
        <v>177</v>
      </c>
      <c r="AV67" t="s">
        <v>421</v>
      </c>
      <c r="AW67" t="s">
        <v>202</v>
      </c>
      <c r="AX67">
        <v>2</v>
      </c>
      <c r="AY67" t="s">
        <v>188</v>
      </c>
      <c r="AZ67" t="s">
        <v>189</v>
      </c>
      <c r="BA67" t="s">
        <v>190</v>
      </c>
      <c r="BB67" t="s">
        <v>191</v>
      </c>
      <c r="BC67" t="s">
        <v>182</v>
      </c>
      <c r="BD67" t="s">
        <v>182</v>
      </c>
      <c r="BE67" t="s">
        <v>1308</v>
      </c>
      <c r="BF67">
        <v>1</v>
      </c>
      <c r="BG67">
        <v>1</v>
      </c>
      <c r="BH67">
        <v>1998</v>
      </c>
      <c r="BI67" t="s">
        <v>1309</v>
      </c>
      <c r="BJ67" t="s">
        <v>194</v>
      </c>
      <c r="BK67" t="s">
        <v>195</v>
      </c>
      <c r="BL67" t="s">
        <v>1310</v>
      </c>
      <c r="BM67" t="s">
        <v>1311</v>
      </c>
      <c r="BN67" t="s">
        <v>182</v>
      </c>
      <c r="BO67" t="s">
        <v>1121</v>
      </c>
      <c r="BP67" t="s">
        <v>1312</v>
      </c>
      <c r="BR67" t="s">
        <v>1123</v>
      </c>
      <c r="BS67" t="s">
        <v>1313</v>
      </c>
      <c r="BT67" t="s">
        <v>1314</v>
      </c>
      <c r="BU67" t="s">
        <v>182</v>
      </c>
      <c r="BV67" t="s">
        <v>198</v>
      </c>
      <c r="BW67" t="s">
        <v>198</v>
      </c>
      <c r="BX67" t="s">
        <v>199</v>
      </c>
      <c r="BY67" t="s">
        <v>198</v>
      </c>
      <c r="BZ67" t="s">
        <v>199</v>
      </c>
      <c r="CA67" t="s">
        <v>199</v>
      </c>
      <c r="CB67" t="s">
        <v>1315</v>
      </c>
      <c r="CC67" t="s">
        <v>201</v>
      </c>
      <c r="CD67" t="s">
        <v>182</v>
      </c>
      <c r="CE67" t="s">
        <v>1316</v>
      </c>
      <c r="CF67" t="s">
        <v>425</v>
      </c>
      <c r="CG67" t="s">
        <v>177</v>
      </c>
      <c r="CH67" t="s">
        <v>421</v>
      </c>
      <c r="CI67" t="s">
        <v>629</v>
      </c>
      <c r="CJ67" t="s">
        <v>1317</v>
      </c>
      <c r="CK67" t="s">
        <v>232</v>
      </c>
      <c r="CL67" t="s">
        <v>233</v>
      </c>
      <c r="CM67" t="s">
        <v>1318</v>
      </c>
      <c r="CN67" t="s">
        <v>235</v>
      </c>
      <c r="CO67" t="s">
        <v>183</v>
      </c>
      <c r="CP67" t="s">
        <v>266</v>
      </c>
      <c r="CS67" t="s">
        <v>198</v>
      </c>
      <c r="CT67" t="s">
        <v>1162</v>
      </c>
      <c r="CU67" t="s">
        <v>273</v>
      </c>
      <c r="CV67" t="s">
        <v>274</v>
      </c>
      <c r="CW67" t="s">
        <v>1319</v>
      </c>
      <c r="CX67" t="s">
        <v>235</v>
      </c>
      <c r="CY67" t="s">
        <v>183</v>
      </c>
      <c r="CZ67" t="s">
        <v>211</v>
      </c>
      <c r="DB67" t="s">
        <v>271</v>
      </c>
      <c r="DC67" t="s">
        <v>198</v>
      </c>
      <c r="DD67" t="s">
        <v>1320</v>
      </c>
      <c r="DE67" t="s">
        <v>238</v>
      </c>
      <c r="DF67" t="s">
        <v>239</v>
      </c>
      <c r="DG67" t="s">
        <v>1321</v>
      </c>
      <c r="DH67" t="s">
        <v>278</v>
      </c>
      <c r="DI67" t="s">
        <v>183</v>
      </c>
      <c r="DJ67" t="s">
        <v>211</v>
      </c>
      <c r="DK67" t="s">
        <v>298</v>
      </c>
      <c r="DM67" t="s">
        <v>441</v>
      </c>
      <c r="DN67" t="s">
        <v>1322</v>
      </c>
      <c r="DO67" t="s">
        <v>346</v>
      </c>
      <c r="DP67" t="s">
        <v>347</v>
      </c>
      <c r="DQ67" t="s">
        <v>1323</v>
      </c>
      <c r="DR67" t="s">
        <v>469</v>
      </c>
      <c r="DS67" t="s">
        <v>183</v>
      </c>
      <c r="DT67" t="s">
        <v>211</v>
      </c>
      <c r="DU67" t="s">
        <v>329</v>
      </c>
      <c r="DW67" t="s">
        <v>1324</v>
      </c>
      <c r="DX67" t="s">
        <v>1265</v>
      </c>
      <c r="DY67" t="s">
        <v>207</v>
      </c>
      <c r="DZ67" t="s">
        <v>208</v>
      </c>
      <c r="EA67" t="s">
        <v>1325</v>
      </c>
      <c r="EB67" t="s">
        <v>473</v>
      </c>
      <c r="EC67" t="s">
        <v>183</v>
      </c>
      <c r="ED67" t="s">
        <v>211</v>
      </c>
      <c r="EE67" t="s">
        <v>298</v>
      </c>
      <c r="EG67" t="s">
        <v>1324</v>
      </c>
      <c r="EQ67" t="s">
        <v>198</v>
      </c>
      <c r="FA67" t="s">
        <v>198</v>
      </c>
      <c r="FK67" t="s">
        <v>198</v>
      </c>
      <c r="FU67" t="s">
        <v>198</v>
      </c>
    </row>
    <row r="68" spans="1:177">
      <c r="A68" s="1" t="str">
        <f>HYPERLINK("http://digipan.lumentumllc.com/apps/getLink/index.php?t=PropLink&amp;p=5246178","PL")</f>
        <v>PL</v>
      </c>
      <c r="B68" s="1" t="str">
        <f>HYPERLINK("http://digipan.lumentumllc.com/apps/getLink/index.php?t=TaxLink&amp;p=5246178","TL")</f>
        <v>TL</v>
      </c>
      <c r="C68" s="1" t="str">
        <f>HYPERLINK("http://digipan.lumentumllc.com/apps/getMap/index.php?p=5246178","Map")</f>
        <v>Map</v>
      </c>
      <c r="E68" t="s">
        <v>177</v>
      </c>
      <c r="F68" t="s">
        <v>178</v>
      </c>
      <c r="L68" t="s">
        <v>1326</v>
      </c>
      <c r="N68" t="s">
        <v>1326</v>
      </c>
      <c r="O68" t="s">
        <v>1326</v>
      </c>
      <c r="P68" t="s">
        <v>1327</v>
      </c>
      <c r="Q68" t="s">
        <v>1326</v>
      </c>
      <c r="V68">
        <v>78</v>
      </c>
      <c r="W68">
        <v>1</v>
      </c>
      <c r="X68">
        <v>2017</v>
      </c>
      <c r="Y68">
        <v>2018</v>
      </c>
      <c r="Z68">
        <v>1351.52</v>
      </c>
      <c r="AB68" t="s">
        <v>181</v>
      </c>
      <c r="AC68" t="s">
        <v>182</v>
      </c>
      <c r="AD68" t="s">
        <v>183</v>
      </c>
      <c r="AE68">
        <v>1</v>
      </c>
      <c r="AF68">
        <v>7</v>
      </c>
      <c r="AG68" t="s">
        <v>418</v>
      </c>
      <c r="AH68">
        <v>86</v>
      </c>
      <c r="AI68">
        <v>1184.22</v>
      </c>
      <c r="AJ68">
        <v>59.21</v>
      </c>
      <c r="AK68">
        <v>1243.43</v>
      </c>
      <c r="AL68">
        <v>85666</v>
      </c>
      <c r="AM68">
        <v>29700</v>
      </c>
      <c r="AN68">
        <v>55966</v>
      </c>
      <c r="AO68">
        <v>1070</v>
      </c>
      <c r="AP68">
        <v>2016</v>
      </c>
      <c r="AQ68">
        <v>1.58</v>
      </c>
      <c r="AR68">
        <v>1.45</v>
      </c>
      <c r="AS68" t="s">
        <v>1328</v>
      </c>
      <c r="AT68" t="s">
        <v>420</v>
      </c>
      <c r="AU68" t="s">
        <v>177</v>
      </c>
      <c r="AV68" t="s">
        <v>421</v>
      </c>
      <c r="AW68" t="s">
        <v>182</v>
      </c>
      <c r="AX68">
        <v>2</v>
      </c>
      <c r="AY68" t="s">
        <v>188</v>
      </c>
      <c r="AZ68" t="s">
        <v>189</v>
      </c>
      <c r="BA68" t="s">
        <v>190</v>
      </c>
      <c r="BB68" t="s">
        <v>191</v>
      </c>
      <c r="BC68" t="s">
        <v>182</v>
      </c>
      <c r="BD68" t="s">
        <v>182</v>
      </c>
      <c r="BE68" t="s">
        <v>1329</v>
      </c>
      <c r="BF68">
        <v>1</v>
      </c>
      <c r="BG68">
        <v>1</v>
      </c>
      <c r="BH68">
        <v>1998</v>
      </c>
      <c r="BI68" t="s">
        <v>1330</v>
      </c>
      <c r="BJ68" t="s">
        <v>194</v>
      </c>
      <c r="BK68" t="s">
        <v>195</v>
      </c>
      <c r="BL68" t="s">
        <v>1331</v>
      </c>
      <c r="BM68" t="s">
        <v>1332</v>
      </c>
      <c r="BN68" t="s">
        <v>182</v>
      </c>
      <c r="BO68" t="s">
        <v>198</v>
      </c>
      <c r="BP68" t="s">
        <v>198</v>
      </c>
      <c r="BQ68" t="s">
        <v>198</v>
      </c>
      <c r="BR68" t="s">
        <v>198</v>
      </c>
      <c r="BS68" t="s">
        <v>198</v>
      </c>
      <c r="BT68" t="s">
        <v>198</v>
      </c>
      <c r="BU68" t="s">
        <v>182</v>
      </c>
      <c r="BV68" t="s">
        <v>198</v>
      </c>
      <c r="BW68" t="s">
        <v>198</v>
      </c>
      <c r="BX68" t="s">
        <v>199</v>
      </c>
      <c r="BY68" t="s">
        <v>198</v>
      </c>
      <c r="BZ68" t="s">
        <v>199</v>
      </c>
      <c r="CA68" t="s">
        <v>199</v>
      </c>
      <c r="CB68" t="s">
        <v>1333</v>
      </c>
      <c r="CC68" t="s">
        <v>201</v>
      </c>
      <c r="CD68" t="s">
        <v>202</v>
      </c>
      <c r="CE68" t="s">
        <v>1334</v>
      </c>
      <c r="CF68" t="s">
        <v>425</v>
      </c>
      <c r="CG68" t="s">
        <v>177</v>
      </c>
      <c r="CH68" t="s">
        <v>421</v>
      </c>
      <c r="CI68" t="s">
        <v>1335</v>
      </c>
      <c r="CJ68" t="s">
        <v>1336</v>
      </c>
      <c r="CK68" t="s">
        <v>232</v>
      </c>
      <c r="CL68" t="s">
        <v>233</v>
      </c>
      <c r="CM68" t="s">
        <v>1337</v>
      </c>
      <c r="CN68" t="s">
        <v>235</v>
      </c>
      <c r="CO68" t="s">
        <v>183</v>
      </c>
      <c r="CP68" t="s">
        <v>266</v>
      </c>
      <c r="CS68" t="s">
        <v>198</v>
      </c>
      <c r="CT68" t="s">
        <v>1032</v>
      </c>
      <c r="CU68" t="s">
        <v>292</v>
      </c>
      <c r="CV68" t="s">
        <v>293</v>
      </c>
      <c r="CW68" t="s">
        <v>1338</v>
      </c>
      <c r="CX68" t="s">
        <v>235</v>
      </c>
      <c r="CY68" t="s">
        <v>183</v>
      </c>
      <c r="CZ68" t="s">
        <v>211</v>
      </c>
      <c r="DA68" t="s">
        <v>471</v>
      </c>
      <c r="DC68" t="s">
        <v>1339</v>
      </c>
      <c r="DD68" t="s">
        <v>1128</v>
      </c>
      <c r="DE68" t="s">
        <v>267</v>
      </c>
      <c r="DF68" t="s">
        <v>268</v>
      </c>
      <c r="DG68" t="s">
        <v>1340</v>
      </c>
      <c r="DH68" t="s">
        <v>1341</v>
      </c>
      <c r="DI68" t="s">
        <v>183</v>
      </c>
      <c r="DJ68" t="s">
        <v>211</v>
      </c>
      <c r="DK68" t="s">
        <v>493</v>
      </c>
      <c r="DM68" t="s">
        <v>1342</v>
      </c>
      <c r="DN68" t="s">
        <v>671</v>
      </c>
      <c r="DO68" t="s">
        <v>273</v>
      </c>
      <c r="DP68" t="s">
        <v>274</v>
      </c>
      <c r="DQ68" t="s">
        <v>1343</v>
      </c>
      <c r="DR68" t="s">
        <v>341</v>
      </c>
      <c r="DS68" t="s">
        <v>183</v>
      </c>
      <c r="DT68" t="s">
        <v>211</v>
      </c>
      <c r="DU68" t="s">
        <v>523</v>
      </c>
      <c r="DW68" t="s">
        <v>1344</v>
      </c>
      <c r="DX68" t="s">
        <v>1128</v>
      </c>
      <c r="DY68" t="s">
        <v>302</v>
      </c>
      <c r="DZ68" t="s">
        <v>303</v>
      </c>
      <c r="EA68" t="s">
        <v>1345</v>
      </c>
      <c r="EB68" t="s">
        <v>331</v>
      </c>
      <c r="EC68" t="s">
        <v>183</v>
      </c>
      <c r="ED68" t="s">
        <v>211</v>
      </c>
      <c r="EE68" t="s">
        <v>298</v>
      </c>
      <c r="EG68" t="s">
        <v>1346</v>
      </c>
      <c r="EH68" t="s">
        <v>1347</v>
      </c>
      <c r="EI68" t="s">
        <v>238</v>
      </c>
      <c r="EJ68" t="s">
        <v>239</v>
      </c>
      <c r="EK68" t="s">
        <v>1348</v>
      </c>
      <c r="EL68" t="s">
        <v>278</v>
      </c>
      <c r="EM68" t="s">
        <v>183</v>
      </c>
      <c r="EN68" t="s">
        <v>211</v>
      </c>
      <c r="EO68" t="s">
        <v>337</v>
      </c>
      <c r="EQ68" t="s">
        <v>1349</v>
      </c>
      <c r="ER68" t="s">
        <v>1350</v>
      </c>
      <c r="ES68" t="s">
        <v>346</v>
      </c>
      <c r="ET68" t="s">
        <v>347</v>
      </c>
      <c r="EU68" t="s">
        <v>1351</v>
      </c>
      <c r="EV68" t="s">
        <v>576</v>
      </c>
      <c r="EW68" t="s">
        <v>183</v>
      </c>
      <c r="EX68" t="s">
        <v>211</v>
      </c>
      <c r="EY68" t="s">
        <v>337</v>
      </c>
      <c r="FA68" t="s">
        <v>1352</v>
      </c>
      <c r="FB68" t="s">
        <v>1353</v>
      </c>
      <c r="FC68" t="s">
        <v>207</v>
      </c>
      <c r="FD68" t="s">
        <v>208</v>
      </c>
      <c r="FE68" t="s">
        <v>1354</v>
      </c>
      <c r="FF68" t="s">
        <v>351</v>
      </c>
      <c r="FG68" t="s">
        <v>183</v>
      </c>
      <c r="FH68" t="s">
        <v>211</v>
      </c>
      <c r="FI68" t="s">
        <v>345</v>
      </c>
      <c r="FK68" t="s">
        <v>1355</v>
      </c>
      <c r="FU68" t="s">
        <v>198</v>
      </c>
    </row>
    <row r="69" spans="1:177">
      <c r="A69" s="1" t="str">
        <f>HYPERLINK("http://digipan.lumentumllc.com/apps/getLink/index.php?t=PropLink&amp;p=5246179","PL")</f>
        <v>PL</v>
      </c>
      <c r="B69" s="1" t="str">
        <f>HYPERLINK("http://digipan.lumentumllc.com/apps/getLink/index.php?t=TaxLink&amp;p=5246179","TL")</f>
        <v>TL</v>
      </c>
      <c r="C69" s="1" t="str">
        <f>HYPERLINK("http://digipan.lumentumllc.com/apps/getMap/index.php?p=5246179","Map")</f>
        <v>Map</v>
      </c>
      <c r="E69" t="s">
        <v>177</v>
      </c>
      <c r="F69" t="s">
        <v>178</v>
      </c>
      <c r="L69" t="s">
        <v>1356</v>
      </c>
      <c r="N69" t="s">
        <v>1356</v>
      </c>
      <c r="O69" t="s">
        <v>1356</v>
      </c>
      <c r="P69" t="s">
        <v>1357</v>
      </c>
      <c r="Q69" t="s">
        <v>1356</v>
      </c>
      <c r="V69">
        <v>79</v>
      </c>
      <c r="W69">
        <v>1</v>
      </c>
      <c r="X69">
        <v>2017</v>
      </c>
      <c r="Y69">
        <v>2018</v>
      </c>
      <c r="Z69">
        <v>520.62</v>
      </c>
      <c r="AB69" t="s">
        <v>181</v>
      </c>
      <c r="AC69" t="s">
        <v>202</v>
      </c>
      <c r="AD69" t="s">
        <v>183</v>
      </c>
      <c r="AE69">
        <v>0</v>
      </c>
      <c r="AF69">
        <v>8</v>
      </c>
      <c r="AG69" t="s">
        <v>1059</v>
      </c>
      <c r="AH69">
        <v>100</v>
      </c>
      <c r="AK69">
        <v>0</v>
      </c>
      <c r="AL69">
        <v>67823</v>
      </c>
      <c r="AM69">
        <v>24080</v>
      </c>
      <c r="AN69">
        <v>43743</v>
      </c>
      <c r="AO69">
        <v>451</v>
      </c>
      <c r="AP69">
        <v>2016</v>
      </c>
      <c r="AQ69">
        <v>0.77</v>
      </c>
      <c r="AS69" t="s">
        <v>1358</v>
      </c>
      <c r="AT69" t="s">
        <v>420</v>
      </c>
      <c r="AU69" t="s">
        <v>177</v>
      </c>
      <c r="AV69" t="s">
        <v>421</v>
      </c>
      <c r="AW69" t="s">
        <v>202</v>
      </c>
      <c r="AX69">
        <v>2</v>
      </c>
      <c r="AY69" t="s">
        <v>188</v>
      </c>
      <c r="AZ69" t="s">
        <v>189</v>
      </c>
      <c r="BA69" t="s">
        <v>190</v>
      </c>
      <c r="BB69" t="s">
        <v>191</v>
      </c>
      <c r="BC69" t="s">
        <v>182</v>
      </c>
      <c r="BD69" t="s">
        <v>182</v>
      </c>
      <c r="BE69" t="s">
        <v>1359</v>
      </c>
      <c r="BF69">
        <v>1</v>
      </c>
      <c r="BG69">
        <v>1</v>
      </c>
      <c r="BH69">
        <v>1994</v>
      </c>
      <c r="BI69" t="s">
        <v>1360</v>
      </c>
      <c r="BJ69" t="s">
        <v>194</v>
      </c>
      <c r="BK69" t="s">
        <v>195</v>
      </c>
      <c r="BL69" t="s">
        <v>1361</v>
      </c>
      <c r="BM69" t="s">
        <v>451</v>
      </c>
      <c r="BN69" t="s">
        <v>182</v>
      </c>
      <c r="BO69" t="s">
        <v>198</v>
      </c>
      <c r="BP69" t="s">
        <v>198</v>
      </c>
      <c r="BQ69" t="s">
        <v>198</v>
      </c>
      <c r="BR69" t="s">
        <v>198</v>
      </c>
      <c r="BS69" t="s">
        <v>198</v>
      </c>
      <c r="BT69" t="s">
        <v>198</v>
      </c>
      <c r="BU69" t="s">
        <v>182</v>
      </c>
      <c r="BV69" t="s">
        <v>198</v>
      </c>
      <c r="BW69" t="s">
        <v>198</v>
      </c>
      <c r="BX69" t="s">
        <v>199</v>
      </c>
      <c r="BY69" t="s">
        <v>198</v>
      </c>
      <c r="BZ69" t="s">
        <v>199</v>
      </c>
      <c r="CA69" t="s">
        <v>199</v>
      </c>
      <c r="CB69" t="s">
        <v>1362</v>
      </c>
      <c r="CC69" t="s">
        <v>201</v>
      </c>
      <c r="CD69" t="s">
        <v>202</v>
      </c>
      <c r="CE69" t="s">
        <v>1363</v>
      </c>
      <c r="CF69" t="s">
        <v>425</v>
      </c>
      <c r="CG69" t="s">
        <v>177</v>
      </c>
      <c r="CH69" t="s">
        <v>421</v>
      </c>
      <c r="CI69" t="s">
        <v>1364</v>
      </c>
      <c r="CJ69" t="s">
        <v>1365</v>
      </c>
      <c r="CK69" t="s">
        <v>232</v>
      </c>
      <c r="CL69" t="s">
        <v>233</v>
      </c>
      <c r="CM69" t="s">
        <v>1366</v>
      </c>
      <c r="CN69" t="s">
        <v>235</v>
      </c>
      <c r="CO69" t="s">
        <v>183</v>
      </c>
      <c r="CP69" t="s">
        <v>211</v>
      </c>
      <c r="CQ69" t="s">
        <v>199</v>
      </c>
      <c r="CR69" t="s">
        <v>271</v>
      </c>
      <c r="CS69" t="s">
        <v>735</v>
      </c>
      <c r="CT69" t="s">
        <v>1046</v>
      </c>
      <c r="CU69" t="s">
        <v>292</v>
      </c>
      <c r="CV69" t="s">
        <v>293</v>
      </c>
      <c r="CW69" t="s">
        <v>1367</v>
      </c>
      <c r="CX69" t="s">
        <v>235</v>
      </c>
      <c r="CY69" t="s">
        <v>183</v>
      </c>
      <c r="CZ69" t="s">
        <v>211</v>
      </c>
      <c r="DA69" t="s">
        <v>427</v>
      </c>
      <c r="DB69" t="s">
        <v>271</v>
      </c>
      <c r="DC69" t="s">
        <v>735</v>
      </c>
      <c r="DD69" t="s">
        <v>1368</v>
      </c>
      <c r="DE69" t="s">
        <v>267</v>
      </c>
      <c r="DF69" t="s">
        <v>268</v>
      </c>
      <c r="DG69" t="s">
        <v>1369</v>
      </c>
      <c r="DH69" t="s">
        <v>235</v>
      </c>
      <c r="DI69" t="s">
        <v>183</v>
      </c>
      <c r="DJ69" t="s">
        <v>211</v>
      </c>
      <c r="DL69" t="s">
        <v>271</v>
      </c>
      <c r="DM69" t="s">
        <v>198</v>
      </c>
      <c r="DN69" t="s">
        <v>589</v>
      </c>
      <c r="DO69" t="s">
        <v>273</v>
      </c>
      <c r="DP69" t="s">
        <v>274</v>
      </c>
      <c r="DQ69" t="s">
        <v>1370</v>
      </c>
      <c r="DR69" t="s">
        <v>235</v>
      </c>
      <c r="DS69" t="s">
        <v>183</v>
      </c>
      <c r="DT69" t="s">
        <v>211</v>
      </c>
      <c r="DU69" t="s">
        <v>298</v>
      </c>
      <c r="DW69" t="s">
        <v>434</v>
      </c>
      <c r="DX69" t="s">
        <v>1368</v>
      </c>
      <c r="DY69" t="s">
        <v>302</v>
      </c>
      <c r="DZ69" t="s">
        <v>303</v>
      </c>
      <c r="EA69" t="s">
        <v>1371</v>
      </c>
      <c r="EB69" t="s">
        <v>436</v>
      </c>
      <c r="EC69" t="s">
        <v>183</v>
      </c>
      <c r="ED69" t="s">
        <v>211</v>
      </c>
      <c r="EE69" t="s">
        <v>345</v>
      </c>
      <c r="EG69" t="s">
        <v>1372</v>
      </c>
      <c r="EH69" t="s">
        <v>1373</v>
      </c>
      <c r="EI69" t="s">
        <v>238</v>
      </c>
      <c r="EJ69" t="s">
        <v>239</v>
      </c>
      <c r="EK69" t="s">
        <v>1374</v>
      </c>
      <c r="EL69" t="s">
        <v>278</v>
      </c>
      <c r="EM69" t="s">
        <v>183</v>
      </c>
      <c r="EN69" t="s">
        <v>211</v>
      </c>
      <c r="EO69" t="s">
        <v>345</v>
      </c>
      <c r="EQ69" t="s">
        <v>1375</v>
      </c>
      <c r="ER69" t="s">
        <v>1376</v>
      </c>
      <c r="ES69" t="s">
        <v>346</v>
      </c>
      <c r="ET69" t="s">
        <v>347</v>
      </c>
      <c r="EU69" t="s">
        <v>1377</v>
      </c>
      <c r="EV69" t="s">
        <v>247</v>
      </c>
      <c r="EW69" t="s">
        <v>183</v>
      </c>
      <c r="EX69" t="s">
        <v>211</v>
      </c>
      <c r="EY69" t="s">
        <v>334</v>
      </c>
      <c r="FA69" t="s">
        <v>1378</v>
      </c>
      <c r="FB69" t="s">
        <v>1379</v>
      </c>
      <c r="FC69" t="s">
        <v>207</v>
      </c>
      <c r="FD69" t="s">
        <v>208</v>
      </c>
      <c r="FE69" t="s">
        <v>1380</v>
      </c>
      <c r="FF69" t="s">
        <v>210</v>
      </c>
      <c r="FG69" t="s">
        <v>183</v>
      </c>
      <c r="FH69" t="s">
        <v>211</v>
      </c>
      <c r="FI69" t="s">
        <v>298</v>
      </c>
      <c r="FK69" t="s">
        <v>1381</v>
      </c>
      <c r="FU69" t="s">
        <v>198</v>
      </c>
    </row>
    <row r="70" spans="1:177">
      <c r="A70" s="1" t="str">
        <f>HYPERLINK("http://digipan.lumentumllc.com/apps/getLink/index.php?t=PropLink&amp;p=5246251","PL")</f>
        <v>PL</v>
      </c>
      <c r="B70" s="1" t="str">
        <f>HYPERLINK("http://digipan.lumentumllc.com/apps/getLink/index.php?t=TaxLink&amp;p=5246251","TL")</f>
        <v>TL</v>
      </c>
      <c r="C70" s="1" t="str">
        <f>HYPERLINK("http://digipan.lumentumllc.com/apps/getMap/index.php?p=5246251","Map")</f>
        <v>Map</v>
      </c>
      <c r="E70" t="s">
        <v>177</v>
      </c>
      <c r="F70" t="s">
        <v>178</v>
      </c>
      <c r="L70" t="s">
        <v>1382</v>
      </c>
      <c r="N70" t="s">
        <v>1382</v>
      </c>
      <c r="O70" t="s">
        <v>1382</v>
      </c>
      <c r="P70" t="s">
        <v>1383</v>
      </c>
      <c r="Q70" t="s">
        <v>1382</v>
      </c>
      <c r="V70">
        <v>80</v>
      </c>
      <c r="W70">
        <v>1</v>
      </c>
      <c r="X70">
        <v>2017</v>
      </c>
      <c r="Y70">
        <v>2018</v>
      </c>
      <c r="Z70">
        <v>1240.25</v>
      </c>
      <c r="AB70" t="s">
        <v>181</v>
      </c>
      <c r="AC70" t="s">
        <v>182</v>
      </c>
      <c r="AD70" t="s">
        <v>183</v>
      </c>
      <c r="AE70">
        <v>0</v>
      </c>
      <c r="AF70">
        <v>4</v>
      </c>
      <c r="AG70" t="s">
        <v>744</v>
      </c>
      <c r="AH70">
        <v>100</v>
      </c>
      <c r="AK70">
        <v>0</v>
      </c>
      <c r="AL70">
        <v>133756</v>
      </c>
      <c r="AM70">
        <v>15450</v>
      </c>
      <c r="AN70">
        <v>118306</v>
      </c>
      <c r="AO70">
        <v>1100</v>
      </c>
      <c r="AP70">
        <v>2016</v>
      </c>
      <c r="AQ70">
        <v>0.93</v>
      </c>
      <c r="AS70" t="s">
        <v>1384</v>
      </c>
      <c r="AT70" t="s">
        <v>425</v>
      </c>
      <c r="AU70" t="s">
        <v>177</v>
      </c>
      <c r="AV70" t="s">
        <v>421</v>
      </c>
      <c r="AW70" t="s">
        <v>202</v>
      </c>
      <c r="AX70">
        <v>1</v>
      </c>
      <c r="AY70" t="s">
        <v>188</v>
      </c>
      <c r="AZ70" t="s">
        <v>206</v>
      </c>
      <c r="BA70" t="s">
        <v>355</v>
      </c>
      <c r="BB70" t="s">
        <v>191</v>
      </c>
      <c r="BC70" t="s">
        <v>182</v>
      </c>
      <c r="BD70" t="s">
        <v>182</v>
      </c>
      <c r="BE70" t="s">
        <v>1385</v>
      </c>
      <c r="BF70">
        <v>1</v>
      </c>
      <c r="BG70">
        <v>1</v>
      </c>
      <c r="BH70">
        <v>1993</v>
      </c>
      <c r="BI70" t="s">
        <v>1386</v>
      </c>
      <c r="BJ70" t="s">
        <v>194</v>
      </c>
      <c r="BK70" t="s">
        <v>195</v>
      </c>
      <c r="BL70" t="s">
        <v>199</v>
      </c>
      <c r="BM70" t="s">
        <v>1387</v>
      </c>
      <c r="BN70" t="s">
        <v>182</v>
      </c>
      <c r="BO70" t="s">
        <v>198</v>
      </c>
      <c r="BP70" t="s">
        <v>198</v>
      </c>
      <c r="BQ70" t="s">
        <v>198</v>
      </c>
      <c r="BR70" t="s">
        <v>198</v>
      </c>
      <c r="BS70" t="s">
        <v>198</v>
      </c>
      <c r="BT70" t="s">
        <v>198</v>
      </c>
      <c r="BU70" t="s">
        <v>182</v>
      </c>
      <c r="BV70" t="s">
        <v>198</v>
      </c>
      <c r="BW70" t="s">
        <v>198</v>
      </c>
      <c r="BX70" t="s">
        <v>199</v>
      </c>
      <c r="BY70" t="s">
        <v>198</v>
      </c>
      <c r="BZ70" t="s">
        <v>199</v>
      </c>
      <c r="CA70" t="s">
        <v>199</v>
      </c>
      <c r="CB70" t="s">
        <v>1388</v>
      </c>
      <c r="CC70" t="s">
        <v>201</v>
      </c>
      <c r="CD70" t="s">
        <v>182</v>
      </c>
      <c r="CE70" t="s">
        <v>1389</v>
      </c>
      <c r="CF70" t="s">
        <v>425</v>
      </c>
      <c r="CG70" t="s">
        <v>177</v>
      </c>
      <c r="CH70" t="s">
        <v>421</v>
      </c>
      <c r="CI70" t="s">
        <v>1390</v>
      </c>
      <c r="CJ70" t="s">
        <v>1162</v>
      </c>
      <c r="CK70" t="s">
        <v>292</v>
      </c>
      <c r="CL70" t="s">
        <v>293</v>
      </c>
      <c r="CM70" t="s">
        <v>1391</v>
      </c>
      <c r="CN70" t="s">
        <v>235</v>
      </c>
      <c r="CO70" t="s">
        <v>183</v>
      </c>
      <c r="CP70" t="s">
        <v>211</v>
      </c>
      <c r="CQ70" t="s">
        <v>296</v>
      </c>
      <c r="CS70" t="s">
        <v>1392</v>
      </c>
      <c r="CT70" t="s">
        <v>1185</v>
      </c>
      <c r="CU70" t="s">
        <v>267</v>
      </c>
      <c r="CV70" t="s">
        <v>268</v>
      </c>
      <c r="CW70" t="s">
        <v>1393</v>
      </c>
      <c r="CX70" t="s">
        <v>235</v>
      </c>
      <c r="CY70" t="s">
        <v>183</v>
      </c>
      <c r="CZ70" t="s">
        <v>211</v>
      </c>
      <c r="DA70" t="s">
        <v>444</v>
      </c>
      <c r="DC70" t="s">
        <v>1392</v>
      </c>
      <c r="DD70" t="s">
        <v>1185</v>
      </c>
      <c r="DE70" t="s">
        <v>302</v>
      </c>
      <c r="DF70" t="s">
        <v>303</v>
      </c>
      <c r="DG70" t="s">
        <v>1394</v>
      </c>
      <c r="DH70" t="s">
        <v>235</v>
      </c>
      <c r="DI70" t="s">
        <v>183</v>
      </c>
      <c r="DJ70" t="s">
        <v>211</v>
      </c>
      <c r="DK70" t="s">
        <v>212</v>
      </c>
      <c r="DM70" t="s">
        <v>1395</v>
      </c>
      <c r="DN70" t="s">
        <v>1396</v>
      </c>
      <c r="DO70" t="s">
        <v>346</v>
      </c>
      <c r="DP70" t="s">
        <v>347</v>
      </c>
      <c r="DQ70" t="s">
        <v>1397</v>
      </c>
      <c r="DR70" t="s">
        <v>235</v>
      </c>
      <c r="DS70" t="s">
        <v>183</v>
      </c>
      <c r="DT70" t="s">
        <v>211</v>
      </c>
      <c r="DU70" t="s">
        <v>270</v>
      </c>
      <c r="DW70" t="s">
        <v>1398</v>
      </c>
      <c r="EG70" t="s">
        <v>198</v>
      </c>
      <c r="EQ70" t="s">
        <v>198</v>
      </c>
      <c r="FA70" t="s">
        <v>198</v>
      </c>
      <c r="FK70" t="s">
        <v>198</v>
      </c>
      <c r="FU70" t="s">
        <v>198</v>
      </c>
    </row>
    <row r="71" spans="1:177">
      <c r="A71" s="1" t="str">
        <f>HYPERLINK("http://digipan.lumentumllc.com/apps/getLink/index.php?t=PropLink&amp;p=6129211","PL")</f>
        <v>PL</v>
      </c>
      <c r="B71" s="1" t="str">
        <f>HYPERLINK("http://digipan.lumentumllc.com/apps/getLink/index.php?t=TaxLink&amp;p=6129211","TL")</f>
        <v>TL</v>
      </c>
      <c r="C71" s="1" t="str">
        <f>HYPERLINK("http://digipan.lumentumllc.com/apps/getMap/index.php?p=6129211","Map")</f>
        <v>Map</v>
      </c>
      <c r="E71" t="s">
        <v>177</v>
      </c>
      <c r="F71" t="s">
        <v>178</v>
      </c>
      <c r="L71" t="s">
        <v>1399</v>
      </c>
      <c r="N71" t="s">
        <v>1399</v>
      </c>
      <c r="O71" t="s">
        <v>1399</v>
      </c>
      <c r="P71" t="s">
        <v>1400</v>
      </c>
      <c r="Q71" t="s">
        <v>1399</v>
      </c>
      <c r="V71">
        <v>81</v>
      </c>
      <c r="W71">
        <v>1</v>
      </c>
      <c r="X71">
        <v>2017</v>
      </c>
      <c r="Y71">
        <v>2018</v>
      </c>
      <c r="Z71">
        <v>1345.33</v>
      </c>
      <c r="AB71" t="s">
        <v>181</v>
      </c>
      <c r="AC71" t="s">
        <v>202</v>
      </c>
      <c r="AD71" t="s">
        <v>183</v>
      </c>
      <c r="AE71">
        <v>1</v>
      </c>
      <c r="AF71">
        <v>5</v>
      </c>
      <c r="AG71" t="s">
        <v>951</v>
      </c>
      <c r="AH71">
        <v>80</v>
      </c>
      <c r="AI71">
        <v>1360.54</v>
      </c>
      <c r="AJ71">
        <v>68.03</v>
      </c>
      <c r="AK71">
        <v>1428.57</v>
      </c>
      <c r="AL71">
        <v>80215</v>
      </c>
      <c r="AM71">
        <v>24000</v>
      </c>
      <c r="AN71">
        <v>56215</v>
      </c>
      <c r="AO71">
        <v>1233</v>
      </c>
      <c r="AP71">
        <v>2016</v>
      </c>
      <c r="AQ71">
        <v>1.68</v>
      </c>
      <c r="AR71">
        <v>1.78</v>
      </c>
      <c r="AS71" t="s">
        <v>1401</v>
      </c>
      <c r="AT71" t="s">
        <v>420</v>
      </c>
      <c r="AU71" t="s">
        <v>177</v>
      </c>
      <c r="AV71" t="s">
        <v>421</v>
      </c>
      <c r="AW71" t="s">
        <v>182</v>
      </c>
      <c r="AX71">
        <v>1</v>
      </c>
      <c r="AY71" t="s">
        <v>188</v>
      </c>
      <c r="AZ71" t="s">
        <v>206</v>
      </c>
      <c r="BA71" t="s">
        <v>355</v>
      </c>
      <c r="BB71" t="s">
        <v>191</v>
      </c>
      <c r="BC71" t="s">
        <v>182</v>
      </c>
      <c r="BD71" t="s">
        <v>182</v>
      </c>
      <c r="BE71" t="s">
        <v>796</v>
      </c>
      <c r="BF71">
        <v>3</v>
      </c>
      <c r="BG71">
        <v>2</v>
      </c>
      <c r="BH71">
        <v>1960</v>
      </c>
      <c r="BI71" t="s">
        <v>1402</v>
      </c>
      <c r="BJ71" t="s">
        <v>194</v>
      </c>
      <c r="BK71" t="s">
        <v>195</v>
      </c>
      <c r="BL71" t="s">
        <v>196</v>
      </c>
      <c r="BM71" t="s">
        <v>232</v>
      </c>
      <c r="BN71" t="s">
        <v>182</v>
      </c>
      <c r="BO71" t="s">
        <v>1403</v>
      </c>
      <c r="BP71" t="s">
        <v>1404</v>
      </c>
      <c r="BQ71" t="s">
        <v>562</v>
      </c>
      <c r="BR71" t="s">
        <v>563</v>
      </c>
      <c r="BS71" t="s">
        <v>198</v>
      </c>
      <c r="BT71" t="s">
        <v>1405</v>
      </c>
      <c r="BU71" t="s">
        <v>182</v>
      </c>
      <c r="BV71" t="s">
        <v>198</v>
      </c>
      <c r="BW71" t="s">
        <v>198</v>
      </c>
      <c r="BX71" t="s">
        <v>199</v>
      </c>
      <c r="BY71" t="s">
        <v>198</v>
      </c>
      <c r="BZ71" t="s">
        <v>199</v>
      </c>
      <c r="CA71" t="s">
        <v>199</v>
      </c>
      <c r="CB71" t="s">
        <v>1406</v>
      </c>
      <c r="CC71" t="s">
        <v>1407</v>
      </c>
      <c r="CD71" t="s">
        <v>182</v>
      </c>
      <c r="CE71" t="s">
        <v>1408</v>
      </c>
      <c r="CF71" t="s">
        <v>204</v>
      </c>
      <c r="CG71" t="s">
        <v>177</v>
      </c>
      <c r="CH71" t="s">
        <v>187</v>
      </c>
      <c r="CI71" t="s">
        <v>1409</v>
      </c>
      <c r="CJ71" t="s">
        <v>1263</v>
      </c>
      <c r="CK71" t="s">
        <v>232</v>
      </c>
      <c r="CL71" t="s">
        <v>233</v>
      </c>
      <c r="CM71" t="s">
        <v>1410</v>
      </c>
      <c r="CN71" t="s">
        <v>235</v>
      </c>
      <c r="CO71" t="s">
        <v>183</v>
      </c>
      <c r="CP71" t="s">
        <v>266</v>
      </c>
      <c r="CS71" t="s">
        <v>198</v>
      </c>
      <c r="CT71" t="s">
        <v>673</v>
      </c>
      <c r="CU71" t="s">
        <v>292</v>
      </c>
      <c r="CV71" t="s">
        <v>293</v>
      </c>
      <c r="CW71" t="s">
        <v>1411</v>
      </c>
      <c r="CX71" t="s">
        <v>235</v>
      </c>
      <c r="CY71" t="s">
        <v>183</v>
      </c>
      <c r="CZ71" t="s">
        <v>211</v>
      </c>
      <c r="DA71" t="s">
        <v>345</v>
      </c>
      <c r="DC71" t="s">
        <v>1088</v>
      </c>
      <c r="DD71" t="s">
        <v>1190</v>
      </c>
      <c r="DE71" t="s">
        <v>302</v>
      </c>
      <c r="DF71" t="s">
        <v>303</v>
      </c>
      <c r="DG71" t="s">
        <v>1412</v>
      </c>
      <c r="DH71" t="s">
        <v>235</v>
      </c>
      <c r="DI71" t="s">
        <v>183</v>
      </c>
      <c r="DJ71" t="s">
        <v>211</v>
      </c>
      <c r="DK71" t="s">
        <v>212</v>
      </c>
      <c r="DL71" t="s">
        <v>271</v>
      </c>
      <c r="DM71" t="s">
        <v>1413</v>
      </c>
      <c r="DN71" t="s">
        <v>1414</v>
      </c>
      <c r="DO71" t="s">
        <v>238</v>
      </c>
      <c r="DP71" t="s">
        <v>239</v>
      </c>
      <c r="DQ71" t="s">
        <v>1415</v>
      </c>
      <c r="DR71" t="s">
        <v>235</v>
      </c>
      <c r="DS71" t="s">
        <v>183</v>
      </c>
      <c r="DT71" t="s">
        <v>211</v>
      </c>
      <c r="DV71" t="s">
        <v>271</v>
      </c>
      <c r="DW71" t="s">
        <v>198</v>
      </c>
      <c r="DX71" t="s">
        <v>1416</v>
      </c>
      <c r="DY71" t="s">
        <v>346</v>
      </c>
      <c r="DZ71" t="s">
        <v>239</v>
      </c>
      <c r="EA71" t="s">
        <v>1417</v>
      </c>
      <c r="EB71" t="s">
        <v>235</v>
      </c>
      <c r="EC71" t="s">
        <v>183</v>
      </c>
      <c r="ED71" t="s">
        <v>211</v>
      </c>
      <c r="EF71" t="s">
        <v>271</v>
      </c>
      <c r="EG71" t="s">
        <v>198</v>
      </c>
      <c r="EH71" t="s">
        <v>1350</v>
      </c>
      <c r="EI71" t="s">
        <v>207</v>
      </c>
      <c r="EJ71" t="s">
        <v>208</v>
      </c>
      <c r="EK71" t="s">
        <v>1418</v>
      </c>
      <c r="EL71" t="s">
        <v>235</v>
      </c>
      <c r="EM71" t="s">
        <v>183</v>
      </c>
      <c r="EN71" t="s">
        <v>211</v>
      </c>
      <c r="EO71" t="s">
        <v>345</v>
      </c>
      <c r="EQ71" t="s">
        <v>1419</v>
      </c>
      <c r="FA71" t="s">
        <v>198</v>
      </c>
      <c r="FK71" t="s">
        <v>198</v>
      </c>
      <c r="FU71" t="s">
        <v>198</v>
      </c>
    </row>
    <row r="72" spans="1:177">
      <c r="A72" s="1" t="str">
        <f>HYPERLINK("http://digipan.lumentumllc.com/apps/getLink/index.php?t=PropLink&amp;p=6461999","PL")</f>
        <v>PL</v>
      </c>
      <c r="B72" s="1" t="str">
        <f>HYPERLINK("http://digipan.lumentumllc.com/apps/getLink/index.php?t=TaxLink&amp;p=6461999","TL")</f>
        <v>TL</v>
      </c>
      <c r="C72" s="1" t="str">
        <f>HYPERLINK("http://digipan.lumentumllc.com/apps/getMap/index.php?p=6461999","Map")</f>
        <v>Map</v>
      </c>
      <c r="E72" t="s">
        <v>177</v>
      </c>
      <c r="F72" t="s">
        <v>178</v>
      </c>
      <c r="L72" t="s">
        <v>1420</v>
      </c>
      <c r="N72" t="s">
        <v>1420</v>
      </c>
      <c r="O72" t="s">
        <v>1420</v>
      </c>
      <c r="P72" t="s">
        <v>1421</v>
      </c>
      <c r="Q72" t="s">
        <v>1420</v>
      </c>
      <c r="V72">
        <v>82</v>
      </c>
      <c r="W72">
        <v>1</v>
      </c>
      <c r="X72">
        <v>2017</v>
      </c>
      <c r="Y72">
        <v>2018</v>
      </c>
      <c r="Z72">
        <v>286.70999999999998</v>
      </c>
      <c r="AB72" t="s">
        <v>181</v>
      </c>
      <c r="AC72" t="s">
        <v>182</v>
      </c>
      <c r="AD72" t="s">
        <v>183</v>
      </c>
      <c r="AE72">
        <v>0</v>
      </c>
      <c r="AF72">
        <v>3</v>
      </c>
      <c r="AG72" t="s">
        <v>381</v>
      </c>
      <c r="AH72">
        <v>100</v>
      </c>
      <c r="AK72">
        <v>0</v>
      </c>
      <c r="AL72">
        <v>59688</v>
      </c>
      <c r="AM72">
        <v>27300</v>
      </c>
      <c r="AN72">
        <v>32388</v>
      </c>
      <c r="AO72">
        <v>226</v>
      </c>
      <c r="AP72">
        <v>2016</v>
      </c>
      <c r="AQ72">
        <v>0.48</v>
      </c>
      <c r="AS72" t="s">
        <v>1422</v>
      </c>
      <c r="AT72" t="s">
        <v>420</v>
      </c>
      <c r="AU72" t="s">
        <v>177</v>
      </c>
      <c r="AV72" t="s">
        <v>421</v>
      </c>
      <c r="AW72" t="s">
        <v>202</v>
      </c>
      <c r="AX72">
        <v>2</v>
      </c>
      <c r="AY72" t="s">
        <v>188</v>
      </c>
      <c r="AZ72" t="s">
        <v>189</v>
      </c>
      <c r="BA72" t="s">
        <v>190</v>
      </c>
      <c r="BB72" t="s">
        <v>191</v>
      </c>
      <c r="BC72" t="s">
        <v>182</v>
      </c>
      <c r="BD72" t="s">
        <v>182</v>
      </c>
      <c r="BE72" t="s">
        <v>1423</v>
      </c>
      <c r="BF72">
        <v>1</v>
      </c>
      <c r="BG72">
        <v>1</v>
      </c>
      <c r="BH72">
        <v>1994</v>
      </c>
      <c r="BI72" t="s">
        <v>1271</v>
      </c>
      <c r="BJ72" t="s">
        <v>396</v>
      </c>
      <c r="BK72" t="s">
        <v>195</v>
      </c>
      <c r="BL72" t="s">
        <v>727</v>
      </c>
      <c r="BM72" t="s">
        <v>501</v>
      </c>
      <c r="BN72" t="s">
        <v>182</v>
      </c>
      <c r="BO72" t="s">
        <v>1424</v>
      </c>
      <c r="BP72" t="s">
        <v>1425</v>
      </c>
      <c r="BQ72" t="s">
        <v>1426</v>
      </c>
      <c r="BS72" t="s">
        <v>1427</v>
      </c>
      <c r="BT72" t="s">
        <v>198</v>
      </c>
      <c r="BU72" t="s">
        <v>182</v>
      </c>
      <c r="BV72" t="s">
        <v>198</v>
      </c>
      <c r="BW72" t="s">
        <v>198</v>
      </c>
      <c r="BX72" t="s">
        <v>199</v>
      </c>
      <c r="BY72" t="s">
        <v>198</v>
      </c>
      <c r="BZ72" t="s">
        <v>199</v>
      </c>
      <c r="CA72" t="s">
        <v>199</v>
      </c>
      <c r="CB72" t="s">
        <v>1428</v>
      </c>
      <c r="CC72" t="s">
        <v>201</v>
      </c>
      <c r="CD72" t="s">
        <v>182</v>
      </c>
      <c r="CE72" t="s">
        <v>1429</v>
      </c>
      <c r="CF72" t="s">
        <v>425</v>
      </c>
      <c r="CG72" t="s">
        <v>177</v>
      </c>
      <c r="CH72" t="s">
        <v>421</v>
      </c>
      <c r="CI72" t="s">
        <v>1430</v>
      </c>
      <c r="CJ72" t="s">
        <v>219</v>
      </c>
      <c r="CK72" t="s">
        <v>267</v>
      </c>
      <c r="CL72" t="s">
        <v>268</v>
      </c>
      <c r="CM72" t="s">
        <v>1431</v>
      </c>
      <c r="CN72" t="s">
        <v>235</v>
      </c>
      <c r="CO72" t="s">
        <v>183</v>
      </c>
      <c r="CP72" t="s">
        <v>211</v>
      </c>
      <c r="CQ72" t="s">
        <v>329</v>
      </c>
      <c r="CS72" t="s">
        <v>1432</v>
      </c>
      <c r="CT72" t="s">
        <v>1253</v>
      </c>
      <c r="CU72" t="s">
        <v>273</v>
      </c>
      <c r="CV72" t="s">
        <v>274</v>
      </c>
      <c r="CW72" t="s">
        <v>1433</v>
      </c>
      <c r="CX72" t="s">
        <v>514</v>
      </c>
      <c r="CY72" t="s">
        <v>183</v>
      </c>
      <c r="CZ72" t="s">
        <v>211</v>
      </c>
      <c r="DA72" t="s">
        <v>298</v>
      </c>
      <c r="DC72" t="s">
        <v>1432</v>
      </c>
      <c r="DD72" t="s">
        <v>1209</v>
      </c>
      <c r="DE72" t="s">
        <v>302</v>
      </c>
      <c r="DF72" t="s">
        <v>303</v>
      </c>
      <c r="DG72" t="s">
        <v>1434</v>
      </c>
      <c r="DH72" t="s">
        <v>305</v>
      </c>
      <c r="DI72" t="s">
        <v>183</v>
      </c>
      <c r="DJ72" t="s">
        <v>211</v>
      </c>
      <c r="DK72" t="s">
        <v>525</v>
      </c>
      <c r="DM72" t="s">
        <v>1432</v>
      </c>
      <c r="DW72" t="s">
        <v>198</v>
      </c>
      <c r="EG72" t="s">
        <v>198</v>
      </c>
      <c r="EQ72" t="s">
        <v>198</v>
      </c>
      <c r="FA72" t="s">
        <v>198</v>
      </c>
      <c r="FK72" t="s">
        <v>198</v>
      </c>
      <c r="FU72" t="s">
        <v>198</v>
      </c>
    </row>
    <row r="73" spans="1:177">
      <c r="A73" s="1" t="str">
        <f>HYPERLINK("http://digipan.lumentumllc.com/apps/getLink/index.php?t=PropLink&amp;p=6129291","PL")</f>
        <v>PL</v>
      </c>
      <c r="B73" s="1" t="str">
        <f>HYPERLINK("http://digipan.lumentumllc.com/apps/getLink/index.php?t=TaxLink&amp;p=6129291","TL")</f>
        <v>TL</v>
      </c>
      <c r="C73" s="1" t="str">
        <f>HYPERLINK("http://digipan.lumentumllc.com/apps/getMap/index.php?p=6129291","Map")</f>
        <v>Map</v>
      </c>
      <c r="E73" t="s">
        <v>177</v>
      </c>
      <c r="F73" t="s">
        <v>178</v>
      </c>
      <c r="L73" t="s">
        <v>1435</v>
      </c>
      <c r="N73" t="s">
        <v>1435</v>
      </c>
      <c r="O73" t="s">
        <v>1435</v>
      </c>
      <c r="P73" t="s">
        <v>1436</v>
      </c>
      <c r="Q73" t="s">
        <v>1435</v>
      </c>
      <c r="V73">
        <v>83</v>
      </c>
      <c r="W73">
        <v>1</v>
      </c>
      <c r="X73">
        <v>2017</v>
      </c>
      <c r="Y73">
        <v>2018</v>
      </c>
      <c r="Z73">
        <v>317.12</v>
      </c>
      <c r="AB73" t="s">
        <v>181</v>
      </c>
      <c r="AC73" t="s">
        <v>182</v>
      </c>
      <c r="AD73" t="s">
        <v>1037</v>
      </c>
      <c r="AE73">
        <v>0</v>
      </c>
      <c r="AF73">
        <v>4</v>
      </c>
      <c r="AG73" t="s">
        <v>744</v>
      </c>
      <c r="AH73">
        <v>100</v>
      </c>
      <c r="AK73">
        <v>0</v>
      </c>
      <c r="AL73">
        <v>56245</v>
      </c>
      <c r="AM73">
        <v>24960</v>
      </c>
      <c r="AN73">
        <v>31285</v>
      </c>
      <c r="AO73">
        <v>254</v>
      </c>
      <c r="AP73">
        <v>2016</v>
      </c>
      <c r="AQ73">
        <v>0.56000000000000005</v>
      </c>
      <c r="AS73" t="s">
        <v>1437</v>
      </c>
      <c r="AT73" t="s">
        <v>420</v>
      </c>
      <c r="AU73" t="s">
        <v>177</v>
      </c>
      <c r="AV73" t="s">
        <v>421</v>
      </c>
      <c r="AW73" t="s">
        <v>202</v>
      </c>
      <c r="AX73">
        <v>2</v>
      </c>
      <c r="AY73" t="s">
        <v>188</v>
      </c>
      <c r="AZ73" t="s">
        <v>189</v>
      </c>
      <c r="BA73" t="s">
        <v>190</v>
      </c>
      <c r="BB73" t="s">
        <v>191</v>
      </c>
      <c r="BC73" t="s">
        <v>182</v>
      </c>
      <c r="BD73" t="s">
        <v>182</v>
      </c>
      <c r="BE73" t="s">
        <v>1438</v>
      </c>
      <c r="BF73">
        <v>1</v>
      </c>
      <c r="BG73">
        <v>1</v>
      </c>
      <c r="BH73">
        <v>1992</v>
      </c>
      <c r="BI73" t="s">
        <v>1291</v>
      </c>
      <c r="BJ73" t="s">
        <v>248</v>
      </c>
      <c r="BK73" t="s">
        <v>195</v>
      </c>
      <c r="BL73" t="s">
        <v>1439</v>
      </c>
      <c r="BM73" t="s">
        <v>945</v>
      </c>
      <c r="BN73" t="s">
        <v>182</v>
      </c>
      <c r="BO73" t="s">
        <v>198</v>
      </c>
      <c r="BP73" t="s">
        <v>198</v>
      </c>
      <c r="BQ73" t="s">
        <v>198</v>
      </c>
      <c r="BR73" t="s">
        <v>198</v>
      </c>
      <c r="BS73" t="s">
        <v>198</v>
      </c>
      <c r="BT73" t="s">
        <v>198</v>
      </c>
      <c r="BU73" t="s">
        <v>182</v>
      </c>
      <c r="BV73" t="s">
        <v>198</v>
      </c>
      <c r="BW73" t="s">
        <v>198</v>
      </c>
      <c r="BX73" t="s">
        <v>199</v>
      </c>
      <c r="BY73" t="s">
        <v>198</v>
      </c>
      <c r="BZ73" t="s">
        <v>199</v>
      </c>
      <c r="CA73" t="s">
        <v>199</v>
      </c>
      <c r="CB73" t="s">
        <v>1440</v>
      </c>
      <c r="CC73" t="s">
        <v>201</v>
      </c>
      <c r="CD73" t="s">
        <v>182</v>
      </c>
      <c r="CE73" t="s">
        <v>1441</v>
      </c>
      <c r="CF73" t="s">
        <v>425</v>
      </c>
      <c r="CG73" t="s">
        <v>177</v>
      </c>
      <c r="CH73" t="s">
        <v>421</v>
      </c>
      <c r="CI73" t="s">
        <v>1442</v>
      </c>
      <c r="CJ73" t="s">
        <v>1443</v>
      </c>
      <c r="CK73" t="s">
        <v>232</v>
      </c>
      <c r="CL73" t="s">
        <v>233</v>
      </c>
      <c r="CM73" t="s">
        <v>1444</v>
      </c>
      <c r="CN73" t="s">
        <v>235</v>
      </c>
      <c r="CO73" t="s">
        <v>183</v>
      </c>
      <c r="CP73" t="s">
        <v>211</v>
      </c>
      <c r="CQ73" t="s">
        <v>290</v>
      </c>
      <c r="CS73" t="s">
        <v>1445</v>
      </c>
      <c r="CT73" t="s">
        <v>1317</v>
      </c>
      <c r="CU73" t="s">
        <v>273</v>
      </c>
      <c r="CV73" t="s">
        <v>274</v>
      </c>
      <c r="CW73" t="s">
        <v>1446</v>
      </c>
      <c r="CX73" t="s">
        <v>235</v>
      </c>
      <c r="CY73" t="s">
        <v>183</v>
      </c>
      <c r="CZ73" t="s">
        <v>211</v>
      </c>
      <c r="DA73" t="s">
        <v>270</v>
      </c>
      <c r="DC73" t="s">
        <v>1447</v>
      </c>
      <c r="DD73" t="s">
        <v>219</v>
      </c>
      <c r="DE73" t="s">
        <v>302</v>
      </c>
      <c r="DF73" t="s">
        <v>303</v>
      </c>
      <c r="DG73" t="s">
        <v>1448</v>
      </c>
      <c r="DH73" t="s">
        <v>305</v>
      </c>
      <c r="DI73" t="s">
        <v>183</v>
      </c>
      <c r="DJ73" t="s">
        <v>211</v>
      </c>
      <c r="DK73" t="s">
        <v>199</v>
      </c>
      <c r="DM73" t="s">
        <v>1449</v>
      </c>
      <c r="DN73" t="s">
        <v>1450</v>
      </c>
      <c r="DO73" t="s">
        <v>238</v>
      </c>
      <c r="DP73" t="s">
        <v>239</v>
      </c>
      <c r="DQ73" t="s">
        <v>1451</v>
      </c>
      <c r="DR73" t="s">
        <v>482</v>
      </c>
      <c r="DS73" t="s">
        <v>5</v>
      </c>
      <c r="DT73" t="s">
        <v>211</v>
      </c>
      <c r="DU73" t="s">
        <v>206</v>
      </c>
      <c r="DW73" t="s">
        <v>1452</v>
      </c>
      <c r="EG73" t="s">
        <v>198</v>
      </c>
      <c r="EQ73" t="s">
        <v>198</v>
      </c>
      <c r="FA73" t="s">
        <v>198</v>
      </c>
      <c r="FK73" t="s">
        <v>198</v>
      </c>
      <c r="FU73" t="s">
        <v>198</v>
      </c>
    </row>
    <row r="74" spans="1:177">
      <c r="A74" s="1" t="str">
        <f>HYPERLINK("http://digipan.lumentumllc.com/apps/getLink/index.php?t=PropLink&amp;p=7112355","PL")</f>
        <v>PL</v>
      </c>
      <c r="B74" s="1" t="str">
        <f>HYPERLINK("http://digipan.lumentumllc.com/apps/getLink/index.php?t=TaxLink&amp;p=7112355","TL")</f>
        <v>TL</v>
      </c>
      <c r="C74" s="1" t="str">
        <f>HYPERLINK("http://digipan.lumentumllc.com/apps/getMap/index.php?p=7112355","Map")</f>
        <v>Map</v>
      </c>
      <c r="E74" t="s">
        <v>177</v>
      </c>
      <c r="F74" t="s">
        <v>178</v>
      </c>
      <c r="L74" t="s">
        <v>1453</v>
      </c>
      <c r="N74" t="s">
        <v>1453</v>
      </c>
      <c r="O74" t="s">
        <v>1453</v>
      </c>
      <c r="P74" t="s">
        <v>1454</v>
      </c>
      <c r="Q74" t="s">
        <v>1453</v>
      </c>
      <c r="V74">
        <v>84</v>
      </c>
      <c r="W74">
        <v>1</v>
      </c>
      <c r="X74">
        <v>2017</v>
      </c>
      <c r="Y74">
        <v>2018</v>
      </c>
      <c r="Z74">
        <v>3798.93</v>
      </c>
      <c r="AB74" t="s">
        <v>181</v>
      </c>
      <c r="AC74" t="s">
        <v>182</v>
      </c>
      <c r="AD74" t="s">
        <v>183</v>
      </c>
      <c r="AE74">
        <v>0</v>
      </c>
      <c r="AF74">
        <v>2</v>
      </c>
      <c r="AG74" t="s">
        <v>216</v>
      </c>
      <c r="AH74">
        <v>100</v>
      </c>
      <c r="AK74">
        <v>0</v>
      </c>
      <c r="AL74">
        <v>230075</v>
      </c>
      <c r="AM74">
        <v>77715</v>
      </c>
      <c r="AN74">
        <v>152360</v>
      </c>
      <c r="AO74">
        <v>3506</v>
      </c>
      <c r="AP74">
        <v>2016</v>
      </c>
      <c r="AQ74">
        <v>1.65</v>
      </c>
      <c r="AS74" t="s">
        <v>1455</v>
      </c>
      <c r="AT74" t="s">
        <v>186</v>
      </c>
      <c r="AU74" t="s">
        <v>177</v>
      </c>
      <c r="AV74" t="s">
        <v>187</v>
      </c>
      <c r="AW74" t="s">
        <v>182</v>
      </c>
      <c r="AX74">
        <v>1</v>
      </c>
      <c r="AY74" t="s">
        <v>188</v>
      </c>
      <c r="AZ74" t="s">
        <v>206</v>
      </c>
      <c r="BA74" t="s">
        <v>355</v>
      </c>
      <c r="BB74" t="s">
        <v>191</v>
      </c>
      <c r="BC74" t="s">
        <v>182</v>
      </c>
      <c r="BD74" t="s">
        <v>182</v>
      </c>
      <c r="BE74" t="s">
        <v>1456</v>
      </c>
      <c r="BF74">
        <v>1</v>
      </c>
      <c r="BG74">
        <v>1</v>
      </c>
      <c r="BH74">
        <v>1975</v>
      </c>
      <c r="BI74" t="s">
        <v>1457</v>
      </c>
      <c r="BJ74" t="s">
        <v>194</v>
      </c>
      <c r="BK74" t="s">
        <v>195</v>
      </c>
      <c r="BL74" t="s">
        <v>1458</v>
      </c>
      <c r="BM74" t="s">
        <v>207</v>
      </c>
      <c r="BN74" t="s">
        <v>182</v>
      </c>
      <c r="BO74" t="s">
        <v>1459</v>
      </c>
      <c r="BP74" t="s">
        <v>1460</v>
      </c>
      <c r="BR74" t="s">
        <v>1461</v>
      </c>
      <c r="BS74" t="s">
        <v>1462</v>
      </c>
      <c r="BT74" t="s">
        <v>198</v>
      </c>
      <c r="BU74" t="s">
        <v>182</v>
      </c>
      <c r="BV74" t="s">
        <v>198</v>
      </c>
      <c r="BW74" t="s">
        <v>198</v>
      </c>
      <c r="BX74" t="s">
        <v>199</v>
      </c>
      <c r="BY74" t="s">
        <v>198</v>
      </c>
      <c r="BZ74" t="s">
        <v>199</v>
      </c>
      <c r="CA74" t="s">
        <v>199</v>
      </c>
      <c r="CB74" t="s">
        <v>1463</v>
      </c>
      <c r="CC74" t="s">
        <v>201</v>
      </c>
      <c r="CD74" t="s">
        <v>182</v>
      </c>
      <c r="CE74" t="s">
        <v>1464</v>
      </c>
      <c r="CF74" t="s">
        <v>204</v>
      </c>
      <c r="CG74" t="s">
        <v>177</v>
      </c>
      <c r="CH74" t="s">
        <v>187</v>
      </c>
      <c r="CI74" t="s">
        <v>1465</v>
      </c>
      <c r="CJ74" t="s">
        <v>709</v>
      </c>
      <c r="CK74" t="s">
        <v>232</v>
      </c>
      <c r="CL74" t="s">
        <v>233</v>
      </c>
      <c r="CM74" t="s">
        <v>1466</v>
      </c>
      <c r="CN74" t="s">
        <v>235</v>
      </c>
      <c r="CO74" t="s">
        <v>183</v>
      </c>
      <c r="CP74" t="s">
        <v>211</v>
      </c>
      <c r="CQ74" t="s">
        <v>296</v>
      </c>
      <c r="CS74" t="s">
        <v>1467</v>
      </c>
      <c r="CT74" t="s">
        <v>219</v>
      </c>
      <c r="CU74" t="s">
        <v>292</v>
      </c>
      <c r="CV74" t="s">
        <v>293</v>
      </c>
      <c r="CW74" t="s">
        <v>1468</v>
      </c>
      <c r="CX74" t="s">
        <v>235</v>
      </c>
      <c r="CY74" t="s">
        <v>183</v>
      </c>
      <c r="CZ74" t="s">
        <v>211</v>
      </c>
      <c r="DA74" t="s">
        <v>444</v>
      </c>
      <c r="DC74" t="s">
        <v>1467</v>
      </c>
      <c r="DM74" t="s">
        <v>198</v>
      </c>
      <c r="DW74" t="s">
        <v>198</v>
      </c>
      <c r="EG74" t="s">
        <v>198</v>
      </c>
      <c r="EQ74" t="s">
        <v>198</v>
      </c>
      <c r="FA74" t="s">
        <v>198</v>
      </c>
      <c r="FK74" t="s">
        <v>198</v>
      </c>
      <c r="FU74" t="s">
        <v>198</v>
      </c>
    </row>
    <row r="75" spans="1:177">
      <c r="A75" s="1" t="str">
        <f>HYPERLINK("http://digipan.lumentumllc.com/apps/getLink/index.php?t=PropLink&amp;p=6128806","PL")</f>
        <v>PL</v>
      </c>
      <c r="B75" s="1" t="str">
        <f>HYPERLINK("http://digipan.lumentumllc.com/apps/getLink/index.php?t=TaxLink&amp;p=6128806","TL")</f>
        <v>TL</v>
      </c>
      <c r="C75" s="1" t="str">
        <f>HYPERLINK("http://digipan.lumentumllc.com/apps/getMap/index.php?p=6128806","Map")</f>
        <v>Map</v>
      </c>
      <c r="E75" t="s">
        <v>177</v>
      </c>
      <c r="F75" t="s">
        <v>178</v>
      </c>
      <c r="L75" t="s">
        <v>1469</v>
      </c>
      <c r="N75" t="s">
        <v>1469</v>
      </c>
      <c r="O75" t="s">
        <v>1469</v>
      </c>
      <c r="P75" t="s">
        <v>1470</v>
      </c>
      <c r="Q75" t="s">
        <v>1469</v>
      </c>
      <c r="V75">
        <v>86</v>
      </c>
      <c r="W75">
        <v>1</v>
      </c>
      <c r="X75">
        <v>2017</v>
      </c>
      <c r="Y75">
        <v>2018</v>
      </c>
      <c r="Z75">
        <v>540.21</v>
      </c>
      <c r="AB75" t="s">
        <v>181</v>
      </c>
      <c r="AC75" t="s">
        <v>182</v>
      </c>
      <c r="AD75" t="s">
        <v>183</v>
      </c>
      <c r="AE75">
        <v>1</v>
      </c>
      <c r="AF75">
        <v>5</v>
      </c>
      <c r="AG75" t="s">
        <v>322</v>
      </c>
      <c r="AH75">
        <v>83</v>
      </c>
      <c r="AI75">
        <v>542.32000000000005</v>
      </c>
      <c r="AJ75">
        <v>27.12</v>
      </c>
      <c r="AK75">
        <v>569.44000000000005</v>
      </c>
      <c r="AL75">
        <v>31040</v>
      </c>
      <c r="AM75">
        <v>31040</v>
      </c>
      <c r="AN75">
        <v>0</v>
      </c>
      <c r="AO75">
        <v>476</v>
      </c>
      <c r="AP75">
        <v>2016</v>
      </c>
      <c r="AQ75">
        <v>1.74</v>
      </c>
      <c r="AR75">
        <v>1.83</v>
      </c>
      <c r="AS75" t="s">
        <v>1471</v>
      </c>
      <c r="AT75" t="s">
        <v>186</v>
      </c>
      <c r="AU75" t="s">
        <v>177</v>
      </c>
      <c r="AV75" t="s">
        <v>187</v>
      </c>
      <c r="AW75" t="s">
        <v>182</v>
      </c>
      <c r="AX75">
        <v>0</v>
      </c>
      <c r="AY75" t="s">
        <v>312</v>
      </c>
      <c r="AZ75" t="s">
        <v>199</v>
      </c>
      <c r="BA75" t="s">
        <v>313</v>
      </c>
      <c r="BB75" t="s">
        <v>191</v>
      </c>
      <c r="BC75" t="s">
        <v>182</v>
      </c>
      <c r="BD75" t="s">
        <v>182</v>
      </c>
      <c r="BE75" t="s">
        <v>1472</v>
      </c>
      <c r="BF75">
        <v>0</v>
      </c>
      <c r="BG75">
        <v>0</v>
      </c>
      <c r="BH75">
        <v>0</v>
      </c>
      <c r="BI75" t="s">
        <v>199</v>
      </c>
      <c r="BJ75" t="s">
        <v>315</v>
      </c>
      <c r="BL75" t="s">
        <v>1473</v>
      </c>
      <c r="BM75" t="s">
        <v>1474</v>
      </c>
      <c r="BN75" t="s">
        <v>182</v>
      </c>
      <c r="BO75" t="s">
        <v>198</v>
      </c>
      <c r="BP75" t="s">
        <v>198</v>
      </c>
      <c r="BQ75" t="s">
        <v>198</v>
      </c>
      <c r="BR75" t="s">
        <v>198</v>
      </c>
      <c r="BS75" t="s">
        <v>198</v>
      </c>
      <c r="BT75" t="s">
        <v>198</v>
      </c>
      <c r="BU75" t="s">
        <v>182</v>
      </c>
      <c r="BV75" t="s">
        <v>198</v>
      </c>
      <c r="BW75" t="s">
        <v>198</v>
      </c>
      <c r="BX75" t="s">
        <v>199</v>
      </c>
      <c r="BY75" t="s">
        <v>198</v>
      </c>
      <c r="BZ75" t="s">
        <v>199</v>
      </c>
      <c r="CA75" t="s">
        <v>199</v>
      </c>
      <c r="CB75" t="s">
        <v>1475</v>
      </c>
      <c r="CC75" t="s">
        <v>201</v>
      </c>
      <c r="CD75" t="s">
        <v>182</v>
      </c>
      <c r="CE75" t="s">
        <v>1476</v>
      </c>
      <c r="CF75" t="s">
        <v>1477</v>
      </c>
      <c r="CG75" t="s">
        <v>177</v>
      </c>
      <c r="CH75" t="s">
        <v>1478</v>
      </c>
      <c r="CI75" t="s">
        <v>1479</v>
      </c>
      <c r="CJ75" t="s">
        <v>1480</v>
      </c>
      <c r="CK75" t="s">
        <v>232</v>
      </c>
      <c r="CL75" t="s">
        <v>233</v>
      </c>
      <c r="CM75" t="s">
        <v>1481</v>
      </c>
      <c r="CN75" t="s">
        <v>305</v>
      </c>
      <c r="CO75" t="s">
        <v>183</v>
      </c>
      <c r="CP75" t="s">
        <v>266</v>
      </c>
      <c r="CS75" t="s">
        <v>198</v>
      </c>
      <c r="CT75" t="s">
        <v>1253</v>
      </c>
      <c r="CU75" t="s">
        <v>292</v>
      </c>
      <c r="CV75" t="s">
        <v>293</v>
      </c>
      <c r="CW75" t="s">
        <v>1482</v>
      </c>
      <c r="CX75" t="s">
        <v>333</v>
      </c>
      <c r="CY75" t="s">
        <v>183</v>
      </c>
      <c r="CZ75" t="s">
        <v>211</v>
      </c>
      <c r="DA75" t="s">
        <v>199</v>
      </c>
      <c r="DC75" t="s">
        <v>1483</v>
      </c>
      <c r="DD75" t="s">
        <v>1275</v>
      </c>
      <c r="DE75" t="s">
        <v>267</v>
      </c>
      <c r="DF75" t="s">
        <v>268</v>
      </c>
      <c r="DG75" t="s">
        <v>1484</v>
      </c>
      <c r="DH75" t="s">
        <v>331</v>
      </c>
      <c r="DI75" t="s">
        <v>183</v>
      </c>
      <c r="DJ75" t="s">
        <v>211</v>
      </c>
      <c r="DK75" t="s">
        <v>427</v>
      </c>
      <c r="DM75" t="s">
        <v>1483</v>
      </c>
      <c r="DN75" t="s">
        <v>1336</v>
      </c>
      <c r="DO75" t="s">
        <v>273</v>
      </c>
      <c r="DP75" t="s">
        <v>274</v>
      </c>
      <c r="DQ75" t="s">
        <v>1485</v>
      </c>
      <c r="DR75" t="s">
        <v>235</v>
      </c>
      <c r="DS75" t="s">
        <v>183</v>
      </c>
      <c r="DT75" t="s">
        <v>211</v>
      </c>
      <c r="DU75" t="s">
        <v>270</v>
      </c>
      <c r="DW75" t="s">
        <v>1486</v>
      </c>
      <c r="DX75" t="s">
        <v>1253</v>
      </c>
      <c r="DY75" t="s">
        <v>302</v>
      </c>
      <c r="DZ75" t="s">
        <v>303</v>
      </c>
      <c r="EA75" t="s">
        <v>1487</v>
      </c>
      <c r="EB75" t="s">
        <v>305</v>
      </c>
      <c r="EC75" t="s">
        <v>183</v>
      </c>
      <c r="ED75" t="s">
        <v>211</v>
      </c>
      <c r="EE75" t="s">
        <v>206</v>
      </c>
      <c r="EG75" t="s">
        <v>1488</v>
      </c>
      <c r="EH75" t="s">
        <v>1489</v>
      </c>
      <c r="EI75" t="s">
        <v>238</v>
      </c>
      <c r="EJ75" t="s">
        <v>239</v>
      </c>
      <c r="EK75" t="s">
        <v>1490</v>
      </c>
      <c r="EL75" t="s">
        <v>1491</v>
      </c>
      <c r="EM75" t="s">
        <v>183</v>
      </c>
      <c r="EN75" t="s">
        <v>211</v>
      </c>
      <c r="EO75" t="s">
        <v>306</v>
      </c>
      <c r="EQ75" t="s">
        <v>1488</v>
      </c>
      <c r="FA75" t="s">
        <v>198</v>
      </c>
      <c r="FK75" t="s">
        <v>198</v>
      </c>
      <c r="FU75" t="s">
        <v>198</v>
      </c>
    </row>
    <row r="76" spans="1:177">
      <c r="A76" s="1" t="str">
        <f>HYPERLINK("http://digipan.lumentumllc.com/apps/getLink/index.php?t=PropLink&amp;p=5244937","PL")</f>
        <v>PL</v>
      </c>
      <c r="B76" s="1" t="str">
        <f>HYPERLINK("http://digipan.lumentumllc.com/apps/getLink/index.php?t=TaxLink&amp;p=5244937","TL")</f>
        <v>TL</v>
      </c>
      <c r="C76" s="1" t="str">
        <f>HYPERLINK("http://digipan.lumentumllc.com/apps/getMap/index.php?p=5244937","Map")</f>
        <v>Map</v>
      </c>
      <c r="E76" t="s">
        <v>177</v>
      </c>
      <c r="F76" t="s">
        <v>178</v>
      </c>
      <c r="L76" t="s">
        <v>1492</v>
      </c>
      <c r="N76" t="s">
        <v>1492</v>
      </c>
      <c r="O76" t="s">
        <v>1492</v>
      </c>
      <c r="P76" t="s">
        <v>1493</v>
      </c>
      <c r="Q76" t="s">
        <v>1492</v>
      </c>
      <c r="V76">
        <v>87</v>
      </c>
      <c r="W76">
        <v>1</v>
      </c>
      <c r="X76">
        <v>2017</v>
      </c>
      <c r="Y76">
        <v>2018</v>
      </c>
      <c r="Z76">
        <v>329.66</v>
      </c>
      <c r="AB76" t="s">
        <v>181</v>
      </c>
      <c r="AC76" t="s">
        <v>182</v>
      </c>
      <c r="AD76" t="s">
        <v>183</v>
      </c>
      <c r="AE76">
        <v>0</v>
      </c>
      <c r="AF76">
        <v>2</v>
      </c>
      <c r="AG76" t="s">
        <v>216</v>
      </c>
      <c r="AH76">
        <v>100</v>
      </c>
      <c r="AK76">
        <v>0</v>
      </c>
      <c r="AL76">
        <v>19500</v>
      </c>
      <c r="AM76">
        <v>19500</v>
      </c>
      <c r="AN76">
        <v>0</v>
      </c>
      <c r="AO76">
        <v>239</v>
      </c>
      <c r="AP76">
        <v>2016</v>
      </c>
      <c r="AQ76">
        <v>1.69</v>
      </c>
      <c r="AS76" t="s">
        <v>1494</v>
      </c>
      <c r="AT76" t="s">
        <v>186</v>
      </c>
      <c r="AU76" t="s">
        <v>177</v>
      </c>
      <c r="AV76" t="s">
        <v>187</v>
      </c>
      <c r="AW76" t="s">
        <v>182</v>
      </c>
      <c r="AX76">
        <v>0</v>
      </c>
      <c r="AY76" t="s">
        <v>312</v>
      </c>
      <c r="AZ76" t="s">
        <v>199</v>
      </c>
      <c r="BA76" t="s">
        <v>313</v>
      </c>
      <c r="BB76" t="s">
        <v>191</v>
      </c>
      <c r="BC76" t="s">
        <v>182</v>
      </c>
      <c r="BD76" t="s">
        <v>182</v>
      </c>
      <c r="BE76" t="s">
        <v>1495</v>
      </c>
      <c r="BF76">
        <v>0</v>
      </c>
      <c r="BG76">
        <v>0</v>
      </c>
      <c r="BH76">
        <v>0</v>
      </c>
      <c r="BI76" t="s">
        <v>199</v>
      </c>
      <c r="BJ76" t="s">
        <v>315</v>
      </c>
      <c r="BL76" t="s">
        <v>199</v>
      </c>
      <c r="BM76" t="s">
        <v>451</v>
      </c>
      <c r="BN76" t="s">
        <v>182</v>
      </c>
      <c r="BO76" t="s">
        <v>198</v>
      </c>
      <c r="BP76" t="s">
        <v>198</v>
      </c>
      <c r="BQ76" t="s">
        <v>198</v>
      </c>
      <c r="BR76" t="s">
        <v>198</v>
      </c>
      <c r="BS76" t="s">
        <v>198</v>
      </c>
      <c r="BT76" t="s">
        <v>198</v>
      </c>
      <c r="BU76" t="s">
        <v>182</v>
      </c>
      <c r="BV76" t="s">
        <v>198</v>
      </c>
      <c r="BW76" t="s">
        <v>198</v>
      </c>
      <c r="BX76" t="s">
        <v>199</v>
      </c>
      <c r="BY76" t="s">
        <v>198</v>
      </c>
      <c r="BZ76" t="s">
        <v>199</v>
      </c>
      <c r="CA76" t="s">
        <v>199</v>
      </c>
      <c r="CB76" t="s">
        <v>1496</v>
      </c>
      <c r="CC76" t="s">
        <v>201</v>
      </c>
      <c r="CD76" t="s">
        <v>202</v>
      </c>
      <c r="CE76" t="s">
        <v>1497</v>
      </c>
      <c r="CF76" t="s">
        <v>204</v>
      </c>
      <c r="CG76" t="s">
        <v>177</v>
      </c>
      <c r="CH76" t="s">
        <v>187</v>
      </c>
      <c r="CI76" t="s">
        <v>1498</v>
      </c>
      <c r="CJ76" t="s">
        <v>1499</v>
      </c>
      <c r="CK76" t="s">
        <v>232</v>
      </c>
      <c r="CL76" t="s">
        <v>233</v>
      </c>
      <c r="CM76" t="s">
        <v>1500</v>
      </c>
      <c r="CN76" t="s">
        <v>247</v>
      </c>
      <c r="CO76" t="s">
        <v>183</v>
      </c>
      <c r="CP76" t="s">
        <v>211</v>
      </c>
      <c r="CQ76" t="s">
        <v>189</v>
      </c>
      <c r="CS76" t="s">
        <v>1501</v>
      </c>
      <c r="CT76" t="s">
        <v>1502</v>
      </c>
      <c r="CU76" t="s">
        <v>346</v>
      </c>
      <c r="CV76" t="s">
        <v>347</v>
      </c>
      <c r="CW76" t="s">
        <v>1503</v>
      </c>
      <c r="CX76" t="s">
        <v>615</v>
      </c>
      <c r="CY76" t="s">
        <v>183</v>
      </c>
      <c r="CZ76" t="s">
        <v>211</v>
      </c>
      <c r="DA76" t="s">
        <v>199</v>
      </c>
      <c r="DC76" t="s">
        <v>1504</v>
      </c>
      <c r="DM76" t="s">
        <v>198</v>
      </c>
      <c r="DW76" t="s">
        <v>198</v>
      </c>
      <c r="EG76" t="s">
        <v>198</v>
      </c>
      <c r="EQ76" t="s">
        <v>198</v>
      </c>
      <c r="FA76" t="s">
        <v>198</v>
      </c>
      <c r="FK76" t="s">
        <v>198</v>
      </c>
      <c r="FU76" t="s">
        <v>198</v>
      </c>
    </row>
    <row r="77" spans="1:177">
      <c r="A77" s="1" t="str">
        <f>HYPERLINK("http://digipan.lumentumllc.com/apps/getLink/index.php?t=PropLink&amp;p=5244938","PL")</f>
        <v>PL</v>
      </c>
      <c r="B77" s="1" t="str">
        <f>HYPERLINK("http://digipan.lumentumllc.com/apps/getLink/index.php?t=TaxLink&amp;p=5244938","TL")</f>
        <v>TL</v>
      </c>
      <c r="C77" s="1" t="str">
        <f>HYPERLINK("http://digipan.lumentumllc.com/apps/getMap/index.php?p=5244938","Map")</f>
        <v>Map</v>
      </c>
      <c r="E77" t="s">
        <v>177</v>
      </c>
      <c r="F77" t="s">
        <v>178</v>
      </c>
      <c r="L77" t="s">
        <v>1505</v>
      </c>
      <c r="N77" t="s">
        <v>1505</v>
      </c>
      <c r="O77" t="s">
        <v>1505</v>
      </c>
      <c r="P77" t="s">
        <v>1506</v>
      </c>
      <c r="Q77" t="s">
        <v>1505</v>
      </c>
      <c r="V77">
        <v>88</v>
      </c>
      <c r="W77">
        <v>1</v>
      </c>
      <c r="X77">
        <v>2017</v>
      </c>
      <c r="Y77">
        <v>2018</v>
      </c>
      <c r="Z77">
        <v>430.61</v>
      </c>
      <c r="AB77" t="s">
        <v>181</v>
      </c>
      <c r="AC77" t="s">
        <v>182</v>
      </c>
      <c r="AD77" t="s">
        <v>183</v>
      </c>
      <c r="AE77">
        <v>0</v>
      </c>
      <c r="AF77">
        <v>1</v>
      </c>
      <c r="AG77" t="s">
        <v>821</v>
      </c>
      <c r="AH77">
        <v>100</v>
      </c>
      <c r="AK77">
        <v>0</v>
      </c>
      <c r="AL77">
        <v>135740</v>
      </c>
      <c r="AM77">
        <v>20511</v>
      </c>
      <c r="AN77">
        <v>115229</v>
      </c>
      <c r="AO77">
        <v>352</v>
      </c>
      <c r="AP77">
        <v>2016</v>
      </c>
      <c r="AQ77">
        <v>0.32</v>
      </c>
      <c r="AS77" t="s">
        <v>1507</v>
      </c>
      <c r="AT77" t="s">
        <v>186</v>
      </c>
      <c r="AU77" t="s">
        <v>177</v>
      </c>
      <c r="AV77" t="s">
        <v>187</v>
      </c>
      <c r="AW77" t="s">
        <v>202</v>
      </c>
      <c r="AX77">
        <v>59</v>
      </c>
      <c r="AY77" t="s">
        <v>218</v>
      </c>
      <c r="AZ77" t="s">
        <v>1275</v>
      </c>
      <c r="BA77" t="s">
        <v>1508</v>
      </c>
      <c r="BB77" t="s">
        <v>191</v>
      </c>
      <c r="BC77" t="s">
        <v>182</v>
      </c>
      <c r="BD77" t="s">
        <v>182</v>
      </c>
      <c r="BE77" t="s">
        <v>1509</v>
      </c>
      <c r="BF77">
        <v>1</v>
      </c>
      <c r="BG77">
        <v>1</v>
      </c>
      <c r="BH77">
        <v>1948</v>
      </c>
      <c r="BI77" t="s">
        <v>861</v>
      </c>
      <c r="BJ77" t="s">
        <v>285</v>
      </c>
      <c r="BK77" t="s">
        <v>195</v>
      </c>
      <c r="BL77" t="s">
        <v>199</v>
      </c>
      <c r="BM77" t="s">
        <v>451</v>
      </c>
      <c r="BN77" t="s">
        <v>182</v>
      </c>
      <c r="BO77" t="s">
        <v>1510</v>
      </c>
      <c r="BP77" t="s">
        <v>1511</v>
      </c>
      <c r="BR77" t="s">
        <v>1123</v>
      </c>
      <c r="BS77" t="s">
        <v>1512</v>
      </c>
      <c r="BT77" t="s">
        <v>198</v>
      </c>
      <c r="BU77" t="s">
        <v>182</v>
      </c>
      <c r="BV77" t="s">
        <v>198</v>
      </c>
      <c r="BW77" t="s">
        <v>198</v>
      </c>
      <c r="BX77" t="s">
        <v>199</v>
      </c>
      <c r="BY77" t="s">
        <v>198</v>
      </c>
      <c r="BZ77" t="s">
        <v>199</v>
      </c>
      <c r="CA77" t="s">
        <v>199</v>
      </c>
      <c r="CB77" t="s">
        <v>1496</v>
      </c>
      <c r="CC77" t="s">
        <v>201</v>
      </c>
      <c r="CD77" t="s">
        <v>202</v>
      </c>
      <c r="CE77" t="s">
        <v>1497</v>
      </c>
      <c r="CF77" t="s">
        <v>204</v>
      </c>
      <c r="CG77" t="s">
        <v>177</v>
      </c>
      <c r="CH77" t="s">
        <v>187</v>
      </c>
      <c r="CI77" t="s">
        <v>1513</v>
      </c>
      <c r="CJ77" t="s">
        <v>722</v>
      </c>
      <c r="CK77" t="s">
        <v>232</v>
      </c>
      <c r="CL77" t="s">
        <v>233</v>
      </c>
      <c r="CM77" t="s">
        <v>1514</v>
      </c>
      <c r="CN77" t="s">
        <v>235</v>
      </c>
      <c r="CO77" t="s">
        <v>183</v>
      </c>
      <c r="CP77" t="s">
        <v>211</v>
      </c>
      <c r="CQ77" t="s">
        <v>189</v>
      </c>
      <c r="CS77" t="s">
        <v>1501</v>
      </c>
      <c r="DC77" t="s">
        <v>198</v>
      </c>
      <c r="DM77" t="s">
        <v>198</v>
      </c>
      <c r="DW77" t="s">
        <v>198</v>
      </c>
      <c r="EG77" t="s">
        <v>198</v>
      </c>
      <c r="EQ77" t="s">
        <v>198</v>
      </c>
      <c r="FA77" t="s">
        <v>198</v>
      </c>
      <c r="FK77" t="s">
        <v>198</v>
      </c>
      <c r="FU77" t="s">
        <v>198</v>
      </c>
    </row>
    <row r="78" spans="1:177">
      <c r="A78" s="1" t="str">
        <f>HYPERLINK("http://digipan.lumentumllc.com/apps/getLink/index.php?t=PropLink&amp;p=15739568","PL")</f>
        <v>PL</v>
      </c>
      <c r="B78" s="1" t="str">
        <f>HYPERLINK("http://digipan.lumentumllc.com/apps/getLink/index.php?t=TaxLink&amp;p=15739568","TL")</f>
        <v>TL</v>
      </c>
      <c r="C78" s="1" t="str">
        <f>HYPERLINK("http://digipan.lumentumllc.com/apps/getMap/index.php?p=15739568","Map")</f>
        <v>Map</v>
      </c>
      <c r="E78" t="s">
        <v>177</v>
      </c>
      <c r="F78" t="s">
        <v>178</v>
      </c>
      <c r="L78" t="s">
        <v>1515</v>
      </c>
      <c r="N78" t="s">
        <v>1515</v>
      </c>
      <c r="O78" t="s">
        <v>1515</v>
      </c>
      <c r="Q78" t="s">
        <v>1515</v>
      </c>
      <c r="V78">
        <v>89</v>
      </c>
      <c r="W78">
        <v>1</v>
      </c>
      <c r="X78">
        <v>2017</v>
      </c>
      <c r="Y78">
        <v>2018</v>
      </c>
      <c r="Z78">
        <v>82.84</v>
      </c>
      <c r="AB78" t="s">
        <v>181</v>
      </c>
      <c r="AC78" t="s">
        <v>182</v>
      </c>
      <c r="AD78" t="s">
        <v>183</v>
      </c>
      <c r="AE78">
        <v>0</v>
      </c>
      <c r="AF78">
        <v>1</v>
      </c>
      <c r="AG78" t="s">
        <v>821</v>
      </c>
      <c r="AH78">
        <v>100</v>
      </c>
      <c r="AK78">
        <v>0</v>
      </c>
      <c r="AL78">
        <v>30025</v>
      </c>
      <c r="AM78">
        <v>530</v>
      </c>
      <c r="AN78">
        <v>29495</v>
      </c>
      <c r="AO78">
        <v>53</v>
      </c>
      <c r="AP78">
        <v>2016</v>
      </c>
      <c r="AQ78">
        <v>0.28000000000000003</v>
      </c>
      <c r="AS78" t="s">
        <v>1494</v>
      </c>
      <c r="AT78" t="s">
        <v>186</v>
      </c>
      <c r="AU78" t="s">
        <v>177</v>
      </c>
      <c r="AV78" t="s">
        <v>187</v>
      </c>
      <c r="AW78" t="s">
        <v>182</v>
      </c>
      <c r="AX78">
        <v>56</v>
      </c>
      <c r="AY78" t="s">
        <v>218</v>
      </c>
      <c r="AZ78" t="s">
        <v>219</v>
      </c>
      <c r="BA78" t="s">
        <v>220</v>
      </c>
      <c r="BB78" t="s">
        <v>191</v>
      </c>
      <c r="BC78" t="s">
        <v>182</v>
      </c>
      <c r="BD78" t="s">
        <v>182</v>
      </c>
      <c r="BE78" t="s">
        <v>1516</v>
      </c>
      <c r="BF78">
        <v>0</v>
      </c>
      <c r="BG78">
        <v>0</v>
      </c>
      <c r="BH78">
        <v>0</v>
      </c>
      <c r="BI78" t="s">
        <v>199</v>
      </c>
      <c r="BJ78" t="s">
        <v>315</v>
      </c>
      <c r="BL78" t="s">
        <v>1517</v>
      </c>
      <c r="BM78" t="s">
        <v>197</v>
      </c>
      <c r="BN78" t="s">
        <v>182</v>
      </c>
      <c r="BO78" t="s">
        <v>1518</v>
      </c>
      <c r="BP78" t="s">
        <v>1519</v>
      </c>
      <c r="BQ78" t="s">
        <v>1520</v>
      </c>
      <c r="BR78" t="s">
        <v>563</v>
      </c>
      <c r="BS78" t="s">
        <v>198</v>
      </c>
      <c r="BT78" t="s">
        <v>228</v>
      </c>
      <c r="BU78" t="s">
        <v>182</v>
      </c>
      <c r="BV78" t="s">
        <v>198</v>
      </c>
      <c r="BW78" t="s">
        <v>198</v>
      </c>
      <c r="BX78" t="s">
        <v>199</v>
      </c>
      <c r="BY78" t="s">
        <v>198</v>
      </c>
      <c r="BZ78" t="s">
        <v>199</v>
      </c>
      <c r="CA78" t="s">
        <v>199</v>
      </c>
      <c r="CB78" t="s">
        <v>1521</v>
      </c>
      <c r="CC78" t="s">
        <v>201</v>
      </c>
      <c r="CD78" t="s">
        <v>202</v>
      </c>
      <c r="CE78" t="s">
        <v>1497</v>
      </c>
      <c r="CF78" t="s">
        <v>204</v>
      </c>
      <c r="CG78" t="s">
        <v>177</v>
      </c>
      <c r="CH78" t="s">
        <v>187</v>
      </c>
      <c r="CI78" t="s">
        <v>1522</v>
      </c>
      <c r="CJ78" t="s">
        <v>1523</v>
      </c>
      <c r="CK78" t="s">
        <v>232</v>
      </c>
      <c r="CL78" t="s">
        <v>233</v>
      </c>
      <c r="CM78" t="s">
        <v>1524</v>
      </c>
      <c r="CN78" t="s">
        <v>341</v>
      </c>
      <c r="CO78" t="s">
        <v>183</v>
      </c>
      <c r="CP78" t="s">
        <v>211</v>
      </c>
      <c r="CQ78" t="s">
        <v>339</v>
      </c>
      <c r="CS78" t="s">
        <v>1525</v>
      </c>
      <c r="DC78" t="s">
        <v>198</v>
      </c>
      <c r="DM78" t="s">
        <v>198</v>
      </c>
      <c r="DW78" t="s">
        <v>198</v>
      </c>
      <c r="EG78" t="s">
        <v>198</v>
      </c>
      <c r="EQ78" t="s">
        <v>198</v>
      </c>
      <c r="FA78" t="s">
        <v>198</v>
      </c>
      <c r="FK78" t="s">
        <v>198</v>
      </c>
      <c r="FU78" t="s">
        <v>198</v>
      </c>
    </row>
    <row r="79" spans="1:177">
      <c r="A79" s="1" t="str">
        <f>HYPERLINK("http://digipan.lumentumllc.com/apps/getLink/index.php?t=PropLink&amp;p=15739570","PL")</f>
        <v>PL</v>
      </c>
      <c r="B79" s="1" t="str">
        <f>HYPERLINK("http://digipan.lumentumllc.com/apps/getLink/index.php?t=TaxLink&amp;p=15739570","TL")</f>
        <v>TL</v>
      </c>
      <c r="C79" s="1" t="str">
        <f>HYPERLINK("http://digipan.lumentumllc.com/apps/getMap/index.php?p=15739570","Map")</f>
        <v>Map</v>
      </c>
      <c r="E79" t="s">
        <v>177</v>
      </c>
      <c r="F79" t="s">
        <v>178</v>
      </c>
      <c r="L79" t="s">
        <v>1526</v>
      </c>
      <c r="N79" t="s">
        <v>1526</v>
      </c>
      <c r="O79" t="s">
        <v>1526</v>
      </c>
      <c r="Q79" t="s">
        <v>1526</v>
      </c>
      <c r="V79">
        <v>90</v>
      </c>
      <c r="W79">
        <v>1</v>
      </c>
      <c r="X79">
        <v>2017</v>
      </c>
      <c r="Y79">
        <v>2018</v>
      </c>
      <c r="Z79">
        <v>412.09</v>
      </c>
      <c r="AB79" t="s">
        <v>181</v>
      </c>
      <c r="AC79" t="s">
        <v>182</v>
      </c>
      <c r="AD79" t="s">
        <v>183</v>
      </c>
      <c r="AE79">
        <v>1</v>
      </c>
      <c r="AF79">
        <v>0</v>
      </c>
      <c r="AG79" t="s">
        <v>1200</v>
      </c>
      <c r="AH79">
        <v>0</v>
      </c>
      <c r="AI79">
        <v>580.34</v>
      </c>
      <c r="AJ79">
        <v>29.02</v>
      </c>
      <c r="AK79">
        <v>609.36</v>
      </c>
      <c r="AL79">
        <v>48215</v>
      </c>
      <c r="AM79">
        <v>27000</v>
      </c>
      <c r="AN79">
        <v>21215</v>
      </c>
      <c r="AO79">
        <v>512</v>
      </c>
      <c r="AP79">
        <v>2016</v>
      </c>
      <c r="AQ79">
        <v>0.85</v>
      </c>
      <c r="AR79">
        <v>1.26</v>
      </c>
      <c r="AS79" t="s">
        <v>1527</v>
      </c>
      <c r="AT79" t="s">
        <v>186</v>
      </c>
      <c r="AU79" t="s">
        <v>177</v>
      </c>
      <c r="AV79" t="s">
        <v>187</v>
      </c>
      <c r="AW79" t="s">
        <v>202</v>
      </c>
      <c r="AX79">
        <v>2</v>
      </c>
      <c r="AY79" t="s">
        <v>188</v>
      </c>
      <c r="AZ79" t="s">
        <v>189</v>
      </c>
      <c r="BA79" t="s">
        <v>190</v>
      </c>
      <c r="BB79" t="s">
        <v>191</v>
      </c>
      <c r="BC79" t="s">
        <v>182</v>
      </c>
      <c r="BD79" t="s">
        <v>1528</v>
      </c>
      <c r="BE79" t="s">
        <v>1529</v>
      </c>
      <c r="BF79">
        <v>1</v>
      </c>
      <c r="BG79">
        <v>1</v>
      </c>
      <c r="BH79">
        <v>1993</v>
      </c>
      <c r="BI79" t="s">
        <v>1530</v>
      </c>
      <c r="BJ79" t="s">
        <v>194</v>
      </c>
      <c r="BK79" t="s">
        <v>195</v>
      </c>
      <c r="BL79" t="s">
        <v>199</v>
      </c>
      <c r="BM79" t="s">
        <v>232</v>
      </c>
      <c r="BN79" t="s">
        <v>182</v>
      </c>
      <c r="BO79" t="s">
        <v>198</v>
      </c>
      <c r="BP79" t="s">
        <v>198</v>
      </c>
      <c r="BQ79" t="s">
        <v>198</v>
      </c>
      <c r="BR79" t="s">
        <v>198</v>
      </c>
      <c r="BS79" t="s">
        <v>198</v>
      </c>
      <c r="BT79" t="s">
        <v>198</v>
      </c>
      <c r="BU79" t="s">
        <v>182</v>
      </c>
      <c r="BV79" t="s">
        <v>198</v>
      </c>
      <c r="BW79" t="s">
        <v>198</v>
      </c>
      <c r="BX79" t="s">
        <v>199</v>
      </c>
      <c r="BY79" t="s">
        <v>198</v>
      </c>
      <c r="BZ79" t="s">
        <v>199</v>
      </c>
      <c r="CA79" t="s">
        <v>199</v>
      </c>
      <c r="CB79" t="s">
        <v>1531</v>
      </c>
      <c r="CC79" t="s">
        <v>201</v>
      </c>
      <c r="CD79" t="s">
        <v>202</v>
      </c>
      <c r="CE79" t="s">
        <v>1532</v>
      </c>
      <c r="CF79" t="s">
        <v>204</v>
      </c>
      <c r="CG79" t="s">
        <v>177</v>
      </c>
      <c r="CH79" t="s">
        <v>187</v>
      </c>
      <c r="CI79" t="s">
        <v>1522</v>
      </c>
      <c r="CJ79" t="s">
        <v>1533</v>
      </c>
      <c r="CK79" t="s">
        <v>232</v>
      </c>
      <c r="CL79" t="s">
        <v>233</v>
      </c>
      <c r="CM79" t="s">
        <v>1534</v>
      </c>
      <c r="CN79" t="s">
        <v>235</v>
      </c>
      <c r="CO79" t="s">
        <v>183</v>
      </c>
      <c r="CP79" t="s">
        <v>266</v>
      </c>
      <c r="CS79" t="s">
        <v>198</v>
      </c>
      <c r="DC79" t="s">
        <v>198</v>
      </c>
      <c r="DM79" t="s">
        <v>198</v>
      </c>
      <c r="DW79" t="s">
        <v>198</v>
      </c>
      <c r="EG79" t="s">
        <v>198</v>
      </c>
      <c r="EQ79" t="s">
        <v>198</v>
      </c>
      <c r="FA79" t="s">
        <v>198</v>
      </c>
      <c r="FK79" t="s">
        <v>198</v>
      </c>
      <c r="FU79" t="s">
        <v>198</v>
      </c>
    </row>
    <row r="80" spans="1:177">
      <c r="A80" s="1" t="str">
        <f>HYPERLINK("http://digipan.lumentumllc.com/apps/getLink/index.php?t=PropLink&amp;p=15739571","PL")</f>
        <v>PL</v>
      </c>
      <c r="B80" s="1" t="str">
        <f>HYPERLINK("http://digipan.lumentumllc.com/apps/getLink/index.php?t=TaxLink&amp;p=15739571","TL")</f>
        <v>TL</v>
      </c>
      <c r="C80" s="1" t="str">
        <f>HYPERLINK("http://digipan.lumentumllc.com/apps/getMap/index.php?p=15739571","Map")</f>
        <v>Map</v>
      </c>
      <c r="E80" t="s">
        <v>177</v>
      </c>
      <c r="F80" t="s">
        <v>178</v>
      </c>
      <c r="L80" t="s">
        <v>1535</v>
      </c>
      <c r="N80" t="s">
        <v>1535</v>
      </c>
      <c r="O80" t="s">
        <v>1535</v>
      </c>
      <c r="Q80" t="s">
        <v>1535</v>
      </c>
      <c r="V80">
        <v>91</v>
      </c>
      <c r="W80">
        <v>1</v>
      </c>
      <c r="X80">
        <v>2017</v>
      </c>
      <c r="Y80">
        <v>2018</v>
      </c>
      <c r="Z80">
        <v>50.8</v>
      </c>
      <c r="AB80" t="s">
        <v>181</v>
      </c>
      <c r="AC80" t="s">
        <v>182</v>
      </c>
      <c r="AD80" t="s">
        <v>183</v>
      </c>
      <c r="AE80">
        <v>0</v>
      </c>
      <c r="AF80">
        <v>1</v>
      </c>
      <c r="AG80" t="s">
        <v>821</v>
      </c>
      <c r="AH80">
        <v>100</v>
      </c>
      <c r="AK80">
        <v>0</v>
      </c>
      <c r="AL80">
        <v>47520</v>
      </c>
      <c r="AM80">
        <v>1148</v>
      </c>
      <c r="AN80">
        <v>46372</v>
      </c>
      <c r="AO80">
        <v>9</v>
      </c>
      <c r="AP80">
        <v>2016</v>
      </c>
      <c r="AQ80">
        <v>0.11</v>
      </c>
      <c r="AS80" t="s">
        <v>1494</v>
      </c>
      <c r="AT80" t="s">
        <v>186</v>
      </c>
      <c r="AU80" t="s">
        <v>177</v>
      </c>
      <c r="AV80" t="s">
        <v>187</v>
      </c>
      <c r="AW80" t="s">
        <v>182</v>
      </c>
      <c r="AX80">
        <v>56</v>
      </c>
      <c r="AY80" t="s">
        <v>218</v>
      </c>
      <c r="AZ80" t="s">
        <v>219</v>
      </c>
      <c r="BA80" t="s">
        <v>220</v>
      </c>
      <c r="BB80" t="s">
        <v>191</v>
      </c>
      <c r="BC80" t="s">
        <v>182</v>
      </c>
      <c r="BD80" t="s">
        <v>182</v>
      </c>
      <c r="BE80" t="s">
        <v>1536</v>
      </c>
      <c r="BF80">
        <v>0</v>
      </c>
      <c r="BG80">
        <v>0</v>
      </c>
      <c r="BH80">
        <v>0</v>
      </c>
      <c r="BI80" t="s">
        <v>199</v>
      </c>
      <c r="BJ80" t="s">
        <v>315</v>
      </c>
      <c r="BL80" t="s">
        <v>1517</v>
      </c>
      <c r="BM80" t="s">
        <v>197</v>
      </c>
      <c r="BN80" t="s">
        <v>182</v>
      </c>
      <c r="BO80" t="s">
        <v>198</v>
      </c>
      <c r="BP80" t="s">
        <v>198</v>
      </c>
      <c r="BQ80" t="s">
        <v>198</v>
      </c>
      <c r="BR80" t="s">
        <v>198</v>
      </c>
      <c r="BS80" t="s">
        <v>198</v>
      </c>
      <c r="BT80" t="s">
        <v>198</v>
      </c>
      <c r="BU80" t="s">
        <v>182</v>
      </c>
      <c r="BV80" t="s">
        <v>198</v>
      </c>
      <c r="BW80" t="s">
        <v>198</v>
      </c>
      <c r="BX80" t="s">
        <v>199</v>
      </c>
      <c r="BY80" t="s">
        <v>198</v>
      </c>
      <c r="BZ80" t="s">
        <v>199</v>
      </c>
      <c r="CA80" t="s">
        <v>199</v>
      </c>
      <c r="CB80" t="s">
        <v>1521</v>
      </c>
      <c r="CC80" t="s">
        <v>201</v>
      </c>
      <c r="CD80" t="s">
        <v>202</v>
      </c>
      <c r="CE80" t="s">
        <v>1497</v>
      </c>
      <c r="CF80" t="s">
        <v>204</v>
      </c>
      <c r="CG80" t="s">
        <v>177</v>
      </c>
      <c r="CH80" t="s">
        <v>187</v>
      </c>
      <c r="CI80" t="s">
        <v>1522</v>
      </c>
      <c r="CJ80" t="s">
        <v>1537</v>
      </c>
      <c r="CK80" t="s">
        <v>232</v>
      </c>
      <c r="CL80" t="s">
        <v>233</v>
      </c>
      <c r="CM80" t="s">
        <v>1538</v>
      </c>
      <c r="CN80" t="s">
        <v>473</v>
      </c>
      <c r="CO80" t="s">
        <v>183</v>
      </c>
      <c r="CP80" t="s">
        <v>211</v>
      </c>
      <c r="CQ80" t="s">
        <v>339</v>
      </c>
      <c r="CS80" t="s">
        <v>1525</v>
      </c>
      <c r="DC80" t="s">
        <v>198</v>
      </c>
      <c r="DM80" t="s">
        <v>198</v>
      </c>
      <c r="DW80" t="s">
        <v>198</v>
      </c>
      <c r="EG80" t="s">
        <v>198</v>
      </c>
      <c r="EQ80" t="s">
        <v>198</v>
      </c>
      <c r="FA80" t="s">
        <v>198</v>
      </c>
      <c r="FK80" t="s">
        <v>198</v>
      </c>
      <c r="FU80" t="s">
        <v>198</v>
      </c>
    </row>
    <row r="81" spans="1:177">
      <c r="A81" s="1" t="str">
        <f>HYPERLINK("http://digipan.lumentumllc.com/apps/getLink/index.php?t=PropLink&amp;p=5244941","PL")</f>
        <v>PL</v>
      </c>
      <c r="B81" s="1" t="str">
        <f>HYPERLINK("http://digipan.lumentumllc.com/apps/getLink/index.php?t=TaxLink&amp;p=5244941","TL")</f>
        <v>TL</v>
      </c>
      <c r="C81" s="1" t="str">
        <f>HYPERLINK("http://digipan.lumentumllc.com/apps/getMap/index.php?p=5244941","Map")</f>
        <v>Map</v>
      </c>
      <c r="E81" t="s">
        <v>177</v>
      </c>
      <c r="F81" t="s">
        <v>178</v>
      </c>
      <c r="L81" t="s">
        <v>1539</v>
      </c>
      <c r="N81" t="s">
        <v>1539</v>
      </c>
      <c r="O81" t="s">
        <v>1539</v>
      </c>
      <c r="P81" t="s">
        <v>1540</v>
      </c>
      <c r="Q81" t="s">
        <v>1539</v>
      </c>
      <c r="V81">
        <v>92</v>
      </c>
      <c r="W81">
        <v>1</v>
      </c>
      <c r="X81">
        <v>2017</v>
      </c>
      <c r="Y81">
        <v>2018</v>
      </c>
      <c r="Z81">
        <v>555.91999999999996</v>
      </c>
      <c r="AB81" t="s">
        <v>181</v>
      </c>
      <c r="AC81" t="s">
        <v>182</v>
      </c>
      <c r="AD81" t="s">
        <v>183</v>
      </c>
      <c r="AE81">
        <v>0</v>
      </c>
      <c r="AF81">
        <v>4</v>
      </c>
      <c r="AG81" t="s">
        <v>744</v>
      </c>
      <c r="AH81">
        <v>100</v>
      </c>
      <c r="AK81">
        <v>0</v>
      </c>
      <c r="AL81">
        <v>32000</v>
      </c>
      <c r="AM81">
        <v>32000</v>
      </c>
      <c r="AN81">
        <v>0</v>
      </c>
      <c r="AO81">
        <v>491</v>
      </c>
      <c r="AP81">
        <v>2016</v>
      </c>
      <c r="AQ81">
        <v>1.74</v>
      </c>
      <c r="AS81" t="s">
        <v>1494</v>
      </c>
      <c r="AT81" t="s">
        <v>186</v>
      </c>
      <c r="AU81" t="s">
        <v>177</v>
      </c>
      <c r="AV81" t="s">
        <v>187</v>
      </c>
      <c r="AW81" t="s">
        <v>182</v>
      </c>
      <c r="AX81">
        <v>0</v>
      </c>
      <c r="AY81" t="s">
        <v>312</v>
      </c>
      <c r="AZ81" t="s">
        <v>199</v>
      </c>
      <c r="BA81" t="s">
        <v>313</v>
      </c>
      <c r="BB81" t="s">
        <v>191</v>
      </c>
      <c r="BC81" t="s">
        <v>182</v>
      </c>
      <c r="BD81" t="s">
        <v>182</v>
      </c>
      <c r="BE81" t="s">
        <v>927</v>
      </c>
      <c r="BF81">
        <v>0</v>
      </c>
      <c r="BG81">
        <v>0</v>
      </c>
      <c r="BH81">
        <v>0</v>
      </c>
      <c r="BI81" t="s">
        <v>199</v>
      </c>
      <c r="BJ81" t="s">
        <v>315</v>
      </c>
      <c r="BL81" t="s">
        <v>199</v>
      </c>
      <c r="BM81" t="s">
        <v>501</v>
      </c>
      <c r="BN81" t="s">
        <v>182</v>
      </c>
      <c r="BO81" t="s">
        <v>198</v>
      </c>
      <c r="BP81" t="s">
        <v>198</v>
      </c>
      <c r="BQ81" t="s">
        <v>198</v>
      </c>
      <c r="BR81" t="s">
        <v>198</v>
      </c>
      <c r="BS81" t="s">
        <v>198</v>
      </c>
      <c r="BT81" t="s">
        <v>198</v>
      </c>
      <c r="BU81" t="s">
        <v>182</v>
      </c>
      <c r="BV81" t="s">
        <v>198</v>
      </c>
      <c r="BW81" t="s">
        <v>198</v>
      </c>
      <c r="BX81" t="s">
        <v>199</v>
      </c>
      <c r="BY81" t="s">
        <v>198</v>
      </c>
      <c r="BZ81" t="s">
        <v>199</v>
      </c>
      <c r="CA81" t="s">
        <v>199</v>
      </c>
      <c r="CB81" t="s">
        <v>1521</v>
      </c>
      <c r="CC81" t="s">
        <v>201</v>
      </c>
      <c r="CD81" t="s">
        <v>182</v>
      </c>
      <c r="CE81" t="s">
        <v>1541</v>
      </c>
      <c r="CF81" t="s">
        <v>204</v>
      </c>
      <c r="CG81" t="s">
        <v>177</v>
      </c>
      <c r="CH81" t="s">
        <v>187</v>
      </c>
      <c r="CI81" t="s">
        <v>1542</v>
      </c>
      <c r="CJ81" t="s">
        <v>1543</v>
      </c>
      <c r="CK81" t="s">
        <v>232</v>
      </c>
      <c r="CL81" t="s">
        <v>233</v>
      </c>
      <c r="CM81" t="s">
        <v>1544</v>
      </c>
      <c r="CN81" t="s">
        <v>331</v>
      </c>
      <c r="CO81" t="s">
        <v>183</v>
      </c>
      <c r="CP81" t="s">
        <v>211</v>
      </c>
      <c r="CQ81" t="s">
        <v>189</v>
      </c>
      <c r="CS81" t="s">
        <v>1501</v>
      </c>
      <c r="CT81" t="s">
        <v>245</v>
      </c>
      <c r="CU81" t="s">
        <v>292</v>
      </c>
      <c r="CV81" t="s">
        <v>293</v>
      </c>
      <c r="CW81" t="s">
        <v>1545</v>
      </c>
      <c r="CX81" t="s">
        <v>235</v>
      </c>
      <c r="CY81" t="s">
        <v>183</v>
      </c>
      <c r="CZ81" t="s">
        <v>211</v>
      </c>
      <c r="DA81" t="s">
        <v>250</v>
      </c>
      <c r="DC81" t="s">
        <v>1546</v>
      </c>
      <c r="DD81" t="s">
        <v>1547</v>
      </c>
      <c r="DE81" t="s">
        <v>273</v>
      </c>
      <c r="DF81" t="s">
        <v>274</v>
      </c>
      <c r="DG81" t="s">
        <v>1548</v>
      </c>
      <c r="DH81" t="s">
        <v>235</v>
      </c>
      <c r="DI81" t="s">
        <v>183</v>
      </c>
      <c r="DJ81" t="s">
        <v>211</v>
      </c>
      <c r="DK81" t="s">
        <v>206</v>
      </c>
      <c r="DM81" t="s">
        <v>1237</v>
      </c>
      <c r="DN81" t="s">
        <v>1549</v>
      </c>
      <c r="DO81" t="s">
        <v>346</v>
      </c>
      <c r="DP81" t="s">
        <v>347</v>
      </c>
      <c r="DQ81" t="s">
        <v>1550</v>
      </c>
      <c r="DR81" t="s">
        <v>1551</v>
      </c>
      <c r="DS81" t="s">
        <v>183</v>
      </c>
      <c r="DT81" t="s">
        <v>211</v>
      </c>
      <c r="DU81" t="s">
        <v>199</v>
      </c>
      <c r="DW81" t="s">
        <v>1504</v>
      </c>
      <c r="EG81" t="s">
        <v>198</v>
      </c>
      <c r="EQ81" t="s">
        <v>198</v>
      </c>
      <c r="FA81" t="s">
        <v>198</v>
      </c>
      <c r="FK81" t="s">
        <v>198</v>
      </c>
      <c r="FU81" t="s">
        <v>198</v>
      </c>
    </row>
    <row r="82" spans="1:177">
      <c r="A82" s="1" t="str">
        <f>HYPERLINK("http://digipan.lumentumllc.com/apps/getLink/index.php?t=PropLink&amp;p=5245330","PL")</f>
        <v>PL</v>
      </c>
      <c r="B82" s="1" t="str">
        <f>HYPERLINK("http://digipan.lumentumllc.com/apps/getLink/index.php?t=TaxLink&amp;p=5245330","TL")</f>
        <v>TL</v>
      </c>
      <c r="C82" s="1" t="str">
        <f>HYPERLINK("http://digipan.lumentumllc.com/apps/getMap/index.php?p=5245330","Map")</f>
        <v>Map</v>
      </c>
      <c r="E82" t="s">
        <v>177</v>
      </c>
      <c r="F82" t="s">
        <v>178</v>
      </c>
      <c r="L82" t="s">
        <v>1552</v>
      </c>
      <c r="N82" t="s">
        <v>1552</v>
      </c>
      <c r="O82" t="s">
        <v>1552</v>
      </c>
      <c r="P82" t="s">
        <v>1553</v>
      </c>
      <c r="Q82" t="s">
        <v>1552</v>
      </c>
      <c r="V82">
        <v>94</v>
      </c>
      <c r="W82">
        <v>1</v>
      </c>
      <c r="X82">
        <v>2017</v>
      </c>
      <c r="Y82">
        <v>2018</v>
      </c>
      <c r="Z82">
        <v>1564.6</v>
      </c>
      <c r="AB82" t="s">
        <v>181</v>
      </c>
      <c r="AC82" t="s">
        <v>182</v>
      </c>
      <c r="AD82" t="s">
        <v>183</v>
      </c>
      <c r="AE82">
        <v>0</v>
      </c>
      <c r="AF82">
        <v>3</v>
      </c>
      <c r="AG82" t="s">
        <v>381</v>
      </c>
      <c r="AH82">
        <v>100</v>
      </c>
      <c r="AK82">
        <v>0</v>
      </c>
      <c r="AL82">
        <v>211353</v>
      </c>
      <c r="AM82">
        <v>19050</v>
      </c>
      <c r="AN82">
        <v>192303</v>
      </c>
      <c r="AO82">
        <v>1385</v>
      </c>
      <c r="AP82">
        <v>2016</v>
      </c>
      <c r="AQ82">
        <v>0.74</v>
      </c>
      <c r="AS82" t="s">
        <v>1554</v>
      </c>
      <c r="AT82" t="s">
        <v>186</v>
      </c>
      <c r="AU82" t="s">
        <v>177</v>
      </c>
      <c r="AV82" t="s">
        <v>187</v>
      </c>
      <c r="AW82" t="s">
        <v>202</v>
      </c>
      <c r="AX82">
        <v>50</v>
      </c>
      <c r="AY82" t="s">
        <v>218</v>
      </c>
      <c r="AZ82" t="s">
        <v>589</v>
      </c>
      <c r="BA82" t="s">
        <v>590</v>
      </c>
      <c r="BB82" t="s">
        <v>191</v>
      </c>
      <c r="BC82" t="s">
        <v>182</v>
      </c>
      <c r="BD82" t="s">
        <v>182</v>
      </c>
      <c r="BE82" t="s">
        <v>484</v>
      </c>
      <c r="BF82">
        <v>1</v>
      </c>
      <c r="BG82">
        <v>1</v>
      </c>
      <c r="BH82">
        <v>1971</v>
      </c>
      <c r="BI82" t="s">
        <v>1555</v>
      </c>
      <c r="BJ82" t="s">
        <v>194</v>
      </c>
      <c r="BK82" t="s">
        <v>195</v>
      </c>
      <c r="BL82" t="s">
        <v>199</v>
      </c>
      <c r="BM82" t="s">
        <v>286</v>
      </c>
      <c r="BN82" t="s">
        <v>182</v>
      </c>
      <c r="BO82" t="s">
        <v>1556</v>
      </c>
      <c r="BP82" t="s">
        <v>1557</v>
      </c>
      <c r="BR82" t="s">
        <v>1123</v>
      </c>
      <c r="BS82" t="s">
        <v>1558</v>
      </c>
      <c r="BT82" t="s">
        <v>198</v>
      </c>
      <c r="BU82" t="s">
        <v>182</v>
      </c>
      <c r="BV82" t="s">
        <v>198</v>
      </c>
      <c r="BW82" t="s">
        <v>198</v>
      </c>
      <c r="BX82" t="s">
        <v>199</v>
      </c>
      <c r="BY82" t="s">
        <v>198</v>
      </c>
      <c r="BZ82" t="s">
        <v>199</v>
      </c>
      <c r="CA82" t="s">
        <v>199</v>
      </c>
      <c r="CB82" t="s">
        <v>1559</v>
      </c>
      <c r="CC82" t="s">
        <v>201</v>
      </c>
      <c r="CD82" t="s">
        <v>182</v>
      </c>
      <c r="CE82" t="s">
        <v>1560</v>
      </c>
      <c r="CF82" t="s">
        <v>204</v>
      </c>
      <c r="CG82" t="s">
        <v>177</v>
      </c>
      <c r="CH82" t="s">
        <v>187</v>
      </c>
      <c r="CI82" t="s">
        <v>1561</v>
      </c>
      <c r="CJ82" t="s">
        <v>1263</v>
      </c>
      <c r="CK82" t="s">
        <v>273</v>
      </c>
      <c r="CL82" t="s">
        <v>274</v>
      </c>
      <c r="CM82" t="s">
        <v>1562</v>
      </c>
      <c r="CN82" t="s">
        <v>235</v>
      </c>
      <c r="CO82" t="s">
        <v>183</v>
      </c>
      <c r="CP82" t="s">
        <v>211</v>
      </c>
      <c r="CQ82" t="s">
        <v>199</v>
      </c>
      <c r="CS82" t="s">
        <v>1563</v>
      </c>
      <c r="CT82" t="s">
        <v>1564</v>
      </c>
      <c r="CU82" t="s">
        <v>238</v>
      </c>
      <c r="CV82" t="s">
        <v>239</v>
      </c>
      <c r="CW82" t="s">
        <v>1565</v>
      </c>
      <c r="CX82" t="s">
        <v>235</v>
      </c>
      <c r="CY82" t="s">
        <v>183</v>
      </c>
      <c r="CZ82" t="s">
        <v>211</v>
      </c>
      <c r="DA82" t="s">
        <v>339</v>
      </c>
      <c r="DC82" t="s">
        <v>1566</v>
      </c>
      <c r="DD82" t="s">
        <v>1567</v>
      </c>
      <c r="DE82" t="s">
        <v>346</v>
      </c>
      <c r="DF82" t="s">
        <v>347</v>
      </c>
      <c r="DG82" t="s">
        <v>1568</v>
      </c>
      <c r="DH82" t="s">
        <v>235</v>
      </c>
      <c r="DI82" t="s">
        <v>183</v>
      </c>
      <c r="DJ82" t="s">
        <v>211</v>
      </c>
      <c r="DK82" t="s">
        <v>329</v>
      </c>
      <c r="DM82" t="s">
        <v>446</v>
      </c>
      <c r="DW82" t="s">
        <v>198</v>
      </c>
      <c r="EG82" t="s">
        <v>198</v>
      </c>
      <c r="EQ82" t="s">
        <v>198</v>
      </c>
      <c r="FA82" t="s">
        <v>198</v>
      </c>
      <c r="FK82" t="s">
        <v>198</v>
      </c>
      <c r="FU82" t="s">
        <v>198</v>
      </c>
    </row>
    <row r="83" spans="1:177">
      <c r="A83" s="1" t="str">
        <f>HYPERLINK("http://digipan.lumentumllc.com/apps/getLink/index.php?t=PropLink&amp;p=5245331","PL")</f>
        <v>PL</v>
      </c>
      <c r="B83" s="1" t="str">
        <f>HYPERLINK("http://digipan.lumentumllc.com/apps/getLink/index.php?t=TaxLink&amp;p=5245331","TL")</f>
        <v>TL</v>
      </c>
      <c r="C83" s="1" t="str">
        <f>HYPERLINK("http://digipan.lumentumllc.com/apps/getMap/index.php?p=5245331","Map")</f>
        <v>Map</v>
      </c>
      <c r="E83" t="s">
        <v>177</v>
      </c>
      <c r="F83" t="s">
        <v>178</v>
      </c>
      <c r="L83" t="s">
        <v>1569</v>
      </c>
      <c r="N83" t="s">
        <v>1569</v>
      </c>
      <c r="O83" t="s">
        <v>1569</v>
      </c>
      <c r="P83" t="s">
        <v>1570</v>
      </c>
      <c r="Q83" t="s">
        <v>1569</v>
      </c>
      <c r="V83">
        <v>95</v>
      </c>
      <c r="W83">
        <v>1</v>
      </c>
      <c r="X83">
        <v>2017</v>
      </c>
      <c r="Y83">
        <v>2018</v>
      </c>
      <c r="Z83">
        <v>1093.32</v>
      </c>
      <c r="AB83" t="s">
        <v>181</v>
      </c>
      <c r="AC83" t="s">
        <v>182</v>
      </c>
      <c r="AD83" t="s">
        <v>183</v>
      </c>
      <c r="AE83">
        <v>0</v>
      </c>
      <c r="AF83">
        <v>5</v>
      </c>
      <c r="AG83" t="s">
        <v>744</v>
      </c>
      <c r="AH83">
        <v>100</v>
      </c>
      <c r="AK83">
        <v>0</v>
      </c>
      <c r="AL83">
        <v>335736</v>
      </c>
      <c r="AM83">
        <v>55668</v>
      </c>
      <c r="AN83">
        <v>280068</v>
      </c>
      <c r="AO83">
        <v>892</v>
      </c>
      <c r="AP83">
        <v>2016</v>
      </c>
      <c r="AQ83">
        <v>0.33</v>
      </c>
      <c r="AS83" t="s">
        <v>1571</v>
      </c>
      <c r="AT83" t="s">
        <v>186</v>
      </c>
      <c r="AU83" t="s">
        <v>177</v>
      </c>
      <c r="AV83" t="s">
        <v>187</v>
      </c>
      <c r="AW83" t="s">
        <v>182</v>
      </c>
      <c r="AX83">
        <v>59</v>
      </c>
      <c r="AY83" t="s">
        <v>218</v>
      </c>
      <c r="AZ83" t="s">
        <v>1275</v>
      </c>
      <c r="BA83" t="s">
        <v>1508</v>
      </c>
      <c r="BB83" t="s">
        <v>191</v>
      </c>
      <c r="BC83" t="s">
        <v>182</v>
      </c>
      <c r="BD83" t="s">
        <v>182</v>
      </c>
      <c r="BE83" t="s">
        <v>1572</v>
      </c>
      <c r="BF83">
        <v>0</v>
      </c>
      <c r="BG83">
        <v>0</v>
      </c>
      <c r="BH83">
        <v>0</v>
      </c>
      <c r="BI83" t="s">
        <v>199</v>
      </c>
      <c r="BJ83" t="s">
        <v>248</v>
      </c>
      <c r="BL83" t="s">
        <v>199</v>
      </c>
      <c r="BM83" t="s">
        <v>273</v>
      </c>
      <c r="BN83" t="s">
        <v>182</v>
      </c>
      <c r="BO83" t="s">
        <v>1573</v>
      </c>
      <c r="BP83" t="s">
        <v>1574</v>
      </c>
      <c r="BR83" t="s">
        <v>1575</v>
      </c>
      <c r="BS83" t="s">
        <v>1576</v>
      </c>
      <c r="BT83" t="s">
        <v>198</v>
      </c>
      <c r="BU83" t="s">
        <v>182</v>
      </c>
      <c r="BV83" t="s">
        <v>198</v>
      </c>
      <c r="BW83" t="s">
        <v>198</v>
      </c>
      <c r="BX83" t="s">
        <v>199</v>
      </c>
      <c r="BY83" t="s">
        <v>198</v>
      </c>
      <c r="BZ83" t="s">
        <v>199</v>
      </c>
      <c r="CA83" t="s">
        <v>199</v>
      </c>
      <c r="CB83" t="s">
        <v>1577</v>
      </c>
      <c r="CC83" t="s">
        <v>201</v>
      </c>
      <c r="CD83" t="s">
        <v>182</v>
      </c>
      <c r="CE83" t="s">
        <v>1578</v>
      </c>
      <c r="CF83" t="s">
        <v>413</v>
      </c>
      <c r="CG83" t="s">
        <v>177</v>
      </c>
      <c r="CH83" t="s">
        <v>1579</v>
      </c>
      <c r="CI83" t="s">
        <v>1580</v>
      </c>
      <c r="CJ83" t="s">
        <v>1365</v>
      </c>
      <c r="CK83" t="s">
        <v>292</v>
      </c>
      <c r="CL83" t="s">
        <v>293</v>
      </c>
      <c r="CM83" t="s">
        <v>1581</v>
      </c>
      <c r="CN83" t="s">
        <v>235</v>
      </c>
      <c r="CO83" t="s">
        <v>183</v>
      </c>
      <c r="CP83" t="s">
        <v>211</v>
      </c>
      <c r="CQ83" t="s">
        <v>329</v>
      </c>
      <c r="CS83" t="s">
        <v>1582</v>
      </c>
      <c r="CT83" t="s">
        <v>1365</v>
      </c>
      <c r="CU83" t="s">
        <v>267</v>
      </c>
      <c r="CV83" t="s">
        <v>268</v>
      </c>
      <c r="CW83" t="s">
        <v>1583</v>
      </c>
      <c r="CX83" t="s">
        <v>235</v>
      </c>
      <c r="CY83" t="s">
        <v>183</v>
      </c>
      <c r="CZ83" t="s">
        <v>211</v>
      </c>
      <c r="DA83" t="s">
        <v>298</v>
      </c>
      <c r="DC83" t="s">
        <v>1582</v>
      </c>
      <c r="DD83" t="s">
        <v>1584</v>
      </c>
      <c r="DE83" t="s">
        <v>302</v>
      </c>
      <c r="DF83" t="s">
        <v>303</v>
      </c>
      <c r="DG83" t="s">
        <v>1585</v>
      </c>
      <c r="DH83" t="s">
        <v>1586</v>
      </c>
      <c r="DI83" t="s">
        <v>183</v>
      </c>
      <c r="DJ83" t="s">
        <v>211</v>
      </c>
      <c r="DK83" t="s">
        <v>339</v>
      </c>
      <c r="DM83" t="s">
        <v>1587</v>
      </c>
      <c r="DN83" t="s">
        <v>1588</v>
      </c>
      <c r="DO83" t="s">
        <v>346</v>
      </c>
      <c r="DP83" t="s">
        <v>347</v>
      </c>
      <c r="DQ83" t="s">
        <v>1589</v>
      </c>
      <c r="DR83" t="s">
        <v>688</v>
      </c>
      <c r="DS83" t="s">
        <v>183</v>
      </c>
      <c r="DT83" t="s">
        <v>211</v>
      </c>
      <c r="DU83" t="s">
        <v>339</v>
      </c>
      <c r="DW83" t="s">
        <v>1590</v>
      </c>
      <c r="DX83" t="s">
        <v>1591</v>
      </c>
      <c r="DY83" t="s">
        <v>207</v>
      </c>
      <c r="DZ83" t="s">
        <v>208</v>
      </c>
      <c r="EA83" t="s">
        <v>1592</v>
      </c>
      <c r="EB83" t="s">
        <v>816</v>
      </c>
      <c r="EC83" t="s">
        <v>183</v>
      </c>
      <c r="ED83" t="s">
        <v>211</v>
      </c>
      <c r="EE83" t="s">
        <v>493</v>
      </c>
      <c r="EG83" t="s">
        <v>1590</v>
      </c>
      <c r="EQ83" t="s">
        <v>198</v>
      </c>
      <c r="FA83" t="s">
        <v>198</v>
      </c>
      <c r="FK83" t="s">
        <v>198</v>
      </c>
      <c r="FU83" t="s">
        <v>198</v>
      </c>
    </row>
    <row r="84" spans="1:177">
      <c r="A84" s="1" t="str">
        <f>HYPERLINK("http://digipan.lumentumllc.com/apps/getLink/index.php?t=PropLink&amp;p=5245332","PL")</f>
        <v>PL</v>
      </c>
      <c r="B84" s="1" t="str">
        <f>HYPERLINK("http://digipan.lumentumllc.com/apps/getLink/index.php?t=TaxLink&amp;p=5245332","TL")</f>
        <v>TL</v>
      </c>
      <c r="C84" s="1" t="str">
        <f>HYPERLINK("http://digipan.lumentumllc.com/apps/getMap/index.php?p=5245332","Map")</f>
        <v>Map</v>
      </c>
      <c r="E84" t="s">
        <v>177</v>
      </c>
      <c r="F84" t="s">
        <v>178</v>
      </c>
      <c r="L84" t="s">
        <v>1593</v>
      </c>
      <c r="N84" t="s">
        <v>1593</v>
      </c>
      <c r="O84" t="s">
        <v>1593</v>
      </c>
      <c r="P84" t="s">
        <v>1594</v>
      </c>
      <c r="Q84" t="s">
        <v>1593</v>
      </c>
      <c r="V84">
        <v>96</v>
      </c>
      <c r="W84">
        <v>1</v>
      </c>
      <c r="X84">
        <v>2017</v>
      </c>
      <c r="Y84">
        <v>2018</v>
      </c>
      <c r="Z84">
        <v>70.819999999999993</v>
      </c>
      <c r="AB84" t="s">
        <v>181</v>
      </c>
      <c r="AC84" t="s">
        <v>182</v>
      </c>
      <c r="AD84" t="s">
        <v>183</v>
      </c>
      <c r="AE84">
        <v>1</v>
      </c>
      <c r="AF84">
        <v>7</v>
      </c>
      <c r="AG84" t="s">
        <v>418</v>
      </c>
      <c r="AH84">
        <v>86</v>
      </c>
      <c r="AI84">
        <v>184.38</v>
      </c>
      <c r="AJ84">
        <v>26.74</v>
      </c>
      <c r="AK84">
        <v>211.12</v>
      </c>
      <c r="AL84">
        <v>2370</v>
      </c>
      <c r="AM84">
        <v>2370</v>
      </c>
      <c r="AN84">
        <v>0</v>
      </c>
      <c r="AO84">
        <v>146</v>
      </c>
      <c r="AP84">
        <v>2016</v>
      </c>
      <c r="AQ84">
        <v>2.99</v>
      </c>
      <c r="AR84">
        <v>8.91</v>
      </c>
      <c r="AS84" t="s">
        <v>1595</v>
      </c>
      <c r="AT84" t="s">
        <v>186</v>
      </c>
      <c r="AU84" t="s">
        <v>177</v>
      </c>
      <c r="AV84" t="s">
        <v>187</v>
      </c>
      <c r="AW84" t="s">
        <v>182</v>
      </c>
      <c r="AX84">
        <v>0</v>
      </c>
      <c r="AY84" t="s">
        <v>312</v>
      </c>
      <c r="AZ84" t="s">
        <v>199</v>
      </c>
      <c r="BA84" t="s">
        <v>313</v>
      </c>
      <c r="BB84" t="s">
        <v>191</v>
      </c>
      <c r="BC84" t="s">
        <v>182</v>
      </c>
      <c r="BD84" t="s">
        <v>182</v>
      </c>
      <c r="BE84" t="s">
        <v>1596</v>
      </c>
      <c r="BF84">
        <v>0</v>
      </c>
      <c r="BG84">
        <v>0</v>
      </c>
      <c r="BH84">
        <v>0</v>
      </c>
      <c r="BI84" t="s">
        <v>199</v>
      </c>
      <c r="BJ84" t="s">
        <v>315</v>
      </c>
      <c r="BL84" t="s">
        <v>1597</v>
      </c>
      <c r="BM84" t="s">
        <v>1598</v>
      </c>
      <c r="BN84" t="s">
        <v>182</v>
      </c>
      <c r="BO84" t="s">
        <v>198</v>
      </c>
      <c r="BP84" t="s">
        <v>198</v>
      </c>
      <c r="BQ84" t="s">
        <v>198</v>
      </c>
      <c r="BR84" t="s">
        <v>198</v>
      </c>
      <c r="BS84" t="s">
        <v>198</v>
      </c>
      <c r="BT84" t="s">
        <v>198</v>
      </c>
      <c r="BU84" t="s">
        <v>182</v>
      </c>
      <c r="BV84" t="s">
        <v>198</v>
      </c>
      <c r="BW84" t="s">
        <v>198</v>
      </c>
      <c r="BX84" t="s">
        <v>199</v>
      </c>
      <c r="BY84" t="s">
        <v>198</v>
      </c>
      <c r="BZ84" t="s">
        <v>199</v>
      </c>
      <c r="CA84" t="s">
        <v>199</v>
      </c>
      <c r="CB84" t="s">
        <v>1599</v>
      </c>
      <c r="CC84" t="s">
        <v>201</v>
      </c>
      <c r="CD84" t="s">
        <v>182</v>
      </c>
      <c r="CE84" t="s">
        <v>1600</v>
      </c>
      <c r="CF84" t="s">
        <v>1601</v>
      </c>
      <c r="CG84" t="s">
        <v>1602</v>
      </c>
      <c r="CH84" t="s">
        <v>1603</v>
      </c>
      <c r="CI84" t="s">
        <v>1604</v>
      </c>
      <c r="CJ84" t="s">
        <v>738</v>
      </c>
      <c r="CK84" t="s">
        <v>232</v>
      </c>
      <c r="CL84" t="s">
        <v>233</v>
      </c>
      <c r="CM84" t="s">
        <v>1605</v>
      </c>
      <c r="CN84" t="s">
        <v>1606</v>
      </c>
      <c r="CO84" t="s">
        <v>183</v>
      </c>
      <c r="CP84" t="s">
        <v>266</v>
      </c>
      <c r="CS84" t="s">
        <v>198</v>
      </c>
      <c r="CT84" t="s">
        <v>1584</v>
      </c>
      <c r="CU84" t="s">
        <v>292</v>
      </c>
      <c r="CV84" t="s">
        <v>293</v>
      </c>
      <c r="CW84" t="s">
        <v>1607</v>
      </c>
      <c r="CX84" t="s">
        <v>1608</v>
      </c>
      <c r="CY84" t="s">
        <v>183</v>
      </c>
      <c r="CZ84" t="s">
        <v>211</v>
      </c>
      <c r="DA84" t="s">
        <v>345</v>
      </c>
      <c r="DC84" t="s">
        <v>1609</v>
      </c>
      <c r="DD84" t="s">
        <v>1547</v>
      </c>
      <c r="DE84" t="s">
        <v>267</v>
      </c>
      <c r="DF84" t="s">
        <v>268</v>
      </c>
      <c r="DG84" t="s">
        <v>1610</v>
      </c>
      <c r="DH84" t="s">
        <v>486</v>
      </c>
      <c r="DI84" t="s">
        <v>183</v>
      </c>
      <c r="DJ84" t="s">
        <v>211</v>
      </c>
      <c r="DK84" t="s">
        <v>298</v>
      </c>
      <c r="DM84" t="s">
        <v>1611</v>
      </c>
      <c r="DN84" t="s">
        <v>709</v>
      </c>
      <c r="DO84" t="s">
        <v>273</v>
      </c>
      <c r="DP84" t="s">
        <v>274</v>
      </c>
      <c r="DQ84" t="s">
        <v>1612</v>
      </c>
      <c r="DR84" t="s">
        <v>389</v>
      </c>
      <c r="DS84" t="s">
        <v>183</v>
      </c>
      <c r="DT84" t="s">
        <v>211</v>
      </c>
      <c r="DU84" t="s">
        <v>345</v>
      </c>
      <c r="DW84" t="s">
        <v>1613</v>
      </c>
      <c r="DX84" t="s">
        <v>707</v>
      </c>
      <c r="DY84" t="s">
        <v>302</v>
      </c>
      <c r="DZ84" t="s">
        <v>303</v>
      </c>
      <c r="EA84" t="s">
        <v>1614</v>
      </c>
      <c r="EB84" t="s">
        <v>1615</v>
      </c>
      <c r="EC84" t="s">
        <v>183</v>
      </c>
      <c r="ED84" t="s">
        <v>211</v>
      </c>
      <c r="EE84" t="s">
        <v>298</v>
      </c>
      <c r="EG84" t="s">
        <v>1616</v>
      </c>
      <c r="EH84" t="s">
        <v>1617</v>
      </c>
      <c r="EI84" t="s">
        <v>238</v>
      </c>
      <c r="EJ84" t="s">
        <v>239</v>
      </c>
      <c r="EK84" t="s">
        <v>1618</v>
      </c>
      <c r="EL84" t="s">
        <v>1074</v>
      </c>
      <c r="EM84" t="s">
        <v>183</v>
      </c>
      <c r="EN84" t="s">
        <v>211</v>
      </c>
      <c r="EO84" t="s">
        <v>298</v>
      </c>
      <c r="EQ84" t="s">
        <v>1619</v>
      </c>
      <c r="ER84" t="s">
        <v>1620</v>
      </c>
      <c r="ES84" t="s">
        <v>346</v>
      </c>
      <c r="ET84" t="s">
        <v>347</v>
      </c>
      <c r="EU84" t="s">
        <v>1621</v>
      </c>
      <c r="EV84" t="s">
        <v>1056</v>
      </c>
      <c r="EW84" t="s">
        <v>183</v>
      </c>
      <c r="EX84" t="s">
        <v>211</v>
      </c>
      <c r="EY84" t="s">
        <v>298</v>
      </c>
      <c r="FA84" t="s">
        <v>1622</v>
      </c>
      <c r="FB84" t="s">
        <v>1623</v>
      </c>
      <c r="FC84" t="s">
        <v>207</v>
      </c>
      <c r="FD84" t="s">
        <v>208</v>
      </c>
      <c r="FE84" t="s">
        <v>1624</v>
      </c>
      <c r="FF84" t="s">
        <v>473</v>
      </c>
      <c r="FG84" t="s">
        <v>183</v>
      </c>
      <c r="FH84" t="s">
        <v>211</v>
      </c>
      <c r="FI84" t="s">
        <v>298</v>
      </c>
      <c r="FK84" t="s">
        <v>474</v>
      </c>
      <c r="FU84" t="s">
        <v>198</v>
      </c>
    </row>
    <row r="85" spans="1:177">
      <c r="A85" s="1" t="str">
        <f>HYPERLINK("http://digipan.lumentumllc.com/apps/getLink/index.php?t=PropLink&amp;p=15743659","PL")</f>
        <v>PL</v>
      </c>
      <c r="B85" s="1" t="str">
        <f>HYPERLINK("http://digipan.lumentumllc.com/apps/getLink/index.php?t=TaxLink&amp;p=15743659","TL")</f>
        <v>TL</v>
      </c>
      <c r="C85" s="1" t="str">
        <f>HYPERLINK("http://digipan.lumentumllc.com/apps/getMap/index.php?p=15743659","Map")</f>
        <v>Map</v>
      </c>
      <c r="E85" t="s">
        <v>177</v>
      </c>
      <c r="F85" t="s">
        <v>178</v>
      </c>
      <c r="L85" t="s">
        <v>1625</v>
      </c>
      <c r="N85" t="s">
        <v>1625</v>
      </c>
      <c r="O85" t="s">
        <v>1625</v>
      </c>
      <c r="Q85" t="s">
        <v>1625</v>
      </c>
      <c r="V85">
        <v>97</v>
      </c>
      <c r="W85">
        <v>1</v>
      </c>
      <c r="X85">
        <v>2017</v>
      </c>
      <c r="Y85">
        <v>2018</v>
      </c>
      <c r="Z85">
        <v>1418.79</v>
      </c>
      <c r="AB85" t="s">
        <v>181</v>
      </c>
      <c r="AC85" t="s">
        <v>182</v>
      </c>
      <c r="AD85" t="s">
        <v>183</v>
      </c>
      <c r="AE85">
        <v>1</v>
      </c>
      <c r="AF85">
        <v>0</v>
      </c>
      <c r="AG85" t="s">
        <v>1200</v>
      </c>
      <c r="AH85">
        <v>0</v>
      </c>
      <c r="AI85">
        <v>505.02</v>
      </c>
      <c r="AJ85">
        <v>25.25</v>
      </c>
      <c r="AK85">
        <v>530.27</v>
      </c>
      <c r="AL85">
        <v>123806</v>
      </c>
      <c r="AM85">
        <v>40000</v>
      </c>
      <c r="AN85">
        <v>83806</v>
      </c>
      <c r="AO85">
        <v>442</v>
      </c>
      <c r="AP85">
        <v>2016</v>
      </c>
      <c r="AQ85">
        <v>1.1499999999999999</v>
      </c>
      <c r="AR85">
        <v>0.43</v>
      </c>
      <c r="AS85" t="s">
        <v>1626</v>
      </c>
      <c r="AT85" t="s">
        <v>186</v>
      </c>
      <c r="AU85" t="s">
        <v>177</v>
      </c>
      <c r="AV85" t="s">
        <v>187</v>
      </c>
      <c r="AW85" t="s">
        <v>202</v>
      </c>
      <c r="AX85">
        <v>1</v>
      </c>
      <c r="AY85" t="s">
        <v>188</v>
      </c>
      <c r="AZ85" t="s">
        <v>206</v>
      </c>
      <c r="BA85" t="s">
        <v>355</v>
      </c>
      <c r="BB85" t="s">
        <v>191</v>
      </c>
      <c r="BC85" t="s">
        <v>182</v>
      </c>
      <c r="BD85" t="s">
        <v>182</v>
      </c>
      <c r="BE85" t="s">
        <v>247</v>
      </c>
      <c r="BF85">
        <v>1</v>
      </c>
      <c r="BG85">
        <v>1</v>
      </c>
      <c r="BH85">
        <v>1983</v>
      </c>
      <c r="BI85" t="s">
        <v>302</v>
      </c>
      <c r="BJ85" t="s">
        <v>194</v>
      </c>
      <c r="BK85" t="s">
        <v>195</v>
      </c>
      <c r="BL85" t="s">
        <v>199</v>
      </c>
      <c r="BM85" t="s">
        <v>1041</v>
      </c>
      <c r="BN85" t="s">
        <v>182</v>
      </c>
      <c r="BO85" t="s">
        <v>198</v>
      </c>
      <c r="BP85" t="s">
        <v>198</v>
      </c>
      <c r="BQ85" t="s">
        <v>198</v>
      </c>
      <c r="BR85" t="s">
        <v>198</v>
      </c>
      <c r="BS85" t="s">
        <v>198</v>
      </c>
      <c r="BT85" t="s">
        <v>198</v>
      </c>
      <c r="BU85" t="s">
        <v>182</v>
      </c>
      <c r="BV85" t="s">
        <v>198</v>
      </c>
      <c r="BW85" t="s">
        <v>198</v>
      </c>
      <c r="BX85" t="s">
        <v>199</v>
      </c>
      <c r="BY85" t="s">
        <v>198</v>
      </c>
      <c r="BZ85" t="s">
        <v>199</v>
      </c>
      <c r="CA85" t="s">
        <v>199</v>
      </c>
      <c r="CB85" t="s">
        <v>1627</v>
      </c>
      <c r="CC85" t="s">
        <v>201</v>
      </c>
      <c r="CD85" t="s">
        <v>202</v>
      </c>
      <c r="CE85" t="s">
        <v>1628</v>
      </c>
      <c r="CF85" t="s">
        <v>204</v>
      </c>
      <c r="CG85" t="s">
        <v>177</v>
      </c>
      <c r="CH85" t="s">
        <v>187</v>
      </c>
      <c r="CI85" t="s">
        <v>1629</v>
      </c>
      <c r="CJ85" t="s">
        <v>756</v>
      </c>
      <c r="CK85" t="s">
        <v>232</v>
      </c>
      <c r="CL85" t="s">
        <v>233</v>
      </c>
      <c r="CM85" t="s">
        <v>1630</v>
      </c>
      <c r="CN85" t="s">
        <v>235</v>
      </c>
      <c r="CO85" t="s">
        <v>183</v>
      </c>
      <c r="CP85" t="s">
        <v>266</v>
      </c>
      <c r="CS85" t="s">
        <v>198</v>
      </c>
      <c r="DC85" t="s">
        <v>198</v>
      </c>
      <c r="DM85" t="s">
        <v>198</v>
      </c>
      <c r="DW85" t="s">
        <v>198</v>
      </c>
      <c r="EG85" t="s">
        <v>198</v>
      </c>
      <c r="EQ85" t="s">
        <v>198</v>
      </c>
      <c r="FA85" t="s">
        <v>198</v>
      </c>
      <c r="FK85" t="s">
        <v>198</v>
      </c>
      <c r="FU85" t="s">
        <v>198</v>
      </c>
    </row>
    <row r="86" spans="1:177">
      <c r="A86" s="1" t="str">
        <f>HYPERLINK("http://digipan.lumentumllc.com/apps/getLink/index.php?t=PropLink&amp;p=5245480","PL")</f>
        <v>PL</v>
      </c>
      <c r="B86" s="1" t="str">
        <f>HYPERLINK("http://digipan.lumentumllc.com/apps/getLink/index.php?t=TaxLink&amp;p=5245480","TL")</f>
        <v>TL</v>
      </c>
      <c r="C86" s="1" t="str">
        <f>HYPERLINK("http://digipan.lumentumllc.com/apps/getMap/index.php?p=5245480","Map")</f>
        <v>Map</v>
      </c>
      <c r="E86" t="s">
        <v>177</v>
      </c>
      <c r="F86" t="s">
        <v>178</v>
      </c>
      <c r="L86" t="s">
        <v>1631</v>
      </c>
      <c r="N86" t="s">
        <v>1631</v>
      </c>
      <c r="O86" t="s">
        <v>1631</v>
      </c>
      <c r="P86" t="s">
        <v>1632</v>
      </c>
      <c r="Q86" t="s">
        <v>1631</v>
      </c>
      <c r="V86">
        <v>98</v>
      </c>
      <c r="W86">
        <v>1</v>
      </c>
      <c r="X86">
        <v>2017</v>
      </c>
      <c r="Y86">
        <v>2018</v>
      </c>
      <c r="Z86">
        <v>2044.42</v>
      </c>
      <c r="AB86" t="s">
        <v>181</v>
      </c>
      <c r="AC86" t="s">
        <v>182</v>
      </c>
      <c r="AD86" t="s">
        <v>183</v>
      </c>
      <c r="AE86">
        <v>1</v>
      </c>
      <c r="AF86">
        <v>4</v>
      </c>
      <c r="AG86" t="s">
        <v>951</v>
      </c>
      <c r="AH86">
        <v>80</v>
      </c>
      <c r="AI86">
        <v>2073.21</v>
      </c>
      <c r="AJ86">
        <v>103.66</v>
      </c>
      <c r="AK86">
        <v>2176.87</v>
      </c>
      <c r="AL86">
        <v>122915</v>
      </c>
      <c r="AM86">
        <v>40000</v>
      </c>
      <c r="AN86">
        <v>82915</v>
      </c>
      <c r="AO86">
        <v>1892</v>
      </c>
      <c r="AP86">
        <v>2016</v>
      </c>
      <c r="AQ86">
        <v>1.66</v>
      </c>
      <c r="AR86">
        <v>1.77</v>
      </c>
      <c r="AS86" t="s">
        <v>1633</v>
      </c>
      <c r="AT86" t="s">
        <v>186</v>
      </c>
      <c r="AU86" t="s">
        <v>177</v>
      </c>
      <c r="AV86" t="s">
        <v>187</v>
      </c>
      <c r="AW86" t="s">
        <v>182</v>
      </c>
      <c r="AX86">
        <v>1</v>
      </c>
      <c r="AY86" t="s">
        <v>188</v>
      </c>
      <c r="AZ86" t="s">
        <v>206</v>
      </c>
      <c r="BA86" t="s">
        <v>355</v>
      </c>
      <c r="BB86" t="s">
        <v>191</v>
      </c>
      <c r="BC86" t="s">
        <v>182</v>
      </c>
      <c r="BD86" t="s">
        <v>182</v>
      </c>
      <c r="BE86" t="s">
        <v>247</v>
      </c>
      <c r="BF86">
        <v>1</v>
      </c>
      <c r="BG86">
        <v>1</v>
      </c>
      <c r="BH86">
        <v>1960</v>
      </c>
      <c r="BI86" t="s">
        <v>1634</v>
      </c>
      <c r="BJ86" t="s">
        <v>194</v>
      </c>
      <c r="BK86" t="s">
        <v>195</v>
      </c>
      <c r="BL86" t="s">
        <v>199</v>
      </c>
      <c r="BM86" t="s">
        <v>358</v>
      </c>
      <c r="BN86" t="s">
        <v>182</v>
      </c>
      <c r="BO86" t="s">
        <v>198</v>
      </c>
      <c r="BP86" t="s">
        <v>198</v>
      </c>
      <c r="BQ86" t="s">
        <v>198</v>
      </c>
      <c r="BR86" t="s">
        <v>198</v>
      </c>
      <c r="BS86" t="s">
        <v>198</v>
      </c>
      <c r="BT86" t="s">
        <v>198</v>
      </c>
      <c r="BU86" t="s">
        <v>182</v>
      </c>
      <c r="BV86" t="s">
        <v>198</v>
      </c>
      <c r="BW86" t="s">
        <v>198</v>
      </c>
      <c r="BX86" t="s">
        <v>199</v>
      </c>
      <c r="BY86" t="s">
        <v>198</v>
      </c>
      <c r="BZ86" t="s">
        <v>199</v>
      </c>
      <c r="CA86" t="s">
        <v>199</v>
      </c>
      <c r="CB86" t="s">
        <v>1635</v>
      </c>
      <c r="CC86" t="s">
        <v>201</v>
      </c>
      <c r="CD86" t="s">
        <v>182</v>
      </c>
      <c r="CE86" t="s">
        <v>1636</v>
      </c>
      <c r="CF86" t="s">
        <v>204</v>
      </c>
      <c r="CG86" t="s">
        <v>177</v>
      </c>
      <c r="CH86" t="s">
        <v>187</v>
      </c>
      <c r="CI86" t="s">
        <v>1637</v>
      </c>
      <c r="CJ86" t="s">
        <v>1638</v>
      </c>
      <c r="CK86" t="s">
        <v>232</v>
      </c>
      <c r="CL86" t="s">
        <v>233</v>
      </c>
      <c r="CM86" t="s">
        <v>1639</v>
      </c>
      <c r="CN86" t="s">
        <v>235</v>
      </c>
      <c r="CO86" t="s">
        <v>183</v>
      </c>
      <c r="CP86" t="s">
        <v>266</v>
      </c>
      <c r="CS86" t="s">
        <v>198</v>
      </c>
      <c r="CT86" t="s">
        <v>707</v>
      </c>
      <c r="CU86" t="s">
        <v>292</v>
      </c>
      <c r="CV86" t="s">
        <v>293</v>
      </c>
      <c r="CW86" t="s">
        <v>1640</v>
      </c>
      <c r="CX86" t="s">
        <v>235</v>
      </c>
      <c r="CY86" t="s">
        <v>183</v>
      </c>
      <c r="CZ86" t="s">
        <v>211</v>
      </c>
      <c r="DA86" t="s">
        <v>298</v>
      </c>
      <c r="DC86" t="s">
        <v>1641</v>
      </c>
      <c r="DD86" t="s">
        <v>1263</v>
      </c>
      <c r="DE86" t="s">
        <v>267</v>
      </c>
      <c r="DF86" t="s">
        <v>268</v>
      </c>
      <c r="DG86" t="s">
        <v>1642</v>
      </c>
      <c r="DH86" t="s">
        <v>235</v>
      </c>
      <c r="DI86" t="s">
        <v>183</v>
      </c>
      <c r="DJ86" t="s">
        <v>211</v>
      </c>
      <c r="DK86" t="s">
        <v>298</v>
      </c>
      <c r="DM86" t="s">
        <v>1611</v>
      </c>
      <c r="DN86" t="s">
        <v>1643</v>
      </c>
      <c r="DO86" t="s">
        <v>273</v>
      </c>
      <c r="DP86" t="s">
        <v>274</v>
      </c>
      <c r="DQ86" t="s">
        <v>1644</v>
      </c>
      <c r="DR86" t="s">
        <v>235</v>
      </c>
      <c r="DS86" t="s">
        <v>183</v>
      </c>
      <c r="DT86" t="s">
        <v>211</v>
      </c>
      <c r="DU86" t="s">
        <v>298</v>
      </c>
      <c r="DW86" t="s">
        <v>1645</v>
      </c>
      <c r="DX86" t="s">
        <v>1646</v>
      </c>
      <c r="DY86" t="s">
        <v>346</v>
      </c>
      <c r="DZ86" t="s">
        <v>347</v>
      </c>
      <c r="EA86" t="s">
        <v>1647</v>
      </c>
      <c r="EB86" t="s">
        <v>235</v>
      </c>
      <c r="EC86" t="s">
        <v>183</v>
      </c>
      <c r="ED86" t="s">
        <v>211</v>
      </c>
      <c r="EE86" t="s">
        <v>199</v>
      </c>
      <c r="EG86" t="s">
        <v>1648</v>
      </c>
      <c r="EQ86" t="s">
        <v>198</v>
      </c>
      <c r="FA86" t="s">
        <v>198</v>
      </c>
      <c r="FK86" t="s">
        <v>198</v>
      </c>
      <c r="FU86" t="s">
        <v>198</v>
      </c>
    </row>
    <row r="87" spans="1:177">
      <c r="A87" s="1" t="str">
        <f>HYPERLINK("http://digipan.lumentumllc.com/apps/getLink/index.php?t=PropLink&amp;p=5245481","PL")</f>
        <v>PL</v>
      </c>
      <c r="B87" s="1" t="str">
        <f>HYPERLINK("http://digipan.lumentumllc.com/apps/getLink/index.php?t=TaxLink&amp;p=5245481","TL")</f>
        <v>TL</v>
      </c>
      <c r="C87" s="1" t="str">
        <f>HYPERLINK("http://digipan.lumentumllc.com/apps/getMap/index.php?p=5245481","Map")</f>
        <v>Map</v>
      </c>
      <c r="E87" t="s">
        <v>177</v>
      </c>
      <c r="F87" t="s">
        <v>178</v>
      </c>
      <c r="L87" t="s">
        <v>1649</v>
      </c>
      <c r="N87" t="s">
        <v>1649</v>
      </c>
      <c r="O87" t="s">
        <v>1649</v>
      </c>
      <c r="P87" t="s">
        <v>1650</v>
      </c>
      <c r="Q87" t="s">
        <v>1649</v>
      </c>
      <c r="V87">
        <v>99</v>
      </c>
      <c r="W87">
        <v>1</v>
      </c>
      <c r="X87">
        <v>2017</v>
      </c>
      <c r="Y87">
        <v>2018</v>
      </c>
      <c r="Z87">
        <v>1267.47</v>
      </c>
      <c r="AB87" t="s">
        <v>181</v>
      </c>
      <c r="AC87" t="s">
        <v>182</v>
      </c>
      <c r="AD87" t="s">
        <v>183</v>
      </c>
      <c r="AE87">
        <v>1</v>
      </c>
      <c r="AF87">
        <v>4</v>
      </c>
      <c r="AG87" t="s">
        <v>951</v>
      </c>
      <c r="AH87">
        <v>80</v>
      </c>
      <c r="AI87">
        <v>1279.79</v>
      </c>
      <c r="AJ87">
        <v>63.99</v>
      </c>
      <c r="AK87">
        <v>1343.78</v>
      </c>
      <c r="AL87">
        <v>75460</v>
      </c>
      <c r="AM87">
        <v>75460</v>
      </c>
      <c r="AN87">
        <v>0</v>
      </c>
      <c r="AO87">
        <v>1158</v>
      </c>
      <c r="AP87">
        <v>2016</v>
      </c>
      <c r="AQ87">
        <v>1.68</v>
      </c>
      <c r="AR87">
        <v>1.78</v>
      </c>
      <c r="AS87" t="s">
        <v>1494</v>
      </c>
      <c r="AT87" t="s">
        <v>186</v>
      </c>
      <c r="AU87" t="s">
        <v>177</v>
      </c>
      <c r="AV87" t="s">
        <v>187</v>
      </c>
      <c r="AW87" t="s">
        <v>182</v>
      </c>
      <c r="AX87">
        <v>0</v>
      </c>
      <c r="AY87" t="s">
        <v>312</v>
      </c>
      <c r="AZ87" t="s">
        <v>199</v>
      </c>
      <c r="BA87" t="s">
        <v>313</v>
      </c>
      <c r="BB87" t="s">
        <v>191</v>
      </c>
      <c r="BC87" t="s">
        <v>182</v>
      </c>
      <c r="BD87" t="s">
        <v>182</v>
      </c>
      <c r="BE87" t="s">
        <v>1651</v>
      </c>
      <c r="BF87">
        <v>0</v>
      </c>
      <c r="BG87">
        <v>0</v>
      </c>
      <c r="BH87">
        <v>0</v>
      </c>
      <c r="BI87" t="s">
        <v>199</v>
      </c>
      <c r="BJ87" t="s">
        <v>315</v>
      </c>
      <c r="BL87" t="s">
        <v>199</v>
      </c>
      <c r="BM87" t="s">
        <v>1041</v>
      </c>
      <c r="BN87" t="s">
        <v>182</v>
      </c>
      <c r="BO87" t="s">
        <v>1652</v>
      </c>
      <c r="BP87" t="s">
        <v>1653</v>
      </c>
      <c r="BS87" t="s">
        <v>1654</v>
      </c>
      <c r="BT87" t="s">
        <v>198</v>
      </c>
      <c r="BU87" t="s">
        <v>182</v>
      </c>
      <c r="BV87" t="s">
        <v>198</v>
      </c>
      <c r="BW87" t="s">
        <v>198</v>
      </c>
      <c r="BX87" t="s">
        <v>199</v>
      </c>
      <c r="BY87" t="s">
        <v>198</v>
      </c>
      <c r="BZ87" t="s">
        <v>199</v>
      </c>
      <c r="CA87" t="s">
        <v>199</v>
      </c>
      <c r="CB87" t="s">
        <v>1655</v>
      </c>
      <c r="CC87" t="s">
        <v>201</v>
      </c>
      <c r="CD87" t="s">
        <v>182</v>
      </c>
      <c r="CE87" t="s">
        <v>1636</v>
      </c>
      <c r="CF87" t="s">
        <v>204</v>
      </c>
      <c r="CG87" t="s">
        <v>177</v>
      </c>
      <c r="CH87" t="s">
        <v>187</v>
      </c>
      <c r="CI87" t="s">
        <v>1656</v>
      </c>
      <c r="CJ87" t="s">
        <v>1657</v>
      </c>
      <c r="CK87" t="s">
        <v>232</v>
      </c>
      <c r="CL87" t="s">
        <v>233</v>
      </c>
      <c r="CM87" t="s">
        <v>1658</v>
      </c>
      <c r="CN87" t="s">
        <v>235</v>
      </c>
      <c r="CO87" t="s">
        <v>183</v>
      </c>
      <c r="CP87" t="s">
        <v>266</v>
      </c>
      <c r="CS87" t="s">
        <v>198</v>
      </c>
      <c r="CT87" t="s">
        <v>1659</v>
      </c>
      <c r="CU87" t="s">
        <v>292</v>
      </c>
      <c r="CV87" t="s">
        <v>293</v>
      </c>
      <c r="CW87" t="s">
        <v>1660</v>
      </c>
      <c r="CX87" t="s">
        <v>235</v>
      </c>
      <c r="CY87" t="s">
        <v>183</v>
      </c>
      <c r="CZ87" t="s">
        <v>211</v>
      </c>
      <c r="DA87" t="s">
        <v>298</v>
      </c>
      <c r="DC87" t="s">
        <v>1641</v>
      </c>
      <c r="DD87" t="s">
        <v>1443</v>
      </c>
      <c r="DE87" t="s">
        <v>267</v>
      </c>
      <c r="DF87" t="s">
        <v>268</v>
      </c>
      <c r="DG87" t="s">
        <v>1661</v>
      </c>
      <c r="DH87" t="s">
        <v>1586</v>
      </c>
      <c r="DI87" t="s">
        <v>183</v>
      </c>
      <c r="DJ87" t="s">
        <v>211</v>
      </c>
      <c r="DK87" t="s">
        <v>298</v>
      </c>
      <c r="DM87" t="s">
        <v>1611</v>
      </c>
      <c r="DN87" t="s">
        <v>1499</v>
      </c>
      <c r="DO87" t="s">
        <v>273</v>
      </c>
      <c r="DP87" t="s">
        <v>274</v>
      </c>
      <c r="DQ87" t="s">
        <v>1662</v>
      </c>
      <c r="DR87" t="s">
        <v>235</v>
      </c>
      <c r="DS87" t="s">
        <v>183</v>
      </c>
      <c r="DT87" t="s">
        <v>211</v>
      </c>
      <c r="DU87" t="s">
        <v>298</v>
      </c>
      <c r="DW87" t="s">
        <v>1645</v>
      </c>
      <c r="DX87" t="s">
        <v>1663</v>
      </c>
      <c r="DY87" t="s">
        <v>346</v>
      </c>
      <c r="DZ87" t="s">
        <v>347</v>
      </c>
      <c r="EA87" t="s">
        <v>1664</v>
      </c>
      <c r="EB87" t="s">
        <v>833</v>
      </c>
      <c r="EC87" t="s">
        <v>183</v>
      </c>
      <c r="ED87" t="s">
        <v>211</v>
      </c>
      <c r="EE87" t="s">
        <v>199</v>
      </c>
      <c r="EG87" t="s">
        <v>1648</v>
      </c>
      <c r="EQ87" t="s">
        <v>198</v>
      </c>
      <c r="FA87" t="s">
        <v>198</v>
      </c>
      <c r="FK87" t="s">
        <v>198</v>
      </c>
      <c r="FU87" t="s">
        <v>198</v>
      </c>
    </row>
    <row r="88" spans="1:177">
      <c r="A88" s="1" t="str">
        <f>HYPERLINK("http://digipan.lumentumllc.com/apps/getLink/index.php?t=PropLink&amp;p=5245482","PL")</f>
        <v>PL</v>
      </c>
      <c r="B88" s="1" t="str">
        <f>HYPERLINK("http://digipan.lumentumllc.com/apps/getLink/index.php?t=TaxLink&amp;p=5245482","TL")</f>
        <v>TL</v>
      </c>
      <c r="C88" s="1" t="str">
        <f>HYPERLINK("http://digipan.lumentumllc.com/apps/getMap/index.php?p=5245482","Map")</f>
        <v>Map</v>
      </c>
      <c r="E88" t="s">
        <v>177</v>
      </c>
      <c r="F88" t="s">
        <v>178</v>
      </c>
      <c r="L88" t="s">
        <v>1665</v>
      </c>
      <c r="N88" t="s">
        <v>1665</v>
      </c>
      <c r="O88" t="s">
        <v>1665</v>
      </c>
      <c r="P88" t="s">
        <v>1666</v>
      </c>
      <c r="Q88" t="s">
        <v>1665</v>
      </c>
      <c r="V88">
        <v>100</v>
      </c>
      <c r="W88">
        <v>1</v>
      </c>
      <c r="X88">
        <v>2017</v>
      </c>
      <c r="Y88">
        <v>2018</v>
      </c>
      <c r="Z88">
        <v>346.35</v>
      </c>
      <c r="AB88" t="s">
        <v>181</v>
      </c>
      <c r="AC88" t="s">
        <v>182</v>
      </c>
      <c r="AD88" t="s">
        <v>183</v>
      </c>
      <c r="AE88">
        <v>1</v>
      </c>
      <c r="AF88">
        <v>4</v>
      </c>
      <c r="AG88" t="s">
        <v>951</v>
      </c>
      <c r="AH88">
        <v>80</v>
      </c>
      <c r="AI88">
        <v>338.27</v>
      </c>
      <c r="AJ88">
        <v>21.99</v>
      </c>
      <c r="AK88">
        <v>360.26</v>
      </c>
      <c r="AL88">
        <v>19200</v>
      </c>
      <c r="AM88">
        <v>19200</v>
      </c>
      <c r="AN88">
        <v>0</v>
      </c>
      <c r="AO88">
        <v>288</v>
      </c>
      <c r="AP88">
        <v>2016</v>
      </c>
      <c r="AQ88">
        <v>1.8</v>
      </c>
      <c r="AR88">
        <v>1.88</v>
      </c>
      <c r="AS88" t="s">
        <v>1667</v>
      </c>
      <c r="AT88" t="s">
        <v>186</v>
      </c>
      <c r="AU88" t="s">
        <v>177</v>
      </c>
      <c r="AV88" t="s">
        <v>187</v>
      </c>
      <c r="AW88" t="s">
        <v>182</v>
      </c>
      <c r="AX88">
        <v>0</v>
      </c>
      <c r="AY88" t="s">
        <v>312</v>
      </c>
      <c r="AZ88" t="s">
        <v>199</v>
      </c>
      <c r="BA88" t="s">
        <v>313</v>
      </c>
      <c r="BB88" t="s">
        <v>191</v>
      </c>
      <c r="BC88" t="s">
        <v>182</v>
      </c>
      <c r="BD88" t="s">
        <v>182</v>
      </c>
      <c r="BE88" t="s">
        <v>365</v>
      </c>
      <c r="BF88">
        <v>0</v>
      </c>
      <c r="BG88">
        <v>0</v>
      </c>
      <c r="BH88">
        <v>0</v>
      </c>
      <c r="BI88" t="s">
        <v>199</v>
      </c>
      <c r="BJ88" t="s">
        <v>248</v>
      </c>
      <c r="BL88" t="s">
        <v>199</v>
      </c>
      <c r="BM88" t="s">
        <v>533</v>
      </c>
      <c r="BN88" t="s">
        <v>182</v>
      </c>
      <c r="BO88" t="s">
        <v>1668</v>
      </c>
      <c r="BP88" t="s">
        <v>1669</v>
      </c>
      <c r="BS88" t="s">
        <v>1670</v>
      </c>
      <c r="BT88" t="s">
        <v>198</v>
      </c>
      <c r="BU88" t="s">
        <v>182</v>
      </c>
      <c r="BV88" t="s">
        <v>198</v>
      </c>
      <c r="BW88" t="s">
        <v>198</v>
      </c>
      <c r="BX88" t="s">
        <v>199</v>
      </c>
      <c r="BY88" t="s">
        <v>198</v>
      </c>
      <c r="BZ88" t="s">
        <v>199</v>
      </c>
      <c r="CA88" t="s">
        <v>199</v>
      </c>
      <c r="CB88" t="s">
        <v>1671</v>
      </c>
      <c r="CC88" t="s">
        <v>201</v>
      </c>
      <c r="CD88" t="s">
        <v>182</v>
      </c>
      <c r="CE88" t="s">
        <v>1672</v>
      </c>
      <c r="CF88" t="s">
        <v>204</v>
      </c>
      <c r="CG88" t="s">
        <v>177</v>
      </c>
      <c r="CH88" t="s">
        <v>187</v>
      </c>
      <c r="CI88" t="s">
        <v>1656</v>
      </c>
      <c r="CJ88" t="s">
        <v>740</v>
      </c>
      <c r="CK88" t="s">
        <v>232</v>
      </c>
      <c r="CL88" t="s">
        <v>233</v>
      </c>
      <c r="CM88" t="s">
        <v>1673</v>
      </c>
      <c r="CN88" t="s">
        <v>688</v>
      </c>
      <c r="CO88" t="s">
        <v>183</v>
      </c>
      <c r="CP88" t="s">
        <v>266</v>
      </c>
      <c r="CS88" t="s">
        <v>198</v>
      </c>
      <c r="CT88" t="s">
        <v>1263</v>
      </c>
      <c r="CU88" t="s">
        <v>292</v>
      </c>
      <c r="CV88" t="s">
        <v>293</v>
      </c>
      <c r="CW88" t="s">
        <v>1674</v>
      </c>
      <c r="CX88" t="s">
        <v>278</v>
      </c>
      <c r="CY88" t="s">
        <v>183</v>
      </c>
      <c r="CZ88" t="s">
        <v>211</v>
      </c>
      <c r="DA88" t="s">
        <v>298</v>
      </c>
      <c r="DC88" t="s">
        <v>1641</v>
      </c>
      <c r="DD88" t="s">
        <v>709</v>
      </c>
      <c r="DE88" t="s">
        <v>267</v>
      </c>
      <c r="DF88" t="s">
        <v>268</v>
      </c>
      <c r="DG88" t="s">
        <v>1675</v>
      </c>
      <c r="DH88" t="s">
        <v>1676</v>
      </c>
      <c r="DI88" t="s">
        <v>183</v>
      </c>
      <c r="DJ88" t="s">
        <v>211</v>
      </c>
      <c r="DK88" t="s">
        <v>298</v>
      </c>
      <c r="DM88" t="s">
        <v>1611</v>
      </c>
      <c r="DN88" t="s">
        <v>722</v>
      </c>
      <c r="DO88" t="s">
        <v>273</v>
      </c>
      <c r="DP88" t="s">
        <v>274</v>
      </c>
      <c r="DQ88" t="s">
        <v>1677</v>
      </c>
      <c r="DR88" t="s">
        <v>389</v>
      </c>
      <c r="DS88" t="s">
        <v>183</v>
      </c>
      <c r="DT88" t="s">
        <v>211</v>
      </c>
      <c r="DU88" t="s">
        <v>298</v>
      </c>
      <c r="DW88" t="s">
        <v>1645</v>
      </c>
      <c r="DX88" t="s">
        <v>1678</v>
      </c>
      <c r="DY88" t="s">
        <v>346</v>
      </c>
      <c r="DZ88" t="s">
        <v>347</v>
      </c>
      <c r="EA88" t="s">
        <v>1679</v>
      </c>
      <c r="EB88" t="s">
        <v>615</v>
      </c>
      <c r="EC88" t="s">
        <v>183</v>
      </c>
      <c r="ED88" t="s">
        <v>211</v>
      </c>
      <c r="EE88" t="s">
        <v>199</v>
      </c>
      <c r="EG88" t="s">
        <v>1648</v>
      </c>
      <c r="EQ88" t="s">
        <v>198</v>
      </c>
      <c r="FA88" t="s">
        <v>198</v>
      </c>
      <c r="FK88" t="s">
        <v>198</v>
      </c>
      <c r="FU88" t="s">
        <v>198</v>
      </c>
    </row>
    <row r="89" spans="1:177">
      <c r="A89" s="1" t="str">
        <f>HYPERLINK("http://digipan.lumentumllc.com/apps/getLink/index.php?t=PropLink&amp;p=15743675","PL")</f>
        <v>PL</v>
      </c>
      <c r="B89" s="1" t="str">
        <f>HYPERLINK("http://digipan.lumentumllc.com/apps/getLink/index.php?t=TaxLink&amp;p=15743675","TL")</f>
        <v>TL</v>
      </c>
      <c r="C89" s="1" t="str">
        <f>HYPERLINK("http://digipan.lumentumllc.com/apps/getMap/index.php?p=15743675","Map")</f>
        <v>Map</v>
      </c>
      <c r="E89" t="s">
        <v>177</v>
      </c>
      <c r="F89" t="s">
        <v>178</v>
      </c>
      <c r="L89" t="s">
        <v>1680</v>
      </c>
      <c r="N89" t="s">
        <v>1680</v>
      </c>
      <c r="O89" t="s">
        <v>1680</v>
      </c>
      <c r="Q89" t="s">
        <v>1680</v>
      </c>
      <c r="V89">
        <v>102</v>
      </c>
      <c r="W89">
        <v>1</v>
      </c>
      <c r="X89">
        <v>2017</v>
      </c>
      <c r="Y89">
        <v>2018</v>
      </c>
      <c r="Z89">
        <v>430.91</v>
      </c>
      <c r="AG89" t="s">
        <v>184</v>
      </c>
      <c r="AH89">
        <v>0</v>
      </c>
      <c r="AK89">
        <v>0</v>
      </c>
      <c r="AL89">
        <v>108197</v>
      </c>
      <c r="AM89">
        <v>17667</v>
      </c>
      <c r="AN89">
        <v>90530</v>
      </c>
      <c r="AO89">
        <v>357</v>
      </c>
      <c r="AP89">
        <v>2016</v>
      </c>
      <c r="AQ89">
        <v>0.4</v>
      </c>
      <c r="AS89" t="s">
        <v>1681</v>
      </c>
      <c r="AT89" t="s">
        <v>186</v>
      </c>
      <c r="AU89" t="s">
        <v>177</v>
      </c>
      <c r="AV89" t="s">
        <v>187</v>
      </c>
      <c r="AW89" t="s">
        <v>202</v>
      </c>
      <c r="AX89">
        <v>55</v>
      </c>
      <c r="AY89" t="s">
        <v>218</v>
      </c>
      <c r="AZ89" t="s">
        <v>1682</v>
      </c>
      <c r="BA89" t="s">
        <v>1683</v>
      </c>
      <c r="BB89" t="s">
        <v>191</v>
      </c>
      <c r="BC89" t="s">
        <v>182</v>
      </c>
      <c r="BD89" t="s">
        <v>182</v>
      </c>
      <c r="BE89" t="s">
        <v>1684</v>
      </c>
      <c r="BF89">
        <v>1</v>
      </c>
      <c r="BG89">
        <v>1</v>
      </c>
      <c r="BH89">
        <v>1966</v>
      </c>
      <c r="BI89" t="s">
        <v>1685</v>
      </c>
      <c r="BJ89" t="s">
        <v>194</v>
      </c>
      <c r="BK89" t="s">
        <v>195</v>
      </c>
      <c r="BL89" t="s">
        <v>199</v>
      </c>
      <c r="BM89" t="s">
        <v>207</v>
      </c>
      <c r="BN89" t="s">
        <v>182</v>
      </c>
      <c r="BO89" t="s">
        <v>198</v>
      </c>
      <c r="BP89" t="s">
        <v>198</v>
      </c>
      <c r="BQ89" t="s">
        <v>198</v>
      </c>
      <c r="BR89" t="s">
        <v>198</v>
      </c>
      <c r="BS89" t="s">
        <v>198</v>
      </c>
      <c r="BT89" t="s">
        <v>198</v>
      </c>
      <c r="BU89" t="s">
        <v>182</v>
      </c>
      <c r="BV89" t="s">
        <v>198</v>
      </c>
      <c r="BW89" t="s">
        <v>198</v>
      </c>
      <c r="BX89" t="s">
        <v>199</v>
      </c>
      <c r="BY89" t="s">
        <v>198</v>
      </c>
      <c r="BZ89" t="s">
        <v>199</v>
      </c>
      <c r="CA89" t="s">
        <v>199</v>
      </c>
      <c r="CB89" t="s">
        <v>1686</v>
      </c>
      <c r="CC89" t="s">
        <v>201</v>
      </c>
      <c r="CD89" t="s">
        <v>202</v>
      </c>
      <c r="CE89" t="s">
        <v>1687</v>
      </c>
      <c r="CF89" t="s">
        <v>204</v>
      </c>
      <c r="CG89" t="s">
        <v>177</v>
      </c>
      <c r="CH89" t="s">
        <v>187</v>
      </c>
      <c r="CI89" t="s">
        <v>1688</v>
      </c>
      <c r="CS89" t="s">
        <v>198</v>
      </c>
      <c r="DC89" t="s">
        <v>198</v>
      </c>
      <c r="DM89" t="s">
        <v>198</v>
      </c>
      <c r="DW89" t="s">
        <v>198</v>
      </c>
      <c r="EG89" t="s">
        <v>198</v>
      </c>
      <c r="EQ89" t="s">
        <v>198</v>
      </c>
      <c r="FA89" t="s">
        <v>198</v>
      </c>
      <c r="FK89" t="s">
        <v>198</v>
      </c>
      <c r="FU89" t="s">
        <v>198</v>
      </c>
    </row>
    <row r="90" spans="1:177">
      <c r="A90" s="1" t="str">
        <f>HYPERLINK("http://digipan.lumentumllc.com/apps/getLink/index.php?t=PropLink&amp;p=5245485","PL")</f>
        <v>PL</v>
      </c>
      <c r="B90" s="1" t="str">
        <f>HYPERLINK("http://digipan.lumentumllc.com/apps/getLink/index.php?t=TaxLink&amp;p=5245485","TL")</f>
        <v>TL</v>
      </c>
      <c r="C90" s="1" t="str">
        <f>HYPERLINK("http://digipan.lumentumllc.com/apps/getMap/index.php?p=5245485","Map")</f>
        <v>Map</v>
      </c>
      <c r="E90" t="s">
        <v>177</v>
      </c>
      <c r="F90" t="s">
        <v>178</v>
      </c>
      <c r="L90" t="s">
        <v>1689</v>
      </c>
      <c r="N90" t="s">
        <v>1689</v>
      </c>
      <c r="O90" t="s">
        <v>1689</v>
      </c>
      <c r="P90" t="s">
        <v>1690</v>
      </c>
      <c r="Q90" t="s">
        <v>1689</v>
      </c>
      <c r="V90">
        <v>103</v>
      </c>
      <c r="W90">
        <v>1</v>
      </c>
      <c r="X90">
        <v>2017</v>
      </c>
      <c r="Y90">
        <v>2018</v>
      </c>
      <c r="Z90">
        <v>837.58</v>
      </c>
      <c r="AB90" t="s">
        <v>181</v>
      </c>
      <c r="AC90" t="s">
        <v>182</v>
      </c>
      <c r="AD90" t="s">
        <v>183</v>
      </c>
      <c r="AE90">
        <v>0</v>
      </c>
      <c r="AF90">
        <v>2</v>
      </c>
      <c r="AG90" t="s">
        <v>821</v>
      </c>
      <c r="AH90">
        <v>100</v>
      </c>
      <c r="AK90">
        <v>0</v>
      </c>
      <c r="AL90">
        <v>68359</v>
      </c>
      <c r="AM90">
        <v>47520</v>
      </c>
      <c r="AN90">
        <v>20839</v>
      </c>
      <c r="AO90">
        <v>906</v>
      </c>
      <c r="AP90">
        <v>2016</v>
      </c>
      <c r="AQ90">
        <v>1.23</v>
      </c>
      <c r="AS90" t="s">
        <v>1691</v>
      </c>
      <c r="AT90" t="s">
        <v>186</v>
      </c>
      <c r="AU90" t="s">
        <v>177</v>
      </c>
      <c r="AV90" t="s">
        <v>187</v>
      </c>
      <c r="AW90" t="s">
        <v>182</v>
      </c>
      <c r="AX90">
        <v>2</v>
      </c>
      <c r="AY90" t="s">
        <v>188</v>
      </c>
      <c r="AZ90" t="s">
        <v>189</v>
      </c>
      <c r="BA90" t="s">
        <v>190</v>
      </c>
      <c r="BB90" t="s">
        <v>191</v>
      </c>
      <c r="BC90" t="s">
        <v>182</v>
      </c>
      <c r="BD90" t="s">
        <v>182</v>
      </c>
      <c r="BE90" t="s">
        <v>1692</v>
      </c>
      <c r="BF90">
        <v>1</v>
      </c>
      <c r="BG90">
        <v>1</v>
      </c>
      <c r="BH90">
        <v>1990</v>
      </c>
      <c r="BI90" t="s">
        <v>1693</v>
      </c>
      <c r="BJ90" t="s">
        <v>194</v>
      </c>
      <c r="BK90" t="s">
        <v>195</v>
      </c>
      <c r="BL90" t="s">
        <v>1694</v>
      </c>
      <c r="BM90" t="s">
        <v>325</v>
      </c>
      <c r="BN90" t="s">
        <v>182</v>
      </c>
      <c r="BO90" t="s">
        <v>1695</v>
      </c>
      <c r="BP90" t="s">
        <v>1696</v>
      </c>
      <c r="BQ90" t="s">
        <v>1285</v>
      </c>
      <c r="BR90" t="s">
        <v>563</v>
      </c>
      <c r="BS90" t="s">
        <v>198</v>
      </c>
      <c r="BT90" t="s">
        <v>1697</v>
      </c>
      <c r="BU90" t="s">
        <v>182</v>
      </c>
      <c r="BV90" t="s">
        <v>198</v>
      </c>
      <c r="BW90" t="s">
        <v>198</v>
      </c>
      <c r="BX90" t="s">
        <v>199</v>
      </c>
      <c r="BY90" t="s">
        <v>198</v>
      </c>
      <c r="BZ90" t="s">
        <v>199</v>
      </c>
      <c r="CA90" t="s">
        <v>199</v>
      </c>
      <c r="CB90" t="s">
        <v>1698</v>
      </c>
      <c r="CC90" t="s">
        <v>201</v>
      </c>
      <c r="CD90" t="s">
        <v>182</v>
      </c>
      <c r="CE90" t="s">
        <v>1699</v>
      </c>
      <c r="CF90" t="s">
        <v>1029</v>
      </c>
      <c r="CG90" t="s">
        <v>177</v>
      </c>
      <c r="CH90" t="s">
        <v>1030</v>
      </c>
      <c r="CI90" t="s">
        <v>1700</v>
      </c>
      <c r="CJ90" t="s">
        <v>1701</v>
      </c>
      <c r="CK90" t="s">
        <v>346</v>
      </c>
      <c r="CL90" t="s">
        <v>347</v>
      </c>
      <c r="CM90" t="s">
        <v>1702</v>
      </c>
      <c r="CN90" t="s">
        <v>1551</v>
      </c>
      <c r="CO90" t="s">
        <v>183</v>
      </c>
      <c r="CP90" t="s">
        <v>211</v>
      </c>
      <c r="CQ90" t="s">
        <v>342</v>
      </c>
      <c r="CS90" t="s">
        <v>1703</v>
      </c>
      <c r="CT90" t="s">
        <v>1502</v>
      </c>
      <c r="CU90" t="s">
        <v>207</v>
      </c>
      <c r="CV90" t="s">
        <v>208</v>
      </c>
      <c r="CW90" t="s">
        <v>1704</v>
      </c>
      <c r="CX90" t="s">
        <v>469</v>
      </c>
      <c r="CY90" t="s">
        <v>183</v>
      </c>
      <c r="CZ90" t="s">
        <v>211</v>
      </c>
      <c r="DA90" t="s">
        <v>290</v>
      </c>
      <c r="DC90" t="s">
        <v>1705</v>
      </c>
      <c r="DM90" t="s">
        <v>198</v>
      </c>
      <c r="DW90" t="s">
        <v>198</v>
      </c>
      <c r="EG90" t="s">
        <v>198</v>
      </c>
      <c r="EQ90" t="s">
        <v>198</v>
      </c>
      <c r="FA90" t="s">
        <v>198</v>
      </c>
      <c r="FK90" t="s">
        <v>198</v>
      </c>
      <c r="FU90" t="s">
        <v>198</v>
      </c>
    </row>
    <row r="91" spans="1:177">
      <c r="A91" s="1" t="str">
        <f>HYPERLINK("http://digipan.lumentumllc.com/apps/getLink/index.php?t=PropLink&amp;p=15744017","PL")</f>
        <v>PL</v>
      </c>
      <c r="B91" s="1" t="str">
        <f>HYPERLINK("http://digipan.lumentumllc.com/apps/getLink/index.php?t=TaxLink&amp;p=15744017","TL")</f>
        <v>TL</v>
      </c>
      <c r="C91" s="1" t="str">
        <f>HYPERLINK("http://digipan.lumentumllc.com/apps/getMap/index.php?p=15744017","Map")</f>
        <v>Map</v>
      </c>
      <c r="E91" t="s">
        <v>177</v>
      </c>
      <c r="F91" t="s">
        <v>178</v>
      </c>
      <c r="L91" t="s">
        <v>1706</v>
      </c>
      <c r="N91" t="s">
        <v>1706</v>
      </c>
      <c r="O91" t="s">
        <v>1706</v>
      </c>
      <c r="Q91" t="s">
        <v>1706</v>
      </c>
      <c r="V91">
        <v>104</v>
      </c>
      <c r="W91">
        <v>1</v>
      </c>
      <c r="X91">
        <v>2017</v>
      </c>
      <c r="Y91">
        <v>2018</v>
      </c>
      <c r="Z91">
        <v>1471.51</v>
      </c>
      <c r="AG91" t="s">
        <v>184</v>
      </c>
      <c r="AH91">
        <v>0</v>
      </c>
      <c r="AK91">
        <v>0</v>
      </c>
      <c r="AL91">
        <v>87921</v>
      </c>
      <c r="AM91">
        <v>30400</v>
      </c>
      <c r="AN91">
        <v>57521</v>
      </c>
      <c r="AO91">
        <v>1232</v>
      </c>
      <c r="AP91">
        <v>2016</v>
      </c>
      <c r="AQ91">
        <v>1.67</v>
      </c>
      <c r="AS91" t="s">
        <v>1707</v>
      </c>
      <c r="AT91" t="s">
        <v>186</v>
      </c>
      <c r="AU91" t="s">
        <v>177</v>
      </c>
      <c r="AV91" t="s">
        <v>187</v>
      </c>
      <c r="AW91" t="s">
        <v>182</v>
      </c>
      <c r="AX91">
        <v>2</v>
      </c>
      <c r="AY91" t="s">
        <v>188</v>
      </c>
      <c r="AZ91" t="s">
        <v>189</v>
      </c>
      <c r="BA91" t="s">
        <v>190</v>
      </c>
      <c r="BB91" t="s">
        <v>191</v>
      </c>
      <c r="BC91" t="s">
        <v>182</v>
      </c>
      <c r="BD91" t="s">
        <v>182</v>
      </c>
      <c r="BE91" t="s">
        <v>1708</v>
      </c>
      <c r="BF91">
        <v>1</v>
      </c>
      <c r="BG91">
        <v>1</v>
      </c>
      <c r="BH91">
        <v>1999</v>
      </c>
      <c r="BI91" t="s">
        <v>1709</v>
      </c>
      <c r="BJ91" t="s">
        <v>194</v>
      </c>
      <c r="BK91" t="s">
        <v>195</v>
      </c>
      <c r="BL91" t="s">
        <v>199</v>
      </c>
      <c r="BM91" t="s">
        <v>267</v>
      </c>
      <c r="BN91" t="s">
        <v>182</v>
      </c>
      <c r="BO91" t="s">
        <v>1710</v>
      </c>
      <c r="BP91" t="s">
        <v>1711</v>
      </c>
      <c r="BQ91" t="s">
        <v>581</v>
      </c>
      <c r="BR91" t="s">
        <v>643</v>
      </c>
      <c r="BS91" t="s">
        <v>198</v>
      </c>
      <c r="BT91" t="s">
        <v>1712</v>
      </c>
      <c r="BU91" t="s">
        <v>182</v>
      </c>
      <c r="BV91" t="s">
        <v>198</v>
      </c>
      <c r="BW91" t="s">
        <v>198</v>
      </c>
      <c r="BX91" t="s">
        <v>199</v>
      </c>
      <c r="BY91" t="s">
        <v>198</v>
      </c>
      <c r="BZ91" t="s">
        <v>199</v>
      </c>
      <c r="CA91" t="s">
        <v>199</v>
      </c>
      <c r="CB91" t="s">
        <v>1713</v>
      </c>
      <c r="CC91" t="s">
        <v>201</v>
      </c>
      <c r="CD91" t="s">
        <v>182</v>
      </c>
      <c r="CE91" t="s">
        <v>1714</v>
      </c>
      <c r="CF91" t="s">
        <v>204</v>
      </c>
      <c r="CG91" t="s">
        <v>177</v>
      </c>
      <c r="CH91" t="s">
        <v>187</v>
      </c>
      <c r="CI91" t="s">
        <v>1715</v>
      </c>
      <c r="CS91" t="s">
        <v>198</v>
      </c>
      <c r="DC91" t="s">
        <v>198</v>
      </c>
      <c r="DM91" t="s">
        <v>198</v>
      </c>
      <c r="DW91" t="s">
        <v>198</v>
      </c>
      <c r="EG91" t="s">
        <v>198</v>
      </c>
      <c r="EQ91" t="s">
        <v>198</v>
      </c>
      <c r="FA91" t="s">
        <v>198</v>
      </c>
      <c r="FK91" t="s">
        <v>198</v>
      </c>
      <c r="FU91" t="s">
        <v>198</v>
      </c>
    </row>
    <row r="92" spans="1:177">
      <c r="A92" s="1" t="str">
        <f>HYPERLINK("http://digipan.lumentumllc.com/apps/getLink/index.php?t=PropLink&amp;p=6128970","PL")</f>
        <v>PL</v>
      </c>
      <c r="B92" s="1" t="str">
        <f>HYPERLINK("http://digipan.lumentumllc.com/apps/getLink/index.php?t=TaxLink&amp;p=6128970","TL")</f>
        <v>TL</v>
      </c>
      <c r="C92" s="1" t="str">
        <f>HYPERLINK("http://digipan.lumentumllc.com/apps/getMap/index.php?p=6128970","Map")</f>
        <v>Map</v>
      </c>
      <c r="E92" t="s">
        <v>177</v>
      </c>
      <c r="F92" t="s">
        <v>178</v>
      </c>
      <c r="L92" t="s">
        <v>1716</v>
      </c>
      <c r="N92" t="s">
        <v>1716</v>
      </c>
      <c r="O92" t="s">
        <v>1716</v>
      </c>
      <c r="P92" t="s">
        <v>1717</v>
      </c>
      <c r="Q92" t="s">
        <v>1716</v>
      </c>
      <c r="V92">
        <v>105</v>
      </c>
      <c r="W92">
        <v>1</v>
      </c>
      <c r="X92">
        <v>2017</v>
      </c>
      <c r="Y92">
        <v>2018</v>
      </c>
      <c r="Z92">
        <v>772.87</v>
      </c>
      <c r="AB92" t="s">
        <v>181</v>
      </c>
      <c r="AC92" t="s">
        <v>182</v>
      </c>
      <c r="AD92" t="s">
        <v>183</v>
      </c>
      <c r="AE92">
        <v>1</v>
      </c>
      <c r="AF92">
        <v>3</v>
      </c>
      <c r="AG92" t="s">
        <v>257</v>
      </c>
      <c r="AH92">
        <v>75</v>
      </c>
      <c r="AI92">
        <v>711.01</v>
      </c>
      <c r="AJ92">
        <v>35.549999999999997</v>
      </c>
      <c r="AK92">
        <v>746.56</v>
      </c>
      <c r="AL92">
        <v>288000</v>
      </c>
      <c r="AM92">
        <v>45250</v>
      </c>
      <c r="AN92">
        <v>242750</v>
      </c>
      <c r="AO92">
        <v>632</v>
      </c>
      <c r="AP92">
        <v>2016</v>
      </c>
      <c r="AQ92">
        <v>0.27</v>
      </c>
      <c r="AR92">
        <v>0.26</v>
      </c>
      <c r="AS92" t="s">
        <v>1718</v>
      </c>
      <c r="AT92" t="s">
        <v>186</v>
      </c>
      <c r="AU92" t="s">
        <v>177</v>
      </c>
      <c r="AV92" t="s">
        <v>187</v>
      </c>
      <c r="AW92" t="s">
        <v>182</v>
      </c>
      <c r="AX92">
        <v>56</v>
      </c>
      <c r="AY92" t="s">
        <v>218</v>
      </c>
      <c r="AZ92" t="s">
        <v>219</v>
      </c>
      <c r="BA92" t="s">
        <v>220</v>
      </c>
      <c r="BB92" t="s">
        <v>191</v>
      </c>
      <c r="BC92" t="s">
        <v>182</v>
      </c>
      <c r="BD92" t="s">
        <v>182</v>
      </c>
      <c r="BE92" t="s">
        <v>1719</v>
      </c>
      <c r="BF92">
        <v>0</v>
      </c>
      <c r="BG92">
        <v>0</v>
      </c>
      <c r="BH92">
        <v>0</v>
      </c>
      <c r="BI92" t="s">
        <v>199</v>
      </c>
      <c r="BJ92" t="s">
        <v>315</v>
      </c>
      <c r="BL92" t="s">
        <v>1720</v>
      </c>
      <c r="BM92" t="s">
        <v>679</v>
      </c>
      <c r="BN92" t="s">
        <v>182</v>
      </c>
      <c r="BO92" t="s">
        <v>1721</v>
      </c>
      <c r="BP92" t="s">
        <v>1722</v>
      </c>
      <c r="BR92" t="s">
        <v>1723</v>
      </c>
      <c r="BS92" t="s">
        <v>1724</v>
      </c>
      <c r="BT92" t="s">
        <v>198</v>
      </c>
      <c r="BU92" t="s">
        <v>182</v>
      </c>
      <c r="BV92" t="s">
        <v>198</v>
      </c>
      <c r="BW92" t="s">
        <v>198</v>
      </c>
      <c r="BX92" t="s">
        <v>199</v>
      </c>
      <c r="BY92" t="s">
        <v>198</v>
      </c>
      <c r="BZ92" t="s">
        <v>199</v>
      </c>
      <c r="CA92" t="s">
        <v>199</v>
      </c>
      <c r="CB92" t="s">
        <v>1725</v>
      </c>
      <c r="CC92" t="s">
        <v>201</v>
      </c>
      <c r="CD92" t="s">
        <v>182</v>
      </c>
      <c r="CE92" t="s">
        <v>1726</v>
      </c>
      <c r="CF92" t="s">
        <v>1029</v>
      </c>
      <c r="CG92" t="s">
        <v>177</v>
      </c>
      <c r="CH92" t="s">
        <v>1030</v>
      </c>
      <c r="CI92" t="s">
        <v>1727</v>
      </c>
      <c r="CJ92" t="s">
        <v>1728</v>
      </c>
      <c r="CK92" t="s">
        <v>232</v>
      </c>
      <c r="CL92" t="s">
        <v>233</v>
      </c>
      <c r="CM92" t="s">
        <v>1729</v>
      </c>
      <c r="CN92" t="s">
        <v>235</v>
      </c>
      <c r="CO92" t="s">
        <v>183</v>
      </c>
      <c r="CP92" t="s">
        <v>266</v>
      </c>
      <c r="CS92" t="s">
        <v>198</v>
      </c>
      <c r="CT92" t="s">
        <v>1543</v>
      </c>
      <c r="CU92" t="s">
        <v>273</v>
      </c>
      <c r="CV92" t="s">
        <v>274</v>
      </c>
      <c r="CW92" t="s">
        <v>1730</v>
      </c>
      <c r="CX92" t="s">
        <v>511</v>
      </c>
      <c r="CY92" t="s">
        <v>183</v>
      </c>
      <c r="CZ92" t="s">
        <v>211</v>
      </c>
      <c r="DA92" t="s">
        <v>306</v>
      </c>
      <c r="DC92" t="s">
        <v>1731</v>
      </c>
      <c r="DD92" t="s">
        <v>720</v>
      </c>
      <c r="DE92" t="s">
        <v>302</v>
      </c>
      <c r="DF92" t="s">
        <v>303</v>
      </c>
      <c r="DG92" t="s">
        <v>1732</v>
      </c>
      <c r="DH92" t="s">
        <v>331</v>
      </c>
      <c r="DI92" t="s">
        <v>183</v>
      </c>
      <c r="DJ92" t="s">
        <v>211</v>
      </c>
      <c r="DK92" t="s">
        <v>808</v>
      </c>
      <c r="DM92" t="s">
        <v>1731</v>
      </c>
      <c r="DN92" t="s">
        <v>1733</v>
      </c>
      <c r="DO92" t="s">
        <v>238</v>
      </c>
      <c r="DP92" t="s">
        <v>239</v>
      </c>
      <c r="DQ92" t="s">
        <v>1734</v>
      </c>
      <c r="DR92" t="s">
        <v>247</v>
      </c>
      <c r="DS92" t="s">
        <v>183</v>
      </c>
      <c r="DT92" t="s">
        <v>211</v>
      </c>
      <c r="DU92" t="s">
        <v>1089</v>
      </c>
      <c r="DW92" t="s">
        <v>1731</v>
      </c>
      <c r="EG92" t="s">
        <v>198</v>
      </c>
      <c r="EQ92" t="s">
        <v>198</v>
      </c>
      <c r="FA92" t="s">
        <v>198</v>
      </c>
      <c r="FK92" t="s">
        <v>198</v>
      </c>
      <c r="FU92" t="s">
        <v>198</v>
      </c>
    </row>
    <row r="93" spans="1:177">
      <c r="A93" s="1" t="str">
        <f>HYPERLINK("http://digipan.lumentumllc.com/apps/getLink/index.php?t=PropLink&amp;p=7112413","PL")</f>
        <v>PL</v>
      </c>
      <c r="B93" s="1" t="str">
        <f>HYPERLINK("http://digipan.lumentumllc.com/apps/getLink/index.php?t=TaxLink&amp;p=7112413","TL")</f>
        <v>TL</v>
      </c>
      <c r="C93" s="1" t="str">
        <f>HYPERLINK("http://digipan.lumentumllc.com/apps/getMap/index.php?p=7112413","Map")</f>
        <v>Map</v>
      </c>
      <c r="E93" t="s">
        <v>177</v>
      </c>
      <c r="F93" t="s">
        <v>178</v>
      </c>
      <c r="L93" t="s">
        <v>1735</v>
      </c>
      <c r="N93" t="s">
        <v>1735</v>
      </c>
      <c r="O93" t="s">
        <v>1735</v>
      </c>
      <c r="P93" t="s">
        <v>1736</v>
      </c>
      <c r="Q93" t="s">
        <v>1735</v>
      </c>
      <c r="V93">
        <v>106</v>
      </c>
      <c r="W93">
        <v>1</v>
      </c>
      <c r="X93">
        <v>2017</v>
      </c>
      <c r="Y93">
        <v>2018</v>
      </c>
      <c r="Z93">
        <v>1765.03</v>
      </c>
      <c r="AB93" t="s">
        <v>181</v>
      </c>
      <c r="AC93" t="s">
        <v>182</v>
      </c>
      <c r="AD93" t="s">
        <v>183</v>
      </c>
      <c r="AE93">
        <v>2</v>
      </c>
      <c r="AF93">
        <v>0</v>
      </c>
      <c r="AG93" t="s">
        <v>1737</v>
      </c>
      <c r="AH93">
        <v>0</v>
      </c>
      <c r="AI93">
        <v>3500.22</v>
      </c>
      <c r="AJ93">
        <v>175.01</v>
      </c>
      <c r="AK93">
        <v>3675.23</v>
      </c>
      <c r="AL93">
        <v>168753</v>
      </c>
      <c r="AM93">
        <v>50580</v>
      </c>
      <c r="AN93">
        <v>118173</v>
      </c>
      <c r="AO93">
        <v>1582</v>
      </c>
      <c r="AP93">
        <v>2016</v>
      </c>
      <c r="AQ93">
        <v>1.05</v>
      </c>
      <c r="AR93">
        <v>2.1800000000000002</v>
      </c>
      <c r="AS93" t="s">
        <v>1738</v>
      </c>
      <c r="AT93" t="s">
        <v>186</v>
      </c>
      <c r="AU93" t="s">
        <v>177</v>
      </c>
      <c r="AV93" t="s">
        <v>187</v>
      </c>
      <c r="AW93" t="s">
        <v>202</v>
      </c>
      <c r="AX93">
        <v>1</v>
      </c>
      <c r="AY93" t="s">
        <v>188</v>
      </c>
      <c r="AZ93" t="s">
        <v>206</v>
      </c>
      <c r="BA93" t="s">
        <v>355</v>
      </c>
      <c r="BB93" t="s">
        <v>191</v>
      </c>
      <c r="BC93" t="s">
        <v>182</v>
      </c>
      <c r="BD93" t="s">
        <v>182</v>
      </c>
      <c r="BE93" t="s">
        <v>1739</v>
      </c>
      <c r="BF93">
        <v>1</v>
      </c>
      <c r="BG93">
        <v>1</v>
      </c>
      <c r="BH93">
        <v>1971</v>
      </c>
      <c r="BI93" t="s">
        <v>1740</v>
      </c>
      <c r="BJ93" t="s">
        <v>194</v>
      </c>
      <c r="BK93" t="s">
        <v>195</v>
      </c>
      <c r="BL93" t="s">
        <v>1741</v>
      </c>
      <c r="BM93" t="s">
        <v>1742</v>
      </c>
      <c r="BN93" t="s">
        <v>182</v>
      </c>
      <c r="BO93" t="s">
        <v>198</v>
      </c>
      <c r="BP93" t="s">
        <v>198</v>
      </c>
      <c r="BQ93" t="s">
        <v>198</v>
      </c>
      <c r="BR93" t="s">
        <v>198</v>
      </c>
      <c r="BS93" t="s">
        <v>198</v>
      </c>
      <c r="BT93" t="s">
        <v>198</v>
      </c>
      <c r="BU93" t="s">
        <v>182</v>
      </c>
      <c r="BV93" t="s">
        <v>198</v>
      </c>
      <c r="BW93" t="s">
        <v>198</v>
      </c>
      <c r="BX93" t="s">
        <v>199</v>
      </c>
      <c r="BY93" t="s">
        <v>198</v>
      </c>
      <c r="BZ93" t="s">
        <v>199</v>
      </c>
      <c r="CA93" t="s">
        <v>199</v>
      </c>
      <c r="CB93" t="s">
        <v>1743</v>
      </c>
      <c r="CC93" t="s">
        <v>201</v>
      </c>
      <c r="CD93" t="s">
        <v>182</v>
      </c>
      <c r="CE93" t="s">
        <v>1744</v>
      </c>
      <c r="CF93" t="s">
        <v>204</v>
      </c>
      <c r="CG93" t="s">
        <v>177</v>
      </c>
      <c r="CH93" t="s">
        <v>187</v>
      </c>
      <c r="CI93" t="s">
        <v>1745</v>
      </c>
      <c r="CJ93" t="s">
        <v>788</v>
      </c>
      <c r="CK93" t="s">
        <v>232</v>
      </c>
      <c r="CL93" t="s">
        <v>233</v>
      </c>
      <c r="CM93" t="s">
        <v>1746</v>
      </c>
      <c r="CN93" t="s">
        <v>235</v>
      </c>
      <c r="CO93" t="s">
        <v>183</v>
      </c>
      <c r="CP93" t="s">
        <v>266</v>
      </c>
      <c r="CS93" t="s">
        <v>198</v>
      </c>
      <c r="CT93" t="s">
        <v>1480</v>
      </c>
      <c r="CU93" t="s">
        <v>292</v>
      </c>
      <c r="CV93" t="s">
        <v>293</v>
      </c>
      <c r="CW93" t="s">
        <v>1747</v>
      </c>
      <c r="CX93" t="s">
        <v>235</v>
      </c>
      <c r="CY93" t="s">
        <v>183</v>
      </c>
      <c r="CZ93" t="s">
        <v>266</v>
      </c>
      <c r="DC93" t="s">
        <v>198</v>
      </c>
      <c r="DM93" t="s">
        <v>198</v>
      </c>
      <c r="DW93" t="s">
        <v>198</v>
      </c>
      <c r="EG93" t="s">
        <v>198</v>
      </c>
      <c r="EQ93" t="s">
        <v>198</v>
      </c>
      <c r="FA93" t="s">
        <v>198</v>
      </c>
      <c r="FK93" t="s">
        <v>198</v>
      </c>
      <c r="FU93" t="s">
        <v>198</v>
      </c>
    </row>
    <row r="94" spans="1:177">
      <c r="A94" s="1" t="str">
        <f>HYPERLINK("http://digipan.lumentumllc.com/apps/getLink/index.php?t=PropLink&amp;p=5246081","PL")</f>
        <v>PL</v>
      </c>
      <c r="B94" s="1" t="str">
        <f>HYPERLINK("http://digipan.lumentumllc.com/apps/getLink/index.php?t=TaxLink&amp;p=5246081","TL")</f>
        <v>TL</v>
      </c>
      <c r="C94" s="1" t="str">
        <f>HYPERLINK("http://digipan.lumentumllc.com/apps/getMap/index.php?p=5246081","Map")</f>
        <v>Map</v>
      </c>
      <c r="E94" t="s">
        <v>177</v>
      </c>
      <c r="F94" t="s">
        <v>178</v>
      </c>
      <c r="L94" t="s">
        <v>1748</v>
      </c>
      <c r="N94" t="s">
        <v>1748</v>
      </c>
      <c r="O94" t="s">
        <v>1748</v>
      </c>
      <c r="P94" t="s">
        <v>1749</v>
      </c>
      <c r="Q94" t="s">
        <v>1748</v>
      </c>
      <c r="V94">
        <v>107</v>
      </c>
      <c r="W94">
        <v>1</v>
      </c>
      <c r="X94">
        <v>2017</v>
      </c>
      <c r="Y94">
        <v>2018</v>
      </c>
      <c r="Z94">
        <v>388.2</v>
      </c>
      <c r="AB94" t="s">
        <v>181</v>
      </c>
      <c r="AC94" t="s">
        <v>182</v>
      </c>
      <c r="AD94" t="s">
        <v>183</v>
      </c>
      <c r="AE94">
        <v>1</v>
      </c>
      <c r="AF94">
        <v>7</v>
      </c>
      <c r="AG94" t="s">
        <v>418</v>
      </c>
      <c r="AH94">
        <v>86</v>
      </c>
      <c r="AI94">
        <v>388.23</v>
      </c>
      <c r="AJ94">
        <v>19.41</v>
      </c>
      <c r="AK94">
        <v>407.64</v>
      </c>
      <c r="AL94">
        <v>43512</v>
      </c>
      <c r="AM94">
        <v>33120</v>
      </c>
      <c r="AN94">
        <v>10392</v>
      </c>
      <c r="AO94">
        <v>334</v>
      </c>
      <c r="AP94">
        <v>2016</v>
      </c>
      <c r="AQ94">
        <v>0.89</v>
      </c>
      <c r="AR94">
        <v>0.94</v>
      </c>
      <c r="AS94" t="s">
        <v>1750</v>
      </c>
      <c r="AT94" t="s">
        <v>186</v>
      </c>
      <c r="AU94" t="s">
        <v>177</v>
      </c>
      <c r="AV94" t="s">
        <v>187</v>
      </c>
      <c r="AW94" t="s">
        <v>202</v>
      </c>
      <c r="AX94">
        <v>2</v>
      </c>
      <c r="AY94" t="s">
        <v>188</v>
      </c>
      <c r="AZ94" t="s">
        <v>189</v>
      </c>
      <c r="BA94" t="s">
        <v>190</v>
      </c>
      <c r="BB94" t="s">
        <v>191</v>
      </c>
      <c r="BC94" t="s">
        <v>182</v>
      </c>
      <c r="BD94" t="s">
        <v>182</v>
      </c>
      <c r="BE94" t="s">
        <v>1751</v>
      </c>
      <c r="BF94">
        <v>1</v>
      </c>
      <c r="BG94">
        <v>1</v>
      </c>
      <c r="BH94">
        <v>1983</v>
      </c>
      <c r="BI94" t="s">
        <v>1752</v>
      </c>
      <c r="BJ94" t="s">
        <v>194</v>
      </c>
      <c r="BK94" t="s">
        <v>195</v>
      </c>
      <c r="BL94" t="s">
        <v>1753</v>
      </c>
      <c r="BM94" t="s">
        <v>1387</v>
      </c>
      <c r="BN94" t="s">
        <v>182</v>
      </c>
      <c r="BO94" t="s">
        <v>198</v>
      </c>
      <c r="BP94" t="s">
        <v>198</v>
      </c>
      <c r="BQ94" t="s">
        <v>198</v>
      </c>
      <c r="BR94" t="s">
        <v>198</v>
      </c>
      <c r="BS94" t="s">
        <v>198</v>
      </c>
      <c r="BT94" t="s">
        <v>198</v>
      </c>
      <c r="BU94" t="s">
        <v>182</v>
      </c>
      <c r="BV94" t="s">
        <v>198</v>
      </c>
      <c r="BW94" t="s">
        <v>198</v>
      </c>
      <c r="BX94" t="s">
        <v>199</v>
      </c>
      <c r="BY94" t="s">
        <v>198</v>
      </c>
      <c r="BZ94" t="s">
        <v>199</v>
      </c>
      <c r="CA94" t="s">
        <v>199</v>
      </c>
      <c r="CB94" t="s">
        <v>1754</v>
      </c>
      <c r="CC94" t="s">
        <v>201</v>
      </c>
      <c r="CD94" t="s">
        <v>202</v>
      </c>
      <c r="CE94" t="s">
        <v>1755</v>
      </c>
      <c r="CF94" t="s">
        <v>204</v>
      </c>
      <c r="CG94" t="s">
        <v>177</v>
      </c>
      <c r="CH94" t="s">
        <v>187</v>
      </c>
      <c r="CI94" t="s">
        <v>1756</v>
      </c>
      <c r="CJ94" t="s">
        <v>1757</v>
      </c>
      <c r="CK94" t="s">
        <v>232</v>
      </c>
      <c r="CL94" t="s">
        <v>233</v>
      </c>
      <c r="CM94" t="s">
        <v>1758</v>
      </c>
      <c r="CN94" t="s">
        <v>235</v>
      </c>
      <c r="CO94" t="s">
        <v>183</v>
      </c>
      <c r="CP94" t="s">
        <v>266</v>
      </c>
      <c r="CS94" t="s">
        <v>198</v>
      </c>
      <c r="CT94" t="s">
        <v>1643</v>
      </c>
      <c r="CU94" t="s">
        <v>292</v>
      </c>
      <c r="CV94" t="s">
        <v>293</v>
      </c>
      <c r="CW94" t="s">
        <v>1759</v>
      </c>
      <c r="CX94" t="s">
        <v>235</v>
      </c>
      <c r="CY94" t="s">
        <v>183</v>
      </c>
      <c r="CZ94" t="s">
        <v>211</v>
      </c>
      <c r="DA94" t="s">
        <v>298</v>
      </c>
      <c r="DC94" t="s">
        <v>1760</v>
      </c>
      <c r="DD94" t="s">
        <v>1643</v>
      </c>
      <c r="DE94" t="s">
        <v>267</v>
      </c>
      <c r="DF94" t="s">
        <v>268</v>
      </c>
      <c r="DG94" t="s">
        <v>1761</v>
      </c>
      <c r="DH94" t="s">
        <v>235</v>
      </c>
      <c r="DI94" t="s">
        <v>183</v>
      </c>
      <c r="DJ94" t="s">
        <v>211</v>
      </c>
      <c r="DK94" t="s">
        <v>298</v>
      </c>
      <c r="DM94" t="s">
        <v>868</v>
      </c>
      <c r="DN94" t="s">
        <v>1762</v>
      </c>
      <c r="DO94" t="s">
        <v>273</v>
      </c>
      <c r="DP94" t="s">
        <v>274</v>
      </c>
      <c r="DQ94" t="s">
        <v>1763</v>
      </c>
      <c r="DR94" t="s">
        <v>514</v>
      </c>
      <c r="DS94" t="s">
        <v>183</v>
      </c>
      <c r="DT94" t="s">
        <v>211</v>
      </c>
      <c r="DU94" t="s">
        <v>298</v>
      </c>
      <c r="DW94" t="s">
        <v>1432</v>
      </c>
      <c r="DX94" t="s">
        <v>1643</v>
      </c>
      <c r="DY94" t="s">
        <v>302</v>
      </c>
      <c r="DZ94" t="s">
        <v>303</v>
      </c>
      <c r="EA94" t="s">
        <v>1764</v>
      </c>
      <c r="EB94" t="s">
        <v>331</v>
      </c>
      <c r="EC94" t="s">
        <v>183</v>
      </c>
      <c r="ED94" t="s">
        <v>211</v>
      </c>
      <c r="EE94" t="s">
        <v>298</v>
      </c>
      <c r="EG94" t="s">
        <v>1765</v>
      </c>
      <c r="EH94" t="s">
        <v>1766</v>
      </c>
      <c r="EI94" t="s">
        <v>238</v>
      </c>
      <c r="EJ94" t="s">
        <v>239</v>
      </c>
      <c r="EK94" t="s">
        <v>1767</v>
      </c>
      <c r="EL94" t="s">
        <v>278</v>
      </c>
      <c r="EM94" t="s">
        <v>183</v>
      </c>
      <c r="EN94" t="s">
        <v>211</v>
      </c>
      <c r="EO94" t="s">
        <v>298</v>
      </c>
      <c r="EQ94" t="s">
        <v>875</v>
      </c>
      <c r="ER94" t="s">
        <v>1768</v>
      </c>
      <c r="ES94" t="s">
        <v>346</v>
      </c>
      <c r="ET94" t="s">
        <v>347</v>
      </c>
      <c r="EU94" t="s">
        <v>1769</v>
      </c>
      <c r="EV94" t="s">
        <v>247</v>
      </c>
      <c r="EW94" t="s">
        <v>183</v>
      </c>
      <c r="EX94" t="s">
        <v>211</v>
      </c>
      <c r="EY94" t="s">
        <v>329</v>
      </c>
      <c r="FA94" t="s">
        <v>1770</v>
      </c>
      <c r="FB94" t="s">
        <v>1771</v>
      </c>
      <c r="FC94" t="s">
        <v>207</v>
      </c>
      <c r="FD94" t="s">
        <v>208</v>
      </c>
      <c r="FE94" t="s">
        <v>1772</v>
      </c>
      <c r="FF94" t="s">
        <v>210</v>
      </c>
      <c r="FG94" t="s">
        <v>183</v>
      </c>
      <c r="FH94" t="s">
        <v>211</v>
      </c>
      <c r="FI94" t="s">
        <v>264</v>
      </c>
      <c r="FK94" t="s">
        <v>1773</v>
      </c>
      <c r="FU94" t="s">
        <v>198</v>
      </c>
    </row>
    <row r="95" spans="1:177">
      <c r="A95" s="1" t="str">
        <f>HYPERLINK("http://digipan.lumentumllc.com/apps/getLink/index.php?t=PropLink&amp;p=5246082","PL")</f>
        <v>PL</v>
      </c>
      <c r="B95" s="1" t="str">
        <f>HYPERLINK("http://digipan.lumentumllc.com/apps/getLink/index.php?t=TaxLink&amp;p=5246082","TL")</f>
        <v>TL</v>
      </c>
      <c r="C95" s="1" t="str">
        <f>HYPERLINK("http://digipan.lumentumllc.com/apps/getMap/index.php?p=5246082","Map")</f>
        <v>Map</v>
      </c>
      <c r="E95" t="s">
        <v>177</v>
      </c>
      <c r="F95" t="s">
        <v>178</v>
      </c>
      <c r="L95" t="s">
        <v>1774</v>
      </c>
      <c r="N95" t="s">
        <v>1774</v>
      </c>
      <c r="O95" t="s">
        <v>1774</v>
      </c>
      <c r="P95" t="s">
        <v>1775</v>
      </c>
      <c r="Q95" t="s">
        <v>1774</v>
      </c>
      <c r="V95">
        <v>108</v>
      </c>
      <c r="W95">
        <v>1</v>
      </c>
      <c r="X95">
        <v>2017</v>
      </c>
      <c r="Y95">
        <v>2018</v>
      </c>
      <c r="Z95">
        <v>418.44</v>
      </c>
      <c r="AB95" t="s">
        <v>181</v>
      </c>
      <c r="AC95" t="s">
        <v>182</v>
      </c>
      <c r="AD95" t="s">
        <v>183</v>
      </c>
      <c r="AE95">
        <v>3</v>
      </c>
      <c r="AF95">
        <v>5</v>
      </c>
      <c r="AG95" t="s">
        <v>1776</v>
      </c>
      <c r="AH95">
        <v>57</v>
      </c>
      <c r="AI95">
        <v>990.46</v>
      </c>
      <c r="AJ95">
        <v>109.04</v>
      </c>
      <c r="AK95">
        <v>1099.5</v>
      </c>
      <c r="AL95">
        <v>27713</v>
      </c>
      <c r="AM95">
        <v>19950</v>
      </c>
      <c r="AN95">
        <v>7763</v>
      </c>
      <c r="AO95">
        <v>285</v>
      </c>
      <c r="AP95">
        <v>2016</v>
      </c>
      <c r="AQ95">
        <v>1.51</v>
      </c>
      <c r="AR95">
        <v>3.97</v>
      </c>
      <c r="AS95" t="s">
        <v>1777</v>
      </c>
      <c r="AT95" t="s">
        <v>186</v>
      </c>
      <c r="AU95" t="s">
        <v>177</v>
      </c>
      <c r="AV95" t="s">
        <v>187</v>
      </c>
      <c r="AW95" t="s">
        <v>182</v>
      </c>
      <c r="AX95">
        <v>0</v>
      </c>
      <c r="AY95" t="s">
        <v>312</v>
      </c>
      <c r="AZ95" t="s">
        <v>199</v>
      </c>
      <c r="BA95" t="s">
        <v>313</v>
      </c>
      <c r="BB95" t="s">
        <v>191</v>
      </c>
      <c r="BC95" t="s">
        <v>182</v>
      </c>
      <c r="BD95" t="s">
        <v>182</v>
      </c>
      <c r="BE95" t="s">
        <v>1778</v>
      </c>
      <c r="BF95">
        <v>0</v>
      </c>
      <c r="BG95">
        <v>0</v>
      </c>
      <c r="BH95">
        <v>0</v>
      </c>
      <c r="BI95" t="s">
        <v>199</v>
      </c>
      <c r="BJ95" t="s">
        <v>248</v>
      </c>
      <c r="BL95" t="s">
        <v>1144</v>
      </c>
      <c r="BM95" t="s">
        <v>1779</v>
      </c>
      <c r="BN95" t="s">
        <v>182</v>
      </c>
      <c r="BO95" t="s">
        <v>198</v>
      </c>
      <c r="BP95" t="s">
        <v>198</v>
      </c>
      <c r="BQ95" t="s">
        <v>198</v>
      </c>
      <c r="BR95" t="s">
        <v>198</v>
      </c>
      <c r="BS95" t="s">
        <v>198</v>
      </c>
      <c r="BT95" t="s">
        <v>198</v>
      </c>
      <c r="BU95" t="s">
        <v>182</v>
      </c>
      <c r="BV95" t="s">
        <v>198</v>
      </c>
      <c r="BW95" t="s">
        <v>198</v>
      </c>
      <c r="BX95" t="s">
        <v>199</v>
      </c>
      <c r="BY95" t="s">
        <v>198</v>
      </c>
      <c r="BZ95" t="s">
        <v>199</v>
      </c>
      <c r="CA95" t="s">
        <v>199</v>
      </c>
      <c r="CB95" t="s">
        <v>1780</v>
      </c>
      <c r="CC95" t="s">
        <v>201</v>
      </c>
      <c r="CD95" t="s">
        <v>182</v>
      </c>
      <c r="CE95" t="s">
        <v>1781</v>
      </c>
      <c r="CF95" t="s">
        <v>204</v>
      </c>
      <c r="CG95" t="s">
        <v>177</v>
      </c>
      <c r="CH95" t="s">
        <v>187</v>
      </c>
      <c r="CI95" t="s">
        <v>1782</v>
      </c>
      <c r="CJ95" t="s">
        <v>775</v>
      </c>
      <c r="CK95" t="s">
        <v>232</v>
      </c>
      <c r="CL95" t="s">
        <v>233</v>
      </c>
      <c r="CM95" t="s">
        <v>1783</v>
      </c>
      <c r="CN95" t="s">
        <v>484</v>
      </c>
      <c r="CO95" t="s">
        <v>183</v>
      </c>
      <c r="CP95" t="s">
        <v>266</v>
      </c>
      <c r="CS95" t="s">
        <v>198</v>
      </c>
      <c r="CT95" t="s">
        <v>1499</v>
      </c>
      <c r="CU95" t="s">
        <v>292</v>
      </c>
      <c r="CV95" t="s">
        <v>293</v>
      </c>
      <c r="CW95" t="s">
        <v>1784</v>
      </c>
      <c r="CX95" t="s">
        <v>235</v>
      </c>
      <c r="CY95" t="s">
        <v>183</v>
      </c>
      <c r="CZ95" t="s">
        <v>266</v>
      </c>
      <c r="DC95" t="s">
        <v>198</v>
      </c>
      <c r="DD95" t="s">
        <v>1499</v>
      </c>
      <c r="DE95" t="s">
        <v>267</v>
      </c>
      <c r="DF95" t="s">
        <v>268</v>
      </c>
      <c r="DG95" t="s">
        <v>1785</v>
      </c>
      <c r="DH95" t="s">
        <v>331</v>
      </c>
      <c r="DI95" t="s">
        <v>183</v>
      </c>
      <c r="DJ95" t="s">
        <v>266</v>
      </c>
      <c r="DM95" t="s">
        <v>198</v>
      </c>
      <c r="DN95" t="s">
        <v>738</v>
      </c>
      <c r="DO95" t="s">
        <v>273</v>
      </c>
      <c r="DP95" t="s">
        <v>274</v>
      </c>
      <c r="DQ95" t="s">
        <v>1786</v>
      </c>
      <c r="DR95" t="s">
        <v>402</v>
      </c>
      <c r="DS95" t="s">
        <v>183</v>
      </c>
      <c r="DT95" t="s">
        <v>211</v>
      </c>
      <c r="DU95" t="s">
        <v>189</v>
      </c>
      <c r="DW95" t="s">
        <v>1787</v>
      </c>
      <c r="DX95" t="s">
        <v>1499</v>
      </c>
      <c r="DY95" t="s">
        <v>302</v>
      </c>
      <c r="DZ95" t="s">
        <v>303</v>
      </c>
      <c r="EA95" t="s">
        <v>1788</v>
      </c>
      <c r="EB95" t="s">
        <v>440</v>
      </c>
      <c r="EC95" t="s">
        <v>183</v>
      </c>
      <c r="ED95" t="s">
        <v>211</v>
      </c>
      <c r="EE95" t="s">
        <v>212</v>
      </c>
      <c r="EG95" t="s">
        <v>1789</v>
      </c>
      <c r="EH95" t="s">
        <v>1790</v>
      </c>
      <c r="EI95" t="s">
        <v>238</v>
      </c>
      <c r="EJ95" t="s">
        <v>239</v>
      </c>
      <c r="EK95" t="s">
        <v>1791</v>
      </c>
      <c r="EL95" t="s">
        <v>278</v>
      </c>
      <c r="EM95" t="s">
        <v>183</v>
      </c>
      <c r="EN95" t="s">
        <v>211</v>
      </c>
      <c r="EO95" t="s">
        <v>345</v>
      </c>
      <c r="EQ95" t="s">
        <v>1097</v>
      </c>
      <c r="ER95" t="s">
        <v>1792</v>
      </c>
      <c r="ES95" t="s">
        <v>346</v>
      </c>
      <c r="ET95" t="s">
        <v>347</v>
      </c>
      <c r="EU95" t="s">
        <v>1793</v>
      </c>
      <c r="EV95" t="s">
        <v>235</v>
      </c>
      <c r="EW95" t="s">
        <v>183</v>
      </c>
      <c r="EX95" t="s">
        <v>211</v>
      </c>
      <c r="EY95" t="s">
        <v>525</v>
      </c>
      <c r="FA95" t="s">
        <v>1794</v>
      </c>
      <c r="FB95" t="s">
        <v>1567</v>
      </c>
      <c r="FC95" t="s">
        <v>207</v>
      </c>
      <c r="FD95" t="s">
        <v>208</v>
      </c>
      <c r="FE95" t="s">
        <v>1795</v>
      </c>
      <c r="FF95" t="s">
        <v>210</v>
      </c>
      <c r="FG95" t="s">
        <v>183</v>
      </c>
      <c r="FH95" t="s">
        <v>211</v>
      </c>
      <c r="FI95" t="s">
        <v>199</v>
      </c>
      <c r="FK95" t="s">
        <v>1796</v>
      </c>
      <c r="FU95" t="s">
        <v>198</v>
      </c>
    </row>
    <row r="96" spans="1:177">
      <c r="A96" s="1" t="str">
        <f>HYPERLINK("http://digipan.lumentumllc.com/apps/getLink/index.php?t=PropLink&amp;p=5246083","PL")</f>
        <v>PL</v>
      </c>
      <c r="B96" s="1" t="str">
        <f>HYPERLINK("http://digipan.lumentumllc.com/apps/getLink/index.php?t=TaxLink&amp;p=5246083","TL")</f>
        <v>TL</v>
      </c>
      <c r="C96" s="1" t="str">
        <f>HYPERLINK("http://digipan.lumentumllc.com/apps/getMap/index.php?p=5246083","Map")</f>
        <v>Map</v>
      </c>
      <c r="E96" t="s">
        <v>177</v>
      </c>
      <c r="F96" t="s">
        <v>178</v>
      </c>
      <c r="L96" t="s">
        <v>1797</v>
      </c>
      <c r="N96" t="s">
        <v>1797</v>
      </c>
      <c r="O96" t="s">
        <v>1797</v>
      </c>
      <c r="P96" t="s">
        <v>1798</v>
      </c>
      <c r="Q96" t="s">
        <v>1797</v>
      </c>
      <c r="V96">
        <v>109</v>
      </c>
      <c r="W96">
        <v>1</v>
      </c>
      <c r="X96">
        <v>2017</v>
      </c>
      <c r="Y96">
        <v>2018</v>
      </c>
      <c r="Z96">
        <v>1084.05</v>
      </c>
      <c r="AB96" t="s">
        <v>181</v>
      </c>
      <c r="AC96" t="s">
        <v>182</v>
      </c>
      <c r="AD96" t="s">
        <v>183</v>
      </c>
      <c r="AE96">
        <v>1</v>
      </c>
      <c r="AF96">
        <v>6</v>
      </c>
      <c r="AG96" t="s">
        <v>418</v>
      </c>
      <c r="AH96">
        <v>86</v>
      </c>
      <c r="AI96">
        <v>1061.1199999999999</v>
      </c>
      <c r="AJ96">
        <v>53.06</v>
      </c>
      <c r="AK96">
        <v>1114.18</v>
      </c>
      <c r="AL96">
        <v>119744</v>
      </c>
      <c r="AM96">
        <v>33120</v>
      </c>
      <c r="AN96">
        <v>86624</v>
      </c>
      <c r="AO96">
        <v>956</v>
      </c>
      <c r="AP96">
        <v>2016</v>
      </c>
      <c r="AQ96">
        <v>0.91</v>
      </c>
      <c r="AR96">
        <v>0.93</v>
      </c>
      <c r="AS96" t="s">
        <v>1799</v>
      </c>
      <c r="AT96" t="s">
        <v>186</v>
      </c>
      <c r="AU96" t="s">
        <v>177</v>
      </c>
      <c r="AV96" t="s">
        <v>187</v>
      </c>
      <c r="AW96" t="s">
        <v>202</v>
      </c>
      <c r="AX96">
        <v>1</v>
      </c>
      <c r="AY96" t="s">
        <v>188</v>
      </c>
      <c r="AZ96" t="s">
        <v>206</v>
      </c>
      <c r="BA96" t="s">
        <v>355</v>
      </c>
      <c r="BB96" t="s">
        <v>191</v>
      </c>
      <c r="BC96" t="s">
        <v>182</v>
      </c>
      <c r="BD96" t="s">
        <v>182</v>
      </c>
      <c r="BE96" t="s">
        <v>1751</v>
      </c>
      <c r="BF96">
        <v>1</v>
      </c>
      <c r="BG96">
        <v>1</v>
      </c>
      <c r="BH96">
        <v>1950</v>
      </c>
      <c r="BI96" t="s">
        <v>1800</v>
      </c>
      <c r="BJ96" t="s">
        <v>194</v>
      </c>
      <c r="BK96" t="s">
        <v>195</v>
      </c>
      <c r="BL96" t="s">
        <v>1801</v>
      </c>
      <c r="BM96" t="s">
        <v>1311</v>
      </c>
      <c r="BN96" t="s">
        <v>182</v>
      </c>
      <c r="BO96" t="s">
        <v>198</v>
      </c>
      <c r="BP96" t="s">
        <v>198</v>
      </c>
      <c r="BQ96" t="s">
        <v>198</v>
      </c>
      <c r="BR96" t="s">
        <v>198</v>
      </c>
      <c r="BS96" t="s">
        <v>198</v>
      </c>
      <c r="BT96" t="s">
        <v>198</v>
      </c>
      <c r="BU96" t="s">
        <v>182</v>
      </c>
      <c r="BV96" t="s">
        <v>198</v>
      </c>
      <c r="BW96" t="s">
        <v>198</v>
      </c>
      <c r="BX96" t="s">
        <v>199</v>
      </c>
      <c r="BY96" t="s">
        <v>198</v>
      </c>
      <c r="BZ96" t="s">
        <v>199</v>
      </c>
      <c r="CA96" t="s">
        <v>199</v>
      </c>
      <c r="CB96" t="s">
        <v>1802</v>
      </c>
      <c r="CC96" t="s">
        <v>201</v>
      </c>
      <c r="CD96" t="s">
        <v>182</v>
      </c>
      <c r="CE96" t="s">
        <v>1803</v>
      </c>
      <c r="CF96" t="s">
        <v>204</v>
      </c>
      <c r="CG96" t="s">
        <v>177</v>
      </c>
      <c r="CH96" t="s">
        <v>187</v>
      </c>
      <c r="CI96" t="s">
        <v>1804</v>
      </c>
      <c r="CJ96" t="s">
        <v>1805</v>
      </c>
      <c r="CK96" t="s">
        <v>232</v>
      </c>
      <c r="CL96" t="s">
        <v>233</v>
      </c>
      <c r="CM96" t="s">
        <v>1806</v>
      </c>
      <c r="CN96" t="s">
        <v>235</v>
      </c>
      <c r="CO96" t="s">
        <v>183</v>
      </c>
      <c r="CP96" t="s">
        <v>266</v>
      </c>
      <c r="CS96" t="s">
        <v>198</v>
      </c>
      <c r="CT96" t="s">
        <v>722</v>
      </c>
      <c r="CU96" t="s">
        <v>292</v>
      </c>
      <c r="CV96" t="s">
        <v>293</v>
      </c>
      <c r="CW96" t="s">
        <v>1807</v>
      </c>
      <c r="CX96" t="s">
        <v>235</v>
      </c>
      <c r="CY96" t="s">
        <v>183</v>
      </c>
      <c r="CZ96" t="s">
        <v>211</v>
      </c>
      <c r="DA96" t="s">
        <v>298</v>
      </c>
      <c r="DC96" t="s">
        <v>1235</v>
      </c>
      <c r="DD96" t="s">
        <v>722</v>
      </c>
      <c r="DE96" t="s">
        <v>267</v>
      </c>
      <c r="DF96" t="s">
        <v>268</v>
      </c>
      <c r="DG96" t="s">
        <v>1808</v>
      </c>
      <c r="DH96" t="s">
        <v>235</v>
      </c>
      <c r="DI96" t="s">
        <v>183</v>
      </c>
      <c r="DJ96" t="s">
        <v>211</v>
      </c>
      <c r="DK96" t="s">
        <v>523</v>
      </c>
      <c r="DM96" t="s">
        <v>1809</v>
      </c>
      <c r="DN96" t="s">
        <v>756</v>
      </c>
      <c r="DO96" t="s">
        <v>273</v>
      </c>
      <c r="DP96" t="s">
        <v>274</v>
      </c>
      <c r="DQ96" t="s">
        <v>1810</v>
      </c>
      <c r="DR96" t="s">
        <v>235</v>
      </c>
      <c r="DS96" t="s">
        <v>183</v>
      </c>
      <c r="DT96" t="s">
        <v>211</v>
      </c>
      <c r="DU96" t="s">
        <v>298</v>
      </c>
      <c r="DW96" t="s">
        <v>1811</v>
      </c>
      <c r="DX96" t="s">
        <v>722</v>
      </c>
      <c r="DY96" t="s">
        <v>302</v>
      </c>
      <c r="DZ96" t="s">
        <v>303</v>
      </c>
      <c r="EA96" t="s">
        <v>1812</v>
      </c>
      <c r="EB96" t="s">
        <v>235</v>
      </c>
      <c r="EC96" t="s">
        <v>183</v>
      </c>
      <c r="ED96" t="s">
        <v>211</v>
      </c>
      <c r="EE96" t="s">
        <v>298</v>
      </c>
      <c r="EG96" t="s">
        <v>1071</v>
      </c>
      <c r="EH96" t="s">
        <v>1813</v>
      </c>
      <c r="EI96" t="s">
        <v>238</v>
      </c>
      <c r="EJ96" t="s">
        <v>239</v>
      </c>
      <c r="EK96" t="s">
        <v>1814</v>
      </c>
      <c r="EL96" t="s">
        <v>235</v>
      </c>
      <c r="EM96" t="s">
        <v>183</v>
      </c>
      <c r="EN96" t="s">
        <v>211</v>
      </c>
      <c r="EO96" t="s">
        <v>298</v>
      </c>
      <c r="EQ96" t="s">
        <v>1815</v>
      </c>
      <c r="ER96" t="s">
        <v>1816</v>
      </c>
      <c r="ES96" t="s">
        <v>346</v>
      </c>
      <c r="ET96" t="s">
        <v>347</v>
      </c>
      <c r="EU96" t="s">
        <v>1817</v>
      </c>
      <c r="EV96" t="s">
        <v>235</v>
      </c>
      <c r="EW96" t="s">
        <v>183</v>
      </c>
      <c r="EX96" t="s">
        <v>211</v>
      </c>
      <c r="EY96" t="s">
        <v>298</v>
      </c>
      <c r="FA96" t="s">
        <v>1818</v>
      </c>
      <c r="FK96" t="s">
        <v>198</v>
      </c>
      <c r="FU96" t="s">
        <v>198</v>
      </c>
    </row>
    <row r="97" spans="1:177">
      <c r="A97" s="1" t="str">
        <f>HYPERLINK("http://digipan.lumentumllc.com/apps/getLink/index.php?t=PropLink&amp;p=5246084","PL")</f>
        <v>PL</v>
      </c>
      <c r="B97" s="1" t="str">
        <f>HYPERLINK("http://digipan.lumentumllc.com/apps/getLink/index.php?t=TaxLink&amp;p=5246084","TL")</f>
        <v>TL</v>
      </c>
      <c r="C97" s="1" t="str">
        <f>HYPERLINK("http://digipan.lumentumllc.com/apps/getMap/index.php?p=5246084","Map")</f>
        <v>Map</v>
      </c>
      <c r="E97" t="s">
        <v>177</v>
      </c>
      <c r="F97" t="s">
        <v>178</v>
      </c>
      <c r="L97" t="s">
        <v>1819</v>
      </c>
      <c r="N97" t="s">
        <v>1819</v>
      </c>
      <c r="O97" t="s">
        <v>1819</v>
      </c>
      <c r="P97" t="s">
        <v>1820</v>
      </c>
      <c r="Q97" t="s">
        <v>1819</v>
      </c>
      <c r="V97">
        <v>110</v>
      </c>
      <c r="W97">
        <v>1</v>
      </c>
      <c r="X97">
        <v>2017</v>
      </c>
      <c r="Y97">
        <v>2018</v>
      </c>
      <c r="Z97">
        <v>1225.96</v>
      </c>
      <c r="AB97" t="s">
        <v>181</v>
      </c>
      <c r="AC97" t="s">
        <v>182</v>
      </c>
      <c r="AD97" t="s">
        <v>183</v>
      </c>
      <c r="AE97">
        <v>1</v>
      </c>
      <c r="AF97">
        <v>5</v>
      </c>
      <c r="AG97" t="s">
        <v>322</v>
      </c>
      <c r="AH97">
        <v>83</v>
      </c>
      <c r="AI97">
        <v>1202.23</v>
      </c>
      <c r="AJ97">
        <v>60.11</v>
      </c>
      <c r="AK97">
        <v>1262.3399999999999</v>
      </c>
      <c r="AL97">
        <v>119602</v>
      </c>
      <c r="AM97">
        <v>46720</v>
      </c>
      <c r="AN97">
        <v>72882</v>
      </c>
      <c r="AO97">
        <v>1087</v>
      </c>
      <c r="AP97">
        <v>2016</v>
      </c>
      <c r="AQ97">
        <v>1.03</v>
      </c>
      <c r="AR97">
        <v>1.06</v>
      </c>
      <c r="AS97" t="s">
        <v>1821</v>
      </c>
      <c r="AT97" t="s">
        <v>186</v>
      </c>
      <c r="AU97" t="s">
        <v>177</v>
      </c>
      <c r="AV97" t="s">
        <v>187</v>
      </c>
      <c r="AW97" t="s">
        <v>202</v>
      </c>
      <c r="AX97">
        <v>2</v>
      </c>
      <c r="AY97" t="s">
        <v>188</v>
      </c>
      <c r="AZ97" t="s">
        <v>189</v>
      </c>
      <c r="BA97" t="s">
        <v>190</v>
      </c>
      <c r="BB97" t="s">
        <v>191</v>
      </c>
      <c r="BC97" t="s">
        <v>182</v>
      </c>
      <c r="BD97" t="s">
        <v>182</v>
      </c>
      <c r="BE97" t="s">
        <v>1822</v>
      </c>
      <c r="BF97">
        <v>1</v>
      </c>
      <c r="BG97">
        <v>1</v>
      </c>
      <c r="BH97">
        <v>1999</v>
      </c>
      <c r="BI97" t="s">
        <v>1823</v>
      </c>
      <c r="BJ97" t="s">
        <v>194</v>
      </c>
      <c r="BK97" t="s">
        <v>195</v>
      </c>
      <c r="BL97" t="s">
        <v>1824</v>
      </c>
      <c r="BM97" t="s">
        <v>1825</v>
      </c>
      <c r="BN97" t="s">
        <v>182</v>
      </c>
      <c r="BO97" t="s">
        <v>1204</v>
      </c>
      <c r="BP97" t="s">
        <v>1826</v>
      </c>
      <c r="BQ97" t="s">
        <v>800</v>
      </c>
      <c r="BR97" t="s">
        <v>563</v>
      </c>
      <c r="BS97" t="s">
        <v>198</v>
      </c>
      <c r="BT97" t="s">
        <v>1827</v>
      </c>
      <c r="BU97" t="s">
        <v>182</v>
      </c>
      <c r="BV97" t="s">
        <v>198</v>
      </c>
      <c r="BW97" t="s">
        <v>198</v>
      </c>
      <c r="BX97" t="s">
        <v>199</v>
      </c>
      <c r="BY97" t="s">
        <v>198</v>
      </c>
      <c r="BZ97" t="s">
        <v>199</v>
      </c>
      <c r="CA97" t="s">
        <v>199</v>
      </c>
      <c r="CB97" t="s">
        <v>1828</v>
      </c>
      <c r="CC97" t="s">
        <v>201</v>
      </c>
      <c r="CD97" t="s">
        <v>182</v>
      </c>
      <c r="CE97" t="s">
        <v>1829</v>
      </c>
      <c r="CF97" t="s">
        <v>1029</v>
      </c>
      <c r="CG97" t="s">
        <v>177</v>
      </c>
      <c r="CH97" t="s">
        <v>1030</v>
      </c>
      <c r="CI97" t="s">
        <v>1830</v>
      </c>
      <c r="CJ97" t="s">
        <v>790</v>
      </c>
      <c r="CK97" t="s">
        <v>232</v>
      </c>
      <c r="CL97" t="s">
        <v>233</v>
      </c>
      <c r="CM97" t="s">
        <v>1831</v>
      </c>
      <c r="CN97" t="s">
        <v>235</v>
      </c>
      <c r="CO97" t="s">
        <v>183</v>
      </c>
      <c r="CP97" t="s">
        <v>266</v>
      </c>
      <c r="CS97" t="s">
        <v>198</v>
      </c>
      <c r="CT97" t="s">
        <v>1523</v>
      </c>
      <c r="CU97" t="s">
        <v>267</v>
      </c>
      <c r="CV97" t="s">
        <v>268</v>
      </c>
      <c r="CW97" t="s">
        <v>1832</v>
      </c>
      <c r="CX97" t="s">
        <v>235</v>
      </c>
      <c r="CY97" t="s">
        <v>183</v>
      </c>
      <c r="CZ97" t="s">
        <v>211</v>
      </c>
      <c r="DA97" t="s">
        <v>189</v>
      </c>
      <c r="DC97" t="s">
        <v>1833</v>
      </c>
      <c r="DD97" t="s">
        <v>1638</v>
      </c>
      <c r="DE97" t="s">
        <v>273</v>
      </c>
      <c r="DF97" t="s">
        <v>274</v>
      </c>
      <c r="DG97" t="s">
        <v>1834</v>
      </c>
      <c r="DH97" t="s">
        <v>235</v>
      </c>
      <c r="DI97" t="s">
        <v>183</v>
      </c>
      <c r="DJ97" t="s">
        <v>211</v>
      </c>
      <c r="DK97" t="s">
        <v>189</v>
      </c>
      <c r="DM97" t="s">
        <v>1835</v>
      </c>
      <c r="DN97" t="s">
        <v>1523</v>
      </c>
      <c r="DO97" t="s">
        <v>302</v>
      </c>
      <c r="DP97" t="s">
        <v>303</v>
      </c>
      <c r="DQ97" t="s">
        <v>1836</v>
      </c>
      <c r="DR97" t="s">
        <v>235</v>
      </c>
      <c r="DS97" t="s">
        <v>183</v>
      </c>
      <c r="DT97" t="s">
        <v>211</v>
      </c>
      <c r="DU97" t="s">
        <v>250</v>
      </c>
      <c r="DW97" t="s">
        <v>1837</v>
      </c>
      <c r="DX97" t="s">
        <v>1838</v>
      </c>
      <c r="DY97" t="s">
        <v>238</v>
      </c>
      <c r="DZ97" t="s">
        <v>239</v>
      </c>
      <c r="EA97" t="s">
        <v>1839</v>
      </c>
      <c r="EB97" t="s">
        <v>440</v>
      </c>
      <c r="EC97" t="s">
        <v>183</v>
      </c>
      <c r="ED97" t="s">
        <v>211</v>
      </c>
      <c r="EE97" t="s">
        <v>487</v>
      </c>
      <c r="EG97" t="s">
        <v>1837</v>
      </c>
      <c r="EH97" t="s">
        <v>1840</v>
      </c>
      <c r="EI97" t="s">
        <v>346</v>
      </c>
      <c r="EJ97" t="s">
        <v>347</v>
      </c>
      <c r="EK97" t="s">
        <v>1841</v>
      </c>
      <c r="EL97" t="s">
        <v>247</v>
      </c>
      <c r="EM97" t="s">
        <v>183</v>
      </c>
      <c r="EN97" t="s">
        <v>211</v>
      </c>
      <c r="EO97" t="s">
        <v>337</v>
      </c>
      <c r="EQ97" t="s">
        <v>1314</v>
      </c>
      <c r="FA97" t="s">
        <v>198</v>
      </c>
      <c r="FK97" t="s">
        <v>198</v>
      </c>
      <c r="FU97" t="s">
        <v>198</v>
      </c>
    </row>
    <row r="98" spans="1:177">
      <c r="A98" s="1" t="str">
        <f>HYPERLINK("http://digipan.lumentumllc.com/apps/getLink/index.php?t=PropLink&amp;p=15746337","PL")</f>
        <v>PL</v>
      </c>
      <c r="B98" s="1" t="str">
        <f>HYPERLINK("http://digipan.lumentumllc.com/apps/getLink/index.php?t=TaxLink&amp;p=15746337","TL")</f>
        <v>TL</v>
      </c>
      <c r="C98" s="1" t="str">
        <f>HYPERLINK("http://digipan.lumentumllc.com/apps/getMap/index.php?p=15746337","Map")</f>
        <v>Map</v>
      </c>
      <c r="E98" t="s">
        <v>177</v>
      </c>
      <c r="F98" t="s">
        <v>178</v>
      </c>
      <c r="L98" t="s">
        <v>1842</v>
      </c>
      <c r="N98" t="s">
        <v>1842</v>
      </c>
      <c r="O98" t="s">
        <v>1842</v>
      </c>
      <c r="Q98" t="s">
        <v>1842</v>
      </c>
      <c r="V98">
        <v>111</v>
      </c>
      <c r="W98">
        <v>1</v>
      </c>
      <c r="X98">
        <v>2017</v>
      </c>
      <c r="Y98">
        <v>2018</v>
      </c>
      <c r="Z98">
        <v>399.22</v>
      </c>
      <c r="AG98" t="s">
        <v>184</v>
      </c>
      <c r="AH98">
        <v>0</v>
      </c>
      <c r="AK98">
        <v>0</v>
      </c>
      <c r="AL98">
        <v>26400</v>
      </c>
      <c r="AM98">
        <v>18900</v>
      </c>
      <c r="AN98">
        <v>7500</v>
      </c>
      <c r="AO98">
        <v>270</v>
      </c>
      <c r="AP98">
        <v>2016</v>
      </c>
      <c r="AQ98">
        <v>1.51</v>
      </c>
      <c r="AS98" t="s">
        <v>1843</v>
      </c>
      <c r="AT98" t="s">
        <v>186</v>
      </c>
      <c r="AU98" t="s">
        <v>177</v>
      </c>
      <c r="AV98" t="s">
        <v>187</v>
      </c>
      <c r="AW98" t="s">
        <v>182</v>
      </c>
      <c r="AX98">
        <v>0</v>
      </c>
      <c r="AY98" t="s">
        <v>312</v>
      </c>
      <c r="AZ98" t="s">
        <v>199</v>
      </c>
      <c r="BA98" t="s">
        <v>313</v>
      </c>
      <c r="BB98" t="s">
        <v>191</v>
      </c>
      <c r="BC98" t="s">
        <v>182</v>
      </c>
      <c r="BD98" t="s">
        <v>182</v>
      </c>
      <c r="BE98" t="s">
        <v>1844</v>
      </c>
      <c r="BF98">
        <v>0</v>
      </c>
      <c r="BG98">
        <v>0</v>
      </c>
      <c r="BH98">
        <v>0</v>
      </c>
      <c r="BI98" t="s">
        <v>199</v>
      </c>
      <c r="BJ98" t="s">
        <v>248</v>
      </c>
      <c r="BL98" t="s">
        <v>199</v>
      </c>
      <c r="BM98" t="s">
        <v>207</v>
      </c>
      <c r="BN98" t="s">
        <v>182</v>
      </c>
      <c r="BO98" t="s">
        <v>1845</v>
      </c>
      <c r="BP98" t="s">
        <v>1846</v>
      </c>
      <c r="BQ98" t="s">
        <v>581</v>
      </c>
      <c r="BR98" t="s">
        <v>582</v>
      </c>
      <c r="BS98" t="s">
        <v>198</v>
      </c>
      <c r="BT98" t="s">
        <v>1847</v>
      </c>
      <c r="BU98" t="s">
        <v>182</v>
      </c>
      <c r="BV98" t="s">
        <v>198</v>
      </c>
      <c r="BW98" t="s">
        <v>198</v>
      </c>
      <c r="BX98" t="s">
        <v>199</v>
      </c>
      <c r="BY98" t="s">
        <v>198</v>
      </c>
      <c r="BZ98" t="s">
        <v>199</v>
      </c>
      <c r="CA98" t="s">
        <v>199</v>
      </c>
      <c r="CB98" t="s">
        <v>1848</v>
      </c>
      <c r="CC98" t="s">
        <v>201</v>
      </c>
      <c r="CD98" t="s">
        <v>182</v>
      </c>
      <c r="CE98" t="s">
        <v>1849</v>
      </c>
      <c r="CF98" t="s">
        <v>204</v>
      </c>
      <c r="CG98" t="s">
        <v>177</v>
      </c>
      <c r="CH98" t="s">
        <v>187</v>
      </c>
      <c r="CI98" t="s">
        <v>1850</v>
      </c>
      <c r="CS98" t="s">
        <v>198</v>
      </c>
      <c r="DC98" t="s">
        <v>198</v>
      </c>
      <c r="DM98" t="s">
        <v>198</v>
      </c>
      <c r="DW98" t="s">
        <v>198</v>
      </c>
      <c r="EG98" t="s">
        <v>198</v>
      </c>
      <c r="EQ98" t="s">
        <v>198</v>
      </c>
      <c r="FA98" t="s">
        <v>198</v>
      </c>
      <c r="FK98" t="s">
        <v>198</v>
      </c>
      <c r="FU98" t="s">
        <v>198</v>
      </c>
    </row>
    <row r="99" spans="1:177">
      <c r="A99" s="1" t="str">
        <f>HYPERLINK("http://digipan.lumentumllc.com/apps/getLink/index.php?t=PropLink&amp;p=6461902","PL")</f>
        <v>PL</v>
      </c>
      <c r="B99" s="1" t="str">
        <f>HYPERLINK("http://digipan.lumentumllc.com/apps/getLink/index.php?t=TaxLink&amp;p=6461902","TL")</f>
        <v>TL</v>
      </c>
      <c r="C99" s="1" t="str">
        <f>HYPERLINK("http://digipan.lumentumllc.com/apps/getMap/index.php?p=6461902","Map")</f>
        <v>Map</v>
      </c>
      <c r="E99" t="s">
        <v>177</v>
      </c>
      <c r="F99" t="s">
        <v>178</v>
      </c>
      <c r="L99" t="s">
        <v>1851</v>
      </c>
      <c r="N99" t="s">
        <v>1851</v>
      </c>
      <c r="O99" t="s">
        <v>1851</v>
      </c>
      <c r="P99" t="s">
        <v>1852</v>
      </c>
      <c r="Q99" t="s">
        <v>1851</v>
      </c>
      <c r="V99">
        <v>112</v>
      </c>
      <c r="W99">
        <v>1</v>
      </c>
      <c r="X99">
        <v>2017</v>
      </c>
      <c r="Y99">
        <v>2018</v>
      </c>
      <c r="Z99">
        <v>954.86</v>
      </c>
      <c r="AB99" t="s">
        <v>181</v>
      </c>
      <c r="AC99" t="s">
        <v>182</v>
      </c>
      <c r="AD99" t="s">
        <v>183</v>
      </c>
      <c r="AE99">
        <v>0</v>
      </c>
      <c r="AF99">
        <v>1</v>
      </c>
      <c r="AG99" t="s">
        <v>821</v>
      </c>
      <c r="AH99">
        <v>100</v>
      </c>
      <c r="AK99">
        <v>0</v>
      </c>
      <c r="AL99">
        <v>56366</v>
      </c>
      <c r="AM99">
        <v>20400</v>
      </c>
      <c r="AN99">
        <v>35966</v>
      </c>
      <c r="AO99">
        <v>773</v>
      </c>
      <c r="AP99">
        <v>2016</v>
      </c>
      <c r="AQ99">
        <v>1.69</v>
      </c>
      <c r="AS99" t="s">
        <v>1853</v>
      </c>
      <c r="AT99" t="s">
        <v>186</v>
      </c>
      <c r="AU99" t="s">
        <v>177</v>
      </c>
      <c r="AV99" t="s">
        <v>187</v>
      </c>
      <c r="AW99" t="s">
        <v>182</v>
      </c>
      <c r="AX99">
        <v>2</v>
      </c>
      <c r="AY99" t="s">
        <v>188</v>
      </c>
      <c r="AZ99" t="s">
        <v>189</v>
      </c>
      <c r="BA99" t="s">
        <v>190</v>
      </c>
      <c r="BB99" t="s">
        <v>191</v>
      </c>
      <c r="BC99" t="s">
        <v>182</v>
      </c>
      <c r="BD99" t="s">
        <v>182</v>
      </c>
      <c r="BE99" t="s">
        <v>365</v>
      </c>
      <c r="BF99">
        <v>1</v>
      </c>
      <c r="BG99">
        <v>1</v>
      </c>
      <c r="BH99">
        <v>2003</v>
      </c>
      <c r="BI99" t="s">
        <v>1291</v>
      </c>
      <c r="BJ99" t="s">
        <v>194</v>
      </c>
      <c r="BK99" t="s">
        <v>195</v>
      </c>
      <c r="BL99" t="s">
        <v>1854</v>
      </c>
      <c r="BM99" t="s">
        <v>197</v>
      </c>
      <c r="BN99" t="s">
        <v>182</v>
      </c>
      <c r="BO99" t="s">
        <v>1855</v>
      </c>
      <c r="BP99" t="s">
        <v>1856</v>
      </c>
      <c r="BQ99" t="s">
        <v>800</v>
      </c>
      <c r="BR99" t="s">
        <v>1857</v>
      </c>
      <c r="BS99" t="s">
        <v>1858</v>
      </c>
      <c r="BT99" t="s">
        <v>1859</v>
      </c>
      <c r="BU99" t="s">
        <v>182</v>
      </c>
      <c r="BV99" t="s">
        <v>198</v>
      </c>
      <c r="BW99" t="s">
        <v>198</v>
      </c>
      <c r="BX99" t="s">
        <v>199</v>
      </c>
      <c r="BY99" t="s">
        <v>198</v>
      </c>
      <c r="BZ99" t="s">
        <v>199</v>
      </c>
      <c r="CA99" t="s">
        <v>199</v>
      </c>
      <c r="CB99" t="s">
        <v>1860</v>
      </c>
      <c r="CC99" t="s">
        <v>201</v>
      </c>
      <c r="CD99" t="s">
        <v>202</v>
      </c>
      <c r="CE99" t="s">
        <v>1861</v>
      </c>
      <c r="CF99" t="s">
        <v>204</v>
      </c>
      <c r="CG99" t="s">
        <v>177</v>
      </c>
      <c r="CH99" t="s">
        <v>187</v>
      </c>
      <c r="CI99" t="s">
        <v>1862</v>
      </c>
      <c r="CJ99" t="s">
        <v>1533</v>
      </c>
      <c r="CK99" t="s">
        <v>302</v>
      </c>
      <c r="CL99" t="s">
        <v>303</v>
      </c>
      <c r="CM99" t="s">
        <v>1863</v>
      </c>
      <c r="CN99" t="s">
        <v>436</v>
      </c>
      <c r="CO99" t="s">
        <v>183</v>
      </c>
      <c r="CP99" t="s">
        <v>211</v>
      </c>
      <c r="CQ99" t="s">
        <v>189</v>
      </c>
      <c r="CS99" t="s">
        <v>1864</v>
      </c>
      <c r="DC99" t="s">
        <v>198</v>
      </c>
      <c r="DM99" t="s">
        <v>198</v>
      </c>
      <c r="DW99" t="s">
        <v>198</v>
      </c>
      <c r="EG99" t="s">
        <v>198</v>
      </c>
      <c r="EQ99" t="s">
        <v>198</v>
      </c>
      <c r="FA99" t="s">
        <v>198</v>
      </c>
      <c r="FK99" t="s">
        <v>198</v>
      </c>
      <c r="FU99" t="s">
        <v>198</v>
      </c>
    </row>
    <row r="100" spans="1:177">
      <c r="A100" s="1" t="str">
        <f>HYPERLINK("http://digipan.lumentumllc.com/apps/getLink/index.php?t=PropLink&amp;p=5246085","PL")</f>
        <v>PL</v>
      </c>
      <c r="B100" s="1" t="str">
        <f>HYPERLINK("http://digipan.lumentumllc.com/apps/getLink/index.php?t=TaxLink&amp;p=5246085","TL")</f>
        <v>TL</v>
      </c>
      <c r="C100" s="1" t="str">
        <f>HYPERLINK("http://digipan.lumentumllc.com/apps/getMap/index.php?p=5246085","Map")</f>
        <v>Map</v>
      </c>
      <c r="E100" t="s">
        <v>177</v>
      </c>
      <c r="F100" t="s">
        <v>178</v>
      </c>
      <c r="L100" t="s">
        <v>1865</v>
      </c>
      <c r="N100" t="s">
        <v>1865</v>
      </c>
      <c r="O100" t="s">
        <v>1865</v>
      </c>
      <c r="P100" t="s">
        <v>1866</v>
      </c>
      <c r="Q100" t="s">
        <v>1865</v>
      </c>
      <c r="V100">
        <v>113</v>
      </c>
      <c r="W100">
        <v>1</v>
      </c>
      <c r="X100">
        <v>2017</v>
      </c>
      <c r="Y100">
        <v>2018</v>
      </c>
      <c r="Z100">
        <v>634.17999999999995</v>
      </c>
      <c r="AB100" t="s">
        <v>181</v>
      </c>
      <c r="AC100" t="s">
        <v>182</v>
      </c>
      <c r="AD100" t="s">
        <v>183</v>
      </c>
      <c r="AE100">
        <v>0</v>
      </c>
      <c r="AF100">
        <v>4</v>
      </c>
      <c r="AG100" t="s">
        <v>381</v>
      </c>
      <c r="AH100">
        <v>100</v>
      </c>
      <c r="AK100">
        <v>0</v>
      </c>
      <c r="AL100">
        <v>36780</v>
      </c>
      <c r="AM100">
        <v>14250</v>
      </c>
      <c r="AN100">
        <v>22530</v>
      </c>
      <c r="AO100">
        <v>531</v>
      </c>
      <c r="AP100">
        <v>2016</v>
      </c>
      <c r="AQ100">
        <v>1.72</v>
      </c>
      <c r="AS100" t="s">
        <v>1867</v>
      </c>
      <c r="AT100" t="s">
        <v>186</v>
      </c>
      <c r="AU100" t="s">
        <v>177</v>
      </c>
      <c r="AV100" t="s">
        <v>187</v>
      </c>
      <c r="AW100" t="s">
        <v>182</v>
      </c>
      <c r="AX100">
        <v>1</v>
      </c>
      <c r="AY100" t="s">
        <v>188</v>
      </c>
      <c r="AZ100" t="s">
        <v>206</v>
      </c>
      <c r="BA100" t="s">
        <v>355</v>
      </c>
      <c r="BB100" t="s">
        <v>1868</v>
      </c>
      <c r="BC100" t="s">
        <v>182</v>
      </c>
      <c r="BD100" t="s">
        <v>530</v>
      </c>
      <c r="BE100" t="s">
        <v>1869</v>
      </c>
      <c r="BF100">
        <v>1</v>
      </c>
      <c r="BG100">
        <v>1</v>
      </c>
      <c r="BH100">
        <v>1966</v>
      </c>
      <c r="BI100" t="s">
        <v>1870</v>
      </c>
      <c r="BJ100" t="s">
        <v>194</v>
      </c>
      <c r="BK100" t="s">
        <v>840</v>
      </c>
      <c r="BL100" t="s">
        <v>199</v>
      </c>
      <c r="BM100" t="s">
        <v>358</v>
      </c>
      <c r="BN100" t="s">
        <v>182</v>
      </c>
      <c r="BO100" t="s">
        <v>198</v>
      </c>
      <c r="BP100" t="s">
        <v>198</v>
      </c>
      <c r="BQ100" t="s">
        <v>198</v>
      </c>
      <c r="BR100" t="s">
        <v>198</v>
      </c>
      <c r="BS100" t="s">
        <v>198</v>
      </c>
      <c r="BT100" t="s">
        <v>198</v>
      </c>
      <c r="BU100" t="s">
        <v>182</v>
      </c>
      <c r="BV100" t="s">
        <v>198</v>
      </c>
      <c r="BW100" t="s">
        <v>198</v>
      </c>
      <c r="BX100" t="s">
        <v>199</v>
      </c>
      <c r="BY100" t="s">
        <v>198</v>
      </c>
      <c r="BZ100" t="s">
        <v>199</v>
      </c>
      <c r="CA100" t="s">
        <v>199</v>
      </c>
      <c r="CB100" t="s">
        <v>1871</v>
      </c>
      <c r="CC100" t="s">
        <v>201</v>
      </c>
      <c r="CD100" t="s">
        <v>182</v>
      </c>
      <c r="CE100" t="s">
        <v>1872</v>
      </c>
      <c r="CF100" t="s">
        <v>204</v>
      </c>
      <c r="CG100" t="s">
        <v>177</v>
      </c>
      <c r="CH100" t="s">
        <v>187</v>
      </c>
      <c r="CI100" t="s">
        <v>1873</v>
      </c>
      <c r="CJ100" t="s">
        <v>1537</v>
      </c>
      <c r="CK100" t="s">
        <v>302</v>
      </c>
      <c r="CL100" t="s">
        <v>303</v>
      </c>
      <c r="CM100" t="s">
        <v>1874</v>
      </c>
      <c r="CN100" t="s">
        <v>436</v>
      </c>
      <c r="CO100" t="s">
        <v>183</v>
      </c>
      <c r="CP100" t="s">
        <v>211</v>
      </c>
      <c r="CQ100" t="s">
        <v>329</v>
      </c>
      <c r="CS100" t="s">
        <v>441</v>
      </c>
      <c r="CT100" t="s">
        <v>1685</v>
      </c>
      <c r="CU100" t="s">
        <v>238</v>
      </c>
      <c r="CV100" t="s">
        <v>239</v>
      </c>
      <c r="CW100" t="s">
        <v>1875</v>
      </c>
      <c r="CX100" t="s">
        <v>235</v>
      </c>
      <c r="CY100" t="s">
        <v>183</v>
      </c>
      <c r="CZ100" t="s">
        <v>211</v>
      </c>
      <c r="DA100" t="s">
        <v>329</v>
      </c>
      <c r="DC100" t="s">
        <v>470</v>
      </c>
      <c r="DD100" t="s">
        <v>1876</v>
      </c>
      <c r="DE100" t="s">
        <v>346</v>
      </c>
      <c r="DF100" t="s">
        <v>347</v>
      </c>
      <c r="DG100" t="s">
        <v>1877</v>
      </c>
      <c r="DH100" t="s">
        <v>235</v>
      </c>
      <c r="DI100" t="s">
        <v>183</v>
      </c>
      <c r="DJ100" t="s">
        <v>211</v>
      </c>
      <c r="DK100" t="s">
        <v>264</v>
      </c>
      <c r="DM100" t="s">
        <v>1878</v>
      </c>
      <c r="DN100" t="s">
        <v>1620</v>
      </c>
      <c r="DO100" t="s">
        <v>207</v>
      </c>
      <c r="DP100" t="s">
        <v>208</v>
      </c>
      <c r="DQ100" t="s">
        <v>1879</v>
      </c>
      <c r="DR100" t="s">
        <v>235</v>
      </c>
      <c r="DS100" t="s">
        <v>183</v>
      </c>
      <c r="DT100" t="s">
        <v>211</v>
      </c>
      <c r="DU100" t="s">
        <v>329</v>
      </c>
      <c r="DW100" t="s">
        <v>1880</v>
      </c>
      <c r="EG100" t="s">
        <v>198</v>
      </c>
      <c r="EQ100" t="s">
        <v>198</v>
      </c>
      <c r="FA100" t="s">
        <v>198</v>
      </c>
      <c r="FK100" t="s">
        <v>198</v>
      </c>
      <c r="FU100" t="s">
        <v>198</v>
      </c>
    </row>
    <row r="101" spans="1:177">
      <c r="A101" s="1" t="str">
        <f>HYPERLINK("http://digipan.lumentumllc.com/apps/getLink/index.php?t=PropLink&amp;p=7112414","PL")</f>
        <v>PL</v>
      </c>
      <c r="B101" s="1" t="str">
        <f>HYPERLINK("http://digipan.lumentumllc.com/apps/getLink/index.php?t=TaxLink&amp;p=7112414","TL")</f>
        <v>TL</v>
      </c>
      <c r="C101" s="1" t="str">
        <f>HYPERLINK("http://digipan.lumentumllc.com/apps/getMap/index.php?p=7112414","Map")</f>
        <v>Map</v>
      </c>
      <c r="E101" t="s">
        <v>177</v>
      </c>
      <c r="F101" t="s">
        <v>178</v>
      </c>
      <c r="L101" t="s">
        <v>1881</v>
      </c>
      <c r="N101" t="s">
        <v>1881</v>
      </c>
      <c r="O101" t="s">
        <v>1881</v>
      </c>
      <c r="P101" t="s">
        <v>1882</v>
      </c>
      <c r="Q101" t="s">
        <v>1881</v>
      </c>
      <c r="V101">
        <v>114</v>
      </c>
      <c r="W101">
        <v>1</v>
      </c>
      <c r="X101">
        <v>2017</v>
      </c>
      <c r="Y101">
        <v>2018</v>
      </c>
      <c r="Z101">
        <v>380.29</v>
      </c>
      <c r="AB101" t="s">
        <v>181</v>
      </c>
      <c r="AC101" t="s">
        <v>182</v>
      </c>
      <c r="AD101" t="s">
        <v>183</v>
      </c>
      <c r="AE101">
        <v>0</v>
      </c>
      <c r="AF101">
        <v>1</v>
      </c>
      <c r="AG101" t="s">
        <v>821</v>
      </c>
      <c r="AH101">
        <v>100</v>
      </c>
      <c r="AK101">
        <v>0</v>
      </c>
      <c r="AL101">
        <v>23350</v>
      </c>
      <c r="AM101">
        <v>14850</v>
      </c>
      <c r="AN101">
        <v>8500</v>
      </c>
      <c r="AO101">
        <v>274</v>
      </c>
      <c r="AP101">
        <v>2016</v>
      </c>
      <c r="AQ101">
        <v>1.63</v>
      </c>
      <c r="AS101" t="s">
        <v>1883</v>
      </c>
      <c r="AT101" t="s">
        <v>186</v>
      </c>
      <c r="AU101" t="s">
        <v>177</v>
      </c>
      <c r="AV101" t="s">
        <v>187</v>
      </c>
      <c r="AW101" t="s">
        <v>182</v>
      </c>
      <c r="AX101">
        <v>0</v>
      </c>
      <c r="AY101" t="s">
        <v>312</v>
      </c>
      <c r="AZ101" t="s">
        <v>199</v>
      </c>
      <c r="BA101" t="s">
        <v>313</v>
      </c>
      <c r="BB101" t="s">
        <v>191</v>
      </c>
      <c r="BC101" t="s">
        <v>182</v>
      </c>
      <c r="BD101" t="s">
        <v>182</v>
      </c>
      <c r="BE101" t="s">
        <v>1884</v>
      </c>
      <c r="BF101">
        <v>0</v>
      </c>
      <c r="BG101">
        <v>0</v>
      </c>
      <c r="BH101">
        <v>0</v>
      </c>
      <c r="BI101" t="s">
        <v>199</v>
      </c>
      <c r="BJ101" t="s">
        <v>396</v>
      </c>
      <c r="BL101" t="s">
        <v>199</v>
      </c>
      <c r="BM101" t="s">
        <v>358</v>
      </c>
      <c r="BN101" t="s">
        <v>182</v>
      </c>
      <c r="BO101" t="s">
        <v>198</v>
      </c>
      <c r="BP101" t="s">
        <v>198</v>
      </c>
      <c r="BQ101" t="s">
        <v>198</v>
      </c>
      <c r="BR101" t="s">
        <v>198</v>
      </c>
      <c r="BS101" t="s">
        <v>198</v>
      </c>
      <c r="BT101" t="s">
        <v>198</v>
      </c>
      <c r="BU101" t="s">
        <v>182</v>
      </c>
      <c r="BV101" t="s">
        <v>198</v>
      </c>
      <c r="BW101" t="s">
        <v>198</v>
      </c>
      <c r="BX101" t="s">
        <v>199</v>
      </c>
      <c r="BY101" t="s">
        <v>198</v>
      </c>
      <c r="BZ101" t="s">
        <v>199</v>
      </c>
      <c r="CA101" t="s">
        <v>199</v>
      </c>
      <c r="CB101" t="s">
        <v>1885</v>
      </c>
      <c r="CC101" t="s">
        <v>201</v>
      </c>
      <c r="CD101" t="s">
        <v>182</v>
      </c>
      <c r="CE101" t="s">
        <v>1886</v>
      </c>
      <c r="CF101" t="s">
        <v>204</v>
      </c>
      <c r="CG101" t="s">
        <v>177</v>
      </c>
      <c r="CH101" t="s">
        <v>187</v>
      </c>
      <c r="CI101" t="s">
        <v>1887</v>
      </c>
      <c r="CJ101" t="s">
        <v>1523</v>
      </c>
      <c r="CK101" t="s">
        <v>292</v>
      </c>
      <c r="CL101" t="s">
        <v>293</v>
      </c>
      <c r="CM101" t="s">
        <v>1888</v>
      </c>
      <c r="CN101" t="s">
        <v>387</v>
      </c>
      <c r="CO101" t="s">
        <v>183</v>
      </c>
      <c r="CP101" t="s">
        <v>211</v>
      </c>
      <c r="CQ101" t="s">
        <v>264</v>
      </c>
      <c r="CS101" t="s">
        <v>1889</v>
      </c>
      <c r="DC101" t="s">
        <v>198</v>
      </c>
      <c r="DM101" t="s">
        <v>198</v>
      </c>
      <c r="DW101" t="s">
        <v>198</v>
      </c>
      <c r="EG101" t="s">
        <v>198</v>
      </c>
      <c r="EQ101" t="s">
        <v>198</v>
      </c>
      <c r="FA101" t="s">
        <v>198</v>
      </c>
      <c r="FK101" t="s">
        <v>198</v>
      </c>
      <c r="FU101" t="s">
        <v>198</v>
      </c>
    </row>
    <row r="102" spans="1:177">
      <c r="A102" s="1" t="str">
        <f>HYPERLINK("http://digipan.lumentumllc.com/apps/getLink/index.php?t=PropLink&amp;p=5246088","PL")</f>
        <v>PL</v>
      </c>
      <c r="B102" s="1" t="str">
        <f>HYPERLINK("http://digipan.lumentumllc.com/apps/getLink/index.php?t=TaxLink&amp;p=5246088","TL")</f>
        <v>TL</v>
      </c>
      <c r="C102" s="1" t="str">
        <f>HYPERLINK("http://digipan.lumentumllc.com/apps/getMap/index.php?p=5246088","Map")</f>
        <v>Map</v>
      </c>
      <c r="E102" t="s">
        <v>177</v>
      </c>
      <c r="F102" t="s">
        <v>178</v>
      </c>
      <c r="L102" t="s">
        <v>1890</v>
      </c>
      <c r="N102" t="s">
        <v>1890</v>
      </c>
      <c r="O102" t="s">
        <v>1890</v>
      </c>
      <c r="P102" t="s">
        <v>1891</v>
      </c>
      <c r="Q102" t="s">
        <v>1890</v>
      </c>
      <c r="V102">
        <v>116</v>
      </c>
      <c r="W102">
        <v>1</v>
      </c>
      <c r="X102">
        <v>2017</v>
      </c>
      <c r="Y102">
        <v>2018</v>
      </c>
      <c r="Z102">
        <v>430.46</v>
      </c>
      <c r="AB102" t="s">
        <v>181</v>
      </c>
      <c r="AC102" t="s">
        <v>202</v>
      </c>
      <c r="AD102" t="s">
        <v>183</v>
      </c>
      <c r="AE102">
        <v>1</v>
      </c>
      <c r="AF102">
        <v>3</v>
      </c>
      <c r="AG102" t="s">
        <v>257</v>
      </c>
      <c r="AH102">
        <v>75</v>
      </c>
      <c r="AI102">
        <v>465.27</v>
      </c>
      <c r="AJ102">
        <v>23.26</v>
      </c>
      <c r="AK102">
        <v>488.53</v>
      </c>
      <c r="AL102">
        <v>24337</v>
      </c>
      <c r="AM102">
        <v>15000</v>
      </c>
      <c r="AN102">
        <v>9337</v>
      </c>
      <c r="AO102">
        <v>405</v>
      </c>
      <c r="AP102">
        <v>2016</v>
      </c>
      <c r="AQ102">
        <v>1.77</v>
      </c>
      <c r="AR102">
        <v>2.0099999999999998</v>
      </c>
      <c r="AS102" t="s">
        <v>1892</v>
      </c>
      <c r="AT102" t="s">
        <v>186</v>
      </c>
      <c r="AU102" t="s">
        <v>177</v>
      </c>
      <c r="AV102" t="s">
        <v>187</v>
      </c>
      <c r="AW102" t="s">
        <v>182</v>
      </c>
      <c r="AX102">
        <v>2</v>
      </c>
      <c r="AY102" t="s">
        <v>188</v>
      </c>
      <c r="AZ102" t="s">
        <v>189</v>
      </c>
      <c r="BA102" t="s">
        <v>190</v>
      </c>
      <c r="BB102" t="s">
        <v>191</v>
      </c>
      <c r="BC102" t="s">
        <v>182</v>
      </c>
      <c r="BD102" t="s">
        <v>182</v>
      </c>
      <c r="BE102" t="s">
        <v>383</v>
      </c>
      <c r="BF102">
        <v>1</v>
      </c>
      <c r="BG102">
        <v>1</v>
      </c>
      <c r="BH102">
        <v>1992</v>
      </c>
      <c r="BI102" t="s">
        <v>1893</v>
      </c>
      <c r="BJ102" t="s">
        <v>194</v>
      </c>
      <c r="BK102" t="s">
        <v>195</v>
      </c>
      <c r="BL102" t="s">
        <v>1144</v>
      </c>
      <c r="BM102" t="s">
        <v>302</v>
      </c>
      <c r="BN102" t="s">
        <v>182</v>
      </c>
      <c r="BO102" t="s">
        <v>1894</v>
      </c>
      <c r="BP102" t="s">
        <v>1895</v>
      </c>
      <c r="BQ102" t="s">
        <v>1896</v>
      </c>
      <c r="BR102" t="s">
        <v>1897</v>
      </c>
      <c r="BS102" t="s">
        <v>198</v>
      </c>
      <c r="BT102" t="s">
        <v>1898</v>
      </c>
      <c r="BU102" t="s">
        <v>182</v>
      </c>
      <c r="BV102" t="s">
        <v>198</v>
      </c>
      <c r="BW102" t="s">
        <v>198</v>
      </c>
      <c r="BX102" t="s">
        <v>199</v>
      </c>
      <c r="BY102" t="s">
        <v>198</v>
      </c>
      <c r="BZ102" t="s">
        <v>199</v>
      </c>
      <c r="CA102" t="s">
        <v>199</v>
      </c>
      <c r="CB102" t="s">
        <v>1899</v>
      </c>
      <c r="CC102" t="s">
        <v>201</v>
      </c>
      <c r="CD102" t="s">
        <v>182</v>
      </c>
      <c r="CE102" t="s">
        <v>1900</v>
      </c>
      <c r="CF102" t="s">
        <v>1901</v>
      </c>
      <c r="CG102" t="s">
        <v>1902</v>
      </c>
      <c r="CH102" t="s">
        <v>1903</v>
      </c>
      <c r="CI102" t="s">
        <v>1904</v>
      </c>
      <c r="CJ102" t="s">
        <v>1905</v>
      </c>
      <c r="CK102" t="s">
        <v>232</v>
      </c>
      <c r="CL102" t="s">
        <v>233</v>
      </c>
      <c r="CM102" t="s">
        <v>1906</v>
      </c>
      <c r="CN102" t="s">
        <v>331</v>
      </c>
      <c r="CO102" t="s">
        <v>183</v>
      </c>
      <c r="CP102" t="s">
        <v>266</v>
      </c>
      <c r="CS102" t="s">
        <v>198</v>
      </c>
      <c r="CT102" t="s">
        <v>1533</v>
      </c>
      <c r="CU102" t="s">
        <v>267</v>
      </c>
      <c r="CV102" t="s">
        <v>268</v>
      </c>
      <c r="CW102" t="s">
        <v>1907</v>
      </c>
      <c r="CX102" t="s">
        <v>927</v>
      </c>
      <c r="CY102" t="s">
        <v>183</v>
      </c>
      <c r="CZ102" t="s">
        <v>211</v>
      </c>
      <c r="DA102" t="s">
        <v>270</v>
      </c>
      <c r="DB102" t="s">
        <v>271</v>
      </c>
      <c r="DC102" t="s">
        <v>272</v>
      </c>
      <c r="DD102" t="s">
        <v>1657</v>
      </c>
      <c r="DE102" t="s">
        <v>273</v>
      </c>
      <c r="DF102" t="s">
        <v>274</v>
      </c>
      <c r="DG102" t="s">
        <v>1908</v>
      </c>
      <c r="DH102" t="s">
        <v>235</v>
      </c>
      <c r="DI102" t="s">
        <v>183</v>
      </c>
      <c r="DJ102" t="s">
        <v>211</v>
      </c>
      <c r="DL102" t="s">
        <v>271</v>
      </c>
      <c r="DM102" t="s">
        <v>198</v>
      </c>
      <c r="DN102" t="s">
        <v>1762</v>
      </c>
      <c r="DO102" t="s">
        <v>302</v>
      </c>
      <c r="DP102" t="s">
        <v>303</v>
      </c>
      <c r="DQ102" t="s">
        <v>1909</v>
      </c>
      <c r="DR102" t="s">
        <v>305</v>
      </c>
      <c r="DS102" t="s">
        <v>183</v>
      </c>
      <c r="DT102" t="s">
        <v>211</v>
      </c>
      <c r="DU102" t="s">
        <v>909</v>
      </c>
      <c r="DV102" t="s">
        <v>271</v>
      </c>
      <c r="DW102" t="s">
        <v>272</v>
      </c>
      <c r="EG102" t="s">
        <v>198</v>
      </c>
      <c r="EQ102" t="s">
        <v>198</v>
      </c>
      <c r="FA102" t="s">
        <v>198</v>
      </c>
      <c r="FK102" t="s">
        <v>198</v>
      </c>
      <c r="FU102" t="s">
        <v>198</v>
      </c>
    </row>
    <row r="103" spans="1:177">
      <c r="A103" s="1" t="str">
        <f>HYPERLINK("http://digipan.lumentumllc.com/apps/getLink/index.php?t=PropLink&amp;p=5246141","PL")</f>
        <v>PL</v>
      </c>
      <c r="B103" s="1" t="str">
        <f>HYPERLINK("http://digipan.lumentumllc.com/apps/getLink/index.php?t=TaxLink&amp;p=5246141","TL")</f>
        <v>TL</v>
      </c>
      <c r="C103" s="1" t="str">
        <f>HYPERLINK("http://digipan.lumentumllc.com/apps/getMap/index.php?p=5246141","Map")</f>
        <v>Map</v>
      </c>
      <c r="E103" t="s">
        <v>177</v>
      </c>
      <c r="F103" t="s">
        <v>178</v>
      </c>
      <c r="L103" t="s">
        <v>1910</v>
      </c>
      <c r="N103" t="s">
        <v>1910</v>
      </c>
      <c r="O103" t="s">
        <v>1910</v>
      </c>
      <c r="P103" t="s">
        <v>1911</v>
      </c>
      <c r="Q103" t="s">
        <v>1910</v>
      </c>
      <c r="V103">
        <v>117</v>
      </c>
      <c r="W103">
        <v>1</v>
      </c>
      <c r="X103">
        <v>2017</v>
      </c>
      <c r="Y103">
        <v>2018</v>
      </c>
      <c r="Z103">
        <v>228.91</v>
      </c>
      <c r="AB103" t="s">
        <v>181</v>
      </c>
      <c r="AC103" t="s">
        <v>202</v>
      </c>
      <c r="AD103" t="s">
        <v>183</v>
      </c>
      <c r="AE103">
        <v>1</v>
      </c>
      <c r="AF103">
        <v>6</v>
      </c>
      <c r="AG103" t="s">
        <v>322</v>
      </c>
      <c r="AH103">
        <v>83</v>
      </c>
      <c r="AI103">
        <v>198.34</v>
      </c>
      <c r="AJ103">
        <v>28.76</v>
      </c>
      <c r="AK103">
        <v>227.1</v>
      </c>
      <c r="AL103">
        <v>12900</v>
      </c>
      <c r="AM103">
        <v>12900</v>
      </c>
      <c r="AN103">
        <v>0</v>
      </c>
      <c r="AO103">
        <v>158</v>
      </c>
      <c r="AP103">
        <v>2016</v>
      </c>
      <c r="AQ103">
        <v>1.77</v>
      </c>
      <c r="AR103">
        <v>1.76</v>
      </c>
      <c r="AS103" t="s">
        <v>1799</v>
      </c>
      <c r="AT103" t="s">
        <v>186</v>
      </c>
      <c r="AU103" t="s">
        <v>177</v>
      </c>
      <c r="AV103" t="s">
        <v>371</v>
      </c>
      <c r="AW103" t="s">
        <v>182</v>
      </c>
      <c r="AX103">
        <v>0</v>
      </c>
      <c r="AY103" t="s">
        <v>312</v>
      </c>
      <c r="AZ103" t="s">
        <v>199</v>
      </c>
      <c r="BA103" t="s">
        <v>313</v>
      </c>
      <c r="BB103" t="s">
        <v>191</v>
      </c>
      <c r="BC103" t="s">
        <v>182</v>
      </c>
      <c r="BD103" t="s">
        <v>182</v>
      </c>
      <c r="BE103" t="s">
        <v>1912</v>
      </c>
      <c r="BF103">
        <v>0</v>
      </c>
      <c r="BG103">
        <v>0</v>
      </c>
      <c r="BH103">
        <v>0</v>
      </c>
      <c r="BI103" t="s">
        <v>199</v>
      </c>
      <c r="BJ103" t="s">
        <v>248</v>
      </c>
      <c r="BL103" t="s">
        <v>1801</v>
      </c>
      <c r="BM103" t="s">
        <v>1311</v>
      </c>
      <c r="BN103" t="s">
        <v>182</v>
      </c>
      <c r="BO103" t="s">
        <v>226</v>
      </c>
      <c r="BP103" t="s">
        <v>1913</v>
      </c>
      <c r="BS103" t="s">
        <v>1914</v>
      </c>
      <c r="BT103" t="s">
        <v>198</v>
      </c>
      <c r="BU103" t="s">
        <v>182</v>
      </c>
      <c r="BV103" t="s">
        <v>198</v>
      </c>
      <c r="BW103" t="s">
        <v>198</v>
      </c>
      <c r="BX103" t="s">
        <v>199</v>
      </c>
      <c r="BY103" t="s">
        <v>198</v>
      </c>
      <c r="BZ103" t="s">
        <v>199</v>
      </c>
      <c r="CA103" t="s">
        <v>199</v>
      </c>
      <c r="CB103" t="s">
        <v>1802</v>
      </c>
      <c r="CC103" t="s">
        <v>201</v>
      </c>
      <c r="CD103" t="s">
        <v>182</v>
      </c>
      <c r="CE103" t="s">
        <v>1803</v>
      </c>
      <c r="CF103" t="s">
        <v>204</v>
      </c>
      <c r="CG103" t="s">
        <v>177</v>
      </c>
      <c r="CH103" t="s">
        <v>187</v>
      </c>
      <c r="CI103" t="s">
        <v>1804</v>
      </c>
      <c r="CJ103" t="s">
        <v>592</v>
      </c>
      <c r="CK103" t="s">
        <v>232</v>
      </c>
      <c r="CL103" t="s">
        <v>233</v>
      </c>
      <c r="CM103" t="s">
        <v>1915</v>
      </c>
      <c r="CN103" t="s">
        <v>1606</v>
      </c>
      <c r="CO103" t="s">
        <v>183</v>
      </c>
      <c r="CP103" t="s">
        <v>266</v>
      </c>
      <c r="CS103" t="s">
        <v>198</v>
      </c>
      <c r="CT103" t="s">
        <v>1543</v>
      </c>
      <c r="CU103" t="s">
        <v>267</v>
      </c>
      <c r="CV103" t="s">
        <v>268</v>
      </c>
      <c r="CW103" t="s">
        <v>1916</v>
      </c>
      <c r="CX103" t="s">
        <v>482</v>
      </c>
      <c r="CY103" t="s">
        <v>183</v>
      </c>
      <c r="CZ103" t="s">
        <v>211</v>
      </c>
      <c r="DA103" t="s">
        <v>264</v>
      </c>
      <c r="DB103" t="s">
        <v>271</v>
      </c>
      <c r="DC103" t="s">
        <v>1917</v>
      </c>
      <c r="DD103" t="s">
        <v>1918</v>
      </c>
      <c r="DE103" t="s">
        <v>273</v>
      </c>
      <c r="DF103" t="s">
        <v>274</v>
      </c>
      <c r="DG103" t="s">
        <v>1919</v>
      </c>
      <c r="DH103" t="s">
        <v>389</v>
      </c>
      <c r="DI103" t="s">
        <v>183</v>
      </c>
      <c r="DJ103" t="s">
        <v>211</v>
      </c>
      <c r="DK103" t="s">
        <v>471</v>
      </c>
      <c r="DL103" t="s">
        <v>271</v>
      </c>
      <c r="DM103" t="s">
        <v>1917</v>
      </c>
      <c r="DN103" t="s">
        <v>1638</v>
      </c>
      <c r="DO103" t="s">
        <v>302</v>
      </c>
      <c r="DP103" t="s">
        <v>303</v>
      </c>
      <c r="DQ103" t="s">
        <v>1920</v>
      </c>
      <c r="DR103" t="s">
        <v>295</v>
      </c>
      <c r="DS103" t="s">
        <v>183</v>
      </c>
      <c r="DT103" t="s">
        <v>211</v>
      </c>
      <c r="DV103" t="s">
        <v>271</v>
      </c>
      <c r="DW103" t="s">
        <v>198</v>
      </c>
      <c r="DX103" t="s">
        <v>1921</v>
      </c>
      <c r="DY103" t="s">
        <v>238</v>
      </c>
      <c r="DZ103" t="s">
        <v>239</v>
      </c>
      <c r="EA103" t="s">
        <v>1922</v>
      </c>
      <c r="EB103" t="s">
        <v>519</v>
      </c>
      <c r="EC103" t="s">
        <v>183</v>
      </c>
      <c r="ED103" t="s">
        <v>211</v>
      </c>
      <c r="EE103" t="s">
        <v>298</v>
      </c>
      <c r="EG103" t="s">
        <v>1815</v>
      </c>
      <c r="EH103" t="s">
        <v>1923</v>
      </c>
      <c r="EI103" t="s">
        <v>346</v>
      </c>
      <c r="EJ103" t="s">
        <v>347</v>
      </c>
      <c r="EK103" t="s">
        <v>1924</v>
      </c>
      <c r="EL103" t="s">
        <v>615</v>
      </c>
      <c r="EM103" t="s">
        <v>183</v>
      </c>
      <c r="EN103" t="s">
        <v>211</v>
      </c>
      <c r="EO103" t="s">
        <v>298</v>
      </c>
      <c r="EQ103" t="s">
        <v>1818</v>
      </c>
      <c r="ER103" t="s">
        <v>1925</v>
      </c>
      <c r="ES103" t="s">
        <v>207</v>
      </c>
      <c r="ET103" t="s">
        <v>208</v>
      </c>
      <c r="EU103" t="s">
        <v>1926</v>
      </c>
      <c r="EV103" t="s">
        <v>473</v>
      </c>
      <c r="EW103" t="s">
        <v>183</v>
      </c>
      <c r="EX103" t="s">
        <v>211</v>
      </c>
      <c r="EY103" t="s">
        <v>264</v>
      </c>
      <c r="FA103" t="s">
        <v>1773</v>
      </c>
      <c r="FK103" t="s">
        <v>198</v>
      </c>
      <c r="FU103" t="s">
        <v>198</v>
      </c>
    </row>
    <row r="104" spans="1:177">
      <c r="A104" s="1" t="str">
        <f>HYPERLINK("http://digipan.lumentumllc.com/apps/getLink/index.php?t=PropLink&amp;p=5246142","PL")</f>
        <v>PL</v>
      </c>
      <c r="B104" s="1" t="str">
        <f>HYPERLINK("http://digipan.lumentumllc.com/apps/getLink/index.php?t=TaxLink&amp;p=5246142","TL")</f>
        <v>TL</v>
      </c>
      <c r="C104" s="1" t="str">
        <f>HYPERLINK("http://digipan.lumentumllc.com/apps/getMap/index.php?p=5246142","Map")</f>
        <v>Map</v>
      </c>
      <c r="E104" t="s">
        <v>177</v>
      </c>
      <c r="F104" t="s">
        <v>178</v>
      </c>
      <c r="L104" t="s">
        <v>1927</v>
      </c>
      <c r="N104" t="s">
        <v>1927</v>
      </c>
      <c r="O104" t="s">
        <v>1927</v>
      </c>
      <c r="P104" t="s">
        <v>1928</v>
      </c>
      <c r="Q104" t="s">
        <v>1927</v>
      </c>
      <c r="V104">
        <v>118</v>
      </c>
      <c r="W104">
        <v>1</v>
      </c>
      <c r="X104">
        <v>2017</v>
      </c>
      <c r="Y104">
        <v>2018</v>
      </c>
      <c r="Z104">
        <v>1112.48</v>
      </c>
      <c r="AB104" t="s">
        <v>181</v>
      </c>
      <c r="AC104" t="s">
        <v>202</v>
      </c>
      <c r="AD104" t="s">
        <v>183</v>
      </c>
      <c r="AE104">
        <v>0</v>
      </c>
      <c r="AF104">
        <v>6</v>
      </c>
      <c r="AG104" t="s">
        <v>528</v>
      </c>
      <c r="AH104">
        <v>100</v>
      </c>
      <c r="AK104">
        <v>0</v>
      </c>
      <c r="AL104">
        <v>68957</v>
      </c>
      <c r="AM104">
        <v>24000</v>
      </c>
      <c r="AN104">
        <v>44957</v>
      </c>
      <c r="AO104">
        <v>918</v>
      </c>
      <c r="AP104">
        <v>2016</v>
      </c>
      <c r="AQ104">
        <v>1.61</v>
      </c>
      <c r="AS104" t="s">
        <v>1929</v>
      </c>
      <c r="AT104" t="s">
        <v>186</v>
      </c>
      <c r="AU104" t="s">
        <v>177</v>
      </c>
      <c r="AV104" t="s">
        <v>187</v>
      </c>
      <c r="AW104" t="s">
        <v>182</v>
      </c>
      <c r="AX104">
        <v>2</v>
      </c>
      <c r="AY104" t="s">
        <v>188</v>
      </c>
      <c r="AZ104" t="s">
        <v>189</v>
      </c>
      <c r="BA104" t="s">
        <v>190</v>
      </c>
      <c r="BB104" t="s">
        <v>191</v>
      </c>
      <c r="BC104" t="s">
        <v>182</v>
      </c>
      <c r="BD104" t="s">
        <v>182</v>
      </c>
      <c r="BE104" t="s">
        <v>1930</v>
      </c>
      <c r="BF104">
        <v>1</v>
      </c>
      <c r="BG104">
        <v>1</v>
      </c>
      <c r="BH104">
        <v>2010</v>
      </c>
      <c r="BI104" t="s">
        <v>1931</v>
      </c>
      <c r="BJ104" t="s">
        <v>194</v>
      </c>
      <c r="BK104" t="s">
        <v>195</v>
      </c>
      <c r="BL104" t="s">
        <v>1824</v>
      </c>
      <c r="BM104" t="s">
        <v>1825</v>
      </c>
      <c r="BN104" t="s">
        <v>182</v>
      </c>
      <c r="BO104" t="s">
        <v>198</v>
      </c>
      <c r="BP104" t="s">
        <v>198</v>
      </c>
      <c r="BQ104" t="s">
        <v>198</v>
      </c>
      <c r="BR104" t="s">
        <v>198</v>
      </c>
      <c r="BS104" t="s">
        <v>198</v>
      </c>
      <c r="BT104" t="s">
        <v>198</v>
      </c>
      <c r="BU104" t="s">
        <v>182</v>
      </c>
      <c r="BV104" t="s">
        <v>198</v>
      </c>
      <c r="BW104" t="s">
        <v>198</v>
      </c>
      <c r="BX104" t="s">
        <v>199</v>
      </c>
      <c r="BY104" t="s">
        <v>198</v>
      </c>
      <c r="BZ104" t="s">
        <v>199</v>
      </c>
      <c r="CA104" t="s">
        <v>199</v>
      </c>
      <c r="CB104" t="s">
        <v>1828</v>
      </c>
      <c r="CC104" t="s">
        <v>201</v>
      </c>
      <c r="CD104" t="s">
        <v>182</v>
      </c>
      <c r="CE104" t="s">
        <v>1829</v>
      </c>
      <c r="CF104" t="s">
        <v>1029</v>
      </c>
      <c r="CG104" t="s">
        <v>177</v>
      </c>
      <c r="CH104" t="s">
        <v>1030</v>
      </c>
      <c r="CI104" t="s">
        <v>1932</v>
      </c>
      <c r="CJ104" t="s">
        <v>1537</v>
      </c>
      <c r="CK104" t="s">
        <v>292</v>
      </c>
      <c r="CL104" t="s">
        <v>293</v>
      </c>
      <c r="CM104" t="s">
        <v>1933</v>
      </c>
      <c r="CN104" t="s">
        <v>235</v>
      </c>
      <c r="CO104" t="s">
        <v>183</v>
      </c>
      <c r="CP104" t="s">
        <v>211</v>
      </c>
      <c r="CQ104" t="s">
        <v>270</v>
      </c>
      <c r="CR104" t="s">
        <v>271</v>
      </c>
      <c r="CS104" t="s">
        <v>338</v>
      </c>
      <c r="CT104" t="s">
        <v>1762</v>
      </c>
      <c r="CU104" t="s">
        <v>267</v>
      </c>
      <c r="CV104" t="s">
        <v>268</v>
      </c>
      <c r="CW104" t="s">
        <v>1934</v>
      </c>
      <c r="CX104" t="s">
        <v>235</v>
      </c>
      <c r="CY104" t="s">
        <v>183</v>
      </c>
      <c r="CZ104" t="s">
        <v>211</v>
      </c>
      <c r="DB104" t="s">
        <v>271</v>
      </c>
      <c r="DC104" t="s">
        <v>198</v>
      </c>
      <c r="DD104" t="s">
        <v>1935</v>
      </c>
      <c r="DE104" t="s">
        <v>273</v>
      </c>
      <c r="DF104" t="s">
        <v>274</v>
      </c>
      <c r="DG104" t="s">
        <v>1936</v>
      </c>
      <c r="DH104" t="s">
        <v>235</v>
      </c>
      <c r="DI104" t="s">
        <v>183</v>
      </c>
      <c r="DJ104" t="s">
        <v>211</v>
      </c>
      <c r="DK104" t="s">
        <v>189</v>
      </c>
      <c r="DM104" t="s">
        <v>1835</v>
      </c>
      <c r="DN104" t="s">
        <v>1657</v>
      </c>
      <c r="DO104" t="s">
        <v>302</v>
      </c>
      <c r="DP104" t="s">
        <v>303</v>
      </c>
      <c r="DQ104" t="s">
        <v>1937</v>
      </c>
      <c r="DR104" t="s">
        <v>436</v>
      </c>
      <c r="DS104" t="s">
        <v>183</v>
      </c>
      <c r="DT104" t="s">
        <v>211</v>
      </c>
      <c r="DU104" t="s">
        <v>250</v>
      </c>
      <c r="DW104" t="s">
        <v>1837</v>
      </c>
      <c r="DX104" t="s">
        <v>1938</v>
      </c>
      <c r="DY104" t="s">
        <v>238</v>
      </c>
      <c r="DZ104" t="s">
        <v>239</v>
      </c>
      <c r="EA104" t="s">
        <v>1939</v>
      </c>
      <c r="EB104" t="s">
        <v>278</v>
      </c>
      <c r="EC104" t="s">
        <v>183</v>
      </c>
      <c r="ED104" t="s">
        <v>211</v>
      </c>
      <c r="EE104" t="s">
        <v>487</v>
      </c>
      <c r="EG104" t="s">
        <v>1837</v>
      </c>
      <c r="EH104" t="s">
        <v>1940</v>
      </c>
      <c r="EI104" t="s">
        <v>346</v>
      </c>
      <c r="EJ104" t="s">
        <v>347</v>
      </c>
      <c r="EK104" t="s">
        <v>1941</v>
      </c>
      <c r="EL104" t="s">
        <v>615</v>
      </c>
      <c r="EM104" t="s">
        <v>183</v>
      </c>
      <c r="EN104" t="s">
        <v>211</v>
      </c>
      <c r="EO104" t="s">
        <v>337</v>
      </c>
      <c r="EQ104" t="s">
        <v>1314</v>
      </c>
      <c r="FA104" t="s">
        <v>198</v>
      </c>
      <c r="FK104" t="s">
        <v>198</v>
      </c>
      <c r="FU104" t="s">
        <v>198</v>
      </c>
    </row>
    <row r="105" spans="1:177">
      <c r="A105" s="1" t="str">
        <f>HYPERLINK("http://digipan.lumentumllc.com/apps/getLink/index.php?t=PropLink&amp;p=15746885","PL")</f>
        <v>PL</v>
      </c>
      <c r="B105" s="1" t="str">
        <f>HYPERLINK("http://digipan.lumentumllc.com/apps/getLink/index.php?t=TaxLink&amp;p=15746885","TL")</f>
        <v>TL</v>
      </c>
      <c r="C105" s="1" t="str">
        <f>HYPERLINK("http://digipan.lumentumllc.com/apps/getMap/index.php?p=15746885","Map")</f>
        <v>Map</v>
      </c>
      <c r="E105" t="s">
        <v>177</v>
      </c>
      <c r="F105" t="s">
        <v>178</v>
      </c>
      <c r="L105" t="s">
        <v>1942</v>
      </c>
      <c r="N105" t="s">
        <v>1942</v>
      </c>
      <c r="O105" t="s">
        <v>1942</v>
      </c>
      <c r="Q105" t="s">
        <v>1942</v>
      </c>
      <c r="V105">
        <v>119</v>
      </c>
      <c r="W105">
        <v>1</v>
      </c>
      <c r="X105">
        <v>2017</v>
      </c>
      <c r="Y105">
        <v>2018</v>
      </c>
      <c r="Z105">
        <v>2050.4699999999998</v>
      </c>
      <c r="AB105" t="s">
        <v>181</v>
      </c>
      <c r="AC105" t="s">
        <v>182</v>
      </c>
      <c r="AD105" t="s">
        <v>183</v>
      </c>
      <c r="AE105">
        <v>1</v>
      </c>
      <c r="AF105">
        <v>0</v>
      </c>
      <c r="AG105" t="s">
        <v>1200</v>
      </c>
      <c r="AH105">
        <v>0</v>
      </c>
      <c r="AI105">
        <v>606.22</v>
      </c>
      <c r="AJ105">
        <v>30.31</v>
      </c>
      <c r="AK105">
        <v>636.53</v>
      </c>
      <c r="AL105">
        <v>123283</v>
      </c>
      <c r="AM105">
        <v>29888</v>
      </c>
      <c r="AN105">
        <v>93395</v>
      </c>
      <c r="AO105">
        <v>536</v>
      </c>
      <c r="AP105">
        <v>2016</v>
      </c>
      <c r="AQ105">
        <v>1.66</v>
      </c>
      <c r="AR105">
        <v>0.52</v>
      </c>
      <c r="AS105" t="s">
        <v>1943</v>
      </c>
      <c r="AT105" t="s">
        <v>186</v>
      </c>
      <c r="AU105" t="s">
        <v>177</v>
      </c>
      <c r="AV105" t="s">
        <v>187</v>
      </c>
      <c r="AW105" t="s">
        <v>182</v>
      </c>
      <c r="AX105">
        <v>2</v>
      </c>
      <c r="AY105" t="s">
        <v>188</v>
      </c>
      <c r="AZ105" t="s">
        <v>189</v>
      </c>
      <c r="BA105" t="s">
        <v>190</v>
      </c>
      <c r="BB105" t="s">
        <v>191</v>
      </c>
      <c r="BC105" t="s">
        <v>182</v>
      </c>
      <c r="BD105" t="s">
        <v>182</v>
      </c>
      <c r="BE105" t="s">
        <v>1944</v>
      </c>
      <c r="BF105">
        <v>1</v>
      </c>
      <c r="BG105">
        <v>1</v>
      </c>
      <c r="BH105">
        <v>2013</v>
      </c>
      <c r="BI105" t="s">
        <v>450</v>
      </c>
      <c r="BJ105" t="s">
        <v>1945</v>
      </c>
      <c r="BK105" t="s">
        <v>195</v>
      </c>
      <c r="BL105" t="s">
        <v>199</v>
      </c>
      <c r="BM105" t="s">
        <v>292</v>
      </c>
      <c r="BN105" t="s">
        <v>182</v>
      </c>
      <c r="BO105" t="s">
        <v>198</v>
      </c>
      <c r="BP105" t="s">
        <v>198</v>
      </c>
      <c r="BQ105" t="s">
        <v>198</v>
      </c>
      <c r="BR105" t="s">
        <v>198</v>
      </c>
      <c r="BS105" t="s">
        <v>198</v>
      </c>
      <c r="BT105" t="s">
        <v>198</v>
      </c>
      <c r="BU105" t="s">
        <v>182</v>
      </c>
      <c r="BV105" t="s">
        <v>198</v>
      </c>
      <c r="BW105" t="s">
        <v>198</v>
      </c>
      <c r="BX105" t="s">
        <v>199</v>
      </c>
      <c r="BY105" t="s">
        <v>198</v>
      </c>
      <c r="BZ105" t="s">
        <v>199</v>
      </c>
      <c r="CA105" t="s">
        <v>199</v>
      </c>
      <c r="CB105" t="s">
        <v>1946</v>
      </c>
      <c r="CC105" t="s">
        <v>201</v>
      </c>
      <c r="CD105" t="s">
        <v>182</v>
      </c>
      <c r="CE105" t="s">
        <v>1947</v>
      </c>
      <c r="CF105" t="s">
        <v>204</v>
      </c>
      <c r="CG105" t="s">
        <v>177</v>
      </c>
      <c r="CH105" t="s">
        <v>187</v>
      </c>
      <c r="CI105" t="s">
        <v>1948</v>
      </c>
      <c r="CJ105" t="s">
        <v>1949</v>
      </c>
      <c r="CK105" t="s">
        <v>232</v>
      </c>
      <c r="CL105" t="s">
        <v>233</v>
      </c>
      <c r="CM105" t="s">
        <v>1950</v>
      </c>
      <c r="CN105" t="s">
        <v>235</v>
      </c>
      <c r="CO105" t="s">
        <v>183</v>
      </c>
      <c r="CP105" t="s">
        <v>266</v>
      </c>
      <c r="CS105" t="s">
        <v>198</v>
      </c>
      <c r="DC105" t="s">
        <v>198</v>
      </c>
      <c r="DM105" t="s">
        <v>198</v>
      </c>
      <c r="DW105" t="s">
        <v>198</v>
      </c>
      <c r="EG105" t="s">
        <v>198</v>
      </c>
      <c r="EQ105" t="s">
        <v>198</v>
      </c>
      <c r="FA105" t="s">
        <v>198</v>
      </c>
      <c r="FK105" t="s">
        <v>198</v>
      </c>
      <c r="FU105" t="s">
        <v>198</v>
      </c>
    </row>
    <row r="106" spans="1:177">
      <c r="A106" s="1" t="str">
        <f>HYPERLINK("http://digipan.lumentumllc.com/apps/getLink/index.php?t=PropLink&amp;p=5246143","PL")</f>
        <v>PL</v>
      </c>
      <c r="B106" s="1" t="str">
        <f>HYPERLINK("http://digipan.lumentumllc.com/apps/getLink/index.php?t=TaxLink&amp;p=5246143","TL")</f>
        <v>TL</v>
      </c>
      <c r="C106" s="1" t="str">
        <f>HYPERLINK("http://digipan.lumentumllc.com/apps/getMap/index.php?p=5246143","Map")</f>
        <v>Map</v>
      </c>
      <c r="E106" t="s">
        <v>177</v>
      </c>
      <c r="F106" t="s">
        <v>178</v>
      </c>
      <c r="L106" t="s">
        <v>1951</v>
      </c>
      <c r="N106" t="s">
        <v>1951</v>
      </c>
      <c r="O106" t="s">
        <v>1951</v>
      </c>
      <c r="P106" t="s">
        <v>1952</v>
      </c>
      <c r="Q106" t="s">
        <v>1951</v>
      </c>
      <c r="V106">
        <v>121</v>
      </c>
      <c r="W106">
        <v>1</v>
      </c>
      <c r="X106">
        <v>2017</v>
      </c>
      <c r="Y106">
        <v>2018</v>
      </c>
      <c r="Z106">
        <v>563.79</v>
      </c>
      <c r="AB106" t="s">
        <v>181</v>
      </c>
      <c r="AC106" t="s">
        <v>182</v>
      </c>
      <c r="AD106" t="s">
        <v>183</v>
      </c>
      <c r="AE106">
        <v>1</v>
      </c>
      <c r="AF106">
        <v>7</v>
      </c>
      <c r="AG106" t="s">
        <v>418</v>
      </c>
      <c r="AH106">
        <v>86</v>
      </c>
      <c r="AI106">
        <v>566.24</v>
      </c>
      <c r="AJ106">
        <v>28.31</v>
      </c>
      <c r="AK106">
        <v>594.54999999999995</v>
      </c>
      <c r="AL106">
        <v>32480</v>
      </c>
      <c r="AM106">
        <v>32480</v>
      </c>
      <c r="AN106">
        <v>0</v>
      </c>
      <c r="AO106">
        <v>499</v>
      </c>
      <c r="AP106">
        <v>2016</v>
      </c>
      <c r="AQ106">
        <v>1.74</v>
      </c>
      <c r="AR106">
        <v>1.83</v>
      </c>
      <c r="AS106" t="s">
        <v>1953</v>
      </c>
      <c r="AT106" t="s">
        <v>186</v>
      </c>
      <c r="AU106" t="s">
        <v>177</v>
      </c>
      <c r="AV106" t="s">
        <v>187</v>
      </c>
      <c r="AW106" t="s">
        <v>182</v>
      </c>
      <c r="AX106">
        <v>0</v>
      </c>
      <c r="AY106" t="s">
        <v>312</v>
      </c>
      <c r="AZ106" t="s">
        <v>199</v>
      </c>
      <c r="BA106" t="s">
        <v>313</v>
      </c>
      <c r="BB106" t="s">
        <v>191</v>
      </c>
      <c r="BC106" t="s">
        <v>182</v>
      </c>
      <c r="BD106" t="s">
        <v>182</v>
      </c>
      <c r="BE106" t="s">
        <v>1954</v>
      </c>
      <c r="BF106">
        <v>0</v>
      </c>
      <c r="BG106">
        <v>0</v>
      </c>
      <c r="BH106">
        <v>0</v>
      </c>
      <c r="BI106" t="s">
        <v>199</v>
      </c>
      <c r="BJ106" t="s">
        <v>315</v>
      </c>
      <c r="BL106" t="s">
        <v>199</v>
      </c>
      <c r="BM106" t="s">
        <v>358</v>
      </c>
      <c r="BN106" t="s">
        <v>182</v>
      </c>
      <c r="BO106" t="s">
        <v>198</v>
      </c>
      <c r="BP106" t="s">
        <v>198</v>
      </c>
      <c r="BQ106" t="s">
        <v>198</v>
      </c>
      <c r="BR106" t="s">
        <v>198</v>
      </c>
      <c r="BS106" t="s">
        <v>198</v>
      </c>
      <c r="BT106" t="s">
        <v>198</v>
      </c>
      <c r="BU106" t="s">
        <v>182</v>
      </c>
      <c r="BV106" t="s">
        <v>198</v>
      </c>
      <c r="BW106" t="s">
        <v>198</v>
      </c>
      <c r="BX106" t="s">
        <v>199</v>
      </c>
      <c r="BY106" t="s">
        <v>198</v>
      </c>
      <c r="BZ106" t="s">
        <v>199</v>
      </c>
      <c r="CA106" t="s">
        <v>199</v>
      </c>
      <c r="CB106" t="s">
        <v>1599</v>
      </c>
      <c r="CC106" t="s">
        <v>201</v>
      </c>
      <c r="CD106" t="s">
        <v>182</v>
      </c>
      <c r="CE106" t="s">
        <v>1600</v>
      </c>
      <c r="CF106" t="s">
        <v>1601</v>
      </c>
      <c r="CG106" t="s">
        <v>1602</v>
      </c>
      <c r="CH106" t="s">
        <v>1603</v>
      </c>
      <c r="CI106" t="s">
        <v>1955</v>
      </c>
      <c r="CJ106" t="s">
        <v>1956</v>
      </c>
      <c r="CK106" t="s">
        <v>232</v>
      </c>
      <c r="CL106" t="s">
        <v>233</v>
      </c>
      <c r="CM106" t="s">
        <v>1957</v>
      </c>
      <c r="CN106" t="s">
        <v>331</v>
      </c>
      <c r="CO106" t="s">
        <v>183</v>
      </c>
      <c r="CP106" t="s">
        <v>266</v>
      </c>
      <c r="CS106" t="s">
        <v>198</v>
      </c>
      <c r="CT106" t="s">
        <v>1543</v>
      </c>
      <c r="CU106" t="s">
        <v>292</v>
      </c>
      <c r="CV106" t="s">
        <v>293</v>
      </c>
      <c r="CW106" t="s">
        <v>1958</v>
      </c>
      <c r="CX106" t="s">
        <v>333</v>
      </c>
      <c r="CY106" t="s">
        <v>183</v>
      </c>
      <c r="CZ106" t="s">
        <v>211</v>
      </c>
      <c r="DA106" t="s">
        <v>345</v>
      </c>
      <c r="DC106" t="s">
        <v>1609</v>
      </c>
      <c r="DD106" t="s">
        <v>738</v>
      </c>
      <c r="DE106" t="s">
        <v>267</v>
      </c>
      <c r="DF106" t="s">
        <v>268</v>
      </c>
      <c r="DG106" t="s">
        <v>1959</v>
      </c>
      <c r="DH106" t="s">
        <v>331</v>
      </c>
      <c r="DI106" t="s">
        <v>183</v>
      </c>
      <c r="DJ106" t="s">
        <v>211</v>
      </c>
      <c r="DK106" t="s">
        <v>298</v>
      </c>
      <c r="DM106" t="s">
        <v>1611</v>
      </c>
      <c r="DN106" t="s">
        <v>773</v>
      </c>
      <c r="DO106" t="s">
        <v>273</v>
      </c>
      <c r="DP106" t="s">
        <v>274</v>
      </c>
      <c r="DQ106" t="s">
        <v>1960</v>
      </c>
      <c r="DR106" t="s">
        <v>796</v>
      </c>
      <c r="DS106" t="s">
        <v>183</v>
      </c>
      <c r="DT106" t="s">
        <v>211</v>
      </c>
      <c r="DU106" t="s">
        <v>345</v>
      </c>
      <c r="DW106" t="s">
        <v>1613</v>
      </c>
      <c r="DX106" t="s">
        <v>740</v>
      </c>
      <c r="DY106" t="s">
        <v>302</v>
      </c>
      <c r="DZ106" t="s">
        <v>303</v>
      </c>
      <c r="EA106" t="s">
        <v>1961</v>
      </c>
      <c r="EB106" t="s">
        <v>331</v>
      </c>
      <c r="EC106" t="s">
        <v>183</v>
      </c>
      <c r="ED106" t="s">
        <v>211</v>
      </c>
      <c r="EE106" t="s">
        <v>298</v>
      </c>
      <c r="EG106" t="s">
        <v>1616</v>
      </c>
      <c r="EH106" t="s">
        <v>1962</v>
      </c>
      <c r="EI106" t="s">
        <v>238</v>
      </c>
      <c r="EJ106" t="s">
        <v>239</v>
      </c>
      <c r="EK106" t="s">
        <v>1963</v>
      </c>
      <c r="EL106" t="s">
        <v>247</v>
      </c>
      <c r="EM106" t="s">
        <v>183</v>
      </c>
      <c r="EN106" t="s">
        <v>211</v>
      </c>
      <c r="EO106" t="s">
        <v>298</v>
      </c>
      <c r="EQ106" t="s">
        <v>1619</v>
      </c>
      <c r="ER106" t="s">
        <v>1964</v>
      </c>
      <c r="ES106" t="s">
        <v>346</v>
      </c>
      <c r="ET106" t="s">
        <v>347</v>
      </c>
      <c r="EU106" t="s">
        <v>1965</v>
      </c>
      <c r="EV106" t="s">
        <v>1966</v>
      </c>
      <c r="EW106" t="s">
        <v>183</v>
      </c>
      <c r="EX106" t="s">
        <v>211</v>
      </c>
      <c r="EY106" t="s">
        <v>298</v>
      </c>
      <c r="FA106" t="s">
        <v>1622</v>
      </c>
      <c r="FB106" t="s">
        <v>1646</v>
      </c>
      <c r="FC106" t="s">
        <v>207</v>
      </c>
      <c r="FD106" t="s">
        <v>208</v>
      </c>
      <c r="FE106" t="s">
        <v>1967</v>
      </c>
      <c r="FF106" t="s">
        <v>1968</v>
      </c>
      <c r="FG106" t="s">
        <v>183</v>
      </c>
      <c r="FH106" t="s">
        <v>211</v>
      </c>
      <c r="FI106" t="s">
        <v>298</v>
      </c>
      <c r="FK106" t="s">
        <v>474</v>
      </c>
      <c r="FU106" t="s">
        <v>198</v>
      </c>
    </row>
    <row r="107" spans="1:177">
      <c r="A107" s="1" t="str">
        <f>HYPERLINK("http://digipan.lumentumllc.com/apps/getLink/index.php?t=PropLink&amp;p=5246144","PL")</f>
        <v>PL</v>
      </c>
      <c r="B107" s="1" t="str">
        <f>HYPERLINK("http://digipan.lumentumllc.com/apps/getLink/index.php?t=TaxLink&amp;p=5246144","TL")</f>
        <v>TL</v>
      </c>
      <c r="C107" s="1" t="str">
        <f>HYPERLINK("http://digipan.lumentumllc.com/apps/getMap/index.php?p=5246144","Map")</f>
        <v>Map</v>
      </c>
      <c r="E107" t="s">
        <v>177</v>
      </c>
      <c r="F107" t="s">
        <v>178</v>
      </c>
      <c r="L107" t="s">
        <v>1969</v>
      </c>
      <c r="N107" t="s">
        <v>1969</v>
      </c>
      <c r="O107" t="s">
        <v>1969</v>
      </c>
      <c r="P107" t="s">
        <v>1970</v>
      </c>
      <c r="Q107" t="s">
        <v>1969</v>
      </c>
      <c r="V107">
        <v>122</v>
      </c>
      <c r="W107">
        <v>1</v>
      </c>
      <c r="X107">
        <v>2017</v>
      </c>
      <c r="Y107">
        <v>2018</v>
      </c>
      <c r="Z107">
        <v>559.85</v>
      </c>
      <c r="AB107" t="s">
        <v>181</v>
      </c>
      <c r="AC107" t="s">
        <v>182</v>
      </c>
      <c r="AD107" t="s">
        <v>183</v>
      </c>
      <c r="AE107">
        <v>1</v>
      </c>
      <c r="AF107">
        <v>7</v>
      </c>
      <c r="AG107" t="s">
        <v>418</v>
      </c>
      <c r="AH107">
        <v>86</v>
      </c>
      <c r="AI107">
        <v>562.25</v>
      </c>
      <c r="AJ107">
        <v>28.11</v>
      </c>
      <c r="AK107">
        <v>590.36</v>
      </c>
      <c r="AL107">
        <v>32240</v>
      </c>
      <c r="AM107">
        <v>32240</v>
      </c>
      <c r="AN107">
        <v>0</v>
      </c>
      <c r="AO107">
        <v>495</v>
      </c>
      <c r="AP107">
        <v>2016</v>
      </c>
      <c r="AQ107">
        <v>1.74</v>
      </c>
      <c r="AR107">
        <v>1.83</v>
      </c>
      <c r="AS107" t="s">
        <v>1953</v>
      </c>
      <c r="AT107" t="s">
        <v>186</v>
      </c>
      <c r="AU107" t="s">
        <v>177</v>
      </c>
      <c r="AV107" t="s">
        <v>187</v>
      </c>
      <c r="AW107" t="s">
        <v>182</v>
      </c>
      <c r="AX107">
        <v>0</v>
      </c>
      <c r="AY107" t="s">
        <v>312</v>
      </c>
      <c r="AZ107" t="s">
        <v>199</v>
      </c>
      <c r="BA107" t="s">
        <v>313</v>
      </c>
      <c r="BB107" t="s">
        <v>191</v>
      </c>
      <c r="BC107" t="s">
        <v>182</v>
      </c>
      <c r="BD107" t="s">
        <v>182</v>
      </c>
      <c r="BE107" t="s">
        <v>1971</v>
      </c>
      <c r="BF107">
        <v>0</v>
      </c>
      <c r="BG107">
        <v>0</v>
      </c>
      <c r="BH107">
        <v>0</v>
      </c>
      <c r="BI107" t="s">
        <v>199</v>
      </c>
      <c r="BJ107" t="s">
        <v>315</v>
      </c>
      <c r="BL107" t="s">
        <v>199</v>
      </c>
      <c r="BM107" t="s">
        <v>358</v>
      </c>
      <c r="BN107" t="s">
        <v>182</v>
      </c>
      <c r="BO107" t="s">
        <v>198</v>
      </c>
      <c r="BP107" t="s">
        <v>198</v>
      </c>
      <c r="BQ107" t="s">
        <v>198</v>
      </c>
      <c r="BR107" t="s">
        <v>198</v>
      </c>
      <c r="BS107" t="s">
        <v>198</v>
      </c>
      <c r="BT107" t="s">
        <v>198</v>
      </c>
      <c r="BU107" t="s">
        <v>182</v>
      </c>
      <c r="BV107" t="s">
        <v>198</v>
      </c>
      <c r="BW107" t="s">
        <v>198</v>
      </c>
      <c r="BX107" t="s">
        <v>199</v>
      </c>
      <c r="BY107" t="s">
        <v>198</v>
      </c>
      <c r="BZ107" t="s">
        <v>199</v>
      </c>
      <c r="CA107" t="s">
        <v>199</v>
      </c>
      <c r="CB107" t="s">
        <v>1599</v>
      </c>
      <c r="CC107" t="s">
        <v>201</v>
      </c>
      <c r="CD107" t="s">
        <v>182</v>
      </c>
      <c r="CE107" t="s">
        <v>1600</v>
      </c>
      <c r="CF107" t="s">
        <v>1601</v>
      </c>
      <c r="CG107" t="s">
        <v>1602</v>
      </c>
      <c r="CH107" t="s">
        <v>1603</v>
      </c>
      <c r="CI107" t="s">
        <v>1972</v>
      </c>
      <c r="CJ107" t="s">
        <v>817</v>
      </c>
      <c r="CK107" t="s">
        <v>232</v>
      </c>
      <c r="CL107" t="s">
        <v>233</v>
      </c>
      <c r="CM107" t="s">
        <v>1973</v>
      </c>
      <c r="CN107" t="s">
        <v>331</v>
      </c>
      <c r="CO107" t="s">
        <v>183</v>
      </c>
      <c r="CP107" t="s">
        <v>266</v>
      </c>
      <c r="CS107" t="s">
        <v>198</v>
      </c>
      <c r="CT107" t="s">
        <v>1762</v>
      </c>
      <c r="CU107" t="s">
        <v>292</v>
      </c>
      <c r="CV107" t="s">
        <v>293</v>
      </c>
      <c r="CW107" t="s">
        <v>1974</v>
      </c>
      <c r="CX107" t="s">
        <v>333</v>
      </c>
      <c r="CY107" t="s">
        <v>183</v>
      </c>
      <c r="CZ107" t="s">
        <v>211</v>
      </c>
      <c r="DA107" t="s">
        <v>345</v>
      </c>
      <c r="DC107" t="s">
        <v>1609</v>
      </c>
      <c r="DD107" t="s">
        <v>756</v>
      </c>
      <c r="DE107" t="s">
        <v>267</v>
      </c>
      <c r="DF107" t="s">
        <v>268</v>
      </c>
      <c r="DG107" t="s">
        <v>1975</v>
      </c>
      <c r="DH107" t="s">
        <v>247</v>
      </c>
      <c r="DI107" t="s">
        <v>183</v>
      </c>
      <c r="DJ107" t="s">
        <v>211</v>
      </c>
      <c r="DK107" t="s">
        <v>298</v>
      </c>
      <c r="DM107" t="s">
        <v>1611</v>
      </c>
      <c r="DN107" t="s">
        <v>1728</v>
      </c>
      <c r="DO107" t="s">
        <v>273</v>
      </c>
      <c r="DP107" t="s">
        <v>274</v>
      </c>
      <c r="DQ107" t="s">
        <v>1976</v>
      </c>
      <c r="DR107" t="s">
        <v>402</v>
      </c>
      <c r="DS107" t="s">
        <v>183</v>
      </c>
      <c r="DT107" t="s">
        <v>211</v>
      </c>
      <c r="DU107" t="s">
        <v>345</v>
      </c>
      <c r="DW107" t="s">
        <v>1613</v>
      </c>
      <c r="DX107" t="s">
        <v>758</v>
      </c>
      <c r="DY107" t="s">
        <v>302</v>
      </c>
      <c r="DZ107" t="s">
        <v>303</v>
      </c>
      <c r="EA107" t="s">
        <v>1977</v>
      </c>
      <c r="EB107" t="s">
        <v>331</v>
      </c>
      <c r="EC107" t="s">
        <v>183</v>
      </c>
      <c r="ED107" t="s">
        <v>211</v>
      </c>
      <c r="EE107" t="s">
        <v>298</v>
      </c>
      <c r="EG107" t="s">
        <v>1616</v>
      </c>
      <c r="EH107" t="s">
        <v>1978</v>
      </c>
      <c r="EI107" t="s">
        <v>238</v>
      </c>
      <c r="EJ107" t="s">
        <v>239</v>
      </c>
      <c r="EK107" t="s">
        <v>1979</v>
      </c>
      <c r="EL107" t="s">
        <v>247</v>
      </c>
      <c r="EM107" t="s">
        <v>183</v>
      </c>
      <c r="EN107" t="s">
        <v>211</v>
      </c>
      <c r="EO107" t="s">
        <v>298</v>
      </c>
      <c r="EQ107" t="s">
        <v>1619</v>
      </c>
      <c r="ER107" t="s">
        <v>1980</v>
      </c>
      <c r="ES107" t="s">
        <v>346</v>
      </c>
      <c r="ET107" t="s">
        <v>347</v>
      </c>
      <c r="EU107" t="s">
        <v>1981</v>
      </c>
      <c r="EV107" t="s">
        <v>1966</v>
      </c>
      <c r="EW107" t="s">
        <v>183</v>
      </c>
      <c r="EX107" t="s">
        <v>211</v>
      </c>
      <c r="EY107" t="s">
        <v>298</v>
      </c>
      <c r="FA107" t="s">
        <v>1622</v>
      </c>
      <c r="FB107" t="s">
        <v>1663</v>
      </c>
      <c r="FC107" t="s">
        <v>207</v>
      </c>
      <c r="FD107" t="s">
        <v>208</v>
      </c>
      <c r="FE107" t="s">
        <v>1982</v>
      </c>
      <c r="FF107" t="s">
        <v>210</v>
      </c>
      <c r="FG107" t="s">
        <v>183</v>
      </c>
      <c r="FH107" t="s">
        <v>211</v>
      </c>
      <c r="FI107" t="s">
        <v>298</v>
      </c>
      <c r="FK107" t="s">
        <v>474</v>
      </c>
      <c r="FU107" t="s">
        <v>198</v>
      </c>
    </row>
    <row r="108" spans="1:177">
      <c r="A108" s="1" t="str">
        <f>HYPERLINK("http://digipan.lumentumllc.com/apps/getLink/index.php?t=PropLink&amp;p=5246145","PL")</f>
        <v>PL</v>
      </c>
      <c r="B108" s="1" t="str">
        <f>HYPERLINK("http://digipan.lumentumllc.com/apps/getLink/index.php?t=TaxLink&amp;p=5246145","TL")</f>
        <v>TL</v>
      </c>
      <c r="C108" s="1" t="str">
        <f>HYPERLINK("http://digipan.lumentumllc.com/apps/getMap/index.php?p=5246145","Map")</f>
        <v>Map</v>
      </c>
      <c r="E108" t="s">
        <v>177</v>
      </c>
      <c r="F108" t="s">
        <v>178</v>
      </c>
      <c r="L108" t="s">
        <v>1983</v>
      </c>
      <c r="N108" t="s">
        <v>1983</v>
      </c>
      <c r="O108" t="s">
        <v>1983</v>
      </c>
      <c r="P108" t="s">
        <v>1984</v>
      </c>
      <c r="Q108" t="s">
        <v>1983</v>
      </c>
      <c r="V108">
        <v>123</v>
      </c>
      <c r="W108">
        <v>1</v>
      </c>
      <c r="X108">
        <v>2017</v>
      </c>
      <c r="Y108">
        <v>2018</v>
      </c>
      <c r="Z108">
        <v>593.91</v>
      </c>
      <c r="AB108" t="s">
        <v>181</v>
      </c>
      <c r="AC108" t="s">
        <v>182</v>
      </c>
      <c r="AD108" t="s">
        <v>183</v>
      </c>
      <c r="AE108">
        <v>1</v>
      </c>
      <c r="AF108">
        <v>7</v>
      </c>
      <c r="AG108" t="s">
        <v>418</v>
      </c>
      <c r="AH108">
        <v>86</v>
      </c>
      <c r="AI108">
        <v>596.78</v>
      </c>
      <c r="AJ108">
        <v>29.84</v>
      </c>
      <c r="AK108">
        <v>626.62</v>
      </c>
      <c r="AL108">
        <v>34320</v>
      </c>
      <c r="AM108">
        <v>34320</v>
      </c>
      <c r="AN108">
        <v>0</v>
      </c>
      <c r="AO108">
        <v>527</v>
      </c>
      <c r="AP108">
        <v>2016</v>
      </c>
      <c r="AQ108">
        <v>1.73</v>
      </c>
      <c r="AR108">
        <v>1.83</v>
      </c>
      <c r="AS108" t="s">
        <v>1953</v>
      </c>
      <c r="AT108" t="s">
        <v>186</v>
      </c>
      <c r="AU108" t="s">
        <v>177</v>
      </c>
      <c r="AV108" t="s">
        <v>187</v>
      </c>
      <c r="AW108" t="s">
        <v>182</v>
      </c>
      <c r="AX108">
        <v>0</v>
      </c>
      <c r="AY108" t="s">
        <v>312</v>
      </c>
      <c r="AZ108" t="s">
        <v>199</v>
      </c>
      <c r="BA108" t="s">
        <v>313</v>
      </c>
      <c r="BB108" t="s">
        <v>191</v>
      </c>
      <c r="BC108" t="s">
        <v>182</v>
      </c>
      <c r="BD108" t="s">
        <v>182</v>
      </c>
      <c r="BE108" t="s">
        <v>1985</v>
      </c>
      <c r="BF108">
        <v>0</v>
      </c>
      <c r="BG108">
        <v>0</v>
      </c>
      <c r="BH108">
        <v>0</v>
      </c>
      <c r="BI108" t="s">
        <v>199</v>
      </c>
      <c r="BJ108" t="s">
        <v>315</v>
      </c>
      <c r="BL108" t="s">
        <v>199</v>
      </c>
      <c r="BM108" t="s">
        <v>358</v>
      </c>
      <c r="BN108" t="s">
        <v>182</v>
      </c>
      <c r="BO108" t="s">
        <v>198</v>
      </c>
      <c r="BP108" t="s">
        <v>198</v>
      </c>
      <c r="BQ108" t="s">
        <v>198</v>
      </c>
      <c r="BR108" t="s">
        <v>198</v>
      </c>
      <c r="BS108" t="s">
        <v>198</v>
      </c>
      <c r="BT108" t="s">
        <v>198</v>
      </c>
      <c r="BU108" t="s">
        <v>182</v>
      </c>
      <c r="BV108" t="s">
        <v>198</v>
      </c>
      <c r="BW108" t="s">
        <v>198</v>
      </c>
      <c r="BX108" t="s">
        <v>199</v>
      </c>
      <c r="BY108" t="s">
        <v>198</v>
      </c>
      <c r="BZ108" t="s">
        <v>199</v>
      </c>
      <c r="CA108" t="s">
        <v>199</v>
      </c>
      <c r="CB108" t="s">
        <v>1599</v>
      </c>
      <c r="CC108" t="s">
        <v>201</v>
      </c>
      <c r="CD108" t="s">
        <v>182</v>
      </c>
      <c r="CE108" t="s">
        <v>1600</v>
      </c>
      <c r="CF108" t="s">
        <v>1601</v>
      </c>
      <c r="CG108" t="s">
        <v>1602</v>
      </c>
      <c r="CH108" t="s">
        <v>1603</v>
      </c>
      <c r="CI108" t="s">
        <v>610</v>
      </c>
      <c r="CJ108" t="s">
        <v>1986</v>
      </c>
      <c r="CK108" t="s">
        <v>232</v>
      </c>
      <c r="CL108" t="s">
        <v>233</v>
      </c>
      <c r="CM108" t="s">
        <v>1987</v>
      </c>
      <c r="CN108" t="s">
        <v>331</v>
      </c>
      <c r="CO108" t="s">
        <v>183</v>
      </c>
      <c r="CP108" t="s">
        <v>266</v>
      </c>
      <c r="CS108" t="s">
        <v>198</v>
      </c>
      <c r="CT108" t="s">
        <v>738</v>
      </c>
      <c r="CU108" t="s">
        <v>292</v>
      </c>
      <c r="CV108" t="s">
        <v>293</v>
      </c>
      <c r="CW108" t="s">
        <v>1988</v>
      </c>
      <c r="CX108" t="s">
        <v>333</v>
      </c>
      <c r="CY108" t="s">
        <v>183</v>
      </c>
      <c r="CZ108" t="s">
        <v>211</v>
      </c>
      <c r="DA108" t="s">
        <v>345</v>
      </c>
      <c r="DC108" t="s">
        <v>1609</v>
      </c>
      <c r="DD108" t="s">
        <v>1638</v>
      </c>
      <c r="DE108" t="s">
        <v>267</v>
      </c>
      <c r="DF108" t="s">
        <v>268</v>
      </c>
      <c r="DG108" t="s">
        <v>1989</v>
      </c>
      <c r="DH108" t="s">
        <v>1341</v>
      </c>
      <c r="DI108" t="s">
        <v>183</v>
      </c>
      <c r="DJ108" t="s">
        <v>211</v>
      </c>
      <c r="DK108" t="s">
        <v>298</v>
      </c>
      <c r="DM108" t="s">
        <v>1611</v>
      </c>
      <c r="DN108" t="s">
        <v>788</v>
      </c>
      <c r="DO108" t="s">
        <v>273</v>
      </c>
      <c r="DP108" t="s">
        <v>274</v>
      </c>
      <c r="DQ108" t="s">
        <v>1990</v>
      </c>
      <c r="DR108" t="s">
        <v>341</v>
      </c>
      <c r="DS108" t="s">
        <v>183</v>
      </c>
      <c r="DT108" t="s">
        <v>211</v>
      </c>
      <c r="DU108" t="s">
        <v>345</v>
      </c>
      <c r="DW108" t="s">
        <v>1613</v>
      </c>
      <c r="DX108" t="s">
        <v>1918</v>
      </c>
      <c r="DY108" t="s">
        <v>302</v>
      </c>
      <c r="DZ108" t="s">
        <v>303</v>
      </c>
      <c r="EA108" t="s">
        <v>1991</v>
      </c>
      <c r="EB108" t="s">
        <v>331</v>
      </c>
      <c r="EC108" t="s">
        <v>183</v>
      </c>
      <c r="ED108" t="s">
        <v>211</v>
      </c>
      <c r="EE108" t="s">
        <v>298</v>
      </c>
      <c r="EG108" t="s">
        <v>1616</v>
      </c>
      <c r="EH108" t="s">
        <v>1992</v>
      </c>
      <c r="EI108" t="s">
        <v>238</v>
      </c>
      <c r="EJ108" t="s">
        <v>239</v>
      </c>
      <c r="EK108" t="s">
        <v>1993</v>
      </c>
      <c r="EL108" t="s">
        <v>247</v>
      </c>
      <c r="EM108" t="s">
        <v>183</v>
      </c>
      <c r="EN108" t="s">
        <v>211</v>
      </c>
      <c r="EO108" t="s">
        <v>298</v>
      </c>
      <c r="EQ108" t="s">
        <v>1619</v>
      </c>
      <c r="ER108" t="s">
        <v>1994</v>
      </c>
      <c r="ES108" t="s">
        <v>346</v>
      </c>
      <c r="ET108" t="s">
        <v>347</v>
      </c>
      <c r="EU108" t="s">
        <v>1995</v>
      </c>
      <c r="EV108" t="s">
        <v>1966</v>
      </c>
      <c r="EW108" t="s">
        <v>183</v>
      </c>
      <c r="EX108" t="s">
        <v>211</v>
      </c>
      <c r="EY108" t="s">
        <v>298</v>
      </c>
      <c r="FA108" t="s">
        <v>1622</v>
      </c>
      <c r="FB108" t="s">
        <v>1678</v>
      </c>
      <c r="FC108" t="s">
        <v>207</v>
      </c>
      <c r="FD108" t="s">
        <v>208</v>
      </c>
      <c r="FE108" t="s">
        <v>1996</v>
      </c>
      <c r="FF108" t="s">
        <v>314</v>
      </c>
      <c r="FG108" t="s">
        <v>183</v>
      </c>
      <c r="FH108" t="s">
        <v>211</v>
      </c>
      <c r="FI108" t="s">
        <v>298</v>
      </c>
      <c r="FK108" t="s">
        <v>474</v>
      </c>
      <c r="FU108" t="s">
        <v>198</v>
      </c>
    </row>
    <row r="109" spans="1:177">
      <c r="A109" s="1" t="str">
        <f>HYPERLINK("http://digipan.lumentumllc.com/apps/getLink/index.php?t=PropLink&amp;p=5246146","PL")</f>
        <v>PL</v>
      </c>
      <c r="B109" s="1" t="str">
        <f>HYPERLINK("http://digipan.lumentumllc.com/apps/getLink/index.php?t=TaxLink&amp;p=5246146","TL")</f>
        <v>TL</v>
      </c>
      <c r="C109" s="1" t="str">
        <f>HYPERLINK("http://digipan.lumentumllc.com/apps/getMap/index.php?p=5246146","Map")</f>
        <v>Map</v>
      </c>
      <c r="E109" t="s">
        <v>177</v>
      </c>
      <c r="F109" t="s">
        <v>178</v>
      </c>
      <c r="L109" t="s">
        <v>1997</v>
      </c>
      <c r="N109" t="s">
        <v>1997</v>
      </c>
      <c r="O109" t="s">
        <v>1997</v>
      </c>
      <c r="P109" t="s">
        <v>1998</v>
      </c>
      <c r="Q109" t="s">
        <v>1997</v>
      </c>
      <c r="V109">
        <v>124</v>
      </c>
      <c r="W109">
        <v>1</v>
      </c>
      <c r="X109">
        <v>2017</v>
      </c>
      <c r="Y109">
        <v>2018</v>
      </c>
      <c r="Z109">
        <v>686.92</v>
      </c>
      <c r="AB109" t="s">
        <v>181</v>
      </c>
      <c r="AC109" t="s">
        <v>182</v>
      </c>
      <c r="AD109" t="s">
        <v>183</v>
      </c>
      <c r="AE109">
        <v>1</v>
      </c>
      <c r="AF109">
        <v>7</v>
      </c>
      <c r="AG109" t="s">
        <v>418</v>
      </c>
      <c r="AH109">
        <v>86</v>
      </c>
      <c r="AI109">
        <v>691.08</v>
      </c>
      <c r="AJ109">
        <v>34.549999999999997</v>
      </c>
      <c r="AK109">
        <v>725.63</v>
      </c>
      <c r="AL109">
        <v>40000</v>
      </c>
      <c r="AM109">
        <v>40000</v>
      </c>
      <c r="AN109">
        <v>0</v>
      </c>
      <c r="AO109">
        <v>614</v>
      </c>
      <c r="AP109">
        <v>2016</v>
      </c>
      <c r="AQ109">
        <v>1.72</v>
      </c>
      <c r="AR109">
        <v>1.81</v>
      </c>
      <c r="AS109" t="s">
        <v>1953</v>
      </c>
      <c r="AT109" t="s">
        <v>186</v>
      </c>
      <c r="AU109" t="s">
        <v>177</v>
      </c>
      <c r="AV109" t="s">
        <v>187</v>
      </c>
      <c r="AW109" t="s">
        <v>182</v>
      </c>
      <c r="AX109">
        <v>0</v>
      </c>
      <c r="AY109" t="s">
        <v>312</v>
      </c>
      <c r="AZ109" t="s">
        <v>199</v>
      </c>
      <c r="BA109" t="s">
        <v>313</v>
      </c>
      <c r="BB109" t="s">
        <v>191</v>
      </c>
      <c r="BC109" t="s">
        <v>182</v>
      </c>
      <c r="BD109" t="s">
        <v>182</v>
      </c>
      <c r="BE109" t="s">
        <v>247</v>
      </c>
      <c r="BF109">
        <v>0</v>
      </c>
      <c r="BG109">
        <v>0</v>
      </c>
      <c r="BH109">
        <v>0</v>
      </c>
      <c r="BI109" t="s">
        <v>199</v>
      </c>
      <c r="BJ109" t="s">
        <v>315</v>
      </c>
      <c r="BL109" t="s">
        <v>199</v>
      </c>
      <c r="BM109" t="s">
        <v>358</v>
      </c>
      <c r="BN109" t="s">
        <v>182</v>
      </c>
      <c r="BO109" t="s">
        <v>198</v>
      </c>
      <c r="BP109" t="s">
        <v>198</v>
      </c>
      <c r="BQ109" t="s">
        <v>198</v>
      </c>
      <c r="BR109" t="s">
        <v>198</v>
      </c>
      <c r="BS109" t="s">
        <v>198</v>
      </c>
      <c r="BT109" t="s">
        <v>198</v>
      </c>
      <c r="BU109" t="s">
        <v>182</v>
      </c>
      <c r="BV109" t="s">
        <v>198</v>
      </c>
      <c r="BW109" t="s">
        <v>198</v>
      </c>
      <c r="BX109" t="s">
        <v>199</v>
      </c>
      <c r="BY109" t="s">
        <v>198</v>
      </c>
      <c r="BZ109" t="s">
        <v>199</v>
      </c>
      <c r="CA109" t="s">
        <v>199</v>
      </c>
      <c r="CB109" t="s">
        <v>1599</v>
      </c>
      <c r="CC109" t="s">
        <v>201</v>
      </c>
      <c r="CD109" t="s">
        <v>182</v>
      </c>
      <c r="CE109" t="s">
        <v>1600</v>
      </c>
      <c r="CF109" t="s">
        <v>1601</v>
      </c>
      <c r="CG109" t="s">
        <v>1602</v>
      </c>
      <c r="CH109" t="s">
        <v>1603</v>
      </c>
      <c r="CI109" t="s">
        <v>629</v>
      </c>
      <c r="CJ109" t="s">
        <v>831</v>
      </c>
      <c r="CK109" t="s">
        <v>232</v>
      </c>
      <c r="CL109" t="s">
        <v>233</v>
      </c>
      <c r="CM109" t="s">
        <v>1999</v>
      </c>
      <c r="CN109" t="s">
        <v>331</v>
      </c>
      <c r="CO109" t="s">
        <v>183</v>
      </c>
      <c r="CP109" t="s">
        <v>266</v>
      </c>
      <c r="CS109" t="s">
        <v>198</v>
      </c>
      <c r="CT109" t="s">
        <v>756</v>
      </c>
      <c r="CU109" t="s">
        <v>292</v>
      </c>
      <c r="CV109" t="s">
        <v>293</v>
      </c>
      <c r="CW109" t="s">
        <v>2000</v>
      </c>
      <c r="CX109" t="s">
        <v>295</v>
      </c>
      <c r="CY109" t="s">
        <v>183</v>
      </c>
      <c r="CZ109" t="s">
        <v>211</v>
      </c>
      <c r="DA109" t="s">
        <v>345</v>
      </c>
      <c r="DC109" t="s">
        <v>1609</v>
      </c>
      <c r="DD109" t="s">
        <v>1657</v>
      </c>
      <c r="DE109" t="s">
        <v>267</v>
      </c>
      <c r="DF109" t="s">
        <v>268</v>
      </c>
      <c r="DG109" t="s">
        <v>2001</v>
      </c>
      <c r="DH109" t="s">
        <v>331</v>
      </c>
      <c r="DI109" t="s">
        <v>183</v>
      </c>
      <c r="DJ109" t="s">
        <v>211</v>
      </c>
      <c r="DK109" t="s">
        <v>298</v>
      </c>
      <c r="DM109" t="s">
        <v>1611</v>
      </c>
      <c r="DN109" t="s">
        <v>1757</v>
      </c>
      <c r="DO109" t="s">
        <v>273</v>
      </c>
      <c r="DP109" t="s">
        <v>274</v>
      </c>
      <c r="DQ109" t="s">
        <v>2002</v>
      </c>
      <c r="DR109" t="s">
        <v>341</v>
      </c>
      <c r="DS109" t="s">
        <v>183</v>
      </c>
      <c r="DT109" t="s">
        <v>211</v>
      </c>
      <c r="DU109" t="s">
        <v>345</v>
      </c>
      <c r="DW109" t="s">
        <v>1613</v>
      </c>
      <c r="DX109" t="s">
        <v>1935</v>
      </c>
      <c r="DY109" t="s">
        <v>302</v>
      </c>
      <c r="DZ109" t="s">
        <v>303</v>
      </c>
      <c r="EA109" t="s">
        <v>2003</v>
      </c>
      <c r="EB109" t="s">
        <v>331</v>
      </c>
      <c r="EC109" t="s">
        <v>183</v>
      </c>
      <c r="ED109" t="s">
        <v>211</v>
      </c>
      <c r="EE109" t="s">
        <v>298</v>
      </c>
      <c r="EG109" t="s">
        <v>1616</v>
      </c>
      <c r="EH109" t="s">
        <v>2004</v>
      </c>
      <c r="EI109" t="s">
        <v>238</v>
      </c>
      <c r="EJ109" t="s">
        <v>239</v>
      </c>
      <c r="EK109" t="s">
        <v>2005</v>
      </c>
      <c r="EL109" t="s">
        <v>247</v>
      </c>
      <c r="EM109" t="s">
        <v>183</v>
      </c>
      <c r="EN109" t="s">
        <v>211</v>
      </c>
      <c r="EO109" t="s">
        <v>298</v>
      </c>
      <c r="EQ109" t="s">
        <v>1619</v>
      </c>
      <c r="ER109" t="s">
        <v>2006</v>
      </c>
      <c r="ES109" t="s">
        <v>346</v>
      </c>
      <c r="ET109" t="s">
        <v>347</v>
      </c>
      <c r="EU109" t="s">
        <v>2007</v>
      </c>
      <c r="EV109" t="s">
        <v>1966</v>
      </c>
      <c r="EW109" t="s">
        <v>183</v>
      </c>
      <c r="EX109" t="s">
        <v>211</v>
      </c>
      <c r="EY109" t="s">
        <v>298</v>
      </c>
      <c r="FA109" t="s">
        <v>1622</v>
      </c>
      <c r="FB109" t="s">
        <v>2008</v>
      </c>
      <c r="FC109" t="s">
        <v>207</v>
      </c>
      <c r="FD109" t="s">
        <v>208</v>
      </c>
      <c r="FE109" t="s">
        <v>2009</v>
      </c>
      <c r="FF109" t="s">
        <v>314</v>
      </c>
      <c r="FG109" t="s">
        <v>183</v>
      </c>
      <c r="FH109" t="s">
        <v>211</v>
      </c>
      <c r="FI109" t="s">
        <v>298</v>
      </c>
      <c r="FK109" t="s">
        <v>474</v>
      </c>
      <c r="FU109" t="s">
        <v>198</v>
      </c>
    </row>
    <row r="110" spans="1:177">
      <c r="A110" s="1" t="str">
        <f>HYPERLINK("http://digipan.lumentumllc.com/apps/getLink/index.php?t=PropLink&amp;p=5246374","PL")</f>
        <v>PL</v>
      </c>
      <c r="B110" s="1" t="str">
        <f>HYPERLINK("http://digipan.lumentumllc.com/apps/getLink/index.php?t=TaxLink&amp;p=5246374","TL")</f>
        <v>TL</v>
      </c>
      <c r="C110" s="1" t="str">
        <f>HYPERLINK("http://digipan.lumentumllc.com/apps/getMap/index.php?p=5246374","Map")</f>
        <v>Map</v>
      </c>
      <c r="E110" t="s">
        <v>177</v>
      </c>
      <c r="F110" t="s">
        <v>178</v>
      </c>
      <c r="L110" t="s">
        <v>2010</v>
      </c>
      <c r="N110" t="s">
        <v>2010</v>
      </c>
      <c r="O110" t="s">
        <v>2010</v>
      </c>
      <c r="P110" t="s">
        <v>2011</v>
      </c>
      <c r="Q110" t="s">
        <v>2010</v>
      </c>
      <c r="V110">
        <v>125</v>
      </c>
      <c r="W110">
        <v>1</v>
      </c>
      <c r="X110">
        <v>2017</v>
      </c>
      <c r="Y110">
        <v>2018</v>
      </c>
      <c r="Z110">
        <v>704.33</v>
      </c>
      <c r="AB110" t="s">
        <v>181</v>
      </c>
      <c r="AC110" t="s">
        <v>182</v>
      </c>
      <c r="AD110" t="s">
        <v>183</v>
      </c>
      <c r="AE110">
        <v>0</v>
      </c>
      <c r="AF110">
        <v>1</v>
      </c>
      <c r="AG110" t="s">
        <v>184</v>
      </c>
      <c r="AH110">
        <v>0</v>
      </c>
      <c r="AK110">
        <v>0</v>
      </c>
      <c r="AL110">
        <v>263427</v>
      </c>
      <c r="AM110">
        <v>26607</v>
      </c>
      <c r="AN110">
        <v>236820</v>
      </c>
      <c r="AO110">
        <v>593</v>
      </c>
      <c r="AP110">
        <v>2016</v>
      </c>
      <c r="AQ110">
        <v>0.27</v>
      </c>
      <c r="AS110" t="s">
        <v>2012</v>
      </c>
      <c r="AT110" t="s">
        <v>186</v>
      </c>
      <c r="AU110" t="s">
        <v>177</v>
      </c>
      <c r="AV110" t="s">
        <v>187</v>
      </c>
      <c r="AW110" t="s">
        <v>182</v>
      </c>
      <c r="AX110">
        <v>69</v>
      </c>
      <c r="AY110" t="s">
        <v>218</v>
      </c>
      <c r="AZ110" t="s">
        <v>1263</v>
      </c>
      <c r="BA110" t="s">
        <v>2013</v>
      </c>
      <c r="BB110" t="s">
        <v>191</v>
      </c>
      <c r="BC110" t="s">
        <v>182</v>
      </c>
      <c r="BD110" t="s">
        <v>1528</v>
      </c>
      <c r="BE110" t="s">
        <v>2014</v>
      </c>
      <c r="BF110">
        <v>0</v>
      </c>
      <c r="BG110">
        <v>0</v>
      </c>
      <c r="BH110">
        <v>0</v>
      </c>
      <c r="BI110" t="s">
        <v>199</v>
      </c>
      <c r="BJ110" t="s">
        <v>248</v>
      </c>
      <c r="BL110" t="s">
        <v>1741</v>
      </c>
      <c r="BM110" t="s">
        <v>533</v>
      </c>
      <c r="BN110" t="s">
        <v>182</v>
      </c>
      <c r="BO110" t="s">
        <v>2015</v>
      </c>
      <c r="BP110" t="s">
        <v>2016</v>
      </c>
      <c r="BQ110" t="s">
        <v>800</v>
      </c>
      <c r="BR110" t="s">
        <v>582</v>
      </c>
      <c r="BS110" t="s">
        <v>198</v>
      </c>
      <c r="BT110" t="s">
        <v>2017</v>
      </c>
      <c r="BU110" t="s">
        <v>182</v>
      </c>
      <c r="BV110" t="s">
        <v>198</v>
      </c>
      <c r="BW110" t="s">
        <v>198</v>
      </c>
      <c r="BX110" t="s">
        <v>199</v>
      </c>
      <c r="BY110" t="s">
        <v>198</v>
      </c>
      <c r="BZ110" t="s">
        <v>199</v>
      </c>
      <c r="CA110" t="s">
        <v>199</v>
      </c>
      <c r="CB110" t="s">
        <v>2018</v>
      </c>
      <c r="CC110" t="s">
        <v>201</v>
      </c>
      <c r="CD110" t="s">
        <v>202</v>
      </c>
      <c r="CE110" t="s">
        <v>2019</v>
      </c>
      <c r="CF110" t="s">
        <v>204</v>
      </c>
      <c r="CG110" t="s">
        <v>177</v>
      </c>
      <c r="CH110" t="s">
        <v>187</v>
      </c>
      <c r="CI110" t="s">
        <v>2020</v>
      </c>
      <c r="CJ110" t="s">
        <v>2021</v>
      </c>
      <c r="CK110" t="s">
        <v>207</v>
      </c>
      <c r="CL110" t="s">
        <v>208</v>
      </c>
      <c r="CM110" t="s">
        <v>2022</v>
      </c>
      <c r="CN110" t="s">
        <v>254</v>
      </c>
      <c r="CO110" t="s">
        <v>183</v>
      </c>
      <c r="CP110" t="s">
        <v>211</v>
      </c>
      <c r="CQ110" t="s">
        <v>199</v>
      </c>
      <c r="CS110" t="s">
        <v>2023</v>
      </c>
      <c r="DC110" t="s">
        <v>198</v>
      </c>
      <c r="DM110" t="s">
        <v>198</v>
      </c>
      <c r="DW110" t="s">
        <v>198</v>
      </c>
      <c r="EG110" t="s">
        <v>198</v>
      </c>
      <c r="EQ110" t="s">
        <v>198</v>
      </c>
      <c r="FA110" t="s">
        <v>198</v>
      </c>
      <c r="FK110" t="s">
        <v>198</v>
      </c>
      <c r="FU110" t="s">
        <v>198</v>
      </c>
    </row>
    <row r="111" spans="1:177">
      <c r="A111" s="1" t="str">
        <f>HYPERLINK("http://digipan.lumentumllc.com/apps/getLink/index.php?t=PropLink&amp;p=6129086","PL")</f>
        <v>PL</v>
      </c>
      <c r="B111" s="1" t="str">
        <f>HYPERLINK("http://digipan.lumentumllc.com/apps/getLink/index.php?t=TaxLink&amp;p=6129086","TL")</f>
        <v>TL</v>
      </c>
      <c r="C111" s="1" t="str">
        <f>HYPERLINK("http://digipan.lumentumllc.com/apps/getMap/index.php?p=6129086","Map")</f>
        <v>Map</v>
      </c>
      <c r="E111" t="s">
        <v>177</v>
      </c>
      <c r="F111" t="s">
        <v>178</v>
      </c>
      <c r="L111" t="s">
        <v>2024</v>
      </c>
      <c r="N111" t="s">
        <v>2024</v>
      </c>
      <c r="O111" t="s">
        <v>2024</v>
      </c>
      <c r="P111" t="s">
        <v>2025</v>
      </c>
      <c r="Q111" t="s">
        <v>2024</v>
      </c>
      <c r="V111">
        <v>126</v>
      </c>
      <c r="W111">
        <v>1</v>
      </c>
      <c r="X111">
        <v>2017</v>
      </c>
      <c r="Y111">
        <v>2018</v>
      </c>
      <c r="Z111">
        <v>903.07</v>
      </c>
      <c r="AB111" t="s">
        <v>181</v>
      </c>
      <c r="AC111" t="s">
        <v>182</v>
      </c>
      <c r="AD111" t="s">
        <v>183</v>
      </c>
      <c r="AE111">
        <v>0</v>
      </c>
      <c r="AF111">
        <v>3</v>
      </c>
      <c r="AG111" t="s">
        <v>381</v>
      </c>
      <c r="AH111">
        <v>100</v>
      </c>
      <c r="AK111">
        <v>0</v>
      </c>
      <c r="AL111">
        <v>104007</v>
      </c>
      <c r="AM111">
        <v>63840</v>
      </c>
      <c r="AN111">
        <v>40167</v>
      </c>
      <c r="AO111">
        <v>790</v>
      </c>
      <c r="AP111">
        <v>2016</v>
      </c>
      <c r="AQ111">
        <v>0.87</v>
      </c>
      <c r="AS111" t="s">
        <v>2026</v>
      </c>
      <c r="AT111" t="s">
        <v>186</v>
      </c>
      <c r="AU111" t="s">
        <v>177</v>
      </c>
      <c r="AV111" t="s">
        <v>187</v>
      </c>
      <c r="AW111" t="s">
        <v>202</v>
      </c>
      <c r="AX111">
        <v>2</v>
      </c>
      <c r="AY111" t="s">
        <v>188</v>
      </c>
      <c r="AZ111" t="s">
        <v>189</v>
      </c>
      <c r="BA111" t="s">
        <v>190</v>
      </c>
      <c r="BB111" t="s">
        <v>191</v>
      </c>
      <c r="BC111" t="s">
        <v>182</v>
      </c>
      <c r="BD111" t="s">
        <v>182</v>
      </c>
      <c r="BE111" t="s">
        <v>2027</v>
      </c>
      <c r="BF111">
        <v>1</v>
      </c>
      <c r="BG111">
        <v>1</v>
      </c>
      <c r="BH111">
        <v>1983</v>
      </c>
      <c r="BI111" t="s">
        <v>2028</v>
      </c>
      <c r="BJ111" t="s">
        <v>194</v>
      </c>
      <c r="BK111" t="s">
        <v>195</v>
      </c>
      <c r="BL111" t="s">
        <v>2029</v>
      </c>
      <c r="BM111" t="s">
        <v>238</v>
      </c>
      <c r="BN111" t="s">
        <v>182</v>
      </c>
      <c r="BO111" t="s">
        <v>2030</v>
      </c>
      <c r="BP111" t="s">
        <v>2031</v>
      </c>
      <c r="BS111" t="s">
        <v>2032</v>
      </c>
      <c r="BT111" t="s">
        <v>198</v>
      </c>
      <c r="BU111" t="s">
        <v>182</v>
      </c>
      <c r="BV111" t="s">
        <v>198</v>
      </c>
      <c r="BW111" t="s">
        <v>198</v>
      </c>
      <c r="BX111" t="s">
        <v>199</v>
      </c>
      <c r="BY111" t="s">
        <v>198</v>
      </c>
      <c r="BZ111" t="s">
        <v>199</v>
      </c>
      <c r="CA111" t="s">
        <v>199</v>
      </c>
      <c r="CB111" t="s">
        <v>2033</v>
      </c>
      <c r="CC111" t="s">
        <v>201</v>
      </c>
      <c r="CD111" t="s">
        <v>182</v>
      </c>
      <c r="CE111" t="s">
        <v>2034</v>
      </c>
      <c r="CF111" t="s">
        <v>204</v>
      </c>
      <c r="CG111" t="s">
        <v>177</v>
      </c>
      <c r="CH111" t="s">
        <v>187</v>
      </c>
      <c r="CI111" t="s">
        <v>805</v>
      </c>
      <c r="CJ111" t="s">
        <v>1657</v>
      </c>
      <c r="CK111" t="s">
        <v>292</v>
      </c>
      <c r="CL111" t="s">
        <v>293</v>
      </c>
      <c r="CM111" t="s">
        <v>2035</v>
      </c>
      <c r="CN111" t="s">
        <v>235</v>
      </c>
      <c r="CO111" t="s">
        <v>183</v>
      </c>
      <c r="CP111" t="s">
        <v>211</v>
      </c>
      <c r="CQ111" t="s">
        <v>199</v>
      </c>
      <c r="CS111" t="s">
        <v>2036</v>
      </c>
      <c r="CT111" t="s">
        <v>788</v>
      </c>
      <c r="CU111" t="s">
        <v>302</v>
      </c>
      <c r="CV111" t="s">
        <v>303</v>
      </c>
      <c r="CW111" t="s">
        <v>2037</v>
      </c>
      <c r="CX111" t="s">
        <v>235</v>
      </c>
      <c r="CY111" t="s">
        <v>183</v>
      </c>
      <c r="CZ111" t="s">
        <v>211</v>
      </c>
      <c r="DA111" t="s">
        <v>199</v>
      </c>
      <c r="DC111" t="s">
        <v>2038</v>
      </c>
      <c r="DD111" t="s">
        <v>1143</v>
      </c>
      <c r="DE111" t="s">
        <v>238</v>
      </c>
      <c r="DF111" t="s">
        <v>239</v>
      </c>
      <c r="DG111" t="s">
        <v>2039</v>
      </c>
      <c r="DH111" t="s">
        <v>235</v>
      </c>
      <c r="DI111" t="s">
        <v>183</v>
      </c>
      <c r="DJ111" t="s">
        <v>211</v>
      </c>
      <c r="DK111" t="s">
        <v>250</v>
      </c>
      <c r="DM111" t="s">
        <v>2040</v>
      </c>
      <c r="DW111" t="s">
        <v>198</v>
      </c>
      <c r="EG111" t="s">
        <v>198</v>
      </c>
      <c r="EQ111" t="s">
        <v>198</v>
      </c>
      <c r="FA111" t="s">
        <v>198</v>
      </c>
      <c r="FK111" t="s">
        <v>198</v>
      </c>
      <c r="FU111" t="s">
        <v>198</v>
      </c>
    </row>
    <row r="112" spans="1:177">
      <c r="A112" s="1" t="str">
        <f>HYPERLINK("http://digipan.lumentumllc.com/apps/getLink/index.php?t=PropLink&amp;p=6886741","PL")</f>
        <v>PL</v>
      </c>
      <c r="B112" s="1" t="str">
        <f>HYPERLINK("http://digipan.lumentumllc.com/apps/getLink/index.php?t=TaxLink&amp;p=6886741","TL")</f>
        <v>TL</v>
      </c>
      <c r="C112" s="1" t="str">
        <f>HYPERLINK("http://digipan.lumentumllc.com/apps/getMap/index.php?p=6886741","Map")</f>
        <v>Map</v>
      </c>
      <c r="E112" t="s">
        <v>177</v>
      </c>
      <c r="F112" t="s">
        <v>178</v>
      </c>
      <c r="L112" t="s">
        <v>2041</v>
      </c>
      <c r="N112" t="s">
        <v>2041</v>
      </c>
      <c r="O112" t="s">
        <v>2041</v>
      </c>
      <c r="P112" t="s">
        <v>2042</v>
      </c>
      <c r="Q112" t="s">
        <v>2041</v>
      </c>
      <c r="V112">
        <v>128</v>
      </c>
      <c r="W112">
        <v>1</v>
      </c>
      <c r="X112">
        <v>2017</v>
      </c>
      <c r="Y112">
        <v>2018</v>
      </c>
      <c r="Z112">
        <v>132.88</v>
      </c>
      <c r="AG112" t="s">
        <v>184</v>
      </c>
      <c r="AH112">
        <v>0</v>
      </c>
      <c r="AK112">
        <v>0</v>
      </c>
      <c r="AL112">
        <v>6183</v>
      </c>
      <c r="AM112">
        <v>3750</v>
      </c>
      <c r="AN112">
        <v>2433</v>
      </c>
      <c r="AO112">
        <v>86</v>
      </c>
      <c r="AP112">
        <v>2016</v>
      </c>
      <c r="AQ112">
        <v>2.15</v>
      </c>
      <c r="AS112" t="s">
        <v>2043</v>
      </c>
      <c r="AT112" t="s">
        <v>186</v>
      </c>
      <c r="AU112" t="s">
        <v>177</v>
      </c>
      <c r="AV112" t="s">
        <v>187</v>
      </c>
      <c r="AW112" t="s">
        <v>182</v>
      </c>
      <c r="AX112">
        <v>0</v>
      </c>
      <c r="AY112" t="s">
        <v>312</v>
      </c>
      <c r="AZ112" t="s">
        <v>199</v>
      </c>
      <c r="BA112" t="s">
        <v>313</v>
      </c>
      <c r="BB112" t="s">
        <v>191</v>
      </c>
      <c r="BC112" t="s">
        <v>182</v>
      </c>
      <c r="BD112" t="s">
        <v>182</v>
      </c>
      <c r="BE112" t="s">
        <v>235</v>
      </c>
      <c r="BF112">
        <v>0</v>
      </c>
      <c r="BG112">
        <v>0</v>
      </c>
      <c r="BH112">
        <v>0</v>
      </c>
      <c r="BI112" t="s">
        <v>199</v>
      </c>
      <c r="BJ112" t="s">
        <v>248</v>
      </c>
      <c r="BL112" t="s">
        <v>199</v>
      </c>
      <c r="BM112" t="s">
        <v>286</v>
      </c>
      <c r="BN112" t="s">
        <v>182</v>
      </c>
      <c r="BO112" t="s">
        <v>198</v>
      </c>
      <c r="BP112" t="s">
        <v>198</v>
      </c>
      <c r="BQ112" t="s">
        <v>198</v>
      </c>
      <c r="BR112" t="s">
        <v>198</v>
      </c>
      <c r="BS112" t="s">
        <v>198</v>
      </c>
      <c r="BT112" t="s">
        <v>198</v>
      </c>
      <c r="BU112" t="s">
        <v>182</v>
      </c>
      <c r="BV112" t="s">
        <v>198</v>
      </c>
      <c r="BW112" t="s">
        <v>198</v>
      </c>
      <c r="BX112" t="s">
        <v>199</v>
      </c>
      <c r="BY112" t="s">
        <v>198</v>
      </c>
      <c r="BZ112" t="s">
        <v>199</v>
      </c>
      <c r="CA112" t="s">
        <v>199</v>
      </c>
      <c r="CB112" t="s">
        <v>2044</v>
      </c>
      <c r="CC112" t="s">
        <v>201</v>
      </c>
      <c r="CD112" t="s">
        <v>182</v>
      </c>
      <c r="CE112" t="s">
        <v>2045</v>
      </c>
      <c r="CF112" t="s">
        <v>204</v>
      </c>
      <c r="CG112" t="s">
        <v>177</v>
      </c>
      <c r="CH112" t="s">
        <v>187</v>
      </c>
      <c r="CI112" t="s">
        <v>2046</v>
      </c>
      <c r="CS112" t="s">
        <v>198</v>
      </c>
      <c r="DC112" t="s">
        <v>198</v>
      </c>
      <c r="DM112" t="s">
        <v>198</v>
      </c>
      <c r="DW112" t="s">
        <v>198</v>
      </c>
      <c r="EG112" t="s">
        <v>198</v>
      </c>
      <c r="EQ112" t="s">
        <v>198</v>
      </c>
      <c r="FA112" t="s">
        <v>198</v>
      </c>
      <c r="FK112" t="s">
        <v>198</v>
      </c>
      <c r="FU112" t="s">
        <v>198</v>
      </c>
    </row>
    <row r="113" spans="1:177">
      <c r="A113" s="1" t="str">
        <f>HYPERLINK("http://digipan.lumentumllc.com/apps/getLink/index.php?t=PropLink&amp;p=5246620","PL")</f>
        <v>PL</v>
      </c>
      <c r="B113" s="1" t="str">
        <f>HYPERLINK("http://digipan.lumentumllc.com/apps/getLink/index.php?t=TaxLink&amp;p=5246620","TL")</f>
        <v>TL</v>
      </c>
      <c r="C113" s="1" t="str">
        <f>HYPERLINK("http://digipan.lumentumllc.com/apps/getMap/index.php?p=5246620","Map")</f>
        <v>Map</v>
      </c>
      <c r="E113" t="s">
        <v>177</v>
      </c>
      <c r="F113" t="s">
        <v>178</v>
      </c>
      <c r="L113" t="s">
        <v>2047</v>
      </c>
      <c r="N113" t="s">
        <v>2047</v>
      </c>
      <c r="O113" t="s">
        <v>2047</v>
      </c>
      <c r="P113" t="s">
        <v>2048</v>
      </c>
      <c r="Q113" t="s">
        <v>2047</v>
      </c>
      <c r="V113">
        <v>129</v>
      </c>
      <c r="W113">
        <v>1</v>
      </c>
      <c r="X113">
        <v>2017</v>
      </c>
      <c r="Y113">
        <v>2018</v>
      </c>
      <c r="Z113">
        <v>749.27</v>
      </c>
      <c r="AB113" t="s">
        <v>181</v>
      </c>
      <c r="AC113" t="s">
        <v>182</v>
      </c>
      <c r="AD113" t="s">
        <v>183</v>
      </c>
      <c r="AE113">
        <v>1</v>
      </c>
      <c r="AF113">
        <v>4</v>
      </c>
      <c r="AG113" t="s">
        <v>257</v>
      </c>
      <c r="AH113">
        <v>75</v>
      </c>
      <c r="AI113">
        <v>666.94</v>
      </c>
      <c r="AJ113">
        <v>33.35</v>
      </c>
      <c r="AK113">
        <v>700.29</v>
      </c>
      <c r="AL113">
        <v>45678</v>
      </c>
      <c r="AM113">
        <v>15000</v>
      </c>
      <c r="AN113">
        <v>30678</v>
      </c>
      <c r="AO113">
        <v>592</v>
      </c>
      <c r="AP113">
        <v>2016</v>
      </c>
      <c r="AQ113">
        <v>1.64</v>
      </c>
      <c r="AR113">
        <v>1.53</v>
      </c>
      <c r="AS113" t="s">
        <v>2049</v>
      </c>
      <c r="AT113" t="s">
        <v>186</v>
      </c>
      <c r="AU113" t="s">
        <v>177</v>
      </c>
      <c r="AV113" t="s">
        <v>187</v>
      </c>
      <c r="AW113" t="s">
        <v>182</v>
      </c>
      <c r="AX113">
        <v>2</v>
      </c>
      <c r="AY113" t="s">
        <v>188</v>
      </c>
      <c r="AZ113" t="s">
        <v>189</v>
      </c>
      <c r="BA113" t="s">
        <v>190</v>
      </c>
      <c r="BB113" t="s">
        <v>191</v>
      </c>
      <c r="BC113" t="s">
        <v>182</v>
      </c>
      <c r="BD113" t="s">
        <v>182</v>
      </c>
      <c r="BE113" t="s">
        <v>383</v>
      </c>
      <c r="BF113">
        <v>1</v>
      </c>
      <c r="BG113">
        <v>1</v>
      </c>
      <c r="BH113">
        <v>1999</v>
      </c>
      <c r="BI113" t="s">
        <v>1271</v>
      </c>
      <c r="BJ113" t="s">
        <v>194</v>
      </c>
      <c r="BK113" t="s">
        <v>195</v>
      </c>
      <c r="BL113" t="s">
        <v>2050</v>
      </c>
      <c r="BM113" t="s">
        <v>1041</v>
      </c>
      <c r="BN113" t="s">
        <v>182</v>
      </c>
      <c r="BO113" t="s">
        <v>2051</v>
      </c>
      <c r="BP113" t="s">
        <v>2052</v>
      </c>
      <c r="BQ113" t="s">
        <v>2053</v>
      </c>
      <c r="BS113" t="s">
        <v>198</v>
      </c>
      <c r="BT113" t="s">
        <v>228</v>
      </c>
      <c r="BU113" t="s">
        <v>182</v>
      </c>
      <c r="BV113" t="s">
        <v>198</v>
      </c>
      <c r="BW113" t="s">
        <v>198</v>
      </c>
      <c r="BX113" t="s">
        <v>199</v>
      </c>
      <c r="BY113" t="s">
        <v>198</v>
      </c>
      <c r="BZ113" t="s">
        <v>199</v>
      </c>
      <c r="CA113" t="s">
        <v>199</v>
      </c>
      <c r="CB113" t="s">
        <v>2054</v>
      </c>
      <c r="CC113" t="s">
        <v>1407</v>
      </c>
      <c r="CD113" t="s">
        <v>202</v>
      </c>
      <c r="CE113" t="s">
        <v>2055</v>
      </c>
      <c r="CF113" t="s">
        <v>413</v>
      </c>
      <c r="CG113" t="s">
        <v>177</v>
      </c>
      <c r="CH113" t="s">
        <v>2056</v>
      </c>
      <c r="CI113" t="s">
        <v>2057</v>
      </c>
      <c r="CJ113" t="s">
        <v>855</v>
      </c>
      <c r="CK113" t="s">
        <v>232</v>
      </c>
      <c r="CL113" t="s">
        <v>233</v>
      </c>
      <c r="CM113" t="s">
        <v>2058</v>
      </c>
      <c r="CN113" t="s">
        <v>235</v>
      </c>
      <c r="CO113" t="s">
        <v>183</v>
      </c>
      <c r="CP113" t="s">
        <v>266</v>
      </c>
      <c r="CS113" t="s">
        <v>198</v>
      </c>
      <c r="CT113" t="s">
        <v>758</v>
      </c>
      <c r="CU113" t="s">
        <v>292</v>
      </c>
      <c r="CV113" t="s">
        <v>293</v>
      </c>
      <c r="CW113" t="s">
        <v>2059</v>
      </c>
      <c r="CX113" t="s">
        <v>235</v>
      </c>
      <c r="CY113" t="s">
        <v>183</v>
      </c>
      <c r="CZ113" t="s">
        <v>211</v>
      </c>
      <c r="DA113" t="s">
        <v>339</v>
      </c>
      <c r="DC113" t="s">
        <v>2060</v>
      </c>
      <c r="DD113" t="s">
        <v>2061</v>
      </c>
      <c r="DE113" t="s">
        <v>238</v>
      </c>
      <c r="DF113" t="s">
        <v>239</v>
      </c>
      <c r="DG113" t="s">
        <v>2062</v>
      </c>
      <c r="DH113" t="s">
        <v>440</v>
      </c>
      <c r="DI113" t="s">
        <v>183</v>
      </c>
      <c r="DJ113" t="s">
        <v>211</v>
      </c>
      <c r="DK113" t="s">
        <v>199</v>
      </c>
      <c r="DM113" t="s">
        <v>2063</v>
      </c>
      <c r="DN113" t="s">
        <v>2064</v>
      </c>
      <c r="DO113" t="s">
        <v>346</v>
      </c>
      <c r="DP113" t="s">
        <v>347</v>
      </c>
      <c r="DQ113" t="s">
        <v>2065</v>
      </c>
      <c r="DR113" t="s">
        <v>235</v>
      </c>
      <c r="DS113" t="s">
        <v>183</v>
      </c>
      <c r="DT113" t="s">
        <v>211</v>
      </c>
      <c r="DU113" t="s">
        <v>264</v>
      </c>
      <c r="DW113" t="s">
        <v>2066</v>
      </c>
      <c r="DX113" t="s">
        <v>1876</v>
      </c>
      <c r="DY113" t="s">
        <v>207</v>
      </c>
      <c r="DZ113" t="s">
        <v>208</v>
      </c>
      <c r="EA113" t="s">
        <v>2067</v>
      </c>
      <c r="EB113" t="s">
        <v>473</v>
      </c>
      <c r="EC113" t="s">
        <v>183</v>
      </c>
      <c r="ED113" t="s">
        <v>211</v>
      </c>
      <c r="EE113" t="s">
        <v>270</v>
      </c>
      <c r="EG113" t="s">
        <v>2068</v>
      </c>
      <c r="EQ113" t="s">
        <v>198</v>
      </c>
      <c r="FA113" t="s">
        <v>198</v>
      </c>
      <c r="FK113" t="s">
        <v>198</v>
      </c>
      <c r="FU113" t="s">
        <v>198</v>
      </c>
    </row>
    <row r="114" spans="1:177">
      <c r="A114" s="1" t="str">
        <f>HYPERLINK("http://digipan.lumentumllc.com/apps/getLink/index.php?t=PropLink&amp;p=6129129","PL")</f>
        <v>PL</v>
      </c>
      <c r="B114" s="1" t="str">
        <f>HYPERLINK("http://digipan.lumentumllc.com/apps/getLink/index.php?t=TaxLink&amp;p=6129129","TL")</f>
        <v>TL</v>
      </c>
      <c r="C114" s="1" t="str">
        <f>HYPERLINK("http://digipan.lumentumllc.com/apps/getMap/index.php?p=6129129","Map")</f>
        <v>Map</v>
      </c>
      <c r="E114" t="s">
        <v>177</v>
      </c>
      <c r="F114" t="s">
        <v>178</v>
      </c>
      <c r="L114" t="s">
        <v>2069</v>
      </c>
      <c r="N114" t="s">
        <v>2069</v>
      </c>
      <c r="O114" t="s">
        <v>2069</v>
      </c>
      <c r="P114" t="s">
        <v>2070</v>
      </c>
      <c r="Q114" t="s">
        <v>2069</v>
      </c>
      <c r="V114">
        <v>130</v>
      </c>
      <c r="W114">
        <v>1</v>
      </c>
      <c r="X114">
        <v>2017</v>
      </c>
      <c r="Y114">
        <v>2018</v>
      </c>
      <c r="Z114">
        <v>2739.03</v>
      </c>
      <c r="AB114" t="s">
        <v>181</v>
      </c>
      <c r="AC114" t="s">
        <v>182</v>
      </c>
      <c r="AD114" t="s">
        <v>183</v>
      </c>
      <c r="AE114">
        <v>1</v>
      </c>
      <c r="AF114">
        <v>3</v>
      </c>
      <c r="AG114" t="s">
        <v>257</v>
      </c>
      <c r="AH114">
        <v>75</v>
      </c>
      <c r="AI114">
        <v>2623.73</v>
      </c>
      <c r="AJ114">
        <v>131.19</v>
      </c>
      <c r="AK114">
        <v>2754.92</v>
      </c>
      <c r="AL114">
        <v>263731</v>
      </c>
      <c r="AM114">
        <v>32804</v>
      </c>
      <c r="AN114">
        <v>230927</v>
      </c>
      <c r="AO114">
        <v>2401</v>
      </c>
      <c r="AP114">
        <v>2016</v>
      </c>
      <c r="AQ114">
        <v>1.04</v>
      </c>
      <c r="AR114">
        <v>1.04</v>
      </c>
      <c r="AS114" t="s">
        <v>2071</v>
      </c>
      <c r="AT114" t="s">
        <v>186</v>
      </c>
      <c r="AU114" t="s">
        <v>177</v>
      </c>
      <c r="AV114" t="s">
        <v>187</v>
      </c>
      <c r="AW114" t="s">
        <v>182</v>
      </c>
      <c r="AX114">
        <v>50</v>
      </c>
      <c r="AY114" t="s">
        <v>218</v>
      </c>
      <c r="AZ114" t="s">
        <v>589</v>
      </c>
      <c r="BA114" t="s">
        <v>590</v>
      </c>
      <c r="BB114" t="s">
        <v>191</v>
      </c>
      <c r="BC114" t="s">
        <v>182</v>
      </c>
      <c r="BD114" t="s">
        <v>2072</v>
      </c>
      <c r="BE114" t="s">
        <v>2073</v>
      </c>
      <c r="BF114">
        <v>1</v>
      </c>
      <c r="BG114">
        <v>1</v>
      </c>
      <c r="BH114">
        <v>1979</v>
      </c>
      <c r="BI114" t="s">
        <v>2074</v>
      </c>
      <c r="BJ114" t="s">
        <v>194</v>
      </c>
      <c r="BK114" t="s">
        <v>195</v>
      </c>
      <c r="BL114" t="s">
        <v>2075</v>
      </c>
      <c r="BM114" t="s">
        <v>679</v>
      </c>
      <c r="BN114" t="s">
        <v>182</v>
      </c>
      <c r="BO114" t="s">
        <v>198</v>
      </c>
      <c r="BP114" t="s">
        <v>198</v>
      </c>
      <c r="BQ114" t="s">
        <v>198</v>
      </c>
      <c r="BR114" t="s">
        <v>198</v>
      </c>
      <c r="BS114" t="s">
        <v>198</v>
      </c>
      <c r="BT114" t="s">
        <v>198</v>
      </c>
      <c r="BU114" t="s">
        <v>182</v>
      </c>
      <c r="BV114" t="s">
        <v>198</v>
      </c>
      <c r="BW114" t="s">
        <v>198</v>
      </c>
      <c r="BX114" t="s">
        <v>199</v>
      </c>
      <c r="BY114" t="s">
        <v>198</v>
      </c>
      <c r="BZ114" t="s">
        <v>199</v>
      </c>
      <c r="CA114" t="s">
        <v>199</v>
      </c>
      <c r="CB114" t="s">
        <v>1725</v>
      </c>
      <c r="CC114" t="s">
        <v>201</v>
      </c>
      <c r="CD114" t="s">
        <v>182</v>
      </c>
      <c r="CE114" t="s">
        <v>1726</v>
      </c>
      <c r="CF114" t="s">
        <v>1029</v>
      </c>
      <c r="CG114" t="s">
        <v>177</v>
      </c>
      <c r="CH114" t="s">
        <v>1030</v>
      </c>
      <c r="CI114" t="s">
        <v>2076</v>
      </c>
      <c r="CJ114" t="s">
        <v>2077</v>
      </c>
      <c r="CK114" t="s">
        <v>232</v>
      </c>
      <c r="CL114" t="s">
        <v>233</v>
      </c>
      <c r="CM114" t="s">
        <v>2078</v>
      </c>
      <c r="CN114" t="s">
        <v>235</v>
      </c>
      <c r="CO114" t="s">
        <v>183</v>
      </c>
      <c r="CP114" t="s">
        <v>266</v>
      </c>
      <c r="CS114" t="s">
        <v>198</v>
      </c>
      <c r="CT114" t="s">
        <v>2079</v>
      </c>
      <c r="CU114" t="s">
        <v>273</v>
      </c>
      <c r="CV114" t="s">
        <v>268</v>
      </c>
      <c r="CW114" t="s">
        <v>2080</v>
      </c>
      <c r="CX114" t="s">
        <v>235</v>
      </c>
      <c r="CY114" t="s">
        <v>183</v>
      </c>
      <c r="CZ114" t="s">
        <v>211</v>
      </c>
      <c r="DA114" t="s">
        <v>206</v>
      </c>
      <c r="DC114" t="s">
        <v>1731</v>
      </c>
      <c r="DD114" t="s">
        <v>790</v>
      </c>
      <c r="DE114" t="s">
        <v>302</v>
      </c>
      <c r="DF114" t="s">
        <v>303</v>
      </c>
      <c r="DG114" t="s">
        <v>2081</v>
      </c>
      <c r="DH114" t="s">
        <v>235</v>
      </c>
      <c r="DI114" t="s">
        <v>183</v>
      </c>
      <c r="DJ114" t="s">
        <v>211</v>
      </c>
      <c r="DK114" t="s">
        <v>808</v>
      </c>
      <c r="DM114" t="s">
        <v>1731</v>
      </c>
      <c r="DN114" t="s">
        <v>2082</v>
      </c>
      <c r="DO114" t="s">
        <v>238</v>
      </c>
      <c r="DP114" t="s">
        <v>239</v>
      </c>
      <c r="DQ114" t="s">
        <v>2083</v>
      </c>
      <c r="DR114" t="s">
        <v>235</v>
      </c>
      <c r="DS114" t="s">
        <v>183</v>
      </c>
      <c r="DT114" t="s">
        <v>211</v>
      </c>
      <c r="DU114" t="s">
        <v>337</v>
      </c>
      <c r="DW114" t="s">
        <v>2084</v>
      </c>
      <c r="EG114" t="s">
        <v>198</v>
      </c>
      <c r="EQ114" t="s">
        <v>198</v>
      </c>
      <c r="FA114" t="s">
        <v>198</v>
      </c>
      <c r="FK114" t="s">
        <v>198</v>
      </c>
      <c r="FU114" t="s">
        <v>198</v>
      </c>
    </row>
    <row r="115" spans="1:177">
      <c r="A115" s="1" t="str">
        <f>HYPERLINK("http://digipan.lumentumllc.com/apps/getLink/index.php?t=PropLink&amp;p=6886760","PL")</f>
        <v>PL</v>
      </c>
      <c r="B115" s="1" t="str">
        <f>HYPERLINK("http://digipan.lumentumllc.com/apps/getLink/index.php?t=TaxLink&amp;p=6886760","TL")</f>
        <v>TL</v>
      </c>
      <c r="C115" s="1" t="str">
        <f>HYPERLINK("http://digipan.lumentumllc.com/apps/getMap/index.php?p=6886760","Map")</f>
        <v>Map</v>
      </c>
      <c r="E115" t="s">
        <v>177</v>
      </c>
      <c r="F115" t="s">
        <v>178</v>
      </c>
      <c r="L115" t="s">
        <v>2085</v>
      </c>
      <c r="N115" t="s">
        <v>2085</v>
      </c>
      <c r="O115" t="s">
        <v>2085</v>
      </c>
      <c r="P115" t="s">
        <v>2086</v>
      </c>
      <c r="Q115" t="s">
        <v>2085</v>
      </c>
      <c r="V115">
        <v>131</v>
      </c>
      <c r="W115">
        <v>1</v>
      </c>
      <c r="X115">
        <v>2017</v>
      </c>
      <c r="Y115">
        <v>2018</v>
      </c>
      <c r="Z115">
        <v>104.04</v>
      </c>
      <c r="AB115" t="s">
        <v>181</v>
      </c>
      <c r="AC115" t="s">
        <v>182</v>
      </c>
      <c r="AD115" t="s">
        <v>183</v>
      </c>
      <c r="AE115">
        <v>2</v>
      </c>
      <c r="AF115">
        <v>1</v>
      </c>
      <c r="AG115" t="s">
        <v>2087</v>
      </c>
      <c r="AH115">
        <v>33</v>
      </c>
      <c r="AI115">
        <v>185.53</v>
      </c>
      <c r="AJ115">
        <v>37.9</v>
      </c>
      <c r="AK115">
        <v>223.43</v>
      </c>
      <c r="AL115">
        <v>40620</v>
      </c>
      <c r="AM115">
        <v>4400</v>
      </c>
      <c r="AN115">
        <v>36220</v>
      </c>
      <c r="AO115">
        <v>62</v>
      </c>
      <c r="AP115">
        <v>2016</v>
      </c>
      <c r="AQ115">
        <v>0.26</v>
      </c>
      <c r="AR115">
        <v>0.55000000000000004</v>
      </c>
      <c r="AS115" t="s">
        <v>2088</v>
      </c>
      <c r="AT115" t="s">
        <v>186</v>
      </c>
      <c r="AU115" t="s">
        <v>177</v>
      </c>
      <c r="AV115" t="s">
        <v>187</v>
      </c>
      <c r="AW115" t="s">
        <v>182</v>
      </c>
      <c r="AX115">
        <v>54</v>
      </c>
      <c r="AY115" t="s">
        <v>218</v>
      </c>
      <c r="AZ115" t="s">
        <v>1209</v>
      </c>
      <c r="BA115" t="s">
        <v>2089</v>
      </c>
      <c r="BB115" t="s">
        <v>191</v>
      </c>
      <c r="BC115" t="s">
        <v>182</v>
      </c>
      <c r="BD115" t="s">
        <v>182</v>
      </c>
      <c r="BE115" t="s">
        <v>2090</v>
      </c>
      <c r="BF115">
        <v>0</v>
      </c>
      <c r="BG115">
        <v>0</v>
      </c>
      <c r="BH115">
        <v>0</v>
      </c>
      <c r="BI115" t="s">
        <v>199</v>
      </c>
      <c r="BJ115" t="s">
        <v>315</v>
      </c>
      <c r="BL115" t="s">
        <v>2075</v>
      </c>
      <c r="BM115" t="s">
        <v>286</v>
      </c>
      <c r="BN115" t="s">
        <v>182</v>
      </c>
      <c r="BO115" t="s">
        <v>198</v>
      </c>
      <c r="BP115" t="s">
        <v>198</v>
      </c>
      <c r="BQ115" t="s">
        <v>198</v>
      </c>
      <c r="BR115" t="s">
        <v>198</v>
      </c>
      <c r="BS115" t="s">
        <v>198</v>
      </c>
      <c r="BT115" t="s">
        <v>198</v>
      </c>
      <c r="BU115" t="s">
        <v>182</v>
      </c>
      <c r="BV115" t="s">
        <v>198</v>
      </c>
      <c r="BW115" t="s">
        <v>198</v>
      </c>
      <c r="BX115" t="s">
        <v>199</v>
      </c>
      <c r="BY115" t="s">
        <v>198</v>
      </c>
      <c r="BZ115" t="s">
        <v>199</v>
      </c>
      <c r="CA115" t="s">
        <v>199</v>
      </c>
      <c r="CB115" t="s">
        <v>1725</v>
      </c>
      <c r="CC115" t="s">
        <v>201</v>
      </c>
      <c r="CD115" t="s">
        <v>182</v>
      </c>
      <c r="CE115" t="s">
        <v>1726</v>
      </c>
      <c r="CF115" t="s">
        <v>1029</v>
      </c>
      <c r="CG115" t="s">
        <v>177</v>
      </c>
      <c r="CH115" t="s">
        <v>1030</v>
      </c>
      <c r="CI115" t="s">
        <v>2091</v>
      </c>
      <c r="CJ115" t="s">
        <v>2092</v>
      </c>
      <c r="CK115" t="s">
        <v>232</v>
      </c>
      <c r="CL115" t="s">
        <v>233</v>
      </c>
      <c r="CM115" t="s">
        <v>2093</v>
      </c>
      <c r="CN115" t="s">
        <v>341</v>
      </c>
      <c r="CO115" t="s">
        <v>183</v>
      </c>
      <c r="CP115" t="s">
        <v>266</v>
      </c>
      <c r="CS115" t="s">
        <v>198</v>
      </c>
      <c r="CT115" t="s">
        <v>1935</v>
      </c>
      <c r="CU115" t="s">
        <v>292</v>
      </c>
      <c r="CV115" t="s">
        <v>293</v>
      </c>
      <c r="CW115" t="s">
        <v>2094</v>
      </c>
      <c r="CX115" t="s">
        <v>389</v>
      </c>
      <c r="CY115" t="s">
        <v>183</v>
      </c>
      <c r="CZ115" t="s">
        <v>266</v>
      </c>
      <c r="DC115" t="s">
        <v>198</v>
      </c>
      <c r="DD115" t="s">
        <v>773</v>
      </c>
      <c r="DE115" t="s">
        <v>267</v>
      </c>
      <c r="DF115" t="s">
        <v>268</v>
      </c>
      <c r="DG115" t="s">
        <v>2095</v>
      </c>
      <c r="DH115" t="s">
        <v>333</v>
      </c>
      <c r="DI115" t="s">
        <v>183</v>
      </c>
      <c r="DJ115" t="s">
        <v>211</v>
      </c>
      <c r="DK115" t="s">
        <v>298</v>
      </c>
      <c r="DM115" t="s">
        <v>2096</v>
      </c>
      <c r="DW115" t="s">
        <v>198</v>
      </c>
      <c r="EG115" t="s">
        <v>198</v>
      </c>
      <c r="EQ115" t="s">
        <v>198</v>
      </c>
      <c r="FA115" t="s">
        <v>198</v>
      </c>
      <c r="FK115" t="s">
        <v>198</v>
      </c>
      <c r="FU115" t="s">
        <v>198</v>
      </c>
    </row>
    <row r="116" spans="1:177">
      <c r="A116" s="1" t="str">
        <f>HYPERLINK("http://digipan.lumentumllc.com/apps/getLink/index.php?t=PropLink&amp;p=15750148","PL")</f>
        <v>PL</v>
      </c>
      <c r="B116" s="1" t="str">
        <f>HYPERLINK("http://digipan.lumentumllc.com/apps/getLink/index.php?t=TaxLink&amp;p=15750148","TL")</f>
        <v>TL</v>
      </c>
      <c r="C116" s="1" t="str">
        <f>HYPERLINK("http://digipan.lumentumllc.com/apps/getMap/index.php?p=15750148","Map")</f>
        <v>Map</v>
      </c>
      <c r="E116" t="s">
        <v>177</v>
      </c>
      <c r="F116" t="s">
        <v>178</v>
      </c>
      <c r="L116" t="s">
        <v>2097</v>
      </c>
      <c r="N116" t="s">
        <v>2097</v>
      </c>
      <c r="O116" t="s">
        <v>2097</v>
      </c>
      <c r="Q116" t="s">
        <v>2097</v>
      </c>
      <c r="V116">
        <v>132</v>
      </c>
      <c r="W116">
        <v>1</v>
      </c>
      <c r="X116">
        <v>2017</v>
      </c>
      <c r="Y116">
        <v>2018</v>
      </c>
      <c r="Z116">
        <v>2548.63</v>
      </c>
      <c r="AG116" t="s">
        <v>184</v>
      </c>
      <c r="AH116">
        <v>0</v>
      </c>
      <c r="AK116">
        <v>0</v>
      </c>
      <c r="AL116">
        <v>153710</v>
      </c>
      <c r="AM116">
        <v>150710</v>
      </c>
      <c r="AN116">
        <v>3000</v>
      </c>
      <c r="AO116">
        <v>163</v>
      </c>
      <c r="AP116">
        <v>2016</v>
      </c>
      <c r="AQ116">
        <v>1.66</v>
      </c>
      <c r="AS116" t="s">
        <v>2098</v>
      </c>
      <c r="AT116" t="s">
        <v>186</v>
      </c>
      <c r="AU116" t="s">
        <v>177</v>
      </c>
      <c r="AV116" t="s">
        <v>187</v>
      </c>
      <c r="AW116" t="s">
        <v>182</v>
      </c>
      <c r="AX116">
        <v>0</v>
      </c>
      <c r="AY116" t="s">
        <v>312</v>
      </c>
      <c r="AZ116" t="s">
        <v>199</v>
      </c>
      <c r="BA116" t="s">
        <v>313</v>
      </c>
      <c r="BB116" t="s">
        <v>191</v>
      </c>
      <c r="BC116" t="s">
        <v>182</v>
      </c>
      <c r="BD116" t="s">
        <v>182</v>
      </c>
      <c r="BE116" t="s">
        <v>2099</v>
      </c>
      <c r="BF116">
        <v>0</v>
      </c>
      <c r="BG116">
        <v>0</v>
      </c>
      <c r="BH116">
        <v>0</v>
      </c>
      <c r="BI116" t="s">
        <v>199</v>
      </c>
      <c r="BJ116" t="s">
        <v>396</v>
      </c>
      <c r="BL116" t="s">
        <v>199</v>
      </c>
      <c r="BM116" t="s">
        <v>267</v>
      </c>
      <c r="BN116" t="s">
        <v>182</v>
      </c>
      <c r="BO116" t="s">
        <v>198</v>
      </c>
      <c r="BP116" t="s">
        <v>198</v>
      </c>
      <c r="BQ116" t="s">
        <v>198</v>
      </c>
      <c r="BR116" t="s">
        <v>198</v>
      </c>
      <c r="BS116" t="s">
        <v>198</v>
      </c>
      <c r="BT116" t="s">
        <v>198</v>
      </c>
      <c r="BU116" t="s">
        <v>182</v>
      </c>
      <c r="BV116" t="s">
        <v>198</v>
      </c>
      <c r="BW116" t="s">
        <v>198</v>
      </c>
      <c r="BX116" t="s">
        <v>199</v>
      </c>
      <c r="BY116" t="s">
        <v>198</v>
      </c>
      <c r="BZ116" t="s">
        <v>199</v>
      </c>
      <c r="CA116" t="s">
        <v>199</v>
      </c>
      <c r="CB116" t="s">
        <v>2100</v>
      </c>
      <c r="CC116" t="s">
        <v>201</v>
      </c>
      <c r="CD116" t="s">
        <v>202</v>
      </c>
      <c r="CE116" t="s">
        <v>2101</v>
      </c>
      <c r="CF116" t="s">
        <v>204</v>
      </c>
      <c r="CG116" t="s">
        <v>177</v>
      </c>
      <c r="CH116" t="s">
        <v>187</v>
      </c>
      <c r="CI116" t="s">
        <v>2102</v>
      </c>
      <c r="CS116" t="s">
        <v>198</v>
      </c>
      <c r="DC116" t="s">
        <v>198</v>
      </c>
      <c r="DM116" t="s">
        <v>198</v>
      </c>
      <c r="DW116" t="s">
        <v>198</v>
      </c>
      <c r="EG116" t="s">
        <v>198</v>
      </c>
      <c r="EQ116" t="s">
        <v>198</v>
      </c>
      <c r="FA116" t="s">
        <v>198</v>
      </c>
      <c r="FK116" t="s">
        <v>198</v>
      </c>
      <c r="FU116" t="s">
        <v>198</v>
      </c>
    </row>
    <row r="117" spans="1:177">
      <c r="A117" s="1" t="str">
        <f>HYPERLINK("http://digipan.lumentumllc.com/apps/getLink/index.php?t=PropLink&amp;p=41029817","PL")</f>
        <v>PL</v>
      </c>
      <c r="B117" s="1" t="str">
        <f>HYPERLINK("http://digipan.lumentumllc.com/apps/getLink/index.php?t=TaxLink&amp;p=41029817","TL")</f>
        <v>TL</v>
      </c>
      <c r="C117" s="1" t="str">
        <f>HYPERLINK("","")</f>
        <v/>
      </c>
      <c r="E117" t="s">
        <v>177</v>
      </c>
      <c r="F117" t="s">
        <v>178</v>
      </c>
      <c r="L117" t="s">
        <v>2103</v>
      </c>
      <c r="N117" t="s">
        <v>2103</v>
      </c>
      <c r="O117" t="s">
        <v>2103</v>
      </c>
      <c r="Q117" t="s">
        <v>2103</v>
      </c>
      <c r="V117">
        <v>133</v>
      </c>
      <c r="W117">
        <v>1</v>
      </c>
      <c r="X117">
        <v>2017</v>
      </c>
      <c r="Y117">
        <v>2018</v>
      </c>
      <c r="Z117">
        <v>291.33</v>
      </c>
      <c r="AG117" t="s">
        <v>184</v>
      </c>
      <c r="AH117">
        <v>0</v>
      </c>
      <c r="AK117">
        <v>0</v>
      </c>
      <c r="AL117">
        <v>146040</v>
      </c>
      <c r="AM117">
        <v>9800</v>
      </c>
      <c r="AN117">
        <v>136240</v>
      </c>
      <c r="AQ117">
        <v>0.2</v>
      </c>
      <c r="AS117" t="s">
        <v>2104</v>
      </c>
      <c r="AT117" t="s">
        <v>186</v>
      </c>
      <c r="AU117" t="s">
        <v>177</v>
      </c>
      <c r="AV117" t="s">
        <v>187</v>
      </c>
      <c r="AW117" t="s">
        <v>182</v>
      </c>
      <c r="AX117">
        <v>56</v>
      </c>
      <c r="AY117" t="s">
        <v>218</v>
      </c>
      <c r="AZ117" t="s">
        <v>219</v>
      </c>
      <c r="BA117" t="s">
        <v>220</v>
      </c>
      <c r="BB117" t="s">
        <v>191</v>
      </c>
      <c r="BC117" t="s">
        <v>202</v>
      </c>
      <c r="BD117" t="s">
        <v>182</v>
      </c>
      <c r="BE117" t="s">
        <v>2105</v>
      </c>
      <c r="BI117" t="s">
        <v>199</v>
      </c>
      <c r="BN117" t="s">
        <v>182</v>
      </c>
      <c r="BO117" t="s">
        <v>198</v>
      </c>
      <c r="BP117" t="s">
        <v>198</v>
      </c>
      <c r="BQ117" t="s">
        <v>198</v>
      </c>
      <c r="BR117" t="s">
        <v>198</v>
      </c>
      <c r="BS117" t="s">
        <v>198</v>
      </c>
      <c r="BT117" t="s">
        <v>198</v>
      </c>
      <c r="BU117" t="s">
        <v>182</v>
      </c>
      <c r="BV117" t="s">
        <v>198</v>
      </c>
      <c r="BW117" t="s">
        <v>198</v>
      </c>
      <c r="BX117" t="s">
        <v>199</v>
      </c>
      <c r="BY117" t="s">
        <v>198</v>
      </c>
      <c r="CB117" t="s">
        <v>2100</v>
      </c>
      <c r="CC117" t="s">
        <v>201</v>
      </c>
      <c r="CD117" t="s">
        <v>182</v>
      </c>
      <c r="CE117" t="s">
        <v>2101</v>
      </c>
      <c r="CF117" t="s">
        <v>204</v>
      </c>
      <c r="CG117" t="s">
        <v>177</v>
      </c>
      <c r="CH117" t="s">
        <v>187</v>
      </c>
      <c r="CI117" t="s">
        <v>2106</v>
      </c>
      <c r="CS117" t="s">
        <v>198</v>
      </c>
      <c r="DC117" t="s">
        <v>198</v>
      </c>
      <c r="DM117" t="s">
        <v>198</v>
      </c>
      <c r="DW117" t="s">
        <v>198</v>
      </c>
      <c r="EG117" t="s">
        <v>198</v>
      </c>
      <c r="EQ117" t="s">
        <v>198</v>
      </c>
      <c r="FA117" t="s">
        <v>198</v>
      </c>
      <c r="FK117" t="s">
        <v>198</v>
      </c>
      <c r="FU117" t="s">
        <v>198</v>
      </c>
    </row>
    <row r="118" spans="1:177">
      <c r="A118" s="1" t="str">
        <f>HYPERLINK("http://digipan.lumentumllc.com/apps/getLink/index.php?t=PropLink&amp;p=15751009","PL")</f>
        <v>PL</v>
      </c>
      <c r="B118" s="1" t="str">
        <f>HYPERLINK("http://digipan.lumentumllc.com/apps/getLink/index.php?t=TaxLink&amp;p=15751009","TL")</f>
        <v>TL</v>
      </c>
      <c r="C118" s="1" t="str">
        <f>HYPERLINK("http://digipan.lumentumllc.com/apps/getMap/index.php?p=15751009","Map")</f>
        <v>Map</v>
      </c>
      <c r="E118" t="s">
        <v>177</v>
      </c>
      <c r="F118" t="s">
        <v>178</v>
      </c>
      <c r="L118" t="s">
        <v>2107</v>
      </c>
      <c r="N118" t="s">
        <v>2107</v>
      </c>
      <c r="O118" t="s">
        <v>2107</v>
      </c>
      <c r="Q118" t="s">
        <v>2107</v>
      </c>
      <c r="V118">
        <v>134</v>
      </c>
      <c r="W118">
        <v>1</v>
      </c>
      <c r="X118">
        <v>2017</v>
      </c>
      <c r="Y118">
        <v>2018</v>
      </c>
      <c r="Z118">
        <v>1568.16</v>
      </c>
      <c r="AG118" t="s">
        <v>184</v>
      </c>
      <c r="AH118">
        <v>0</v>
      </c>
      <c r="AK118">
        <v>0</v>
      </c>
      <c r="AL118">
        <v>93825</v>
      </c>
      <c r="AM118">
        <v>93825</v>
      </c>
      <c r="AN118">
        <v>0</v>
      </c>
      <c r="AO118">
        <v>385</v>
      </c>
      <c r="AP118">
        <v>2016</v>
      </c>
      <c r="AQ118">
        <v>1.67</v>
      </c>
      <c r="AS118" t="s">
        <v>1494</v>
      </c>
      <c r="AT118" t="s">
        <v>186</v>
      </c>
      <c r="AU118" t="s">
        <v>177</v>
      </c>
      <c r="AV118" t="s">
        <v>187</v>
      </c>
      <c r="AW118" t="s">
        <v>182</v>
      </c>
      <c r="AX118">
        <v>0</v>
      </c>
      <c r="AY118" t="s">
        <v>312</v>
      </c>
      <c r="AZ118" t="s">
        <v>199</v>
      </c>
      <c r="BA118" t="s">
        <v>313</v>
      </c>
      <c r="BB118" t="s">
        <v>191</v>
      </c>
      <c r="BC118" t="s">
        <v>182</v>
      </c>
      <c r="BD118" t="s">
        <v>1528</v>
      </c>
      <c r="BE118" t="s">
        <v>2108</v>
      </c>
      <c r="BF118">
        <v>0</v>
      </c>
      <c r="BG118">
        <v>0</v>
      </c>
      <c r="BH118">
        <v>0</v>
      </c>
      <c r="BI118" t="s">
        <v>199</v>
      </c>
      <c r="BJ118" t="s">
        <v>315</v>
      </c>
      <c r="BL118" t="s">
        <v>2109</v>
      </c>
      <c r="BM118" t="s">
        <v>232</v>
      </c>
      <c r="BN118" t="s">
        <v>182</v>
      </c>
      <c r="BO118" t="s">
        <v>198</v>
      </c>
      <c r="BP118" t="s">
        <v>198</v>
      </c>
      <c r="BQ118" t="s">
        <v>198</v>
      </c>
      <c r="BR118" t="s">
        <v>198</v>
      </c>
      <c r="BS118" t="s">
        <v>198</v>
      </c>
      <c r="BT118" t="s">
        <v>198</v>
      </c>
      <c r="BU118" t="s">
        <v>182</v>
      </c>
      <c r="BV118" t="s">
        <v>198</v>
      </c>
      <c r="BW118" t="s">
        <v>198</v>
      </c>
      <c r="BX118" t="s">
        <v>199</v>
      </c>
      <c r="BY118" t="s">
        <v>198</v>
      </c>
      <c r="BZ118" t="s">
        <v>199</v>
      </c>
      <c r="CA118" t="s">
        <v>199</v>
      </c>
      <c r="CB118" t="s">
        <v>2110</v>
      </c>
      <c r="CC118" t="s">
        <v>201</v>
      </c>
      <c r="CD118" t="s">
        <v>202</v>
      </c>
      <c r="CE118" t="s">
        <v>2111</v>
      </c>
      <c r="CF118" t="s">
        <v>1029</v>
      </c>
      <c r="CG118" t="s">
        <v>177</v>
      </c>
      <c r="CH118" t="s">
        <v>1030</v>
      </c>
      <c r="CI118" t="s">
        <v>2112</v>
      </c>
      <c r="CS118" t="s">
        <v>198</v>
      </c>
      <c r="DC118" t="s">
        <v>198</v>
      </c>
      <c r="DM118" t="s">
        <v>198</v>
      </c>
      <c r="DW118" t="s">
        <v>198</v>
      </c>
      <c r="EG118" t="s">
        <v>198</v>
      </c>
      <c r="EQ118" t="s">
        <v>198</v>
      </c>
      <c r="FA118" t="s">
        <v>198</v>
      </c>
      <c r="FK118" t="s">
        <v>198</v>
      </c>
      <c r="FU118" t="s">
        <v>198</v>
      </c>
    </row>
    <row r="119" spans="1:177">
      <c r="A119" s="1" t="str">
        <f>HYPERLINK("http://digipan.lumentumllc.com/apps/getLink/index.php?t=PropLink&amp;p=15751016","PL")</f>
        <v>PL</v>
      </c>
      <c r="B119" s="1" t="str">
        <f>HYPERLINK("http://digipan.lumentumllc.com/apps/getLink/index.php?t=TaxLink&amp;p=15751016","TL")</f>
        <v>TL</v>
      </c>
      <c r="C119" s="1" t="str">
        <f>HYPERLINK("http://digipan.lumentumllc.com/apps/getMap/index.php?p=15751016","Map")</f>
        <v>Map</v>
      </c>
      <c r="E119" t="s">
        <v>177</v>
      </c>
      <c r="F119" t="s">
        <v>178</v>
      </c>
      <c r="L119" t="s">
        <v>2113</v>
      </c>
      <c r="N119" t="s">
        <v>2113</v>
      </c>
      <c r="O119" t="s">
        <v>2113</v>
      </c>
      <c r="Q119" t="s">
        <v>2113</v>
      </c>
      <c r="V119">
        <v>135</v>
      </c>
      <c r="W119">
        <v>1</v>
      </c>
      <c r="X119">
        <v>2017</v>
      </c>
      <c r="Y119">
        <v>2018</v>
      </c>
      <c r="Z119">
        <v>804.15</v>
      </c>
      <c r="AG119" t="s">
        <v>184</v>
      </c>
      <c r="AH119">
        <v>0</v>
      </c>
      <c r="AK119">
        <v>0</v>
      </c>
      <c r="AL119">
        <v>47160</v>
      </c>
      <c r="AM119">
        <v>47160</v>
      </c>
      <c r="AN119">
        <v>0</v>
      </c>
      <c r="AO119">
        <v>31</v>
      </c>
      <c r="AP119">
        <v>2016</v>
      </c>
      <c r="AQ119">
        <v>1.71</v>
      </c>
      <c r="AS119" t="s">
        <v>1494</v>
      </c>
      <c r="AT119" t="s">
        <v>186</v>
      </c>
      <c r="AU119" t="s">
        <v>177</v>
      </c>
      <c r="AV119" t="s">
        <v>187</v>
      </c>
      <c r="AW119" t="s">
        <v>182</v>
      </c>
      <c r="AX119">
        <v>0</v>
      </c>
      <c r="AY119" t="s">
        <v>312</v>
      </c>
      <c r="AZ119" t="s">
        <v>199</v>
      </c>
      <c r="BA119" t="s">
        <v>313</v>
      </c>
      <c r="BB119" t="s">
        <v>191</v>
      </c>
      <c r="BC119" t="s">
        <v>182</v>
      </c>
      <c r="BD119" t="s">
        <v>1528</v>
      </c>
      <c r="BE119" t="s">
        <v>2114</v>
      </c>
      <c r="BF119">
        <v>0</v>
      </c>
      <c r="BG119">
        <v>0</v>
      </c>
      <c r="BH119">
        <v>0</v>
      </c>
      <c r="BI119" t="s">
        <v>199</v>
      </c>
      <c r="BJ119" t="s">
        <v>315</v>
      </c>
      <c r="BL119" t="s">
        <v>2115</v>
      </c>
      <c r="BM119" t="s">
        <v>232</v>
      </c>
      <c r="BN119" t="s">
        <v>182</v>
      </c>
      <c r="BO119" t="s">
        <v>198</v>
      </c>
      <c r="BP119" t="s">
        <v>198</v>
      </c>
      <c r="BQ119" t="s">
        <v>198</v>
      </c>
      <c r="BR119" t="s">
        <v>198</v>
      </c>
      <c r="BS119" t="s">
        <v>198</v>
      </c>
      <c r="BT119" t="s">
        <v>198</v>
      </c>
      <c r="BU119" t="s">
        <v>182</v>
      </c>
      <c r="BV119" t="s">
        <v>198</v>
      </c>
      <c r="BW119" t="s">
        <v>198</v>
      </c>
      <c r="BX119" t="s">
        <v>199</v>
      </c>
      <c r="BY119" t="s">
        <v>198</v>
      </c>
      <c r="BZ119" t="s">
        <v>199</v>
      </c>
      <c r="CA119" t="s">
        <v>199</v>
      </c>
      <c r="CB119" t="s">
        <v>2116</v>
      </c>
      <c r="CC119" t="s">
        <v>201</v>
      </c>
      <c r="CD119" t="s">
        <v>202</v>
      </c>
      <c r="CE119" t="s">
        <v>2117</v>
      </c>
      <c r="CF119" t="s">
        <v>1029</v>
      </c>
      <c r="CG119" t="s">
        <v>177</v>
      </c>
      <c r="CH119" t="s">
        <v>1030</v>
      </c>
      <c r="CI119" t="s">
        <v>2118</v>
      </c>
      <c r="CS119" t="s">
        <v>198</v>
      </c>
      <c r="DC119" t="s">
        <v>198</v>
      </c>
      <c r="DM119" t="s">
        <v>198</v>
      </c>
      <c r="DW119" t="s">
        <v>198</v>
      </c>
      <c r="EG119" t="s">
        <v>198</v>
      </c>
      <c r="EQ119" t="s">
        <v>198</v>
      </c>
      <c r="FA119" t="s">
        <v>198</v>
      </c>
      <c r="FK119" t="s">
        <v>198</v>
      </c>
      <c r="FU119" t="s">
        <v>198</v>
      </c>
    </row>
    <row r="120" spans="1:177">
      <c r="A120" s="1" t="str">
        <f>HYPERLINK("http://digipan.lumentumllc.com/apps/getLink/index.php?t=PropLink&amp;p=15751019","PL")</f>
        <v>PL</v>
      </c>
      <c r="B120" s="1" t="str">
        <f>HYPERLINK("http://digipan.lumentumllc.com/apps/getLink/index.php?t=TaxLink&amp;p=15751019","TL")</f>
        <v>TL</v>
      </c>
      <c r="C120" s="1" t="str">
        <f>HYPERLINK("http://digipan.lumentumllc.com/apps/getMap/index.php?p=15751019","Map")</f>
        <v>Map</v>
      </c>
      <c r="E120" t="s">
        <v>177</v>
      </c>
      <c r="F120" t="s">
        <v>178</v>
      </c>
      <c r="L120" t="s">
        <v>2119</v>
      </c>
      <c r="N120" t="s">
        <v>2119</v>
      </c>
      <c r="O120" t="s">
        <v>2119</v>
      </c>
      <c r="Q120" t="s">
        <v>2119</v>
      </c>
      <c r="V120">
        <v>136</v>
      </c>
      <c r="W120">
        <v>1</v>
      </c>
      <c r="X120">
        <v>2017</v>
      </c>
      <c r="Y120">
        <v>2018</v>
      </c>
      <c r="Z120">
        <v>1937.35</v>
      </c>
      <c r="AG120" t="s">
        <v>184</v>
      </c>
      <c r="AH120">
        <v>0</v>
      </c>
      <c r="AK120">
        <v>0</v>
      </c>
      <c r="AL120">
        <v>116375</v>
      </c>
      <c r="AM120">
        <v>116375</v>
      </c>
      <c r="AN120">
        <v>0</v>
      </c>
      <c r="AO120">
        <v>179</v>
      </c>
      <c r="AP120">
        <v>2016</v>
      </c>
      <c r="AQ120">
        <v>1.66</v>
      </c>
      <c r="AS120" t="s">
        <v>1494</v>
      </c>
      <c r="AT120" t="s">
        <v>186</v>
      </c>
      <c r="AU120" t="s">
        <v>177</v>
      </c>
      <c r="AV120" t="s">
        <v>187</v>
      </c>
      <c r="AW120" t="s">
        <v>182</v>
      </c>
      <c r="AX120">
        <v>0</v>
      </c>
      <c r="AY120" t="s">
        <v>312</v>
      </c>
      <c r="AZ120" t="s">
        <v>199</v>
      </c>
      <c r="BA120" t="s">
        <v>313</v>
      </c>
      <c r="BB120" t="s">
        <v>191</v>
      </c>
      <c r="BC120" t="s">
        <v>182</v>
      </c>
      <c r="BD120" t="s">
        <v>1528</v>
      </c>
      <c r="BE120" t="s">
        <v>2120</v>
      </c>
      <c r="BF120">
        <v>0</v>
      </c>
      <c r="BG120">
        <v>0</v>
      </c>
      <c r="BH120">
        <v>0</v>
      </c>
      <c r="BI120" t="s">
        <v>199</v>
      </c>
      <c r="BJ120" t="s">
        <v>315</v>
      </c>
      <c r="BL120" t="s">
        <v>2121</v>
      </c>
      <c r="BM120" t="s">
        <v>232</v>
      </c>
      <c r="BN120" t="s">
        <v>182</v>
      </c>
      <c r="BO120" t="s">
        <v>198</v>
      </c>
      <c r="BP120" t="s">
        <v>198</v>
      </c>
      <c r="BQ120" t="s">
        <v>198</v>
      </c>
      <c r="BR120" t="s">
        <v>198</v>
      </c>
      <c r="BS120" t="s">
        <v>198</v>
      </c>
      <c r="BT120" t="s">
        <v>198</v>
      </c>
      <c r="BU120" t="s">
        <v>182</v>
      </c>
      <c r="BV120" t="s">
        <v>198</v>
      </c>
      <c r="BW120" t="s">
        <v>198</v>
      </c>
      <c r="BX120" t="s">
        <v>199</v>
      </c>
      <c r="BY120" t="s">
        <v>198</v>
      </c>
      <c r="BZ120" t="s">
        <v>199</v>
      </c>
      <c r="CA120" t="s">
        <v>199</v>
      </c>
      <c r="CB120" t="s">
        <v>2122</v>
      </c>
      <c r="CC120" t="s">
        <v>201</v>
      </c>
      <c r="CD120" t="s">
        <v>202</v>
      </c>
      <c r="CE120" t="s">
        <v>2123</v>
      </c>
      <c r="CF120" t="s">
        <v>413</v>
      </c>
      <c r="CG120" t="s">
        <v>177</v>
      </c>
      <c r="CH120" t="s">
        <v>2124</v>
      </c>
      <c r="CI120" t="s">
        <v>2125</v>
      </c>
      <c r="CS120" t="s">
        <v>198</v>
      </c>
      <c r="DC120" t="s">
        <v>198</v>
      </c>
      <c r="DM120" t="s">
        <v>198</v>
      </c>
      <c r="DW120" t="s">
        <v>198</v>
      </c>
      <c r="EG120" t="s">
        <v>198</v>
      </c>
      <c r="EQ120" t="s">
        <v>198</v>
      </c>
      <c r="FA120" t="s">
        <v>198</v>
      </c>
      <c r="FK120" t="s">
        <v>198</v>
      </c>
      <c r="FU120" t="s">
        <v>198</v>
      </c>
    </row>
    <row r="121" spans="1:177">
      <c r="A121" s="1" t="str">
        <f>HYPERLINK("http://digipan.lumentumllc.com/apps/getLink/index.php?t=PropLink&amp;p=41029849","PL")</f>
        <v>PL</v>
      </c>
      <c r="B121" s="1" t="str">
        <f>HYPERLINK("http://digipan.lumentumllc.com/apps/getLink/index.php?t=TaxLink&amp;p=41029849","TL")</f>
        <v>TL</v>
      </c>
      <c r="C121" s="1" t="str">
        <f>HYPERLINK("","")</f>
        <v/>
      </c>
      <c r="E121" t="s">
        <v>177</v>
      </c>
      <c r="F121" t="s">
        <v>178</v>
      </c>
      <c r="L121" t="s">
        <v>2126</v>
      </c>
      <c r="N121" t="s">
        <v>2126</v>
      </c>
      <c r="O121" t="s">
        <v>2126</v>
      </c>
      <c r="Q121" t="s">
        <v>2126</v>
      </c>
      <c r="V121">
        <v>137</v>
      </c>
      <c r="W121">
        <v>1</v>
      </c>
      <c r="X121">
        <v>2017</v>
      </c>
      <c r="Y121">
        <v>2018</v>
      </c>
      <c r="Z121">
        <v>2307.86</v>
      </c>
      <c r="AG121" t="s">
        <v>184</v>
      </c>
      <c r="AH121">
        <v>0</v>
      </c>
      <c r="AK121">
        <v>0</v>
      </c>
      <c r="AL121">
        <v>139005</v>
      </c>
      <c r="AM121">
        <v>139005</v>
      </c>
      <c r="AN121">
        <v>0</v>
      </c>
      <c r="AQ121">
        <v>1.66</v>
      </c>
      <c r="AS121" t="s">
        <v>2127</v>
      </c>
      <c r="AT121" t="s">
        <v>186</v>
      </c>
      <c r="AU121" t="s">
        <v>177</v>
      </c>
      <c r="AV121" t="s">
        <v>187</v>
      </c>
      <c r="AW121" t="s">
        <v>182</v>
      </c>
      <c r="AX121">
        <v>0</v>
      </c>
      <c r="AY121" t="s">
        <v>312</v>
      </c>
      <c r="AZ121" t="s">
        <v>199</v>
      </c>
      <c r="BA121" t="s">
        <v>313</v>
      </c>
      <c r="BB121" t="s">
        <v>191</v>
      </c>
      <c r="BC121" t="s">
        <v>202</v>
      </c>
      <c r="BD121" t="s">
        <v>1528</v>
      </c>
      <c r="BE121" t="s">
        <v>2128</v>
      </c>
      <c r="BI121" t="s">
        <v>199</v>
      </c>
      <c r="BL121" t="s">
        <v>2129</v>
      </c>
      <c r="BM121" t="s">
        <v>232</v>
      </c>
      <c r="BN121" t="s">
        <v>182</v>
      </c>
      <c r="BO121" t="s">
        <v>198</v>
      </c>
      <c r="BP121" t="s">
        <v>198</v>
      </c>
      <c r="BQ121" t="s">
        <v>198</v>
      </c>
      <c r="BR121" t="s">
        <v>198</v>
      </c>
      <c r="BS121" t="s">
        <v>198</v>
      </c>
      <c r="BT121" t="s">
        <v>198</v>
      </c>
      <c r="BU121" t="s">
        <v>182</v>
      </c>
      <c r="BV121" t="s">
        <v>198</v>
      </c>
      <c r="BW121" t="s">
        <v>198</v>
      </c>
      <c r="BX121" t="s">
        <v>199</v>
      </c>
      <c r="BY121" t="s">
        <v>198</v>
      </c>
      <c r="CB121" t="s">
        <v>2122</v>
      </c>
      <c r="CC121" t="s">
        <v>201</v>
      </c>
      <c r="CD121" t="s">
        <v>182</v>
      </c>
      <c r="CE121" t="s">
        <v>2123</v>
      </c>
      <c r="CF121" t="s">
        <v>413</v>
      </c>
      <c r="CG121" t="s">
        <v>177</v>
      </c>
      <c r="CH121" t="s">
        <v>2124</v>
      </c>
      <c r="CI121" t="s">
        <v>2112</v>
      </c>
      <c r="CS121" t="s">
        <v>198</v>
      </c>
      <c r="DC121" t="s">
        <v>198</v>
      </c>
      <c r="DM121" t="s">
        <v>198</v>
      </c>
      <c r="DW121" t="s">
        <v>198</v>
      </c>
      <c r="EG121" t="s">
        <v>198</v>
      </c>
      <c r="EQ121" t="s">
        <v>198</v>
      </c>
      <c r="FA121" t="s">
        <v>198</v>
      </c>
      <c r="FK121" t="s">
        <v>198</v>
      </c>
      <c r="FU121" t="s">
        <v>198</v>
      </c>
    </row>
    <row r="122" spans="1:177">
      <c r="A122" s="1" t="str">
        <f>HYPERLINK("http://digipan.lumentumllc.com/apps/getLink/index.php?t=PropLink&amp;p=41029851","PL")</f>
        <v>PL</v>
      </c>
      <c r="B122" s="1" t="str">
        <f>HYPERLINK("http://digipan.lumentumllc.com/apps/getLink/index.php?t=TaxLink&amp;p=41029851","TL")</f>
        <v>TL</v>
      </c>
      <c r="C122" s="1" t="str">
        <f>HYPERLINK("","")</f>
        <v/>
      </c>
      <c r="E122" t="s">
        <v>177</v>
      </c>
      <c r="F122" t="s">
        <v>178</v>
      </c>
      <c r="L122" t="s">
        <v>2130</v>
      </c>
      <c r="N122" t="s">
        <v>2130</v>
      </c>
      <c r="O122" t="s">
        <v>2130</v>
      </c>
      <c r="Q122" t="s">
        <v>2130</v>
      </c>
      <c r="V122">
        <v>138</v>
      </c>
      <c r="W122">
        <v>1</v>
      </c>
      <c r="X122">
        <v>2017</v>
      </c>
      <c r="Y122">
        <v>2018</v>
      </c>
      <c r="Z122">
        <v>1014.35</v>
      </c>
      <c r="AG122" t="s">
        <v>184</v>
      </c>
      <c r="AH122">
        <v>0</v>
      </c>
      <c r="AK122">
        <v>0</v>
      </c>
      <c r="AL122">
        <v>60000</v>
      </c>
      <c r="AM122">
        <v>60000</v>
      </c>
      <c r="AN122">
        <v>0</v>
      </c>
      <c r="AQ122">
        <v>1.69</v>
      </c>
      <c r="AS122" t="s">
        <v>2127</v>
      </c>
      <c r="AT122" t="s">
        <v>186</v>
      </c>
      <c r="AU122" t="s">
        <v>177</v>
      </c>
      <c r="AV122" t="s">
        <v>187</v>
      </c>
      <c r="AW122" t="s">
        <v>182</v>
      </c>
      <c r="AX122">
        <v>0</v>
      </c>
      <c r="AY122" t="s">
        <v>312</v>
      </c>
      <c r="AZ122" t="s">
        <v>199</v>
      </c>
      <c r="BA122" t="s">
        <v>313</v>
      </c>
      <c r="BB122" t="s">
        <v>191</v>
      </c>
      <c r="BC122" t="s">
        <v>202</v>
      </c>
      <c r="BD122" t="s">
        <v>182</v>
      </c>
      <c r="BE122" t="s">
        <v>576</v>
      </c>
      <c r="BI122" t="s">
        <v>199</v>
      </c>
      <c r="BL122" t="s">
        <v>592</v>
      </c>
      <c r="BM122" t="s">
        <v>232</v>
      </c>
      <c r="BN122" t="s">
        <v>182</v>
      </c>
      <c r="BO122" t="s">
        <v>198</v>
      </c>
      <c r="BP122" t="s">
        <v>198</v>
      </c>
      <c r="BQ122" t="s">
        <v>198</v>
      </c>
      <c r="BR122" t="s">
        <v>198</v>
      </c>
      <c r="BS122" t="s">
        <v>198</v>
      </c>
      <c r="BT122" t="s">
        <v>198</v>
      </c>
      <c r="BU122" t="s">
        <v>182</v>
      </c>
      <c r="BV122" t="s">
        <v>198</v>
      </c>
      <c r="BW122" t="s">
        <v>198</v>
      </c>
      <c r="BX122" t="s">
        <v>199</v>
      </c>
      <c r="BY122" t="s">
        <v>198</v>
      </c>
      <c r="CB122" t="s">
        <v>2122</v>
      </c>
      <c r="CC122" t="s">
        <v>201</v>
      </c>
      <c r="CD122" t="s">
        <v>182</v>
      </c>
      <c r="CE122" t="s">
        <v>2123</v>
      </c>
      <c r="CF122" t="s">
        <v>413</v>
      </c>
      <c r="CG122" t="s">
        <v>177</v>
      </c>
      <c r="CH122" t="s">
        <v>2124</v>
      </c>
      <c r="CI122" t="s">
        <v>2112</v>
      </c>
      <c r="CS122" t="s">
        <v>198</v>
      </c>
      <c r="DC122" t="s">
        <v>198</v>
      </c>
      <c r="DM122" t="s">
        <v>198</v>
      </c>
      <c r="DW122" t="s">
        <v>198</v>
      </c>
      <c r="EG122" t="s">
        <v>198</v>
      </c>
      <c r="EQ122" t="s">
        <v>198</v>
      </c>
      <c r="FA122" t="s">
        <v>198</v>
      </c>
      <c r="FK122" t="s">
        <v>198</v>
      </c>
      <c r="FU122" t="s">
        <v>198</v>
      </c>
    </row>
    <row r="123" spans="1:177">
      <c r="A123" s="1" t="str">
        <f>HYPERLINK("http://digipan.lumentumllc.com/apps/getLink/index.php?t=PropLink&amp;p=41029852","PL")</f>
        <v>PL</v>
      </c>
      <c r="B123" s="1" t="str">
        <f>HYPERLINK("http://digipan.lumentumllc.com/apps/getLink/index.php?t=TaxLink&amp;p=41029852","TL")</f>
        <v>TL</v>
      </c>
      <c r="C123" s="1" t="str">
        <f>HYPERLINK("","")</f>
        <v/>
      </c>
      <c r="E123" t="s">
        <v>177</v>
      </c>
      <c r="F123" t="s">
        <v>178</v>
      </c>
      <c r="L123" t="s">
        <v>2131</v>
      </c>
      <c r="N123" t="s">
        <v>2131</v>
      </c>
      <c r="O123" t="s">
        <v>2131</v>
      </c>
      <c r="Q123" t="s">
        <v>2131</v>
      </c>
      <c r="V123">
        <v>139</v>
      </c>
      <c r="W123">
        <v>1</v>
      </c>
      <c r="X123">
        <v>2017</v>
      </c>
      <c r="Y123">
        <v>2018</v>
      </c>
      <c r="Z123">
        <v>1505.55</v>
      </c>
      <c r="AG123" t="s">
        <v>184</v>
      </c>
      <c r="AH123">
        <v>0</v>
      </c>
      <c r="AK123">
        <v>0</v>
      </c>
      <c r="AL123">
        <v>90000</v>
      </c>
      <c r="AM123">
        <v>90000</v>
      </c>
      <c r="AN123">
        <v>0</v>
      </c>
      <c r="AQ123">
        <v>1.67</v>
      </c>
      <c r="AS123" t="s">
        <v>1494</v>
      </c>
      <c r="AT123" t="s">
        <v>186</v>
      </c>
      <c r="AU123" t="s">
        <v>177</v>
      </c>
      <c r="AV123" t="s">
        <v>187</v>
      </c>
      <c r="AW123" t="s">
        <v>182</v>
      </c>
      <c r="AX123">
        <v>0</v>
      </c>
      <c r="AY123" t="s">
        <v>312</v>
      </c>
      <c r="AZ123" t="s">
        <v>199</v>
      </c>
      <c r="BA123" t="s">
        <v>313</v>
      </c>
      <c r="BB123" t="s">
        <v>191</v>
      </c>
      <c r="BC123" t="s">
        <v>202</v>
      </c>
      <c r="BD123" t="s">
        <v>182</v>
      </c>
      <c r="BE123" t="s">
        <v>2132</v>
      </c>
      <c r="BI123" t="s">
        <v>199</v>
      </c>
      <c r="BL123" t="s">
        <v>592</v>
      </c>
      <c r="BM123" t="s">
        <v>232</v>
      </c>
      <c r="BN123" t="s">
        <v>182</v>
      </c>
      <c r="BO123" t="s">
        <v>198</v>
      </c>
      <c r="BP123" t="s">
        <v>198</v>
      </c>
      <c r="BQ123" t="s">
        <v>198</v>
      </c>
      <c r="BR123" t="s">
        <v>198</v>
      </c>
      <c r="BS123" t="s">
        <v>198</v>
      </c>
      <c r="BT123" t="s">
        <v>198</v>
      </c>
      <c r="BU123" t="s">
        <v>182</v>
      </c>
      <c r="BV123" t="s">
        <v>198</v>
      </c>
      <c r="BW123" t="s">
        <v>198</v>
      </c>
      <c r="BX123" t="s">
        <v>199</v>
      </c>
      <c r="BY123" t="s">
        <v>198</v>
      </c>
      <c r="CB123" t="s">
        <v>2110</v>
      </c>
      <c r="CC123" t="s">
        <v>201</v>
      </c>
      <c r="CD123" t="s">
        <v>182</v>
      </c>
      <c r="CE123" t="s">
        <v>2111</v>
      </c>
      <c r="CF123" t="s">
        <v>1029</v>
      </c>
      <c r="CG123" t="s">
        <v>177</v>
      </c>
      <c r="CH123" t="s">
        <v>1030</v>
      </c>
      <c r="CI123" t="s">
        <v>2112</v>
      </c>
      <c r="CS123" t="s">
        <v>198</v>
      </c>
      <c r="DC123" t="s">
        <v>198</v>
      </c>
      <c r="DM123" t="s">
        <v>198</v>
      </c>
      <c r="DW123" t="s">
        <v>198</v>
      </c>
      <c r="EG123" t="s">
        <v>198</v>
      </c>
      <c r="EQ123" t="s">
        <v>198</v>
      </c>
      <c r="FA123" t="s">
        <v>198</v>
      </c>
      <c r="FK123" t="s">
        <v>198</v>
      </c>
      <c r="FU123" t="s">
        <v>198</v>
      </c>
    </row>
    <row r="124" spans="1:177">
      <c r="A124" s="1" t="str">
        <f>HYPERLINK("http://digipan.lumentumllc.com/apps/getLink/index.php?t=PropLink&amp;p=41029857","PL")</f>
        <v>PL</v>
      </c>
      <c r="B124" s="1" t="str">
        <f>HYPERLINK("http://digipan.lumentumllc.com/apps/getLink/index.php?t=TaxLink&amp;p=41029857","TL")</f>
        <v>TL</v>
      </c>
      <c r="C124" s="1" t="str">
        <f>HYPERLINK("","")</f>
        <v/>
      </c>
      <c r="E124" t="s">
        <v>177</v>
      </c>
      <c r="F124" t="s">
        <v>178</v>
      </c>
      <c r="L124" t="s">
        <v>2133</v>
      </c>
      <c r="N124" t="s">
        <v>2133</v>
      </c>
      <c r="O124" t="s">
        <v>2133</v>
      </c>
      <c r="Q124" t="s">
        <v>2133</v>
      </c>
      <c r="V124">
        <v>143</v>
      </c>
      <c r="W124">
        <v>1</v>
      </c>
      <c r="X124">
        <v>2017</v>
      </c>
      <c r="Y124">
        <v>2018</v>
      </c>
      <c r="Z124">
        <v>857.18</v>
      </c>
      <c r="AG124" t="s">
        <v>184</v>
      </c>
      <c r="AH124">
        <v>0</v>
      </c>
      <c r="AK124">
        <v>0</v>
      </c>
      <c r="AL124">
        <v>50400</v>
      </c>
      <c r="AM124">
        <v>19260</v>
      </c>
      <c r="AN124">
        <v>31140</v>
      </c>
      <c r="AQ124">
        <v>1.7</v>
      </c>
      <c r="AS124" t="s">
        <v>2134</v>
      </c>
      <c r="AT124" t="s">
        <v>186</v>
      </c>
      <c r="AU124" t="s">
        <v>177</v>
      </c>
      <c r="AV124" t="s">
        <v>187</v>
      </c>
      <c r="AW124" t="s">
        <v>182</v>
      </c>
      <c r="AX124">
        <v>2</v>
      </c>
      <c r="AY124" t="s">
        <v>188</v>
      </c>
      <c r="AZ124" t="s">
        <v>189</v>
      </c>
      <c r="BA124" t="s">
        <v>190</v>
      </c>
      <c r="BB124" t="s">
        <v>191</v>
      </c>
      <c r="BC124" t="s">
        <v>202</v>
      </c>
      <c r="BD124" t="s">
        <v>182</v>
      </c>
      <c r="BE124" t="s">
        <v>2135</v>
      </c>
      <c r="BF124">
        <v>1</v>
      </c>
      <c r="BG124">
        <v>1</v>
      </c>
      <c r="BH124">
        <v>1986</v>
      </c>
      <c r="BI124" t="s">
        <v>2136</v>
      </c>
      <c r="BJ124" t="s">
        <v>194</v>
      </c>
      <c r="BK124" t="s">
        <v>195</v>
      </c>
      <c r="BL124" t="s">
        <v>592</v>
      </c>
      <c r="BM124" t="s">
        <v>232</v>
      </c>
      <c r="BN124" t="s">
        <v>182</v>
      </c>
      <c r="BO124" t="s">
        <v>198</v>
      </c>
      <c r="BP124" t="s">
        <v>198</v>
      </c>
      <c r="BQ124" t="s">
        <v>198</v>
      </c>
      <c r="BR124" t="s">
        <v>198</v>
      </c>
      <c r="BS124" t="s">
        <v>198</v>
      </c>
      <c r="BT124" t="s">
        <v>198</v>
      </c>
      <c r="BU124" t="s">
        <v>182</v>
      </c>
      <c r="BV124" t="s">
        <v>198</v>
      </c>
      <c r="BW124" t="s">
        <v>198</v>
      </c>
      <c r="BX124" t="s">
        <v>199</v>
      </c>
      <c r="BY124" t="s">
        <v>198</v>
      </c>
      <c r="CB124" t="s">
        <v>2137</v>
      </c>
      <c r="CC124" t="s">
        <v>201</v>
      </c>
      <c r="CD124" t="s">
        <v>182</v>
      </c>
      <c r="CE124" t="s">
        <v>2138</v>
      </c>
      <c r="CF124" t="s">
        <v>204</v>
      </c>
      <c r="CG124" t="s">
        <v>177</v>
      </c>
      <c r="CH124" t="s">
        <v>187</v>
      </c>
      <c r="CI124" t="s">
        <v>2139</v>
      </c>
      <c r="CS124" t="s">
        <v>198</v>
      </c>
      <c r="DC124" t="s">
        <v>198</v>
      </c>
      <c r="DM124" t="s">
        <v>198</v>
      </c>
      <c r="DW124" t="s">
        <v>198</v>
      </c>
      <c r="EG124" t="s">
        <v>198</v>
      </c>
      <c r="EQ124" t="s">
        <v>198</v>
      </c>
      <c r="FA124" t="s">
        <v>198</v>
      </c>
      <c r="FK124" t="s">
        <v>198</v>
      </c>
      <c r="FU124" t="s">
        <v>198</v>
      </c>
    </row>
    <row r="125" spans="1:177">
      <c r="A125" s="1" t="str">
        <f>HYPERLINK("http://digipan.lumentumllc.com/apps/getLink/index.php?t=PropLink&amp;p=5246699","PL")</f>
        <v>PL</v>
      </c>
      <c r="B125" s="1" t="str">
        <f>HYPERLINK("http://digipan.lumentumllc.com/apps/getLink/index.php?t=TaxLink&amp;p=5246699","TL")</f>
        <v>TL</v>
      </c>
      <c r="C125" s="1" t="str">
        <f>HYPERLINK("http://digipan.lumentumllc.com/apps/getMap/index.php?p=5246699","Map")</f>
        <v>Map</v>
      </c>
      <c r="E125" t="s">
        <v>177</v>
      </c>
      <c r="F125" t="s">
        <v>178</v>
      </c>
      <c r="L125" t="s">
        <v>2140</v>
      </c>
      <c r="N125" t="s">
        <v>2140</v>
      </c>
      <c r="O125" t="s">
        <v>2140</v>
      </c>
      <c r="P125" t="s">
        <v>2141</v>
      </c>
      <c r="Q125" t="s">
        <v>2140</v>
      </c>
      <c r="V125">
        <v>144</v>
      </c>
      <c r="W125">
        <v>1</v>
      </c>
      <c r="X125">
        <v>2017</v>
      </c>
      <c r="Y125">
        <v>2018</v>
      </c>
      <c r="Z125">
        <v>921.11</v>
      </c>
      <c r="AB125" t="s">
        <v>181</v>
      </c>
      <c r="AC125" t="s">
        <v>182</v>
      </c>
      <c r="AD125" t="s">
        <v>183</v>
      </c>
      <c r="AE125">
        <v>0</v>
      </c>
      <c r="AF125">
        <v>7</v>
      </c>
      <c r="AG125" t="s">
        <v>528</v>
      </c>
      <c r="AH125">
        <v>100</v>
      </c>
      <c r="AK125">
        <v>0</v>
      </c>
      <c r="AL125">
        <v>54871</v>
      </c>
      <c r="AM125">
        <v>33600</v>
      </c>
      <c r="AN125">
        <v>21271</v>
      </c>
      <c r="AO125">
        <v>752</v>
      </c>
      <c r="AP125">
        <v>2016</v>
      </c>
      <c r="AQ125">
        <v>1.68</v>
      </c>
      <c r="AS125" t="s">
        <v>2142</v>
      </c>
      <c r="AT125" t="s">
        <v>186</v>
      </c>
      <c r="AU125" t="s">
        <v>177</v>
      </c>
      <c r="AV125" t="s">
        <v>187</v>
      </c>
      <c r="AW125" t="s">
        <v>182</v>
      </c>
      <c r="AX125">
        <v>2</v>
      </c>
      <c r="AY125" t="s">
        <v>188</v>
      </c>
      <c r="AZ125" t="s">
        <v>189</v>
      </c>
      <c r="BA125" t="s">
        <v>190</v>
      </c>
      <c r="BB125" t="s">
        <v>191</v>
      </c>
      <c r="BC125" t="s">
        <v>182</v>
      </c>
      <c r="BD125" t="s">
        <v>182</v>
      </c>
      <c r="BE125" t="s">
        <v>404</v>
      </c>
      <c r="BF125">
        <v>1</v>
      </c>
      <c r="BG125">
        <v>1</v>
      </c>
      <c r="BH125">
        <v>1986</v>
      </c>
      <c r="BI125" t="s">
        <v>2143</v>
      </c>
      <c r="BJ125" t="s">
        <v>194</v>
      </c>
      <c r="BK125" t="s">
        <v>195</v>
      </c>
      <c r="BL125" t="s">
        <v>1741</v>
      </c>
      <c r="BM125" t="s">
        <v>679</v>
      </c>
      <c r="BN125" t="s">
        <v>182</v>
      </c>
      <c r="BO125" t="s">
        <v>2144</v>
      </c>
      <c r="BP125" t="s">
        <v>2145</v>
      </c>
      <c r="BR125" t="s">
        <v>1575</v>
      </c>
      <c r="BS125" t="s">
        <v>2146</v>
      </c>
      <c r="BT125" t="s">
        <v>198</v>
      </c>
      <c r="BU125" t="s">
        <v>182</v>
      </c>
      <c r="BV125" t="s">
        <v>198</v>
      </c>
      <c r="BW125" t="s">
        <v>198</v>
      </c>
      <c r="BX125" t="s">
        <v>199</v>
      </c>
      <c r="BY125" t="s">
        <v>198</v>
      </c>
      <c r="BZ125" t="s">
        <v>199</v>
      </c>
      <c r="CA125" t="s">
        <v>199</v>
      </c>
      <c r="CB125" t="s">
        <v>565</v>
      </c>
      <c r="CC125" t="s">
        <v>201</v>
      </c>
      <c r="CD125" t="s">
        <v>182</v>
      </c>
      <c r="CE125" t="s">
        <v>566</v>
      </c>
      <c r="CF125" t="s">
        <v>425</v>
      </c>
      <c r="CG125" t="s">
        <v>177</v>
      </c>
      <c r="CH125" t="s">
        <v>421</v>
      </c>
      <c r="CI125" t="s">
        <v>2147</v>
      </c>
      <c r="CJ125" t="s">
        <v>788</v>
      </c>
      <c r="CK125" t="s">
        <v>292</v>
      </c>
      <c r="CL125" t="s">
        <v>293</v>
      </c>
      <c r="CM125" t="s">
        <v>2148</v>
      </c>
      <c r="CN125" t="s">
        <v>235</v>
      </c>
      <c r="CO125" t="s">
        <v>183</v>
      </c>
      <c r="CP125" t="s">
        <v>211</v>
      </c>
      <c r="CQ125" t="s">
        <v>427</v>
      </c>
      <c r="CS125" t="s">
        <v>2149</v>
      </c>
      <c r="CT125" t="s">
        <v>788</v>
      </c>
      <c r="CU125" t="s">
        <v>267</v>
      </c>
      <c r="CV125" t="s">
        <v>268</v>
      </c>
      <c r="CW125" t="s">
        <v>2150</v>
      </c>
      <c r="CX125" t="s">
        <v>235</v>
      </c>
      <c r="CY125" t="s">
        <v>183</v>
      </c>
      <c r="CZ125" t="s">
        <v>211</v>
      </c>
      <c r="DA125" t="s">
        <v>298</v>
      </c>
      <c r="DC125" t="s">
        <v>2151</v>
      </c>
      <c r="DD125" t="s">
        <v>790</v>
      </c>
      <c r="DE125" t="s">
        <v>273</v>
      </c>
      <c r="DF125" t="s">
        <v>274</v>
      </c>
      <c r="DG125" t="s">
        <v>2152</v>
      </c>
      <c r="DH125" t="s">
        <v>235</v>
      </c>
      <c r="DI125" t="s">
        <v>183</v>
      </c>
      <c r="DJ125" t="s">
        <v>211</v>
      </c>
      <c r="DK125" t="s">
        <v>206</v>
      </c>
      <c r="DM125" t="s">
        <v>569</v>
      </c>
      <c r="DN125" t="s">
        <v>1905</v>
      </c>
      <c r="DO125" t="s">
        <v>302</v>
      </c>
      <c r="DP125" t="s">
        <v>303</v>
      </c>
      <c r="DQ125" t="s">
        <v>2153</v>
      </c>
      <c r="DR125" t="s">
        <v>436</v>
      </c>
      <c r="DS125" t="s">
        <v>183</v>
      </c>
      <c r="DT125" t="s">
        <v>211</v>
      </c>
      <c r="DU125" t="s">
        <v>290</v>
      </c>
      <c r="DW125" t="s">
        <v>2154</v>
      </c>
      <c r="DX125" t="s">
        <v>2155</v>
      </c>
      <c r="DY125" t="s">
        <v>238</v>
      </c>
      <c r="DZ125" t="s">
        <v>239</v>
      </c>
      <c r="EA125" t="s">
        <v>2156</v>
      </c>
      <c r="EB125" t="s">
        <v>816</v>
      </c>
      <c r="EC125" t="s">
        <v>183</v>
      </c>
      <c r="ED125" t="s">
        <v>211</v>
      </c>
      <c r="EE125" t="s">
        <v>523</v>
      </c>
      <c r="EG125" t="s">
        <v>2157</v>
      </c>
      <c r="EH125" t="s">
        <v>2158</v>
      </c>
      <c r="EI125" t="s">
        <v>346</v>
      </c>
      <c r="EJ125" t="s">
        <v>347</v>
      </c>
      <c r="EK125" t="s">
        <v>2159</v>
      </c>
      <c r="EL125" t="s">
        <v>247</v>
      </c>
      <c r="EM125" t="s">
        <v>183</v>
      </c>
      <c r="EN125" t="s">
        <v>211</v>
      </c>
      <c r="EO125" t="s">
        <v>487</v>
      </c>
      <c r="EQ125" t="s">
        <v>2160</v>
      </c>
      <c r="ER125" t="s">
        <v>2161</v>
      </c>
      <c r="ES125" t="s">
        <v>207</v>
      </c>
      <c r="ET125" t="s">
        <v>208</v>
      </c>
      <c r="EU125" t="s">
        <v>2162</v>
      </c>
      <c r="EV125" t="s">
        <v>210</v>
      </c>
      <c r="EW125" t="s">
        <v>183</v>
      </c>
      <c r="EX125" t="s">
        <v>211</v>
      </c>
      <c r="EY125" t="s">
        <v>250</v>
      </c>
      <c r="FA125" t="s">
        <v>2163</v>
      </c>
      <c r="FK125" t="s">
        <v>198</v>
      </c>
      <c r="FU125" t="s">
        <v>198</v>
      </c>
    </row>
    <row r="126" spans="1:177">
      <c r="A126" s="1" t="str">
        <f>HYPERLINK("http://digipan.lumentumllc.com/apps/getLink/index.php?t=PropLink&amp;p=5246700","PL")</f>
        <v>PL</v>
      </c>
      <c r="B126" s="1" t="str">
        <f>HYPERLINK("http://digipan.lumentumllc.com/apps/getLink/index.php?t=TaxLink&amp;p=5246700","TL")</f>
        <v>TL</v>
      </c>
      <c r="C126" s="1" t="str">
        <f>HYPERLINK("http://digipan.lumentumllc.com/apps/getMap/index.php?p=5246700","Map")</f>
        <v>Map</v>
      </c>
      <c r="E126" t="s">
        <v>177</v>
      </c>
      <c r="F126" t="s">
        <v>178</v>
      </c>
      <c r="L126" t="s">
        <v>2164</v>
      </c>
      <c r="N126" t="s">
        <v>2164</v>
      </c>
      <c r="O126" t="s">
        <v>2164</v>
      </c>
      <c r="P126" t="s">
        <v>2165</v>
      </c>
      <c r="Q126" t="s">
        <v>2164</v>
      </c>
      <c r="V126">
        <v>145</v>
      </c>
      <c r="W126">
        <v>1</v>
      </c>
      <c r="X126">
        <v>2017</v>
      </c>
      <c r="Y126">
        <v>2018</v>
      </c>
      <c r="Z126">
        <v>470.82</v>
      </c>
      <c r="AB126" t="s">
        <v>181</v>
      </c>
      <c r="AC126" t="s">
        <v>182</v>
      </c>
      <c r="AD126" t="s">
        <v>183</v>
      </c>
      <c r="AE126">
        <v>0</v>
      </c>
      <c r="AF126">
        <v>6</v>
      </c>
      <c r="AG126" t="s">
        <v>528</v>
      </c>
      <c r="AH126">
        <v>100</v>
      </c>
      <c r="AK126">
        <v>0</v>
      </c>
      <c r="AL126">
        <v>27768</v>
      </c>
      <c r="AM126">
        <v>20100</v>
      </c>
      <c r="AN126">
        <v>7668</v>
      </c>
      <c r="AO126">
        <v>364</v>
      </c>
      <c r="AP126">
        <v>2016</v>
      </c>
      <c r="AQ126">
        <v>1.7</v>
      </c>
      <c r="AS126" t="s">
        <v>2166</v>
      </c>
      <c r="AT126" t="s">
        <v>186</v>
      </c>
      <c r="AU126" t="s">
        <v>177</v>
      </c>
      <c r="AV126" t="s">
        <v>187</v>
      </c>
      <c r="AW126" t="s">
        <v>182</v>
      </c>
      <c r="AX126">
        <v>2</v>
      </c>
      <c r="AY126" t="s">
        <v>188</v>
      </c>
      <c r="AZ126" t="s">
        <v>189</v>
      </c>
      <c r="BA126" t="s">
        <v>190</v>
      </c>
      <c r="BB126" t="s">
        <v>191</v>
      </c>
      <c r="BC126" t="s">
        <v>182</v>
      </c>
      <c r="BD126" t="s">
        <v>182</v>
      </c>
      <c r="BE126" t="s">
        <v>2167</v>
      </c>
      <c r="BF126">
        <v>1</v>
      </c>
      <c r="BG126">
        <v>1</v>
      </c>
      <c r="BH126">
        <v>1967</v>
      </c>
      <c r="BI126" t="s">
        <v>2168</v>
      </c>
      <c r="BJ126" t="s">
        <v>285</v>
      </c>
      <c r="BK126" t="s">
        <v>195</v>
      </c>
      <c r="BL126" t="s">
        <v>841</v>
      </c>
      <c r="BM126" t="s">
        <v>238</v>
      </c>
      <c r="BN126" t="s">
        <v>182</v>
      </c>
      <c r="BO126" t="s">
        <v>2169</v>
      </c>
      <c r="BP126" t="s">
        <v>2170</v>
      </c>
      <c r="BQ126" t="s">
        <v>226</v>
      </c>
      <c r="BR126" t="s">
        <v>227</v>
      </c>
      <c r="BS126" t="s">
        <v>198</v>
      </c>
      <c r="BT126" t="s">
        <v>2171</v>
      </c>
      <c r="BU126" t="s">
        <v>182</v>
      </c>
      <c r="BV126" t="s">
        <v>198</v>
      </c>
      <c r="BW126" t="s">
        <v>198</v>
      </c>
      <c r="BX126" t="s">
        <v>199</v>
      </c>
      <c r="BY126" t="s">
        <v>198</v>
      </c>
      <c r="BZ126" t="s">
        <v>199</v>
      </c>
      <c r="CA126" t="s">
        <v>199</v>
      </c>
      <c r="CB126" t="s">
        <v>2172</v>
      </c>
      <c r="CC126" t="s">
        <v>201</v>
      </c>
      <c r="CD126" t="s">
        <v>182</v>
      </c>
      <c r="CE126" t="s">
        <v>2173</v>
      </c>
      <c r="CF126" t="s">
        <v>204</v>
      </c>
      <c r="CG126" t="s">
        <v>177</v>
      </c>
      <c r="CH126" t="s">
        <v>187</v>
      </c>
      <c r="CI126" t="s">
        <v>2174</v>
      </c>
      <c r="CJ126" t="s">
        <v>2175</v>
      </c>
      <c r="CK126" t="s">
        <v>232</v>
      </c>
      <c r="CL126" t="s">
        <v>233</v>
      </c>
      <c r="CM126" t="s">
        <v>2176</v>
      </c>
      <c r="CN126" t="s">
        <v>1164</v>
      </c>
      <c r="CO126" t="s">
        <v>183</v>
      </c>
      <c r="CP126" t="s">
        <v>211</v>
      </c>
      <c r="CQ126" t="s">
        <v>342</v>
      </c>
      <c r="CS126" t="s">
        <v>2177</v>
      </c>
      <c r="CT126" t="s">
        <v>1757</v>
      </c>
      <c r="CU126" t="s">
        <v>292</v>
      </c>
      <c r="CV126" t="s">
        <v>293</v>
      </c>
      <c r="CW126" t="s">
        <v>2178</v>
      </c>
      <c r="CX126" t="s">
        <v>295</v>
      </c>
      <c r="CY126" t="s">
        <v>183</v>
      </c>
      <c r="CZ126" t="s">
        <v>211</v>
      </c>
      <c r="DA126" t="s">
        <v>329</v>
      </c>
      <c r="DC126" t="s">
        <v>2179</v>
      </c>
      <c r="DD126" t="s">
        <v>1757</v>
      </c>
      <c r="DE126" t="s">
        <v>267</v>
      </c>
      <c r="DF126" t="s">
        <v>268</v>
      </c>
      <c r="DG126" t="s">
        <v>2180</v>
      </c>
      <c r="DH126" t="s">
        <v>927</v>
      </c>
      <c r="DI126" t="s">
        <v>183</v>
      </c>
      <c r="DJ126" t="s">
        <v>211</v>
      </c>
      <c r="DK126" t="s">
        <v>329</v>
      </c>
      <c r="DM126" t="s">
        <v>1645</v>
      </c>
      <c r="DN126" t="s">
        <v>2181</v>
      </c>
      <c r="DO126" t="s">
        <v>273</v>
      </c>
      <c r="DP126" t="s">
        <v>274</v>
      </c>
      <c r="DQ126" t="s">
        <v>2182</v>
      </c>
      <c r="DR126" t="s">
        <v>514</v>
      </c>
      <c r="DS126" t="s">
        <v>183</v>
      </c>
      <c r="DT126" t="s">
        <v>211</v>
      </c>
      <c r="DU126" t="s">
        <v>298</v>
      </c>
      <c r="DW126" t="s">
        <v>1645</v>
      </c>
      <c r="DX126" t="s">
        <v>592</v>
      </c>
      <c r="DY126" t="s">
        <v>302</v>
      </c>
      <c r="DZ126" t="s">
        <v>303</v>
      </c>
      <c r="EA126" t="s">
        <v>2183</v>
      </c>
      <c r="EB126" t="s">
        <v>305</v>
      </c>
      <c r="EC126" t="s">
        <v>183</v>
      </c>
      <c r="ED126" t="s">
        <v>211</v>
      </c>
      <c r="EE126" t="s">
        <v>298</v>
      </c>
      <c r="EG126" t="s">
        <v>2184</v>
      </c>
      <c r="EH126" t="s">
        <v>2185</v>
      </c>
      <c r="EI126" t="s">
        <v>238</v>
      </c>
      <c r="EJ126" t="s">
        <v>239</v>
      </c>
      <c r="EK126" t="s">
        <v>2186</v>
      </c>
      <c r="EL126" t="s">
        <v>440</v>
      </c>
      <c r="EM126" t="s">
        <v>183</v>
      </c>
      <c r="EN126" t="s">
        <v>211</v>
      </c>
      <c r="EO126" t="s">
        <v>298</v>
      </c>
      <c r="EQ126" t="s">
        <v>1133</v>
      </c>
      <c r="FA126" t="s">
        <v>198</v>
      </c>
      <c r="FK126" t="s">
        <v>198</v>
      </c>
      <c r="FU126" t="s">
        <v>198</v>
      </c>
    </row>
    <row r="127" spans="1:177">
      <c r="A127" s="1" t="str">
        <f>HYPERLINK("http://digipan.lumentumllc.com/apps/getLink/index.php?t=PropLink&amp;p=5246701","PL")</f>
        <v>PL</v>
      </c>
      <c r="B127" s="1" t="str">
        <f>HYPERLINK("http://digipan.lumentumllc.com/apps/getLink/index.php?t=TaxLink&amp;p=5246701","TL")</f>
        <v>TL</v>
      </c>
      <c r="C127" s="1" t="str">
        <f>HYPERLINK("http://digipan.lumentumllc.com/apps/getMap/index.php?p=5246701","Map")</f>
        <v>Map</v>
      </c>
      <c r="E127" t="s">
        <v>177</v>
      </c>
      <c r="F127" t="s">
        <v>178</v>
      </c>
      <c r="L127" t="s">
        <v>2187</v>
      </c>
      <c r="N127" t="s">
        <v>2187</v>
      </c>
      <c r="O127" t="s">
        <v>2187</v>
      </c>
      <c r="P127" t="s">
        <v>2188</v>
      </c>
      <c r="Q127" t="s">
        <v>2187</v>
      </c>
      <c r="V127">
        <v>146</v>
      </c>
      <c r="W127">
        <v>1</v>
      </c>
      <c r="X127">
        <v>2017</v>
      </c>
      <c r="Y127">
        <v>2018</v>
      </c>
      <c r="Z127">
        <v>414.98</v>
      </c>
      <c r="AB127" t="s">
        <v>181</v>
      </c>
      <c r="AC127" t="s">
        <v>202</v>
      </c>
      <c r="AD127" t="s">
        <v>183</v>
      </c>
      <c r="AE127">
        <v>0</v>
      </c>
      <c r="AF127">
        <v>4</v>
      </c>
      <c r="AG127" t="s">
        <v>381</v>
      </c>
      <c r="AH127">
        <v>100</v>
      </c>
      <c r="AK127">
        <v>0</v>
      </c>
      <c r="AL127">
        <v>25678</v>
      </c>
      <c r="AM127">
        <v>15450</v>
      </c>
      <c r="AN127">
        <v>10228</v>
      </c>
      <c r="AO127">
        <v>322</v>
      </c>
      <c r="AP127">
        <v>2016</v>
      </c>
      <c r="AQ127">
        <v>1.62</v>
      </c>
      <c r="AS127" t="s">
        <v>2189</v>
      </c>
      <c r="AT127" t="s">
        <v>186</v>
      </c>
      <c r="AU127" t="s">
        <v>177</v>
      </c>
      <c r="AV127" t="s">
        <v>187</v>
      </c>
      <c r="AW127" t="s">
        <v>182</v>
      </c>
      <c r="AX127">
        <v>2</v>
      </c>
      <c r="AY127" t="s">
        <v>188</v>
      </c>
      <c r="AZ127" t="s">
        <v>189</v>
      </c>
      <c r="BA127" t="s">
        <v>190</v>
      </c>
      <c r="BB127" t="s">
        <v>191</v>
      </c>
      <c r="BC127" t="s">
        <v>182</v>
      </c>
      <c r="BD127" t="s">
        <v>182</v>
      </c>
      <c r="BE127" t="s">
        <v>1385</v>
      </c>
      <c r="BF127">
        <v>1</v>
      </c>
      <c r="BG127">
        <v>1</v>
      </c>
      <c r="BH127">
        <v>1982</v>
      </c>
      <c r="BI127" t="s">
        <v>2190</v>
      </c>
      <c r="BJ127" t="s">
        <v>194</v>
      </c>
      <c r="BK127" t="s">
        <v>195</v>
      </c>
      <c r="BL127" t="s">
        <v>2191</v>
      </c>
      <c r="BM127" t="s">
        <v>273</v>
      </c>
      <c r="BN127" t="s">
        <v>182</v>
      </c>
      <c r="BO127" t="s">
        <v>2192</v>
      </c>
      <c r="BP127" t="s">
        <v>2193</v>
      </c>
      <c r="BQ127" t="s">
        <v>800</v>
      </c>
      <c r="BR127" t="s">
        <v>563</v>
      </c>
      <c r="BS127" t="s">
        <v>198</v>
      </c>
      <c r="BT127" t="s">
        <v>228</v>
      </c>
      <c r="BU127" t="s">
        <v>182</v>
      </c>
      <c r="BV127" t="s">
        <v>198</v>
      </c>
      <c r="BW127" t="s">
        <v>198</v>
      </c>
      <c r="BX127" t="s">
        <v>199</v>
      </c>
      <c r="BY127" t="s">
        <v>198</v>
      </c>
      <c r="BZ127" t="s">
        <v>199</v>
      </c>
      <c r="CA127" t="s">
        <v>199</v>
      </c>
      <c r="CB127" t="s">
        <v>2194</v>
      </c>
      <c r="CC127" t="s">
        <v>201</v>
      </c>
      <c r="CD127" t="s">
        <v>182</v>
      </c>
      <c r="CE127" t="s">
        <v>2195</v>
      </c>
      <c r="CF127" t="s">
        <v>204</v>
      </c>
      <c r="CG127" t="s">
        <v>177</v>
      </c>
      <c r="CH127" t="s">
        <v>187</v>
      </c>
      <c r="CI127" t="s">
        <v>2196</v>
      </c>
      <c r="CJ127" t="s">
        <v>775</v>
      </c>
      <c r="CK127" t="s">
        <v>292</v>
      </c>
      <c r="CL127" t="s">
        <v>293</v>
      </c>
      <c r="CM127" t="s">
        <v>2197</v>
      </c>
      <c r="CN127" t="s">
        <v>295</v>
      </c>
      <c r="CO127" t="s">
        <v>183</v>
      </c>
      <c r="CP127" t="s">
        <v>211</v>
      </c>
      <c r="CQ127" t="s">
        <v>342</v>
      </c>
      <c r="CS127" t="s">
        <v>2198</v>
      </c>
      <c r="CT127" t="s">
        <v>2199</v>
      </c>
      <c r="CU127" t="s">
        <v>238</v>
      </c>
      <c r="CV127" t="s">
        <v>239</v>
      </c>
      <c r="CW127" t="s">
        <v>2200</v>
      </c>
      <c r="CX127" t="s">
        <v>333</v>
      </c>
      <c r="CY127" t="s">
        <v>183</v>
      </c>
      <c r="CZ127" t="s">
        <v>211</v>
      </c>
      <c r="DA127" t="s">
        <v>342</v>
      </c>
      <c r="DB127" t="s">
        <v>271</v>
      </c>
      <c r="DC127" t="s">
        <v>2201</v>
      </c>
      <c r="DD127" t="s">
        <v>2202</v>
      </c>
      <c r="DE127" t="s">
        <v>346</v>
      </c>
      <c r="DF127" t="s">
        <v>347</v>
      </c>
      <c r="DG127" t="s">
        <v>2203</v>
      </c>
      <c r="DH127" t="s">
        <v>391</v>
      </c>
      <c r="DI127" t="s">
        <v>183</v>
      </c>
      <c r="DJ127" t="s">
        <v>211</v>
      </c>
      <c r="DK127" t="s">
        <v>345</v>
      </c>
      <c r="DL127" t="s">
        <v>271</v>
      </c>
      <c r="DM127" t="s">
        <v>2201</v>
      </c>
      <c r="DN127" t="s">
        <v>1923</v>
      </c>
      <c r="DO127" t="s">
        <v>207</v>
      </c>
      <c r="DP127" t="s">
        <v>208</v>
      </c>
      <c r="DQ127" t="s">
        <v>2204</v>
      </c>
      <c r="DR127" t="s">
        <v>210</v>
      </c>
      <c r="DS127" t="s">
        <v>183</v>
      </c>
      <c r="DT127" t="s">
        <v>211</v>
      </c>
      <c r="DV127" t="s">
        <v>271</v>
      </c>
      <c r="DW127" t="s">
        <v>198</v>
      </c>
      <c r="EG127" t="s">
        <v>198</v>
      </c>
      <c r="EQ127" t="s">
        <v>198</v>
      </c>
      <c r="FA127" t="s">
        <v>198</v>
      </c>
      <c r="FK127" t="s">
        <v>198</v>
      </c>
      <c r="FU127" t="s">
        <v>198</v>
      </c>
    </row>
    <row r="128" spans="1:177">
      <c r="A128" s="1" t="str">
        <f>HYPERLINK("http://digipan.lumentumllc.com/apps/getLink/index.php?t=PropLink&amp;p=4637881","PL")</f>
        <v>PL</v>
      </c>
      <c r="B128" s="1" t="str">
        <f>HYPERLINK("http://digipan.lumentumllc.com/apps/getLink/index.php?t=TaxLink&amp;p=4637881","TL")</f>
        <v>TL</v>
      </c>
      <c r="C128" s="1" t="str">
        <f>HYPERLINK("http://digipan.lumentumllc.com/apps/getMap/index.php?p=4637881","Map")</f>
        <v>Map</v>
      </c>
      <c r="E128" t="s">
        <v>177</v>
      </c>
      <c r="F128" t="s">
        <v>178</v>
      </c>
      <c r="L128" t="s">
        <v>2205</v>
      </c>
      <c r="N128" t="s">
        <v>2205</v>
      </c>
      <c r="O128" t="s">
        <v>2205</v>
      </c>
      <c r="P128" t="s">
        <v>2206</v>
      </c>
      <c r="Q128" t="s">
        <v>2205</v>
      </c>
      <c r="V128">
        <v>147</v>
      </c>
      <c r="W128">
        <v>1</v>
      </c>
      <c r="X128">
        <v>2017</v>
      </c>
      <c r="Y128">
        <v>2018</v>
      </c>
      <c r="Z128">
        <v>1194.68</v>
      </c>
      <c r="AB128" t="s">
        <v>181</v>
      </c>
      <c r="AC128" t="s">
        <v>182</v>
      </c>
      <c r="AD128" t="s">
        <v>183</v>
      </c>
      <c r="AE128">
        <v>0</v>
      </c>
      <c r="AF128">
        <v>1</v>
      </c>
      <c r="AG128" t="s">
        <v>821</v>
      </c>
      <c r="AH128">
        <v>100</v>
      </c>
      <c r="AK128">
        <v>0</v>
      </c>
      <c r="AL128">
        <v>71014</v>
      </c>
      <c r="AM128">
        <v>25440</v>
      </c>
      <c r="AN128">
        <v>45574</v>
      </c>
      <c r="AO128">
        <v>1034</v>
      </c>
      <c r="AP128">
        <v>2016</v>
      </c>
      <c r="AQ128">
        <v>1.68</v>
      </c>
      <c r="AS128" t="s">
        <v>2207</v>
      </c>
      <c r="AT128" t="s">
        <v>186</v>
      </c>
      <c r="AU128" t="s">
        <v>177</v>
      </c>
      <c r="AV128" t="s">
        <v>187</v>
      </c>
      <c r="AW128" t="s">
        <v>182</v>
      </c>
      <c r="AX128">
        <v>2</v>
      </c>
      <c r="AY128" t="s">
        <v>188</v>
      </c>
      <c r="AZ128" t="s">
        <v>189</v>
      </c>
      <c r="BA128" t="s">
        <v>190</v>
      </c>
      <c r="BB128" t="s">
        <v>191</v>
      </c>
      <c r="BC128" t="s">
        <v>182</v>
      </c>
      <c r="BD128" t="s">
        <v>182</v>
      </c>
      <c r="BE128" t="s">
        <v>2208</v>
      </c>
      <c r="BF128">
        <v>1</v>
      </c>
      <c r="BG128">
        <v>1</v>
      </c>
      <c r="BH128">
        <v>2014</v>
      </c>
      <c r="BI128" t="s">
        <v>2209</v>
      </c>
      <c r="BJ128" t="s">
        <v>194</v>
      </c>
      <c r="BK128" t="s">
        <v>195</v>
      </c>
      <c r="BL128" t="s">
        <v>2210</v>
      </c>
      <c r="BM128" t="s">
        <v>232</v>
      </c>
      <c r="BN128" t="s">
        <v>182</v>
      </c>
      <c r="BO128" t="s">
        <v>2211</v>
      </c>
      <c r="BP128" t="s">
        <v>2212</v>
      </c>
      <c r="BR128" t="s">
        <v>1723</v>
      </c>
      <c r="BS128" t="s">
        <v>2213</v>
      </c>
      <c r="BT128" t="s">
        <v>1847</v>
      </c>
      <c r="BU128" t="s">
        <v>182</v>
      </c>
      <c r="BV128" t="s">
        <v>198</v>
      </c>
      <c r="BW128" t="s">
        <v>198</v>
      </c>
      <c r="BX128" t="s">
        <v>199</v>
      </c>
      <c r="BY128" t="s">
        <v>198</v>
      </c>
      <c r="BZ128" t="s">
        <v>199</v>
      </c>
      <c r="CA128" t="s">
        <v>199</v>
      </c>
      <c r="CB128" t="s">
        <v>2214</v>
      </c>
      <c r="CC128" t="s">
        <v>201</v>
      </c>
      <c r="CD128" t="s">
        <v>202</v>
      </c>
      <c r="CE128" t="s">
        <v>2215</v>
      </c>
      <c r="CF128" t="s">
        <v>204</v>
      </c>
      <c r="CG128" t="s">
        <v>177</v>
      </c>
      <c r="CH128" t="s">
        <v>187</v>
      </c>
      <c r="CI128" t="s">
        <v>2216</v>
      </c>
      <c r="CJ128" t="s">
        <v>2217</v>
      </c>
      <c r="CK128" t="s">
        <v>232</v>
      </c>
      <c r="CL128" t="s">
        <v>233</v>
      </c>
      <c r="CM128" t="s">
        <v>2218</v>
      </c>
      <c r="CN128" t="s">
        <v>235</v>
      </c>
      <c r="CO128" t="s">
        <v>183</v>
      </c>
      <c r="CP128" t="s">
        <v>211</v>
      </c>
      <c r="CQ128" t="s">
        <v>199</v>
      </c>
      <c r="CS128" t="s">
        <v>2219</v>
      </c>
      <c r="DC128" t="s">
        <v>198</v>
      </c>
      <c r="DM128" t="s">
        <v>198</v>
      </c>
      <c r="DW128" t="s">
        <v>198</v>
      </c>
      <c r="EG128" t="s">
        <v>198</v>
      </c>
      <c r="EQ128" t="s">
        <v>198</v>
      </c>
      <c r="FA128" t="s">
        <v>198</v>
      </c>
      <c r="FK128" t="s">
        <v>198</v>
      </c>
      <c r="FU128" t="s">
        <v>198</v>
      </c>
    </row>
    <row r="129" spans="1:177">
      <c r="A129" s="1" t="str">
        <f>HYPERLINK("http://digipan.lumentumllc.com/apps/getLink/index.php?t=PropLink&amp;p=6594244","PL")</f>
        <v>PL</v>
      </c>
      <c r="B129" s="1" t="str">
        <f>HYPERLINK("http://digipan.lumentumllc.com/apps/getLink/index.php?t=TaxLink&amp;p=6594244","TL")</f>
        <v>TL</v>
      </c>
      <c r="C129" s="1" t="str">
        <f>HYPERLINK("http://digipan.lumentumllc.com/apps/getMap/index.php?p=6594244","Map")</f>
        <v>Map</v>
      </c>
      <c r="E129" t="s">
        <v>177</v>
      </c>
      <c r="F129" t="s">
        <v>178</v>
      </c>
      <c r="L129" t="s">
        <v>2220</v>
      </c>
      <c r="N129" t="s">
        <v>2220</v>
      </c>
      <c r="O129" t="s">
        <v>2220</v>
      </c>
      <c r="P129" t="s">
        <v>2221</v>
      </c>
      <c r="Q129" t="s">
        <v>2220</v>
      </c>
      <c r="V129">
        <v>148</v>
      </c>
      <c r="W129">
        <v>1</v>
      </c>
      <c r="X129">
        <v>2017</v>
      </c>
      <c r="Y129">
        <v>2018</v>
      </c>
      <c r="Z129">
        <v>451.84</v>
      </c>
      <c r="AB129" t="s">
        <v>181</v>
      </c>
      <c r="AC129" t="s">
        <v>182</v>
      </c>
      <c r="AD129" t="s">
        <v>183</v>
      </c>
      <c r="AE129">
        <v>1</v>
      </c>
      <c r="AF129">
        <v>1</v>
      </c>
      <c r="AG129" t="s">
        <v>2222</v>
      </c>
      <c r="AH129">
        <v>50</v>
      </c>
      <c r="AI129">
        <v>445.1</v>
      </c>
      <c r="AJ129">
        <v>22.26</v>
      </c>
      <c r="AK129">
        <v>467.36</v>
      </c>
      <c r="AL129">
        <v>64949</v>
      </c>
      <c r="AM129">
        <v>27600</v>
      </c>
      <c r="AN129">
        <v>37349</v>
      </c>
      <c r="AO129">
        <v>387</v>
      </c>
      <c r="AP129">
        <v>2016</v>
      </c>
      <c r="AQ129">
        <v>0.7</v>
      </c>
      <c r="AR129">
        <v>0.72</v>
      </c>
      <c r="AS129" t="s">
        <v>2223</v>
      </c>
      <c r="AT129" t="s">
        <v>186</v>
      </c>
      <c r="AU129" t="s">
        <v>177</v>
      </c>
      <c r="AV129" t="s">
        <v>187</v>
      </c>
      <c r="AW129" t="s">
        <v>202</v>
      </c>
      <c r="AX129">
        <v>2</v>
      </c>
      <c r="AY129" t="s">
        <v>188</v>
      </c>
      <c r="AZ129" t="s">
        <v>189</v>
      </c>
      <c r="BA129" t="s">
        <v>190</v>
      </c>
      <c r="BB129" t="s">
        <v>191</v>
      </c>
      <c r="BC129" t="s">
        <v>182</v>
      </c>
      <c r="BD129" t="s">
        <v>182</v>
      </c>
      <c r="BE129" t="s">
        <v>2224</v>
      </c>
      <c r="BF129">
        <v>1</v>
      </c>
      <c r="BG129">
        <v>1</v>
      </c>
      <c r="BH129">
        <v>1992</v>
      </c>
      <c r="BI129" t="s">
        <v>2225</v>
      </c>
      <c r="BJ129" t="s">
        <v>194</v>
      </c>
      <c r="BK129" t="s">
        <v>195</v>
      </c>
      <c r="BL129" t="s">
        <v>199</v>
      </c>
      <c r="BM129" t="s">
        <v>945</v>
      </c>
      <c r="BN129" t="s">
        <v>182</v>
      </c>
      <c r="BO129" t="s">
        <v>2226</v>
      </c>
      <c r="BP129" t="s">
        <v>317</v>
      </c>
      <c r="BQ129" t="s">
        <v>2227</v>
      </c>
      <c r="BS129" t="s">
        <v>198</v>
      </c>
      <c r="BT129" t="s">
        <v>228</v>
      </c>
      <c r="BU129" t="s">
        <v>182</v>
      </c>
      <c r="BV129" t="s">
        <v>198</v>
      </c>
      <c r="BW129" t="s">
        <v>198</v>
      </c>
      <c r="BX129" t="s">
        <v>199</v>
      </c>
      <c r="BY129" t="s">
        <v>198</v>
      </c>
      <c r="BZ129" t="s">
        <v>199</v>
      </c>
      <c r="CA129" t="s">
        <v>199</v>
      </c>
      <c r="CB129" t="s">
        <v>2228</v>
      </c>
      <c r="CC129" t="s">
        <v>201</v>
      </c>
      <c r="CD129" t="s">
        <v>182</v>
      </c>
      <c r="CE129" t="s">
        <v>2229</v>
      </c>
      <c r="CF129" t="s">
        <v>204</v>
      </c>
      <c r="CG129" t="s">
        <v>177</v>
      </c>
      <c r="CH129" t="s">
        <v>187</v>
      </c>
      <c r="CI129" t="s">
        <v>2230</v>
      </c>
      <c r="CJ129" t="s">
        <v>971</v>
      </c>
      <c r="CK129" t="s">
        <v>232</v>
      </c>
      <c r="CL129" t="s">
        <v>233</v>
      </c>
      <c r="CM129" t="s">
        <v>2231</v>
      </c>
      <c r="CN129" t="s">
        <v>235</v>
      </c>
      <c r="CO129" t="s">
        <v>183</v>
      </c>
      <c r="CP129" t="s">
        <v>266</v>
      </c>
      <c r="CS129" t="s">
        <v>198</v>
      </c>
      <c r="CT129" t="s">
        <v>1905</v>
      </c>
      <c r="CU129" t="s">
        <v>273</v>
      </c>
      <c r="CV129" t="s">
        <v>274</v>
      </c>
      <c r="CW129" t="s">
        <v>2232</v>
      </c>
      <c r="CX129" t="s">
        <v>235</v>
      </c>
      <c r="CY129" t="s">
        <v>183</v>
      </c>
      <c r="CZ129" t="s">
        <v>211</v>
      </c>
      <c r="DA129" t="s">
        <v>270</v>
      </c>
      <c r="DC129" t="s">
        <v>2233</v>
      </c>
      <c r="DM129" t="s">
        <v>198</v>
      </c>
      <c r="DW129" t="s">
        <v>198</v>
      </c>
      <c r="EG129" t="s">
        <v>198</v>
      </c>
      <c r="EQ129" t="s">
        <v>198</v>
      </c>
      <c r="FA129" t="s">
        <v>198</v>
      </c>
      <c r="FK129" t="s">
        <v>198</v>
      </c>
      <c r="FU129" t="s">
        <v>198</v>
      </c>
    </row>
    <row r="130" spans="1:177">
      <c r="A130" s="1" t="str">
        <f>HYPERLINK("http://digipan.lumentumllc.com/apps/getLink/index.php?t=PropLink&amp;p=5246766","PL")</f>
        <v>PL</v>
      </c>
      <c r="B130" s="1" t="str">
        <f>HYPERLINK("http://digipan.lumentumllc.com/apps/getLink/index.php?t=TaxLink&amp;p=5246766","TL")</f>
        <v>TL</v>
      </c>
      <c r="C130" s="1" t="str">
        <f>HYPERLINK("http://digipan.lumentumllc.com/apps/getMap/index.php?p=5246766","Map")</f>
        <v>Map</v>
      </c>
      <c r="E130" t="s">
        <v>177</v>
      </c>
      <c r="F130" t="s">
        <v>178</v>
      </c>
      <c r="L130" t="s">
        <v>2234</v>
      </c>
      <c r="N130" t="s">
        <v>2234</v>
      </c>
      <c r="O130" t="s">
        <v>2234</v>
      </c>
      <c r="P130" t="s">
        <v>2235</v>
      </c>
      <c r="Q130" t="s">
        <v>2234</v>
      </c>
      <c r="V130">
        <v>149</v>
      </c>
      <c r="W130">
        <v>1</v>
      </c>
      <c r="X130">
        <v>2017</v>
      </c>
      <c r="Y130">
        <v>2018</v>
      </c>
      <c r="Z130">
        <v>616.38</v>
      </c>
      <c r="AB130" t="s">
        <v>181</v>
      </c>
      <c r="AC130" t="s">
        <v>202</v>
      </c>
      <c r="AD130" t="s">
        <v>183</v>
      </c>
      <c r="AE130">
        <v>1</v>
      </c>
      <c r="AF130">
        <v>4</v>
      </c>
      <c r="AG130" t="s">
        <v>951</v>
      </c>
      <c r="AH130">
        <v>80</v>
      </c>
      <c r="AI130">
        <v>611.04</v>
      </c>
      <c r="AJ130">
        <v>30.55</v>
      </c>
      <c r="AK130">
        <v>641.59</v>
      </c>
      <c r="AL130">
        <v>87711</v>
      </c>
      <c r="AM130">
        <v>15000</v>
      </c>
      <c r="AN130">
        <v>72711</v>
      </c>
      <c r="AO130">
        <v>540</v>
      </c>
      <c r="AP130">
        <v>2016</v>
      </c>
      <c r="AQ130">
        <v>0.7</v>
      </c>
      <c r="AR130">
        <v>0.73</v>
      </c>
      <c r="AS130" t="s">
        <v>2236</v>
      </c>
      <c r="AT130" t="s">
        <v>186</v>
      </c>
      <c r="AU130" t="s">
        <v>177</v>
      </c>
      <c r="AV130" t="s">
        <v>187</v>
      </c>
      <c r="AW130" t="s">
        <v>202</v>
      </c>
      <c r="AX130">
        <v>1</v>
      </c>
      <c r="AY130" t="s">
        <v>188</v>
      </c>
      <c r="AZ130" t="s">
        <v>206</v>
      </c>
      <c r="BA130" t="s">
        <v>355</v>
      </c>
      <c r="BB130" t="s">
        <v>191</v>
      </c>
      <c r="BC130" t="s">
        <v>182</v>
      </c>
      <c r="BD130" t="s">
        <v>182</v>
      </c>
      <c r="BE130" t="s">
        <v>383</v>
      </c>
      <c r="BF130">
        <v>1</v>
      </c>
      <c r="BG130">
        <v>1</v>
      </c>
      <c r="BH130">
        <v>1979</v>
      </c>
      <c r="BI130" t="s">
        <v>2237</v>
      </c>
      <c r="BJ130" t="s">
        <v>194</v>
      </c>
      <c r="BK130" t="s">
        <v>195</v>
      </c>
      <c r="BL130" t="s">
        <v>199</v>
      </c>
      <c r="BM130" t="s">
        <v>679</v>
      </c>
      <c r="BN130" t="s">
        <v>182</v>
      </c>
      <c r="BO130" t="s">
        <v>198</v>
      </c>
      <c r="BP130" t="s">
        <v>198</v>
      </c>
      <c r="BQ130" t="s">
        <v>198</v>
      </c>
      <c r="BR130" t="s">
        <v>198</v>
      </c>
      <c r="BS130" t="s">
        <v>198</v>
      </c>
      <c r="BT130" t="s">
        <v>198</v>
      </c>
      <c r="BU130" t="s">
        <v>182</v>
      </c>
      <c r="BV130" t="s">
        <v>198</v>
      </c>
      <c r="BW130" t="s">
        <v>198</v>
      </c>
      <c r="BX130" t="s">
        <v>199</v>
      </c>
      <c r="BY130" t="s">
        <v>198</v>
      </c>
      <c r="BZ130" t="s">
        <v>199</v>
      </c>
      <c r="CA130" t="s">
        <v>199</v>
      </c>
      <c r="CB130" t="s">
        <v>2238</v>
      </c>
      <c r="CC130" t="s">
        <v>201</v>
      </c>
      <c r="CD130" t="s">
        <v>182</v>
      </c>
      <c r="CE130" t="s">
        <v>2239</v>
      </c>
      <c r="CF130" t="s">
        <v>204</v>
      </c>
      <c r="CG130" t="s">
        <v>177</v>
      </c>
      <c r="CH130" t="s">
        <v>187</v>
      </c>
      <c r="CI130" t="s">
        <v>2240</v>
      </c>
      <c r="CJ130" t="s">
        <v>1018</v>
      </c>
      <c r="CK130" t="s">
        <v>232</v>
      </c>
      <c r="CL130" t="s">
        <v>233</v>
      </c>
      <c r="CM130" t="s">
        <v>2241</v>
      </c>
      <c r="CN130" t="s">
        <v>235</v>
      </c>
      <c r="CO130" t="s">
        <v>183</v>
      </c>
      <c r="CP130" t="s">
        <v>266</v>
      </c>
      <c r="CS130" t="s">
        <v>198</v>
      </c>
      <c r="CT130" t="s">
        <v>2242</v>
      </c>
      <c r="CU130" t="s">
        <v>273</v>
      </c>
      <c r="CV130" t="s">
        <v>274</v>
      </c>
      <c r="CW130" t="s">
        <v>2243</v>
      </c>
      <c r="CX130" t="s">
        <v>235</v>
      </c>
      <c r="CY130" t="s">
        <v>183</v>
      </c>
      <c r="CZ130" t="s">
        <v>211</v>
      </c>
      <c r="DA130" t="s">
        <v>270</v>
      </c>
      <c r="DB130" t="s">
        <v>271</v>
      </c>
      <c r="DC130" t="s">
        <v>2244</v>
      </c>
      <c r="DD130" t="s">
        <v>1949</v>
      </c>
      <c r="DE130" t="s">
        <v>302</v>
      </c>
      <c r="DF130" t="s">
        <v>303</v>
      </c>
      <c r="DG130" t="s">
        <v>2245</v>
      </c>
      <c r="DH130" t="s">
        <v>235</v>
      </c>
      <c r="DI130" t="s">
        <v>183</v>
      </c>
      <c r="DJ130" t="s">
        <v>211</v>
      </c>
      <c r="DL130" t="s">
        <v>271</v>
      </c>
      <c r="DM130" t="s">
        <v>198</v>
      </c>
      <c r="DN130" t="s">
        <v>2246</v>
      </c>
      <c r="DO130" t="s">
        <v>238</v>
      </c>
      <c r="DP130" t="s">
        <v>239</v>
      </c>
      <c r="DQ130" t="s">
        <v>2247</v>
      </c>
      <c r="DR130" t="s">
        <v>235</v>
      </c>
      <c r="DS130" t="s">
        <v>183</v>
      </c>
      <c r="DT130" t="s">
        <v>211</v>
      </c>
      <c r="DU130" t="s">
        <v>298</v>
      </c>
      <c r="DW130" t="s">
        <v>1815</v>
      </c>
      <c r="DX130" t="s">
        <v>2248</v>
      </c>
      <c r="DY130" t="s">
        <v>346</v>
      </c>
      <c r="DZ130" t="s">
        <v>347</v>
      </c>
      <c r="EA130" t="s">
        <v>2249</v>
      </c>
      <c r="EB130" t="s">
        <v>235</v>
      </c>
      <c r="EC130" t="s">
        <v>183</v>
      </c>
      <c r="ED130" t="s">
        <v>211</v>
      </c>
      <c r="EE130" t="s">
        <v>523</v>
      </c>
      <c r="EG130" t="s">
        <v>2250</v>
      </c>
      <c r="EQ130" t="s">
        <v>198</v>
      </c>
      <c r="FA130" t="s">
        <v>198</v>
      </c>
      <c r="FK130" t="s">
        <v>198</v>
      </c>
      <c r="FU130" t="s">
        <v>198</v>
      </c>
    </row>
    <row r="131" spans="1:177">
      <c r="A131" s="1" t="str">
        <f>HYPERLINK("http://digipan.lumentumllc.com/apps/getLink/index.php?t=PropLink&amp;p=5247107","PL")</f>
        <v>PL</v>
      </c>
      <c r="B131" s="1" t="str">
        <f>HYPERLINK("http://digipan.lumentumllc.com/apps/getLink/index.php?t=TaxLink&amp;p=5247107","TL")</f>
        <v>TL</v>
      </c>
      <c r="C131" s="1" t="str">
        <f>HYPERLINK("http://digipan.lumentumllc.com/apps/getMap/index.php?p=5247107","Map")</f>
        <v>Map</v>
      </c>
      <c r="E131" t="s">
        <v>177</v>
      </c>
      <c r="F131" t="s">
        <v>178</v>
      </c>
      <c r="L131" t="s">
        <v>2251</v>
      </c>
      <c r="N131" t="s">
        <v>2251</v>
      </c>
      <c r="O131" t="s">
        <v>2251</v>
      </c>
      <c r="P131" t="s">
        <v>2252</v>
      </c>
      <c r="Q131" t="s">
        <v>2251</v>
      </c>
      <c r="V131">
        <v>150</v>
      </c>
      <c r="W131">
        <v>1</v>
      </c>
      <c r="X131">
        <v>2017</v>
      </c>
      <c r="Y131">
        <v>2018</v>
      </c>
      <c r="Z131">
        <v>592.58000000000004</v>
      </c>
      <c r="AB131" t="s">
        <v>181</v>
      </c>
      <c r="AC131" t="s">
        <v>182</v>
      </c>
      <c r="AD131" t="s">
        <v>183</v>
      </c>
      <c r="AE131">
        <v>1</v>
      </c>
      <c r="AF131">
        <v>7</v>
      </c>
      <c r="AG131" t="s">
        <v>418</v>
      </c>
      <c r="AH131">
        <v>86</v>
      </c>
      <c r="AI131">
        <v>587.05999999999995</v>
      </c>
      <c r="AJ131">
        <v>29.35</v>
      </c>
      <c r="AK131">
        <v>616.41</v>
      </c>
      <c r="AL131">
        <v>79974</v>
      </c>
      <c r="AM131">
        <v>37600</v>
      </c>
      <c r="AN131">
        <v>42374</v>
      </c>
      <c r="AO131">
        <v>518</v>
      </c>
      <c r="AP131">
        <v>2016</v>
      </c>
      <c r="AQ131">
        <v>0.74</v>
      </c>
      <c r="AR131">
        <v>0.77</v>
      </c>
      <c r="AS131" t="s">
        <v>2253</v>
      </c>
      <c r="AT131" t="s">
        <v>186</v>
      </c>
      <c r="AU131" t="s">
        <v>177</v>
      </c>
      <c r="AV131" t="s">
        <v>187</v>
      </c>
      <c r="AW131" t="s">
        <v>202</v>
      </c>
      <c r="AX131">
        <v>1</v>
      </c>
      <c r="AY131" t="s">
        <v>188</v>
      </c>
      <c r="AZ131" t="s">
        <v>206</v>
      </c>
      <c r="BA131" t="s">
        <v>355</v>
      </c>
      <c r="BB131" t="s">
        <v>191</v>
      </c>
      <c r="BC131" t="s">
        <v>182</v>
      </c>
      <c r="BD131" t="s">
        <v>182</v>
      </c>
      <c r="BE131" t="s">
        <v>2254</v>
      </c>
      <c r="BF131">
        <v>1</v>
      </c>
      <c r="BG131">
        <v>1</v>
      </c>
      <c r="BH131">
        <v>2005</v>
      </c>
      <c r="BI131" t="s">
        <v>2255</v>
      </c>
      <c r="BJ131" t="s">
        <v>194</v>
      </c>
      <c r="BK131" t="s">
        <v>195</v>
      </c>
      <c r="BL131" t="s">
        <v>199</v>
      </c>
      <c r="BM131" t="s">
        <v>325</v>
      </c>
      <c r="BN131" t="s">
        <v>182</v>
      </c>
      <c r="BO131" t="s">
        <v>198</v>
      </c>
      <c r="BP131" t="s">
        <v>198</v>
      </c>
      <c r="BQ131" t="s">
        <v>198</v>
      </c>
      <c r="BR131" t="s">
        <v>198</v>
      </c>
      <c r="BS131" t="s">
        <v>198</v>
      </c>
      <c r="BT131" t="s">
        <v>198</v>
      </c>
      <c r="BU131" t="s">
        <v>182</v>
      </c>
      <c r="BV131" t="s">
        <v>198</v>
      </c>
      <c r="BW131" t="s">
        <v>198</v>
      </c>
      <c r="BX131" t="s">
        <v>199</v>
      </c>
      <c r="BY131" t="s">
        <v>198</v>
      </c>
      <c r="BZ131" t="s">
        <v>199</v>
      </c>
      <c r="CA131" t="s">
        <v>199</v>
      </c>
      <c r="CB131" t="s">
        <v>2256</v>
      </c>
      <c r="CC131" t="s">
        <v>201</v>
      </c>
      <c r="CD131" t="s">
        <v>182</v>
      </c>
      <c r="CE131" t="s">
        <v>2257</v>
      </c>
      <c r="CF131" t="s">
        <v>204</v>
      </c>
      <c r="CG131" t="s">
        <v>177</v>
      </c>
      <c r="CH131" t="s">
        <v>187</v>
      </c>
      <c r="CI131" t="s">
        <v>2258</v>
      </c>
      <c r="CJ131" t="s">
        <v>2259</v>
      </c>
      <c r="CK131" t="s">
        <v>232</v>
      </c>
      <c r="CL131" t="s">
        <v>233</v>
      </c>
      <c r="CM131" t="s">
        <v>2260</v>
      </c>
      <c r="CN131" t="s">
        <v>235</v>
      </c>
      <c r="CO131" t="s">
        <v>183</v>
      </c>
      <c r="CP131" t="s">
        <v>266</v>
      </c>
      <c r="CS131" t="s">
        <v>198</v>
      </c>
      <c r="CT131" t="s">
        <v>1805</v>
      </c>
      <c r="CU131" t="s">
        <v>292</v>
      </c>
      <c r="CV131" t="s">
        <v>293</v>
      </c>
      <c r="CW131" t="s">
        <v>2261</v>
      </c>
      <c r="CX131" t="s">
        <v>235</v>
      </c>
      <c r="CY131" t="s">
        <v>183</v>
      </c>
      <c r="CZ131" t="s">
        <v>211</v>
      </c>
      <c r="DA131" t="s">
        <v>306</v>
      </c>
      <c r="DC131" t="s">
        <v>2262</v>
      </c>
      <c r="DD131" t="s">
        <v>775</v>
      </c>
      <c r="DE131" t="s">
        <v>267</v>
      </c>
      <c r="DF131" t="s">
        <v>268</v>
      </c>
      <c r="DG131" t="s">
        <v>2263</v>
      </c>
      <c r="DH131" t="s">
        <v>235</v>
      </c>
      <c r="DI131" t="s">
        <v>183</v>
      </c>
      <c r="DJ131" t="s">
        <v>211</v>
      </c>
      <c r="DK131" t="s">
        <v>523</v>
      </c>
      <c r="DM131" t="s">
        <v>2264</v>
      </c>
      <c r="DN131" t="s">
        <v>592</v>
      </c>
      <c r="DO131" t="s">
        <v>273</v>
      </c>
      <c r="DP131" t="s">
        <v>274</v>
      </c>
      <c r="DQ131" t="s">
        <v>2265</v>
      </c>
      <c r="DR131" t="s">
        <v>235</v>
      </c>
      <c r="DS131" t="s">
        <v>183</v>
      </c>
      <c r="DT131" t="s">
        <v>211</v>
      </c>
      <c r="DU131" t="s">
        <v>212</v>
      </c>
      <c r="DW131" t="s">
        <v>2266</v>
      </c>
      <c r="DX131" t="s">
        <v>1956</v>
      </c>
      <c r="DY131" t="s">
        <v>302</v>
      </c>
      <c r="DZ131" t="s">
        <v>303</v>
      </c>
      <c r="EA131" t="s">
        <v>2267</v>
      </c>
      <c r="EB131" t="s">
        <v>235</v>
      </c>
      <c r="EC131" t="s">
        <v>183</v>
      </c>
      <c r="ED131" t="s">
        <v>211</v>
      </c>
      <c r="EE131" t="s">
        <v>471</v>
      </c>
      <c r="EG131" t="s">
        <v>2268</v>
      </c>
      <c r="EH131" t="s">
        <v>2269</v>
      </c>
      <c r="EI131" t="s">
        <v>238</v>
      </c>
      <c r="EJ131" t="s">
        <v>239</v>
      </c>
      <c r="EK131" t="s">
        <v>2270</v>
      </c>
      <c r="EL131" t="s">
        <v>235</v>
      </c>
      <c r="EM131" t="s">
        <v>183</v>
      </c>
      <c r="EN131" t="s">
        <v>211</v>
      </c>
      <c r="EO131" t="s">
        <v>444</v>
      </c>
      <c r="EQ131" t="s">
        <v>2271</v>
      </c>
      <c r="ER131" t="s">
        <v>2272</v>
      </c>
      <c r="ES131" t="s">
        <v>346</v>
      </c>
      <c r="ET131" t="s">
        <v>347</v>
      </c>
      <c r="EU131" t="s">
        <v>2273</v>
      </c>
      <c r="EV131" t="s">
        <v>235</v>
      </c>
      <c r="EW131" t="s">
        <v>183</v>
      </c>
      <c r="EX131" t="s">
        <v>211</v>
      </c>
      <c r="EY131" t="s">
        <v>264</v>
      </c>
      <c r="FA131" t="s">
        <v>2274</v>
      </c>
      <c r="FB131" t="s">
        <v>1940</v>
      </c>
      <c r="FC131" t="s">
        <v>207</v>
      </c>
      <c r="FD131" t="s">
        <v>208</v>
      </c>
      <c r="FE131" t="s">
        <v>2275</v>
      </c>
      <c r="FF131" t="s">
        <v>235</v>
      </c>
      <c r="FG131" t="s">
        <v>183</v>
      </c>
      <c r="FH131" t="s">
        <v>211</v>
      </c>
      <c r="FI131" t="s">
        <v>264</v>
      </c>
      <c r="FK131" t="s">
        <v>2276</v>
      </c>
      <c r="FU131" t="s">
        <v>198</v>
      </c>
    </row>
    <row r="132" spans="1:177">
      <c r="A132" s="1" t="str">
        <f>HYPERLINK("http://digipan.lumentumllc.com/apps/getLink/index.php?t=PropLink&amp;p=7112505","PL")</f>
        <v>PL</v>
      </c>
      <c r="B132" s="1" t="str">
        <f>HYPERLINK("http://digipan.lumentumllc.com/apps/getLink/index.php?t=TaxLink&amp;p=7112505","TL")</f>
        <v>TL</v>
      </c>
      <c r="C132" s="1" t="str">
        <f>HYPERLINK("http://digipan.lumentumllc.com/apps/getMap/index.php?p=7112505","Map")</f>
        <v>Map</v>
      </c>
      <c r="E132" t="s">
        <v>177</v>
      </c>
      <c r="F132" t="s">
        <v>178</v>
      </c>
      <c r="L132" t="s">
        <v>2277</v>
      </c>
      <c r="N132" t="s">
        <v>2277</v>
      </c>
      <c r="O132" t="s">
        <v>2277</v>
      </c>
      <c r="P132" t="s">
        <v>2278</v>
      </c>
      <c r="Q132" t="s">
        <v>2277</v>
      </c>
      <c r="V132">
        <v>152</v>
      </c>
      <c r="W132">
        <v>1</v>
      </c>
      <c r="X132">
        <v>2017</v>
      </c>
      <c r="Y132">
        <v>2018</v>
      </c>
      <c r="Z132">
        <v>842.54</v>
      </c>
      <c r="AB132" t="s">
        <v>181</v>
      </c>
      <c r="AC132" t="s">
        <v>182</v>
      </c>
      <c r="AD132" t="s">
        <v>183</v>
      </c>
      <c r="AE132">
        <v>0</v>
      </c>
      <c r="AF132">
        <v>1</v>
      </c>
      <c r="AG132" t="s">
        <v>821</v>
      </c>
      <c r="AH132">
        <v>100</v>
      </c>
      <c r="AK132">
        <v>0</v>
      </c>
      <c r="AL132">
        <v>55866</v>
      </c>
      <c r="AM132">
        <v>20700</v>
      </c>
      <c r="AN132">
        <v>35166</v>
      </c>
      <c r="AO132">
        <v>622</v>
      </c>
      <c r="AP132">
        <v>2016</v>
      </c>
      <c r="AQ132">
        <v>1.51</v>
      </c>
      <c r="AS132" t="s">
        <v>2279</v>
      </c>
      <c r="AT132" t="s">
        <v>186</v>
      </c>
      <c r="AU132" t="s">
        <v>177</v>
      </c>
      <c r="AV132" t="s">
        <v>187</v>
      </c>
      <c r="AW132" t="s">
        <v>182</v>
      </c>
      <c r="AX132">
        <v>2</v>
      </c>
      <c r="AY132" t="s">
        <v>188</v>
      </c>
      <c r="AZ132" t="s">
        <v>189</v>
      </c>
      <c r="BA132" t="s">
        <v>190</v>
      </c>
      <c r="BB132" t="s">
        <v>191</v>
      </c>
      <c r="BC132" t="s">
        <v>182</v>
      </c>
      <c r="BD132" t="s">
        <v>182</v>
      </c>
      <c r="BE132" t="s">
        <v>2280</v>
      </c>
      <c r="BF132">
        <v>1</v>
      </c>
      <c r="BG132">
        <v>1</v>
      </c>
      <c r="BH132">
        <v>2001</v>
      </c>
      <c r="BI132" t="s">
        <v>1530</v>
      </c>
      <c r="BJ132" t="s">
        <v>396</v>
      </c>
      <c r="BK132" t="s">
        <v>195</v>
      </c>
      <c r="BL132" t="s">
        <v>2281</v>
      </c>
      <c r="BM132" t="s">
        <v>292</v>
      </c>
      <c r="BN132" t="s">
        <v>182</v>
      </c>
      <c r="BO132" t="s">
        <v>825</v>
      </c>
      <c r="BP132" t="s">
        <v>2282</v>
      </c>
      <c r="BQ132" t="s">
        <v>226</v>
      </c>
      <c r="BR132" t="s">
        <v>227</v>
      </c>
      <c r="BS132" t="s">
        <v>198</v>
      </c>
      <c r="BT132" t="s">
        <v>2283</v>
      </c>
      <c r="BU132" t="s">
        <v>182</v>
      </c>
      <c r="BV132" t="s">
        <v>198</v>
      </c>
      <c r="BW132" t="s">
        <v>198</v>
      </c>
      <c r="BX132" t="s">
        <v>199</v>
      </c>
      <c r="BY132" t="s">
        <v>198</v>
      </c>
      <c r="BZ132" t="s">
        <v>199</v>
      </c>
      <c r="CA132" t="s">
        <v>199</v>
      </c>
      <c r="CB132" t="s">
        <v>2284</v>
      </c>
      <c r="CC132" t="s">
        <v>201</v>
      </c>
      <c r="CD132" t="s">
        <v>182</v>
      </c>
      <c r="CE132" t="s">
        <v>2285</v>
      </c>
      <c r="CF132" t="s">
        <v>204</v>
      </c>
      <c r="CG132" t="s">
        <v>177</v>
      </c>
      <c r="CH132" t="s">
        <v>187</v>
      </c>
      <c r="CI132" t="s">
        <v>2286</v>
      </c>
      <c r="CJ132" t="s">
        <v>2287</v>
      </c>
      <c r="CK132" t="s">
        <v>232</v>
      </c>
      <c r="CL132" t="s">
        <v>233</v>
      </c>
      <c r="CM132" t="s">
        <v>2288</v>
      </c>
      <c r="CN132" t="s">
        <v>235</v>
      </c>
      <c r="CO132" t="s">
        <v>183</v>
      </c>
      <c r="CP132" t="s">
        <v>211</v>
      </c>
      <c r="CQ132" t="s">
        <v>199</v>
      </c>
      <c r="CS132" t="s">
        <v>2219</v>
      </c>
      <c r="DC132" t="s">
        <v>198</v>
      </c>
      <c r="DM132" t="s">
        <v>198</v>
      </c>
      <c r="DW132" t="s">
        <v>198</v>
      </c>
      <c r="EG132" t="s">
        <v>198</v>
      </c>
      <c r="EQ132" t="s">
        <v>198</v>
      </c>
      <c r="FA132" t="s">
        <v>198</v>
      </c>
      <c r="FK132" t="s">
        <v>198</v>
      </c>
      <c r="FU132" t="s">
        <v>198</v>
      </c>
    </row>
    <row r="133" spans="1:177">
      <c r="A133" s="1" t="str">
        <f>HYPERLINK("http://digipan.lumentumllc.com/apps/getLink/index.php?t=PropLink&amp;p=6594302","PL")</f>
        <v>PL</v>
      </c>
      <c r="B133" s="1" t="str">
        <f>HYPERLINK("http://digipan.lumentumllc.com/apps/getLink/index.php?t=TaxLink&amp;p=6594302","TL")</f>
        <v>TL</v>
      </c>
      <c r="C133" s="1" t="str">
        <f>HYPERLINK("http://digipan.lumentumllc.com/apps/getMap/index.php?p=6594302","Map")</f>
        <v>Map</v>
      </c>
      <c r="E133" t="s">
        <v>177</v>
      </c>
      <c r="F133" t="s">
        <v>178</v>
      </c>
      <c r="L133" t="s">
        <v>2289</v>
      </c>
      <c r="N133" t="s">
        <v>2289</v>
      </c>
      <c r="O133" t="s">
        <v>2289</v>
      </c>
      <c r="P133" t="s">
        <v>2290</v>
      </c>
      <c r="Q133" t="s">
        <v>2289</v>
      </c>
      <c r="V133">
        <v>153</v>
      </c>
      <c r="W133">
        <v>1</v>
      </c>
      <c r="X133">
        <v>2017</v>
      </c>
      <c r="Y133">
        <v>2018</v>
      </c>
      <c r="Z133">
        <v>41.12</v>
      </c>
      <c r="AB133" t="s">
        <v>181</v>
      </c>
      <c r="AC133" t="s">
        <v>182</v>
      </c>
      <c r="AD133" t="s">
        <v>183</v>
      </c>
      <c r="AE133">
        <v>1</v>
      </c>
      <c r="AF133">
        <v>2</v>
      </c>
      <c r="AG133" t="s">
        <v>363</v>
      </c>
      <c r="AH133">
        <v>67</v>
      </c>
      <c r="AI133">
        <v>36</v>
      </c>
      <c r="AJ133">
        <v>6.48</v>
      </c>
      <c r="AK133">
        <v>42.48</v>
      </c>
      <c r="AL133">
        <v>24300</v>
      </c>
      <c r="AM133">
        <v>558</v>
      </c>
      <c r="AN133">
        <v>23742</v>
      </c>
      <c r="AO133">
        <v>8</v>
      </c>
      <c r="AP133">
        <v>2016</v>
      </c>
      <c r="AQ133">
        <v>0.17</v>
      </c>
      <c r="AR133">
        <v>0.17</v>
      </c>
      <c r="AS133" t="s">
        <v>1494</v>
      </c>
      <c r="AT133" t="s">
        <v>186</v>
      </c>
      <c r="AU133" t="s">
        <v>177</v>
      </c>
      <c r="AV133" t="s">
        <v>187</v>
      </c>
      <c r="AW133" t="s">
        <v>182</v>
      </c>
      <c r="AX133">
        <v>60</v>
      </c>
      <c r="AY133" t="s">
        <v>218</v>
      </c>
      <c r="AZ133" t="s">
        <v>245</v>
      </c>
      <c r="BA133" t="s">
        <v>246</v>
      </c>
      <c r="BB133" t="s">
        <v>191</v>
      </c>
      <c r="BC133" t="s">
        <v>182</v>
      </c>
      <c r="BD133" t="s">
        <v>182</v>
      </c>
      <c r="BE133" t="s">
        <v>2291</v>
      </c>
      <c r="BF133">
        <v>0</v>
      </c>
      <c r="BG133">
        <v>0</v>
      </c>
      <c r="BH133">
        <v>0</v>
      </c>
      <c r="BI133" t="s">
        <v>199</v>
      </c>
      <c r="BJ133" t="s">
        <v>315</v>
      </c>
      <c r="BL133" t="s">
        <v>199</v>
      </c>
      <c r="BM133" t="s">
        <v>238</v>
      </c>
      <c r="BN133" t="s">
        <v>182</v>
      </c>
      <c r="BO133" t="s">
        <v>198</v>
      </c>
      <c r="BP133" t="s">
        <v>198</v>
      </c>
      <c r="BQ133" t="s">
        <v>198</v>
      </c>
      <c r="BR133" t="s">
        <v>198</v>
      </c>
      <c r="BS133" t="s">
        <v>198</v>
      </c>
      <c r="BT133" t="s">
        <v>198</v>
      </c>
      <c r="BU133" t="s">
        <v>182</v>
      </c>
      <c r="BV133" t="s">
        <v>198</v>
      </c>
      <c r="BW133" t="s">
        <v>198</v>
      </c>
      <c r="BX133" t="s">
        <v>199</v>
      </c>
      <c r="BY133" t="s">
        <v>198</v>
      </c>
      <c r="BZ133" t="s">
        <v>199</v>
      </c>
      <c r="CA133" t="s">
        <v>199</v>
      </c>
      <c r="CB133" t="s">
        <v>2292</v>
      </c>
      <c r="CC133" t="s">
        <v>201</v>
      </c>
      <c r="CD133" t="s">
        <v>182</v>
      </c>
      <c r="CE133" t="s">
        <v>2293</v>
      </c>
      <c r="CF133" t="s">
        <v>204</v>
      </c>
      <c r="CG133" t="s">
        <v>177</v>
      </c>
      <c r="CH133" t="s">
        <v>187</v>
      </c>
      <c r="CI133" t="s">
        <v>2294</v>
      </c>
      <c r="CJ133" t="s">
        <v>2295</v>
      </c>
      <c r="CK133" t="s">
        <v>232</v>
      </c>
      <c r="CL133" t="s">
        <v>233</v>
      </c>
      <c r="CM133" t="s">
        <v>2296</v>
      </c>
      <c r="CN133" t="s">
        <v>482</v>
      </c>
      <c r="CO133" t="s">
        <v>183</v>
      </c>
      <c r="CP133" t="s">
        <v>266</v>
      </c>
      <c r="CS133" t="s">
        <v>198</v>
      </c>
      <c r="CT133" t="s">
        <v>2181</v>
      </c>
      <c r="CU133" t="s">
        <v>292</v>
      </c>
      <c r="CV133" t="s">
        <v>293</v>
      </c>
      <c r="CW133" t="s">
        <v>2297</v>
      </c>
      <c r="CX133" t="s">
        <v>482</v>
      </c>
      <c r="CY133" t="s">
        <v>183</v>
      </c>
      <c r="CZ133" t="s">
        <v>211</v>
      </c>
      <c r="DA133" t="s">
        <v>345</v>
      </c>
      <c r="DC133" t="s">
        <v>2298</v>
      </c>
      <c r="DD133" t="s">
        <v>1956</v>
      </c>
      <c r="DE133" t="s">
        <v>273</v>
      </c>
      <c r="DF133" t="s">
        <v>274</v>
      </c>
      <c r="DG133" t="s">
        <v>2299</v>
      </c>
      <c r="DH133" t="s">
        <v>482</v>
      </c>
      <c r="DI133" t="s">
        <v>183</v>
      </c>
      <c r="DJ133" t="s">
        <v>211</v>
      </c>
      <c r="DK133" t="s">
        <v>270</v>
      </c>
      <c r="DM133" t="s">
        <v>692</v>
      </c>
      <c r="DW133" t="s">
        <v>198</v>
      </c>
      <c r="EG133" t="s">
        <v>198</v>
      </c>
      <c r="EQ133" t="s">
        <v>198</v>
      </c>
      <c r="FA133" t="s">
        <v>198</v>
      </c>
      <c r="FK133" t="s">
        <v>198</v>
      </c>
      <c r="FU133" t="s">
        <v>198</v>
      </c>
    </row>
    <row r="134" spans="1:177">
      <c r="A134" s="1" t="str">
        <f>HYPERLINK("http://digipan.lumentumllc.com/apps/getLink/index.php?t=PropLink&amp;p=6462008","PL")</f>
        <v>PL</v>
      </c>
      <c r="B134" s="1" t="str">
        <f>HYPERLINK("http://digipan.lumentumllc.com/apps/getLink/index.php?t=TaxLink&amp;p=6462008","TL")</f>
        <v>TL</v>
      </c>
      <c r="C134" s="1" t="str">
        <f>HYPERLINK("http://digipan.lumentumllc.com/apps/getMap/index.php?p=6462008","Map")</f>
        <v>Map</v>
      </c>
      <c r="E134" t="s">
        <v>177</v>
      </c>
      <c r="F134" t="s">
        <v>178</v>
      </c>
      <c r="L134" t="s">
        <v>2300</v>
      </c>
      <c r="N134" t="s">
        <v>2300</v>
      </c>
      <c r="O134" t="s">
        <v>2300</v>
      </c>
      <c r="P134" t="s">
        <v>2301</v>
      </c>
      <c r="Q134" t="s">
        <v>2300</v>
      </c>
      <c r="V134">
        <v>154</v>
      </c>
      <c r="W134">
        <v>1</v>
      </c>
      <c r="X134">
        <v>2017</v>
      </c>
      <c r="Y134">
        <v>2018</v>
      </c>
      <c r="Z134">
        <v>212.55</v>
      </c>
      <c r="AB134" t="s">
        <v>181</v>
      </c>
      <c r="AC134" t="s">
        <v>182</v>
      </c>
      <c r="AD134" t="s">
        <v>183</v>
      </c>
      <c r="AE134">
        <v>1</v>
      </c>
      <c r="AF134">
        <v>3</v>
      </c>
      <c r="AG134" t="s">
        <v>257</v>
      </c>
      <c r="AH134">
        <v>75</v>
      </c>
      <c r="AI134">
        <v>201.56</v>
      </c>
      <c r="AJ134">
        <v>10.08</v>
      </c>
      <c r="AK134">
        <v>211.64</v>
      </c>
      <c r="AL134">
        <v>123655</v>
      </c>
      <c r="AM134">
        <v>11028</v>
      </c>
      <c r="AN134">
        <v>112627</v>
      </c>
      <c r="AO134">
        <v>161</v>
      </c>
      <c r="AP134">
        <v>2016</v>
      </c>
      <c r="AQ134">
        <v>0.17</v>
      </c>
      <c r="AR134">
        <v>0.17</v>
      </c>
      <c r="AS134" t="s">
        <v>2302</v>
      </c>
      <c r="AT134" t="s">
        <v>186</v>
      </c>
      <c r="AU134" t="s">
        <v>177</v>
      </c>
      <c r="AV134" t="s">
        <v>187</v>
      </c>
      <c r="AW134" t="s">
        <v>182</v>
      </c>
      <c r="AX134">
        <v>60</v>
      </c>
      <c r="AY134" t="s">
        <v>218</v>
      </c>
      <c r="AZ134" t="s">
        <v>245</v>
      </c>
      <c r="BA134" t="s">
        <v>246</v>
      </c>
      <c r="BB134" t="s">
        <v>191</v>
      </c>
      <c r="BC134" t="s">
        <v>182</v>
      </c>
      <c r="BD134" t="s">
        <v>182</v>
      </c>
      <c r="BE134" t="s">
        <v>2303</v>
      </c>
      <c r="BF134">
        <v>0</v>
      </c>
      <c r="BG134">
        <v>0</v>
      </c>
      <c r="BH134">
        <v>0</v>
      </c>
      <c r="BI134" t="s">
        <v>199</v>
      </c>
      <c r="BJ134" t="s">
        <v>248</v>
      </c>
      <c r="BL134" t="s">
        <v>2304</v>
      </c>
      <c r="BM134" t="s">
        <v>238</v>
      </c>
      <c r="BN134" t="s">
        <v>182</v>
      </c>
      <c r="BO134" t="s">
        <v>198</v>
      </c>
      <c r="BP134" t="s">
        <v>198</v>
      </c>
      <c r="BQ134" t="s">
        <v>198</v>
      </c>
      <c r="BR134" t="s">
        <v>198</v>
      </c>
      <c r="BS134" t="s">
        <v>198</v>
      </c>
      <c r="BT134" t="s">
        <v>198</v>
      </c>
      <c r="BU134" t="s">
        <v>182</v>
      </c>
      <c r="BV134" t="s">
        <v>198</v>
      </c>
      <c r="BW134" t="s">
        <v>198</v>
      </c>
      <c r="BX134" t="s">
        <v>199</v>
      </c>
      <c r="BY134" t="s">
        <v>198</v>
      </c>
      <c r="BZ134" t="s">
        <v>199</v>
      </c>
      <c r="CA134" t="s">
        <v>199</v>
      </c>
      <c r="CB134" t="s">
        <v>2292</v>
      </c>
      <c r="CC134" t="s">
        <v>201</v>
      </c>
      <c r="CD134" t="s">
        <v>182</v>
      </c>
      <c r="CE134" t="s">
        <v>2305</v>
      </c>
      <c r="CF134" t="s">
        <v>204</v>
      </c>
      <c r="CG134" t="s">
        <v>177</v>
      </c>
      <c r="CH134" t="s">
        <v>187</v>
      </c>
      <c r="CI134" t="s">
        <v>2306</v>
      </c>
      <c r="CJ134" t="s">
        <v>1098</v>
      </c>
      <c r="CK134" t="s">
        <v>232</v>
      </c>
      <c r="CL134" t="s">
        <v>233</v>
      </c>
      <c r="CM134" t="s">
        <v>2307</v>
      </c>
      <c r="CN134" t="s">
        <v>331</v>
      </c>
      <c r="CO134" t="s">
        <v>183</v>
      </c>
      <c r="CP134" t="s">
        <v>266</v>
      </c>
      <c r="CS134" t="s">
        <v>198</v>
      </c>
      <c r="CT134" t="s">
        <v>1905</v>
      </c>
      <c r="CU134" t="s">
        <v>292</v>
      </c>
      <c r="CV134" t="s">
        <v>293</v>
      </c>
      <c r="CW134" t="s">
        <v>2308</v>
      </c>
      <c r="CX134" t="s">
        <v>235</v>
      </c>
      <c r="CY134" t="s">
        <v>183</v>
      </c>
      <c r="CZ134" t="s">
        <v>211</v>
      </c>
      <c r="DA134" t="s">
        <v>345</v>
      </c>
      <c r="DC134" t="s">
        <v>2298</v>
      </c>
      <c r="DD134" t="s">
        <v>817</v>
      </c>
      <c r="DE134" t="s">
        <v>273</v>
      </c>
      <c r="DF134" t="s">
        <v>274</v>
      </c>
      <c r="DG134" t="s">
        <v>2309</v>
      </c>
      <c r="DH134" t="s">
        <v>796</v>
      </c>
      <c r="DI134" t="s">
        <v>183</v>
      </c>
      <c r="DJ134" t="s">
        <v>211</v>
      </c>
      <c r="DK134" t="s">
        <v>270</v>
      </c>
      <c r="DM134" t="s">
        <v>692</v>
      </c>
      <c r="DN134" t="s">
        <v>2310</v>
      </c>
      <c r="DO134" t="s">
        <v>302</v>
      </c>
      <c r="DP134" t="s">
        <v>303</v>
      </c>
      <c r="DQ134" t="s">
        <v>2311</v>
      </c>
      <c r="DR134" t="s">
        <v>511</v>
      </c>
      <c r="DS134" t="s">
        <v>183</v>
      </c>
      <c r="DT134" t="s">
        <v>211</v>
      </c>
      <c r="DU134" t="s">
        <v>250</v>
      </c>
      <c r="DW134" t="s">
        <v>2312</v>
      </c>
      <c r="EG134" t="s">
        <v>198</v>
      </c>
      <c r="EQ134" t="s">
        <v>198</v>
      </c>
      <c r="FA134" t="s">
        <v>198</v>
      </c>
      <c r="FK134" t="s">
        <v>198</v>
      </c>
      <c r="FU134" t="s">
        <v>198</v>
      </c>
    </row>
    <row r="135" spans="1:177">
      <c r="A135" s="1" t="str">
        <f>HYPERLINK("http://digipan.lumentumllc.com/apps/getLink/index.php?t=PropLink&amp;p=15754181","PL")</f>
        <v>PL</v>
      </c>
      <c r="B135" s="1" t="str">
        <f>HYPERLINK("http://digipan.lumentumllc.com/apps/getLink/index.php?t=TaxLink&amp;p=15754181","TL")</f>
        <v>TL</v>
      </c>
      <c r="C135" s="1" t="str">
        <f>HYPERLINK("http://digipan.lumentumllc.com/apps/getMap/index.php?p=15754181","Map")</f>
        <v>Map</v>
      </c>
      <c r="E135" t="s">
        <v>177</v>
      </c>
      <c r="F135" t="s">
        <v>178</v>
      </c>
      <c r="L135" t="s">
        <v>2313</v>
      </c>
      <c r="N135" t="s">
        <v>2313</v>
      </c>
      <c r="O135" t="s">
        <v>2313</v>
      </c>
      <c r="Q135" t="s">
        <v>2313</v>
      </c>
      <c r="V135">
        <v>155</v>
      </c>
      <c r="W135">
        <v>1</v>
      </c>
      <c r="X135">
        <v>2017</v>
      </c>
      <c r="Y135">
        <v>2018</v>
      </c>
      <c r="Z135">
        <v>1396.62</v>
      </c>
      <c r="AB135" t="s">
        <v>181</v>
      </c>
      <c r="AC135" t="s">
        <v>182</v>
      </c>
      <c r="AD135" t="s">
        <v>183</v>
      </c>
      <c r="AE135">
        <v>1</v>
      </c>
      <c r="AF135">
        <v>0</v>
      </c>
      <c r="AG135" t="s">
        <v>1200</v>
      </c>
      <c r="AH135">
        <v>0</v>
      </c>
      <c r="AI135">
        <v>1219.3399999999999</v>
      </c>
      <c r="AJ135">
        <v>60.97</v>
      </c>
      <c r="AK135">
        <v>1280.31</v>
      </c>
      <c r="AL135">
        <v>83348</v>
      </c>
      <c r="AM135">
        <v>23700</v>
      </c>
      <c r="AN135">
        <v>59648</v>
      </c>
      <c r="AO135">
        <v>1102</v>
      </c>
      <c r="AP135">
        <v>2016</v>
      </c>
      <c r="AQ135">
        <v>1.68</v>
      </c>
      <c r="AR135">
        <v>1.54</v>
      </c>
      <c r="AS135" t="s">
        <v>2314</v>
      </c>
      <c r="AT135" t="s">
        <v>186</v>
      </c>
      <c r="AU135" t="s">
        <v>177</v>
      </c>
      <c r="AV135" t="s">
        <v>187</v>
      </c>
      <c r="AW135" t="s">
        <v>182</v>
      </c>
      <c r="AX135">
        <v>2</v>
      </c>
      <c r="AY135" t="s">
        <v>188</v>
      </c>
      <c r="AZ135" t="s">
        <v>189</v>
      </c>
      <c r="BA135" t="s">
        <v>190</v>
      </c>
      <c r="BB135" t="s">
        <v>191</v>
      </c>
      <c r="BC135" t="s">
        <v>182</v>
      </c>
      <c r="BD135" t="s">
        <v>182</v>
      </c>
      <c r="BE135" t="s">
        <v>2315</v>
      </c>
      <c r="BF135">
        <v>1</v>
      </c>
      <c r="BG135">
        <v>1</v>
      </c>
      <c r="BH135">
        <v>2004</v>
      </c>
      <c r="BI135" t="s">
        <v>1414</v>
      </c>
      <c r="BJ135" t="s">
        <v>194</v>
      </c>
      <c r="BK135" t="s">
        <v>195</v>
      </c>
      <c r="BL135" t="s">
        <v>797</v>
      </c>
      <c r="BM135" t="s">
        <v>232</v>
      </c>
      <c r="BN135" t="s">
        <v>182</v>
      </c>
      <c r="BO135" t="s">
        <v>2316</v>
      </c>
      <c r="BP135" t="s">
        <v>2317</v>
      </c>
      <c r="BQ135" t="s">
        <v>562</v>
      </c>
      <c r="BR135" t="s">
        <v>2318</v>
      </c>
      <c r="BS135" t="s">
        <v>198</v>
      </c>
      <c r="BT135" t="s">
        <v>2319</v>
      </c>
      <c r="BU135" t="s">
        <v>182</v>
      </c>
      <c r="BV135" t="s">
        <v>198</v>
      </c>
      <c r="BW135" t="s">
        <v>198</v>
      </c>
      <c r="BX135" t="s">
        <v>199</v>
      </c>
      <c r="BY135" t="s">
        <v>198</v>
      </c>
      <c r="BZ135" t="s">
        <v>199</v>
      </c>
      <c r="CA135" t="s">
        <v>199</v>
      </c>
      <c r="CB135" t="s">
        <v>2320</v>
      </c>
      <c r="CC135" t="s">
        <v>201</v>
      </c>
      <c r="CD135" t="s">
        <v>202</v>
      </c>
      <c r="CE135" t="s">
        <v>2321</v>
      </c>
      <c r="CF135" t="s">
        <v>204</v>
      </c>
      <c r="CG135" t="s">
        <v>177</v>
      </c>
      <c r="CH135" t="s">
        <v>187</v>
      </c>
      <c r="CI135" t="s">
        <v>2322</v>
      </c>
      <c r="CJ135" t="s">
        <v>1137</v>
      </c>
      <c r="CK135" t="s">
        <v>232</v>
      </c>
      <c r="CL135" t="s">
        <v>233</v>
      </c>
      <c r="CM135" t="s">
        <v>2323</v>
      </c>
      <c r="CN135" t="s">
        <v>235</v>
      </c>
      <c r="CO135" t="s">
        <v>183</v>
      </c>
      <c r="CP135" t="s">
        <v>266</v>
      </c>
      <c r="CS135" t="s">
        <v>198</v>
      </c>
      <c r="DC135" t="s">
        <v>198</v>
      </c>
      <c r="DM135" t="s">
        <v>198</v>
      </c>
      <c r="DW135" t="s">
        <v>198</v>
      </c>
      <c r="EG135" t="s">
        <v>198</v>
      </c>
      <c r="EQ135" t="s">
        <v>198</v>
      </c>
      <c r="FA135" t="s">
        <v>198</v>
      </c>
      <c r="FK135" t="s">
        <v>198</v>
      </c>
      <c r="FU135" t="s">
        <v>198</v>
      </c>
    </row>
    <row r="136" spans="1:177">
      <c r="A136" s="1" t="str">
        <f>HYPERLINK("http://digipan.lumentumllc.com/apps/getLink/index.php?t=PropLink&amp;p=5247138","PL")</f>
        <v>PL</v>
      </c>
      <c r="B136" s="1" t="str">
        <f>HYPERLINK("http://digipan.lumentumllc.com/apps/getLink/index.php?t=TaxLink&amp;p=5247138","TL")</f>
        <v>TL</v>
      </c>
      <c r="C136" s="1" t="str">
        <f>HYPERLINK("http://digipan.lumentumllc.com/apps/getMap/index.php?p=5247138","Map")</f>
        <v>Map</v>
      </c>
      <c r="E136" t="s">
        <v>177</v>
      </c>
      <c r="F136" t="s">
        <v>178</v>
      </c>
      <c r="L136" t="s">
        <v>2324</v>
      </c>
      <c r="N136" t="s">
        <v>2324</v>
      </c>
      <c r="O136" t="s">
        <v>2324</v>
      </c>
      <c r="P136" t="s">
        <v>2325</v>
      </c>
      <c r="Q136" t="s">
        <v>2324</v>
      </c>
      <c r="V136">
        <v>157</v>
      </c>
      <c r="W136">
        <v>1</v>
      </c>
      <c r="X136">
        <v>2017</v>
      </c>
      <c r="Y136">
        <v>2018</v>
      </c>
      <c r="Z136">
        <v>737.98</v>
      </c>
      <c r="AB136" t="s">
        <v>181</v>
      </c>
      <c r="AC136" t="s">
        <v>182</v>
      </c>
      <c r="AD136" t="s">
        <v>183</v>
      </c>
      <c r="AE136">
        <v>0</v>
      </c>
      <c r="AF136">
        <v>4</v>
      </c>
      <c r="AG136" t="s">
        <v>381</v>
      </c>
      <c r="AH136">
        <v>100</v>
      </c>
      <c r="AK136">
        <v>0</v>
      </c>
      <c r="AL136">
        <v>43120</v>
      </c>
      <c r="AM136">
        <v>43120</v>
      </c>
      <c r="AN136">
        <v>0</v>
      </c>
      <c r="AO136">
        <v>662</v>
      </c>
      <c r="AP136">
        <v>2016</v>
      </c>
      <c r="AQ136">
        <v>1.71</v>
      </c>
      <c r="AS136" t="s">
        <v>2326</v>
      </c>
      <c r="AT136" t="s">
        <v>186</v>
      </c>
      <c r="AU136" t="s">
        <v>177</v>
      </c>
      <c r="AV136" t="s">
        <v>187</v>
      </c>
      <c r="AW136" t="s">
        <v>182</v>
      </c>
      <c r="AX136">
        <v>0</v>
      </c>
      <c r="AY136" t="s">
        <v>312</v>
      </c>
      <c r="AZ136" t="s">
        <v>199</v>
      </c>
      <c r="BA136" t="s">
        <v>313</v>
      </c>
      <c r="BB136" t="s">
        <v>191</v>
      </c>
      <c r="BC136" t="s">
        <v>182</v>
      </c>
      <c r="BD136" t="s">
        <v>182</v>
      </c>
      <c r="BE136" t="s">
        <v>2327</v>
      </c>
      <c r="BF136">
        <v>0</v>
      </c>
      <c r="BG136">
        <v>0</v>
      </c>
      <c r="BH136">
        <v>0</v>
      </c>
      <c r="BI136" t="s">
        <v>199</v>
      </c>
      <c r="BJ136" t="s">
        <v>315</v>
      </c>
      <c r="BL136" t="s">
        <v>2075</v>
      </c>
      <c r="BM136" t="s">
        <v>368</v>
      </c>
      <c r="BN136" t="s">
        <v>182</v>
      </c>
      <c r="BO136" t="s">
        <v>2328</v>
      </c>
      <c r="BP136" t="s">
        <v>2329</v>
      </c>
      <c r="BS136" t="s">
        <v>2330</v>
      </c>
      <c r="BT136" t="s">
        <v>198</v>
      </c>
      <c r="BU136" t="s">
        <v>182</v>
      </c>
      <c r="BV136" t="s">
        <v>198</v>
      </c>
      <c r="BW136" t="s">
        <v>198</v>
      </c>
      <c r="BX136" t="s">
        <v>199</v>
      </c>
      <c r="BY136" t="s">
        <v>198</v>
      </c>
      <c r="BZ136" t="s">
        <v>199</v>
      </c>
      <c r="CA136" t="s">
        <v>199</v>
      </c>
      <c r="CB136" t="s">
        <v>2331</v>
      </c>
      <c r="CC136" t="s">
        <v>201</v>
      </c>
      <c r="CD136" t="s">
        <v>182</v>
      </c>
      <c r="CE136" t="s">
        <v>2332</v>
      </c>
      <c r="CF136" t="s">
        <v>2333</v>
      </c>
      <c r="CG136" t="s">
        <v>177</v>
      </c>
      <c r="CH136" t="s">
        <v>2334</v>
      </c>
      <c r="CI136" t="s">
        <v>2335</v>
      </c>
      <c r="CJ136" t="s">
        <v>2242</v>
      </c>
      <c r="CK136" t="s">
        <v>292</v>
      </c>
      <c r="CL136" t="s">
        <v>293</v>
      </c>
      <c r="CM136" t="s">
        <v>2336</v>
      </c>
      <c r="CN136" t="s">
        <v>295</v>
      </c>
      <c r="CO136" t="s">
        <v>183</v>
      </c>
      <c r="CP136" t="s">
        <v>211</v>
      </c>
      <c r="CQ136" t="s">
        <v>212</v>
      </c>
      <c r="CS136" t="s">
        <v>2337</v>
      </c>
      <c r="CT136" t="s">
        <v>1986</v>
      </c>
      <c r="CU136" t="s">
        <v>273</v>
      </c>
      <c r="CV136" t="s">
        <v>274</v>
      </c>
      <c r="CW136" t="s">
        <v>2338</v>
      </c>
      <c r="CX136" t="s">
        <v>235</v>
      </c>
      <c r="CY136" t="s">
        <v>183</v>
      </c>
      <c r="CZ136" t="s">
        <v>211</v>
      </c>
      <c r="DA136" t="s">
        <v>264</v>
      </c>
      <c r="DC136" t="s">
        <v>2339</v>
      </c>
      <c r="DD136" t="s">
        <v>2340</v>
      </c>
      <c r="DE136" t="s">
        <v>302</v>
      </c>
      <c r="DF136" t="s">
        <v>303</v>
      </c>
      <c r="DG136" t="s">
        <v>2341</v>
      </c>
      <c r="DH136" t="s">
        <v>235</v>
      </c>
      <c r="DI136" t="s">
        <v>183</v>
      </c>
      <c r="DJ136" t="s">
        <v>211</v>
      </c>
      <c r="DK136" t="s">
        <v>264</v>
      </c>
      <c r="DM136" t="s">
        <v>2342</v>
      </c>
      <c r="DN136" t="s">
        <v>2343</v>
      </c>
      <c r="DO136" t="s">
        <v>207</v>
      </c>
      <c r="DP136" t="s">
        <v>208</v>
      </c>
      <c r="DQ136" t="s">
        <v>2344</v>
      </c>
      <c r="DR136" t="s">
        <v>922</v>
      </c>
      <c r="DS136" t="s">
        <v>183</v>
      </c>
      <c r="DT136" t="s">
        <v>211</v>
      </c>
      <c r="DU136" t="s">
        <v>270</v>
      </c>
      <c r="DW136" t="s">
        <v>2345</v>
      </c>
      <c r="EG136" t="s">
        <v>198</v>
      </c>
      <c r="EQ136" t="s">
        <v>198</v>
      </c>
      <c r="FA136" t="s">
        <v>198</v>
      </c>
      <c r="FK136" t="s">
        <v>198</v>
      </c>
      <c r="FU136" t="s">
        <v>198</v>
      </c>
    </row>
    <row r="137" spans="1:177">
      <c r="A137" s="1" t="str">
        <f>HYPERLINK("http://digipan.lumentumllc.com/apps/getLink/index.php?t=PropLink&amp;p=4638167","PL")</f>
        <v>PL</v>
      </c>
      <c r="B137" s="1" t="str">
        <f>HYPERLINK("http://digipan.lumentumllc.com/apps/getLink/index.php?t=TaxLink&amp;p=4638167","TL")</f>
        <v>TL</v>
      </c>
      <c r="C137" s="1" t="str">
        <f>HYPERLINK("http://digipan.lumentumllc.com/apps/getMap/index.php?p=4638167","Map")</f>
        <v>Map</v>
      </c>
      <c r="E137" t="s">
        <v>177</v>
      </c>
      <c r="F137" t="s">
        <v>178</v>
      </c>
      <c r="L137" t="s">
        <v>2346</v>
      </c>
      <c r="N137" t="s">
        <v>2346</v>
      </c>
      <c r="O137" t="s">
        <v>2346</v>
      </c>
      <c r="P137" t="s">
        <v>2347</v>
      </c>
      <c r="Q137" t="s">
        <v>2346</v>
      </c>
      <c r="V137">
        <v>158</v>
      </c>
      <c r="W137">
        <v>1</v>
      </c>
      <c r="X137">
        <v>2017</v>
      </c>
      <c r="Y137">
        <v>2018</v>
      </c>
      <c r="Z137">
        <v>1065.97</v>
      </c>
      <c r="AB137" t="s">
        <v>181</v>
      </c>
      <c r="AC137" t="s">
        <v>182</v>
      </c>
      <c r="AD137" t="s">
        <v>183</v>
      </c>
      <c r="AE137">
        <v>1</v>
      </c>
      <c r="AF137">
        <v>4</v>
      </c>
      <c r="AG137" t="s">
        <v>257</v>
      </c>
      <c r="AH137">
        <v>75</v>
      </c>
      <c r="AI137">
        <v>1034.8</v>
      </c>
      <c r="AJ137">
        <v>51.74</v>
      </c>
      <c r="AK137">
        <v>1086.54</v>
      </c>
      <c r="AL137">
        <v>63152</v>
      </c>
      <c r="AM137">
        <v>54600</v>
      </c>
      <c r="AN137">
        <v>8552</v>
      </c>
      <c r="AO137">
        <v>932</v>
      </c>
      <c r="AP137">
        <v>2016</v>
      </c>
      <c r="AQ137">
        <v>1.69</v>
      </c>
      <c r="AR137">
        <v>1.72</v>
      </c>
      <c r="AS137" t="s">
        <v>2348</v>
      </c>
      <c r="AT137" t="s">
        <v>186</v>
      </c>
      <c r="AU137" t="s">
        <v>177</v>
      </c>
      <c r="AV137" t="s">
        <v>187</v>
      </c>
      <c r="AW137" t="s">
        <v>182</v>
      </c>
      <c r="AX137">
        <v>0</v>
      </c>
      <c r="AY137" t="s">
        <v>312</v>
      </c>
      <c r="AZ137" t="s">
        <v>199</v>
      </c>
      <c r="BA137" t="s">
        <v>313</v>
      </c>
      <c r="BB137" t="s">
        <v>191</v>
      </c>
      <c r="BC137" t="s">
        <v>182</v>
      </c>
      <c r="BD137" t="s">
        <v>182</v>
      </c>
      <c r="BE137" t="s">
        <v>2349</v>
      </c>
      <c r="BF137">
        <v>1</v>
      </c>
      <c r="BG137">
        <v>0</v>
      </c>
      <c r="BH137">
        <v>0</v>
      </c>
      <c r="BI137" t="s">
        <v>199</v>
      </c>
      <c r="BJ137" t="s">
        <v>248</v>
      </c>
      <c r="BK137" t="s">
        <v>2350</v>
      </c>
      <c r="BL137" t="s">
        <v>199</v>
      </c>
      <c r="BM137" t="s">
        <v>2351</v>
      </c>
      <c r="BN137" t="s">
        <v>182</v>
      </c>
      <c r="BO137" t="s">
        <v>198</v>
      </c>
      <c r="BP137" t="s">
        <v>198</v>
      </c>
      <c r="BQ137" t="s">
        <v>198</v>
      </c>
      <c r="BR137" t="s">
        <v>198</v>
      </c>
      <c r="BS137" t="s">
        <v>198</v>
      </c>
      <c r="BT137" t="s">
        <v>198</v>
      </c>
      <c r="BU137" t="s">
        <v>182</v>
      </c>
      <c r="BV137" t="s">
        <v>198</v>
      </c>
      <c r="BW137" t="s">
        <v>198</v>
      </c>
      <c r="BX137" t="s">
        <v>199</v>
      </c>
      <c r="BY137" t="s">
        <v>198</v>
      </c>
      <c r="BZ137" t="s">
        <v>199</v>
      </c>
      <c r="CA137" t="s">
        <v>199</v>
      </c>
      <c r="CB137" t="s">
        <v>2352</v>
      </c>
      <c r="CC137" t="s">
        <v>201</v>
      </c>
      <c r="CD137" t="s">
        <v>182</v>
      </c>
      <c r="CE137" t="s">
        <v>2293</v>
      </c>
      <c r="CF137" t="s">
        <v>204</v>
      </c>
      <c r="CG137" t="s">
        <v>177</v>
      </c>
      <c r="CH137" t="s">
        <v>187</v>
      </c>
      <c r="CI137" t="s">
        <v>2353</v>
      </c>
      <c r="CJ137" t="s">
        <v>2354</v>
      </c>
      <c r="CK137" t="s">
        <v>232</v>
      </c>
      <c r="CL137" t="s">
        <v>233</v>
      </c>
      <c r="CM137" t="s">
        <v>2355</v>
      </c>
      <c r="CN137" t="s">
        <v>235</v>
      </c>
      <c r="CO137" t="s">
        <v>183</v>
      </c>
      <c r="CP137" t="s">
        <v>266</v>
      </c>
      <c r="CS137" t="s">
        <v>198</v>
      </c>
      <c r="CT137" t="s">
        <v>592</v>
      </c>
      <c r="CU137" t="s">
        <v>292</v>
      </c>
      <c r="CV137" t="s">
        <v>293</v>
      </c>
      <c r="CW137" t="s">
        <v>2356</v>
      </c>
      <c r="CX137" t="s">
        <v>482</v>
      </c>
      <c r="CY137" t="s">
        <v>183</v>
      </c>
      <c r="CZ137" t="s">
        <v>211</v>
      </c>
      <c r="DA137" t="s">
        <v>345</v>
      </c>
      <c r="DC137" t="s">
        <v>2298</v>
      </c>
      <c r="DD137" t="s">
        <v>831</v>
      </c>
      <c r="DE137" t="s">
        <v>273</v>
      </c>
      <c r="DF137" t="s">
        <v>274</v>
      </c>
      <c r="DG137" t="s">
        <v>2357</v>
      </c>
      <c r="DH137" t="s">
        <v>514</v>
      </c>
      <c r="DI137" t="s">
        <v>183</v>
      </c>
      <c r="DJ137" t="s">
        <v>211</v>
      </c>
      <c r="DK137" t="s">
        <v>270</v>
      </c>
      <c r="DM137" t="s">
        <v>692</v>
      </c>
      <c r="DN137" t="s">
        <v>855</v>
      </c>
      <c r="DO137" t="s">
        <v>302</v>
      </c>
      <c r="DP137" t="s">
        <v>303</v>
      </c>
      <c r="DQ137" t="s">
        <v>2358</v>
      </c>
      <c r="DR137" t="s">
        <v>1586</v>
      </c>
      <c r="DS137" t="s">
        <v>183</v>
      </c>
      <c r="DT137" t="s">
        <v>211</v>
      </c>
      <c r="DU137" t="s">
        <v>298</v>
      </c>
      <c r="DW137" t="s">
        <v>2359</v>
      </c>
      <c r="DX137" t="s">
        <v>2360</v>
      </c>
      <c r="DY137" t="s">
        <v>207</v>
      </c>
      <c r="DZ137" t="s">
        <v>208</v>
      </c>
      <c r="EA137" t="s">
        <v>2361</v>
      </c>
      <c r="EB137" t="s">
        <v>210</v>
      </c>
      <c r="EC137" t="s">
        <v>183</v>
      </c>
      <c r="ED137" t="s">
        <v>211</v>
      </c>
      <c r="EE137" t="s">
        <v>264</v>
      </c>
      <c r="EG137" t="s">
        <v>2362</v>
      </c>
      <c r="EQ137" t="s">
        <v>198</v>
      </c>
      <c r="FA137" t="s">
        <v>198</v>
      </c>
      <c r="FK137" t="s">
        <v>198</v>
      </c>
      <c r="FU137" t="s">
        <v>198</v>
      </c>
    </row>
    <row r="138" spans="1:177">
      <c r="A138" s="1" t="str">
        <f>HYPERLINK("http://digipan.lumentumllc.com/apps/getLink/index.php?t=PropLink&amp;p=5247139","PL")</f>
        <v>PL</v>
      </c>
      <c r="B138" s="1" t="str">
        <f>HYPERLINK("http://digipan.lumentumllc.com/apps/getLink/index.php?t=TaxLink&amp;p=5247139","TL")</f>
        <v>TL</v>
      </c>
      <c r="C138" s="1" t="str">
        <f>HYPERLINK("http://digipan.lumentumllc.com/apps/getMap/index.php?p=5247139","Map")</f>
        <v>Map</v>
      </c>
      <c r="E138" t="s">
        <v>177</v>
      </c>
      <c r="F138" t="s">
        <v>178</v>
      </c>
      <c r="L138" t="s">
        <v>2363</v>
      </c>
      <c r="N138" t="s">
        <v>2363</v>
      </c>
      <c r="O138" t="s">
        <v>2363</v>
      </c>
      <c r="P138" t="s">
        <v>2364</v>
      </c>
      <c r="Q138" t="s">
        <v>2363</v>
      </c>
      <c r="V138">
        <v>159</v>
      </c>
      <c r="W138">
        <v>1</v>
      </c>
      <c r="X138">
        <v>2017</v>
      </c>
      <c r="Y138">
        <v>2018</v>
      </c>
      <c r="Z138">
        <v>133.6</v>
      </c>
      <c r="AB138" t="s">
        <v>181</v>
      </c>
      <c r="AC138" t="s">
        <v>182</v>
      </c>
      <c r="AD138" t="s">
        <v>183</v>
      </c>
      <c r="AE138">
        <v>0</v>
      </c>
      <c r="AF138">
        <v>1</v>
      </c>
      <c r="AG138" t="s">
        <v>184</v>
      </c>
      <c r="AH138">
        <v>0</v>
      </c>
      <c r="AK138">
        <v>0</v>
      </c>
      <c r="AL138">
        <v>146250</v>
      </c>
      <c r="AM138">
        <v>6205</v>
      </c>
      <c r="AN138">
        <v>140045</v>
      </c>
      <c r="AO138">
        <v>85</v>
      </c>
      <c r="AP138">
        <v>2016</v>
      </c>
      <c r="AQ138">
        <v>0.09</v>
      </c>
      <c r="AS138" t="s">
        <v>2365</v>
      </c>
      <c r="AT138" t="s">
        <v>186</v>
      </c>
      <c r="AU138" t="s">
        <v>177</v>
      </c>
      <c r="AV138" t="s">
        <v>187</v>
      </c>
      <c r="AW138" t="s">
        <v>182</v>
      </c>
      <c r="AX138">
        <v>56</v>
      </c>
      <c r="AY138" t="s">
        <v>218</v>
      </c>
      <c r="AZ138" t="s">
        <v>219</v>
      </c>
      <c r="BA138" t="s">
        <v>220</v>
      </c>
      <c r="BB138" t="s">
        <v>191</v>
      </c>
      <c r="BC138" t="s">
        <v>182</v>
      </c>
      <c r="BD138" t="s">
        <v>182</v>
      </c>
      <c r="BE138" t="s">
        <v>2366</v>
      </c>
      <c r="BF138">
        <v>0</v>
      </c>
      <c r="BG138">
        <v>0</v>
      </c>
      <c r="BH138">
        <v>0</v>
      </c>
      <c r="BI138" t="s">
        <v>199</v>
      </c>
      <c r="BJ138" t="s">
        <v>248</v>
      </c>
      <c r="BL138" t="s">
        <v>199</v>
      </c>
      <c r="BM138" t="s">
        <v>1825</v>
      </c>
      <c r="BN138" t="s">
        <v>182</v>
      </c>
      <c r="BO138" t="s">
        <v>2367</v>
      </c>
      <c r="BP138" t="s">
        <v>2368</v>
      </c>
      <c r="BQ138" t="s">
        <v>562</v>
      </c>
      <c r="BR138" t="s">
        <v>563</v>
      </c>
      <c r="BS138" t="s">
        <v>198</v>
      </c>
      <c r="BT138" t="s">
        <v>2369</v>
      </c>
      <c r="BU138" t="s">
        <v>182</v>
      </c>
      <c r="BV138" t="s">
        <v>198</v>
      </c>
      <c r="BW138" t="s">
        <v>198</v>
      </c>
      <c r="BX138" t="s">
        <v>199</v>
      </c>
      <c r="BY138" t="s">
        <v>198</v>
      </c>
      <c r="BZ138" t="s">
        <v>199</v>
      </c>
      <c r="CA138" t="s">
        <v>199</v>
      </c>
      <c r="CB138" t="s">
        <v>2370</v>
      </c>
      <c r="CC138" t="s">
        <v>201</v>
      </c>
      <c r="CD138" t="s">
        <v>182</v>
      </c>
      <c r="CE138" t="s">
        <v>2019</v>
      </c>
      <c r="CF138" t="s">
        <v>204</v>
      </c>
      <c r="CG138" t="s">
        <v>177</v>
      </c>
      <c r="CH138" t="s">
        <v>187</v>
      </c>
      <c r="CI138" t="s">
        <v>2371</v>
      </c>
      <c r="CJ138" t="s">
        <v>2372</v>
      </c>
      <c r="CK138" t="s">
        <v>207</v>
      </c>
      <c r="CL138" t="s">
        <v>208</v>
      </c>
      <c r="CM138" t="s">
        <v>2373</v>
      </c>
      <c r="CN138" t="s">
        <v>922</v>
      </c>
      <c r="CO138" t="s">
        <v>183</v>
      </c>
      <c r="CP138" t="s">
        <v>211</v>
      </c>
      <c r="CQ138" t="s">
        <v>199</v>
      </c>
      <c r="CS138" t="s">
        <v>2023</v>
      </c>
      <c r="DC138" t="s">
        <v>198</v>
      </c>
      <c r="DM138" t="s">
        <v>198</v>
      </c>
      <c r="DW138" t="s">
        <v>198</v>
      </c>
      <c r="EG138" t="s">
        <v>198</v>
      </c>
      <c r="EQ138" t="s">
        <v>198</v>
      </c>
      <c r="FA138" t="s">
        <v>198</v>
      </c>
      <c r="FK138" t="s">
        <v>198</v>
      </c>
      <c r="FU138" t="s">
        <v>198</v>
      </c>
    </row>
    <row r="139" spans="1:177">
      <c r="A139" s="1" t="str">
        <f>HYPERLINK("http://digipan.lumentumllc.com/apps/getLink/index.php?t=PropLink&amp;p=5245085","PL")</f>
        <v>PL</v>
      </c>
      <c r="B139" s="1" t="str">
        <f>HYPERLINK("http://digipan.lumentumllc.com/apps/getLink/index.php?t=TaxLink&amp;p=5245085","TL")</f>
        <v>TL</v>
      </c>
      <c r="C139" s="1" t="str">
        <f>HYPERLINK("http://digipan.lumentumllc.com/apps/getMap/index.php?p=5245085","Map")</f>
        <v>Map</v>
      </c>
      <c r="E139" t="s">
        <v>177</v>
      </c>
      <c r="F139" t="s">
        <v>178</v>
      </c>
      <c r="L139" t="s">
        <v>2374</v>
      </c>
      <c r="N139" t="s">
        <v>2374</v>
      </c>
      <c r="O139" t="s">
        <v>2374</v>
      </c>
      <c r="P139" t="s">
        <v>2375</v>
      </c>
      <c r="Q139" t="s">
        <v>2374</v>
      </c>
      <c r="V139">
        <v>161</v>
      </c>
      <c r="W139">
        <v>1</v>
      </c>
      <c r="X139">
        <v>2017</v>
      </c>
      <c r="Y139">
        <v>2018</v>
      </c>
      <c r="Z139">
        <v>346.35</v>
      </c>
      <c r="AB139" t="s">
        <v>181</v>
      </c>
      <c r="AC139" t="s">
        <v>182</v>
      </c>
      <c r="AD139" t="s">
        <v>183</v>
      </c>
      <c r="AE139">
        <v>2</v>
      </c>
      <c r="AF139">
        <v>4</v>
      </c>
      <c r="AG139" t="s">
        <v>2376</v>
      </c>
      <c r="AH139">
        <v>60</v>
      </c>
      <c r="AI139">
        <v>690.65</v>
      </c>
      <c r="AJ139">
        <v>39.72</v>
      </c>
      <c r="AK139">
        <v>730.37</v>
      </c>
      <c r="AL139">
        <v>19200</v>
      </c>
      <c r="AM139">
        <v>19200</v>
      </c>
      <c r="AN139">
        <v>0</v>
      </c>
      <c r="AO139">
        <v>295</v>
      </c>
      <c r="AP139">
        <v>2016</v>
      </c>
      <c r="AQ139">
        <v>1.8</v>
      </c>
      <c r="AR139">
        <v>3.8</v>
      </c>
      <c r="AS139" t="s">
        <v>2377</v>
      </c>
      <c r="AT139" t="s">
        <v>420</v>
      </c>
      <c r="AU139" t="s">
        <v>177</v>
      </c>
      <c r="AV139" t="s">
        <v>421</v>
      </c>
      <c r="AW139" t="s">
        <v>182</v>
      </c>
      <c r="AX139">
        <v>0</v>
      </c>
      <c r="AY139" t="s">
        <v>312</v>
      </c>
      <c r="AZ139" t="s">
        <v>199</v>
      </c>
      <c r="BA139" t="s">
        <v>313</v>
      </c>
      <c r="BB139" t="s">
        <v>191</v>
      </c>
      <c r="BC139" t="s">
        <v>182</v>
      </c>
      <c r="BD139" t="s">
        <v>182</v>
      </c>
      <c r="BE139" t="s">
        <v>796</v>
      </c>
      <c r="BF139">
        <v>0</v>
      </c>
      <c r="BG139">
        <v>0</v>
      </c>
      <c r="BH139">
        <v>0</v>
      </c>
      <c r="BI139" t="s">
        <v>199</v>
      </c>
      <c r="BJ139" t="s">
        <v>315</v>
      </c>
      <c r="BL139" t="s">
        <v>199</v>
      </c>
      <c r="BM139" t="s">
        <v>1332</v>
      </c>
      <c r="BN139" t="s">
        <v>182</v>
      </c>
      <c r="BO139" t="s">
        <v>198</v>
      </c>
      <c r="BP139" t="s">
        <v>198</v>
      </c>
      <c r="BQ139" t="s">
        <v>198</v>
      </c>
      <c r="BR139" t="s">
        <v>198</v>
      </c>
      <c r="BS139" t="s">
        <v>198</v>
      </c>
      <c r="BT139" t="s">
        <v>198</v>
      </c>
      <c r="BU139" t="s">
        <v>182</v>
      </c>
      <c r="BV139" t="s">
        <v>198</v>
      </c>
      <c r="BW139" t="s">
        <v>198</v>
      </c>
      <c r="BX139" t="s">
        <v>199</v>
      </c>
      <c r="BY139" t="s">
        <v>198</v>
      </c>
      <c r="BZ139" t="s">
        <v>199</v>
      </c>
      <c r="CA139" t="s">
        <v>199</v>
      </c>
      <c r="CB139" t="s">
        <v>2378</v>
      </c>
      <c r="CC139" t="s">
        <v>201</v>
      </c>
      <c r="CD139" t="s">
        <v>182</v>
      </c>
      <c r="CE139" t="s">
        <v>2379</v>
      </c>
      <c r="CF139" t="s">
        <v>413</v>
      </c>
      <c r="CG139" t="s">
        <v>177</v>
      </c>
      <c r="CH139" t="s">
        <v>1579</v>
      </c>
      <c r="CI139" t="s">
        <v>2380</v>
      </c>
      <c r="CJ139" t="s">
        <v>1166</v>
      </c>
      <c r="CK139" t="s">
        <v>232</v>
      </c>
      <c r="CL139" t="s">
        <v>233</v>
      </c>
      <c r="CM139" t="s">
        <v>2381</v>
      </c>
      <c r="CN139" t="s">
        <v>688</v>
      </c>
      <c r="CO139" t="s">
        <v>183</v>
      </c>
      <c r="CP139" t="s">
        <v>266</v>
      </c>
      <c r="CS139" t="s">
        <v>198</v>
      </c>
      <c r="CT139" t="s">
        <v>1986</v>
      </c>
      <c r="CU139" t="s">
        <v>292</v>
      </c>
      <c r="CV139" t="s">
        <v>293</v>
      </c>
      <c r="CW139" t="s">
        <v>2382</v>
      </c>
      <c r="CX139" t="s">
        <v>235</v>
      </c>
      <c r="CY139" t="s">
        <v>183</v>
      </c>
      <c r="CZ139" t="s">
        <v>266</v>
      </c>
      <c r="DC139" t="s">
        <v>198</v>
      </c>
      <c r="DD139" t="s">
        <v>2383</v>
      </c>
      <c r="DE139" t="s">
        <v>302</v>
      </c>
      <c r="DF139" t="s">
        <v>303</v>
      </c>
      <c r="DG139" t="s">
        <v>2384</v>
      </c>
      <c r="DH139" t="s">
        <v>1491</v>
      </c>
      <c r="DI139" t="s">
        <v>183</v>
      </c>
      <c r="DJ139" t="s">
        <v>211</v>
      </c>
      <c r="DK139" t="s">
        <v>212</v>
      </c>
      <c r="DM139" t="s">
        <v>1395</v>
      </c>
      <c r="DN139" t="s">
        <v>2385</v>
      </c>
      <c r="DO139" t="s">
        <v>238</v>
      </c>
      <c r="DP139" t="s">
        <v>239</v>
      </c>
      <c r="DQ139" t="s">
        <v>2386</v>
      </c>
      <c r="DR139" t="s">
        <v>922</v>
      </c>
      <c r="DS139" t="s">
        <v>183</v>
      </c>
      <c r="DT139" t="s">
        <v>211</v>
      </c>
      <c r="DU139" t="s">
        <v>334</v>
      </c>
      <c r="DW139" t="s">
        <v>1395</v>
      </c>
      <c r="DX139" t="s">
        <v>2387</v>
      </c>
      <c r="DY139" t="s">
        <v>346</v>
      </c>
      <c r="DZ139" t="s">
        <v>347</v>
      </c>
      <c r="EA139" t="s">
        <v>2388</v>
      </c>
      <c r="EB139" t="s">
        <v>1056</v>
      </c>
      <c r="EC139" t="s">
        <v>183</v>
      </c>
      <c r="ED139" t="s">
        <v>211</v>
      </c>
      <c r="EE139" t="s">
        <v>1067</v>
      </c>
      <c r="EG139" t="s">
        <v>1395</v>
      </c>
      <c r="EH139" t="s">
        <v>2202</v>
      </c>
      <c r="EI139" t="s">
        <v>207</v>
      </c>
      <c r="EJ139" t="s">
        <v>208</v>
      </c>
      <c r="EK139" t="s">
        <v>2389</v>
      </c>
      <c r="EL139" t="s">
        <v>473</v>
      </c>
      <c r="EM139" t="s">
        <v>183</v>
      </c>
      <c r="EN139" t="s">
        <v>211</v>
      </c>
      <c r="EO139" t="s">
        <v>1368</v>
      </c>
      <c r="EQ139" t="s">
        <v>1395</v>
      </c>
      <c r="FA139" t="s">
        <v>198</v>
      </c>
      <c r="FK139" t="s">
        <v>198</v>
      </c>
      <c r="FU139" t="s">
        <v>198</v>
      </c>
    </row>
    <row r="140" spans="1:177">
      <c r="A140" s="1" t="str">
        <f>HYPERLINK("http://digipan.lumentumllc.com/apps/getLink/index.php?t=PropLink&amp;p=5245086","PL")</f>
        <v>PL</v>
      </c>
      <c r="B140" s="1" t="str">
        <f>HYPERLINK("http://digipan.lumentumllc.com/apps/getLink/index.php?t=TaxLink&amp;p=5245086","TL")</f>
        <v>TL</v>
      </c>
      <c r="C140" s="1" t="str">
        <f>HYPERLINK("http://digipan.lumentumllc.com/apps/getMap/index.php?p=5245086","Map")</f>
        <v>Map</v>
      </c>
      <c r="E140" t="s">
        <v>177</v>
      </c>
      <c r="F140" t="s">
        <v>178</v>
      </c>
      <c r="L140" t="s">
        <v>2390</v>
      </c>
      <c r="N140" t="s">
        <v>2390</v>
      </c>
      <c r="O140" t="s">
        <v>2390</v>
      </c>
      <c r="P140" t="s">
        <v>2391</v>
      </c>
      <c r="Q140" t="s">
        <v>2390</v>
      </c>
      <c r="V140">
        <v>162</v>
      </c>
      <c r="W140">
        <v>1</v>
      </c>
      <c r="X140">
        <v>2017</v>
      </c>
      <c r="Y140">
        <v>2018</v>
      </c>
      <c r="Z140">
        <v>631.75</v>
      </c>
      <c r="AB140" t="s">
        <v>181</v>
      </c>
      <c r="AC140" t="s">
        <v>182</v>
      </c>
      <c r="AD140" t="s">
        <v>183</v>
      </c>
      <c r="AE140">
        <v>1</v>
      </c>
      <c r="AF140">
        <v>7</v>
      </c>
      <c r="AG140" t="s">
        <v>418</v>
      </c>
      <c r="AH140">
        <v>86</v>
      </c>
      <c r="AI140">
        <v>525</v>
      </c>
      <c r="AJ140">
        <v>26.25</v>
      </c>
      <c r="AK140">
        <v>551.25</v>
      </c>
      <c r="AL140">
        <v>41334</v>
      </c>
      <c r="AM140">
        <v>17100</v>
      </c>
      <c r="AN140">
        <v>24234</v>
      </c>
      <c r="AO140">
        <v>460</v>
      </c>
      <c r="AP140">
        <v>2016</v>
      </c>
      <c r="AQ140">
        <v>1.53</v>
      </c>
      <c r="AR140">
        <v>1.33</v>
      </c>
      <c r="AS140" t="s">
        <v>2392</v>
      </c>
      <c r="AT140" t="s">
        <v>420</v>
      </c>
      <c r="AU140" t="s">
        <v>177</v>
      </c>
      <c r="AV140" t="s">
        <v>421</v>
      </c>
      <c r="AW140" t="s">
        <v>182</v>
      </c>
      <c r="AX140">
        <v>2</v>
      </c>
      <c r="AY140" t="s">
        <v>188</v>
      </c>
      <c r="AZ140" t="s">
        <v>189</v>
      </c>
      <c r="BA140" t="s">
        <v>190</v>
      </c>
      <c r="BB140" t="s">
        <v>191</v>
      </c>
      <c r="BC140" t="s">
        <v>182</v>
      </c>
      <c r="BD140" t="s">
        <v>182</v>
      </c>
      <c r="BE140" t="s">
        <v>2393</v>
      </c>
      <c r="BF140">
        <v>1</v>
      </c>
      <c r="BG140">
        <v>1</v>
      </c>
      <c r="BH140">
        <v>1987</v>
      </c>
      <c r="BI140" t="s">
        <v>2394</v>
      </c>
      <c r="BJ140" t="s">
        <v>194</v>
      </c>
      <c r="BK140" t="s">
        <v>195</v>
      </c>
      <c r="BL140" t="s">
        <v>2395</v>
      </c>
      <c r="BM140" t="s">
        <v>286</v>
      </c>
      <c r="BN140" t="s">
        <v>182</v>
      </c>
      <c r="BO140" t="s">
        <v>198</v>
      </c>
      <c r="BP140" t="s">
        <v>198</v>
      </c>
      <c r="BQ140" t="s">
        <v>198</v>
      </c>
      <c r="BR140" t="s">
        <v>198</v>
      </c>
      <c r="BS140" t="s">
        <v>198</v>
      </c>
      <c r="BT140" t="s">
        <v>198</v>
      </c>
      <c r="BU140" t="s">
        <v>182</v>
      </c>
      <c r="BV140" t="s">
        <v>198</v>
      </c>
      <c r="BW140" t="s">
        <v>198</v>
      </c>
      <c r="BX140" t="s">
        <v>199</v>
      </c>
      <c r="BY140" t="s">
        <v>198</v>
      </c>
      <c r="BZ140" t="s">
        <v>199</v>
      </c>
      <c r="CA140" t="s">
        <v>199</v>
      </c>
      <c r="CB140" t="s">
        <v>2396</v>
      </c>
      <c r="CC140" t="s">
        <v>201</v>
      </c>
      <c r="CD140" t="s">
        <v>182</v>
      </c>
      <c r="CE140" t="s">
        <v>2397</v>
      </c>
      <c r="CF140" t="s">
        <v>960</v>
      </c>
      <c r="CG140" t="s">
        <v>177</v>
      </c>
      <c r="CH140" t="s">
        <v>2398</v>
      </c>
      <c r="CI140" t="s">
        <v>2399</v>
      </c>
      <c r="CJ140" t="s">
        <v>1173</v>
      </c>
      <c r="CK140" t="s">
        <v>232</v>
      </c>
      <c r="CL140" t="s">
        <v>233</v>
      </c>
      <c r="CM140" t="s">
        <v>2400</v>
      </c>
      <c r="CN140" t="s">
        <v>235</v>
      </c>
      <c r="CO140" t="s">
        <v>183</v>
      </c>
      <c r="CP140" t="s">
        <v>266</v>
      </c>
      <c r="CS140" t="s">
        <v>198</v>
      </c>
      <c r="CT140" t="s">
        <v>831</v>
      </c>
      <c r="CU140" t="s">
        <v>292</v>
      </c>
      <c r="CV140" t="s">
        <v>293</v>
      </c>
      <c r="CW140" t="s">
        <v>2401</v>
      </c>
      <c r="CX140" t="s">
        <v>295</v>
      </c>
      <c r="CY140" t="s">
        <v>183</v>
      </c>
      <c r="CZ140" t="s">
        <v>211</v>
      </c>
      <c r="DA140" t="s">
        <v>298</v>
      </c>
      <c r="DC140" t="s">
        <v>2402</v>
      </c>
      <c r="DD140" t="s">
        <v>1905</v>
      </c>
      <c r="DE140" t="s">
        <v>267</v>
      </c>
      <c r="DF140" t="s">
        <v>268</v>
      </c>
      <c r="DG140" t="s">
        <v>2403</v>
      </c>
      <c r="DH140" t="s">
        <v>511</v>
      </c>
      <c r="DI140" t="s">
        <v>183</v>
      </c>
      <c r="DJ140" t="s">
        <v>211</v>
      </c>
      <c r="DK140" t="s">
        <v>199</v>
      </c>
      <c r="DM140" t="s">
        <v>2404</v>
      </c>
      <c r="DN140" t="s">
        <v>920</v>
      </c>
      <c r="DO140" t="s">
        <v>273</v>
      </c>
      <c r="DP140" t="s">
        <v>274</v>
      </c>
      <c r="DQ140" t="s">
        <v>2405</v>
      </c>
      <c r="DR140" t="s">
        <v>235</v>
      </c>
      <c r="DS140" t="s">
        <v>183</v>
      </c>
      <c r="DT140" t="s">
        <v>211</v>
      </c>
      <c r="DU140" t="s">
        <v>427</v>
      </c>
      <c r="DW140" t="s">
        <v>2404</v>
      </c>
      <c r="DX140" t="s">
        <v>2406</v>
      </c>
      <c r="DY140" t="s">
        <v>302</v>
      </c>
      <c r="DZ140" t="s">
        <v>303</v>
      </c>
      <c r="EA140" t="s">
        <v>2407</v>
      </c>
      <c r="EB140" t="s">
        <v>305</v>
      </c>
      <c r="EC140" t="s">
        <v>183</v>
      </c>
      <c r="ED140" t="s">
        <v>211</v>
      </c>
      <c r="EE140" t="s">
        <v>189</v>
      </c>
      <c r="EG140" t="s">
        <v>2408</v>
      </c>
      <c r="EH140" t="s">
        <v>2409</v>
      </c>
      <c r="EI140" t="s">
        <v>238</v>
      </c>
      <c r="EJ140" t="s">
        <v>239</v>
      </c>
      <c r="EK140" t="s">
        <v>2410</v>
      </c>
      <c r="EL140" t="s">
        <v>278</v>
      </c>
      <c r="EM140" t="s">
        <v>183</v>
      </c>
      <c r="EN140" t="s">
        <v>211</v>
      </c>
      <c r="EO140" t="s">
        <v>460</v>
      </c>
      <c r="EQ140" t="s">
        <v>2408</v>
      </c>
      <c r="ER140" t="s">
        <v>2411</v>
      </c>
      <c r="ES140" t="s">
        <v>346</v>
      </c>
      <c r="ET140" t="s">
        <v>347</v>
      </c>
      <c r="EU140" t="s">
        <v>2412</v>
      </c>
      <c r="EV140" t="s">
        <v>391</v>
      </c>
      <c r="EW140" t="s">
        <v>183</v>
      </c>
      <c r="EX140" t="s">
        <v>211</v>
      </c>
      <c r="EY140" t="s">
        <v>298</v>
      </c>
      <c r="FA140" t="s">
        <v>470</v>
      </c>
      <c r="FB140" t="s">
        <v>2272</v>
      </c>
      <c r="FC140" t="s">
        <v>207</v>
      </c>
      <c r="FD140" t="s">
        <v>208</v>
      </c>
      <c r="FE140" t="s">
        <v>2413</v>
      </c>
      <c r="FF140" t="s">
        <v>210</v>
      </c>
      <c r="FG140" t="s">
        <v>183</v>
      </c>
      <c r="FH140" t="s">
        <v>211</v>
      </c>
      <c r="FI140" t="s">
        <v>290</v>
      </c>
      <c r="FK140" t="s">
        <v>2414</v>
      </c>
      <c r="FU140" t="s">
        <v>198</v>
      </c>
    </row>
    <row r="141" spans="1:177">
      <c r="A141" s="1" t="str">
        <f>HYPERLINK("http://digipan.lumentumllc.com/apps/getLink/index.php?t=PropLink&amp;p=5245155","PL")</f>
        <v>PL</v>
      </c>
      <c r="B141" s="1" t="str">
        <f>HYPERLINK("http://digipan.lumentumllc.com/apps/getLink/index.php?t=TaxLink&amp;p=5245155","TL")</f>
        <v>TL</v>
      </c>
      <c r="C141" s="1" t="str">
        <f>HYPERLINK("http://digipan.lumentumllc.com/apps/getMap/index.php?p=5245155","Map")</f>
        <v>Map</v>
      </c>
      <c r="E141" t="s">
        <v>177</v>
      </c>
      <c r="F141" t="s">
        <v>178</v>
      </c>
      <c r="L141" t="s">
        <v>2415</v>
      </c>
      <c r="N141" t="s">
        <v>2415</v>
      </c>
      <c r="O141" t="s">
        <v>2415</v>
      </c>
      <c r="P141" t="s">
        <v>2416</v>
      </c>
      <c r="Q141" t="s">
        <v>2415</v>
      </c>
      <c r="V141">
        <v>164</v>
      </c>
      <c r="W141">
        <v>1</v>
      </c>
      <c r="X141">
        <v>2017</v>
      </c>
      <c r="Y141">
        <v>2018</v>
      </c>
      <c r="Z141">
        <v>969.25</v>
      </c>
      <c r="AB141" t="s">
        <v>181</v>
      </c>
      <c r="AC141" t="s">
        <v>182</v>
      </c>
      <c r="AD141" t="s">
        <v>183</v>
      </c>
      <c r="AE141">
        <v>1</v>
      </c>
      <c r="AF141">
        <v>6</v>
      </c>
      <c r="AG141" t="s">
        <v>418</v>
      </c>
      <c r="AH141">
        <v>86</v>
      </c>
      <c r="AI141">
        <v>881.67</v>
      </c>
      <c r="AJ141">
        <v>44.08</v>
      </c>
      <c r="AK141">
        <v>925.75</v>
      </c>
      <c r="AL141">
        <v>111991</v>
      </c>
      <c r="AM141">
        <v>24000</v>
      </c>
      <c r="AN141">
        <v>87991</v>
      </c>
      <c r="AO141">
        <v>790</v>
      </c>
      <c r="AP141">
        <v>2016</v>
      </c>
      <c r="AQ141">
        <v>0.87</v>
      </c>
      <c r="AR141">
        <v>0.83</v>
      </c>
      <c r="AS141" t="s">
        <v>2417</v>
      </c>
      <c r="AT141" t="s">
        <v>420</v>
      </c>
      <c r="AU141" t="s">
        <v>177</v>
      </c>
      <c r="AV141" t="s">
        <v>421</v>
      </c>
      <c r="AW141" t="s">
        <v>202</v>
      </c>
      <c r="AX141">
        <v>1</v>
      </c>
      <c r="AY141" t="s">
        <v>188</v>
      </c>
      <c r="AZ141" t="s">
        <v>206</v>
      </c>
      <c r="BA141" t="s">
        <v>355</v>
      </c>
      <c r="BB141" t="s">
        <v>191</v>
      </c>
      <c r="BC141" t="s">
        <v>182</v>
      </c>
      <c r="BD141" t="s">
        <v>182</v>
      </c>
      <c r="BE141" t="s">
        <v>365</v>
      </c>
      <c r="BF141">
        <v>1</v>
      </c>
      <c r="BG141">
        <v>1</v>
      </c>
      <c r="BH141">
        <v>1958</v>
      </c>
      <c r="BI141" t="s">
        <v>2418</v>
      </c>
      <c r="BJ141" t="s">
        <v>194</v>
      </c>
      <c r="BK141" t="s">
        <v>195</v>
      </c>
      <c r="BL141" t="s">
        <v>2419</v>
      </c>
      <c r="BM141" t="s">
        <v>1041</v>
      </c>
      <c r="BN141" t="s">
        <v>182</v>
      </c>
      <c r="BO141" t="s">
        <v>2420</v>
      </c>
      <c r="BP141" t="s">
        <v>2421</v>
      </c>
      <c r="BS141" t="s">
        <v>2422</v>
      </c>
      <c r="BT141" t="s">
        <v>198</v>
      </c>
      <c r="BU141" t="s">
        <v>182</v>
      </c>
      <c r="BV141" t="s">
        <v>198</v>
      </c>
      <c r="BW141" t="s">
        <v>198</v>
      </c>
      <c r="BX141" t="s">
        <v>199</v>
      </c>
      <c r="BY141" t="s">
        <v>198</v>
      </c>
      <c r="BZ141" t="s">
        <v>199</v>
      </c>
      <c r="CA141" t="s">
        <v>199</v>
      </c>
      <c r="CB141" t="s">
        <v>2423</v>
      </c>
      <c r="CC141" t="s">
        <v>201</v>
      </c>
      <c r="CD141" t="s">
        <v>182</v>
      </c>
      <c r="CE141" t="s">
        <v>2424</v>
      </c>
      <c r="CF141" t="s">
        <v>425</v>
      </c>
      <c r="CG141" t="s">
        <v>177</v>
      </c>
      <c r="CH141" t="s">
        <v>421</v>
      </c>
      <c r="CI141" t="s">
        <v>2240</v>
      </c>
      <c r="CJ141" t="s">
        <v>1191</v>
      </c>
      <c r="CK141" t="s">
        <v>232</v>
      </c>
      <c r="CL141" t="s">
        <v>233</v>
      </c>
      <c r="CM141" t="s">
        <v>2425</v>
      </c>
      <c r="CN141" t="s">
        <v>235</v>
      </c>
      <c r="CO141" t="s">
        <v>183</v>
      </c>
      <c r="CP141" t="s">
        <v>266</v>
      </c>
      <c r="CS141" t="s">
        <v>198</v>
      </c>
      <c r="CT141" t="s">
        <v>2310</v>
      </c>
      <c r="CU141" t="s">
        <v>292</v>
      </c>
      <c r="CV141" t="s">
        <v>293</v>
      </c>
      <c r="CW141" t="s">
        <v>2426</v>
      </c>
      <c r="CX141" t="s">
        <v>235</v>
      </c>
      <c r="CY141" t="s">
        <v>183</v>
      </c>
      <c r="CZ141" t="s">
        <v>211</v>
      </c>
      <c r="DA141" t="s">
        <v>298</v>
      </c>
      <c r="DC141" t="s">
        <v>1066</v>
      </c>
      <c r="DD141" t="s">
        <v>2242</v>
      </c>
      <c r="DE141" t="s">
        <v>267</v>
      </c>
      <c r="DF141" t="s">
        <v>268</v>
      </c>
      <c r="DG141" t="s">
        <v>2427</v>
      </c>
      <c r="DH141" t="s">
        <v>235</v>
      </c>
      <c r="DI141" t="s">
        <v>183</v>
      </c>
      <c r="DJ141" t="s">
        <v>211</v>
      </c>
      <c r="DK141" t="s">
        <v>298</v>
      </c>
      <c r="DM141" t="s">
        <v>2428</v>
      </c>
      <c r="DN141" t="s">
        <v>2175</v>
      </c>
      <c r="DO141" t="s">
        <v>273</v>
      </c>
      <c r="DP141" t="s">
        <v>274</v>
      </c>
      <c r="DQ141" t="s">
        <v>2429</v>
      </c>
      <c r="DR141" t="s">
        <v>235</v>
      </c>
      <c r="DS141" t="s">
        <v>183</v>
      </c>
      <c r="DT141" t="s">
        <v>211</v>
      </c>
      <c r="DU141" t="s">
        <v>298</v>
      </c>
      <c r="DW141" t="s">
        <v>2430</v>
      </c>
      <c r="DX141" t="s">
        <v>2259</v>
      </c>
      <c r="DY141" t="s">
        <v>302</v>
      </c>
      <c r="DZ141" t="s">
        <v>303</v>
      </c>
      <c r="EA141" t="s">
        <v>2431</v>
      </c>
      <c r="EB141" t="s">
        <v>235</v>
      </c>
      <c r="EC141" t="s">
        <v>183</v>
      </c>
      <c r="ED141" t="s">
        <v>211</v>
      </c>
      <c r="EE141" t="s">
        <v>345</v>
      </c>
      <c r="EG141" t="s">
        <v>2432</v>
      </c>
      <c r="EH141" t="s">
        <v>2433</v>
      </c>
      <c r="EI141" t="s">
        <v>238</v>
      </c>
      <c r="EJ141" t="s">
        <v>239</v>
      </c>
      <c r="EK141" t="s">
        <v>2434</v>
      </c>
      <c r="EL141" t="s">
        <v>235</v>
      </c>
      <c r="EM141" t="s">
        <v>183</v>
      </c>
      <c r="EN141" t="s">
        <v>211</v>
      </c>
      <c r="EO141" t="s">
        <v>345</v>
      </c>
      <c r="EQ141" t="s">
        <v>2435</v>
      </c>
      <c r="ER141" t="s">
        <v>2436</v>
      </c>
      <c r="ES141" t="s">
        <v>346</v>
      </c>
      <c r="ET141" t="s">
        <v>347</v>
      </c>
      <c r="EU141" t="s">
        <v>2437</v>
      </c>
      <c r="EV141" t="s">
        <v>235</v>
      </c>
      <c r="EW141" t="s">
        <v>183</v>
      </c>
      <c r="EX141" t="s">
        <v>211</v>
      </c>
      <c r="EY141" t="s">
        <v>427</v>
      </c>
      <c r="FA141" t="s">
        <v>2438</v>
      </c>
      <c r="FK141" t="s">
        <v>198</v>
      </c>
      <c r="FU141" t="s">
        <v>198</v>
      </c>
    </row>
    <row r="142" spans="1:177">
      <c r="A142" s="1" t="str">
        <f>HYPERLINK("http://digipan.lumentumllc.com/apps/getLink/index.php?t=PropLink&amp;p=6128891","PL")</f>
        <v>PL</v>
      </c>
      <c r="B142" s="1" t="str">
        <f>HYPERLINK("http://digipan.lumentumllc.com/apps/getLink/index.php?t=TaxLink&amp;p=6128891","TL")</f>
        <v>TL</v>
      </c>
      <c r="C142" s="1" t="str">
        <f>HYPERLINK("http://digipan.lumentumllc.com/apps/getMap/index.php?p=6128891","Map")</f>
        <v>Map</v>
      </c>
      <c r="E142" t="s">
        <v>177</v>
      </c>
      <c r="F142" t="s">
        <v>178</v>
      </c>
      <c r="L142" t="s">
        <v>2439</v>
      </c>
      <c r="N142" t="s">
        <v>2439</v>
      </c>
      <c r="O142" t="s">
        <v>2439</v>
      </c>
      <c r="P142" t="s">
        <v>2440</v>
      </c>
      <c r="Q142" t="s">
        <v>2439</v>
      </c>
      <c r="V142">
        <v>168</v>
      </c>
      <c r="W142">
        <v>1</v>
      </c>
      <c r="X142">
        <v>2017</v>
      </c>
      <c r="Y142">
        <v>2018</v>
      </c>
      <c r="Z142">
        <v>649.15</v>
      </c>
      <c r="AB142" t="s">
        <v>181</v>
      </c>
      <c r="AC142" t="s">
        <v>182</v>
      </c>
      <c r="AD142" t="s">
        <v>183</v>
      </c>
      <c r="AE142">
        <v>1</v>
      </c>
      <c r="AF142">
        <v>3</v>
      </c>
      <c r="AG142" t="s">
        <v>257</v>
      </c>
      <c r="AH142">
        <v>75</v>
      </c>
      <c r="AI142">
        <v>629.37</v>
      </c>
      <c r="AJ142">
        <v>31.47</v>
      </c>
      <c r="AK142">
        <v>660.84</v>
      </c>
      <c r="AL142">
        <v>82577</v>
      </c>
      <c r="AM142">
        <v>29120</v>
      </c>
      <c r="AN142">
        <v>53457</v>
      </c>
      <c r="AO142">
        <v>557</v>
      </c>
      <c r="AP142">
        <v>2016</v>
      </c>
      <c r="AQ142">
        <v>0.79</v>
      </c>
      <c r="AR142">
        <v>0.8</v>
      </c>
      <c r="AS142" t="s">
        <v>2441</v>
      </c>
      <c r="AT142" t="s">
        <v>420</v>
      </c>
      <c r="AU142" t="s">
        <v>177</v>
      </c>
      <c r="AV142" t="s">
        <v>421</v>
      </c>
      <c r="AW142" t="s">
        <v>202</v>
      </c>
      <c r="AX142">
        <v>2</v>
      </c>
      <c r="AY142" t="s">
        <v>188</v>
      </c>
      <c r="AZ142" t="s">
        <v>189</v>
      </c>
      <c r="BA142" t="s">
        <v>190</v>
      </c>
      <c r="BB142" t="s">
        <v>191</v>
      </c>
      <c r="BC142" t="s">
        <v>182</v>
      </c>
      <c r="BD142" t="s">
        <v>182</v>
      </c>
      <c r="BE142" t="s">
        <v>2442</v>
      </c>
      <c r="BF142">
        <v>1</v>
      </c>
      <c r="BG142">
        <v>1</v>
      </c>
      <c r="BH142">
        <v>2009</v>
      </c>
      <c r="BI142" t="s">
        <v>2443</v>
      </c>
      <c r="BJ142" t="s">
        <v>194</v>
      </c>
      <c r="BK142" t="s">
        <v>195</v>
      </c>
      <c r="BL142" t="s">
        <v>199</v>
      </c>
      <c r="BM142" t="s">
        <v>346</v>
      </c>
      <c r="BN142" t="s">
        <v>182</v>
      </c>
      <c r="BO142" t="s">
        <v>198</v>
      </c>
      <c r="BP142" t="s">
        <v>198</v>
      </c>
      <c r="BQ142" t="s">
        <v>198</v>
      </c>
      <c r="BR142" t="s">
        <v>198</v>
      </c>
      <c r="BS142" t="s">
        <v>198</v>
      </c>
      <c r="BT142" t="s">
        <v>198</v>
      </c>
      <c r="BU142" t="s">
        <v>182</v>
      </c>
      <c r="BV142" t="s">
        <v>198</v>
      </c>
      <c r="BW142" t="s">
        <v>198</v>
      </c>
      <c r="BX142" t="s">
        <v>199</v>
      </c>
      <c r="BY142" t="s">
        <v>198</v>
      </c>
      <c r="BZ142" t="s">
        <v>199</v>
      </c>
      <c r="CA142" t="s">
        <v>199</v>
      </c>
      <c r="CB142" t="s">
        <v>2444</v>
      </c>
      <c r="CC142" t="s">
        <v>201</v>
      </c>
      <c r="CD142" t="s">
        <v>182</v>
      </c>
      <c r="CE142" t="s">
        <v>2445</v>
      </c>
      <c r="CF142" t="s">
        <v>425</v>
      </c>
      <c r="CG142" t="s">
        <v>177</v>
      </c>
      <c r="CH142" t="s">
        <v>421</v>
      </c>
      <c r="CI142" t="s">
        <v>2446</v>
      </c>
      <c r="CJ142" t="s">
        <v>2447</v>
      </c>
      <c r="CK142" t="s">
        <v>232</v>
      </c>
      <c r="CL142" t="s">
        <v>233</v>
      </c>
      <c r="CM142" t="s">
        <v>2448</v>
      </c>
      <c r="CN142" t="s">
        <v>235</v>
      </c>
      <c r="CO142" t="s">
        <v>183</v>
      </c>
      <c r="CP142" t="s">
        <v>266</v>
      </c>
      <c r="CS142" t="s">
        <v>198</v>
      </c>
      <c r="CT142" t="s">
        <v>920</v>
      </c>
      <c r="CU142" t="s">
        <v>292</v>
      </c>
      <c r="CV142" t="s">
        <v>293</v>
      </c>
      <c r="CW142" t="s">
        <v>2449</v>
      </c>
      <c r="CX142" t="s">
        <v>235</v>
      </c>
      <c r="CY142" t="s">
        <v>183</v>
      </c>
      <c r="CZ142" t="s">
        <v>211</v>
      </c>
      <c r="DA142" t="s">
        <v>298</v>
      </c>
      <c r="DC142" t="s">
        <v>430</v>
      </c>
      <c r="DD142" t="s">
        <v>817</v>
      </c>
      <c r="DE142" t="s">
        <v>267</v>
      </c>
      <c r="DF142" t="s">
        <v>268</v>
      </c>
      <c r="DG142" t="s">
        <v>2450</v>
      </c>
      <c r="DH142" t="s">
        <v>235</v>
      </c>
      <c r="DI142" t="s">
        <v>183</v>
      </c>
      <c r="DJ142" t="s">
        <v>211</v>
      </c>
      <c r="DK142" t="s">
        <v>298</v>
      </c>
      <c r="DM142" t="s">
        <v>2096</v>
      </c>
      <c r="DN142" t="s">
        <v>2451</v>
      </c>
      <c r="DO142" t="s">
        <v>238</v>
      </c>
      <c r="DP142" t="s">
        <v>239</v>
      </c>
      <c r="DQ142" t="s">
        <v>2452</v>
      </c>
      <c r="DR142" t="s">
        <v>278</v>
      </c>
      <c r="DS142" t="s">
        <v>183</v>
      </c>
      <c r="DT142" t="s">
        <v>211</v>
      </c>
      <c r="DU142" t="s">
        <v>329</v>
      </c>
      <c r="DW142" t="s">
        <v>878</v>
      </c>
      <c r="EG142" t="s">
        <v>198</v>
      </c>
      <c r="EQ142" t="s">
        <v>198</v>
      </c>
      <c r="FA142" t="s">
        <v>198</v>
      </c>
      <c r="FK142" t="s">
        <v>198</v>
      </c>
      <c r="FU142" t="s">
        <v>198</v>
      </c>
    </row>
    <row r="143" spans="1:177">
      <c r="A143" s="1" t="str">
        <f>HYPERLINK("http://digipan.lumentumllc.com/apps/getLink/index.php?t=PropLink&amp;p=15742124","PL")</f>
        <v>PL</v>
      </c>
      <c r="B143" s="1" t="str">
        <f>HYPERLINK("http://digipan.lumentumllc.com/apps/getLink/index.php?t=TaxLink&amp;p=15742124","TL")</f>
        <v>TL</v>
      </c>
      <c r="C143" s="1" t="str">
        <f>HYPERLINK("http://digipan.lumentumllc.com/apps/getMap/index.php?p=15742124","Map")</f>
        <v>Map</v>
      </c>
      <c r="E143" t="s">
        <v>177</v>
      </c>
      <c r="F143" t="s">
        <v>178</v>
      </c>
      <c r="L143" t="s">
        <v>2453</v>
      </c>
      <c r="N143" t="s">
        <v>2453</v>
      </c>
      <c r="O143" t="s">
        <v>2453</v>
      </c>
      <c r="Q143" t="s">
        <v>2453</v>
      </c>
      <c r="V143">
        <v>169</v>
      </c>
      <c r="W143">
        <v>1</v>
      </c>
      <c r="X143">
        <v>2017</v>
      </c>
      <c r="Y143">
        <v>2018</v>
      </c>
      <c r="Z143">
        <v>127.6</v>
      </c>
      <c r="AG143" t="s">
        <v>184</v>
      </c>
      <c r="AH143">
        <v>0</v>
      </c>
      <c r="AK143">
        <v>0</v>
      </c>
      <c r="AL143">
        <v>69822</v>
      </c>
      <c r="AM143">
        <v>5839</v>
      </c>
      <c r="AN143">
        <v>63983</v>
      </c>
      <c r="AO143">
        <v>84</v>
      </c>
      <c r="AP143">
        <v>2016</v>
      </c>
      <c r="AQ143">
        <v>0.18</v>
      </c>
      <c r="AS143" t="s">
        <v>2377</v>
      </c>
      <c r="AT143" t="s">
        <v>420</v>
      </c>
      <c r="AU143" t="s">
        <v>177</v>
      </c>
      <c r="AV143" t="s">
        <v>421</v>
      </c>
      <c r="AW143" t="s">
        <v>182</v>
      </c>
      <c r="AX143">
        <v>56</v>
      </c>
      <c r="AY143" t="s">
        <v>218</v>
      </c>
      <c r="AZ143" t="s">
        <v>219</v>
      </c>
      <c r="BA143" t="s">
        <v>220</v>
      </c>
      <c r="BB143" t="s">
        <v>191</v>
      </c>
      <c r="BC143" t="s">
        <v>182</v>
      </c>
      <c r="BD143" t="s">
        <v>182</v>
      </c>
      <c r="BE143" t="s">
        <v>2454</v>
      </c>
      <c r="BF143">
        <v>0</v>
      </c>
      <c r="BG143">
        <v>0</v>
      </c>
      <c r="BH143">
        <v>0</v>
      </c>
      <c r="BI143" t="s">
        <v>199</v>
      </c>
      <c r="BJ143" t="s">
        <v>315</v>
      </c>
      <c r="BL143" t="s">
        <v>199</v>
      </c>
      <c r="BM143" t="s">
        <v>292</v>
      </c>
      <c r="BN143" t="s">
        <v>182</v>
      </c>
      <c r="BO143" t="s">
        <v>198</v>
      </c>
      <c r="BP143" t="s">
        <v>198</v>
      </c>
      <c r="BQ143" t="s">
        <v>198</v>
      </c>
      <c r="BR143" t="s">
        <v>198</v>
      </c>
      <c r="BS143" t="s">
        <v>198</v>
      </c>
      <c r="BT143" t="s">
        <v>198</v>
      </c>
      <c r="BU143" t="s">
        <v>182</v>
      </c>
      <c r="BV143" t="s">
        <v>198</v>
      </c>
      <c r="BW143" t="s">
        <v>198</v>
      </c>
      <c r="BX143" t="s">
        <v>199</v>
      </c>
      <c r="BY143" t="s">
        <v>198</v>
      </c>
      <c r="BZ143" t="s">
        <v>199</v>
      </c>
      <c r="CA143" t="s">
        <v>199</v>
      </c>
      <c r="CB143" t="s">
        <v>2455</v>
      </c>
      <c r="CC143" t="s">
        <v>201</v>
      </c>
      <c r="CD143" t="s">
        <v>182</v>
      </c>
      <c r="CE143" t="s">
        <v>2456</v>
      </c>
      <c r="CF143" t="s">
        <v>413</v>
      </c>
      <c r="CG143" t="s">
        <v>177</v>
      </c>
      <c r="CH143" t="s">
        <v>1289</v>
      </c>
      <c r="CI143" t="s">
        <v>2457</v>
      </c>
      <c r="CS143" t="s">
        <v>198</v>
      </c>
      <c r="DC143" t="s">
        <v>198</v>
      </c>
      <c r="DM143" t="s">
        <v>198</v>
      </c>
      <c r="DW143" t="s">
        <v>198</v>
      </c>
      <c r="EG143" t="s">
        <v>198</v>
      </c>
      <c r="EQ143" t="s">
        <v>198</v>
      </c>
      <c r="FA143" t="s">
        <v>198</v>
      </c>
      <c r="FK143" t="s">
        <v>198</v>
      </c>
      <c r="FU143" t="s">
        <v>198</v>
      </c>
    </row>
    <row r="144" spans="1:177">
      <c r="A144" s="1" t="str">
        <f>HYPERLINK("http://digipan.lumentumllc.com/apps/getLink/index.php?t=PropLink&amp;p=5246093","PL")</f>
        <v>PL</v>
      </c>
      <c r="B144" s="1" t="str">
        <f>HYPERLINK("http://digipan.lumentumllc.com/apps/getLink/index.php?t=TaxLink&amp;p=5246093","TL")</f>
        <v>TL</v>
      </c>
      <c r="C144" s="1" t="str">
        <f>HYPERLINK("http://digipan.lumentumllc.com/apps/getMap/index.php?p=5246093","Map")</f>
        <v>Map</v>
      </c>
      <c r="E144" t="s">
        <v>177</v>
      </c>
      <c r="F144" t="s">
        <v>178</v>
      </c>
      <c r="L144" t="s">
        <v>2458</v>
      </c>
      <c r="N144" t="s">
        <v>2458</v>
      </c>
      <c r="O144" t="s">
        <v>2458</v>
      </c>
      <c r="P144" t="s">
        <v>2459</v>
      </c>
      <c r="Q144" t="s">
        <v>2458</v>
      </c>
      <c r="V144">
        <v>170</v>
      </c>
      <c r="W144">
        <v>1</v>
      </c>
      <c r="X144">
        <v>2017</v>
      </c>
      <c r="Y144">
        <v>2018</v>
      </c>
      <c r="Z144">
        <v>316.01</v>
      </c>
      <c r="AB144" t="s">
        <v>181</v>
      </c>
      <c r="AC144" t="s">
        <v>182</v>
      </c>
      <c r="AD144" t="s">
        <v>183</v>
      </c>
      <c r="AE144">
        <v>0</v>
      </c>
      <c r="AF144">
        <v>3</v>
      </c>
      <c r="AG144" t="s">
        <v>381</v>
      </c>
      <c r="AH144">
        <v>100</v>
      </c>
      <c r="AK144">
        <v>0</v>
      </c>
      <c r="AL144">
        <v>45600</v>
      </c>
      <c r="AM144">
        <v>17346</v>
      </c>
      <c r="AN144">
        <v>28254</v>
      </c>
      <c r="AO144">
        <v>10</v>
      </c>
      <c r="AP144">
        <v>2016</v>
      </c>
      <c r="AQ144">
        <v>0.69</v>
      </c>
      <c r="AS144" t="s">
        <v>2460</v>
      </c>
      <c r="AT144" t="s">
        <v>2461</v>
      </c>
      <c r="AU144" t="s">
        <v>177</v>
      </c>
      <c r="AV144" t="s">
        <v>1160</v>
      </c>
      <c r="AW144" t="s">
        <v>182</v>
      </c>
      <c r="AX144">
        <v>55</v>
      </c>
      <c r="AY144" t="s">
        <v>218</v>
      </c>
      <c r="AZ144" t="s">
        <v>1682</v>
      </c>
      <c r="BA144" t="s">
        <v>1683</v>
      </c>
      <c r="BB144" t="s">
        <v>191</v>
      </c>
      <c r="BC144" t="s">
        <v>182</v>
      </c>
      <c r="BD144" t="s">
        <v>2072</v>
      </c>
      <c r="BE144" t="s">
        <v>2462</v>
      </c>
      <c r="BF144">
        <v>0</v>
      </c>
      <c r="BG144">
        <v>0</v>
      </c>
      <c r="BH144">
        <v>0</v>
      </c>
      <c r="BI144" t="s">
        <v>199</v>
      </c>
      <c r="BJ144" t="s">
        <v>315</v>
      </c>
      <c r="BL144" t="s">
        <v>199</v>
      </c>
      <c r="BM144" t="s">
        <v>1041</v>
      </c>
      <c r="BN144" t="s">
        <v>182</v>
      </c>
      <c r="BO144" t="s">
        <v>2463</v>
      </c>
      <c r="BP144" t="s">
        <v>2464</v>
      </c>
      <c r="BR144" t="s">
        <v>1123</v>
      </c>
      <c r="BS144" t="s">
        <v>2465</v>
      </c>
      <c r="BT144" t="s">
        <v>198</v>
      </c>
      <c r="BU144" t="s">
        <v>182</v>
      </c>
      <c r="BV144" t="s">
        <v>198</v>
      </c>
      <c r="BW144" t="s">
        <v>198</v>
      </c>
      <c r="BX144" t="s">
        <v>199</v>
      </c>
      <c r="BY144" t="s">
        <v>198</v>
      </c>
      <c r="BZ144" t="s">
        <v>199</v>
      </c>
      <c r="CA144" t="s">
        <v>199</v>
      </c>
      <c r="CB144" t="s">
        <v>2466</v>
      </c>
      <c r="CC144" t="s">
        <v>201</v>
      </c>
      <c r="CD144" t="s">
        <v>182</v>
      </c>
      <c r="CE144" t="s">
        <v>2467</v>
      </c>
      <c r="CF144" t="s">
        <v>1159</v>
      </c>
      <c r="CG144" t="s">
        <v>177</v>
      </c>
      <c r="CH144" t="s">
        <v>1160</v>
      </c>
      <c r="CI144" t="s">
        <v>2468</v>
      </c>
      <c r="CJ144" t="s">
        <v>2406</v>
      </c>
      <c r="CK144" t="s">
        <v>273</v>
      </c>
      <c r="CL144" t="s">
        <v>274</v>
      </c>
      <c r="CM144" t="s">
        <v>2469</v>
      </c>
      <c r="CN144" t="s">
        <v>482</v>
      </c>
      <c r="CO144" t="s">
        <v>183</v>
      </c>
      <c r="CP144" t="s">
        <v>211</v>
      </c>
      <c r="CQ144" t="s">
        <v>189</v>
      </c>
      <c r="CS144" t="s">
        <v>2470</v>
      </c>
      <c r="CT144" t="s">
        <v>2471</v>
      </c>
      <c r="CU144" t="s">
        <v>238</v>
      </c>
      <c r="CV144" t="s">
        <v>239</v>
      </c>
      <c r="CW144" t="s">
        <v>2472</v>
      </c>
      <c r="CX144" t="s">
        <v>482</v>
      </c>
      <c r="CY144" t="s">
        <v>183</v>
      </c>
      <c r="CZ144" t="s">
        <v>211</v>
      </c>
      <c r="DA144" t="s">
        <v>329</v>
      </c>
      <c r="DC144" t="s">
        <v>2473</v>
      </c>
      <c r="DD144" t="s">
        <v>2474</v>
      </c>
      <c r="DE144" t="s">
        <v>346</v>
      </c>
      <c r="DF144" t="s">
        <v>347</v>
      </c>
      <c r="DG144" t="s">
        <v>2475</v>
      </c>
      <c r="DH144" t="s">
        <v>1056</v>
      </c>
      <c r="DI144" t="s">
        <v>183</v>
      </c>
      <c r="DJ144" t="s">
        <v>211</v>
      </c>
      <c r="DK144" t="s">
        <v>298</v>
      </c>
      <c r="DM144" t="s">
        <v>2473</v>
      </c>
      <c r="DW144" t="s">
        <v>198</v>
      </c>
      <c r="EG144" t="s">
        <v>198</v>
      </c>
      <c r="EQ144" t="s">
        <v>198</v>
      </c>
      <c r="FA144" t="s">
        <v>198</v>
      </c>
      <c r="FK144" t="s">
        <v>198</v>
      </c>
      <c r="FU144" t="s">
        <v>198</v>
      </c>
    </row>
    <row r="145" spans="1:177">
      <c r="A145" s="1" t="str">
        <f>HYPERLINK("http://digipan.lumentumllc.com/apps/getLink/index.php?t=PropLink&amp;p=5246154","PL")</f>
        <v>PL</v>
      </c>
      <c r="B145" s="1" t="str">
        <f>HYPERLINK("http://digipan.lumentumllc.com/apps/getLink/index.php?t=TaxLink&amp;p=5246154","TL")</f>
        <v>TL</v>
      </c>
      <c r="C145" s="1" t="str">
        <f>HYPERLINK("http://digipan.lumentumllc.com/apps/getMap/index.php?p=5246154","Map")</f>
        <v>Map</v>
      </c>
      <c r="E145" t="s">
        <v>177</v>
      </c>
      <c r="F145" t="s">
        <v>178</v>
      </c>
      <c r="L145" t="s">
        <v>2476</v>
      </c>
      <c r="N145" t="s">
        <v>2476</v>
      </c>
      <c r="O145" t="s">
        <v>2476</v>
      </c>
      <c r="P145" t="s">
        <v>2477</v>
      </c>
      <c r="Q145" t="s">
        <v>2476</v>
      </c>
      <c r="V145">
        <v>171</v>
      </c>
      <c r="W145">
        <v>1</v>
      </c>
      <c r="X145">
        <v>2017</v>
      </c>
      <c r="Y145">
        <v>2018</v>
      </c>
      <c r="Z145">
        <v>743.76</v>
      </c>
      <c r="AB145" t="s">
        <v>181</v>
      </c>
      <c r="AC145" t="s">
        <v>182</v>
      </c>
      <c r="AD145" t="s">
        <v>183</v>
      </c>
      <c r="AE145">
        <v>1</v>
      </c>
      <c r="AF145">
        <v>7</v>
      </c>
      <c r="AG145" t="s">
        <v>418</v>
      </c>
      <c r="AH145">
        <v>86</v>
      </c>
      <c r="AI145">
        <v>710.55</v>
      </c>
      <c r="AJ145">
        <v>35.53</v>
      </c>
      <c r="AK145">
        <v>746.08</v>
      </c>
      <c r="AL145">
        <v>43473</v>
      </c>
      <c r="AM145">
        <v>32000</v>
      </c>
      <c r="AN145">
        <v>11473</v>
      </c>
      <c r="AO145">
        <v>632</v>
      </c>
      <c r="AP145">
        <v>2016</v>
      </c>
      <c r="AQ145">
        <v>1.71</v>
      </c>
      <c r="AR145">
        <v>1.72</v>
      </c>
      <c r="AS145" t="s">
        <v>2478</v>
      </c>
      <c r="AT145" t="s">
        <v>420</v>
      </c>
      <c r="AU145" t="s">
        <v>177</v>
      </c>
      <c r="AV145" t="s">
        <v>421</v>
      </c>
      <c r="AW145" t="s">
        <v>182</v>
      </c>
      <c r="AX145">
        <v>1</v>
      </c>
      <c r="AY145" t="s">
        <v>188</v>
      </c>
      <c r="AZ145" t="s">
        <v>206</v>
      </c>
      <c r="BA145" t="s">
        <v>355</v>
      </c>
      <c r="BB145" t="s">
        <v>191</v>
      </c>
      <c r="BC145" t="s">
        <v>182</v>
      </c>
      <c r="BD145" t="s">
        <v>182</v>
      </c>
      <c r="BE145" t="s">
        <v>927</v>
      </c>
      <c r="BF145">
        <v>1</v>
      </c>
      <c r="BG145">
        <v>0</v>
      </c>
      <c r="BH145">
        <v>0</v>
      </c>
      <c r="BI145" t="s">
        <v>199</v>
      </c>
      <c r="BJ145" t="s">
        <v>396</v>
      </c>
      <c r="BL145" t="s">
        <v>938</v>
      </c>
      <c r="BM145" t="s">
        <v>533</v>
      </c>
      <c r="BN145" t="s">
        <v>182</v>
      </c>
      <c r="BO145" t="s">
        <v>198</v>
      </c>
      <c r="BP145" t="s">
        <v>198</v>
      </c>
      <c r="BQ145" t="s">
        <v>198</v>
      </c>
      <c r="BR145" t="s">
        <v>198</v>
      </c>
      <c r="BS145" t="s">
        <v>198</v>
      </c>
      <c r="BT145" t="s">
        <v>198</v>
      </c>
      <c r="BU145" t="s">
        <v>182</v>
      </c>
      <c r="BV145" t="s">
        <v>198</v>
      </c>
      <c r="BW145" t="s">
        <v>198</v>
      </c>
      <c r="BX145" t="s">
        <v>199</v>
      </c>
      <c r="BY145" t="s">
        <v>198</v>
      </c>
      <c r="BZ145" t="s">
        <v>199</v>
      </c>
      <c r="CA145" t="s">
        <v>199</v>
      </c>
      <c r="CB145" t="s">
        <v>2479</v>
      </c>
      <c r="CC145" t="s">
        <v>201</v>
      </c>
      <c r="CD145" t="s">
        <v>182</v>
      </c>
      <c r="CE145" t="s">
        <v>2480</v>
      </c>
      <c r="CF145" t="s">
        <v>1159</v>
      </c>
      <c r="CG145" t="s">
        <v>177</v>
      </c>
      <c r="CH145" t="s">
        <v>1160</v>
      </c>
      <c r="CI145" t="s">
        <v>2481</v>
      </c>
      <c r="CJ145" t="s">
        <v>2482</v>
      </c>
      <c r="CK145" t="s">
        <v>232</v>
      </c>
      <c r="CL145" t="s">
        <v>233</v>
      </c>
      <c r="CM145" t="s">
        <v>2483</v>
      </c>
      <c r="CN145" t="s">
        <v>235</v>
      </c>
      <c r="CO145" t="s">
        <v>183</v>
      </c>
      <c r="CP145" t="s">
        <v>266</v>
      </c>
      <c r="CS145" t="s">
        <v>198</v>
      </c>
      <c r="CT145" t="s">
        <v>2077</v>
      </c>
      <c r="CU145" t="s">
        <v>292</v>
      </c>
      <c r="CV145" t="s">
        <v>293</v>
      </c>
      <c r="CW145" t="s">
        <v>2484</v>
      </c>
      <c r="CX145" t="s">
        <v>235</v>
      </c>
      <c r="CY145" t="s">
        <v>183</v>
      </c>
      <c r="CZ145" t="s">
        <v>211</v>
      </c>
      <c r="DA145" t="s">
        <v>345</v>
      </c>
      <c r="DC145" t="s">
        <v>2485</v>
      </c>
      <c r="DD145" t="s">
        <v>831</v>
      </c>
      <c r="DE145" t="s">
        <v>267</v>
      </c>
      <c r="DF145" t="s">
        <v>268</v>
      </c>
      <c r="DG145" t="s">
        <v>2486</v>
      </c>
      <c r="DH145" t="s">
        <v>235</v>
      </c>
      <c r="DI145" t="s">
        <v>183</v>
      </c>
      <c r="DJ145" t="s">
        <v>211</v>
      </c>
      <c r="DK145" t="s">
        <v>345</v>
      </c>
      <c r="DM145" t="s">
        <v>542</v>
      </c>
      <c r="DN145" t="s">
        <v>2217</v>
      </c>
      <c r="DO145" t="s">
        <v>273</v>
      </c>
      <c r="DP145" t="s">
        <v>274</v>
      </c>
      <c r="DQ145" t="s">
        <v>2487</v>
      </c>
      <c r="DR145" t="s">
        <v>796</v>
      </c>
      <c r="DS145" t="s">
        <v>183</v>
      </c>
      <c r="DT145" t="s">
        <v>211</v>
      </c>
      <c r="DU145" t="s">
        <v>337</v>
      </c>
      <c r="DW145" t="s">
        <v>2488</v>
      </c>
      <c r="DX145" t="s">
        <v>994</v>
      </c>
      <c r="DY145" t="s">
        <v>302</v>
      </c>
      <c r="DZ145" t="s">
        <v>303</v>
      </c>
      <c r="EA145" t="s">
        <v>2489</v>
      </c>
      <c r="EB145" t="s">
        <v>305</v>
      </c>
      <c r="EC145" t="s">
        <v>183</v>
      </c>
      <c r="ED145" t="s">
        <v>211</v>
      </c>
      <c r="EE145" t="s">
        <v>345</v>
      </c>
      <c r="EG145" t="s">
        <v>2490</v>
      </c>
      <c r="EH145" t="s">
        <v>2491</v>
      </c>
      <c r="EI145" t="s">
        <v>238</v>
      </c>
      <c r="EJ145" t="s">
        <v>239</v>
      </c>
      <c r="EK145" t="s">
        <v>2492</v>
      </c>
      <c r="EL145" t="s">
        <v>278</v>
      </c>
      <c r="EM145" t="s">
        <v>183</v>
      </c>
      <c r="EN145" t="s">
        <v>211</v>
      </c>
      <c r="EO145" t="s">
        <v>345</v>
      </c>
      <c r="EQ145" t="s">
        <v>2493</v>
      </c>
      <c r="ER145" t="s">
        <v>2494</v>
      </c>
      <c r="ES145" t="s">
        <v>346</v>
      </c>
      <c r="ET145" t="s">
        <v>347</v>
      </c>
      <c r="EU145" t="s">
        <v>2495</v>
      </c>
      <c r="EV145" t="s">
        <v>1676</v>
      </c>
      <c r="EW145" t="s">
        <v>183</v>
      </c>
      <c r="EX145" t="s">
        <v>211</v>
      </c>
      <c r="EY145" t="s">
        <v>345</v>
      </c>
      <c r="FA145" t="s">
        <v>2496</v>
      </c>
      <c r="FB145" t="s">
        <v>2497</v>
      </c>
      <c r="FC145" t="s">
        <v>207</v>
      </c>
      <c r="FD145" t="s">
        <v>208</v>
      </c>
      <c r="FE145" t="s">
        <v>2498</v>
      </c>
      <c r="FF145" t="s">
        <v>2499</v>
      </c>
      <c r="FG145" t="s">
        <v>183</v>
      </c>
      <c r="FH145" t="s">
        <v>211</v>
      </c>
      <c r="FI145" t="s">
        <v>345</v>
      </c>
      <c r="FK145" t="s">
        <v>1355</v>
      </c>
      <c r="FU145" t="s">
        <v>198</v>
      </c>
    </row>
    <row r="146" spans="1:177">
      <c r="A146" s="1" t="str">
        <f>HYPERLINK("http://digipan.lumentumllc.com/apps/getLink/index.php?t=PropLink&amp;p=4637760","PL")</f>
        <v>PL</v>
      </c>
      <c r="B146" s="1" t="str">
        <f>HYPERLINK("http://digipan.lumentumllc.com/apps/getLink/index.php?t=TaxLink&amp;p=4637760","TL")</f>
        <v>TL</v>
      </c>
      <c r="C146" s="1" t="str">
        <f>HYPERLINK("http://digipan.lumentumllc.com/apps/getMap/index.php?p=4637760","Map")</f>
        <v>Map</v>
      </c>
      <c r="E146" t="s">
        <v>177</v>
      </c>
      <c r="F146" t="s">
        <v>178</v>
      </c>
      <c r="L146" t="s">
        <v>2500</v>
      </c>
      <c r="N146" t="s">
        <v>2500</v>
      </c>
      <c r="O146" t="s">
        <v>2500</v>
      </c>
      <c r="P146" t="s">
        <v>2501</v>
      </c>
      <c r="Q146" t="s">
        <v>2500</v>
      </c>
      <c r="V146">
        <v>172</v>
      </c>
      <c r="W146">
        <v>1</v>
      </c>
      <c r="X146">
        <v>2017</v>
      </c>
      <c r="Y146">
        <v>2018</v>
      </c>
      <c r="Z146">
        <v>514.78</v>
      </c>
      <c r="AG146" t="s">
        <v>184</v>
      </c>
      <c r="AH146">
        <v>0</v>
      </c>
      <c r="AK146">
        <v>0</v>
      </c>
      <c r="AL146">
        <v>35505</v>
      </c>
      <c r="AM146">
        <v>11812</v>
      </c>
      <c r="AN146">
        <v>23693</v>
      </c>
      <c r="AO146">
        <v>347</v>
      </c>
      <c r="AP146">
        <v>2016</v>
      </c>
      <c r="AQ146">
        <v>1.45</v>
      </c>
      <c r="AS146" t="s">
        <v>2502</v>
      </c>
      <c r="AT146" t="s">
        <v>420</v>
      </c>
      <c r="AU146" t="s">
        <v>177</v>
      </c>
      <c r="AV146" t="s">
        <v>421</v>
      </c>
      <c r="AW146" t="s">
        <v>182</v>
      </c>
      <c r="AX146">
        <v>2</v>
      </c>
      <c r="AY146" t="s">
        <v>188</v>
      </c>
      <c r="AZ146" t="s">
        <v>189</v>
      </c>
      <c r="BA146" t="s">
        <v>190</v>
      </c>
      <c r="BB146" t="s">
        <v>191</v>
      </c>
      <c r="BC146" t="s">
        <v>182</v>
      </c>
      <c r="BD146" t="s">
        <v>182</v>
      </c>
      <c r="BE146" t="s">
        <v>2503</v>
      </c>
      <c r="BF146">
        <v>1</v>
      </c>
      <c r="BG146">
        <v>1</v>
      </c>
      <c r="BH146">
        <v>1989</v>
      </c>
      <c r="BI146" t="s">
        <v>1291</v>
      </c>
      <c r="BJ146" t="s">
        <v>396</v>
      </c>
      <c r="BK146" t="s">
        <v>195</v>
      </c>
      <c r="BL146" t="s">
        <v>199</v>
      </c>
      <c r="BM146" t="s">
        <v>1156</v>
      </c>
      <c r="BN146" t="s">
        <v>182</v>
      </c>
      <c r="BO146" t="s">
        <v>198</v>
      </c>
      <c r="BP146" t="s">
        <v>198</v>
      </c>
      <c r="BQ146" t="s">
        <v>198</v>
      </c>
      <c r="BR146" t="s">
        <v>198</v>
      </c>
      <c r="BS146" t="s">
        <v>198</v>
      </c>
      <c r="BT146" t="s">
        <v>198</v>
      </c>
      <c r="BU146" t="s">
        <v>182</v>
      </c>
      <c r="BV146" t="s">
        <v>198</v>
      </c>
      <c r="BW146" t="s">
        <v>198</v>
      </c>
      <c r="BX146" t="s">
        <v>199</v>
      </c>
      <c r="BY146" t="s">
        <v>198</v>
      </c>
      <c r="BZ146" t="s">
        <v>199</v>
      </c>
      <c r="CA146" t="s">
        <v>199</v>
      </c>
      <c r="CB146" t="s">
        <v>2504</v>
      </c>
      <c r="CC146" t="s">
        <v>201</v>
      </c>
      <c r="CD146" t="s">
        <v>202</v>
      </c>
      <c r="CE146" t="s">
        <v>2505</v>
      </c>
      <c r="CF146" t="s">
        <v>1159</v>
      </c>
      <c r="CG146" t="s">
        <v>177</v>
      </c>
      <c r="CH146" t="s">
        <v>1160</v>
      </c>
      <c r="CI146" t="s">
        <v>2506</v>
      </c>
      <c r="CS146" t="s">
        <v>198</v>
      </c>
      <c r="DC146" t="s">
        <v>198</v>
      </c>
      <c r="DM146" t="s">
        <v>198</v>
      </c>
      <c r="DW146" t="s">
        <v>198</v>
      </c>
      <c r="EG146" t="s">
        <v>198</v>
      </c>
      <c r="EQ146" t="s">
        <v>198</v>
      </c>
      <c r="FA146" t="s">
        <v>198</v>
      </c>
      <c r="FK146" t="s">
        <v>198</v>
      </c>
      <c r="FU146" t="s">
        <v>198</v>
      </c>
    </row>
    <row r="147" spans="1:177">
      <c r="A147" s="1" t="str">
        <f>HYPERLINK("http://digipan.lumentumllc.com/apps/getLink/index.php?t=PropLink&amp;p=5246360","PL")</f>
        <v>PL</v>
      </c>
      <c r="B147" s="1" t="str">
        <f>HYPERLINK("http://digipan.lumentumllc.com/apps/getLink/index.php?t=TaxLink&amp;p=5246360","TL")</f>
        <v>TL</v>
      </c>
      <c r="C147" s="1" t="str">
        <f>HYPERLINK("http://digipan.lumentumllc.com/apps/getMap/index.php?p=5246360","Map")</f>
        <v>Map</v>
      </c>
      <c r="E147" t="s">
        <v>177</v>
      </c>
      <c r="F147" t="s">
        <v>178</v>
      </c>
      <c r="L147" t="s">
        <v>2507</v>
      </c>
      <c r="N147" t="s">
        <v>2507</v>
      </c>
      <c r="O147" t="s">
        <v>2507</v>
      </c>
      <c r="P147" t="s">
        <v>2508</v>
      </c>
      <c r="Q147" t="s">
        <v>2507</v>
      </c>
      <c r="V147">
        <v>173</v>
      </c>
      <c r="W147">
        <v>1</v>
      </c>
      <c r="X147">
        <v>2017</v>
      </c>
      <c r="Y147">
        <v>2018</v>
      </c>
      <c r="Z147">
        <v>444.13</v>
      </c>
      <c r="AB147" t="s">
        <v>181</v>
      </c>
      <c r="AC147" t="s">
        <v>182</v>
      </c>
      <c r="AD147" t="s">
        <v>183</v>
      </c>
      <c r="AE147">
        <v>0</v>
      </c>
      <c r="AF147">
        <v>3</v>
      </c>
      <c r="AG147" t="s">
        <v>216</v>
      </c>
      <c r="AH147">
        <v>100</v>
      </c>
      <c r="AK147">
        <v>0</v>
      </c>
      <c r="AL147">
        <v>27000</v>
      </c>
      <c r="AM147">
        <v>27000</v>
      </c>
      <c r="AN147">
        <v>0</v>
      </c>
      <c r="AO147">
        <v>332</v>
      </c>
      <c r="AP147">
        <v>2016</v>
      </c>
      <c r="AQ147">
        <v>1.64</v>
      </c>
      <c r="AS147" t="s">
        <v>1494</v>
      </c>
      <c r="AT147" t="s">
        <v>420</v>
      </c>
      <c r="AU147" t="s">
        <v>177</v>
      </c>
      <c r="AV147" t="s">
        <v>421</v>
      </c>
      <c r="AW147" t="s">
        <v>182</v>
      </c>
      <c r="AX147">
        <v>0</v>
      </c>
      <c r="AY147" t="s">
        <v>312</v>
      </c>
      <c r="AZ147" t="s">
        <v>199</v>
      </c>
      <c r="BA147" t="s">
        <v>313</v>
      </c>
      <c r="BB147" t="s">
        <v>191</v>
      </c>
      <c r="BC147" t="s">
        <v>182</v>
      </c>
      <c r="BD147" t="s">
        <v>182</v>
      </c>
      <c r="BE147" t="s">
        <v>1529</v>
      </c>
      <c r="BF147">
        <v>0</v>
      </c>
      <c r="BG147">
        <v>0</v>
      </c>
      <c r="BH147">
        <v>0</v>
      </c>
      <c r="BI147" t="s">
        <v>199</v>
      </c>
      <c r="BJ147" t="s">
        <v>315</v>
      </c>
      <c r="BL147" t="s">
        <v>199</v>
      </c>
      <c r="BM147" t="s">
        <v>410</v>
      </c>
      <c r="BN147" t="s">
        <v>182</v>
      </c>
      <c r="BO147" t="s">
        <v>198</v>
      </c>
      <c r="BP147" t="s">
        <v>198</v>
      </c>
      <c r="BQ147" t="s">
        <v>198</v>
      </c>
      <c r="BR147" t="s">
        <v>198</v>
      </c>
      <c r="BS147" t="s">
        <v>198</v>
      </c>
      <c r="BT147" t="s">
        <v>198</v>
      </c>
      <c r="BU147" t="s">
        <v>182</v>
      </c>
      <c r="BV147" t="s">
        <v>198</v>
      </c>
      <c r="BW147" t="s">
        <v>198</v>
      </c>
      <c r="BX147" t="s">
        <v>199</v>
      </c>
      <c r="BY147" t="s">
        <v>198</v>
      </c>
      <c r="BZ147" t="s">
        <v>199</v>
      </c>
      <c r="CA147" t="s">
        <v>199</v>
      </c>
      <c r="CB147" t="s">
        <v>2509</v>
      </c>
      <c r="CC147" t="s">
        <v>201</v>
      </c>
      <c r="CD147" t="s">
        <v>202</v>
      </c>
      <c r="CE147" t="s">
        <v>2510</v>
      </c>
      <c r="CF147" t="s">
        <v>1159</v>
      </c>
      <c r="CG147" t="s">
        <v>177</v>
      </c>
      <c r="CH147" t="s">
        <v>1160</v>
      </c>
      <c r="CI147" t="s">
        <v>2506</v>
      </c>
      <c r="CJ147" t="s">
        <v>2287</v>
      </c>
      <c r="CK147" t="s">
        <v>302</v>
      </c>
      <c r="CL147" t="s">
        <v>303</v>
      </c>
      <c r="CM147" t="s">
        <v>2511</v>
      </c>
      <c r="CN147" t="s">
        <v>440</v>
      </c>
      <c r="CO147" t="s">
        <v>183</v>
      </c>
      <c r="CP147" t="s">
        <v>211</v>
      </c>
      <c r="CQ147" t="s">
        <v>264</v>
      </c>
      <c r="CS147" t="s">
        <v>2512</v>
      </c>
      <c r="CT147" t="s">
        <v>2513</v>
      </c>
      <c r="CU147" t="s">
        <v>346</v>
      </c>
      <c r="CV147" t="s">
        <v>347</v>
      </c>
      <c r="CW147" t="s">
        <v>2514</v>
      </c>
      <c r="CX147" t="s">
        <v>2515</v>
      </c>
      <c r="CY147" t="s">
        <v>183</v>
      </c>
      <c r="CZ147" t="s">
        <v>211</v>
      </c>
      <c r="DA147" t="s">
        <v>342</v>
      </c>
      <c r="DC147" t="s">
        <v>2516</v>
      </c>
      <c r="DD147" t="s">
        <v>2517</v>
      </c>
      <c r="DE147" t="s">
        <v>207</v>
      </c>
      <c r="DF147" t="s">
        <v>208</v>
      </c>
      <c r="DG147" t="s">
        <v>2518</v>
      </c>
      <c r="DH147" t="s">
        <v>473</v>
      </c>
      <c r="DI147" t="s">
        <v>183</v>
      </c>
      <c r="DJ147" t="s">
        <v>211</v>
      </c>
      <c r="DK147" t="s">
        <v>345</v>
      </c>
      <c r="DM147" t="s">
        <v>2516</v>
      </c>
      <c r="DW147" t="s">
        <v>198</v>
      </c>
      <c r="EG147" t="s">
        <v>198</v>
      </c>
      <c r="EQ147" t="s">
        <v>198</v>
      </c>
      <c r="FA147" t="s">
        <v>198</v>
      </c>
      <c r="FK147" t="s">
        <v>198</v>
      </c>
      <c r="FU147" t="s">
        <v>198</v>
      </c>
    </row>
    <row r="148" spans="1:177">
      <c r="A148" s="1" t="str">
        <f>HYPERLINK("http://digipan.lumentumllc.com/apps/getLink/index.php?t=PropLink&amp;p=5246361","PL")</f>
        <v>PL</v>
      </c>
      <c r="B148" s="1" t="str">
        <f>HYPERLINK("http://digipan.lumentumllc.com/apps/getLink/index.php?t=TaxLink&amp;p=5246361","TL")</f>
        <v>TL</v>
      </c>
      <c r="C148" s="1" t="str">
        <f>HYPERLINK("http://digipan.lumentumllc.com/apps/getMap/index.php?p=5246361","Map")</f>
        <v>Map</v>
      </c>
      <c r="E148" t="s">
        <v>177</v>
      </c>
      <c r="F148" t="s">
        <v>178</v>
      </c>
      <c r="L148" t="s">
        <v>2519</v>
      </c>
      <c r="N148" t="s">
        <v>2519</v>
      </c>
      <c r="O148" t="s">
        <v>2519</v>
      </c>
      <c r="P148" t="s">
        <v>2520</v>
      </c>
      <c r="Q148" t="s">
        <v>2519</v>
      </c>
      <c r="V148">
        <v>174</v>
      </c>
      <c r="W148">
        <v>1</v>
      </c>
      <c r="X148">
        <v>2017</v>
      </c>
      <c r="Y148">
        <v>2018</v>
      </c>
      <c r="Z148">
        <v>532.16999999999996</v>
      </c>
      <c r="AB148" t="s">
        <v>181</v>
      </c>
      <c r="AC148" t="s">
        <v>182</v>
      </c>
      <c r="AD148" t="s">
        <v>183</v>
      </c>
      <c r="AE148">
        <v>1</v>
      </c>
      <c r="AF148">
        <v>3</v>
      </c>
      <c r="AG148" t="s">
        <v>363</v>
      </c>
      <c r="AH148">
        <v>67</v>
      </c>
      <c r="AI148">
        <v>526.13</v>
      </c>
      <c r="AJ148">
        <v>26.31</v>
      </c>
      <c r="AK148">
        <v>552.44000000000005</v>
      </c>
      <c r="AL148">
        <v>72444</v>
      </c>
      <c r="AM148">
        <v>15000</v>
      </c>
      <c r="AN148">
        <v>57444</v>
      </c>
      <c r="AO148">
        <v>462</v>
      </c>
      <c r="AP148">
        <v>2016</v>
      </c>
      <c r="AQ148">
        <v>0.73</v>
      </c>
      <c r="AR148">
        <v>0.76</v>
      </c>
      <c r="AS148" t="s">
        <v>2521</v>
      </c>
      <c r="AT148" t="s">
        <v>420</v>
      </c>
      <c r="AU148" t="s">
        <v>177</v>
      </c>
      <c r="AV148" t="s">
        <v>421</v>
      </c>
      <c r="AW148" t="s">
        <v>202</v>
      </c>
      <c r="AX148">
        <v>1</v>
      </c>
      <c r="AY148" t="s">
        <v>188</v>
      </c>
      <c r="AZ148" t="s">
        <v>206</v>
      </c>
      <c r="BA148" t="s">
        <v>355</v>
      </c>
      <c r="BB148" t="s">
        <v>191</v>
      </c>
      <c r="BC148" t="s">
        <v>182</v>
      </c>
      <c r="BD148" t="s">
        <v>182</v>
      </c>
      <c r="BE148" t="s">
        <v>383</v>
      </c>
      <c r="BF148">
        <v>1</v>
      </c>
      <c r="BG148">
        <v>1</v>
      </c>
      <c r="BH148">
        <v>1940</v>
      </c>
      <c r="BI148" t="s">
        <v>2522</v>
      </c>
      <c r="BJ148" t="s">
        <v>194</v>
      </c>
      <c r="BK148" t="s">
        <v>195</v>
      </c>
      <c r="BL148" t="s">
        <v>199</v>
      </c>
      <c r="BM148" t="s">
        <v>292</v>
      </c>
      <c r="BN148" t="s">
        <v>182</v>
      </c>
      <c r="BO148" t="s">
        <v>198</v>
      </c>
      <c r="BP148" t="s">
        <v>198</v>
      </c>
      <c r="BQ148" t="s">
        <v>198</v>
      </c>
      <c r="BR148" t="s">
        <v>198</v>
      </c>
      <c r="BS148" t="s">
        <v>198</v>
      </c>
      <c r="BT148" t="s">
        <v>198</v>
      </c>
      <c r="BU148" t="s">
        <v>182</v>
      </c>
      <c r="BV148" t="s">
        <v>198</v>
      </c>
      <c r="BW148" t="s">
        <v>198</v>
      </c>
      <c r="BX148" t="s">
        <v>199</v>
      </c>
      <c r="BY148" t="s">
        <v>198</v>
      </c>
      <c r="BZ148" t="s">
        <v>199</v>
      </c>
      <c r="CA148" t="s">
        <v>199</v>
      </c>
      <c r="CB148" t="s">
        <v>2523</v>
      </c>
      <c r="CC148" t="s">
        <v>201</v>
      </c>
      <c r="CD148" t="s">
        <v>182</v>
      </c>
      <c r="CE148" t="s">
        <v>2524</v>
      </c>
      <c r="CF148" t="s">
        <v>1159</v>
      </c>
      <c r="CG148" t="s">
        <v>177</v>
      </c>
      <c r="CH148" t="s">
        <v>1160</v>
      </c>
      <c r="CI148" t="s">
        <v>2525</v>
      </c>
      <c r="CJ148" t="s">
        <v>2526</v>
      </c>
      <c r="CK148" t="s">
        <v>232</v>
      </c>
      <c r="CL148" t="s">
        <v>233</v>
      </c>
      <c r="CM148" t="s">
        <v>2527</v>
      </c>
      <c r="CN148" t="s">
        <v>235</v>
      </c>
      <c r="CO148" t="s">
        <v>183</v>
      </c>
      <c r="CP148" t="s">
        <v>266</v>
      </c>
      <c r="CS148" t="s">
        <v>198</v>
      </c>
      <c r="CT148" t="s">
        <v>2528</v>
      </c>
      <c r="CU148" t="s">
        <v>238</v>
      </c>
      <c r="CV148" t="s">
        <v>239</v>
      </c>
      <c r="CW148" t="s">
        <v>2529</v>
      </c>
      <c r="CX148" t="s">
        <v>235</v>
      </c>
      <c r="CY148" t="s">
        <v>183</v>
      </c>
      <c r="CZ148" t="s">
        <v>211</v>
      </c>
      <c r="DA148" t="s">
        <v>339</v>
      </c>
      <c r="DC148" t="s">
        <v>2530</v>
      </c>
      <c r="DD148" t="s">
        <v>2531</v>
      </c>
      <c r="DE148" t="s">
        <v>346</v>
      </c>
      <c r="DF148" t="s">
        <v>347</v>
      </c>
      <c r="DG148" t="s">
        <v>2532</v>
      </c>
      <c r="DH148" t="s">
        <v>1966</v>
      </c>
      <c r="DI148" t="s">
        <v>183</v>
      </c>
      <c r="DJ148" t="s">
        <v>211</v>
      </c>
      <c r="DK148" t="s">
        <v>342</v>
      </c>
      <c r="DM148" t="s">
        <v>1268</v>
      </c>
      <c r="DN148" t="s">
        <v>2387</v>
      </c>
      <c r="DO148" t="s">
        <v>207</v>
      </c>
      <c r="DP148" t="s">
        <v>208</v>
      </c>
      <c r="DQ148" t="s">
        <v>2533</v>
      </c>
      <c r="DR148" t="s">
        <v>469</v>
      </c>
      <c r="DS148" t="s">
        <v>183</v>
      </c>
      <c r="DT148" t="s">
        <v>211</v>
      </c>
      <c r="DU148" t="s">
        <v>345</v>
      </c>
      <c r="DW148" t="s">
        <v>2534</v>
      </c>
      <c r="EG148" t="s">
        <v>198</v>
      </c>
      <c r="EQ148" t="s">
        <v>198</v>
      </c>
      <c r="FA148" t="s">
        <v>198</v>
      </c>
      <c r="FK148" t="s">
        <v>198</v>
      </c>
      <c r="FU148" t="s">
        <v>198</v>
      </c>
    </row>
    <row r="149" spans="1:177">
      <c r="A149" s="1" t="str">
        <f>HYPERLINK("http://digipan.lumentumllc.com/apps/getLink/index.php?t=PropLink&amp;p=5246362","PL")</f>
        <v>PL</v>
      </c>
      <c r="B149" s="1" t="str">
        <f>HYPERLINK("http://digipan.lumentumllc.com/apps/getLink/index.php?t=TaxLink&amp;p=5246362","TL")</f>
        <v>TL</v>
      </c>
      <c r="C149" s="1" t="str">
        <f>HYPERLINK("http://digipan.lumentumllc.com/apps/getMap/index.php?p=5246362","Map")</f>
        <v>Map</v>
      </c>
      <c r="E149" t="s">
        <v>177</v>
      </c>
      <c r="F149" t="s">
        <v>178</v>
      </c>
      <c r="L149" t="s">
        <v>2535</v>
      </c>
      <c r="N149" t="s">
        <v>2535</v>
      </c>
      <c r="O149" t="s">
        <v>2535</v>
      </c>
      <c r="P149" t="s">
        <v>2536</v>
      </c>
      <c r="Q149" t="s">
        <v>2535</v>
      </c>
      <c r="V149">
        <v>175</v>
      </c>
      <c r="W149">
        <v>1</v>
      </c>
      <c r="X149">
        <v>2017</v>
      </c>
      <c r="Y149">
        <v>2018</v>
      </c>
      <c r="Z149">
        <v>2510.75</v>
      </c>
      <c r="AB149" t="s">
        <v>181</v>
      </c>
      <c r="AC149" t="s">
        <v>202</v>
      </c>
      <c r="AD149" t="s">
        <v>183</v>
      </c>
      <c r="AE149">
        <v>1</v>
      </c>
      <c r="AF149">
        <v>6</v>
      </c>
      <c r="AG149" t="s">
        <v>322</v>
      </c>
      <c r="AH149">
        <v>83</v>
      </c>
      <c r="AI149">
        <v>2484.17</v>
      </c>
      <c r="AJ149">
        <v>124.21</v>
      </c>
      <c r="AK149">
        <v>2608.38</v>
      </c>
      <c r="AL149">
        <v>278271</v>
      </c>
      <c r="AM149">
        <v>19646</v>
      </c>
      <c r="AN149">
        <v>258625</v>
      </c>
      <c r="AO149">
        <v>2272</v>
      </c>
      <c r="AP149">
        <v>2016</v>
      </c>
      <c r="AQ149">
        <v>0.9</v>
      </c>
      <c r="AR149">
        <v>0.94</v>
      </c>
      <c r="AS149" t="s">
        <v>2537</v>
      </c>
      <c r="AT149" t="s">
        <v>420</v>
      </c>
      <c r="AU149" t="s">
        <v>177</v>
      </c>
      <c r="AV149" t="s">
        <v>421</v>
      </c>
      <c r="AW149" t="s">
        <v>202</v>
      </c>
      <c r="AX149">
        <v>50</v>
      </c>
      <c r="AY149" t="s">
        <v>218</v>
      </c>
      <c r="AZ149" t="s">
        <v>589</v>
      </c>
      <c r="BA149" t="s">
        <v>590</v>
      </c>
      <c r="BB149" t="s">
        <v>191</v>
      </c>
      <c r="BC149" t="s">
        <v>182</v>
      </c>
      <c r="BD149" t="s">
        <v>182</v>
      </c>
      <c r="BE149" t="s">
        <v>2538</v>
      </c>
      <c r="BF149">
        <v>2</v>
      </c>
      <c r="BG149">
        <v>2</v>
      </c>
      <c r="BH149">
        <v>1950</v>
      </c>
      <c r="BI149" t="s">
        <v>2539</v>
      </c>
      <c r="BJ149" t="s">
        <v>194</v>
      </c>
      <c r="BK149" t="s">
        <v>195</v>
      </c>
      <c r="BL149" t="s">
        <v>1753</v>
      </c>
      <c r="BM149" t="s">
        <v>2540</v>
      </c>
      <c r="BN149" t="s">
        <v>182</v>
      </c>
      <c r="BO149" t="s">
        <v>2541</v>
      </c>
      <c r="BP149" t="s">
        <v>2542</v>
      </c>
      <c r="BQ149" t="s">
        <v>904</v>
      </c>
      <c r="BR149" t="s">
        <v>643</v>
      </c>
      <c r="BS149" t="s">
        <v>198</v>
      </c>
      <c r="BT149" t="s">
        <v>2543</v>
      </c>
      <c r="BU149" t="s">
        <v>182</v>
      </c>
      <c r="BV149" t="s">
        <v>198</v>
      </c>
      <c r="BW149" t="s">
        <v>198</v>
      </c>
      <c r="BX149" t="s">
        <v>199</v>
      </c>
      <c r="BY149" t="s">
        <v>198</v>
      </c>
      <c r="BZ149" t="s">
        <v>199</v>
      </c>
      <c r="CA149" t="s">
        <v>199</v>
      </c>
      <c r="CB149" t="s">
        <v>2544</v>
      </c>
      <c r="CC149" t="s">
        <v>201</v>
      </c>
      <c r="CD149" t="s">
        <v>182</v>
      </c>
      <c r="CE149" t="s">
        <v>2545</v>
      </c>
      <c r="CF149" t="s">
        <v>2546</v>
      </c>
      <c r="CG149" t="s">
        <v>177</v>
      </c>
      <c r="CH149" t="s">
        <v>2398</v>
      </c>
      <c r="CI149" t="s">
        <v>2547</v>
      </c>
      <c r="CJ149" t="s">
        <v>1265</v>
      </c>
      <c r="CK149" t="s">
        <v>232</v>
      </c>
      <c r="CL149" t="s">
        <v>233</v>
      </c>
      <c r="CM149" t="s">
        <v>2548</v>
      </c>
      <c r="CN149" t="s">
        <v>235</v>
      </c>
      <c r="CO149" t="s">
        <v>183</v>
      </c>
      <c r="CP149" t="s">
        <v>266</v>
      </c>
      <c r="CS149" t="s">
        <v>198</v>
      </c>
      <c r="CT149" t="s">
        <v>2310</v>
      </c>
      <c r="CU149" t="s">
        <v>267</v>
      </c>
      <c r="CV149" t="s">
        <v>268</v>
      </c>
      <c r="CW149" t="s">
        <v>2549</v>
      </c>
      <c r="CX149" t="s">
        <v>235</v>
      </c>
      <c r="CY149" t="s">
        <v>183</v>
      </c>
      <c r="CZ149" t="s">
        <v>211</v>
      </c>
      <c r="DA149" t="s">
        <v>270</v>
      </c>
      <c r="DB149" t="s">
        <v>271</v>
      </c>
      <c r="DC149" t="s">
        <v>2550</v>
      </c>
      <c r="DD149" t="s">
        <v>971</v>
      </c>
      <c r="DE149" t="s">
        <v>273</v>
      </c>
      <c r="DF149" t="s">
        <v>274</v>
      </c>
      <c r="DG149" t="s">
        <v>2551</v>
      </c>
      <c r="DH149" t="s">
        <v>235</v>
      </c>
      <c r="DI149" t="s">
        <v>183</v>
      </c>
      <c r="DJ149" t="s">
        <v>211</v>
      </c>
      <c r="DL149" t="s">
        <v>271</v>
      </c>
      <c r="DM149" t="s">
        <v>198</v>
      </c>
      <c r="DN149" t="s">
        <v>2295</v>
      </c>
      <c r="DO149" t="s">
        <v>302</v>
      </c>
      <c r="DP149" t="s">
        <v>303</v>
      </c>
      <c r="DQ149" t="s">
        <v>2552</v>
      </c>
      <c r="DR149" t="s">
        <v>235</v>
      </c>
      <c r="DS149" t="s">
        <v>183</v>
      </c>
      <c r="DT149" t="s">
        <v>211</v>
      </c>
      <c r="DU149" t="s">
        <v>345</v>
      </c>
      <c r="DW149" t="s">
        <v>2553</v>
      </c>
      <c r="DX149" t="s">
        <v>2554</v>
      </c>
      <c r="DY149" t="s">
        <v>238</v>
      </c>
      <c r="DZ149" t="s">
        <v>239</v>
      </c>
      <c r="EA149" t="s">
        <v>2555</v>
      </c>
      <c r="EB149" t="s">
        <v>235</v>
      </c>
      <c r="EC149" t="s">
        <v>183</v>
      </c>
      <c r="ED149" t="s">
        <v>211</v>
      </c>
      <c r="EE149" t="s">
        <v>345</v>
      </c>
      <c r="EG149" t="s">
        <v>2493</v>
      </c>
      <c r="EH149" t="s">
        <v>2556</v>
      </c>
      <c r="EI149" t="s">
        <v>346</v>
      </c>
      <c r="EJ149" t="s">
        <v>347</v>
      </c>
      <c r="EK149" t="s">
        <v>2557</v>
      </c>
      <c r="EL149" t="s">
        <v>235</v>
      </c>
      <c r="EM149" t="s">
        <v>183</v>
      </c>
      <c r="EN149" t="s">
        <v>211</v>
      </c>
      <c r="EO149" t="s">
        <v>345</v>
      </c>
      <c r="EQ149" t="s">
        <v>2496</v>
      </c>
      <c r="ER149" t="s">
        <v>2411</v>
      </c>
      <c r="ES149" t="s">
        <v>207</v>
      </c>
      <c r="ET149" t="s">
        <v>208</v>
      </c>
      <c r="EU149" t="s">
        <v>2558</v>
      </c>
      <c r="EV149" t="s">
        <v>469</v>
      </c>
      <c r="EW149" t="s">
        <v>183</v>
      </c>
      <c r="EX149" t="s">
        <v>211</v>
      </c>
      <c r="EY149" t="s">
        <v>298</v>
      </c>
      <c r="FA149" t="s">
        <v>1167</v>
      </c>
      <c r="FK149" t="s">
        <v>198</v>
      </c>
      <c r="FU149" t="s">
        <v>198</v>
      </c>
    </row>
    <row r="150" spans="1:177">
      <c r="A150" s="1" t="str">
        <f>HYPERLINK("http://digipan.lumentumllc.com/apps/getLink/index.php?t=PropLink&amp;p=5246363","PL")</f>
        <v>PL</v>
      </c>
      <c r="B150" s="1" t="str">
        <f>HYPERLINK("http://digipan.lumentumllc.com/apps/getLink/index.php?t=TaxLink&amp;p=5246363","TL")</f>
        <v>TL</v>
      </c>
      <c r="C150" s="1" t="str">
        <f>HYPERLINK("http://digipan.lumentumllc.com/apps/getMap/index.php?p=5246363","Map")</f>
        <v>Map</v>
      </c>
      <c r="E150" t="s">
        <v>177</v>
      </c>
      <c r="F150" t="s">
        <v>178</v>
      </c>
      <c r="L150" t="s">
        <v>2559</v>
      </c>
      <c r="N150" t="s">
        <v>2559</v>
      </c>
      <c r="O150" t="s">
        <v>2559</v>
      </c>
      <c r="P150" t="s">
        <v>2560</v>
      </c>
      <c r="Q150" t="s">
        <v>2559</v>
      </c>
      <c r="V150">
        <v>176</v>
      </c>
      <c r="W150">
        <v>1</v>
      </c>
      <c r="X150">
        <v>2017</v>
      </c>
      <c r="Y150">
        <v>2018</v>
      </c>
      <c r="Z150">
        <v>598.36</v>
      </c>
      <c r="AB150" t="s">
        <v>181</v>
      </c>
      <c r="AC150" t="s">
        <v>202</v>
      </c>
      <c r="AD150" t="s">
        <v>183</v>
      </c>
      <c r="AE150">
        <v>1</v>
      </c>
      <c r="AF150">
        <v>6</v>
      </c>
      <c r="AG150" t="s">
        <v>322</v>
      </c>
      <c r="AH150">
        <v>83</v>
      </c>
      <c r="AI150">
        <v>570.66999999999996</v>
      </c>
      <c r="AJ150">
        <v>28.53</v>
      </c>
      <c r="AK150">
        <v>599.20000000000005</v>
      </c>
      <c r="AL150">
        <v>70126</v>
      </c>
      <c r="AM150">
        <v>46480</v>
      </c>
      <c r="AN150">
        <v>23646</v>
      </c>
      <c r="AO150">
        <v>503</v>
      </c>
      <c r="AP150">
        <v>2016</v>
      </c>
      <c r="AQ150">
        <v>0.85</v>
      </c>
      <c r="AR150">
        <v>0.85</v>
      </c>
      <c r="AS150" t="s">
        <v>2561</v>
      </c>
      <c r="AT150" t="s">
        <v>420</v>
      </c>
      <c r="AU150" t="s">
        <v>177</v>
      </c>
      <c r="AV150" t="s">
        <v>421</v>
      </c>
      <c r="AW150" t="s">
        <v>202</v>
      </c>
      <c r="AX150">
        <v>2</v>
      </c>
      <c r="AY150" t="s">
        <v>188</v>
      </c>
      <c r="AZ150" t="s">
        <v>189</v>
      </c>
      <c r="BA150" t="s">
        <v>190</v>
      </c>
      <c r="BB150" t="s">
        <v>191</v>
      </c>
      <c r="BC150" t="s">
        <v>182</v>
      </c>
      <c r="BD150" t="s">
        <v>182</v>
      </c>
      <c r="BE150" t="s">
        <v>2562</v>
      </c>
      <c r="BF150">
        <v>1</v>
      </c>
      <c r="BG150">
        <v>1</v>
      </c>
      <c r="BH150">
        <v>1990</v>
      </c>
      <c r="BI150" t="s">
        <v>2563</v>
      </c>
      <c r="BJ150" t="s">
        <v>194</v>
      </c>
      <c r="BK150" t="s">
        <v>195</v>
      </c>
      <c r="BL150" t="s">
        <v>199</v>
      </c>
      <c r="BM150" t="s">
        <v>533</v>
      </c>
      <c r="BN150" t="s">
        <v>182</v>
      </c>
      <c r="BO150" t="s">
        <v>198</v>
      </c>
      <c r="BP150" t="s">
        <v>198</v>
      </c>
      <c r="BQ150" t="s">
        <v>198</v>
      </c>
      <c r="BR150" t="s">
        <v>198</v>
      </c>
      <c r="BS150" t="s">
        <v>198</v>
      </c>
      <c r="BT150" t="s">
        <v>198</v>
      </c>
      <c r="BU150" t="s">
        <v>182</v>
      </c>
      <c r="BV150" t="s">
        <v>198</v>
      </c>
      <c r="BW150" t="s">
        <v>198</v>
      </c>
      <c r="BX150" t="s">
        <v>199</v>
      </c>
      <c r="BY150" t="s">
        <v>198</v>
      </c>
      <c r="BZ150" t="s">
        <v>199</v>
      </c>
      <c r="CA150" t="s">
        <v>199</v>
      </c>
      <c r="CB150" t="s">
        <v>2479</v>
      </c>
      <c r="CC150" t="s">
        <v>201</v>
      </c>
      <c r="CD150" t="s">
        <v>182</v>
      </c>
      <c r="CE150" t="s">
        <v>2564</v>
      </c>
      <c r="CF150" t="s">
        <v>1159</v>
      </c>
      <c r="CG150" t="s">
        <v>177</v>
      </c>
      <c r="CH150" t="s">
        <v>1160</v>
      </c>
      <c r="CI150" t="s">
        <v>2565</v>
      </c>
      <c r="CJ150" t="s">
        <v>2566</v>
      </c>
      <c r="CK150" t="s">
        <v>232</v>
      </c>
      <c r="CL150" t="s">
        <v>233</v>
      </c>
      <c r="CM150" t="s">
        <v>2567</v>
      </c>
      <c r="CN150" t="s">
        <v>235</v>
      </c>
      <c r="CO150" t="s">
        <v>183</v>
      </c>
      <c r="CP150" t="s">
        <v>266</v>
      </c>
      <c r="CS150" t="s">
        <v>198</v>
      </c>
      <c r="CT150" t="s">
        <v>876</v>
      </c>
      <c r="CU150" t="s">
        <v>267</v>
      </c>
      <c r="CV150" t="s">
        <v>268</v>
      </c>
      <c r="CW150" t="s">
        <v>2568</v>
      </c>
      <c r="CX150" t="s">
        <v>235</v>
      </c>
      <c r="CY150" t="s">
        <v>183</v>
      </c>
      <c r="CZ150" t="s">
        <v>211</v>
      </c>
      <c r="DA150" t="s">
        <v>270</v>
      </c>
      <c r="DB150" t="s">
        <v>271</v>
      </c>
      <c r="DC150" t="s">
        <v>272</v>
      </c>
      <c r="DD150" t="s">
        <v>1018</v>
      </c>
      <c r="DE150" t="s">
        <v>273</v>
      </c>
      <c r="DF150" t="s">
        <v>274</v>
      </c>
      <c r="DG150" t="s">
        <v>2569</v>
      </c>
      <c r="DH150" t="s">
        <v>235</v>
      </c>
      <c r="DI150" t="s">
        <v>183</v>
      </c>
      <c r="DJ150" t="s">
        <v>211</v>
      </c>
      <c r="DL150" t="s">
        <v>271</v>
      </c>
      <c r="DM150" t="s">
        <v>198</v>
      </c>
      <c r="DN150" t="s">
        <v>1098</v>
      </c>
      <c r="DO150" t="s">
        <v>302</v>
      </c>
      <c r="DP150" t="s">
        <v>303</v>
      </c>
      <c r="DQ150" t="s">
        <v>2570</v>
      </c>
      <c r="DR150" t="s">
        <v>1586</v>
      </c>
      <c r="DS150" t="s">
        <v>183</v>
      </c>
      <c r="DT150" t="s">
        <v>211</v>
      </c>
      <c r="DU150" t="s">
        <v>345</v>
      </c>
      <c r="DW150" t="s">
        <v>2490</v>
      </c>
      <c r="DX150" t="s">
        <v>2571</v>
      </c>
      <c r="DY150" t="s">
        <v>238</v>
      </c>
      <c r="DZ150" t="s">
        <v>239</v>
      </c>
      <c r="EA150" t="s">
        <v>2572</v>
      </c>
      <c r="EB150" t="s">
        <v>440</v>
      </c>
      <c r="EC150" t="s">
        <v>183</v>
      </c>
      <c r="ED150" t="s">
        <v>211</v>
      </c>
      <c r="EE150" t="s">
        <v>345</v>
      </c>
      <c r="EG150" t="s">
        <v>2493</v>
      </c>
      <c r="EH150" t="s">
        <v>2573</v>
      </c>
      <c r="EI150" t="s">
        <v>346</v>
      </c>
      <c r="EJ150" t="s">
        <v>347</v>
      </c>
      <c r="EK150" t="s">
        <v>2574</v>
      </c>
      <c r="EL150" t="s">
        <v>469</v>
      </c>
      <c r="EM150" t="s">
        <v>183</v>
      </c>
      <c r="EN150" t="s">
        <v>211</v>
      </c>
      <c r="EO150" t="s">
        <v>345</v>
      </c>
      <c r="EQ150" t="s">
        <v>2496</v>
      </c>
      <c r="ER150" t="s">
        <v>2575</v>
      </c>
      <c r="ES150" t="s">
        <v>207</v>
      </c>
      <c r="ET150" t="s">
        <v>208</v>
      </c>
      <c r="EU150" t="s">
        <v>2576</v>
      </c>
      <c r="EV150" t="s">
        <v>210</v>
      </c>
      <c r="EW150" t="s">
        <v>183</v>
      </c>
      <c r="EX150" t="s">
        <v>211</v>
      </c>
      <c r="EY150" t="s">
        <v>345</v>
      </c>
      <c r="FA150" t="s">
        <v>1355</v>
      </c>
      <c r="FK150" t="s">
        <v>198</v>
      </c>
      <c r="FU150" t="s">
        <v>198</v>
      </c>
    </row>
    <row r="151" spans="1:177">
      <c r="A151" s="1" t="str">
        <f>HYPERLINK("http://digipan.lumentumllc.com/apps/getLink/index.php?t=PropLink&amp;p=15748396","PL")</f>
        <v>PL</v>
      </c>
      <c r="B151" s="1" t="str">
        <f>HYPERLINK("http://digipan.lumentumllc.com/apps/getLink/index.php?t=TaxLink&amp;p=15748396","TL")</f>
        <v>TL</v>
      </c>
      <c r="C151" s="1" t="str">
        <f>HYPERLINK("http://digipan.lumentumllc.com/apps/getMap/index.php?p=15748396","Map")</f>
        <v>Map</v>
      </c>
      <c r="E151" t="s">
        <v>177</v>
      </c>
      <c r="F151" t="s">
        <v>178</v>
      </c>
      <c r="L151" t="s">
        <v>2577</v>
      </c>
      <c r="N151" t="s">
        <v>2577</v>
      </c>
      <c r="O151" t="s">
        <v>2577</v>
      </c>
      <c r="Q151" t="s">
        <v>2577</v>
      </c>
      <c r="V151">
        <v>177</v>
      </c>
      <c r="W151">
        <v>1</v>
      </c>
      <c r="X151">
        <v>2017</v>
      </c>
      <c r="Y151">
        <v>2018</v>
      </c>
      <c r="Z151">
        <v>608.39</v>
      </c>
      <c r="AG151" t="s">
        <v>184</v>
      </c>
      <c r="AH151">
        <v>0</v>
      </c>
      <c r="AK151">
        <v>0</v>
      </c>
      <c r="AL151">
        <v>35204</v>
      </c>
      <c r="AM151">
        <v>22950</v>
      </c>
      <c r="AN151">
        <v>12254</v>
      </c>
      <c r="AO151">
        <v>0</v>
      </c>
      <c r="AP151">
        <v>0</v>
      </c>
      <c r="AQ151">
        <v>1.73</v>
      </c>
      <c r="AS151" t="s">
        <v>2578</v>
      </c>
      <c r="AT151" t="s">
        <v>420</v>
      </c>
      <c r="AU151" t="s">
        <v>177</v>
      </c>
      <c r="AV151" t="s">
        <v>421</v>
      </c>
      <c r="AW151" t="s">
        <v>182</v>
      </c>
      <c r="AX151">
        <v>2</v>
      </c>
      <c r="AY151" t="s">
        <v>188</v>
      </c>
      <c r="AZ151" t="s">
        <v>189</v>
      </c>
      <c r="BA151" t="s">
        <v>190</v>
      </c>
      <c r="BB151" t="s">
        <v>191</v>
      </c>
      <c r="BC151" t="s">
        <v>182</v>
      </c>
      <c r="BD151" t="s">
        <v>182</v>
      </c>
      <c r="BE151" t="s">
        <v>2579</v>
      </c>
      <c r="BF151">
        <v>1</v>
      </c>
      <c r="BG151">
        <v>1</v>
      </c>
      <c r="BH151">
        <v>1973</v>
      </c>
      <c r="BI151" t="s">
        <v>2580</v>
      </c>
      <c r="BJ151" t="s">
        <v>194</v>
      </c>
      <c r="BK151" t="s">
        <v>195</v>
      </c>
      <c r="BL151" t="s">
        <v>2581</v>
      </c>
      <c r="BM151" t="s">
        <v>2582</v>
      </c>
      <c r="BN151" t="s">
        <v>182</v>
      </c>
      <c r="BO151" t="s">
        <v>198</v>
      </c>
      <c r="BP151" t="s">
        <v>198</v>
      </c>
      <c r="BQ151" t="s">
        <v>198</v>
      </c>
      <c r="BR151" t="s">
        <v>198</v>
      </c>
      <c r="BS151" t="s">
        <v>198</v>
      </c>
      <c r="BT151" t="s">
        <v>198</v>
      </c>
      <c r="BU151" t="s">
        <v>182</v>
      </c>
      <c r="BV151" t="s">
        <v>198</v>
      </c>
      <c r="BW151" t="s">
        <v>198</v>
      </c>
      <c r="BX151" t="s">
        <v>199</v>
      </c>
      <c r="BY151" t="s">
        <v>198</v>
      </c>
      <c r="BZ151" t="s">
        <v>199</v>
      </c>
      <c r="CA151" t="s">
        <v>199</v>
      </c>
      <c r="CB151" t="s">
        <v>2583</v>
      </c>
      <c r="CC151" t="s">
        <v>201</v>
      </c>
      <c r="CD151" t="s">
        <v>202</v>
      </c>
      <c r="CE151" t="s">
        <v>2584</v>
      </c>
      <c r="CF151" t="s">
        <v>1159</v>
      </c>
      <c r="CG151" t="s">
        <v>177</v>
      </c>
      <c r="CH151" t="s">
        <v>1160</v>
      </c>
      <c r="CI151" t="s">
        <v>2585</v>
      </c>
      <c r="CS151" t="s">
        <v>198</v>
      </c>
      <c r="DC151" t="s">
        <v>198</v>
      </c>
      <c r="DM151" t="s">
        <v>198</v>
      </c>
      <c r="DW151" t="s">
        <v>198</v>
      </c>
      <c r="EG151" t="s">
        <v>198</v>
      </c>
      <c r="EQ151" t="s">
        <v>198</v>
      </c>
      <c r="FA151" t="s">
        <v>198</v>
      </c>
      <c r="FK151" t="s">
        <v>198</v>
      </c>
      <c r="FU151" t="s">
        <v>198</v>
      </c>
    </row>
    <row r="152" spans="1:177">
      <c r="A152" s="1" t="str">
        <f>HYPERLINK("http://digipan.lumentumllc.com/apps/getLink/index.php?t=PropLink&amp;p=4637762","PL")</f>
        <v>PL</v>
      </c>
      <c r="B152" s="1" t="str">
        <f>HYPERLINK("http://digipan.lumentumllc.com/apps/getLink/index.php?t=TaxLink&amp;p=4637762","TL")</f>
        <v>TL</v>
      </c>
      <c r="C152" s="1" t="str">
        <f>HYPERLINK("http://digipan.lumentumllc.com/apps/getMap/index.php?p=4637762","Map")</f>
        <v>Map</v>
      </c>
      <c r="E152" t="s">
        <v>177</v>
      </c>
      <c r="F152" t="s">
        <v>178</v>
      </c>
      <c r="L152" t="s">
        <v>2586</v>
      </c>
      <c r="N152" t="s">
        <v>2586</v>
      </c>
      <c r="O152" t="s">
        <v>2586</v>
      </c>
      <c r="P152" t="s">
        <v>2587</v>
      </c>
      <c r="Q152" t="s">
        <v>2586</v>
      </c>
      <c r="V152">
        <v>178</v>
      </c>
      <c r="W152">
        <v>1</v>
      </c>
      <c r="X152">
        <v>2017</v>
      </c>
      <c r="Y152">
        <v>2018</v>
      </c>
      <c r="Z152">
        <v>367.76</v>
      </c>
      <c r="AB152" t="s">
        <v>181</v>
      </c>
      <c r="AC152" t="s">
        <v>182</v>
      </c>
      <c r="AD152" t="s">
        <v>183</v>
      </c>
      <c r="AE152">
        <v>1</v>
      </c>
      <c r="AF152">
        <v>3</v>
      </c>
      <c r="AG152" t="s">
        <v>257</v>
      </c>
      <c r="AH152">
        <v>75</v>
      </c>
      <c r="AI152">
        <v>318.82</v>
      </c>
      <c r="AJ152">
        <v>20.72</v>
      </c>
      <c r="AK152">
        <v>339.54</v>
      </c>
      <c r="AL152">
        <v>22500</v>
      </c>
      <c r="AM152">
        <v>22500</v>
      </c>
      <c r="AN152">
        <v>0</v>
      </c>
      <c r="AO152">
        <v>270</v>
      </c>
      <c r="AP152">
        <v>2016</v>
      </c>
      <c r="AQ152">
        <v>1.63</v>
      </c>
      <c r="AR152">
        <v>1.51</v>
      </c>
      <c r="AS152" t="s">
        <v>2588</v>
      </c>
      <c r="AT152" t="s">
        <v>420</v>
      </c>
      <c r="AU152" t="s">
        <v>177</v>
      </c>
      <c r="AV152" t="s">
        <v>421</v>
      </c>
      <c r="AW152" t="s">
        <v>182</v>
      </c>
      <c r="AX152">
        <v>0</v>
      </c>
      <c r="AY152" t="s">
        <v>312</v>
      </c>
      <c r="AZ152" t="s">
        <v>199</v>
      </c>
      <c r="BA152" t="s">
        <v>313</v>
      </c>
      <c r="BB152" t="s">
        <v>191</v>
      </c>
      <c r="BC152" t="s">
        <v>182</v>
      </c>
      <c r="BD152" t="s">
        <v>182</v>
      </c>
      <c r="BE152" t="s">
        <v>2589</v>
      </c>
      <c r="BF152">
        <v>0</v>
      </c>
      <c r="BG152">
        <v>0</v>
      </c>
      <c r="BH152">
        <v>0</v>
      </c>
      <c r="BI152" t="s">
        <v>199</v>
      </c>
      <c r="BJ152" t="s">
        <v>248</v>
      </c>
      <c r="BL152" t="s">
        <v>199</v>
      </c>
      <c r="BM152" t="s">
        <v>2351</v>
      </c>
      <c r="BN152" t="s">
        <v>182</v>
      </c>
      <c r="BO152" t="s">
        <v>198</v>
      </c>
      <c r="BP152" t="s">
        <v>198</v>
      </c>
      <c r="BQ152" t="s">
        <v>198</v>
      </c>
      <c r="BR152" t="s">
        <v>198</v>
      </c>
      <c r="BS152" t="s">
        <v>198</v>
      </c>
      <c r="BT152" t="s">
        <v>198</v>
      </c>
      <c r="BU152" t="s">
        <v>182</v>
      </c>
      <c r="BV152" t="s">
        <v>198</v>
      </c>
      <c r="BW152" t="s">
        <v>198</v>
      </c>
      <c r="BX152" t="s">
        <v>199</v>
      </c>
      <c r="BY152" t="s">
        <v>198</v>
      </c>
      <c r="BZ152" t="s">
        <v>199</v>
      </c>
      <c r="CA152" t="s">
        <v>199</v>
      </c>
      <c r="CB152" t="s">
        <v>2590</v>
      </c>
      <c r="CC152" t="s">
        <v>201</v>
      </c>
      <c r="CD152" t="s">
        <v>182</v>
      </c>
      <c r="CE152" t="s">
        <v>2591</v>
      </c>
      <c r="CF152" t="s">
        <v>1159</v>
      </c>
      <c r="CG152" t="s">
        <v>177</v>
      </c>
      <c r="CH152" t="s">
        <v>1160</v>
      </c>
      <c r="CI152" t="s">
        <v>2592</v>
      </c>
      <c r="CJ152" t="s">
        <v>1353</v>
      </c>
      <c r="CK152" t="s">
        <v>232</v>
      </c>
      <c r="CL152" t="s">
        <v>233</v>
      </c>
      <c r="CM152" t="s">
        <v>2593</v>
      </c>
      <c r="CN152" t="s">
        <v>688</v>
      </c>
      <c r="CO152" t="s">
        <v>183</v>
      </c>
      <c r="CP152" t="s">
        <v>266</v>
      </c>
      <c r="CS152" t="s">
        <v>198</v>
      </c>
      <c r="CT152" t="s">
        <v>2594</v>
      </c>
      <c r="CU152" t="s">
        <v>292</v>
      </c>
      <c r="CV152" t="s">
        <v>293</v>
      </c>
      <c r="CW152" t="s">
        <v>2595</v>
      </c>
      <c r="CX152" t="s">
        <v>333</v>
      </c>
      <c r="CY152" t="s">
        <v>183</v>
      </c>
      <c r="CZ152" t="s">
        <v>211</v>
      </c>
      <c r="DA152" t="s">
        <v>298</v>
      </c>
      <c r="DC152" t="s">
        <v>1235</v>
      </c>
      <c r="DD152" t="s">
        <v>855</v>
      </c>
      <c r="DE152" t="s">
        <v>267</v>
      </c>
      <c r="DF152" t="s">
        <v>268</v>
      </c>
      <c r="DG152" t="s">
        <v>2596</v>
      </c>
      <c r="DH152" t="s">
        <v>400</v>
      </c>
      <c r="DI152" t="s">
        <v>183</v>
      </c>
      <c r="DJ152" t="s">
        <v>211</v>
      </c>
      <c r="DK152" t="s">
        <v>298</v>
      </c>
      <c r="DM152" t="s">
        <v>2151</v>
      </c>
      <c r="DN152" t="s">
        <v>2259</v>
      </c>
      <c r="DO152" t="s">
        <v>273</v>
      </c>
      <c r="DP152" t="s">
        <v>274</v>
      </c>
      <c r="DQ152" t="s">
        <v>2597</v>
      </c>
      <c r="DR152" t="s">
        <v>519</v>
      </c>
      <c r="DS152" t="s">
        <v>183</v>
      </c>
      <c r="DT152" t="s">
        <v>211</v>
      </c>
      <c r="DU152" t="s">
        <v>342</v>
      </c>
      <c r="DW152" t="s">
        <v>2598</v>
      </c>
      <c r="EG152" t="s">
        <v>198</v>
      </c>
      <c r="EQ152" t="s">
        <v>198</v>
      </c>
      <c r="FA152" t="s">
        <v>198</v>
      </c>
      <c r="FK152" t="s">
        <v>198</v>
      </c>
      <c r="FU152" t="s">
        <v>198</v>
      </c>
    </row>
    <row r="153" spans="1:177">
      <c r="A153" s="1" t="str">
        <f>HYPERLINK("http://digipan.lumentumllc.com/apps/getLink/index.php?t=PropLink&amp;p=6594212","PL")</f>
        <v>PL</v>
      </c>
      <c r="B153" s="1" t="str">
        <f>HYPERLINK("http://digipan.lumentumllc.com/apps/getLink/index.php?t=TaxLink&amp;p=6594212","TL")</f>
        <v>TL</v>
      </c>
      <c r="C153" s="1" t="str">
        <f>HYPERLINK("http://digipan.lumentumllc.com/apps/getMap/index.php?p=6594212","Map")</f>
        <v>Map</v>
      </c>
      <c r="E153" t="s">
        <v>177</v>
      </c>
      <c r="F153" t="s">
        <v>178</v>
      </c>
      <c r="L153" t="s">
        <v>2599</v>
      </c>
      <c r="N153" t="s">
        <v>2599</v>
      </c>
      <c r="O153" t="s">
        <v>2599</v>
      </c>
      <c r="P153" t="s">
        <v>2600</v>
      </c>
      <c r="Q153" t="s">
        <v>2599</v>
      </c>
      <c r="V153">
        <v>179</v>
      </c>
      <c r="W153">
        <v>1</v>
      </c>
      <c r="X153">
        <v>2017</v>
      </c>
      <c r="Y153">
        <v>2018</v>
      </c>
      <c r="Z153">
        <v>134.29</v>
      </c>
      <c r="AB153" t="s">
        <v>181</v>
      </c>
      <c r="AC153" t="s">
        <v>182</v>
      </c>
      <c r="AD153" t="s">
        <v>183</v>
      </c>
      <c r="AE153">
        <v>4</v>
      </c>
      <c r="AF153">
        <v>0</v>
      </c>
      <c r="AG153" t="s">
        <v>2601</v>
      </c>
      <c r="AH153">
        <v>0</v>
      </c>
      <c r="AI153">
        <v>383.66</v>
      </c>
      <c r="AJ153">
        <v>159.43</v>
      </c>
      <c r="AK153">
        <v>543.09</v>
      </c>
      <c r="AL153">
        <v>7500</v>
      </c>
      <c r="AM153">
        <v>7500</v>
      </c>
      <c r="AN153">
        <v>0</v>
      </c>
      <c r="AO153">
        <v>74</v>
      </c>
      <c r="AP153">
        <v>2016</v>
      </c>
      <c r="AQ153">
        <v>1.79</v>
      </c>
      <c r="AR153">
        <v>7.24</v>
      </c>
      <c r="AS153" t="s">
        <v>2602</v>
      </c>
      <c r="AT153" t="s">
        <v>420</v>
      </c>
      <c r="AU153" t="s">
        <v>177</v>
      </c>
      <c r="AV153" t="s">
        <v>421</v>
      </c>
      <c r="AW153" t="s">
        <v>182</v>
      </c>
      <c r="AX153">
        <v>0</v>
      </c>
      <c r="AY153" t="s">
        <v>312</v>
      </c>
      <c r="AZ153" t="s">
        <v>199</v>
      </c>
      <c r="BA153" t="s">
        <v>313</v>
      </c>
      <c r="BB153" t="s">
        <v>191</v>
      </c>
      <c r="BC153" t="s">
        <v>182</v>
      </c>
      <c r="BD153" t="s">
        <v>182</v>
      </c>
      <c r="BE153" t="s">
        <v>383</v>
      </c>
      <c r="BF153">
        <v>0</v>
      </c>
      <c r="BG153">
        <v>0</v>
      </c>
      <c r="BH153">
        <v>0</v>
      </c>
      <c r="BI153" t="s">
        <v>199</v>
      </c>
      <c r="BJ153" t="s">
        <v>315</v>
      </c>
      <c r="BL153" t="s">
        <v>2603</v>
      </c>
      <c r="BM153" t="s">
        <v>2604</v>
      </c>
      <c r="BN153" t="s">
        <v>182</v>
      </c>
      <c r="BO153" t="s">
        <v>198</v>
      </c>
      <c r="BP153" t="s">
        <v>198</v>
      </c>
      <c r="BQ153" t="s">
        <v>198</v>
      </c>
      <c r="BR153" t="s">
        <v>198</v>
      </c>
      <c r="BS153" t="s">
        <v>198</v>
      </c>
      <c r="BT153" t="s">
        <v>198</v>
      </c>
      <c r="BU153" t="s">
        <v>182</v>
      </c>
      <c r="BV153" t="s">
        <v>198</v>
      </c>
      <c r="BW153" t="s">
        <v>198</v>
      </c>
      <c r="BX153" t="s">
        <v>199</v>
      </c>
      <c r="BY153" t="s">
        <v>198</v>
      </c>
      <c r="BZ153" t="s">
        <v>199</v>
      </c>
      <c r="CA153" t="s">
        <v>199</v>
      </c>
      <c r="CB153" t="s">
        <v>2605</v>
      </c>
      <c r="CC153" t="s">
        <v>201</v>
      </c>
      <c r="CD153" t="s">
        <v>182</v>
      </c>
      <c r="CE153" t="s">
        <v>2606</v>
      </c>
      <c r="CF153" t="s">
        <v>960</v>
      </c>
      <c r="CG153" t="s">
        <v>177</v>
      </c>
      <c r="CH153" t="s">
        <v>961</v>
      </c>
      <c r="CI153" t="s">
        <v>2607</v>
      </c>
      <c r="CJ153" t="s">
        <v>1379</v>
      </c>
      <c r="CK153" t="s">
        <v>232</v>
      </c>
      <c r="CL153" t="s">
        <v>233</v>
      </c>
      <c r="CM153" t="s">
        <v>2608</v>
      </c>
      <c r="CN153" t="s">
        <v>482</v>
      </c>
      <c r="CO153" t="s">
        <v>183</v>
      </c>
      <c r="CP153" t="s">
        <v>266</v>
      </c>
      <c r="CS153" t="s">
        <v>198</v>
      </c>
      <c r="CT153" t="s">
        <v>2383</v>
      </c>
      <c r="CU153" t="s">
        <v>292</v>
      </c>
      <c r="CV153" t="s">
        <v>293</v>
      </c>
      <c r="CW153" t="s">
        <v>2609</v>
      </c>
      <c r="CX153" t="s">
        <v>482</v>
      </c>
      <c r="CY153" t="s">
        <v>183</v>
      </c>
      <c r="CZ153" t="s">
        <v>266</v>
      </c>
      <c r="DC153" t="s">
        <v>198</v>
      </c>
      <c r="DD153" t="s">
        <v>920</v>
      </c>
      <c r="DE153" t="s">
        <v>267</v>
      </c>
      <c r="DF153" t="s">
        <v>268</v>
      </c>
      <c r="DG153" t="s">
        <v>2610</v>
      </c>
      <c r="DH153" t="s">
        <v>389</v>
      </c>
      <c r="DI153" t="s">
        <v>183</v>
      </c>
      <c r="DJ153" t="s">
        <v>266</v>
      </c>
      <c r="DM153" t="s">
        <v>198</v>
      </c>
      <c r="DN153" t="s">
        <v>973</v>
      </c>
      <c r="DO153" t="s">
        <v>273</v>
      </c>
      <c r="DP153" t="s">
        <v>274</v>
      </c>
      <c r="DQ153" t="s">
        <v>2611</v>
      </c>
      <c r="DR153" t="s">
        <v>486</v>
      </c>
      <c r="DS153" t="s">
        <v>183</v>
      </c>
      <c r="DT153" t="s">
        <v>266</v>
      </c>
      <c r="DW153" t="s">
        <v>198</v>
      </c>
      <c r="EG153" t="s">
        <v>198</v>
      </c>
      <c r="EQ153" t="s">
        <v>198</v>
      </c>
      <c r="FA153" t="s">
        <v>198</v>
      </c>
      <c r="FK153" t="s">
        <v>198</v>
      </c>
      <c r="FU153" t="s">
        <v>198</v>
      </c>
    </row>
    <row r="154" spans="1:177">
      <c r="A154" s="1" t="str">
        <f>HYPERLINK("http://digipan.lumentumllc.com/apps/getLink/index.php?t=PropLink&amp;p=5244901","PL")</f>
        <v>PL</v>
      </c>
      <c r="B154" s="1" t="str">
        <f>HYPERLINK("http://digipan.lumentumllc.com/apps/getLink/index.php?t=TaxLink&amp;p=5244901","TL")</f>
        <v>TL</v>
      </c>
      <c r="C154" s="1" t="str">
        <f>HYPERLINK("http://digipan.lumentumllc.com/apps/getMap/index.php?p=5244901","Map")</f>
        <v>Map</v>
      </c>
      <c r="E154" t="s">
        <v>177</v>
      </c>
      <c r="F154" t="s">
        <v>178</v>
      </c>
      <c r="L154" t="s">
        <v>2612</v>
      </c>
      <c r="N154" t="s">
        <v>2612</v>
      </c>
      <c r="O154" t="s">
        <v>2612</v>
      </c>
      <c r="P154" t="s">
        <v>2613</v>
      </c>
      <c r="Q154" t="s">
        <v>2612</v>
      </c>
      <c r="V154">
        <v>180</v>
      </c>
      <c r="W154">
        <v>1</v>
      </c>
      <c r="X154">
        <v>2017</v>
      </c>
      <c r="Y154">
        <v>2018</v>
      </c>
      <c r="Z154">
        <v>1196.08</v>
      </c>
      <c r="AB154" t="s">
        <v>181</v>
      </c>
      <c r="AC154" t="s">
        <v>202</v>
      </c>
      <c r="AD154" t="s">
        <v>183</v>
      </c>
      <c r="AE154">
        <v>1</v>
      </c>
      <c r="AF154">
        <v>7</v>
      </c>
      <c r="AG154" t="s">
        <v>418</v>
      </c>
      <c r="AH154">
        <v>86</v>
      </c>
      <c r="AI154">
        <v>1170.5</v>
      </c>
      <c r="AJ154">
        <v>58.53</v>
      </c>
      <c r="AK154">
        <v>1229.03</v>
      </c>
      <c r="AL154">
        <v>71099</v>
      </c>
      <c r="AM154">
        <v>12000</v>
      </c>
      <c r="AN154">
        <v>59099</v>
      </c>
      <c r="AO154">
        <v>1057</v>
      </c>
      <c r="AP154">
        <v>2016</v>
      </c>
      <c r="AQ154">
        <v>1.68</v>
      </c>
      <c r="AR154">
        <v>1.73</v>
      </c>
      <c r="AS154" t="s">
        <v>2614</v>
      </c>
      <c r="AT154" t="s">
        <v>186</v>
      </c>
      <c r="AU154" t="s">
        <v>177</v>
      </c>
      <c r="AV154" t="s">
        <v>187</v>
      </c>
      <c r="AW154" t="s">
        <v>182</v>
      </c>
      <c r="AX154">
        <v>1</v>
      </c>
      <c r="AY154" t="s">
        <v>188</v>
      </c>
      <c r="AZ154" t="s">
        <v>206</v>
      </c>
      <c r="BA154" t="s">
        <v>355</v>
      </c>
      <c r="BB154" t="s">
        <v>191</v>
      </c>
      <c r="BC154" t="s">
        <v>182</v>
      </c>
      <c r="BD154" t="s">
        <v>182</v>
      </c>
      <c r="BE154" t="s">
        <v>383</v>
      </c>
      <c r="BF154">
        <v>1</v>
      </c>
      <c r="BG154">
        <v>1</v>
      </c>
      <c r="BH154">
        <v>1970</v>
      </c>
      <c r="BI154" t="s">
        <v>2615</v>
      </c>
      <c r="BJ154" t="s">
        <v>194</v>
      </c>
      <c r="BK154" t="s">
        <v>195</v>
      </c>
      <c r="BL154" t="s">
        <v>199</v>
      </c>
      <c r="BM154" t="s">
        <v>346</v>
      </c>
      <c r="BN154" t="s">
        <v>182</v>
      </c>
      <c r="BO154" t="s">
        <v>2616</v>
      </c>
      <c r="BP154" t="s">
        <v>317</v>
      </c>
      <c r="BS154" t="s">
        <v>2617</v>
      </c>
      <c r="BT154" t="s">
        <v>198</v>
      </c>
      <c r="BU154" t="s">
        <v>182</v>
      </c>
      <c r="BV154" t="s">
        <v>198</v>
      </c>
      <c r="BW154" t="s">
        <v>198</v>
      </c>
      <c r="BX154" t="s">
        <v>199</v>
      </c>
      <c r="BY154" t="s">
        <v>198</v>
      </c>
      <c r="BZ154" t="s">
        <v>199</v>
      </c>
      <c r="CA154" t="s">
        <v>199</v>
      </c>
      <c r="CB154" t="s">
        <v>2618</v>
      </c>
      <c r="CC154" t="s">
        <v>1407</v>
      </c>
      <c r="CD154" t="s">
        <v>202</v>
      </c>
      <c r="CE154" t="s">
        <v>2619</v>
      </c>
      <c r="CF154" t="s">
        <v>2620</v>
      </c>
      <c r="CG154" t="s">
        <v>177</v>
      </c>
      <c r="CH154" t="s">
        <v>2621</v>
      </c>
      <c r="CI154" t="s">
        <v>2622</v>
      </c>
      <c r="CJ154" t="s">
        <v>1322</v>
      </c>
      <c r="CK154" t="s">
        <v>232</v>
      </c>
      <c r="CL154" t="s">
        <v>233</v>
      </c>
      <c r="CM154" t="s">
        <v>2623</v>
      </c>
      <c r="CN154" t="s">
        <v>235</v>
      </c>
      <c r="CO154" t="s">
        <v>183</v>
      </c>
      <c r="CP154" t="s">
        <v>266</v>
      </c>
      <c r="CS154" t="s">
        <v>198</v>
      </c>
      <c r="CT154" t="s">
        <v>2175</v>
      </c>
      <c r="CU154" t="s">
        <v>292</v>
      </c>
      <c r="CV154" t="s">
        <v>293</v>
      </c>
      <c r="CW154" t="s">
        <v>2624</v>
      </c>
      <c r="CX154" t="s">
        <v>235</v>
      </c>
      <c r="CY154" t="s">
        <v>183</v>
      </c>
      <c r="CZ154" t="s">
        <v>211</v>
      </c>
      <c r="DA154" t="s">
        <v>444</v>
      </c>
      <c r="DC154" t="s">
        <v>2625</v>
      </c>
      <c r="DD154" t="s">
        <v>2077</v>
      </c>
      <c r="DE154" t="s">
        <v>267</v>
      </c>
      <c r="DF154" t="s">
        <v>268</v>
      </c>
      <c r="DG154" t="s">
        <v>2626</v>
      </c>
      <c r="DH154" t="s">
        <v>235</v>
      </c>
      <c r="DI154" t="s">
        <v>183</v>
      </c>
      <c r="DJ154" t="s">
        <v>211</v>
      </c>
      <c r="DK154" t="s">
        <v>487</v>
      </c>
      <c r="DM154" t="s">
        <v>2627</v>
      </c>
      <c r="DN154" t="s">
        <v>994</v>
      </c>
      <c r="DO154" t="s">
        <v>273</v>
      </c>
      <c r="DP154" t="s">
        <v>274</v>
      </c>
      <c r="DQ154" t="s">
        <v>2628</v>
      </c>
      <c r="DR154" t="s">
        <v>235</v>
      </c>
      <c r="DS154" t="s">
        <v>183</v>
      </c>
      <c r="DT154" t="s">
        <v>211</v>
      </c>
      <c r="DU154" t="s">
        <v>460</v>
      </c>
      <c r="DW154" t="s">
        <v>2629</v>
      </c>
      <c r="DX154" t="s">
        <v>2354</v>
      </c>
      <c r="DY154" t="s">
        <v>302</v>
      </c>
      <c r="DZ154" t="s">
        <v>303</v>
      </c>
      <c r="EA154" t="s">
        <v>2630</v>
      </c>
      <c r="EB154" t="s">
        <v>235</v>
      </c>
      <c r="EC154" t="s">
        <v>183</v>
      </c>
      <c r="ED154" t="s">
        <v>211</v>
      </c>
      <c r="EE154" t="s">
        <v>189</v>
      </c>
      <c r="EG154" t="s">
        <v>2631</v>
      </c>
      <c r="EH154" t="s">
        <v>2632</v>
      </c>
      <c r="EI154" t="s">
        <v>238</v>
      </c>
      <c r="EJ154" t="s">
        <v>239</v>
      </c>
      <c r="EK154" t="s">
        <v>2633</v>
      </c>
      <c r="EL154" t="s">
        <v>391</v>
      </c>
      <c r="EM154" t="s">
        <v>183</v>
      </c>
      <c r="EN154" t="s">
        <v>211</v>
      </c>
      <c r="EO154" t="s">
        <v>460</v>
      </c>
      <c r="EQ154" t="s">
        <v>2631</v>
      </c>
      <c r="ER154" t="s">
        <v>2634</v>
      </c>
      <c r="ES154" t="s">
        <v>346</v>
      </c>
      <c r="ET154" t="s">
        <v>347</v>
      </c>
      <c r="EU154" t="s">
        <v>2635</v>
      </c>
      <c r="EV154" t="s">
        <v>1164</v>
      </c>
      <c r="EW154" t="s">
        <v>183</v>
      </c>
      <c r="EX154" t="s">
        <v>211</v>
      </c>
      <c r="EY154" t="s">
        <v>298</v>
      </c>
      <c r="FA154" t="s">
        <v>522</v>
      </c>
      <c r="FB154" t="s">
        <v>2474</v>
      </c>
      <c r="FC154" t="s">
        <v>207</v>
      </c>
      <c r="FD154" t="s">
        <v>208</v>
      </c>
      <c r="FE154" t="s">
        <v>2636</v>
      </c>
      <c r="FF154" t="s">
        <v>469</v>
      </c>
      <c r="FG154" t="s">
        <v>183</v>
      </c>
      <c r="FH154" t="s">
        <v>211</v>
      </c>
      <c r="FI154" t="s">
        <v>189</v>
      </c>
      <c r="FJ154" t="s">
        <v>271</v>
      </c>
      <c r="FK154" t="s">
        <v>2637</v>
      </c>
      <c r="FU154" t="s">
        <v>198</v>
      </c>
    </row>
    <row r="155" spans="1:177">
      <c r="A155" s="1" t="str">
        <f>HYPERLINK("http://digipan.lumentumllc.com/apps/getLink/index.php?t=PropLink&amp;p=6886649","PL")</f>
        <v>PL</v>
      </c>
      <c r="B155" s="1" t="str">
        <f>HYPERLINK("http://digipan.lumentumllc.com/apps/getLink/index.php?t=TaxLink&amp;p=6886649","TL")</f>
        <v>TL</v>
      </c>
      <c r="C155" s="1" t="str">
        <f>HYPERLINK("http://digipan.lumentumllc.com/apps/getMap/index.php?p=6886649","Map")</f>
        <v>Map</v>
      </c>
      <c r="E155" t="s">
        <v>177</v>
      </c>
      <c r="F155" t="s">
        <v>178</v>
      </c>
      <c r="L155" t="s">
        <v>2638</v>
      </c>
      <c r="N155" t="s">
        <v>2638</v>
      </c>
      <c r="O155" t="s">
        <v>2638</v>
      </c>
      <c r="P155" t="s">
        <v>2639</v>
      </c>
      <c r="Q155" t="s">
        <v>2638</v>
      </c>
      <c r="V155">
        <v>181</v>
      </c>
      <c r="W155">
        <v>1</v>
      </c>
      <c r="X155">
        <v>2017</v>
      </c>
      <c r="Y155">
        <v>2018</v>
      </c>
      <c r="Z155">
        <v>213.06</v>
      </c>
      <c r="AB155" t="s">
        <v>181</v>
      </c>
      <c r="AC155" t="s">
        <v>182</v>
      </c>
      <c r="AD155" t="s">
        <v>183</v>
      </c>
      <c r="AE155">
        <v>1</v>
      </c>
      <c r="AF155">
        <v>1</v>
      </c>
      <c r="AG155" t="s">
        <v>2222</v>
      </c>
      <c r="AH155">
        <v>50</v>
      </c>
      <c r="AI155">
        <v>196.34</v>
      </c>
      <c r="AJ155">
        <v>12.76</v>
      </c>
      <c r="AK155">
        <v>209.1</v>
      </c>
      <c r="AL155">
        <v>140000</v>
      </c>
      <c r="AM155">
        <v>11060</v>
      </c>
      <c r="AN155">
        <v>128940</v>
      </c>
      <c r="AO155">
        <v>157</v>
      </c>
      <c r="AP155">
        <v>2016</v>
      </c>
      <c r="AQ155">
        <v>0.15</v>
      </c>
      <c r="AR155">
        <v>0.15</v>
      </c>
      <c r="AS155" t="s">
        <v>2640</v>
      </c>
      <c r="AT155" t="s">
        <v>186</v>
      </c>
      <c r="AU155" t="s">
        <v>177</v>
      </c>
      <c r="AV155" t="s">
        <v>187</v>
      </c>
      <c r="AW155" t="s">
        <v>182</v>
      </c>
      <c r="AX155">
        <v>56</v>
      </c>
      <c r="AY155" t="s">
        <v>218</v>
      </c>
      <c r="AZ155" t="s">
        <v>219</v>
      </c>
      <c r="BA155" t="s">
        <v>220</v>
      </c>
      <c r="BB155" t="s">
        <v>191</v>
      </c>
      <c r="BC155" t="s">
        <v>182</v>
      </c>
      <c r="BD155" t="s">
        <v>182</v>
      </c>
      <c r="BE155" t="s">
        <v>2105</v>
      </c>
      <c r="BF155">
        <v>0</v>
      </c>
      <c r="BG155">
        <v>0</v>
      </c>
      <c r="BH155">
        <v>0</v>
      </c>
      <c r="BI155" t="s">
        <v>199</v>
      </c>
      <c r="BJ155" t="s">
        <v>315</v>
      </c>
      <c r="BL155" t="s">
        <v>199</v>
      </c>
      <c r="BM155" t="s">
        <v>945</v>
      </c>
      <c r="BN155" t="s">
        <v>182</v>
      </c>
      <c r="BO155" t="s">
        <v>198</v>
      </c>
      <c r="BP155" t="s">
        <v>198</v>
      </c>
      <c r="BQ155" t="s">
        <v>198</v>
      </c>
      <c r="BR155" t="s">
        <v>198</v>
      </c>
      <c r="BS155" t="s">
        <v>198</v>
      </c>
      <c r="BT155" t="s">
        <v>198</v>
      </c>
      <c r="BU155" t="s">
        <v>182</v>
      </c>
      <c r="BV155" t="s">
        <v>198</v>
      </c>
      <c r="BW155" t="s">
        <v>198</v>
      </c>
      <c r="BX155" t="s">
        <v>199</v>
      </c>
      <c r="BY155" t="s">
        <v>198</v>
      </c>
      <c r="BZ155" t="s">
        <v>199</v>
      </c>
      <c r="CA155" t="s">
        <v>199</v>
      </c>
      <c r="CB155" t="s">
        <v>2641</v>
      </c>
      <c r="CC155" t="s">
        <v>201</v>
      </c>
      <c r="CD155" t="s">
        <v>182</v>
      </c>
      <c r="CE155" t="s">
        <v>2642</v>
      </c>
      <c r="CF155" t="s">
        <v>413</v>
      </c>
      <c r="CG155" t="s">
        <v>177</v>
      </c>
      <c r="CH155" t="s">
        <v>2643</v>
      </c>
      <c r="CI155" t="s">
        <v>2644</v>
      </c>
      <c r="CJ155" t="s">
        <v>2645</v>
      </c>
      <c r="CK155" t="s">
        <v>232</v>
      </c>
      <c r="CL155" t="s">
        <v>233</v>
      </c>
      <c r="CM155" t="s">
        <v>2646</v>
      </c>
      <c r="CN155" t="s">
        <v>688</v>
      </c>
      <c r="CO155" t="s">
        <v>183</v>
      </c>
      <c r="CP155" t="s">
        <v>266</v>
      </c>
      <c r="CS155" t="s">
        <v>198</v>
      </c>
      <c r="CT155" t="s">
        <v>2406</v>
      </c>
      <c r="CU155" t="s">
        <v>292</v>
      </c>
      <c r="CV155" t="s">
        <v>293</v>
      </c>
      <c r="CW155" t="s">
        <v>2647</v>
      </c>
      <c r="CX155" t="s">
        <v>333</v>
      </c>
      <c r="CY155" t="s">
        <v>183</v>
      </c>
      <c r="CZ155" t="s">
        <v>211</v>
      </c>
      <c r="DA155" t="s">
        <v>337</v>
      </c>
      <c r="DC155" t="s">
        <v>2648</v>
      </c>
      <c r="DM155" t="s">
        <v>198</v>
      </c>
      <c r="DW155" t="s">
        <v>198</v>
      </c>
      <c r="EG155" t="s">
        <v>198</v>
      </c>
      <c r="EQ155" t="s">
        <v>198</v>
      </c>
      <c r="FA155" t="s">
        <v>198</v>
      </c>
      <c r="FK155" t="s">
        <v>198</v>
      </c>
      <c r="FU155" t="s">
        <v>198</v>
      </c>
    </row>
    <row r="156" spans="1:177">
      <c r="A156" s="1" t="str">
        <f>HYPERLINK("http://digipan.lumentumllc.com/apps/getLink/index.php?t=PropLink&amp;p=15740399","PL")</f>
        <v>PL</v>
      </c>
      <c r="B156" s="1" t="str">
        <f>HYPERLINK("http://digipan.lumentumllc.com/apps/getLink/index.php?t=TaxLink&amp;p=15740399","TL")</f>
        <v>TL</v>
      </c>
      <c r="C156" s="1" t="str">
        <f>HYPERLINK("http://digipan.lumentumllc.com/apps/getMap/index.php?p=15740399","Map")</f>
        <v>Map</v>
      </c>
      <c r="E156" t="s">
        <v>177</v>
      </c>
      <c r="F156" t="s">
        <v>178</v>
      </c>
      <c r="L156" t="s">
        <v>2649</v>
      </c>
      <c r="N156" t="s">
        <v>2649</v>
      </c>
      <c r="O156" t="s">
        <v>2649</v>
      </c>
      <c r="Q156" t="s">
        <v>2649</v>
      </c>
      <c r="V156">
        <v>184</v>
      </c>
      <c r="W156">
        <v>1</v>
      </c>
      <c r="X156">
        <v>2017</v>
      </c>
      <c r="Y156">
        <v>2018</v>
      </c>
      <c r="Z156">
        <v>615.12</v>
      </c>
      <c r="AG156" t="s">
        <v>184</v>
      </c>
      <c r="AH156">
        <v>0</v>
      </c>
      <c r="AK156">
        <v>0</v>
      </c>
      <c r="AL156">
        <v>92591</v>
      </c>
      <c r="AM156">
        <v>29600</v>
      </c>
      <c r="AN156">
        <v>62991</v>
      </c>
      <c r="AO156">
        <v>539</v>
      </c>
      <c r="AP156">
        <v>2016</v>
      </c>
      <c r="AQ156">
        <v>0.66</v>
      </c>
      <c r="AS156" t="s">
        <v>2650</v>
      </c>
      <c r="AT156" t="s">
        <v>186</v>
      </c>
      <c r="AU156" t="s">
        <v>177</v>
      </c>
      <c r="AV156" t="s">
        <v>187</v>
      </c>
      <c r="AW156" t="s">
        <v>202</v>
      </c>
      <c r="AX156">
        <v>2</v>
      </c>
      <c r="AY156" t="s">
        <v>188</v>
      </c>
      <c r="AZ156" t="s">
        <v>189</v>
      </c>
      <c r="BA156" t="s">
        <v>190</v>
      </c>
      <c r="BB156" t="s">
        <v>191</v>
      </c>
      <c r="BC156" t="s">
        <v>182</v>
      </c>
      <c r="BD156" t="s">
        <v>182</v>
      </c>
      <c r="BE156" t="s">
        <v>2651</v>
      </c>
      <c r="BF156">
        <v>1</v>
      </c>
      <c r="BG156">
        <v>1</v>
      </c>
      <c r="BH156">
        <v>2001</v>
      </c>
      <c r="BI156" t="s">
        <v>2652</v>
      </c>
      <c r="BJ156" t="s">
        <v>194</v>
      </c>
      <c r="BK156" t="s">
        <v>195</v>
      </c>
      <c r="BL156" t="s">
        <v>199</v>
      </c>
      <c r="BM156" t="s">
        <v>292</v>
      </c>
      <c r="BN156" t="s">
        <v>182</v>
      </c>
      <c r="BO156" t="s">
        <v>198</v>
      </c>
      <c r="BP156" t="s">
        <v>198</v>
      </c>
      <c r="BQ156" t="s">
        <v>198</v>
      </c>
      <c r="BR156" t="s">
        <v>198</v>
      </c>
      <c r="BS156" t="s">
        <v>198</v>
      </c>
      <c r="BT156" t="s">
        <v>198</v>
      </c>
      <c r="BU156" t="s">
        <v>182</v>
      </c>
      <c r="BV156" t="s">
        <v>198</v>
      </c>
      <c r="BW156" t="s">
        <v>198</v>
      </c>
      <c r="BX156" t="s">
        <v>199</v>
      </c>
      <c r="BY156" t="s">
        <v>198</v>
      </c>
      <c r="BZ156" t="s">
        <v>199</v>
      </c>
      <c r="CA156" t="s">
        <v>199</v>
      </c>
      <c r="CB156" t="s">
        <v>2653</v>
      </c>
      <c r="CC156" t="s">
        <v>201</v>
      </c>
      <c r="CD156" t="s">
        <v>182</v>
      </c>
      <c r="CE156" t="s">
        <v>2654</v>
      </c>
      <c r="CF156" t="s">
        <v>204</v>
      </c>
      <c r="CG156" t="s">
        <v>177</v>
      </c>
      <c r="CH156" t="s">
        <v>187</v>
      </c>
      <c r="CI156" t="s">
        <v>2655</v>
      </c>
      <c r="CS156" t="s">
        <v>198</v>
      </c>
      <c r="DC156" t="s">
        <v>198</v>
      </c>
      <c r="DM156" t="s">
        <v>198</v>
      </c>
      <c r="DW156" t="s">
        <v>198</v>
      </c>
      <c r="EG156" t="s">
        <v>198</v>
      </c>
      <c r="EQ156" t="s">
        <v>198</v>
      </c>
      <c r="FA156" t="s">
        <v>198</v>
      </c>
      <c r="FK156" t="s">
        <v>198</v>
      </c>
      <c r="FU156" t="s">
        <v>198</v>
      </c>
    </row>
    <row r="157" spans="1:177">
      <c r="A157" s="1" t="str">
        <f>HYPERLINK("http://digipan.lumentumllc.com/apps/getLink/index.php?t=PropLink&amp;p=5245440","PL")</f>
        <v>PL</v>
      </c>
      <c r="B157" s="1" t="str">
        <f>HYPERLINK("http://digipan.lumentumllc.com/apps/getLink/index.php?t=TaxLink&amp;p=5245440","TL")</f>
        <v>TL</v>
      </c>
      <c r="C157" s="1" t="str">
        <f>HYPERLINK("http://digipan.lumentumllc.com/apps/getMap/index.php?p=5245440","Map")</f>
        <v>Map</v>
      </c>
      <c r="E157" t="s">
        <v>177</v>
      </c>
      <c r="F157" t="s">
        <v>178</v>
      </c>
      <c r="L157" t="s">
        <v>2656</v>
      </c>
      <c r="N157" t="s">
        <v>2656</v>
      </c>
      <c r="O157" t="s">
        <v>2656</v>
      </c>
      <c r="P157" t="s">
        <v>2657</v>
      </c>
      <c r="Q157" t="s">
        <v>2656</v>
      </c>
      <c r="V157">
        <v>185</v>
      </c>
      <c r="W157">
        <v>1</v>
      </c>
      <c r="X157">
        <v>2017</v>
      </c>
      <c r="Y157">
        <v>2018</v>
      </c>
      <c r="Z157">
        <v>546.34</v>
      </c>
      <c r="AB157" t="s">
        <v>181</v>
      </c>
      <c r="AC157" t="s">
        <v>182</v>
      </c>
      <c r="AD157" t="s">
        <v>183</v>
      </c>
      <c r="AE157">
        <v>1</v>
      </c>
      <c r="AF157">
        <v>7</v>
      </c>
      <c r="AG157" t="s">
        <v>418</v>
      </c>
      <c r="AH157">
        <v>86</v>
      </c>
      <c r="AI157">
        <v>510.34</v>
      </c>
      <c r="AJ157">
        <v>25.52</v>
      </c>
      <c r="AK157">
        <v>535.86</v>
      </c>
      <c r="AL157">
        <v>112394</v>
      </c>
      <c r="AM157">
        <v>19520</v>
      </c>
      <c r="AN157">
        <v>92874</v>
      </c>
      <c r="AO157">
        <v>447</v>
      </c>
      <c r="AP157">
        <v>2016</v>
      </c>
      <c r="AQ157">
        <v>0.49</v>
      </c>
      <c r="AR157">
        <v>0.48</v>
      </c>
      <c r="AS157" t="s">
        <v>2658</v>
      </c>
      <c r="AT157" t="s">
        <v>186</v>
      </c>
      <c r="AU157" t="s">
        <v>177</v>
      </c>
      <c r="AV157" t="s">
        <v>187</v>
      </c>
      <c r="AW157" t="s">
        <v>182</v>
      </c>
      <c r="AX157">
        <v>50</v>
      </c>
      <c r="AY157" t="s">
        <v>218</v>
      </c>
      <c r="AZ157" t="s">
        <v>589</v>
      </c>
      <c r="BA157" t="s">
        <v>590</v>
      </c>
      <c r="BB157" t="s">
        <v>191</v>
      </c>
      <c r="BC157" t="s">
        <v>182</v>
      </c>
      <c r="BD157" t="s">
        <v>182</v>
      </c>
      <c r="BE157" t="s">
        <v>2132</v>
      </c>
      <c r="BF157">
        <v>1</v>
      </c>
      <c r="BG157">
        <v>1</v>
      </c>
      <c r="BH157">
        <v>1985</v>
      </c>
      <c r="BI157" t="s">
        <v>1002</v>
      </c>
      <c r="BJ157" t="s">
        <v>194</v>
      </c>
      <c r="BK157" t="s">
        <v>195</v>
      </c>
      <c r="BL157" t="s">
        <v>2659</v>
      </c>
      <c r="BM157" t="s">
        <v>410</v>
      </c>
      <c r="BN157" t="s">
        <v>182</v>
      </c>
      <c r="BO157" t="s">
        <v>2660</v>
      </c>
      <c r="BP157" t="s">
        <v>2661</v>
      </c>
      <c r="BS157" t="s">
        <v>2662</v>
      </c>
      <c r="BT157" t="s">
        <v>198</v>
      </c>
      <c r="BU157" t="s">
        <v>182</v>
      </c>
      <c r="BV157" t="s">
        <v>198</v>
      </c>
      <c r="BW157" t="s">
        <v>198</v>
      </c>
      <c r="BX157" t="s">
        <v>199</v>
      </c>
      <c r="BY157" t="s">
        <v>198</v>
      </c>
      <c r="BZ157" t="s">
        <v>199</v>
      </c>
      <c r="CA157" t="s">
        <v>199</v>
      </c>
      <c r="CB157" t="s">
        <v>2663</v>
      </c>
      <c r="CC157" t="s">
        <v>201</v>
      </c>
      <c r="CD157" t="s">
        <v>182</v>
      </c>
      <c r="CE157" t="s">
        <v>2664</v>
      </c>
      <c r="CF157" t="s">
        <v>204</v>
      </c>
      <c r="CG157" t="s">
        <v>177</v>
      </c>
      <c r="CH157" t="s">
        <v>187</v>
      </c>
      <c r="CI157" t="s">
        <v>2665</v>
      </c>
      <c r="CJ157" t="s">
        <v>2666</v>
      </c>
      <c r="CK157" t="s">
        <v>232</v>
      </c>
      <c r="CL157" t="s">
        <v>233</v>
      </c>
      <c r="CM157" t="s">
        <v>2667</v>
      </c>
      <c r="CN157" t="s">
        <v>235</v>
      </c>
      <c r="CO157" t="s">
        <v>183</v>
      </c>
      <c r="CP157" t="s">
        <v>266</v>
      </c>
      <c r="CS157" t="s">
        <v>198</v>
      </c>
      <c r="CT157" t="s">
        <v>2259</v>
      </c>
      <c r="CU157" t="s">
        <v>292</v>
      </c>
      <c r="CV157" t="s">
        <v>293</v>
      </c>
      <c r="CW157" t="s">
        <v>2668</v>
      </c>
      <c r="CX157" t="s">
        <v>235</v>
      </c>
      <c r="CY157" t="s">
        <v>183</v>
      </c>
      <c r="CZ157" t="s">
        <v>211</v>
      </c>
      <c r="DA157" t="s">
        <v>298</v>
      </c>
      <c r="DC157" t="s">
        <v>457</v>
      </c>
      <c r="DD157" t="s">
        <v>2406</v>
      </c>
      <c r="DE157" t="s">
        <v>267</v>
      </c>
      <c r="DF157" t="s">
        <v>268</v>
      </c>
      <c r="DG157" t="s">
        <v>2669</v>
      </c>
      <c r="DH157" t="s">
        <v>1341</v>
      </c>
      <c r="DI157" t="s">
        <v>183</v>
      </c>
      <c r="DJ157" t="s">
        <v>211</v>
      </c>
      <c r="DK157" t="s">
        <v>298</v>
      </c>
      <c r="DM157" t="s">
        <v>2670</v>
      </c>
      <c r="DN157" t="s">
        <v>2354</v>
      </c>
      <c r="DO157" t="s">
        <v>273</v>
      </c>
      <c r="DP157" t="s">
        <v>274</v>
      </c>
      <c r="DQ157" t="s">
        <v>2671</v>
      </c>
      <c r="DR157" t="s">
        <v>511</v>
      </c>
      <c r="DS157" t="s">
        <v>183</v>
      </c>
      <c r="DT157" t="s">
        <v>211</v>
      </c>
      <c r="DU157" t="s">
        <v>337</v>
      </c>
      <c r="DW157" t="s">
        <v>2672</v>
      </c>
      <c r="DX157" t="s">
        <v>1181</v>
      </c>
      <c r="DY157" t="s">
        <v>302</v>
      </c>
      <c r="DZ157" t="s">
        <v>303</v>
      </c>
      <c r="EA157" t="s">
        <v>2673</v>
      </c>
      <c r="EB157" t="s">
        <v>331</v>
      </c>
      <c r="EC157" t="s">
        <v>183</v>
      </c>
      <c r="ED157" t="s">
        <v>211</v>
      </c>
      <c r="EE157" t="s">
        <v>909</v>
      </c>
      <c r="EG157" t="s">
        <v>2672</v>
      </c>
      <c r="EH157" t="s">
        <v>2674</v>
      </c>
      <c r="EI157" t="s">
        <v>238</v>
      </c>
      <c r="EJ157" t="s">
        <v>239</v>
      </c>
      <c r="EK157" t="s">
        <v>2675</v>
      </c>
      <c r="EL157" t="s">
        <v>247</v>
      </c>
      <c r="EM157" t="s">
        <v>183</v>
      </c>
      <c r="EN157" t="s">
        <v>211</v>
      </c>
      <c r="EO157" t="s">
        <v>345</v>
      </c>
      <c r="EQ157" t="s">
        <v>2676</v>
      </c>
      <c r="ER157" t="s">
        <v>2677</v>
      </c>
      <c r="ES157" t="s">
        <v>346</v>
      </c>
      <c r="ET157" t="s">
        <v>347</v>
      </c>
      <c r="EU157" t="s">
        <v>2678</v>
      </c>
      <c r="EV157" t="s">
        <v>2679</v>
      </c>
      <c r="EW157" t="s">
        <v>183</v>
      </c>
      <c r="EX157" t="s">
        <v>211</v>
      </c>
      <c r="EY157" t="s">
        <v>345</v>
      </c>
      <c r="FA157" t="s">
        <v>2496</v>
      </c>
      <c r="FB157" t="s">
        <v>2573</v>
      </c>
      <c r="FC157" t="s">
        <v>207</v>
      </c>
      <c r="FD157" t="s">
        <v>208</v>
      </c>
      <c r="FE157" t="s">
        <v>2680</v>
      </c>
      <c r="FF157" t="s">
        <v>314</v>
      </c>
      <c r="FG157" t="s">
        <v>183</v>
      </c>
      <c r="FH157" t="s">
        <v>211</v>
      </c>
      <c r="FI157" t="s">
        <v>270</v>
      </c>
      <c r="FK157" t="s">
        <v>2681</v>
      </c>
      <c r="FU157" t="s">
        <v>198</v>
      </c>
    </row>
    <row r="158" spans="1:177">
      <c r="A158" s="1" t="str">
        <f>HYPERLINK("http://digipan.lumentumllc.com/apps/getLink/index.php?t=PropLink&amp;p=5245441","PL")</f>
        <v>PL</v>
      </c>
      <c r="B158" s="1" t="str">
        <f>HYPERLINK("http://digipan.lumentumllc.com/apps/getLink/index.php?t=TaxLink&amp;p=5245441","TL")</f>
        <v>TL</v>
      </c>
      <c r="C158" s="1" t="str">
        <f>HYPERLINK("http://digipan.lumentumllc.com/apps/getMap/index.php?p=5245441","Map")</f>
        <v>Map</v>
      </c>
      <c r="E158" t="s">
        <v>177</v>
      </c>
      <c r="F158" t="s">
        <v>178</v>
      </c>
      <c r="L158" t="s">
        <v>2682</v>
      </c>
      <c r="N158" t="s">
        <v>2682</v>
      </c>
      <c r="O158" t="s">
        <v>2682</v>
      </c>
      <c r="P158" t="s">
        <v>2683</v>
      </c>
      <c r="Q158" t="s">
        <v>2682</v>
      </c>
      <c r="V158">
        <v>186</v>
      </c>
      <c r="W158">
        <v>1</v>
      </c>
      <c r="X158">
        <v>2017</v>
      </c>
      <c r="Y158">
        <v>2018</v>
      </c>
      <c r="Z158">
        <v>1113.73</v>
      </c>
      <c r="AB158" t="s">
        <v>181</v>
      </c>
      <c r="AC158" t="s">
        <v>202</v>
      </c>
      <c r="AD158" t="s">
        <v>183</v>
      </c>
      <c r="AE158">
        <v>1</v>
      </c>
      <c r="AF158">
        <v>6</v>
      </c>
      <c r="AG158" t="s">
        <v>322</v>
      </c>
      <c r="AH158">
        <v>83</v>
      </c>
      <c r="AI158">
        <v>1086.28</v>
      </c>
      <c r="AJ158">
        <v>54.31</v>
      </c>
      <c r="AK158">
        <v>1140.5899999999999</v>
      </c>
      <c r="AL158">
        <v>204852</v>
      </c>
      <c r="AM158">
        <v>20370</v>
      </c>
      <c r="AN158">
        <v>184482</v>
      </c>
      <c r="AO158">
        <v>979</v>
      </c>
      <c r="AP158">
        <v>2016</v>
      </c>
      <c r="AQ158">
        <v>0.54</v>
      </c>
      <c r="AR158">
        <v>0.56000000000000005</v>
      </c>
      <c r="AS158" t="s">
        <v>2684</v>
      </c>
      <c r="AT158" t="s">
        <v>186</v>
      </c>
      <c r="AU158" t="s">
        <v>177</v>
      </c>
      <c r="AV158" t="s">
        <v>187</v>
      </c>
      <c r="AW158" t="s">
        <v>202</v>
      </c>
      <c r="AX158">
        <v>50</v>
      </c>
      <c r="AY158" t="s">
        <v>218</v>
      </c>
      <c r="AZ158" t="s">
        <v>589</v>
      </c>
      <c r="BA158" t="s">
        <v>590</v>
      </c>
      <c r="BB158" t="s">
        <v>191</v>
      </c>
      <c r="BC158" t="s">
        <v>182</v>
      </c>
      <c r="BD158" t="s">
        <v>182</v>
      </c>
      <c r="BE158" t="s">
        <v>2132</v>
      </c>
      <c r="BF158">
        <v>1</v>
      </c>
      <c r="BG158">
        <v>1</v>
      </c>
      <c r="BH158">
        <v>2000</v>
      </c>
      <c r="BI158" t="s">
        <v>1026</v>
      </c>
      <c r="BJ158" t="s">
        <v>194</v>
      </c>
      <c r="BK158" t="s">
        <v>195</v>
      </c>
      <c r="BL158" t="s">
        <v>1310</v>
      </c>
      <c r="BM158" t="s">
        <v>501</v>
      </c>
      <c r="BN158" t="s">
        <v>182</v>
      </c>
      <c r="BO158" t="s">
        <v>1710</v>
      </c>
      <c r="BP158" t="s">
        <v>2685</v>
      </c>
      <c r="BQ158" t="s">
        <v>603</v>
      </c>
      <c r="BR158" t="s">
        <v>643</v>
      </c>
      <c r="BS158" t="s">
        <v>198</v>
      </c>
      <c r="BT158" t="s">
        <v>2686</v>
      </c>
      <c r="BU158" t="s">
        <v>182</v>
      </c>
      <c r="BV158" t="s">
        <v>198</v>
      </c>
      <c r="BW158" t="s">
        <v>198</v>
      </c>
      <c r="BX158" t="s">
        <v>199</v>
      </c>
      <c r="BY158" t="s">
        <v>198</v>
      </c>
      <c r="BZ158" t="s">
        <v>199</v>
      </c>
      <c r="CA158" t="s">
        <v>199</v>
      </c>
      <c r="CB158" t="s">
        <v>2687</v>
      </c>
      <c r="CC158" t="s">
        <v>201</v>
      </c>
      <c r="CD158" t="s">
        <v>182</v>
      </c>
      <c r="CE158" t="s">
        <v>2688</v>
      </c>
      <c r="CF158" t="s">
        <v>204</v>
      </c>
      <c r="CG158" t="s">
        <v>177</v>
      </c>
      <c r="CH158" t="s">
        <v>187</v>
      </c>
      <c r="CI158" t="s">
        <v>2689</v>
      </c>
      <c r="CJ158" t="s">
        <v>1396</v>
      </c>
      <c r="CK158" t="s">
        <v>232</v>
      </c>
      <c r="CL158" t="s">
        <v>233</v>
      </c>
      <c r="CM158" t="s">
        <v>2690</v>
      </c>
      <c r="CN158" t="s">
        <v>235</v>
      </c>
      <c r="CO158" t="s">
        <v>183</v>
      </c>
      <c r="CP158" t="s">
        <v>266</v>
      </c>
      <c r="CS158" t="s">
        <v>198</v>
      </c>
      <c r="CT158" t="s">
        <v>973</v>
      </c>
      <c r="CU158" t="s">
        <v>292</v>
      </c>
      <c r="CV158" t="s">
        <v>293</v>
      </c>
      <c r="CW158" t="s">
        <v>2691</v>
      </c>
      <c r="CX158" t="s">
        <v>235</v>
      </c>
      <c r="CY158" t="s">
        <v>183</v>
      </c>
      <c r="CZ158" t="s">
        <v>211</v>
      </c>
      <c r="DA158" t="s">
        <v>298</v>
      </c>
      <c r="DC158" t="s">
        <v>457</v>
      </c>
      <c r="DD158" t="s">
        <v>1101</v>
      </c>
      <c r="DE158" t="s">
        <v>273</v>
      </c>
      <c r="DF158" t="s">
        <v>274</v>
      </c>
      <c r="DG158" t="s">
        <v>2692</v>
      </c>
      <c r="DH158" t="s">
        <v>235</v>
      </c>
      <c r="DI158" t="s">
        <v>183</v>
      </c>
      <c r="DJ158" t="s">
        <v>211</v>
      </c>
      <c r="DL158" t="s">
        <v>271</v>
      </c>
      <c r="DM158" t="s">
        <v>198</v>
      </c>
      <c r="DN158" t="s">
        <v>1186</v>
      </c>
      <c r="DO158" t="s">
        <v>302</v>
      </c>
      <c r="DP158" t="s">
        <v>303</v>
      </c>
      <c r="DQ158" t="s">
        <v>2693</v>
      </c>
      <c r="DR158" t="s">
        <v>235</v>
      </c>
      <c r="DS158" t="s">
        <v>183</v>
      </c>
      <c r="DT158" t="s">
        <v>211</v>
      </c>
      <c r="DV158" t="s">
        <v>271</v>
      </c>
      <c r="DW158" t="s">
        <v>198</v>
      </c>
      <c r="DX158" t="s">
        <v>2694</v>
      </c>
      <c r="DY158" t="s">
        <v>238</v>
      </c>
      <c r="DZ158" t="s">
        <v>239</v>
      </c>
      <c r="EA158" t="s">
        <v>2695</v>
      </c>
      <c r="EB158" t="s">
        <v>305</v>
      </c>
      <c r="EC158" t="s">
        <v>183</v>
      </c>
      <c r="ED158" t="s">
        <v>211</v>
      </c>
      <c r="EE158" t="s">
        <v>487</v>
      </c>
      <c r="EG158" t="s">
        <v>2696</v>
      </c>
      <c r="EH158" t="s">
        <v>2697</v>
      </c>
      <c r="EI158" t="s">
        <v>346</v>
      </c>
      <c r="EJ158" t="s">
        <v>347</v>
      </c>
      <c r="EK158" t="s">
        <v>2698</v>
      </c>
      <c r="EL158" t="s">
        <v>816</v>
      </c>
      <c r="EM158" t="s">
        <v>183</v>
      </c>
      <c r="EN158" t="s">
        <v>211</v>
      </c>
      <c r="EO158" t="s">
        <v>298</v>
      </c>
      <c r="EQ158" t="s">
        <v>2699</v>
      </c>
      <c r="ER158" t="s">
        <v>2700</v>
      </c>
      <c r="ES158" t="s">
        <v>207</v>
      </c>
      <c r="ET158" t="s">
        <v>208</v>
      </c>
      <c r="EU158" t="s">
        <v>2701</v>
      </c>
      <c r="EV158" t="s">
        <v>469</v>
      </c>
      <c r="EW158" t="s">
        <v>183</v>
      </c>
      <c r="EX158" t="s">
        <v>211</v>
      </c>
      <c r="EY158" t="s">
        <v>298</v>
      </c>
      <c r="FA158" t="s">
        <v>474</v>
      </c>
      <c r="FK158" t="s">
        <v>198</v>
      </c>
      <c r="FU158" t="s">
        <v>198</v>
      </c>
    </row>
    <row r="159" spans="1:177">
      <c r="A159" s="1" t="str">
        <f>HYPERLINK("http://digipan.lumentumllc.com/apps/getLink/index.php?t=PropLink&amp;p=6886680","PL")</f>
        <v>PL</v>
      </c>
      <c r="B159" s="1" t="str">
        <f>HYPERLINK("http://digipan.lumentumllc.com/apps/getLink/index.php?t=TaxLink&amp;p=6886680","TL")</f>
        <v>TL</v>
      </c>
      <c r="C159" s="1" t="str">
        <f>HYPERLINK("http://digipan.lumentumllc.com/apps/getMap/index.php?p=6886680","Map")</f>
        <v>Map</v>
      </c>
      <c r="E159" t="s">
        <v>177</v>
      </c>
      <c r="F159" t="s">
        <v>178</v>
      </c>
      <c r="L159" t="s">
        <v>2702</v>
      </c>
      <c r="N159" t="s">
        <v>2702</v>
      </c>
      <c r="O159" t="s">
        <v>2702</v>
      </c>
      <c r="P159" t="s">
        <v>2703</v>
      </c>
      <c r="Q159" t="s">
        <v>2702</v>
      </c>
      <c r="V159">
        <v>187</v>
      </c>
      <c r="W159">
        <v>1</v>
      </c>
      <c r="X159">
        <v>2017</v>
      </c>
      <c r="Y159">
        <v>2018</v>
      </c>
      <c r="Z159">
        <v>2714.81</v>
      </c>
      <c r="AB159" t="s">
        <v>181</v>
      </c>
      <c r="AC159" t="s">
        <v>182</v>
      </c>
      <c r="AD159" t="s">
        <v>183</v>
      </c>
      <c r="AE159">
        <v>1</v>
      </c>
      <c r="AF159">
        <v>1</v>
      </c>
      <c r="AG159" t="s">
        <v>2222</v>
      </c>
      <c r="AH159">
        <v>50</v>
      </c>
      <c r="AI159">
        <v>2693.41</v>
      </c>
      <c r="AJ159">
        <v>134.66999999999999</v>
      </c>
      <c r="AK159">
        <v>2828.08</v>
      </c>
      <c r="AL159">
        <v>267204</v>
      </c>
      <c r="AM159">
        <v>23075</v>
      </c>
      <c r="AN159">
        <v>244129</v>
      </c>
      <c r="AO159">
        <v>2465</v>
      </c>
      <c r="AP159">
        <v>2016</v>
      </c>
      <c r="AQ159">
        <v>1.02</v>
      </c>
      <c r="AR159">
        <v>1.06</v>
      </c>
      <c r="AS159" t="s">
        <v>2704</v>
      </c>
      <c r="AT159" t="s">
        <v>186</v>
      </c>
      <c r="AU159" t="s">
        <v>177</v>
      </c>
      <c r="AV159" t="s">
        <v>187</v>
      </c>
      <c r="AW159" t="s">
        <v>182</v>
      </c>
      <c r="AX159">
        <v>50</v>
      </c>
      <c r="AY159" t="s">
        <v>218</v>
      </c>
      <c r="AZ159" t="s">
        <v>589</v>
      </c>
      <c r="BA159" t="s">
        <v>590</v>
      </c>
      <c r="BB159" t="s">
        <v>191</v>
      </c>
      <c r="BC159" t="s">
        <v>182</v>
      </c>
      <c r="BD159" t="s">
        <v>182</v>
      </c>
      <c r="BE159" t="s">
        <v>2705</v>
      </c>
      <c r="BF159">
        <v>1</v>
      </c>
      <c r="BG159">
        <v>1</v>
      </c>
      <c r="BH159">
        <v>1977</v>
      </c>
      <c r="BI159" t="s">
        <v>2706</v>
      </c>
      <c r="BJ159" t="s">
        <v>194</v>
      </c>
      <c r="BK159" t="s">
        <v>195</v>
      </c>
      <c r="BL159" t="s">
        <v>2707</v>
      </c>
      <c r="BM159" t="s">
        <v>207</v>
      </c>
      <c r="BN159" t="s">
        <v>182</v>
      </c>
      <c r="BO159" t="s">
        <v>198</v>
      </c>
      <c r="BP159" t="s">
        <v>198</v>
      </c>
      <c r="BQ159" t="s">
        <v>198</v>
      </c>
      <c r="BR159" t="s">
        <v>198</v>
      </c>
      <c r="BS159" t="s">
        <v>198</v>
      </c>
      <c r="BT159" t="s">
        <v>198</v>
      </c>
      <c r="BU159" t="s">
        <v>182</v>
      </c>
      <c r="BV159" t="s">
        <v>198</v>
      </c>
      <c r="BW159" t="s">
        <v>198</v>
      </c>
      <c r="BX159" t="s">
        <v>199</v>
      </c>
      <c r="BY159" t="s">
        <v>198</v>
      </c>
      <c r="BZ159" t="s">
        <v>199</v>
      </c>
      <c r="CA159" t="s">
        <v>199</v>
      </c>
      <c r="CB159" t="s">
        <v>2641</v>
      </c>
      <c r="CC159" t="s">
        <v>201</v>
      </c>
      <c r="CD159" t="s">
        <v>182</v>
      </c>
      <c r="CE159" t="s">
        <v>2642</v>
      </c>
      <c r="CF159" t="s">
        <v>413</v>
      </c>
      <c r="CG159" t="s">
        <v>177</v>
      </c>
      <c r="CH159" t="s">
        <v>2643</v>
      </c>
      <c r="CI159" t="s">
        <v>2708</v>
      </c>
      <c r="CJ159" t="s">
        <v>2709</v>
      </c>
      <c r="CK159" t="s">
        <v>232</v>
      </c>
      <c r="CL159" t="s">
        <v>233</v>
      </c>
      <c r="CM159" t="s">
        <v>2710</v>
      </c>
      <c r="CN159" t="s">
        <v>235</v>
      </c>
      <c r="CO159" t="s">
        <v>183</v>
      </c>
      <c r="CP159" t="s">
        <v>266</v>
      </c>
      <c r="CS159" t="s">
        <v>198</v>
      </c>
      <c r="CT159" t="s">
        <v>994</v>
      </c>
      <c r="CU159" t="s">
        <v>292</v>
      </c>
      <c r="CV159" t="s">
        <v>293</v>
      </c>
      <c r="CW159" t="s">
        <v>2711</v>
      </c>
      <c r="CX159" t="s">
        <v>235</v>
      </c>
      <c r="CY159" t="s">
        <v>183</v>
      </c>
      <c r="CZ159" t="s">
        <v>211</v>
      </c>
      <c r="DA159" t="s">
        <v>337</v>
      </c>
      <c r="DC159" t="s">
        <v>540</v>
      </c>
      <c r="DM159" t="s">
        <v>198</v>
      </c>
      <c r="DW159" t="s">
        <v>198</v>
      </c>
      <c r="EG159" t="s">
        <v>198</v>
      </c>
      <c r="EQ159" t="s">
        <v>198</v>
      </c>
      <c r="FA159" t="s">
        <v>198</v>
      </c>
      <c r="FK159" t="s">
        <v>198</v>
      </c>
      <c r="FU159" t="s">
        <v>198</v>
      </c>
    </row>
    <row r="160" spans="1:177">
      <c r="A160" s="1" t="str">
        <f>HYPERLINK("http://digipan.lumentumllc.com/apps/getLink/index.php?t=PropLink&amp;p=5245501","PL")</f>
        <v>PL</v>
      </c>
      <c r="B160" s="1" t="str">
        <f>HYPERLINK("http://digipan.lumentumllc.com/apps/getLink/index.php?t=TaxLink&amp;p=5245501","TL")</f>
        <v>TL</v>
      </c>
      <c r="C160" s="1" t="str">
        <f>HYPERLINK("http://digipan.lumentumllc.com/apps/getMap/index.php?p=5245501","Map")</f>
        <v>Map</v>
      </c>
      <c r="E160" t="s">
        <v>177</v>
      </c>
      <c r="F160" t="s">
        <v>178</v>
      </c>
      <c r="L160" t="s">
        <v>2712</v>
      </c>
      <c r="N160" t="s">
        <v>2712</v>
      </c>
      <c r="O160" t="s">
        <v>2712</v>
      </c>
      <c r="P160" t="s">
        <v>2713</v>
      </c>
      <c r="Q160" t="s">
        <v>2712</v>
      </c>
      <c r="V160">
        <v>188</v>
      </c>
      <c r="W160">
        <v>1</v>
      </c>
      <c r="X160">
        <v>2017</v>
      </c>
      <c r="Y160">
        <v>2018</v>
      </c>
      <c r="Z160">
        <v>422.72</v>
      </c>
      <c r="AB160" t="s">
        <v>181</v>
      </c>
      <c r="AC160" t="s">
        <v>182</v>
      </c>
      <c r="AD160" t="s">
        <v>183</v>
      </c>
      <c r="AE160">
        <v>1</v>
      </c>
      <c r="AF160">
        <v>2</v>
      </c>
      <c r="AG160" t="s">
        <v>2222</v>
      </c>
      <c r="AH160">
        <v>50</v>
      </c>
      <c r="AI160">
        <v>489.5</v>
      </c>
      <c r="AJ160">
        <v>24.48</v>
      </c>
      <c r="AK160">
        <v>513.98</v>
      </c>
      <c r="AL160">
        <v>48864</v>
      </c>
      <c r="AM160">
        <v>28320</v>
      </c>
      <c r="AN160">
        <v>20544</v>
      </c>
      <c r="AO160">
        <v>428</v>
      </c>
      <c r="AP160">
        <v>2016</v>
      </c>
      <c r="AQ160">
        <v>0.87</v>
      </c>
      <c r="AR160">
        <v>1.05</v>
      </c>
      <c r="AS160" t="s">
        <v>2714</v>
      </c>
      <c r="AT160" t="s">
        <v>186</v>
      </c>
      <c r="AU160" t="s">
        <v>177</v>
      </c>
      <c r="AV160" t="s">
        <v>187</v>
      </c>
      <c r="AW160" t="s">
        <v>202</v>
      </c>
      <c r="AX160">
        <v>2</v>
      </c>
      <c r="AY160" t="s">
        <v>188</v>
      </c>
      <c r="AZ160" t="s">
        <v>189</v>
      </c>
      <c r="BA160" t="s">
        <v>190</v>
      </c>
      <c r="BB160" t="s">
        <v>191</v>
      </c>
      <c r="BC160" t="s">
        <v>182</v>
      </c>
      <c r="BD160" t="s">
        <v>182</v>
      </c>
      <c r="BE160" t="s">
        <v>2715</v>
      </c>
      <c r="BF160">
        <v>1</v>
      </c>
      <c r="BG160">
        <v>1</v>
      </c>
      <c r="BH160">
        <v>1980</v>
      </c>
      <c r="BI160" t="s">
        <v>2716</v>
      </c>
      <c r="BJ160" t="s">
        <v>194</v>
      </c>
      <c r="BK160" t="s">
        <v>195</v>
      </c>
      <c r="BL160" t="s">
        <v>2717</v>
      </c>
      <c r="BM160" t="s">
        <v>238</v>
      </c>
      <c r="BN160" t="s">
        <v>182</v>
      </c>
      <c r="BO160" t="s">
        <v>2718</v>
      </c>
      <c r="BP160" t="s">
        <v>2719</v>
      </c>
      <c r="BQ160" t="s">
        <v>603</v>
      </c>
      <c r="BR160" t="s">
        <v>643</v>
      </c>
      <c r="BS160" t="s">
        <v>198</v>
      </c>
      <c r="BT160" t="s">
        <v>2720</v>
      </c>
      <c r="BU160" t="s">
        <v>182</v>
      </c>
      <c r="BV160" t="s">
        <v>198</v>
      </c>
      <c r="BW160" t="s">
        <v>198</v>
      </c>
      <c r="BX160" t="s">
        <v>199</v>
      </c>
      <c r="BY160" t="s">
        <v>198</v>
      </c>
      <c r="BZ160" t="s">
        <v>199</v>
      </c>
      <c r="CA160" t="s">
        <v>199</v>
      </c>
      <c r="CB160" t="s">
        <v>2721</v>
      </c>
      <c r="CC160" t="s">
        <v>201</v>
      </c>
      <c r="CD160" t="s">
        <v>202</v>
      </c>
      <c r="CE160" t="s">
        <v>2722</v>
      </c>
      <c r="CF160" t="s">
        <v>204</v>
      </c>
      <c r="CG160" t="s">
        <v>177</v>
      </c>
      <c r="CH160" t="s">
        <v>187</v>
      </c>
      <c r="CI160" t="s">
        <v>2723</v>
      </c>
      <c r="CJ160" t="s">
        <v>2724</v>
      </c>
      <c r="CK160" t="s">
        <v>232</v>
      </c>
      <c r="CL160" t="s">
        <v>233</v>
      </c>
      <c r="CM160" t="s">
        <v>2725</v>
      </c>
      <c r="CN160" t="s">
        <v>235</v>
      </c>
      <c r="CO160" t="s">
        <v>183</v>
      </c>
      <c r="CP160" t="s">
        <v>266</v>
      </c>
      <c r="CS160" t="s">
        <v>198</v>
      </c>
      <c r="CT160" t="s">
        <v>2726</v>
      </c>
      <c r="CU160" t="s">
        <v>346</v>
      </c>
      <c r="CV160" t="s">
        <v>347</v>
      </c>
      <c r="CW160" t="s">
        <v>2727</v>
      </c>
      <c r="CX160" t="s">
        <v>469</v>
      </c>
      <c r="CY160" t="s">
        <v>183</v>
      </c>
      <c r="CZ160" t="s">
        <v>211</v>
      </c>
      <c r="DA160" t="s">
        <v>296</v>
      </c>
      <c r="DC160" t="s">
        <v>2728</v>
      </c>
      <c r="DD160" t="s">
        <v>2729</v>
      </c>
      <c r="DE160" t="s">
        <v>207</v>
      </c>
      <c r="DF160" t="s">
        <v>208</v>
      </c>
      <c r="DG160" t="s">
        <v>2730</v>
      </c>
      <c r="DH160" t="s">
        <v>473</v>
      </c>
      <c r="DI160" t="s">
        <v>183</v>
      </c>
      <c r="DJ160" t="s">
        <v>211</v>
      </c>
      <c r="DK160" t="s">
        <v>444</v>
      </c>
      <c r="DM160" t="s">
        <v>2728</v>
      </c>
      <c r="DW160" t="s">
        <v>198</v>
      </c>
      <c r="EG160" t="s">
        <v>198</v>
      </c>
      <c r="EQ160" t="s">
        <v>198</v>
      </c>
      <c r="FA160" t="s">
        <v>198</v>
      </c>
      <c r="FK160" t="s">
        <v>198</v>
      </c>
      <c r="FU160" t="s">
        <v>198</v>
      </c>
    </row>
    <row r="161" spans="1:177">
      <c r="A161" s="1" t="str">
        <f>HYPERLINK("http://digipan.lumentumllc.com/apps/getLink/index.php?t=PropLink&amp;p=5245995","PL")</f>
        <v>PL</v>
      </c>
      <c r="B161" s="1" t="str">
        <f>HYPERLINK("http://digipan.lumentumllc.com/apps/getLink/index.php?t=TaxLink&amp;p=5245995","TL")</f>
        <v>TL</v>
      </c>
      <c r="C161" s="1" t="str">
        <f>HYPERLINK("http://digipan.lumentumllc.com/apps/getMap/index.php?p=5245995","Map")</f>
        <v>Map</v>
      </c>
      <c r="E161" t="s">
        <v>177</v>
      </c>
      <c r="F161" t="s">
        <v>178</v>
      </c>
      <c r="L161" t="s">
        <v>2731</v>
      </c>
      <c r="N161" t="s">
        <v>2731</v>
      </c>
      <c r="O161" t="s">
        <v>2731</v>
      </c>
      <c r="P161" t="s">
        <v>2732</v>
      </c>
      <c r="Q161" t="s">
        <v>2731</v>
      </c>
      <c r="V161">
        <v>190</v>
      </c>
      <c r="W161">
        <v>1</v>
      </c>
      <c r="X161">
        <v>2017</v>
      </c>
      <c r="Y161">
        <v>2018</v>
      </c>
      <c r="Z161">
        <v>1747.7</v>
      </c>
      <c r="AB161" t="s">
        <v>181</v>
      </c>
      <c r="AC161" t="s">
        <v>182</v>
      </c>
      <c r="AD161" t="s">
        <v>183</v>
      </c>
      <c r="AE161">
        <v>1</v>
      </c>
      <c r="AF161">
        <v>7</v>
      </c>
      <c r="AG161" t="s">
        <v>418</v>
      </c>
      <c r="AH161">
        <v>86</v>
      </c>
      <c r="AI161">
        <v>1720.39</v>
      </c>
      <c r="AJ161">
        <v>86.02</v>
      </c>
      <c r="AK161">
        <v>1806.41</v>
      </c>
      <c r="AL161">
        <v>163003</v>
      </c>
      <c r="AM161">
        <v>15000</v>
      </c>
      <c r="AN161">
        <v>148003</v>
      </c>
      <c r="AO161">
        <v>1566</v>
      </c>
      <c r="AP161">
        <v>2016</v>
      </c>
      <c r="AQ161">
        <v>1.07</v>
      </c>
      <c r="AR161">
        <v>1.1100000000000001</v>
      </c>
      <c r="AS161" t="s">
        <v>2733</v>
      </c>
      <c r="AT161" t="s">
        <v>186</v>
      </c>
      <c r="AU161" t="s">
        <v>177</v>
      </c>
      <c r="AV161" t="s">
        <v>187</v>
      </c>
      <c r="AW161" t="s">
        <v>202</v>
      </c>
      <c r="AX161">
        <v>1</v>
      </c>
      <c r="AY161" t="s">
        <v>188</v>
      </c>
      <c r="AZ161" t="s">
        <v>206</v>
      </c>
      <c r="BA161" t="s">
        <v>355</v>
      </c>
      <c r="BB161" t="s">
        <v>191</v>
      </c>
      <c r="BC161" t="s">
        <v>182</v>
      </c>
      <c r="BD161" t="s">
        <v>182</v>
      </c>
      <c r="BE161" t="s">
        <v>383</v>
      </c>
      <c r="BF161">
        <v>1</v>
      </c>
      <c r="BG161">
        <v>1</v>
      </c>
      <c r="BH161">
        <v>1980</v>
      </c>
      <c r="BI161" t="s">
        <v>2734</v>
      </c>
      <c r="BJ161" t="s">
        <v>194</v>
      </c>
      <c r="BK161" t="s">
        <v>195</v>
      </c>
      <c r="BL161" t="s">
        <v>2735</v>
      </c>
      <c r="BM161" t="s">
        <v>1041</v>
      </c>
      <c r="BN161" t="s">
        <v>182</v>
      </c>
      <c r="BO161" t="s">
        <v>2736</v>
      </c>
      <c r="BP161" t="s">
        <v>2737</v>
      </c>
      <c r="BQ161" t="s">
        <v>226</v>
      </c>
      <c r="BR161" t="s">
        <v>227</v>
      </c>
      <c r="BS161" t="s">
        <v>198</v>
      </c>
      <c r="BT161" t="s">
        <v>2738</v>
      </c>
      <c r="BU161" t="s">
        <v>182</v>
      </c>
      <c r="BV161" t="s">
        <v>198</v>
      </c>
      <c r="BW161" t="s">
        <v>198</v>
      </c>
      <c r="BX161" t="s">
        <v>199</v>
      </c>
      <c r="BY161" t="s">
        <v>198</v>
      </c>
      <c r="BZ161" t="s">
        <v>199</v>
      </c>
      <c r="CA161" t="s">
        <v>199</v>
      </c>
      <c r="CB161" t="s">
        <v>2739</v>
      </c>
      <c r="CC161" t="s">
        <v>201</v>
      </c>
      <c r="CD161" t="s">
        <v>182</v>
      </c>
      <c r="CE161" t="s">
        <v>2740</v>
      </c>
      <c r="CF161" t="s">
        <v>204</v>
      </c>
      <c r="CG161" t="s">
        <v>177</v>
      </c>
      <c r="CH161" t="s">
        <v>187</v>
      </c>
      <c r="CI161" t="s">
        <v>2741</v>
      </c>
      <c r="CJ161" t="s">
        <v>2742</v>
      </c>
      <c r="CK161" t="s">
        <v>232</v>
      </c>
      <c r="CL161" t="s">
        <v>233</v>
      </c>
      <c r="CM161" t="s">
        <v>2743</v>
      </c>
      <c r="CN161" t="s">
        <v>235</v>
      </c>
      <c r="CO161" t="s">
        <v>183</v>
      </c>
      <c r="CP161" t="s">
        <v>266</v>
      </c>
      <c r="CS161" t="s">
        <v>198</v>
      </c>
      <c r="CT161" t="s">
        <v>1098</v>
      </c>
      <c r="CU161" t="s">
        <v>292</v>
      </c>
      <c r="CV161" t="s">
        <v>293</v>
      </c>
      <c r="CW161" t="s">
        <v>2744</v>
      </c>
      <c r="CX161" t="s">
        <v>235</v>
      </c>
      <c r="CY161" t="s">
        <v>183</v>
      </c>
      <c r="CZ161" t="s">
        <v>211</v>
      </c>
      <c r="DA161" t="s">
        <v>523</v>
      </c>
      <c r="DC161" t="s">
        <v>2745</v>
      </c>
      <c r="DD161" t="s">
        <v>2217</v>
      </c>
      <c r="DE161" t="s">
        <v>267</v>
      </c>
      <c r="DF161" t="s">
        <v>268</v>
      </c>
      <c r="DG161" t="s">
        <v>2746</v>
      </c>
      <c r="DH161" t="s">
        <v>235</v>
      </c>
      <c r="DI161" t="s">
        <v>183</v>
      </c>
      <c r="DJ161" t="s">
        <v>211</v>
      </c>
      <c r="DK161" t="s">
        <v>523</v>
      </c>
      <c r="DM161" t="s">
        <v>2747</v>
      </c>
      <c r="DN161" t="s">
        <v>1173</v>
      </c>
      <c r="DO161" t="s">
        <v>273</v>
      </c>
      <c r="DP161" t="s">
        <v>274</v>
      </c>
      <c r="DQ161" t="s">
        <v>2748</v>
      </c>
      <c r="DR161" t="s">
        <v>235</v>
      </c>
      <c r="DS161" t="s">
        <v>183</v>
      </c>
      <c r="DT161" t="s">
        <v>211</v>
      </c>
      <c r="DU161" t="s">
        <v>298</v>
      </c>
      <c r="DW161" t="s">
        <v>2749</v>
      </c>
      <c r="DX161" t="s">
        <v>1197</v>
      </c>
      <c r="DY161" t="s">
        <v>302</v>
      </c>
      <c r="DZ161" t="s">
        <v>303</v>
      </c>
      <c r="EA161" t="s">
        <v>2750</v>
      </c>
      <c r="EB161" t="s">
        <v>235</v>
      </c>
      <c r="EC161" t="s">
        <v>183</v>
      </c>
      <c r="ED161" t="s">
        <v>211</v>
      </c>
      <c r="EE161" t="s">
        <v>298</v>
      </c>
      <c r="EG161" t="s">
        <v>2359</v>
      </c>
      <c r="EH161" t="s">
        <v>2751</v>
      </c>
      <c r="EI161" t="s">
        <v>238</v>
      </c>
      <c r="EJ161" t="s">
        <v>239</v>
      </c>
      <c r="EK161" t="s">
        <v>2752</v>
      </c>
      <c r="EL161" t="s">
        <v>235</v>
      </c>
      <c r="EM161" t="s">
        <v>183</v>
      </c>
      <c r="EN161" t="s">
        <v>211</v>
      </c>
      <c r="EO161" t="s">
        <v>345</v>
      </c>
      <c r="EQ161" t="s">
        <v>2753</v>
      </c>
      <c r="ER161" t="s">
        <v>2754</v>
      </c>
      <c r="ES161" t="s">
        <v>346</v>
      </c>
      <c r="ET161" t="s">
        <v>347</v>
      </c>
      <c r="EU161" t="s">
        <v>2755</v>
      </c>
      <c r="EV161" t="s">
        <v>235</v>
      </c>
      <c r="EW161" t="s">
        <v>183</v>
      </c>
      <c r="EX161" t="s">
        <v>211</v>
      </c>
      <c r="EY161" t="s">
        <v>298</v>
      </c>
      <c r="FA161" t="s">
        <v>2756</v>
      </c>
      <c r="FB161" t="s">
        <v>2634</v>
      </c>
      <c r="FC161" t="s">
        <v>207</v>
      </c>
      <c r="FD161" t="s">
        <v>208</v>
      </c>
      <c r="FE161" t="s">
        <v>2757</v>
      </c>
      <c r="FF161" t="s">
        <v>235</v>
      </c>
      <c r="FG161" t="s">
        <v>183</v>
      </c>
      <c r="FH161" t="s">
        <v>211</v>
      </c>
      <c r="FI161" t="s">
        <v>298</v>
      </c>
      <c r="FK161" t="s">
        <v>474</v>
      </c>
      <c r="FU161" t="s">
        <v>198</v>
      </c>
    </row>
    <row r="162" spans="1:177">
      <c r="A162" s="1" t="str">
        <f>HYPERLINK("http://digipan.lumentumllc.com/apps/getLink/index.php?t=PropLink&amp;p=5246069","PL")</f>
        <v>PL</v>
      </c>
      <c r="B162" s="1" t="str">
        <f>HYPERLINK("http://digipan.lumentumllc.com/apps/getLink/index.php?t=TaxLink&amp;p=5246069","TL")</f>
        <v>TL</v>
      </c>
      <c r="C162" s="1" t="str">
        <f>HYPERLINK("http://digipan.lumentumllc.com/apps/getMap/index.php?p=5246069","Map")</f>
        <v>Map</v>
      </c>
      <c r="E162" t="s">
        <v>177</v>
      </c>
      <c r="F162" t="s">
        <v>178</v>
      </c>
      <c r="L162" t="s">
        <v>2758</v>
      </c>
      <c r="N162" t="s">
        <v>2758</v>
      </c>
      <c r="O162" t="s">
        <v>2758</v>
      </c>
      <c r="P162" t="s">
        <v>2759</v>
      </c>
      <c r="Q162" t="s">
        <v>2758</v>
      </c>
      <c r="V162">
        <v>192</v>
      </c>
      <c r="W162">
        <v>1</v>
      </c>
      <c r="X162">
        <v>2017</v>
      </c>
      <c r="Y162">
        <v>2018</v>
      </c>
      <c r="Z162">
        <v>2511.23</v>
      </c>
      <c r="AB162" t="s">
        <v>181</v>
      </c>
      <c r="AC162" t="s">
        <v>182</v>
      </c>
      <c r="AD162" t="s">
        <v>183</v>
      </c>
      <c r="AE162">
        <v>0</v>
      </c>
      <c r="AF162">
        <v>7</v>
      </c>
      <c r="AG162" t="s">
        <v>1059</v>
      </c>
      <c r="AH162">
        <v>100</v>
      </c>
      <c r="AK162">
        <v>0</v>
      </c>
      <c r="AL162">
        <v>151425</v>
      </c>
      <c r="AM162">
        <v>82350</v>
      </c>
      <c r="AN162">
        <v>69075</v>
      </c>
      <c r="AO162">
        <v>1449</v>
      </c>
      <c r="AP162">
        <v>2016</v>
      </c>
      <c r="AQ162">
        <v>1.66</v>
      </c>
      <c r="AS162" t="s">
        <v>2760</v>
      </c>
      <c r="AT162" t="s">
        <v>186</v>
      </c>
      <c r="AU162" t="s">
        <v>177</v>
      </c>
      <c r="AV162" t="s">
        <v>187</v>
      </c>
      <c r="AW162" t="s">
        <v>182</v>
      </c>
      <c r="AX162">
        <v>1</v>
      </c>
      <c r="AY162" t="s">
        <v>188</v>
      </c>
      <c r="AZ162" t="s">
        <v>206</v>
      </c>
      <c r="BA162" t="s">
        <v>355</v>
      </c>
      <c r="BB162" t="s">
        <v>191</v>
      </c>
      <c r="BC162" t="s">
        <v>182</v>
      </c>
      <c r="BD162" t="s">
        <v>182</v>
      </c>
      <c r="BE162" t="s">
        <v>2761</v>
      </c>
      <c r="BF162">
        <v>1</v>
      </c>
      <c r="BG162">
        <v>1</v>
      </c>
      <c r="BH162">
        <v>2005</v>
      </c>
      <c r="BI162" t="s">
        <v>2762</v>
      </c>
      <c r="BJ162" t="s">
        <v>285</v>
      </c>
      <c r="BK162" t="s">
        <v>195</v>
      </c>
      <c r="BL162" t="s">
        <v>2763</v>
      </c>
      <c r="BM162" t="s">
        <v>197</v>
      </c>
      <c r="BN162" t="s">
        <v>182</v>
      </c>
      <c r="BO162" t="s">
        <v>2764</v>
      </c>
      <c r="BP162" t="s">
        <v>2765</v>
      </c>
      <c r="BQ162" t="s">
        <v>904</v>
      </c>
      <c r="BR162" t="s">
        <v>563</v>
      </c>
      <c r="BS162" t="s">
        <v>198</v>
      </c>
      <c r="BT162" t="s">
        <v>228</v>
      </c>
      <c r="BU162" t="s">
        <v>182</v>
      </c>
      <c r="BV162" t="s">
        <v>198</v>
      </c>
      <c r="BW162" t="s">
        <v>198</v>
      </c>
      <c r="BX162" t="s">
        <v>199</v>
      </c>
      <c r="BY162" t="s">
        <v>198</v>
      </c>
      <c r="BZ162" t="s">
        <v>199</v>
      </c>
      <c r="CA162" t="s">
        <v>199</v>
      </c>
      <c r="CB162" t="s">
        <v>2766</v>
      </c>
      <c r="CC162" t="s">
        <v>201</v>
      </c>
      <c r="CD162" t="s">
        <v>202</v>
      </c>
      <c r="CE162" t="s">
        <v>2767</v>
      </c>
      <c r="CF162" t="s">
        <v>2768</v>
      </c>
      <c r="CG162" t="s">
        <v>2769</v>
      </c>
      <c r="CH162" t="s">
        <v>2770</v>
      </c>
      <c r="CI162" t="s">
        <v>2771</v>
      </c>
      <c r="CJ162" t="s">
        <v>2772</v>
      </c>
      <c r="CK162" t="s">
        <v>232</v>
      </c>
      <c r="CL162" t="s">
        <v>233</v>
      </c>
      <c r="CM162" t="s">
        <v>2773</v>
      </c>
      <c r="CN162" t="s">
        <v>235</v>
      </c>
      <c r="CO162" t="s">
        <v>183</v>
      </c>
      <c r="CP162" t="s">
        <v>211</v>
      </c>
      <c r="CQ162" t="s">
        <v>199</v>
      </c>
      <c r="CS162" t="s">
        <v>2774</v>
      </c>
      <c r="CT162" t="s">
        <v>1137</v>
      </c>
      <c r="CU162" t="s">
        <v>292</v>
      </c>
      <c r="CV162" t="s">
        <v>293</v>
      </c>
      <c r="CW162" t="s">
        <v>2775</v>
      </c>
      <c r="CX162" t="s">
        <v>235</v>
      </c>
      <c r="CY162" t="s">
        <v>183</v>
      </c>
      <c r="CZ162" t="s">
        <v>211</v>
      </c>
      <c r="DA162" t="s">
        <v>212</v>
      </c>
      <c r="DC162" t="s">
        <v>2776</v>
      </c>
      <c r="DD162" t="s">
        <v>971</v>
      </c>
      <c r="DE162" t="s">
        <v>267</v>
      </c>
      <c r="DF162" t="s">
        <v>268</v>
      </c>
      <c r="DG162" t="s">
        <v>2777</v>
      </c>
      <c r="DH162" t="s">
        <v>235</v>
      </c>
      <c r="DI162" t="s">
        <v>183</v>
      </c>
      <c r="DJ162" t="s">
        <v>211</v>
      </c>
      <c r="DK162" t="s">
        <v>298</v>
      </c>
      <c r="DM162" t="s">
        <v>2179</v>
      </c>
      <c r="DN162" t="s">
        <v>1191</v>
      </c>
      <c r="DO162" t="s">
        <v>273</v>
      </c>
      <c r="DP162" t="s">
        <v>274</v>
      </c>
      <c r="DQ162" t="s">
        <v>2778</v>
      </c>
      <c r="DR162" t="s">
        <v>235</v>
      </c>
      <c r="DS162" t="s">
        <v>183</v>
      </c>
      <c r="DT162" t="s">
        <v>211</v>
      </c>
      <c r="DU162" t="s">
        <v>329</v>
      </c>
      <c r="DW162" t="s">
        <v>2359</v>
      </c>
      <c r="DX162" t="s">
        <v>2482</v>
      </c>
      <c r="DY162" t="s">
        <v>302</v>
      </c>
      <c r="DZ162" t="s">
        <v>303</v>
      </c>
      <c r="EA162" t="s">
        <v>2779</v>
      </c>
      <c r="EB162" t="s">
        <v>235</v>
      </c>
      <c r="EC162" t="s">
        <v>183</v>
      </c>
      <c r="ED162" t="s">
        <v>211</v>
      </c>
      <c r="EE162" t="s">
        <v>306</v>
      </c>
      <c r="EG162" t="s">
        <v>2780</v>
      </c>
      <c r="EH162" t="s">
        <v>2781</v>
      </c>
      <c r="EI162" t="s">
        <v>238</v>
      </c>
      <c r="EJ162" t="s">
        <v>239</v>
      </c>
      <c r="EK162" t="s">
        <v>2782</v>
      </c>
      <c r="EL162" t="s">
        <v>235</v>
      </c>
      <c r="EM162" t="s">
        <v>183</v>
      </c>
      <c r="EN162" t="s">
        <v>211</v>
      </c>
      <c r="EO162" t="s">
        <v>427</v>
      </c>
      <c r="EQ162" t="s">
        <v>2783</v>
      </c>
      <c r="ER162" t="s">
        <v>2784</v>
      </c>
      <c r="ES162" t="s">
        <v>346</v>
      </c>
      <c r="ET162" t="s">
        <v>347</v>
      </c>
      <c r="EU162" t="s">
        <v>2785</v>
      </c>
      <c r="EV162" t="s">
        <v>235</v>
      </c>
      <c r="EW162" t="s">
        <v>183</v>
      </c>
      <c r="EX162" t="s">
        <v>211</v>
      </c>
      <c r="EY162" t="s">
        <v>270</v>
      </c>
      <c r="FA162" t="s">
        <v>2786</v>
      </c>
      <c r="FK162" t="s">
        <v>198</v>
      </c>
      <c r="FU162" t="s">
        <v>198</v>
      </c>
    </row>
    <row r="163" spans="1:177">
      <c r="A163" s="1" t="str">
        <f>HYPERLINK("http://digipan.lumentumllc.com/apps/getLink/index.php?t=PropLink&amp;p=15746947","PL")</f>
        <v>PL</v>
      </c>
      <c r="B163" s="1" t="str">
        <f>HYPERLINK("http://digipan.lumentumllc.com/apps/getLink/index.php?t=TaxLink&amp;p=15746947","TL")</f>
        <v>TL</v>
      </c>
      <c r="C163" s="1" t="str">
        <f>HYPERLINK("http://digipan.lumentumllc.com/apps/getMap/index.php?p=15746947","Map")</f>
        <v>Map</v>
      </c>
      <c r="E163" t="s">
        <v>177</v>
      </c>
      <c r="F163" t="s">
        <v>178</v>
      </c>
      <c r="L163" t="s">
        <v>2787</v>
      </c>
      <c r="N163" t="s">
        <v>2787</v>
      </c>
      <c r="O163" t="s">
        <v>2787</v>
      </c>
      <c r="Q163" t="s">
        <v>2787</v>
      </c>
      <c r="V163">
        <v>193</v>
      </c>
      <c r="W163">
        <v>1</v>
      </c>
      <c r="X163">
        <v>2017</v>
      </c>
      <c r="Y163">
        <v>2018</v>
      </c>
      <c r="Z163">
        <v>937.98</v>
      </c>
      <c r="AG163" t="s">
        <v>184</v>
      </c>
      <c r="AH163">
        <v>0</v>
      </c>
      <c r="AK163">
        <v>0</v>
      </c>
      <c r="AL163">
        <v>143717</v>
      </c>
      <c r="AM163">
        <v>17325</v>
      </c>
      <c r="AN163">
        <v>126392</v>
      </c>
      <c r="AO163">
        <v>822</v>
      </c>
      <c r="AP163">
        <v>2016</v>
      </c>
      <c r="AQ163">
        <v>0.65</v>
      </c>
      <c r="AS163" t="s">
        <v>2788</v>
      </c>
      <c r="AT163" t="s">
        <v>186</v>
      </c>
      <c r="AU163" t="s">
        <v>177</v>
      </c>
      <c r="AV163" t="s">
        <v>187</v>
      </c>
      <c r="AW163" t="s">
        <v>202</v>
      </c>
      <c r="AX163">
        <v>50</v>
      </c>
      <c r="AY163" t="s">
        <v>218</v>
      </c>
      <c r="AZ163" t="s">
        <v>589</v>
      </c>
      <c r="BA163" t="s">
        <v>590</v>
      </c>
      <c r="BB163" t="s">
        <v>191</v>
      </c>
      <c r="BC163" t="s">
        <v>182</v>
      </c>
      <c r="BD163" t="s">
        <v>182</v>
      </c>
      <c r="BE163" t="s">
        <v>2789</v>
      </c>
      <c r="BF163">
        <v>1</v>
      </c>
      <c r="BG163">
        <v>1</v>
      </c>
      <c r="BH163">
        <v>2007</v>
      </c>
      <c r="BI163" t="s">
        <v>2790</v>
      </c>
      <c r="BJ163" t="s">
        <v>194</v>
      </c>
      <c r="BK163" t="s">
        <v>195</v>
      </c>
      <c r="BL163" t="s">
        <v>199</v>
      </c>
      <c r="BM163" t="s">
        <v>267</v>
      </c>
      <c r="BN163" t="s">
        <v>182</v>
      </c>
      <c r="BO163" t="s">
        <v>2791</v>
      </c>
      <c r="BP163" t="s">
        <v>2792</v>
      </c>
      <c r="BQ163" t="s">
        <v>562</v>
      </c>
      <c r="BR163" t="s">
        <v>563</v>
      </c>
      <c r="BS163" t="s">
        <v>198</v>
      </c>
      <c r="BT163" t="s">
        <v>2793</v>
      </c>
      <c r="BU163" t="s">
        <v>182</v>
      </c>
      <c r="BV163" t="s">
        <v>198</v>
      </c>
      <c r="BW163" t="s">
        <v>198</v>
      </c>
      <c r="BX163" t="s">
        <v>199</v>
      </c>
      <c r="BY163" t="s">
        <v>198</v>
      </c>
      <c r="BZ163" t="s">
        <v>199</v>
      </c>
      <c r="CA163" t="s">
        <v>199</v>
      </c>
      <c r="CB163" t="s">
        <v>2794</v>
      </c>
      <c r="CC163" t="s">
        <v>201</v>
      </c>
      <c r="CD163" t="s">
        <v>182</v>
      </c>
      <c r="CE163" t="s">
        <v>2795</v>
      </c>
      <c r="CF163" t="s">
        <v>204</v>
      </c>
      <c r="CG163" t="s">
        <v>177</v>
      </c>
      <c r="CH163" t="s">
        <v>187</v>
      </c>
      <c r="CI163" t="s">
        <v>2796</v>
      </c>
      <c r="CS163" t="s">
        <v>198</v>
      </c>
      <c r="DC163" t="s">
        <v>198</v>
      </c>
      <c r="DM163" t="s">
        <v>198</v>
      </c>
      <c r="DW163" t="s">
        <v>198</v>
      </c>
      <c r="EG163" t="s">
        <v>198</v>
      </c>
      <c r="EQ163" t="s">
        <v>198</v>
      </c>
      <c r="FA163" t="s">
        <v>198</v>
      </c>
      <c r="FK163" t="s">
        <v>198</v>
      </c>
      <c r="FU163" t="s">
        <v>198</v>
      </c>
    </row>
    <row r="164" spans="1:177">
      <c r="A164" s="1" t="str">
        <f>HYPERLINK("http://digipan.lumentumllc.com/apps/getLink/index.php?t=PropLink&amp;p=5247116","PL")</f>
        <v>PL</v>
      </c>
      <c r="B164" s="1" t="str">
        <f>HYPERLINK("http://digipan.lumentumllc.com/apps/getLink/index.php?t=TaxLink&amp;p=5247116","TL")</f>
        <v>TL</v>
      </c>
      <c r="C164" s="1" t="str">
        <f>HYPERLINK("http://digipan.lumentumllc.com/apps/getMap/index.php?p=5247116","Map")</f>
        <v>Map</v>
      </c>
      <c r="E164" t="s">
        <v>177</v>
      </c>
      <c r="F164" t="s">
        <v>178</v>
      </c>
      <c r="L164" t="s">
        <v>2797</v>
      </c>
      <c r="N164" t="s">
        <v>2797</v>
      </c>
      <c r="O164" t="s">
        <v>2797</v>
      </c>
      <c r="P164" t="s">
        <v>2798</v>
      </c>
      <c r="Q164" t="s">
        <v>2797</v>
      </c>
      <c r="V164">
        <v>194</v>
      </c>
      <c r="W164">
        <v>1</v>
      </c>
      <c r="X164">
        <v>2017</v>
      </c>
      <c r="Y164">
        <v>2018</v>
      </c>
      <c r="Z164">
        <v>708.25</v>
      </c>
      <c r="AB164" t="s">
        <v>181</v>
      </c>
      <c r="AC164" t="s">
        <v>202</v>
      </c>
      <c r="AD164" t="s">
        <v>183</v>
      </c>
      <c r="AE164">
        <v>0</v>
      </c>
      <c r="AF164">
        <v>7</v>
      </c>
      <c r="AG164" t="s">
        <v>528</v>
      </c>
      <c r="AH164">
        <v>100</v>
      </c>
      <c r="AK164">
        <v>0</v>
      </c>
      <c r="AL164">
        <v>44988</v>
      </c>
      <c r="AM164">
        <v>14100</v>
      </c>
      <c r="AN164">
        <v>30888</v>
      </c>
      <c r="AO164">
        <v>537</v>
      </c>
      <c r="AP164">
        <v>2016</v>
      </c>
      <c r="AQ164">
        <v>1.57</v>
      </c>
      <c r="AS164" t="s">
        <v>2799</v>
      </c>
      <c r="AT164" t="s">
        <v>186</v>
      </c>
      <c r="AU164" t="s">
        <v>177</v>
      </c>
      <c r="AV164" t="s">
        <v>187</v>
      </c>
      <c r="AW164" t="s">
        <v>182</v>
      </c>
      <c r="AX164">
        <v>2</v>
      </c>
      <c r="AY164" t="s">
        <v>188</v>
      </c>
      <c r="AZ164" t="s">
        <v>189</v>
      </c>
      <c r="BA164" t="s">
        <v>190</v>
      </c>
      <c r="BB164" t="s">
        <v>191</v>
      </c>
      <c r="BC164" t="s">
        <v>182</v>
      </c>
      <c r="BD164" t="s">
        <v>182</v>
      </c>
      <c r="BE164" t="s">
        <v>2800</v>
      </c>
      <c r="BF164">
        <v>1</v>
      </c>
      <c r="BG164">
        <v>1</v>
      </c>
      <c r="BH164">
        <v>1997</v>
      </c>
      <c r="BI164" t="s">
        <v>1271</v>
      </c>
      <c r="BJ164" t="s">
        <v>194</v>
      </c>
      <c r="BK164" t="s">
        <v>195</v>
      </c>
      <c r="BL164" t="s">
        <v>2801</v>
      </c>
      <c r="BM164" t="s">
        <v>368</v>
      </c>
      <c r="BN164" t="s">
        <v>182</v>
      </c>
      <c r="BO164" t="s">
        <v>2660</v>
      </c>
      <c r="BP164" t="s">
        <v>2802</v>
      </c>
      <c r="BS164" t="s">
        <v>2803</v>
      </c>
      <c r="BT164" t="s">
        <v>198</v>
      </c>
      <c r="BU164" t="s">
        <v>182</v>
      </c>
      <c r="BV164" t="s">
        <v>198</v>
      </c>
      <c r="BW164" t="s">
        <v>198</v>
      </c>
      <c r="BX164" t="s">
        <v>199</v>
      </c>
      <c r="BY164" t="s">
        <v>198</v>
      </c>
      <c r="BZ164" t="s">
        <v>199</v>
      </c>
      <c r="CA164" t="s">
        <v>199</v>
      </c>
      <c r="CB164" t="s">
        <v>2804</v>
      </c>
      <c r="CC164" t="s">
        <v>201</v>
      </c>
      <c r="CD164" t="s">
        <v>182</v>
      </c>
      <c r="CE164" t="s">
        <v>2805</v>
      </c>
      <c r="CF164" t="s">
        <v>204</v>
      </c>
      <c r="CG164" t="s">
        <v>177</v>
      </c>
      <c r="CH164" t="s">
        <v>187</v>
      </c>
      <c r="CI164" t="s">
        <v>2806</v>
      </c>
      <c r="CJ164" t="s">
        <v>1101</v>
      </c>
      <c r="CK164" t="s">
        <v>292</v>
      </c>
      <c r="CL164" t="s">
        <v>293</v>
      </c>
      <c r="CM164" t="s">
        <v>2807</v>
      </c>
      <c r="CN164" t="s">
        <v>333</v>
      </c>
      <c r="CO164" t="s">
        <v>183</v>
      </c>
      <c r="CP164" t="s">
        <v>211</v>
      </c>
      <c r="CQ164" t="s">
        <v>270</v>
      </c>
      <c r="CR164" t="s">
        <v>271</v>
      </c>
      <c r="CS164" t="s">
        <v>2808</v>
      </c>
      <c r="CT164" t="s">
        <v>1018</v>
      </c>
      <c r="CU164" t="s">
        <v>267</v>
      </c>
      <c r="CV164" t="s">
        <v>268</v>
      </c>
      <c r="CW164" t="s">
        <v>2809</v>
      </c>
      <c r="CX164" t="s">
        <v>235</v>
      </c>
      <c r="CY164" t="s">
        <v>183</v>
      </c>
      <c r="CZ164" t="s">
        <v>211</v>
      </c>
      <c r="DB164" t="s">
        <v>271</v>
      </c>
      <c r="DC164" t="s">
        <v>198</v>
      </c>
      <c r="DD164" t="s">
        <v>2526</v>
      </c>
      <c r="DE164" t="s">
        <v>273</v>
      </c>
      <c r="DF164" t="s">
        <v>274</v>
      </c>
      <c r="DG164" t="s">
        <v>2810</v>
      </c>
      <c r="DH164" t="s">
        <v>341</v>
      </c>
      <c r="DI164" t="s">
        <v>183</v>
      </c>
      <c r="DJ164" t="s">
        <v>211</v>
      </c>
      <c r="DK164" t="s">
        <v>909</v>
      </c>
      <c r="DL164" t="s">
        <v>271</v>
      </c>
      <c r="DM164" t="s">
        <v>2808</v>
      </c>
      <c r="DN164" t="s">
        <v>2566</v>
      </c>
      <c r="DO164" t="s">
        <v>302</v>
      </c>
      <c r="DP164" t="s">
        <v>303</v>
      </c>
      <c r="DQ164" t="s">
        <v>2811</v>
      </c>
      <c r="DR164" t="s">
        <v>305</v>
      </c>
      <c r="DS164" t="s">
        <v>183</v>
      </c>
      <c r="DT164" t="s">
        <v>211</v>
      </c>
      <c r="DV164" t="s">
        <v>271</v>
      </c>
      <c r="DW164" t="s">
        <v>198</v>
      </c>
      <c r="DX164" t="s">
        <v>1311</v>
      </c>
      <c r="DY164" t="s">
        <v>238</v>
      </c>
      <c r="DZ164" t="s">
        <v>239</v>
      </c>
      <c r="EA164" t="s">
        <v>2812</v>
      </c>
      <c r="EB164" t="s">
        <v>278</v>
      </c>
      <c r="EC164" t="s">
        <v>183</v>
      </c>
      <c r="ED164" t="s">
        <v>211</v>
      </c>
      <c r="EE164" t="s">
        <v>525</v>
      </c>
      <c r="EG164" t="s">
        <v>2359</v>
      </c>
      <c r="EH164" t="s">
        <v>2813</v>
      </c>
      <c r="EI164" t="s">
        <v>346</v>
      </c>
      <c r="EJ164" t="s">
        <v>347</v>
      </c>
      <c r="EK164" t="s">
        <v>2814</v>
      </c>
      <c r="EL164" t="s">
        <v>469</v>
      </c>
      <c r="EM164" t="s">
        <v>183</v>
      </c>
      <c r="EN164" t="s">
        <v>211</v>
      </c>
      <c r="EO164" t="s">
        <v>298</v>
      </c>
      <c r="EQ164" t="s">
        <v>878</v>
      </c>
      <c r="ER164" t="s">
        <v>2815</v>
      </c>
      <c r="ES164" t="s">
        <v>207</v>
      </c>
      <c r="ET164" t="s">
        <v>208</v>
      </c>
      <c r="EU164" t="s">
        <v>2816</v>
      </c>
      <c r="EV164" t="s">
        <v>351</v>
      </c>
      <c r="EW164" t="s">
        <v>183</v>
      </c>
      <c r="EX164" t="s">
        <v>211</v>
      </c>
      <c r="EY164" t="s">
        <v>298</v>
      </c>
      <c r="FA164" t="s">
        <v>474</v>
      </c>
      <c r="FK164" t="s">
        <v>198</v>
      </c>
      <c r="FU164" t="s">
        <v>198</v>
      </c>
    </row>
    <row r="165" spans="1:177">
      <c r="A165" s="1" t="str">
        <f>HYPERLINK("http://digipan.lumentumllc.com/apps/getLink/index.php?t=PropLink&amp;p=5247482","PL")</f>
        <v>PL</v>
      </c>
      <c r="B165" s="1" t="str">
        <f>HYPERLINK("http://digipan.lumentumllc.com/apps/getLink/index.php?t=TaxLink&amp;p=5247482","TL")</f>
        <v>TL</v>
      </c>
      <c r="C165" s="1" t="str">
        <f>HYPERLINK("http://digipan.lumentumllc.com/apps/getMap/index.php?p=5247482","Map")</f>
        <v>Map</v>
      </c>
      <c r="E165" t="s">
        <v>177</v>
      </c>
      <c r="F165" t="s">
        <v>178</v>
      </c>
      <c r="L165" t="s">
        <v>2817</v>
      </c>
      <c r="N165" t="s">
        <v>2817</v>
      </c>
      <c r="O165" t="s">
        <v>2817</v>
      </c>
      <c r="P165" t="s">
        <v>2818</v>
      </c>
      <c r="Q165" t="s">
        <v>2817</v>
      </c>
      <c r="V165">
        <v>195</v>
      </c>
      <c r="W165">
        <v>1</v>
      </c>
      <c r="X165">
        <v>2017</v>
      </c>
      <c r="Y165">
        <v>2018</v>
      </c>
      <c r="Z165">
        <v>1476.02</v>
      </c>
      <c r="AB165" t="s">
        <v>181</v>
      </c>
      <c r="AC165" t="s">
        <v>182</v>
      </c>
      <c r="AD165" t="s">
        <v>183</v>
      </c>
      <c r="AE165">
        <v>0</v>
      </c>
      <c r="AF165">
        <v>1</v>
      </c>
      <c r="AG165" t="s">
        <v>821</v>
      </c>
      <c r="AH165">
        <v>100</v>
      </c>
      <c r="AK165">
        <v>0</v>
      </c>
      <c r="AL165">
        <v>149228</v>
      </c>
      <c r="AM165">
        <v>63600</v>
      </c>
      <c r="AN165">
        <v>85628</v>
      </c>
      <c r="AO165">
        <v>1316</v>
      </c>
      <c r="AP165">
        <v>2016</v>
      </c>
      <c r="AQ165">
        <v>0.99</v>
      </c>
      <c r="AS165" t="s">
        <v>2819</v>
      </c>
      <c r="AT165" t="s">
        <v>186</v>
      </c>
      <c r="AU165" t="s">
        <v>177</v>
      </c>
      <c r="AV165" t="s">
        <v>187</v>
      </c>
      <c r="AW165" t="s">
        <v>202</v>
      </c>
      <c r="AX165">
        <v>2</v>
      </c>
      <c r="AY165" t="s">
        <v>188</v>
      </c>
      <c r="AZ165" t="s">
        <v>189</v>
      </c>
      <c r="BA165" t="s">
        <v>190</v>
      </c>
      <c r="BB165" t="s">
        <v>191</v>
      </c>
      <c r="BC165" t="s">
        <v>182</v>
      </c>
      <c r="BD165" t="s">
        <v>182</v>
      </c>
      <c r="BE165" t="s">
        <v>2820</v>
      </c>
      <c r="BF165">
        <v>1</v>
      </c>
      <c r="BG165">
        <v>1</v>
      </c>
      <c r="BH165">
        <v>2008</v>
      </c>
      <c r="BI165" t="s">
        <v>577</v>
      </c>
      <c r="BJ165" t="s">
        <v>194</v>
      </c>
      <c r="BK165" t="s">
        <v>195</v>
      </c>
      <c r="BL165" t="s">
        <v>199</v>
      </c>
      <c r="BM165" t="s">
        <v>273</v>
      </c>
      <c r="BN165" t="s">
        <v>182</v>
      </c>
      <c r="BO165" t="s">
        <v>198</v>
      </c>
      <c r="BP165" t="s">
        <v>198</v>
      </c>
      <c r="BQ165" t="s">
        <v>198</v>
      </c>
      <c r="BR165" t="s">
        <v>198</v>
      </c>
      <c r="BS165" t="s">
        <v>198</v>
      </c>
      <c r="BT165" t="s">
        <v>198</v>
      </c>
      <c r="BU165" t="s">
        <v>182</v>
      </c>
      <c r="BV165" t="s">
        <v>198</v>
      </c>
      <c r="BW165" t="s">
        <v>198</v>
      </c>
      <c r="BX165" t="s">
        <v>199</v>
      </c>
      <c r="BY165" t="s">
        <v>198</v>
      </c>
      <c r="BZ165" t="s">
        <v>199</v>
      </c>
      <c r="CA165" t="s">
        <v>199</v>
      </c>
      <c r="CB165" t="s">
        <v>2821</v>
      </c>
      <c r="CC165" t="s">
        <v>201</v>
      </c>
      <c r="CD165" t="s">
        <v>182</v>
      </c>
      <c r="CE165" t="s">
        <v>2822</v>
      </c>
      <c r="CF165" t="s">
        <v>204</v>
      </c>
      <c r="CG165" t="s">
        <v>177</v>
      </c>
      <c r="CH165" t="s">
        <v>187</v>
      </c>
      <c r="CI165" t="s">
        <v>2823</v>
      </c>
      <c r="CJ165" t="s">
        <v>1181</v>
      </c>
      <c r="CK165" t="s">
        <v>292</v>
      </c>
      <c r="CL165" t="s">
        <v>293</v>
      </c>
      <c r="CM165" t="s">
        <v>2824</v>
      </c>
      <c r="CN165" t="s">
        <v>235</v>
      </c>
      <c r="CO165" t="s">
        <v>183</v>
      </c>
      <c r="CP165" t="s">
        <v>211</v>
      </c>
      <c r="CQ165" t="s">
        <v>345</v>
      </c>
      <c r="CS165" t="s">
        <v>2825</v>
      </c>
      <c r="DC165" t="s">
        <v>198</v>
      </c>
      <c r="DM165" t="s">
        <v>198</v>
      </c>
      <c r="DW165" t="s">
        <v>198</v>
      </c>
      <c r="EG165" t="s">
        <v>198</v>
      </c>
      <c r="EQ165" t="s">
        <v>198</v>
      </c>
      <c r="FA165" t="s">
        <v>198</v>
      </c>
      <c r="FK165" t="s">
        <v>198</v>
      </c>
      <c r="FU165" t="s">
        <v>198</v>
      </c>
    </row>
    <row r="166" spans="1:177">
      <c r="A166" s="1" t="str">
        <f>HYPERLINK("http://digipan.lumentumllc.com/apps/getLink/index.php?t=PropLink&amp;p=4638290","PL")</f>
        <v>PL</v>
      </c>
      <c r="B166" s="1" t="str">
        <f>HYPERLINK("http://digipan.lumentumllc.com/apps/getLink/index.php?t=TaxLink&amp;p=4638290","TL")</f>
        <v>TL</v>
      </c>
      <c r="C166" s="1" t="str">
        <f>HYPERLINK("http://digipan.lumentumllc.com/apps/getMap/index.php?p=4638290","Map")</f>
        <v>Map</v>
      </c>
      <c r="E166" t="s">
        <v>177</v>
      </c>
      <c r="F166" t="s">
        <v>178</v>
      </c>
      <c r="L166" t="s">
        <v>2826</v>
      </c>
      <c r="N166" t="s">
        <v>2826</v>
      </c>
      <c r="O166" t="s">
        <v>2826</v>
      </c>
      <c r="P166" t="s">
        <v>2827</v>
      </c>
      <c r="Q166" t="s">
        <v>2826</v>
      </c>
      <c r="V166">
        <v>196</v>
      </c>
      <c r="W166">
        <v>1</v>
      </c>
      <c r="X166">
        <v>2017</v>
      </c>
      <c r="Y166">
        <v>2018</v>
      </c>
      <c r="Z166">
        <v>544.98</v>
      </c>
      <c r="AB166" t="s">
        <v>181</v>
      </c>
      <c r="AC166" t="s">
        <v>182</v>
      </c>
      <c r="AD166" t="s">
        <v>183</v>
      </c>
      <c r="AE166">
        <v>1</v>
      </c>
      <c r="AF166">
        <v>5</v>
      </c>
      <c r="AG166" t="s">
        <v>951</v>
      </c>
      <c r="AH166">
        <v>80</v>
      </c>
      <c r="AI166">
        <v>524.01</v>
      </c>
      <c r="AJ166">
        <v>26.2</v>
      </c>
      <c r="AK166">
        <v>550.21</v>
      </c>
      <c r="AL166">
        <v>31332</v>
      </c>
      <c r="AM166">
        <v>15000</v>
      </c>
      <c r="AN166">
        <v>16332</v>
      </c>
      <c r="AO166">
        <v>460</v>
      </c>
      <c r="AP166">
        <v>2016</v>
      </c>
      <c r="AQ166">
        <v>1.74</v>
      </c>
      <c r="AR166">
        <v>1.76</v>
      </c>
      <c r="AS166" t="s">
        <v>2828</v>
      </c>
      <c r="AT166" t="s">
        <v>186</v>
      </c>
      <c r="AU166" t="s">
        <v>177</v>
      </c>
      <c r="AV166" t="s">
        <v>187</v>
      </c>
      <c r="AW166" t="s">
        <v>182</v>
      </c>
      <c r="AX166">
        <v>2</v>
      </c>
      <c r="AY166" t="s">
        <v>188</v>
      </c>
      <c r="AZ166" t="s">
        <v>189</v>
      </c>
      <c r="BA166" t="s">
        <v>190</v>
      </c>
      <c r="BB166" t="s">
        <v>191</v>
      </c>
      <c r="BC166" t="s">
        <v>182</v>
      </c>
      <c r="BD166" t="s">
        <v>182</v>
      </c>
      <c r="BE166" t="s">
        <v>383</v>
      </c>
      <c r="BF166">
        <v>1</v>
      </c>
      <c r="BG166">
        <v>1</v>
      </c>
      <c r="BH166">
        <v>1985</v>
      </c>
      <c r="BI166" t="s">
        <v>532</v>
      </c>
      <c r="BJ166" t="s">
        <v>194</v>
      </c>
      <c r="BK166" t="s">
        <v>195</v>
      </c>
      <c r="BL166" t="s">
        <v>199</v>
      </c>
      <c r="BM166" t="s">
        <v>292</v>
      </c>
      <c r="BN166" t="s">
        <v>182</v>
      </c>
      <c r="BO166" t="s">
        <v>2829</v>
      </c>
      <c r="BP166" t="s">
        <v>2830</v>
      </c>
      <c r="BS166" t="s">
        <v>2831</v>
      </c>
      <c r="BT166" t="s">
        <v>198</v>
      </c>
      <c r="BU166" t="s">
        <v>182</v>
      </c>
      <c r="BV166" t="s">
        <v>198</v>
      </c>
      <c r="BW166" t="s">
        <v>198</v>
      </c>
      <c r="BX166" t="s">
        <v>199</v>
      </c>
      <c r="BY166" t="s">
        <v>198</v>
      </c>
      <c r="BZ166" t="s">
        <v>199</v>
      </c>
      <c r="CA166" t="s">
        <v>199</v>
      </c>
      <c r="CB166" t="s">
        <v>2832</v>
      </c>
      <c r="CC166" t="s">
        <v>201</v>
      </c>
      <c r="CD166" t="s">
        <v>182</v>
      </c>
      <c r="CE166" t="s">
        <v>2833</v>
      </c>
      <c r="CF166" t="s">
        <v>204</v>
      </c>
      <c r="CG166" t="s">
        <v>177</v>
      </c>
      <c r="CH166" t="s">
        <v>187</v>
      </c>
      <c r="CI166" t="s">
        <v>2834</v>
      </c>
      <c r="CJ166" t="s">
        <v>1591</v>
      </c>
      <c r="CK166" t="s">
        <v>232</v>
      </c>
      <c r="CL166" t="s">
        <v>233</v>
      </c>
      <c r="CM166" t="s">
        <v>2835</v>
      </c>
      <c r="CN166" t="s">
        <v>235</v>
      </c>
      <c r="CO166" t="s">
        <v>183</v>
      </c>
      <c r="CP166" t="s">
        <v>266</v>
      </c>
      <c r="CS166" t="s">
        <v>198</v>
      </c>
      <c r="CT166" t="s">
        <v>1191</v>
      </c>
      <c r="CU166" t="s">
        <v>292</v>
      </c>
      <c r="CV166" t="s">
        <v>293</v>
      </c>
      <c r="CW166" t="s">
        <v>2836</v>
      </c>
      <c r="CX166" t="s">
        <v>295</v>
      </c>
      <c r="CY166" t="s">
        <v>183</v>
      </c>
      <c r="CZ166" t="s">
        <v>211</v>
      </c>
      <c r="DA166" t="s">
        <v>298</v>
      </c>
      <c r="DC166" t="s">
        <v>1066</v>
      </c>
      <c r="DD166" t="s">
        <v>2287</v>
      </c>
      <c r="DE166" t="s">
        <v>267</v>
      </c>
      <c r="DF166" t="s">
        <v>268</v>
      </c>
      <c r="DG166" t="s">
        <v>2837</v>
      </c>
      <c r="DH166" t="s">
        <v>511</v>
      </c>
      <c r="DI166" t="s">
        <v>183</v>
      </c>
      <c r="DJ166" t="s">
        <v>211</v>
      </c>
      <c r="DK166" t="s">
        <v>329</v>
      </c>
      <c r="DM166" t="s">
        <v>462</v>
      </c>
      <c r="DN166" t="s">
        <v>1379</v>
      </c>
      <c r="DO166" t="s">
        <v>273</v>
      </c>
      <c r="DP166" t="s">
        <v>274</v>
      </c>
      <c r="DQ166" t="s">
        <v>2838</v>
      </c>
      <c r="DR166" t="s">
        <v>235</v>
      </c>
      <c r="DS166" t="s">
        <v>183</v>
      </c>
      <c r="DT166" t="s">
        <v>211</v>
      </c>
      <c r="DU166" t="s">
        <v>298</v>
      </c>
      <c r="DW166" t="s">
        <v>462</v>
      </c>
      <c r="DX166" t="s">
        <v>2839</v>
      </c>
      <c r="DY166" t="s">
        <v>238</v>
      </c>
      <c r="DZ166" t="s">
        <v>239</v>
      </c>
      <c r="EA166" t="s">
        <v>2840</v>
      </c>
      <c r="EB166" t="s">
        <v>440</v>
      </c>
      <c r="EC166" t="s">
        <v>183</v>
      </c>
      <c r="ED166" t="s">
        <v>211</v>
      </c>
      <c r="EE166" t="s">
        <v>342</v>
      </c>
      <c r="EG166" t="s">
        <v>2841</v>
      </c>
      <c r="EH166" t="s">
        <v>2842</v>
      </c>
      <c r="EI166" t="s">
        <v>207</v>
      </c>
      <c r="EJ166" t="s">
        <v>208</v>
      </c>
      <c r="EK166" t="s">
        <v>2843</v>
      </c>
      <c r="EL166" t="s">
        <v>210</v>
      </c>
      <c r="EM166" t="s">
        <v>183</v>
      </c>
      <c r="EN166" t="s">
        <v>211</v>
      </c>
      <c r="EO166" t="s">
        <v>342</v>
      </c>
      <c r="EQ166" t="s">
        <v>2844</v>
      </c>
      <c r="FA166" t="s">
        <v>198</v>
      </c>
      <c r="FK166" t="s">
        <v>198</v>
      </c>
      <c r="FU166" t="s">
        <v>198</v>
      </c>
    </row>
    <row r="167" spans="1:177">
      <c r="A167" s="1" t="str">
        <f>HYPERLINK("http://digipan.lumentumllc.com/apps/getLink/index.php?t=PropLink&amp;p=5247488","PL")</f>
        <v>PL</v>
      </c>
      <c r="B167" s="1" t="str">
        <f>HYPERLINK("http://digipan.lumentumllc.com/apps/getLink/index.php?t=TaxLink&amp;p=5247488","TL")</f>
        <v>TL</v>
      </c>
      <c r="C167" s="1" t="str">
        <f>HYPERLINK("http://digipan.lumentumllc.com/apps/getMap/index.php?p=5247488","Map")</f>
        <v>Map</v>
      </c>
      <c r="E167" t="s">
        <v>177</v>
      </c>
      <c r="F167" t="s">
        <v>178</v>
      </c>
      <c r="L167" t="s">
        <v>2845</v>
      </c>
      <c r="N167" t="s">
        <v>2845</v>
      </c>
      <c r="O167" t="s">
        <v>2845</v>
      </c>
      <c r="P167" t="s">
        <v>2846</v>
      </c>
      <c r="Q167" t="s">
        <v>2845</v>
      </c>
      <c r="V167">
        <v>197</v>
      </c>
      <c r="W167">
        <v>1</v>
      </c>
      <c r="X167">
        <v>2017</v>
      </c>
      <c r="Y167">
        <v>2018</v>
      </c>
      <c r="Z167">
        <v>450.06</v>
      </c>
      <c r="AB167" t="s">
        <v>181</v>
      </c>
      <c r="AC167" t="s">
        <v>182</v>
      </c>
      <c r="AD167" t="s">
        <v>183</v>
      </c>
      <c r="AE167">
        <v>2</v>
      </c>
      <c r="AF167">
        <v>4</v>
      </c>
      <c r="AG167" t="s">
        <v>282</v>
      </c>
      <c r="AH167">
        <v>67</v>
      </c>
      <c r="AI167">
        <v>887.34</v>
      </c>
      <c r="AJ167">
        <v>44.37</v>
      </c>
      <c r="AK167">
        <v>931.71</v>
      </c>
      <c r="AL167">
        <v>59244</v>
      </c>
      <c r="AM167">
        <v>41360</v>
      </c>
      <c r="AN167">
        <v>17884</v>
      </c>
      <c r="AO167">
        <v>385</v>
      </c>
      <c r="AP167">
        <v>2016</v>
      </c>
      <c r="AQ167">
        <v>0.76</v>
      </c>
      <c r="AR167">
        <v>1.57</v>
      </c>
      <c r="AS167" t="s">
        <v>2847</v>
      </c>
      <c r="AT167" t="s">
        <v>186</v>
      </c>
      <c r="AU167" t="s">
        <v>177</v>
      </c>
      <c r="AV167" t="s">
        <v>187</v>
      </c>
      <c r="AW167" t="s">
        <v>202</v>
      </c>
      <c r="AX167">
        <v>2</v>
      </c>
      <c r="AY167" t="s">
        <v>188</v>
      </c>
      <c r="AZ167" t="s">
        <v>189</v>
      </c>
      <c r="BA167" t="s">
        <v>190</v>
      </c>
      <c r="BB167" t="s">
        <v>191</v>
      </c>
      <c r="BC167" t="s">
        <v>182</v>
      </c>
      <c r="BD167" t="s">
        <v>182</v>
      </c>
      <c r="BE167" t="s">
        <v>2848</v>
      </c>
      <c r="BF167">
        <v>1</v>
      </c>
      <c r="BG167">
        <v>1</v>
      </c>
      <c r="BH167">
        <v>1981</v>
      </c>
      <c r="BI167" t="s">
        <v>1992</v>
      </c>
      <c r="BJ167" t="s">
        <v>194</v>
      </c>
      <c r="BK167" t="s">
        <v>195</v>
      </c>
      <c r="BL167" t="s">
        <v>199</v>
      </c>
      <c r="BM167" t="s">
        <v>679</v>
      </c>
      <c r="BN167" t="s">
        <v>182</v>
      </c>
      <c r="BO167" t="s">
        <v>198</v>
      </c>
      <c r="BP167" t="s">
        <v>198</v>
      </c>
      <c r="BQ167" t="s">
        <v>198</v>
      </c>
      <c r="BR167" t="s">
        <v>198</v>
      </c>
      <c r="BS167" t="s">
        <v>198</v>
      </c>
      <c r="BT167" t="s">
        <v>198</v>
      </c>
      <c r="BU167" t="s">
        <v>182</v>
      </c>
      <c r="BV167" t="s">
        <v>198</v>
      </c>
      <c r="BW167" t="s">
        <v>198</v>
      </c>
      <c r="BX167" t="s">
        <v>199</v>
      </c>
      <c r="BY167" t="s">
        <v>198</v>
      </c>
      <c r="BZ167" t="s">
        <v>199</v>
      </c>
      <c r="CA167" t="s">
        <v>199</v>
      </c>
      <c r="CB167" t="s">
        <v>2849</v>
      </c>
      <c r="CC167" t="s">
        <v>201</v>
      </c>
      <c r="CD167" t="s">
        <v>182</v>
      </c>
      <c r="CE167" t="s">
        <v>2850</v>
      </c>
      <c r="CF167" t="s">
        <v>204</v>
      </c>
      <c r="CG167" t="s">
        <v>177</v>
      </c>
      <c r="CH167" t="s">
        <v>187</v>
      </c>
      <c r="CI167" t="s">
        <v>2851</v>
      </c>
      <c r="CJ167" t="s">
        <v>1623</v>
      </c>
      <c r="CK167" t="s">
        <v>232</v>
      </c>
      <c r="CL167" t="s">
        <v>233</v>
      </c>
      <c r="CM167" t="s">
        <v>2852</v>
      </c>
      <c r="CN167" t="s">
        <v>235</v>
      </c>
      <c r="CO167" t="s">
        <v>183</v>
      </c>
      <c r="CP167" t="s">
        <v>266</v>
      </c>
      <c r="CS167" t="s">
        <v>198</v>
      </c>
      <c r="CT167" t="s">
        <v>2447</v>
      </c>
      <c r="CU167" t="s">
        <v>292</v>
      </c>
      <c r="CV167" t="s">
        <v>293</v>
      </c>
      <c r="CW167" t="s">
        <v>2853</v>
      </c>
      <c r="CX167" t="s">
        <v>235</v>
      </c>
      <c r="CY167" t="s">
        <v>183</v>
      </c>
      <c r="CZ167" t="s">
        <v>266</v>
      </c>
      <c r="DC167" t="s">
        <v>198</v>
      </c>
      <c r="DD167" t="s">
        <v>2295</v>
      </c>
      <c r="DE167" t="s">
        <v>267</v>
      </c>
      <c r="DF167" t="s">
        <v>268</v>
      </c>
      <c r="DG167" t="s">
        <v>2854</v>
      </c>
      <c r="DH167" t="s">
        <v>235</v>
      </c>
      <c r="DI167" t="s">
        <v>183</v>
      </c>
      <c r="DJ167" t="s">
        <v>211</v>
      </c>
      <c r="DK167" t="s">
        <v>298</v>
      </c>
      <c r="DM167" t="s">
        <v>2151</v>
      </c>
      <c r="DN167" t="s">
        <v>2645</v>
      </c>
      <c r="DO167" t="s">
        <v>273</v>
      </c>
      <c r="DP167" t="s">
        <v>274</v>
      </c>
      <c r="DQ167" t="s">
        <v>2855</v>
      </c>
      <c r="DR167" t="s">
        <v>514</v>
      </c>
      <c r="DS167" t="s">
        <v>183</v>
      </c>
      <c r="DT167" t="s">
        <v>211</v>
      </c>
      <c r="DU167" t="s">
        <v>298</v>
      </c>
      <c r="DW167" t="s">
        <v>2856</v>
      </c>
      <c r="DX167" t="s">
        <v>1376</v>
      </c>
      <c r="DY167" t="s">
        <v>302</v>
      </c>
      <c r="DZ167" t="s">
        <v>303</v>
      </c>
      <c r="EA167" t="s">
        <v>2857</v>
      </c>
      <c r="EB167" t="s">
        <v>1586</v>
      </c>
      <c r="EC167" t="s">
        <v>183</v>
      </c>
      <c r="ED167" t="s">
        <v>211</v>
      </c>
      <c r="EE167" t="s">
        <v>525</v>
      </c>
      <c r="EG167" t="s">
        <v>2856</v>
      </c>
      <c r="EH167" t="s">
        <v>2858</v>
      </c>
      <c r="EI167" t="s">
        <v>238</v>
      </c>
      <c r="EJ167" t="s">
        <v>239</v>
      </c>
      <c r="EK167" t="s">
        <v>2859</v>
      </c>
      <c r="EL167" t="s">
        <v>278</v>
      </c>
      <c r="EM167" t="s">
        <v>183</v>
      </c>
      <c r="EN167" t="s">
        <v>211</v>
      </c>
      <c r="EO167" t="s">
        <v>298</v>
      </c>
      <c r="EQ167" t="s">
        <v>1815</v>
      </c>
      <c r="FA167" t="s">
        <v>198</v>
      </c>
      <c r="FK167" t="s">
        <v>198</v>
      </c>
      <c r="FU167" t="s">
        <v>198</v>
      </c>
    </row>
    <row r="168" spans="1:177">
      <c r="A168" s="1" t="str">
        <f>HYPERLINK("http://digipan.lumentumllc.com/apps/getLink/index.php?t=PropLink&amp;p=6594331","PL")</f>
        <v>PL</v>
      </c>
      <c r="B168" s="1" t="str">
        <f>HYPERLINK("http://digipan.lumentumllc.com/apps/getLink/index.php?t=TaxLink&amp;p=6594331","TL")</f>
        <v>TL</v>
      </c>
      <c r="C168" s="1" t="str">
        <f>HYPERLINK("http://digipan.lumentumllc.com/apps/getMap/index.php?p=6594331","Map")</f>
        <v>Map</v>
      </c>
      <c r="E168" t="s">
        <v>177</v>
      </c>
      <c r="F168" t="s">
        <v>178</v>
      </c>
      <c r="L168" t="s">
        <v>2860</v>
      </c>
      <c r="N168" t="s">
        <v>2860</v>
      </c>
      <c r="O168" t="s">
        <v>2860</v>
      </c>
      <c r="P168" t="s">
        <v>2861</v>
      </c>
      <c r="Q168" t="s">
        <v>2860</v>
      </c>
      <c r="V168">
        <v>198</v>
      </c>
      <c r="W168">
        <v>1</v>
      </c>
      <c r="X168">
        <v>2017</v>
      </c>
      <c r="Y168">
        <v>2018</v>
      </c>
      <c r="Z168">
        <v>283.88</v>
      </c>
      <c r="AB168" t="s">
        <v>181</v>
      </c>
      <c r="AC168" t="s">
        <v>182</v>
      </c>
      <c r="AD168" t="s">
        <v>183</v>
      </c>
      <c r="AE168">
        <v>1</v>
      </c>
      <c r="AF168">
        <v>3</v>
      </c>
      <c r="AG168" t="s">
        <v>257</v>
      </c>
      <c r="AH168">
        <v>75</v>
      </c>
      <c r="AI168">
        <v>239.18</v>
      </c>
      <c r="AJ168">
        <v>18.54</v>
      </c>
      <c r="AK168">
        <v>257.72000000000003</v>
      </c>
      <c r="AL168">
        <v>17100</v>
      </c>
      <c r="AM168">
        <v>14100</v>
      </c>
      <c r="AN168">
        <v>3000</v>
      </c>
      <c r="AO168">
        <v>196</v>
      </c>
      <c r="AP168">
        <v>2016</v>
      </c>
      <c r="AQ168">
        <v>1.66</v>
      </c>
      <c r="AR168">
        <v>1.51</v>
      </c>
      <c r="AS168" t="s">
        <v>2862</v>
      </c>
      <c r="AT168" t="s">
        <v>186</v>
      </c>
      <c r="AU168" t="s">
        <v>177</v>
      </c>
      <c r="AV168" t="s">
        <v>187</v>
      </c>
      <c r="AW168" t="s">
        <v>182</v>
      </c>
      <c r="AX168">
        <v>0</v>
      </c>
      <c r="AY168" t="s">
        <v>312</v>
      </c>
      <c r="AZ168" t="s">
        <v>199</v>
      </c>
      <c r="BA168" t="s">
        <v>313</v>
      </c>
      <c r="BB168" t="s">
        <v>191</v>
      </c>
      <c r="BC168" t="s">
        <v>182</v>
      </c>
      <c r="BD168" t="s">
        <v>182</v>
      </c>
      <c r="BE168" t="s">
        <v>2800</v>
      </c>
      <c r="BF168">
        <v>0</v>
      </c>
      <c r="BG168">
        <v>0</v>
      </c>
      <c r="BH168">
        <v>0</v>
      </c>
      <c r="BI168" t="s">
        <v>199</v>
      </c>
      <c r="BJ168" t="s">
        <v>396</v>
      </c>
      <c r="BL168" t="s">
        <v>199</v>
      </c>
      <c r="BM168" t="s">
        <v>292</v>
      </c>
      <c r="BN168" t="s">
        <v>182</v>
      </c>
      <c r="BO168" t="s">
        <v>2829</v>
      </c>
      <c r="BP168" t="s">
        <v>2830</v>
      </c>
      <c r="BQ168" t="s">
        <v>904</v>
      </c>
      <c r="BR168" t="s">
        <v>563</v>
      </c>
      <c r="BS168" t="s">
        <v>198</v>
      </c>
      <c r="BT168" t="s">
        <v>2863</v>
      </c>
      <c r="BU168" t="s">
        <v>182</v>
      </c>
      <c r="BV168" t="s">
        <v>198</v>
      </c>
      <c r="BW168" t="s">
        <v>198</v>
      </c>
      <c r="BX168" t="s">
        <v>199</v>
      </c>
      <c r="BY168" t="s">
        <v>198</v>
      </c>
      <c r="BZ168" t="s">
        <v>199</v>
      </c>
      <c r="CA168" t="s">
        <v>199</v>
      </c>
      <c r="CB168" t="s">
        <v>2832</v>
      </c>
      <c r="CC168" t="s">
        <v>201</v>
      </c>
      <c r="CD168" t="s">
        <v>182</v>
      </c>
      <c r="CE168" t="s">
        <v>2833</v>
      </c>
      <c r="CF168" t="s">
        <v>204</v>
      </c>
      <c r="CG168" t="s">
        <v>177</v>
      </c>
      <c r="CH168" t="s">
        <v>187</v>
      </c>
      <c r="CI168" t="s">
        <v>2864</v>
      </c>
      <c r="CJ168" t="s">
        <v>2865</v>
      </c>
      <c r="CK168" t="s">
        <v>232</v>
      </c>
      <c r="CL168" t="s">
        <v>233</v>
      </c>
      <c r="CM168" t="s">
        <v>2866</v>
      </c>
      <c r="CN168" t="s">
        <v>1551</v>
      </c>
      <c r="CO168" t="s">
        <v>183</v>
      </c>
      <c r="CP168" t="s">
        <v>266</v>
      </c>
      <c r="CS168" t="s">
        <v>198</v>
      </c>
      <c r="CT168" t="s">
        <v>2482</v>
      </c>
      <c r="CU168" t="s">
        <v>292</v>
      </c>
      <c r="CV168" t="s">
        <v>293</v>
      </c>
      <c r="CW168" t="s">
        <v>2867</v>
      </c>
      <c r="CX168" t="s">
        <v>235</v>
      </c>
      <c r="CY168" t="s">
        <v>183</v>
      </c>
      <c r="CZ168" t="s">
        <v>211</v>
      </c>
      <c r="DA168" t="s">
        <v>298</v>
      </c>
      <c r="DC168" t="s">
        <v>1066</v>
      </c>
      <c r="DD168" t="s">
        <v>1137</v>
      </c>
      <c r="DE168" t="s">
        <v>267</v>
      </c>
      <c r="DF168" t="s">
        <v>268</v>
      </c>
      <c r="DG168" t="s">
        <v>2868</v>
      </c>
      <c r="DH168" t="s">
        <v>1164</v>
      </c>
      <c r="DI168" t="s">
        <v>183</v>
      </c>
      <c r="DJ168" t="s">
        <v>211</v>
      </c>
      <c r="DK168" t="s">
        <v>329</v>
      </c>
      <c r="DM168" t="s">
        <v>462</v>
      </c>
      <c r="DN168" t="s">
        <v>1376</v>
      </c>
      <c r="DO168" t="s">
        <v>273</v>
      </c>
      <c r="DP168" t="s">
        <v>274</v>
      </c>
      <c r="DQ168" t="s">
        <v>2869</v>
      </c>
      <c r="DR168" t="s">
        <v>387</v>
      </c>
      <c r="DS168" t="s">
        <v>183</v>
      </c>
      <c r="DT168" t="s">
        <v>211</v>
      </c>
      <c r="DU168" t="s">
        <v>298</v>
      </c>
      <c r="DW168" t="s">
        <v>462</v>
      </c>
      <c r="EG168" t="s">
        <v>198</v>
      </c>
      <c r="EQ168" t="s">
        <v>198</v>
      </c>
      <c r="FA168" t="s">
        <v>198</v>
      </c>
      <c r="FK168" t="s">
        <v>198</v>
      </c>
      <c r="FU168" t="s">
        <v>198</v>
      </c>
    </row>
    <row r="169" spans="1:177">
      <c r="A169" s="1" t="str">
        <f>HYPERLINK("http://digipan.lumentumllc.com/apps/getLink/index.php?t=PropLink&amp;p=15756023","PL")</f>
        <v>PL</v>
      </c>
      <c r="B169" s="1" t="str">
        <f>HYPERLINK("http://digipan.lumentumllc.com/apps/getLink/index.php?t=TaxLink&amp;p=15756023","TL")</f>
        <v>TL</v>
      </c>
      <c r="C169" s="1" t="str">
        <f>HYPERLINK("http://digipan.lumentumllc.com/apps/getMap/index.php?p=15756023","Map")</f>
        <v>Map</v>
      </c>
      <c r="E169" t="s">
        <v>177</v>
      </c>
      <c r="F169" t="s">
        <v>178</v>
      </c>
      <c r="L169" t="s">
        <v>2870</v>
      </c>
      <c r="N169" t="s">
        <v>2870</v>
      </c>
      <c r="O169" t="s">
        <v>2870</v>
      </c>
      <c r="Q169" t="s">
        <v>2870</v>
      </c>
      <c r="V169">
        <v>199</v>
      </c>
      <c r="W169">
        <v>1</v>
      </c>
      <c r="X169">
        <v>2017</v>
      </c>
      <c r="Y169">
        <v>2018</v>
      </c>
      <c r="Z169">
        <v>424.95</v>
      </c>
      <c r="AB169" t="s">
        <v>181</v>
      </c>
      <c r="AC169" t="s">
        <v>182</v>
      </c>
      <c r="AD169" t="s">
        <v>183</v>
      </c>
      <c r="AE169">
        <v>0</v>
      </c>
      <c r="AF169">
        <v>1</v>
      </c>
      <c r="AG169" t="s">
        <v>821</v>
      </c>
      <c r="AH169">
        <v>100</v>
      </c>
      <c r="AK169">
        <v>0</v>
      </c>
      <c r="AL169">
        <v>24000</v>
      </c>
      <c r="AM169">
        <v>24000</v>
      </c>
      <c r="AN169">
        <v>0</v>
      </c>
      <c r="AO169">
        <v>368</v>
      </c>
      <c r="AP169">
        <v>2016</v>
      </c>
      <c r="AQ169">
        <v>1.77</v>
      </c>
      <c r="AS169" t="s">
        <v>2871</v>
      </c>
      <c r="AT169" t="s">
        <v>186</v>
      </c>
      <c r="AU169" t="s">
        <v>177</v>
      </c>
      <c r="AV169" t="s">
        <v>187</v>
      </c>
      <c r="AW169" t="s">
        <v>182</v>
      </c>
      <c r="AX169">
        <v>0</v>
      </c>
      <c r="AY169" t="s">
        <v>312</v>
      </c>
      <c r="AZ169" t="s">
        <v>199</v>
      </c>
      <c r="BA169" t="s">
        <v>313</v>
      </c>
      <c r="BB169" t="s">
        <v>191</v>
      </c>
      <c r="BC169" t="s">
        <v>182</v>
      </c>
      <c r="BD169" t="s">
        <v>182</v>
      </c>
      <c r="BE169" t="s">
        <v>365</v>
      </c>
      <c r="BF169">
        <v>0</v>
      </c>
      <c r="BG169">
        <v>0</v>
      </c>
      <c r="BH169">
        <v>0</v>
      </c>
      <c r="BI169" t="s">
        <v>199</v>
      </c>
      <c r="BJ169" t="s">
        <v>248</v>
      </c>
      <c r="BL169" t="s">
        <v>199</v>
      </c>
      <c r="BM169" t="s">
        <v>232</v>
      </c>
      <c r="BN169" t="s">
        <v>182</v>
      </c>
      <c r="BO169" t="s">
        <v>198</v>
      </c>
      <c r="BP169" t="s">
        <v>198</v>
      </c>
      <c r="BQ169" t="s">
        <v>198</v>
      </c>
      <c r="BR169" t="s">
        <v>198</v>
      </c>
      <c r="BS169" t="s">
        <v>198</v>
      </c>
      <c r="BT169" t="s">
        <v>198</v>
      </c>
      <c r="BU169" t="s">
        <v>182</v>
      </c>
      <c r="BV169" t="s">
        <v>198</v>
      </c>
      <c r="BW169" t="s">
        <v>198</v>
      </c>
      <c r="BX169" t="s">
        <v>199</v>
      </c>
      <c r="BY169" t="s">
        <v>198</v>
      </c>
      <c r="BZ169" t="s">
        <v>199</v>
      </c>
      <c r="CA169" t="s">
        <v>199</v>
      </c>
      <c r="CB169" t="s">
        <v>2872</v>
      </c>
      <c r="CC169" t="s">
        <v>201</v>
      </c>
      <c r="CD169" t="s">
        <v>182</v>
      </c>
      <c r="CE169" t="s">
        <v>2873</v>
      </c>
      <c r="CF169" t="s">
        <v>413</v>
      </c>
      <c r="CG169" t="s">
        <v>177</v>
      </c>
      <c r="CH169" t="s">
        <v>414</v>
      </c>
      <c r="CI169" t="s">
        <v>2874</v>
      </c>
      <c r="CJ169" t="s">
        <v>2875</v>
      </c>
      <c r="CK169" t="s">
        <v>232</v>
      </c>
      <c r="CL169" t="s">
        <v>233</v>
      </c>
      <c r="CM169" t="s">
        <v>2876</v>
      </c>
      <c r="CN169" t="s">
        <v>331</v>
      </c>
      <c r="CO169" t="s">
        <v>183</v>
      </c>
      <c r="CP169" t="s">
        <v>211</v>
      </c>
      <c r="CQ169" t="s">
        <v>212</v>
      </c>
      <c r="CS169" t="s">
        <v>335</v>
      </c>
      <c r="DC169" t="s">
        <v>198</v>
      </c>
      <c r="DM169" t="s">
        <v>198</v>
      </c>
      <c r="DW169" t="s">
        <v>198</v>
      </c>
      <c r="EG169" t="s">
        <v>198</v>
      </c>
      <c r="EQ169" t="s">
        <v>198</v>
      </c>
      <c r="FA169" t="s">
        <v>198</v>
      </c>
      <c r="FK169" t="s">
        <v>198</v>
      </c>
      <c r="FU169" t="s">
        <v>198</v>
      </c>
    </row>
    <row r="170" spans="1:177">
      <c r="A170" s="1" t="str">
        <f>HYPERLINK("http://digipan.lumentumllc.com/apps/getLink/index.php?t=PropLink&amp;p=15756029","PL")</f>
        <v>PL</v>
      </c>
      <c r="B170" s="1" t="str">
        <f>HYPERLINK("http://digipan.lumentumllc.com/apps/getLink/index.php?t=TaxLink&amp;p=15756029","TL")</f>
        <v>TL</v>
      </c>
      <c r="C170" s="1" t="str">
        <f>HYPERLINK("http://digipan.lumentumllc.com/apps/getMap/index.php?p=15756029","Map")</f>
        <v>Map</v>
      </c>
      <c r="E170" t="s">
        <v>177</v>
      </c>
      <c r="F170" t="s">
        <v>178</v>
      </c>
      <c r="L170" t="s">
        <v>2877</v>
      </c>
      <c r="N170" t="s">
        <v>2877</v>
      </c>
      <c r="O170" t="s">
        <v>2877</v>
      </c>
      <c r="Q170" t="s">
        <v>2877</v>
      </c>
      <c r="V170">
        <v>200</v>
      </c>
      <c r="W170">
        <v>1</v>
      </c>
      <c r="X170">
        <v>2017</v>
      </c>
      <c r="Y170">
        <v>2018</v>
      </c>
      <c r="Z170">
        <v>396.47</v>
      </c>
      <c r="AB170" t="s">
        <v>181</v>
      </c>
      <c r="AC170" t="s">
        <v>182</v>
      </c>
      <c r="AD170" t="s">
        <v>183</v>
      </c>
      <c r="AE170">
        <v>0</v>
      </c>
      <c r="AF170">
        <v>1</v>
      </c>
      <c r="AG170" t="s">
        <v>821</v>
      </c>
      <c r="AH170">
        <v>100</v>
      </c>
      <c r="AK170">
        <v>0</v>
      </c>
      <c r="AL170">
        <v>47262</v>
      </c>
      <c r="AM170">
        <v>12000</v>
      </c>
      <c r="AN170">
        <v>35262</v>
      </c>
      <c r="AO170">
        <v>329</v>
      </c>
      <c r="AP170">
        <v>2016</v>
      </c>
      <c r="AQ170">
        <v>0.84</v>
      </c>
      <c r="AS170" t="s">
        <v>2878</v>
      </c>
      <c r="AT170" t="s">
        <v>186</v>
      </c>
      <c r="AU170" t="s">
        <v>177</v>
      </c>
      <c r="AV170" t="s">
        <v>187</v>
      </c>
      <c r="AW170" t="s">
        <v>202</v>
      </c>
      <c r="AX170">
        <v>2</v>
      </c>
      <c r="AY170" t="s">
        <v>188</v>
      </c>
      <c r="AZ170" t="s">
        <v>189</v>
      </c>
      <c r="BA170" t="s">
        <v>190</v>
      </c>
      <c r="BB170" t="s">
        <v>191</v>
      </c>
      <c r="BC170" t="s">
        <v>182</v>
      </c>
      <c r="BD170" t="s">
        <v>182</v>
      </c>
      <c r="BE170" t="s">
        <v>2879</v>
      </c>
      <c r="BF170">
        <v>1</v>
      </c>
      <c r="BG170">
        <v>1</v>
      </c>
      <c r="BH170">
        <v>1988</v>
      </c>
      <c r="BI170" t="s">
        <v>2880</v>
      </c>
      <c r="BJ170" t="s">
        <v>194</v>
      </c>
      <c r="BK170" t="s">
        <v>195</v>
      </c>
      <c r="BL170" t="s">
        <v>1741</v>
      </c>
      <c r="BM170" t="s">
        <v>292</v>
      </c>
      <c r="BN170" t="s">
        <v>182</v>
      </c>
      <c r="BO170" t="s">
        <v>2881</v>
      </c>
      <c r="BP170" t="s">
        <v>1574</v>
      </c>
      <c r="BQ170" t="s">
        <v>226</v>
      </c>
      <c r="BR170" t="s">
        <v>227</v>
      </c>
      <c r="BS170" t="s">
        <v>198</v>
      </c>
      <c r="BT170" t="s">
        <v>2882</v>
      </c>
      <c r="BU170" t="s">
        <v>182</v>
      </c>
      <c r="BV170" t="s">
        <v>198</v>
      </c>
      <c r="BW170" t="s">
        <v>198</v>
      </c>
      <c r="BX170" t="s">
        <v>199</v>
      </c>
      <c r="BY170" t="s">
        <v>198</v>
      </c>
      <c r="BZ170" t="s">
        <v>199</v>
      </c>
      <c r="CA170" t="s">
        <v>199</v>
      </c>
      <c r="CB170" t="s">
        <v>2883</v>
      </c>
      <c r="CC170" t="s">
        <v>201</v>
      </c>
      <c r="CD170" t="s">
        <v>182</v>
      </c>
      <c r="CE170" t="s">
        <v>2884</v>
      </c>
      <c r="CF170" t="s">
        <v>204</v>
      </c>
      <c r="CG170" t="s">
        <v>177</v>
      </c>
      <c r="CH170" t="s">
        <v>187</v>
      </c>
      <c r="CI170" t="s">
        <v>1955</v>
      </c>
      <c r="CJ170" t="s">
        <v>2885</v>
      </c>
      <c r="CK170" t="s">
        <v>232</v>
      </c>
      <c r="CL170" t="s">
        <v>233</v>
      </c>
      <c r="CM170" t="s">
        <v>2886</v>
      </c>
      <c r="CN170" t="s">
        <v>235</v>
      </c>
      <c r="CO170" t="s">
        <v>183</v>
      </c>
      <c r="CP170" t="s">
        <v>211</v>
      </c>
      <c r="CQ170" t="s">
        <v>339</v>
      </c>
      <c r="CS170" t="s">
        <v>2887</v>
      </c>
      <c r="DC170" t="s">
        <v>198</v>
      </c>
      <c r="DM170" t="s">
        <v>198</v>
      </c>
      <c r="DW170" t="s">
        <v>198</v>
      </c>
      <c r="EG170" t="s">
        <v>198</v>
      </c>
      <c r="EQ170" t="s">
        <v>198</v>
      </c>
      <c r="FA170" t="s">
        <v>198</v>
      </c>
      <c r="FK170" t="s">
        <v>198</v>
      </c>
      <c r="FU170" t="s">
        <v>198</v>
      </c>
    </row>
    <row r="171" spans="1:177">
      <c r="A171" s="1" t="str">
        <f>HYPERLINK("http://digipan.lumentumllc.com/apps/getLink/index.php?t=PropLink&amp;p=5247490","PL")</f>
        <v>PL</v>
      </c>
      <c r="B171" s="1" t="str">
        <f>HYPERLINK("http://digipan.lumentumllc.com/apps/getLink/index.php?t=TaxLink&amp;p=5247490","TL")</f>
        <v>TL</v>
      </c>
      <c r="C171" s="1" t="str">
        <f>HYPERLINK("http://digipan.lumentumllc.com/apps/getMap/index.php?p=5247490","Map")</f>
        <v>Map</v>
      </c>
      <c r="E171" t="s">
        <v>177</v>
      </c>
      <c r="F171" t="s">
        <v>178</v>
      </c>
      <c r="L171" t="s">
        <v>2888</v>
      </c>
      <c r="N171" t="s">
        <v>2888</v>
      </c>
      <c r="O171" t="s">
        <v>2888</v>
      </c>
      <c r="P171" t="s">
        <v>2889</v>
      </c>
      <c r="Q171" t="s">
        <v>2888</v>
      </c>
      <c r="V171">
        <v>201</v>
      </c>
      <c r="W171">
        <v>1</v>
      </c>
      <c r="X171">
        <v>2017</v>
      </c>
      <c r="Y171">
        <v>2018</v>
      </c>
      <c r="Z171">
        <v>462.82</v>
      </c>
      <c r="AB171" t="s">
        <v>181</v>
      </c>
      <c r="AC171" t="s">
        <v>182</v>
      </c>
      <c r="AD171" t="s">
        <v>183</v>
      </c>
      <c r="AE171">
        <v>0</v>
      </c>
      <c r="AF171">
        <v>6</v>
      </c>
      <c r="AG171" t="s">
        <v>528</v>
      </c>
      <c r="AH171">
        <v>100</v>
      </c>
      <c r="AK171">
        <v>0</v>
      </c>
      <c r="AL171">
        <v>26313</v>
      </c>
      <c r="AM171">
        <v>12000</v>
      </c>
      <c r="AN171">
        <v>14313</v>
      </c>
      <c r="AO171">
        <v>394</v>
      </c>
      <c r="AP171">
        <v>2016</v>
      </c>
      <c r="AQ171">
        <v>1.76</v>
      </c>
      <c r="AS171" t="s">
        <v>2890</v>
      </c>
      <c r="AT171" t="s">
        <v>186</v>
      </c>
      <c r="AU171" t="s">
        <v>177</v>
      </c>
      <c r="AV171" t="s">
        <v>187</v>
      </c>
      <c r="AW171" t="s">
        <v>182</v>
      </c>
      <c r="AX171">
        <v>2</v>
      </c>
      <c r="AY171" t="s">
        <v>188</v>
      </c>
      <c r="AZ171" t="s">
        <v>189</v>
      </c>
      <c r="BA171" t="s">
        <v>190</v>
      </c>
      <c r="BB171" t="s">
        <v>191</v>
      </c>
      <c r="BC171" t="s">
        <v>182</v>
      </c>
      <c r="BD171" t="s">
        <v>182</v>
      </c>
      <c r="BE171" t="s">
        <v>259</v>
      </c>
      <c r="BF171">
        <v>1</v>
      </c>
      <c r="BG171">
        <v>1</v>
      </c>
      <c r="BH171">
        <v>1985</v>
      </c>
      <c r="BI171" t="s">
        <v>2563</v>
      </c>
      <c r="BJ171" t="s">
        <v>194</v>
      </c>
      <c r="BK171" t="s">
        <v>195</v>
      </c>
      <c r="BL171" t="s">
        <v>2891</v>
      </c>
      <c r="BM171" t="s">
        <v>1156</v>
      </c>
      <c r="BN171" t="s">
        <v>182</v>
      </c>
      <c r="BO171" t="s">
        <v>1424</v>
      </c>
      <c r="BP171" t="s">
        <v>2892</v>
      </c>
      <c r="BQ171" t="s">
        <v>1426</v>
      </c>
      <c r="BS171" t="s">
        <v>2893</v>
      </c>
      <c r="BT171" t="s">
        <v>198</v>
      </c>
      <c r="BU171" t="s">
        <v>182</v>
      </c>
      <c r="BV171" t="s">
        <v>198</v>
      </c>
      <c r="BW171" t="s">
        <v>198</v>
      </c>
      <c r="BX171" t="s">
        <v>199</v>
      </c>
      <c r="BY171" t="s">
        <v>198</v>
      </c>
      <c r="BZ171" t="s">
        <v>199</v>
      </c>
      <c r="CA171" t="s">
        <v>199</v>
      </c>
      <c r="CB171" t="s">
        <v>2894</v>
      </c>
      <c r="CC171" t="s">
        <v>201</v>
      </c>
      <c r="CD171" t="s">
        <v>182</v>
      </c>
      <c r="CE171" t="s">
        <v>2895</v>
      </c>
      <c r="CF171" t="s">
        <v>204</v>
      </c>
      <c r="CG171" t="s">
        <v>177</v>
      </c>
      <c r="CH171" t="s">
        <v>187</v>
      </c>
      <c r="CI171" t="s">
        <v>1972</v>
      </c>
      <c r="CJ171" t="s">
        <v>1502</v>
      </c>
      <c r="CK171" t="s">
        <v>232</v>
      </c>
      <c r="CL171" t="s">
        <v>233</v>
      </c>
      <c r="CM171" t="s">
        <v>2896</v>
      </c>
      <c r="CN171" t="s">
        <v>331</v>
      </c>
      <c r="CO171" t="s">
        <v>183</v>
      </c>
      <c r="CP171" t="s">
        <v>211</v>
      </c>
      <c r="CQ171" t="s">
        <v>270</v>
      </c>
      <c r="CS171" t="s">
        <v>2897</v>
      </c>
      <c r="CT171" t="s">
        <v>1101</v>
      </c>
      <c r="CU171" t="s">
        <v>267</v>
      </c>
      <c r="CV171" t="s">
        <v>268</v>
      </c>
      <c r="CW171" t="s">
        <v>2898</v>
      </c>
      <c r="CX171" t="s">
        <v>927</v>
      </c>
      <c r="CY171" t="s">
        <v>183</v>
      </c>
      <c r="CZ171" t="s">
        <v>211</v>
      </c>
      <c r="DA171" t="s">
        <v>206</v>
      </c>
      <c r="DC171" t="s">
        <v>2899</v>
      </c>
      <c r="DD171" t="s">
        <v>2666</v>
      </c>
      <c r="DE171" t="s">
        <v>273</v>
      </c>
      <c r="DF171" t="s">
        <v>274</v>
      </c>
      <c r="DG171" t="s">
        <v>2900</v>
      </c>
      <c r="DH171" t="s">
        <v>514</v>
      </c>
      <c r="DI171" t="s">
        <v>183</v>
      </c>
      <c r="DJ171" t="s">
        <v>211</v>
      </c>
      <c r="DK171" t="s">
        <v>306</v>
      </c>
      <c r="DM171" t="s">
        <v>2899</v>
      </c>
      <c r="DN171" t="s">
        <v>2666</v>
      </c>
      <c r="DO171" t="s">
        <v>302</v>
      </c>
      <c r="DP171" t="s">
        <v>303</v>
      </c>
      <c r="DQ171" t="s">
        <v>2901</v>
      </c>
      <c r="DR171" t="s">
        <v>305</v>
      </c>
      <c r="DS171" t="s">
        <v>183</v>
      </c>
      <c r="DT171" t="s">
        <v>211</v>
      </c>
      <c r="DU171" t="s">
        <v>808</v>
      </c>
      <c r="DW171" t="s">
        <v>2899</v>
      </c>
      <c r="DX171" t="s">
        <v>2902</v>
      </c>
      <c r="DY171" t="s">
        <v>238</v>
      </c>
      <c r="DZ171" t="s">
        <v>239</v>
      </c>
      <c r="EA171" t="s">
        <v>2903</v>
      </c>
      <c r="EB171" t="s">
        <v>278</v>
      </c>
      <c r="EC171" t="s">
        <v>183</v>
      </c>
      <c r="ED171" t="s">
        <v>211</v>
      </c>
      <c r="EE171" t="s">
        <v>298</v>
      </c>
      <c r="EG171" t="s">
        <v>2904</v>
      </c>
      <c r="EH171" t="s">
        <v>2905</v>
      </c>
      <c r="EI171" t="s">
        <v>346</v>
      </c>
      <c r="EJ171" t="s">
        <v>347</v>
      </c>
      <c r="EK171" t="s">
        <v>2906</v>
      </c>
      <c r="EL171" t="s">
        <v>391</v>
      </c>
      <c r="EM171" t="s">
        <v>183</v>
      </c>
      <c r="EN171" t="s">
        <v>211</v>
      </c>
      <c r="EO171" t="s">
        <v>298</v>
      </c>
      <c r="EQ171" t="s">
        <v>443</v>
      </c>
      <c r="FA171" t="s">
        <v>198</v>
      </c>
      <c r="FK171" t="s">
        <v>198</v>
      </c>
      <c r="FU171" t="s">
        <v>198</v>
      </c>
    </row>
    <row r="172" spans="1:177">
      <c r="A172" s="1" t="str">
        <f>HYPERLINK("http://digipan.lumentumllc.com/apps/getLink/index.php?t=PropLink&amp;p=5247492","PL")</f>
        <v>PL</v>
      </c>
      <c r="B172" s="1" t="str">
        <f>HYPERLINK("http://digipan.lumentumllc.com/apps/getLink/index.php?t=TaxLink&amp;p=5247492","TL")</f>
        <v>TL</v>
      </c>
      <c r="C172" s="1" t="str">
        <f>HYPERLINK("http://digipan.lumentumllc.com/apps/getMap/index.php?p=5247492","Map")</f>
        <v>Map</v>
      </c>
      <c r="E172" t="s">
        <v>177</v>
      </c>
      <c r="F172" t="s">
        <v>178</v>
      </c>
      <c r="L172" t="s">
        <v>2907</v>
      </c>
      <c r="N172" t="s">
        <v>2907</v>
      </c>
      <c r="O172" t="s">
        <v>2907</v>
      </c>
      <c r="P172" t="s">
        <v>2908</v>
      </c>
      <c r="Q172" t="s">
        <v>2907</v>
      </c>
      <c r="V172">
        <v>202</v>
      </c>
      <c r="W172">
        <v>1</v>
      </c>
      <c r="X172">
        <v>2017</v>
      </c>
      <c r="Y172">
        <v>2018</v>
      </c>
      <c r="Z172">
        <v>387.18</v>
      </c>
      <c r="AB172" t="s">
        <v>181</v>
      </c>
      <c r="AC172" t="s">
        <v>182</v>
      </c>
      <c r="AD172" t="s">
        <v>183</v>
      </c>
      <c r="AE172">
        <v>0</v>
      </c>
      <c r="AF172">
        <v>5</v>
      </c>
      <c r="AG172" t="s">
        <v>744</v>
      </c>
      <c r="AH172">
        <v>100</v>
      </c>
      <c r="AK172">
        <v>0</v>
      </c>
      <c r="AL172">
        <v>22518</v>
      </c>
      <c r="AM172">
        <v>12000</v>
      </c>
      <c r="AN172">
        <v>10518</v>
      </c>
      <c r="AO172">
        <v>311</v>
      </c>
      <c r="AP172">
        <v>2016</v>
      </c>
      <c r="AQ172">
        <v>1.72</v>
      </c>
      <c r="AS172" t="s">
        <v>2909</v>
      </c>
      <c r="AT172" t="s">
        <v>186</v>
      </c>
      <c r="AU172" t="s">
        <v>177</v>
      </c>
      <c r="AV172" t="s">
        <v>187</v>
      </c>
      <c r="AW172" t="s">
        <v>182</v>
      </c>
      <c r="AX172">
        <v>2</v>
      </c>
      <c r="AY172" t="s">
        <v>188</v>
      </c>
      <c r="AZ172" t="s">
        <v>189</v>
      </c>
      <c r="BA172" t="s">
        <v>190</v>
      </c>
      <c r="BB172" t="s">
        <v>191</v>
      </c>
      <c r="BC172" t="s">
        <v>182</v>
      </c>
      <c r="BD172" t="s">
        <v>182</v>
      </c>
      <c r="BE172" t="s">
        <v>1385</v>
      </c>
      <c r="BF172">
        <v>1</v>
      </c>
      <c r="BG172">
        <v>1</v>
      </c>
      <c r="BH172">
        <v>1990</v>
      </c>
      <c r="BI172" t="s">
        <v>193</v>
      </c>
      <c r="BJ172" t="s">
        <v>194</v>
      </c>
      <c r="BK172" t="s">
        <v>195</v>
      </c>
      <c r="BL172" t="s">
        <v>2395</v>
      </c>
      <c r="BM172" t="s">
        <v>410</v>
      </c>
      <c r="BN172" t="s">
        <v>182</v>
      </c>
      <c r="BO172" t="s">
        <v>2910</v>
      </c>
      <c r="BP172" t="s">
        <v>2911</v>
      </c>
      <c r="BQ172" t="s">
        <v>226</v>
      </c>
      <c r="BR172" t="s">
        <v>227</v>
      </c>
      <c r="BS172" t="s">
        <v>198</v>
      </c>
      <c r="BT172" t="s">
        <v>2912</v>
      </c>
      <c r="BU172" t="s">
        <v>182</v>
      </c>
      <c r="BV172" t="s">
        <v>198</v>
      </c>
      <c r="BW172" t="s">
        <v>198</v>
      </c>
      <c r="BX172" t="s">
        <v>199</v>
      </c>
      <c r="BY172" t="s">
        <v>198</v>
      </c>
      <c r="BZ172" t="s">
        <v>199</v>
      </c>
      <c r="CA172" t="s">
        <v>199</v>
      </c>
      <c r="CB172" t="s">
        <v>2913</v>
      </c>
      <c r="CC172" t="s">
        <v>201</v>
      </c>
      <c r="CD172" t="s">
        <v>182</v>
      </c>
      <c r="CE172" t="s">
        <v>2914</v>
      </c>
      <c r="CF172" t="s">
        <v>204</v>
      </c>
      <c r="CG172" t="s">
        <v>177</v>
      </c>
      <c r="CH172" t="s">
        <v>187</v>
      </c>
      <c r="CI172" t="s">
        <v>2915</v>
      </c>
      <c r="CJ172" t="s">
        <v>1265</v>
      </c>
      <c r="CK172" t="s">
        <v>292</v>
      </c>
      <c r="CL172" t="s">
        <v>293</v>
      </c>
      <c r="CM172" t="s">
        <v>2916</v>
      </c>
      <c r="CN172" t="s">
        <v>482</v>
      </c>
      <c r="CO172" t="s">
        <v>183</v>
      </c>
      <c r="CP172" t="s">
        <v>211</v>
      </c>
      <c r="CQ172" t="s">
        <v>342</v>
      </c>
      <c r="CS172" t="s">
        <v>2917</v>
      </c>
      <c r="CT172" t="s">
        <v>2709</v>
      </c>
      <c r="CU172" t="s">
        <v>273</v>
      </c>
      <c r="CV172" t="s">
        <v>274</v>
      </c>
      <c r="CW172" t="s">
        <v>2918</v>
      </c>
      <c r="CX172" t="s">
        <v>235</v>
      </c>
      <c r="CY172" t="s">
        <v>183</v>
      </c>
      <c r="CZ172" t="s">
        <v>211</v>
      </c>
      <c r="DA172" t="s">
        <v>342</v>
      </c>
      <c r="DC172" t="s">
        <v>2919</v>
      </c>
      <c r="DD172" t="s">
        <v>2920</v>
      </c>
      <c r="DE172" t="s">
        <v>238</v>
      </c>
      <c r="DF172" t="s">
        <v>239</v>
      </c>
      <c r="DG172" t="s">
        <v>2921</v>
      </c>
      <c r="DH172" t="s">
        <v>278</v>
      </c>
      <c r="DI172" t="s">
        <v>183</v>
      </c>
      <c r="DJ172" t="s">
        <v>211</v>
      </c>
      <c r="DK172" t="s">
        <v>199</v>
      </c>
      <c r="DM172" t="s">
        <v>2922</v>
      </c>
      <c r="DN172" t="s">
        <v>2923</v>
      </c>
      <c r="DO172" t="s">
        <v>346</v>
      </c>
      <c r="DP172" t="s">
        <v>347</v>
      </c>
      <c r="DQ172" t="s">
        <v>2924</v>
      </c>
      <c r="DR172" t="s">
        <v>576</v>
      </c>
      <c r="DS172" t="s">
        <v>183</v>
      </c>
      <c r="DT172" t="s">
        <v>211</v>
      </c>
      <c r="DU172" t="s">
        <v>199</v>
      </c>
      <c r="DW172" t="s">
        <v>1504</v>
      </c>
      <c r="DX172" t="s">
        <v>2925</v>
      </c>
      <c r="DY172" t="s">
        <v>207</v>
      </c>
      <c r="DZ172" t="s">
        <v>208</v>
      </c>
      <c r="EA172" t="s">
        <v>2926</v>
      </c>
      <c r="EB172" t="s">
        <v>473</v>
      </c>
      <c r="EC172" t="s">
        <v>183</v>
      </c>
      <c r="ED172" t="s">
        <v>211</v>
      </c>
      <c r="EE172" t="s">
        <v>298</v>
      </c>
      <c r="EG172" t="s">
        <v>2927</v>
      </c>
      <c r="EQ172" t="s">
        <v>198</v>
      </c>
      <c r="FA172" t="s">
        <v>198</v>
      </c>
      <c r="FK172" t="s">
        <v>198</v>
      </c>
      <c r="FU172" t="s">
        <v>198</v>
      </c>
    </row>
    <row r="173" spans="1:177">
      <c r="A173" s="1" t="str">
        <f>HYPERLINK("http://digipan.lumentumllc.com/apps/getLink/index.php?t=PropLink&amp;p=4638294","PL")</f>
        <v>PL</v>
      </c>
      <c r="B173" s="1" t="str">
        <f>HYPERLINK("http://digipan.lumentumllc.com/apps/getLink/index.php?t=TaxLink&amp;p=4638294","TL")</f>
        <v>TL</v>
      </c>
      <c r="C173" s="1" t="str">
        <f>HYPERLINK("http://digipan.lumentumllc.com/apps/getMap/index.php?p=4638294","Map")</f>
        <v>Map</v>
      </c>
      <c r="E173" t="s">
        <v>177</v>
      </c>
      <c r="F173" t="s">
        <v>178</v>
      </c>
      <c r="L173" t="s">
        <v>2928</v>
      </c>
      <c r="N173" t="s">
        <v>2928</v>
      </c>
      <c r="O173" t="s">
        <v>2928</v>
      </c>
      <c r="P173" t="s">
        <v>2929</v>
      </c>
      <c r="Q173" t="s">
        <v>2928</v>
      </c>
      <c r="V173">
        <v>203</v>
      </c>
      <c r="W173">
        <v>1</v>
      </c>
      <c r="X173">
        <v>2017</v>
      </c>
      <c r="Y173">
        <v>2018</v>
      </c>
      <c r="Z173">
        <v>331.15</v>
      </c>
      <c r="AG173" t="s">
        <v>184</v>
      </c>
      <c r="AH173">
        <v>0</v>
      </c>
      <c r="AK173">
        <v>0</v>
      </c>
      <c r="AL173">
        <v>47946</v>
      </c>
      <c r="AM173">
        <v>24000</v>
      </c>
      <c r="AN173">
        <v>23946</v>
      </c>
      <c r="AO173">
        <v>267</v>
      </c>
      <c r="AP173">
        <v>2016</v>
      </c>
      <c r="AQ173">
        <v>0.69</v>
      </c>
      <c r="AS173" t="s">
        <v>2930</v>
      </c>
      <c r="AT173" t="s">
        <v>186</v>
      </c>
      <c r="AU173" t="s">
        <v>177</v>
      </c>
      <c r="AV173" t="s">
        <v>187</v>
      </c>
      <c r="AW173" t="s">
        <v>202</v>
      </c>
      <c r="AX173">
        <v>2</v>
      </c>
      <c r="AY173" t="s">
        <v>188</v>
      </c>
      <c r="AZ173" t="s">
        <v>189</v>
      </c>
      <c r="BA173" t="s">
        <v>190</v>
      </c>
      <c r="BB173" t="s">
        <v>191</v>
      </c>
      <c r="BC173" t="s">
        <v>182</v>
      </c>
      <c r="BD173" t="s">
        <v>182</v>
      </c>
      <c r="BE173" t="s">
        <v>2931</v>
      </c>
      <c r="BF173">
        <v>1</v>
      </c>
      <c r="BG173">
        <v>1</v>
      </c>
      <c r="BH173">
        <v>1999</v>
      </c>
      <c r="BI173" t="s">
        <v>2209</v>
      </c>
      <c r="BJ173" t="s">
        <v>194</v>
      </c>
      <c r="BL173" t="s">
        <v>199</v>
      </c>
      <c r="BM173" t="s">
        <v>273</v>
      </c>
      <c r="BN173" t="s">
        <v>182</v>
      </c>
      <c r="BO173" t="s">
        <v>198</v>
      </c>
      <c r="BP173" t="s">
        <v>198</v>
      </c>
      <c r="BQ173" t="s">
        <v>198</v>
      </c>
      <c r="BR173" t="s">
        <v>198</v>
      </c>
      <c r="BS173" t="s">
        <v>198</v>
      </c>
      <c r="BT173" t="s">
        <v>198</v>
      </c>
      <c r="BU173" t="s">
        <v>182</v>
      </c>
      <c r="BV173" t="s">
        <v>198</v>
      </c>
      <c r="BW173" t="s">
        <v>198</v>
      </c>
      <c r="BX173" t="s">
        <v>199</v>
      </c>
      <c r="BY173" t="s">
        <v>198</v>
      </c>
      <c r="BZ173" t="s">
        <v>199</v>
      </c>
      <c r="CA173" t="s">
        <v>199</v>
      </c>
      <c r="CB173" t="s">
        <v>2932</v>
      </c>
      <c r="CC173" t="s">
        <v>201</v>
      </c>
      <c r="CD173" t="s">
        <v>182</v>
      </c>
      <c r="CE173" t="s">
        <v>2933</v>
      </c>
      <c r="CF173" t="s">
        <v>204</v>
      </c>
      <c r="CG173" t="s">
        <v>177</v>
      </c>
      <c r="CH173" t="s">
        <v>187</v>
      </c>
      <c r="CI173" t="s">
        <v>2934</v>
      </c>
      <c r="CS173" t="s">
        <v>198</v>
      </c>
      <c r="DC173" t="s">
        <v>198</v>
      </c>
      <c r="DM173" t="s">
        <v>198</v>
      </c>
      <c r="DW173" t="s">
        <v>198</v>
      </c>
      <c r="EG173" t="s">
        <v>198</v>
      </c>
      <c r="EQ173" t="s">
        <v>198</v>
      </c>
      <c r="FA173" t="s">
        <v>198</v>
      </c>
      <c r="FK173" t="s">
        <v>198</v>
      </c>
      <c r="FU173" t="s">
        <v>198</v>
      </c>
    </row>
    <row r="174" spans="1:177">
      <c r="A174" s="1" t="str">
        <f>HYPERLINK("http://digipan.lumentumllc.com/apps/getLink/index.php?t=PropLink&amp;p=5247497","PL")</f>
        <v>PL</v>
      </c>
      <c r="B174" s="1" t="str">
        <f>HYPERLINK("http://digipan.lumentumllc.com/apps/getLink/index.php?t=TaxLink&amp;p=5247497","TL")</f>
        <v>TL</v>
      </c>
      <c r="C174" s="1" t="str">
        <f>HYPERLINK("http://digipan.lumentumllc.com/apps/getMap/index.php?p=5247497","Map")</f>
        <v>Map</v>
      </c>
      <c r="E174" t="s">
        <v>177</v>
      </c>
      <c r="F174" t="s">
        <v>178</v>
      </c>
      <c r="L174" t="s">
        <v>2935</v>
      </c>
      <c r="N174" t="s">
        <v>2935</v>
      </c>
      <c r="O174" t="s">
        <v>2935</v>
      </c>
      <c r="P174" t="s">
        <v>2936</v>
      </c>
      <c r="Q174" t="s">
        <v>2935</v>
      </c>
      <c r="V174">
        <v>204</v>
      </c>
      <c r="W174">
        <v>1</v>
      </c>
      <c r="X174">
        <v>2017</v>
      </c>
      <c r="Y174">
        <v>2018</v>
      </c>
      <c r="Z174">
        <v>130.22999999999999</v>
      </c>
      <c r="AB174" t="s">
        <v>181</v>
      </c>
      <c r="AC174" t="s">
        <v>202</v>
      </c>
      <c r="AD174" t="s">
        <v>183</v>
      </c>
      <c r="AE174">
        <v>1</v>
      </c>
      <c r="AF174">
        <v>7</v>
      </c>
      <c r="AG174" t="s">
        <v>418</v>
      </c>
      <c r="AH174">
        <v>86</v>
      </c>
      <c r="AI174">
        <v>221.57</v>
      </c>
      <c r="AJ174">
        <v>26.03</v>
      </c>
      <c r="AK174">
        <v>247.6</v>
      </c>
      <c r="AL174">
        <v>6000</v>
      </c>
      <c r="AM174">
        <v>6000</v>
      </c>
      <c r="AN174">
        <v>0</v>
      </c>
      <c r="AO174">
        <v>180</v>
      </c>
      <c r="AP174">
        <v>2016</v>
      </c>
      <c r="AQ174">
        <v>2.17</v>
      </c>
      <c r="AR174">
        <v>4.13</v>
      </c>
      <c r="AS174" t="s">
        <v>2937</v>
      </c>
      <c r="AT174" t="s">
        <v>186</v>
      </c>
      <c r="AU174" t="s">
        <v>177</v>
      </c>
      <c r="AV174" t="s">
        <v>187</v>
      </c>
      <c r="AW174" t="s">
        <v>182</v>
      </c>
      <c r="AX174">
        <v>0</v>
      </c>
      <c r="AY174" t="s">
        <v>312</v>
      </c>
      <c r="AZ174" t="s">
        <v>199</v>
      </c>
      <c r="BA174" t="s">
        <v>313</v>
      </c>
      <c r="BB174" t="s">
        <v>191</v>
      </c>
      <c r="BC174" t="s">
        <v>182</v>
      </c>
      <c r="BD174" t="s">
        <v>182</v>
      </c>
      <c r="BE174" t="s">
        <v>2938</v>
      </c>
      <c r="BF174">
        <v>0</v>
      </c>
      <c r="BG174">
        <v>0</v>
      </c>
      <c r="BH174">
        <v>0</v>
      </c>
      <c r="BI174" t="s">
        <v>199</v>
      </c>
      <c r="BJ174" t="s">
        <v>315</v>
      </c>
      <c r="BL174" t="s">
        <v>2939</v>
      </c>
      <c r="BM174" t="s">
        <v>232</v>
      </c>
      <c r="BN174" t="s">
        <v>182</v>
      </c>
      <c r="BO174" t="s">
        <v>198</v>
      </c>
      <c r="BP174" t="s">
        <v>198</v>
      </c>
      <c r="BQ174" t="s">
        <v>198</v>
      </c>
      <c r="BR174" t="s">
        <v>198</v>
      </c>
      <c r="BS174" t="s">
        <v>198</v>
      </c>
      <c r="BT174" t="s">
        <v>198</v>
      </c>
      <c r="BU174" t="s">
        <v>182</v>
      </c>
      <c r="BV174" t="s">
        <v>198</v>
      </c>
      <c r="BW174" t="s">
        <v>198</v>
      </c>
      <c r="BX174" t="s">
        <v>199</v>
      </c>
      <c r="BY174" t="s">
        <v>198</v>
      </c>
      <c r="BZ174" t="s">
        <v>199</v>
      </c>
      <c r="CA174" t="s">
        <v>199</v>
      </c>
      <c r="CB174" t="s">
        <v>2940</v>
      </c>
      <c r="CC174" t="s">
        <v>201</v>
      </c>
      <c r="CD174" t="s">
        <v>202</v>
      </c>
      <c r="CE174" t="s">
        <v>2941</v>
      </c>
      <c r="CF174" t="s">
        <v>204</v>
      </c>
      <c r="CG174" t="s">
        <v>177</v>
      </c>
      <c r="CH174" t="s">
        <v>187</v>
      </c>
      <c r="CI174" t="s">
        <v>2942</v>
      </c>
      <c r="CJ174" t="s">
        <v>2943</v>
      </c>
      <c r="CK174" t="s">
        <v>232</v>
      </c>
      <c r="CL174" t="s">
        <v>233</v>
      </c>
      <c r="CM174" t="s">
        <v>2944</v>
      </c>
      <c r="CN174" t="s">
        <v>922</v>
      </c>
      <c r="CO174" t="s">
        <v>183</v>
      </c>
      <c r="CP174" t="s">
        <v>266</v>
      </c>
      <c r="CS174" t="s">
        <v>198</v>
      </c>
      <c r="CT174" t="s">
        <v>1379</v>
      </c>
      <c r="CU174" t="s">
        <v>292</v>
      </c>
      <c r="CV174" t="s">
        <v>293</v>
      </c>
      <c r="CW174" t="s">
        <v>2945</v>
      </c>
      <c r="CX174" t="s">
        <v>482</v>
      </c>
      <c r="CY174" t="s">
        <v>183</v>
      </c>
      <c r="CZ174" t="s">
        <v>211</v>
      </c>
      <c r="DB174" t="s">
        <v>271</v>
      </c>
      <c r="DC174" t="s">
        <v>198</v>
      </c>
      <c r="DD174" t="s">
        <v>1181</v>
      </c>
      <c r="DE174" t="s">
        <v>267</v>
      </c>
      <c r="DF174" t="s">
        <v>268</v>
      </c>
      <c r="DG174" t="s">
        <v>1605</v>
      </c>
      <c r="DH174" t="s">
        <v>482</v>
      </c>
      <c r="DI174" t="s">
        <v>183</v>
      </c>
      <c r="DJ174" t="s">
        <v>211</v>
      </c>
      <c r="DK174" t="s">
        <v>427</v>
      </c>
      <c r="DL174" t="s">
        <v>271</v>
      </c>
      <c r="DM174" t="s">
        <v>2946</v>
      </c>
      <c r="DN174" t="s">
        <v>2724</v>
      </c>
      <c r="DO174" t="s">
        <v>273</v>
      </c>
      <c r="DP174" t="s">
        <v>274</v>
      </c>
      <c r="DQ174" t="s">
        <v>2947</v>
      </c>
      <c r="DR174" t="s">
        <v>402</v>
      </c>
      <c r="DS174" t="s">
        <v>183</v>
      </c>
      <c r="DT174" t="s">
        <v>211</v>
      </c>
      <c r="DV174" t="s">
        <v>271</v>
      </c>
      <c r="DW174" t="s">
        <v>198</v>
      </c>
      <c r="DX174" t="s">
        <v>2948</v>
      </c>
      <c r="DY174" t="s">
        <v>302</v>
      </c>
      <c r="DZ174" t="s">
        <v>303</v>
      </c>
      <c r="EA174" t="s">
        <v>2949</v>
      </c>
      <c r="EB174" t="s">
        <v>922</v>
      </c>
      <c r="EC174" t="s">
        <v>183</v>
      </c>
      <c r="ED174" t="s">
        <v>211</v>
      </c>
      <c r="EE174" t="s">
        <v>250</v>
      </c>
      <c r="EF174" t="s">
        <v>271</v>
      </c>
      <c r="EG174" t="s">
        <v>2950</v>
      </c>
      <c r="EH174" t="s">
        <v>2951</v>
      </c>
      <c r="EI174" t="s">
        <v>238</v>
      </c>
      <c r="EJ174" t="s">
        <v>239</v>
      </c>
      <c r="EK174" t="s">
        <v>2952</v>
      </c>
      <c r="EL174" t="s">
        <v>400</v>
      </c>
      <c r="EM174" t="s">
        <v>183</v>
      </c>
      <c r="EN174" t="s">
        <v>211</v>
      </c>
      <c r="EO174" t="s">
        <v>487</v>
      </c>
      <c r="EP174" t="s">
        <v>271</v>
      </c>
      <c r="EQ174" t="s">
        <v>2950</v>
      </c>
      <c r="ER174" t="s">
        <v>2953</v>
      </c>
      <c r="ES174" t="s">
        <v>346</v>
      </c>
      <c r="ET174" t="s">
        <v>347</v>
      </c>
      <c r="EU174" t="s">
        <v>1075</v>
      </c>
      <c r="EV174" t="s">
        <v>615</v>
      </c>
      <c r="EW174" t="s">
        <v>183</v>
      </c>
      <c r="EX174" t="s">
        <v>211</v>
      </c>
      <c r="EZ174" t="s">
        <v>271</v>
      </c>
      <c r="FA174" t="s">
        <v>198</v>
      </c>
      <c r="FB174" t="s">
        <v>2954</v>
      </c>
      <c r="FC174" t="s">
        <v>207</v>
      </c>
      <c r="FD174" t="s">
        <v>208</v>
      </c>
      <c r="FE174" t="s">
        <v>2955</v>
      </c>
      <c r="FF174" t="s">
        <v>254</v>
      </c>
      <c r="FG174" t="s">
        <v>183</v>
      </c>
      <c r="FH174" t="s">
        <v>211</v>
      </c>
      <c r="FI174" t="s">
        <v>963</v>
      </c>
      <c r="FJ174" t="s">
        <v>271</v>
      </c>
      <c r="FK174" t="s">
        <v>2950</v>
      </c>
      <c r="FU174" t="s">
        <v>198</v>
      </c>
    </row>
    <row r="175" spans="1:177">
      <c r="A175" s="1" t="str">
        <f>HYPERLINK("http://digipan.lumentumllc.com/apps/getLink/index.php?t=PropLink&amp;p=6462045","PL")</f>
        <v>PL</v>
      </c>
      <c r="B175" s="1" t="str">
        <f>HYPERLINK("http://digipan.lumentumllc.com/apps/getLink/index.php?t=TaxLink&amp;p=6462045","TL")</f>
        <v>TL</v>
      </c>
      <c r="C175" s="1" t="str">
        <f>HYPERLINK("http://digipan.lumentumllc.com/apps/getMap/index.php?p=6462045","Map")</f>
        <v>Map</v>
      </c>
      <c r="E175" t="s">
        <v>177</v>
      </c>
      <c r="F175" t="s">
        <v>178</v>
      </c>
      <c r="L175" t="s">
        <v>2956</v>
      </c>
      <c r="N175" t="s">
        <v>2956</v>
      </c>
      <c r="O175" t="s">
        <v>2956</v>
      </c>
      <c r="P175" t="s">
        <v>2957</v>
      </c>
      <c r="Q175" t="s">
        <v>2956</v>
      </c>
      <c r="V175">
        <v>205</v>
      </c>
      <c r="W175">
        <v>1</v>
      </c>
      <c r="X175">
        <v>2017</v>
      </c>
      <c r="Y175">
        <v>2018</v>
      </c>
      <c r="Z175">
        <v>897.89</v>
      </c>
      <c r="AB175" t="s">
        <v>181</v>
      </c>
      <c r="AC175" t="s">
        <v>202</v>
      </c>
      <c r="AD175" t="s">
        <v>183</v>
      </c>
      <c r="AE175">
        <v>0</v>
      </c>
      <c r="AF175">
        <v>3</v>
      </c>
      <c r="AG175" t="s">
        <v>381</v>
      </c>
      <c r="AH175">
        <v>100</v>
      </c>
      <c r="AK175">
        <v>0</v>
      </c>
      <c r="AL175">
        <v>54955</v>
      </c>
      <c r="AM175">
        <v>15000</v>
      </c>
      <c r="AN175">
        <v>39955</v>
      </c>
      <c r="AO175">
        <v>716</v>
      </c>
      <c r="AP175">
        <v>2016</v>
      </c>
      <c r="AQ175">
        <v>1.63</v>
      </c>
      <c r="AS175" t="s">
        <v>2958</v>
      </c>
      <c r="AT175" t="s">
        <v>186</v>
      </c>
      <c r="AU175" t="s">
        <v>177</v>
      </c>
      <c r="AV175" t="s">
        <v>187</v>
      </c>
      <c r="AW175" t="s">
        <v>182</v>
      </c>
      <c r="AX175">
        <v>2</v>
      </c>
      <c r="AY175" t="s">
        <v>188</v>
      </c>
      <c r="AZ175" t="s">
        <v>189</v>
      </c>
      <c r="BA175" t="s">
        <v>190</v>
      </c>
      <c r="BB175" t="s">
        <v>191</v>
      </c>
      <c r="BC175" t="s">
        <v>182</v>
      </c>
      <c r="BD175" t="s">
        <v>182</v>
      </c>
      <c r="BE175" t="s">
        <v>383</v>
      </c>
      <c r="BF175">
        <v>1</v>
      </c>
      <c r="BG175">
        <v>1</v>
      </c>
      <c r="BH175">
        <v>1999</v>
      </c>
      <c r="BI175" t="s">
        <v>2959</v>
      </c>
      <c r="BJ175" t="s">
        <v>194</v>
      </c>
      <c r="BK175" t="s">
        <v>195</v>
      </c>
      <c r="BL175" t="s">
        <v>2960</v>
      </c>
      <c r="BM175" t="s">
        <v>302</v>
      </c>
      <c r="BN175" t="s">
        <v>182</v>
      </c>
      <c r="BO175" t="s">
        <v>2961</v>
      </c>
      <c r="BP175" t="s">
        <v>2962</v>
      </c>
      <c r="BQ175" t="s">
        <v>1896</v>
      </c>
      <c r="BR175" t="s">
        <v>563</v>
      </c>
      <c r="BS175" t="s">
        <v>198</v>
      </c>
      <c r="BT175" t="s">
        <v>2963</v>
      </c>
      <c r="BU175" t="s">
        <v>182</v>
      </c>
      <c r="BV175" t="s">
        <v>198</v>
      </c>
      <c r="BW175" t="s">
        <v>198</v>
      </c>
      <c r="BX175" t="s">
        <v>199</v>
      </c>
      <c r="BY175" t="s">
        <v>198</v>
      </c>
      <c r="BZ175" t="s">
        <v>199</v>
      </c>
      <c r="CA175" t="s">
        <v>199</v>
      </c>
      <c r="CB175" t="s">
        <v>2964</v>
      </c>
      <c r="CC175" t="s">
        <v>201</v>
      </c>
      <c r="CD175" t="s">
        <v>182</v>
      </c>
      <c r="CE175" t="s">
        <v>2965</v>
      </c>
      <c r="CF175" t="s">
        <v>204</v>
      </c>
      <c r="CG175" t="s">
        <v>177</v>
      </c>
      <c r="CH175" t="s">
        <v>187</v>
      </c>
      <c r="CI175" t="s">
        <v>2966</v>
      </c>
      <c r="CJ175" t="s">
        <v>1197</v>
      </c>
      <c r="CK175" t="s">
        <v>267</v>
      </c>
      <c r="CL175" t="s">
        <v>268</v>
      </c>
      <c r="CM175" t="s">
        <v>2967</v>
      </c>
      <c r="CN175" t="s">
        <v>235</v>
      </c>
      <c r="CO175" t="s">
        <v>183</v>
      </c>
      <c r="CP175" t="s">
        <v>211</v>
      </c>
      <c r="CQ175" t="s">
        <v>270</v>
      </c>
      <c r="CR175" t="s">
        <v>271</v>
      </c>
      <c r="CS175" t="s">
        <v>272</v>
      </c>
      <c r="CT175" t="s">
        <v>2968</v>
      </c>
      <c r="CU175" t="s">
        <v>273</v>
      </c>
      <c r="CV175" t="s">
        <v>274</v>
      </c>
      <c r="CW175" t="s">
        <v>2969</v>
      </c>
      <c r="CX175" t="s">
        <v>235</v>
      </c>
      <c r="CY175" t="s">
        <v>183</v>
      </c>
      <c r="CZ175" t="s">
        <v>211</v>
      </c>
      <c r="DB175" t="s">
        <v>271</v>
      </c>
      <c r="DC175" t="s">
        <v>198</v>
      </c>
      <c r="DD175" t="s">
        <v>2772</v>
      </c>
      <c r="DE175" t="s">
        <v>302</v>
      </c>
      <c r="DF175" t="s">
        <v>303</v>
      </c>
      <c r="DG175" t="s">
        <v>2970</v>
      </c>
      <c r="DH175" t="s">
        <v>436</v>
      </c>
      <c r="DI175" t="s">
        <v>183</v>
      </c>
      <c r="DJ175" t="s">
        <v>211</v>
      </c>
      <c r="DK175" t="s">
        <v>270</v>
      </c>
      <c r="DM175" t="s">
        <v>2971</v>
      </c>
      <c r="DW175" t="s">
        <v>198</v>
      </c>
      <c r="EG175" t="s">
        <v>198</v>
      </c>
      <c r="EQ175" t="s">
        <v>198</v>
      </c>
      <c r="FA175" t="s">
        <v>198</v>
      </c>
      <c r="FK175" t="s">
        <v>198</v>
      </c>
      <c r="FU175" t="s">
        <v>198</v>
      </c>
    </row>
    <row r="176" spans="1:177">
      <c r="A176" s="1" t="str">
        <f>HYPERLINK("http://digipan.lumentumllc.com/apps/getLink/index.php?t=PropLink&amp;p=15745680","PL")</f>
        <v>PL</v>
      </c>
      <c r="B176" s="1" t="str">
        <f>HYPERLINK("http://digipan.lumentumllc.com/apps/getLink/index.php?t=TaxLink&amp;p=15745680","TL")</f>
        <v>TL</v>
      </c>
      <c r="C176" s="1" t="str">
        <f>HYPERLINK("http://digipan.lumentumllc.com/apps/getMap/index.php?p=15745680","Map")</f>
        <v>Map</v>
      </c>
      <c r="E176" t="s">
        <v>177</v>
      </c>
      <c r="F176" t="s">
        <v>178</v>
      </c>
      <c r="L176" t="s">
        <v>2972</v>
      </c>
      <c r="N176" t="s">
        <v>2972</v>
      </c>
      <c r="O176" t="s">
        <v>2972</v>
      </c>
      <c r="Q176" t="s">
        <v>2972</v>
      </c>
      <c r="V176">
        <v>206</v>
      </c>
      <c r="W176">
        <v>1</v>
      </c>
      <c r="X176">
        <v>2017</v>
      </c>
      <c r="Y176">
        <v>2018</v>
      </c>
      <c r="Z176">
        <v>1019.14</v>
      </c>
      <c r="AG176" t="s">
        <v>184</v>
      </c>
      <c r="AH176">
        <v>0</v>
      </c>
      <c r="AK176">
        <v>0</v>
      </c>
      <c r="AL176">
        <v>60293</v>
      </c>
      <c r="AM176">
        <v>26700</v>
      </c>
      <c r="AN176">
        <v>33593</v>
      </c>
      <c r="AO176">
        <v>846</v>
      </c>
      <c r="AP176">
        <v>2016</v>
      </c>
      <c r="AQ176">
        <v>1.69</v>
      </c>
      <c r="AS176" t="s">
        <v>2973</v>
      </c>
      <c r="AT176" t="s">
        <v>186</v>
      </c>
      <c r="AU176" t="s">
        <v>177</v>
      </c>
      <c r="AV176" t="s">
        <v>187</v>
      </c>
      <c r="AW176" t="s">
        <v>182</v>
      </c>
      <c r="AX176">
        <v>1</v>
      </c>
      <c r="AY176" t="s">
        <v>188</v>
      </c>
      <c r="AZ176" t="s">
        <v>206</v>
      </c>
      <c r="BA176" t="s">
        <v>355</v>
      </c>
      <c r="BB176" t="s">
        <v>191</v>
      </c>
      <c r="BC176" t="s">
        <v>182</v>
      </c>
      <c r="BD176" t="s">
        <v>182</v>
      </c>
      <c r="BE176" t="s">
        <v>2974</v>
      </c>
      <c r="BF176">
        <v>1</v>
      </c>
      <c r="BG176">
        <v>1</v>
      </c>
      <c r="BH176">
        <v>1950</v>
      </c>
      <c r="BI176" t="s">
        <v>2255</v>
      </c>
      <c r="BJ176" t="s">
        <v>194</v>
      </c>
      <c r="BK176" t="s">
        <v>195</v>
      </c>
      <c r="BL176" t="s">
        <v>2975</v>
      </c>
      <c r="BM176" t="s">
        <v>1311</v>
      </c>
      <c r="BN176" t="s">
        <v>182</v>
      </c>
      <c r="BO176" t="s">
        <v>2976</v>
      </c>
      <c r="BP176" t="s">
        <v>2977</v>
      </c>
      <c r="BQ176" t="s">
        <v>800</v>
      </c>
      <c r="BR176" t="s">
        <v>563</v>
      </c>
      <c r="BS176" t="s">
        <v>198</v>
      </c>
      <c r="BT176" t="s">
        <v>2978</v>
      </c>
      <c r="BU176" t="s">
        <v>182</v>
      </c>
      <c r="BV176" t="s">
        <v>198</v>
      </c>
      <c r="BW176" t="s">
        <v>198</v>
      </c>
      <c r="BX176" t="s">
        <v>199</v>
      </c>
      <c r="BY176" t="s">
        <v>198</v>
      </c>
      <c r="BZ176" t="s">
        <v>199</v>
      </c>
      <c r="CA176" t="s">
        <v>199</v>
      </c>
      <c r="CB176" t="s">
        <v>2979</v>
      </c>
      <c r="CC176" t="s">
        <v>201</v>
      </c>
      <c r="CD176" t="s">
        <v>202</v>
      </c>
      <c r="CE176" t="s">
        <v>2980</v>
      </c>
      <c r="CF176" t="s">
        <v>204</v>
      </c>
      <c r="CG176" t="s">
        <v>177</v>
      </c>
      <c r="CH176" t="s">
        <v>187</v>
      </c>
      <c r="CI176" t="s">
        <v>2981</v>
      </c>
      <c r="CS176" t="s">
        <v>198</v>
      </c>
      <c r="DC176" t="s">
        <v>198</v>
      </c>
      <c r="DM176" t="s">
        <v>198</v>
      </c>
      <c r="DW176" t="s">
        <v>198</v>
      </c>
      <c r="EG176" t="s">
        <v>198</v>
      </c>
      <c r="EQ176" t="s">
        <v>198</v>
      </c>
      <c r="FA176" t="s">
        <v>198</v>
      </c>
      <c r="FK176" t="s">
        <v>198</v>
      </c>
      <c r="FU176" t="s">
        <v>198</v>
      </c>
    </row>
    <row r="177" spans="1:177">
      <c r="A177" s="1" t="str">
        <f>HYPERLINK("http://digipan.lumentumllc.com/apps/getLink/index.php?t=PropLink&amp;p=5245998","PL")</f>
        <v>PL</v>
      </c>
      <c r="B177" s="1" t="str">
        <f>HYPERLINK("http://digipan.lumentumllc.com/apps/getLink/index.php?t=TaxLink&amp;p=5245998","TL")</f>
        <v>TL</v>
      </c>
      <c r="C177" s="1" t="str">
        <f>HYPERLINK("http://digipan.lumentumllc.com/apps/getMap/index.php?p=5245998","Map")</f>
        <v>Map</v>
      </c>
      <c r="E177" t="s">
        <v>177</v>
      </c>
      <c r="F177" t="s">
        <v>178</v>
      </c>
      <c r="L177" t="s">
        <v>2982</v>
      </c>
      <c r="N177" t="s">
        <v>2982</v>
      </c>
      <c r="O177" t="s">
        <v>2982</v>
      </c>
      <c r="P177" t="s">
        <v>2983</v>
      </c>
      <c r="Q177" t="s">
        <v>2982</v>
      </c>
      <c r="V177">
        <v>207</v>
      </c>
      <c r="W177">
        <v>1</v>
      </c>
      <c r="X177">
        <v>2017</v>
      </c>
      <c r="Y177">
        <v>2018</v>
      </c>
      <c r="Z177">
        <v>436.73</v>
      </c>
      <c r="AB177" t="s">
        <v>181</v>
      </c>
      <c r="AC177" t="s">
        <v>182</v>
      </c>
      <c r="AD177" t="s">
        <v>183</v>
      </c>
      <c r="AE177">
        <v>2</v>
      </c>
      <c r="AF177">
        <v>1</v>
      </c>
      <c r="AG177" t="s">
        <v>2087</v>
      </c>
      <c r="AH177">
        <v>33</v>
      </c>
      <c r="AI177">
        <v>879.77</v>
      </c>
      <c r="AJ177">
        <v>74.95</v>
      </c>
      <c r="AK177">
        <v>954.72</v>
      </c>
      <c r="AL177">
        <v>24720</v>
      </c>
      <c r="AM177">
        <v>24720</v>
      </c>
      <c r="AN177">
        <v>0</v>
      </c>
      <c r="AO177">
        <v>379</v>
      </c>
      <c r="AP177">
        <v>2016</v>
      </c>
      <c r="AQ177">
        <v>1.77</v>
      </c>
      <c r="AR177">
        <v>3.86</v>
      </c>
      <c r="AS177" t="s">
        <v>2984</v>
      </c>
      <c r="AT177" t="s">
        <v>186</v>
      </c>
      <c r="AU177" t="s">
        <v>177</v>
      </c>
      <c r="AV177" t="s">
        <v>187</v>
      </c>
      <c r="AW177" t="s">
        <v>182</v>
      </c>
      <c r="AX177">
        <v>0</v>
      </c>
      <c r="AY177" t="s">
        <v>312</v>
      </c>
      <c r="AZ177" t="s">
        <v>199</v>
      </c>
      <c r="BA177" t="s">
        <v>313</v>
      </c>
      <c r="BB177" t="s">
        <v>191</v>
      </c>
      <c r="BC177" t="s">
        <v>182</v>
      </c>
      <c r="BD177" t="s">
        <v>182</v>
      </c>
      <c r="BE177" t="s">
        <v>2985</v>
      </c>
      <c r="BF177">
        <v>0</v>
      </c>
      <c r="BG177">
        <v>0</v>
      </c>
      <c r="BH177">
        <v>0</v>
      </c>
      <c r="BI177" t="s">
        <v>199</v>
      </c>
      <c r="BJ177" t="s">
        <v>248</v>
      </c>
      <c r="BL177" t="s">
        <v>199</v>
      </c>
      <c r="BM177" t="s">
        <v>273</v>
      </c>
      <c r="BN177" t="s">
        <v>182</v>
      </c>
      <c r="BO177" t="s">
        <v>2986</v>
      </c>
      <c r="BP177" t="s">
        <v>2987</v>
      </c>
      <c r="BQ177" t="s">
        <v>603</v>
      </c>
      <c r="BR177" t="s">
        <v>1857</v>
      </c>
      <c r="BS177" t="s">
        <v>198</v>
      </c>
      <c r="BT177" t="s">
        <v>2988</v>
      </c>
      <c r="BU177" t="s">
        <v>182</v>
      </c>
      <c r="BV177" t="s">
        <v>198</v>
      </c>
      <c r="BW177" t="s">
        <v>198</v>
      </c>
      <c r="BX177" t="s">
        <v>199</v>
      </c>
      <c r="BY177" t="s">
        <v>198</v>
      </c>
      <c r="BZ177" t="s">
        <v>199</v>
      </c>
      <c r="CA177" t="s">
        <v>290</v>
      </c>
      <c r="CB177" t="s">
        <v>2989</v>
      </c>
      <c r="CC177" t="s">
        <v>201</v>
      </c>
      <c r="CD177" t="s">
        <v>182</v>
      </c>
      <c r="CE177" t="s">
        <v>2990</v>
      </c>
      <c r="CF177" t="s">
        <v>413</v>
      </c>
      <c r="CG177" t="s">
        <v>177</v>
      </c>
      <c r="CH177" t="s">
        <v>2991</v>
      </c>
      <c r="CI177" t="s">
        <v>2992</v>
      </c>
      <c r="CJ177" t="s">
        <v>2993</v>
      </c>
      <c r="CK177" t="s">
        <v>232</v>
      </c>
      <c r="CL177" t="s">
        <v>233</v>
      </c>
      <c r="CM177" t="s">
        <v>2994</v>
      </c>
      <c r="CN177" t="s">
        <v>331</v>
      </c>
      <c r="CO177" t="s">
        <v>183</v>
      </c>
      <c r="CP177" t="s">
        <v>266</v>
      </c>
      <c r="CS177" t="s">
        <v>198</v>
      </c>
      <c r="CT177" t="s">
        <v>2995</v>
      </c>
      <c r="CU177" t="s">
        <v>292</v>
      </c>
      <c r="CV177" t="s">
        <v>293</v>
      </c>
      <c r="CW177" t="s">
        <v>2996</v>
      </c>
      <c r="CX177" t="s">
        <v>278</v>
      </c>
      <c r="CY177" t="s">
        <v>183</v>
      </c>
      <c r="CZ177" t="s">
        <v>266</v>
      </c>
      <c r="DC177" t="s">
        <v>198</v>
      </c>
      <c r="DD177" t="s">
        <v>2997</v>
      </c>
      <c r="DE177" t="s">
        <v>346</v>
      </c>
      <c r="DF177" t="s">
        <v>347</v>
      </c>
      <c r="DG177" t="s">
        <v>2998</v>
      </c>
      <c r="DH177" t="s">
        <v>305</v>
      </c>
      <c r="DI177" t="s">
        <v>183</v>
      </c>
      <c r="DJ177" t="s">
        <v>211</v>
      </c>
      <c r="DK177" t="s">
        <v>290</v>
      </c>
      <c r="DM177" t="s">
        <v>2999</v>
      </c>
      <c r="DW177" t="s">
        <v>198</v>
      </c>
      <c r="EG177" t="s">
        <v>198</v>
      </c>
      <c r="EQ177" t="s">
        <v>198</v>
      </c>
      <c r="FA177" t="s">
        <v>198</v>
      </c>
      <c r="FK177" t="s">
        <v>198</v>
      </c>
      <c r="FU177" t="s">
        <v>198</v>
      </c>
    </row>
    <row r="178" spans="1:177">
      <c r="A178" s="1" t="str">
        <f>HYPERLINK("http://digipan.lumentumllc.com/apps/getLink/index.php?t=PropLink&amp;p=6594180","PL")</f>
        <v>PL</v>
      </c>
      <c r="B178" s="1" t="str">
        <f>HYPERLINK("http://digipan.lumentumllc.com/apps/getLink/index.php?t=TaxLink&amp;p=6594180","TL")</f>
        <v>TL</v>
      </c>
      <c r="C178" s="1" t="str">
        <f>HYPERLINK("http://digipan.lumentumllc.com/apps/getMap/index.php?p=6594180","Map")</f>
        <v>Map</v>
      </c>
      <c r="E178" t="s">
        <v>177</v>
      </c>
      <c r="F178" t="s">
        <v>178</v>
      </c>
      <c r="L178" t="s">
        <v>3000</v>
      </c>
      <c r="N178" t="s">
        <v>3000</v>
      </c>
      <c r="O178" t="s">
        <v>3000</v>
      </c>
      <c r="P178" t="s">
        <v>3001</v>
      </c>
      <c r="Q178" t="s">
        <v>3000</v>
      </c>
      <c r="V178">
        <v>208</v>
      </c>
      <c r="W178">
        <v>1</v>
      </c>
      <c r="X178">
        <v>2017</v>
      </c>
      <c r="Y178">
        <v>2018</v>
      </c>
      <c r="Z178">
        <v>482.62</v>
      </c>
      <c r="AG178" t="s">
        <v>184</v>
      </c>
      <c r="AH178">
        <v>0</v>
      </c>
      <c r="AK178">
        <v>0</v>
      </c>
      <c r="AL178">
        <v>71753</v>
      </c>
      <c r="AM178">
        <v>37560</v>
      </c>
      <c r="AN178">
        <v>34193</v>
      </c>
      <c r="AO178">
        <v>415</v>
      </c>
      <c r="AP178">
        <v>2016</v>
      </c>
      <c r="AQ178">
        <v>0.67</v>
      </c>
      <c r="AS178" t="s">
        <v>3002</v>
      </c>
      <c r="AT178" t="s">
        <v>186</v>
      </c>
      <c r="AU178" t="s">
        <v>177</v>
      </c>
      <c r="AV178" t="s">
        <v>187</v>
      </c>
      <c r="AW178" t="s">
        <v>202</v>
      </c>
      <c r="AX178">
        <v>2</v>
      </c>
      <c r="AY178" t="s">
        <v>188</v>
      </c>
      <c r="AZ178" t="s">
        <v>189</v>
      </c>
      <c r="BA178" t="s">
        <v>190</v>
      </c>
      <c r="BB178" t="s">
        <v>191</v>
      </c>
      <c r="BC178" t="s">
        <v>182</v>
      </c>
      <c r="BD178" t="s">
        <v>182</v>
      </c>
      <c r="BE178" t="s">
        <v>3003</v>
      </c>
      <c r="BF178">
        <v>1</v>
      </c>
      <c r="BG178">
        <v>1</v>
      </c>
      <c r="BH178">
        <v>1993</v>
      </c>
      <c r="BI178" t="s">
        <v>3004</v>
      </c>
      <c r="BJ178" t="s">
        <v>194</v>
      </c>
      <c r="BK178" t="s">
        <v>195</v>
      </c>
      <c r="BL178" t="s">
        <v>3005</v>
      </c>
      <c r="BM178" t="s">
        <v>368</v>
      </c>
      <c r="BN178" t="s">
        <v>182</v>
      </c>
      <c r="BO178" t="s">
        <v>198</v>
      </c>
      <c r="BP178" t="s">
        <v>198</v>
      </c>
      <c r="BQ178" t="s">
        <v>198</v>
      </c>
      <c r="BR178" t="s">
        <v>198</v>
      </c>
      <c r="BS178" t="s">
        <v>198</v>
      </c>
      <c r="BT178" t="s">
        <v>198</v>
      </c>
      <c r="BU178" t="s">
        <v>182</v>
      </c>
      <c r="BV178" t="s">
        <v>198</v>
      </c>
      <c r="BW178" t="s">
        <v>198</v>
      </c>
      <c r="BX178" t="s">
        <v>199</v>
      </c>
      <c r="BY178" t="s">
        <v>198</v>
      </c>
      <c r="BZ178" t="s">
        <v>199</v>
      </c>
      <c r="CA178" t="s">
        <v>199</v>
      </c>
      <c r="CB178" t="s">
        <v>3006</v>
      </c>
      <c r="CC178" t="s">
        <v>201</v>
      </c>
      <c r="CD178" t="s">
        <v>182</v>
      </c>
      <c r="CE178" t="s">
        <v>3007</v>
      </c>
      <c r="CF178" t="s">
        <v>204</v>
      </c>
      <c r="CG178" t="s">
        <v>177</v>
      </c>
      <c r="CH178" t="s">
        <v>187</v>
      </c>
      <c r="CI178" t="s">
        <v>805</v>
      </c>
      <c r="CS178" t="s">
        <v>198</v>
      </c>
      <c r="DC178" t="s">
        <v>198</v>
      </c>
      <c r="DM178" t="s">
        <v>198</v>
      </c>
      <c r="DW178" t="s">
        <v>198</v>
      </c>
      <c r="EG178" t="s">
        <v>198</v>
      </c>
      <c r="EQ178" t="s">
        <v>198</v>
      </c>
      <c r="FA178" t="s">
        <v>198</v>
      </c>
      <c r="FK178" t="s">
        <v>198</v>
      </c>
      <c r="FU178" t="s">
        <v>198</v>
      </c>
    </row>
    <row r="179" spans="1:177">
      <c r="A179" s="1" t="str">
        <f>HYPERLINK("http://digipan.lumentumllc.com/apps/getLink/index.php?t=PropLink&amp;p=5246071","PL")</f>
        <v>PL</v>
      </c>
      <c r="B179" s="1" t="str">
        <f>HYPERLINK("http://digipan.lumentumllc.com/apps/getLink/index.php?t=TaxLink&amp;p=5246071","TL")</f>
        <v>TL</v>
      </c>
      <c r="C179" s="1" t="str">
        <f>HYPERLINK("http://digipan.lumentumllc.com/apps/getMap/index.php?p=5246071","Map")</f>
        <v>Map</v>
      </c>
      <c r="E179" t="s">
        <v>177</v>
      </c>
      <c r="F179" t="s">
        <v>178</v>
      </c>
      <c r="L179" t="s">
        <v>3008</v>
      </c>
      <c r="N179" t="s">
        <v>3008</v>
      </c>
      <c r="O179" t="s">
        <v>3008</v>
      </c>
      <c r="P179" t="s">
        <v>3009</v>
      </c>
      <c r="Q179" t="s">
        <v>3008</v>
      </c>
      <c r="V179">
        <v>209</v>
      </c>
      <c r="W179">
        <v>1</v>
      </c>
      <c r="X179">
        <v>2017</v>
      </c>
      <c r="Y179">
        <v>2018</v>
      </c>
      <c r="Z179">
        <v>300.95999999999998</v>
      </c>
      <c r="AB179" t="s">
        <v>181</v>
      </c>
      <c r="AC179" t="s">
        <v>182</v>
      </c>
      <c r="AD179" t="s">
        <v>183</v>
      </c>
      <c r="AE179">
        <v>1</v>
      </c>
      <c r="AF179">
        <v>6</v>
      </c>
      <c r="AG179" t="s">
        <v>418</v>
      </c>
      <c r="AH179">
        <v>86</v>
      </c>
      <c r="AI179">
        <v>288.25</v>
      </c>
      <c r="AJ179">
        <v>14.41</v>
      </c>
      <c r="AK179">
        <v>302.66000000000003</v>
      </c>
      <c r="AL179">
        <v>62338</v>
      </c>
      <c r="AM179">
        <v>15000</v>
      </c>
      <c r="AN179">
        <v>47338</v>
      </c>
      <c r="AO179">
        <v>242</v>
      </c>
      <c r="AP179">
        <v>2016</v>
      </c>
      <c r="AQ179">
        <v>0.48</v>
      </c>
      <c r="AR179">
        <v>0.49</v>
      </c>
      <c r="AS179" t="s">
        <v>3010</v>
      </c>
      <c r="AT179" t="s">
        <v>186</v>
      </c>
      <c r="AU179" t="s">
        <v>177</v>
      </c>
      <c r="AV179" t="s">
        <v>187</v>
      </c>
      <c r="AW179" t="s">
        <v>202</v>
      </c>
      <c r="AX179">
        <v>1</v>
      </c>
      <c r="AY179" t="s">
        <v>188</v>
      </c>
      <c r="AZ179" t="s">
        <v>206</v>
      </c>
      <c r="BA179" t="s">
        <v>355</v>
      </c>
      <c r="BB179" t="s">
        <v>191</v>
      </c>
      <c r="BC179" t="s">
        <v>182</v>
      </c>
      <c r="BD179" t="s">
        <v>182</v>
      </c>
      <c r="BE179" t="s">
        <v>383</v>
      </c>
      <c r="BF179">
        <v>2</v>
      </c>
      <c r="BG179">
        <v>2</v>
      </c>
      <c r="BH179">
        <v>1962</v>
      </c>
      <c r="BI179" t="s">
        <v>3011</v>
      </c>
      <c r="BJ179" t="s">
        <v>194</v>
      </c>
      <c r="BK179" t="s">
        <v>840</v>
      </c>
      <c r="BL179" t="s">
        <v>1720</v>
      </c>
      <c r="BM179" t="s">
        <v>286</v>
      </c>
      <c r="BN179" t="s">
        <v>182</v>
      </c>
      <c r="BO179" t="s">
        <v>3012</v>
      </c>
      <c r="BP179" t="s">
        <v>3013</v>
      </c>
      <c r="BQ179" t="s">
        <v>800</v>
      </c>
      <c r="BR179" t="s">
        <v>643</v>
      </c>
      <c r="BS179" t="s">
        <v>198</v>
      </c>
      <c r="BT179" t="s">
        <v>3014</v>
      </c>
      <c r="BU179" t="s">
        <v>182</v>
      </c>
      <c r="BV179" t="s">
        <v>198</v>
      </c>
      <c r="BW179" t="s">
        <v>198</v>
      </c>
      <c r="BX179" t="s">
        <v>199</v>
      </c>
      <c r="BY179" t="s">
        <v>198</v>
      </c>
      <c r="BZ179" t="s">
        <v>199</v>
      </c>
      <c r="CA179" t="s">
        <v>199</v>
      </c>
      <c r="CB179" t="s">
        <v>3015</v>
      </c>
      <c r="CC179" t="s">
        <v>201</v>
      </c>
      <c r="CD179" t="s">
        <v>202</v>
      </c>
      <c r="CE179" t="s">
        <v>3016</v>
      </c>
      <c r="CF179" t="s">
        <v>204</v>
      </c>
      <c r="CG179" t="s">
        <v>177</v>
      </c>
      <c r="CH179" t="s">
        <v>187</v>
      </c>
      <c r="CI179" t="s">
        <v>3017</v>
      </c>
      <c r="CJ179" t="s">
        <v>3018</v>
      </c>
      <c r="CK179" t="s">
        <v>232</v>
      </c>
      <c r="CL179" t="s">
        <v>233</v>
      </c>
      <c r="CM179" t="s">
        <v>3019</v>
      </c>
      <c r="CN179" t="s">
        <v>235</v>
      </c>
      <c r="CO179" t="s">
        <v>183</v>
      </c>
      <c r="CP179" t="s">
        <v>266</v>
      </c>
      <c r="CS179" t="s">
        <v>198</v>
      </c>
      <c r="CT179" t="s">
        <v>2666</v>
      </c>
      <c r="CU179" t="s">
        <v>292</v>
      </c>
      <c r="CV179" t="s">
        <v>293</v>
      </c>
      <c r="CW179" t="s">
        <v>3020</v>
      </c>
      <c r="CX179" t="s">
        <v>235</v>
      </c>
      <c r="CY179" t="s">
        <v>183</v>
      </c>
      <c r="CZ179" t="s">
        <v>211</v>
      </c>
      <c r="DA179" t="s">
        <v>270</v>
      </c>
      <c r="DC179" t="s">
        <v>3021</v>
      </c>
      <c r="DD179" t="s">
        <v>1265</v>
      </c>
      <c r="DE179" t="s">
        <v>267</v>
      </c>
      <c r="DF179" t="s">
        <v>268</v>
      </c>
      <c r="DG179" t="s">
        <v>3022</v>
      </c>
      <c r="DH179" t="s">
        <v>235</v>
      </c>
      <c r="DI179" t="s">
        <v>183</v>
      </c>
      <c r="DJ179" t="s">
        <v>211</v>
      </c>
      <c r="DK179" t="s">
        <v>298</v>
      </c>
      <c r="DM179" t="s">
        <v>868</v>
      </c>
      <c r="DN179" t="s">
        <v>2875</v>
      </c>
      <c r="DO179" t="s">
        <v>273</v>
      </c>
      <c r="DP179" t="s">
        <v>274</v>
      </c>
      <c r="DQ179" t="s">
        <v>3023</v>
      </c>
      <c r="DR179" t="s">
        <v>235</v>
      </c>
      <c r="DS179" t="s">
        <v>183</v>
      </c>
      <c r="DT179" t="s">
        <v>211</v>
      </c>
      <c r="DU179" t="s">
        <v>329</v>
      </c>
      <c r="DW179" t="s">
        <v>3024</v>
      </c>
      <c r="DX179" t="s">
        <v>3025</v>
      </c>
      <c r="DY179" t="s">
        <v>302</v>
      </c>
      <c r="DZ179" t="s">
        <v>303</v>
      </c>
      <c r="EA179" t="s">
        <v>3026</v>
      </c>
      <c r="EB179" t="s">
        <v>235</v>
      </c>
      <c r="EC179" t="s">
        <v>183</v>
      </c>
      <c r="ED179" t="s">
        <v>211</v>
      </c>
      <c r="EE179" t="s">
        <v>264</v>
      </c>
      <c r="EG179" t="s">
        <v>3027</v>
      </c>
      <c r="EH179" t="s">
        <v>3028</v>
      </c>
      <c r="EI179" t="s">
        <v>238</v>
      </c>
      <c r="EJ179" t="s">
        <v>239</v>
      </c>
      <c r="EK179" t="s">
        <v>3029</v>
      </c>
      <c r="EL179" t="s">
        <v>482</v>
      </c>
      <c r="EM179" t="s">
        <v>183</v>
      </c>
      <c r="EN179" t="s">
        <v>211</v>
      </c>
      <c r="EO179" t="s">
        <v>329</v>
      </c>
      <c r="EQ179" t="s">
        <v>443</v>
      </c>
      <c r="ER179" t="s">
        <v>3030</v>
      </c>
      <c r="ES179" t="s">
        <v>346</v>
      </c>
      <c r="ET179" t="s">
        <v>347</v>
      </c>
      <c r="EU179" t="s">
        <v>3031</v>
      </c>
      <c r="EV179" t="s">
        <v>838</v>
      </c>
      <c r="EW179" t="s">
        <v>183</v>
      </c>
      <c r="EX179" t="s">
        <v>211</v>
      </c>
      <c r="EY179" t="s">
        <v>296</v>
      </c>
      <c r="FA179" t="s">
        <v>3032</v>
      </c>
      <c r="FK179" t="s">
        <v>198</v>
      </c>
      <c r="FU179" t="s">
        <v>198</v>
      </c>
    </row>
    <row r="180" spans="1:177">
      <c r="A180" s="1" t="str">
        <f>HYPERLINK("http://digipan.lumentumllc.com/apps/getLink/index.php?t=PropLink&amp;p=15746238","PL")</f>
        <v>PL</v>
      </c>
      <c r="B180" s="1" t="str">
        <f>HYPERLINK("http://digipan.lumentumllc.com/apps/getLink/index.php?t=TaxLink&amp;p=15746238","TL")</f>
        <v>TL</v>
      </c>
      <c r="C180" s="1" t="str">
        <f>HYPERLINK("http://digipan.lumentumllc.com/apps/getMap/index.php?p=15746238","Map")</f>
        <v>Map</v>
      </c>
      <c r="E180" t="s">
        <v>177</v>
      </c>
      <c r="F180" t="s">
        <v>178</v>
      </c>
      <c r="L180" t="s">
        <v>3033</v>
      </c>
      <c r="N180" t="s">
        <v>3033</v>
      </c>
      <c r="O180" t="s">
        <v>3033</v>
      </c>
      <c r="Q180" t="s">
        <v>3033</v>
      </c>
      <c r="V180">
        <v>210</v>
      </c>
      <c r="W180">
        <v>1</v>
      </c>
      <c r="X180">
        <v>2017</v>
      </c>
      <c r="Y180">
        <v>2018</v>
      </c>
      <c r="Z180">
        <v>1835.99</v>
      </c>
      <c r="AG180" t="s">
        <v>184</v>
      </c>
      <c r="AH180">
        <v>0</v>
      </c>
      <c r="AK180">
        <v>0</v>
      </c>
      <c r="AL180">
        <v>110184</v>
      </c>
      <c r="AM180">
        <v>15000</v>
      </c>
      <c r="AN180">
        <v>95184</v>
      </c>
      <c r="AO180">
        <v>1650</v>
      </c>
      <c r="AP180">
        <v>2016</v>
      </c>
      <c r="AQ180">
        <v>1.67</v>
      </c>
      <c r="AS180" t="s">
        <v>3034</v>
      </c>
      <c r="AT180" t="s">
        <v>186</v>
      </c>
      <c r="AU180" t="s">
        <v>177</v>
      </c>
      <c r="AV180" t="s">
        <v>187</v>
      </c>
      <c r="AW180" t="s">
        <v>182</v>
      </c>
      <c r="AX180">
        <v>1</v>
      </c>
      <c r="AY180" t="s">
        <v>188</v>
      </c>
      <c r="AZ180" t="s">
        <v>206</v>
      </c>
      <c r="BA180" t="s">
        <v>355</v>
      </c>
      <c r="BB180" t="s">
        <v>191</v>
      </c>
      <c r="BC180" t="s">
        <v>182</v>
      </c>
      <c r="BD180" t="s">
        <v>182</v>
      </c>
      <c r="BE180" t="s">
        <v>383</v>
      </c>
      <c r="BF180">
        <v>1</v>
      </c>
      <c r="BG180">
        <v>1</v>
      </c>
      <c r="BH180">
        <v>1973</v>
      </c>
      <c r="BI180" t="s">
        <v>3035</v>
      </c>
      <c r="BJ180" t="s">
        <v>194</v>
      </c>
      <c r="BK180" t="s">
        <v>195</v>
      </c>
      <c r="BL180" t="s">
        <v>199</v>
      </c>
      <c r="BM180" t="s">
        <v>1041</v>
      </c>
      <c r="BN180" t="s">
        <v>182</v>
      </c>
      <c r="BO180" t="s">
        <v>198</v>
      </c>
      <c r="BP180" t="s">
        <v>198</v>
      </c>
      <c r="BQ180" t="s">
        <v>198</v>
      </c>
      <c r="BR180" t="s">
        <v>198</v>
      </c>
      <c r="BS180" t="s">
        <v>198</v>
      </c>
      <c r="BT180" t="s">
        <v>198</v>
      </c>
      <c r="BU180" t="s">
        <v>182</v>
      </c>
      <c r="BV180" t="s">
        <v>198</v>
      </c>
      <c r="BW180" t="s">
        <v>198</v>
      </c>
      <c r="BX180" t="s">
        <v>199</v>
      </c>
      <c r="BY180" t="s">
        <v>198</v>
      </c>
      <c r="BZ180" t="s">
        <v>199</v>
      </c>
      <c r="CA180" t="s">
        <v>199</v>
      </c>
      <c r="CB180" t="s">
        <v>3036</v>
      </c>
      <c r="CC180" t="s">
        <v>201</v>
      </c>
      <c r="CD180" t="s">
        <v>202</v>
      </c>
      <c r="CE180" t="s">
        <v>3037</v>
      </c>
      <c r="CF180" t="s">
        <v>204</v>
      </c>
      <c r="CG180" t="s">
        <v>177</v>
      </c>
      <c r="CH180" t="s">
        <v>187</v>
      </c>
      <c r="CI180" t="s">
        <v>3038</v>
      </c>
      <c r="CS180" t="s">
        <v>198</v>
      </c>
      <c r="DC180" t="s">
        <v>198</v>
      </c>
      <c r="DM180" t="s">
        <v>198</v>
      </c>
      <c r="DW180" t="s">
        <v>198</v>
      </c>
      <c r="EG180" t="s">
        <v>198</v>
      </c>
      <c r="EQ180" t="s">
        <v>198</v>
      </c>
      <c r="FA180" t="s">
        <v>198</v>
      </c>
      <c r="FK180" t="s">
        <v>198</v>
      </c>
      <c r="FU180" t="s">
        <v>198</v>
      </c>
    </row>
    <row r="181" spans="1:177">
      <c r="A181" s="1" t="str">
        <f>HYPERLINK("http://digipan.lumentumllc.com/apps/getLink/index.php?t=PropLink&amp;p=5246076","PL")</f>
        <v>PL</v>
      </c>
      <c r="B181" s="1" t="str">
        <f>HYPERLINK("http://digipan.lumentumllc.com/apps/getLink/index.php?t=TaxLink&amp;p=5246076","TL")</f>
        <v>TL</v>
      </c>
      <c r="C181" s="1" t="str">
        <f>HYPERLINK("http://digipan.lumentumllc.com/apps/getMap/index.php?p=5246076","Map")</f>
        <v>Map</v>
      </c>
      <c r="E181" t="s">
        <v>177</v>
      </c>
      <c r="F181" t="s">
        <v>178</v>
      </c>
      <c r="L181" t="s">
        <v>3039</v>
      </c>
      <c r="N181" t="s">
        <v>3039</v>
      </c>
      <c r="O181" t="s">
        <v>3039</v>
      </c>
      <c r="P181" t="s">
        <v>3040</v>
      </c>
      <c r="Q181" t="s">
        <v>3039</v>
      </c>
      <c r="V181">
        <v>212</v>
      </c>
      <c r="W181">
        <v>1</v>
      </c>
      <c r="X181">
        <v>2017</v>
      </c>
      <c r="Y181">
        <v>2018</v>
      </c>
      <c r="Z181">
        <v>1083.43</v>
      </c>
      <c r="AB181" t="s">
        <v>181</v>
      </c>
      <c r="AC181" t="s">
        <v>202</v>
      </c>
      <c r="AD181" t="s">
        <v>183</v>
      </c>
      <c r="AE181">
        <v>0</v>
      </c>
      <c r="AF181">
        <v>8</v>
      </c>
      <c r="AG181" t="s">
        <v>1059</v>
      </c>
      <c r="AH181">
        <v>100</v>
      </c>
      <c r="AK181">
        <v>0</v>
      </c>
      <c r="AL181">
        <v>103322</v>
      </c>
      <c r="AM181">
        <v>28160</v>
      </c>
      <c r="AN181">
        <v>75162</v>
      </c>
      <c r="AO181">
        <v>997</v>
      </c>
      <c r="AP181">
        <v>2016</v>
      </c>
      <c r="AQ181">
        <v>1.05</v>
      </c>
      <c r="AS181" t="s">
        <v>3041</v>
      </c>
      <c r="AT181" t="s">
        <v>186</v>
      </c>
      <c r="AU181" t="s">
        <v>177</v>
      </c>
      <c r="AV181" t="s">
        <v>187</v>
      </c>
      <c r="AW181" t="s">
        <v>202</v>
      </c>
      <c r="AX181">
        <v>1</v>
      </c>
      <c r="AY181" t="s">
        <v>188</v>
      </c>
      <c r="AZ181" t="s">
        <v>206</v>
      </c>
      <c r="BA181" t="s">
        <v>355</v>
      </c>
      <c r="BB181" t="s">
        <v>191</v>
      </c>
      <c r="BC181" t="s">
        <v>182</v>
      </c>
      <c r="BD181" t="s">
        <v>530</v>
      </c>
      <c r="BE181" t="s">
        <v>3042</v>
      </c>
      <c r="BF181">
        <v>1</v>
      </c>
      <c r="BG181">
        <v>1</v>
      </c>
      <c r="BH181">
        <v>1996</v>
      </c>
      <c r="BI181" t="s">
        <v>3043</v>
      </c>
      <c r="BJ181" t="s">
        <v>194</v>
      </c>
      <c r="BK181" t="s">
        <v>840</v>
      </c>
      <c r="BL181" t="s">
        <v>199</v>
      </c>
      <c r="BM181" t="s">
        <v>267</v>
      </c>
      <c r="BN181" t="s">
        <v>182</v>
      </c>
      <c r="BO181" t="s">
        <v>3044</v>
      </c>
      <c r="BP181" t="s">
        <v>3045</v>
      </c>
      <c r="BS181" t="s">
        <v>3046</v>
      </c>
      <c r="BT181" t="s">
        <v>198</v>
      </c>
      <c r="BU181" t="s">
        <v>182</v>
      </c>
      <c r="BV181" t="s">
        <v>198</v>
      </c>
      <c r="BW181" t="s">
        <v>198</v>
      </c>
      <c r="BX181" t="s">
        <v>199</v>
      </c>
      <c r="BY181" t="s">
        <v>198</v>
      </c>
      <c r="BZ181" t="s">
        <v>199</v>
      </c>
      <c r="CA181" t="s">
        <v>199</v>
      </c>
      <c r="CB181" t="s">
        <v>3047</v>
      </c>
      <c r="CC181" t="s">
        <v>201</v>
      </c>
      <c r="CD181" t="s">
        <v>182</v>
      </c>
      <c r="CE181" t="s">
        <v>3048</v>
      </c>
      <c r="CF181" t="s">
        <v>204</v>
      </c>
      <c r="CG181" t="s">
        <v>177</v>
      </c>
      <c r="CH181" t="s">
        <v>187</v>
      </c>
      <c r="CI181" t="s">
        <v>3049</v>
      </c>
      <c r="CJ181" t="s">
        <v>1588</v>
      </c>
      <c r="CK181" t="s">
        <v>232</v>
      </c>
      <c r="CL181" t="s">
        <v>233</v>
      </c>
      <c r="CM181" t="s">
        <v>3050</v>
      </c>
      <c r="CN181" t="s">
        <v>235</v>
      </c>
      <c r="CO181" t="s">
        <v>183</v>
      </c>
      <c r="CP181" t="s">
        <v>211</v>
      </c>
      <c r="CQ181" t="s">
        <v>206</v>
      </c>
      <c r="CR181" t="s">
        <v>271</v>
      </c>
      <c r="CS181" t="s">
        <v>3051</v>
      </c>
      <c r="CT181" t="s">
        <v>2948</v>
      </c>
      <c r="CU181" t="s">
        <v>292</v>
      </c>
      <c r="CV181" t="s">
        <v>293</v>
      </c>
      <c r="CW181" t="s">
        <v>3052</v>
      </c>
      <c r="CX181" t="s">
        <v>235</v>
      </c>
      <c r="CY181" t="s">
        <v>183</v>
      </c>
      <c r="CZ181" t="s">
        <v>211</v>
      </c>
      <c r="DA181" t="s">
        <v>306</v>
      </c>
      <c r="DB181" t="s">
        <v>271</v>
      </c>
      <c r="DC181" t="s">
        <v>3051</v>
      </c>
      <c r="DD181" t="s">
        <v>1379</v>
      </c>
      <c r="DE181" t="s">
        <v>267</v>
      </c>
      <c r="DF181" t="s">
        <v>268</v>
      </c>
      <c r="DG181" t="s">
        <v>3053</v>
      </c>
      <c r="DH181" t="s">
        <v>235</v>
      </c>
      <c r="DI181" t="s">
        <v>183</v>
      </c>
      <c r="DJ181" t="s">
        <v>211</v>
      </c>
      <c r="DL181" t="s">
        <v>271</v>
      </c>
      <c r="DM181" t="s">
        <v>198</v>
      </c>
      <c r="DN181" t="s">
        <v>1549</v>
      </c>
      <c r="DO181" t="s">
        <v>273</v>
      </c>
      <c r="DP181" t="s">
        <v>274</v>
      </c>
      <c r="DQ181" t="s">
        <v>3054</v>
      </c>
      <c r="DR181" t="s">
        <v>235</v>
      </c>
      <c r="DS181" t="s">
        <v>183</v>
      </c>
      <c r="DT181" t="s">
        <v>211</v>
      </c>
      <c r="DU181" t="s">
        <v>635</v>
      </c>
      <c r="DW181" t="s">
        <v>3055</v>
      </c>
      <c r="DX181" t="s">
        <v>2875</v>
      </c>
      <c r="DY181" t="s">
        <v>302</v>
      </c>
      <c r="DZ181" t="s">
        <v>303</v>
      </c>
      <c r="EA181" t="s">
        <v>3056</v>
      </c>
      <c r="EB181" t="s">
        <v>235</v>
      </c>
      <c r="EC181" t="s">
        <v>183</v>
      </c>
      <c r="ED181" t="s">
        <v>211</v>
      </c>
      <c r="EE181" t="s">
        <v>345</v>
      </c>
      <c r="EG181" t="s">
        <v>2490</v>
      </c>
      <c r="EH181" t="s">
        <v>3057</v>
      </c>
      <c r="EI181" t="s">
        <v>238</v>
      </c>
      <c r="EJ181" t="s">
        <v>239</v>
      </c>
      <c r="EK181" t="s">
        <v>3058</v>
      </c>
      <c r="EL181" t="s">
        <v>235</v>
      </c>
      <c r="EM181" t="s">
        <v>183</v>
      </c>
      <c r="EN181" t="s">
        <v>211</v>
      </c>
      <c r="EO181" t="s">
        <v>298</v>
      </c>
      <c r="EQ181" t="s">
        <v>3059</v>
      </c>
      <c r="ER181" t="s">
        <v>3060</v>
      </c>
      <c r="ES181" t="s">
        <v>346</v>
      </c>
      <c r="ET181" t="s">
        <v>347</v>
      </c>
      <c r="EU181" t="s">
        <v>3061</v>
      </c>
      <c r="EV181" t="s">
        <v>235</v>
      </c>
      <c r="EW181" t="s">
        <v>183</v>
      </c>
      <c r="EX181" t="s">
        <v>211</v>
      </c>
      <c r="EY181" t="s">
        <v>345</v>
      </c>
      <c r="FA181" t="s">
        <v>3062</v>
      </c>
      <c r="FB181" t="s">
        <v>3063</v>
      </c>
      <c r="FC181" t="s">
        <v>207</v>
      </c>
      <c r="FD181" t="s">
        <v>208</v>
      </c>
      <c r="FE181" t="s">
        <v>3064</v>
      </c>
      <c r="FF181" t="s">
        <v>235</v>
      </c>
      <c r="FG181" t="s">
        <v>183</v>
      </c>
      <c r="FH181" t="s">
        <v>211</v>
      </c>
      <c r="FI181" t="s">
        <v>345</v>
      </c>
      <c r="FK181" t="s">
        <v>3065</v>
      </c>
      <c r="FU181" t="s">
        <v>198</v>
      </c>
    </row>
    <row r="182" spans="1:177">
      <c r="A182" s="1" t="str">
        <f>HYPERLINK("http://digipan.lumentumllc.com/apps/getLink/index.php?t=PropLink&amp;p=15748601","PL")</f>
        <v>PL</v>
      </c>
      <c r="B182" s="1" t="str">
        <f>HYPERLINK("http://digipan.lumentumllc.com/apps/getLink/index.php?t=TaxLink&amp;p=15748601","TL")</f>
        <v>TL</v>
      </c>
      <c r="C182" s="1" t="str">
        <f>HYPERLINK("http://digipan.lumentumllc.com/apps/getMap/index.php?p=15748601","Map")</f>
        <v>Map</v>
      </c>
      <c r="E182" t="s">
        <v>177</v>
      </c>
      <c r="F182" t="s">
        <v>178</v>
      </c>
      <c r="L182" t="s">
        <v>3066</v>
      </c>
      <c r="N182" t="s">
        <v>3066</v>
      </c>
      <c r="O182" t="s">
        <v>3066</v>
      </c>
      <c r="Q182" t="s">
        <v>3066</v>
      </c>
      <c r="V182">
        <v>213</v>
      </c>
      <c r="W182">
        <v>1</v>
      </c>
      <c r="X182">
        <v>2017</v>
      </c>
      <c r="Y182">
        <v>2018</v>
      </c>
      <c r="Z182">
        <v>76.53</v>
      </c>
      <c r="AG182" t="s">
        <v>184</v>
      </c>
      <c r="AH182">
        <v>0</v>
      </c>
      <c r="AK182">
        <v>0</v>
      </c>
      <c r="AL182">
        <v>60000</v>
      </c>
      <c r="AM182">
        <v>2720</v>
      </c>
      <c r="AN182">
        <v>57280</v>
      </c>
      <c r="AO182">
        <v>38</v>
      </c>
      <c r="AP182">
        <v>2016</v>
      </c>
      <c r="AQ182">
        <v>0.13</v>
      </c>
      <c r="AS182" t="s">
        <v>3067</v>
      </c>
      <c r="AT182" t="s">
        <v>186</v>
      </c>
      <c r="AU182" t="s">
        <v>177</v>
      </c>
      <c r="AV182" t="s">
        <v>187</v>
      </c>
      <c r="AW182" t="s">
        <v>182</v>
      </c>
      <c r="AX182">
        <v>56</v>
      </c>
      <c r="AY182" t="s">
        <v>218</v>
      </c>
      <c r="AZ182" t="s">
        <v>219</v>
      </c>
      <c r="BA182" t="s">
        <v>220</v>
      </c>
      <c r="BB182" t="s">
        <v>191</v>
      </c>
      <c r="BC182" t="s">
        <v>182</v>
      </c>
      <c r="BD182" t="s">
        <v>182</v>
      </c>
      <c r="BE182" t="s">
        <v>576</v>
      </c>
      <c r="BF182">
        <v>0</v>
      </c>
      <c r="BG182">
        <v>0</v>
      </c>
      <c r="BH182">
        <v>0</v>
      </c>
      <c r="BI182" t="s">
        <v>199</v>
      </c>
      <c r="BJ182" t="s">
        <v>248</v>
      </c>
      <c r="BL182" t="s">
        <v>3068</v>
      </c>
      <c r="BM182" t="s">
        <v>1311</v>
      </c>
      <c r="BN182" t="s">
        <v>182</v>
      </c>
      <c r="BO182" t="s">
        <v>198</v>
      </c>
      <c r="BP182" t="s">
        <v>198</v>
      </c>
      <c r="BQ182" t="s">
        <v>198</v>
      </c>
      <c r="BR182" t="s">
        <v>198</v>
      </c>
      <c r="BS182" t="s">
        <v>198</v>
      </c>
      <c r="BT182" t="s">
        <v>198</v>
      </c>
      <c r="BU182" t="s">
        <v>182</v>
      </c>
      <c r="BV182" t="s">
        <v>198</v>
      </c>
      <c r="BW182" t="s">
        <v>198</v>
      </c>
      <c r="BX182" t="s">
        <v>199</v>
      </c>
      <c r="BY182" t="s">
        <v>198</v>
      </c>
      <c r="BZ182" t="s">
        <v>199</v>
      </c>
      <c r="CA182" t="s">
        <v>199</v>
      </c>
      <c r="CB182" t="s">
        <v>3069</v>
      </c>
      <c r="CC182" t="s">
        <v>201</v>
      </c>
      <c r="CD182" t="s">
        <v>182</v>
      </c>
      <c r="CE182" t="s">
        <v>3070</v>
      </c>
      <c r="CF182" t="s">
        <v>204</v>
      </c>
      <c r="CG182" t="s">
        <v>177</v>
      </c>
      <c r="CH182" t="s">
        <v>187</v>
      </c>
      <c r="CI182" t="s">
        <v>3071</v>
      </c>
      <c r="CS182" t="s">
        <v>198</v>
      </c>
      <c r="DC182" t="s">
        <v>198</v>
      </c>
      <c r="DM182" t="s">
        <v>198</v>
      </c>
      <c r="DW182" t="s">
        <v>198</v>
      </c>
      <c r="EG182" t="s">
        <v>198</v>
      </c>
      <c r="EQ182" t="s">
        <v>198</v>
      </c>
      <c r="FA182" t="s">
        <v>198</v>
      </c>
      <c r="FK182" t="s">
        <v>198</v>
      </c>
      <c r="FU182" t="s">
        <v>198</v>
      </c>
    </row>
    <row r="183" spans="1:177">
      <c r="A183" s="1" t="str">
        <f>HYPERLINK("http://digipan.lumentumllc.com/apps/getLink/index.php?t=PropLink&amp;p=5246386","PL")</f>
        <v>PL</v>
      </c>
      <c r="B183" s="1" t="str">
        <f>HYPERLINK("http://digipan.lumentumllc.com/apps/getLink/index.php?t=TaxLink&amp;p=5246386","TL")</f>
        <v>TL</v>
      </c>
      <c r="C183" s="1" t="str">
        <f>HYPERLINK("http://digipan.lumentumllc.com/apps/getMap/index.php?p=5246386","Map")</f>
        <v>Map</v>
      </c>
      <c r="E183" t="s">
        <v>177</v>
      </c>
      <c r="F183" t="s">
        <v>178</v>
      </c>
      <c r="L183" t="s">
        <v>3072</v>
      </c>
      <c r="N183" t="s">
        <v>3072</v>
      </c>
      <c r="O183" t="s">
        <v>3072</v>
      </c>
      <c r="P183" t="s">
        <v>3073</v>
      </c>
      <c r="Q183" t="s">
        <v>3072</v>
      </c>
      <c r="V183">
        <v>214</v>
      </c>
      <c r="W183">
        <v>1</v>
      </c>
      <c r="X183">
        <v>2017</v>
      </c>
      <c r="Y183">
        <v>2018</v>
      </c>
      <c r="Z183">
        <v>260.95999999999998</v>
      </c>
      <c r="AB183" t="s">
        <v>181</v>
      </c>
      <c r="AC183" t="s">
        <v>182</v>
      </c>
      <c r="AD183" t="s">
        <v>183</v>
      </c>
      <c r="AE183">
        <v>1</v>
      </c>
      <c r="AF183">
        <v>3</v>
      </c>
      <c r="AG183" t="s">
        <v>363</v>
      </c>
      <c r="AH183">
        <v>67</v>
      </c>
      <c r="AI183">
        <v>226.22</v>
      </c>
      <c r="AJ183">
        <v>12.44</v>
      </c>
      <c r="AK183">
        <v>238.66</v>
      </c>
      <c r="AL183">
        <v>15000</v>
      </c>
      <c r="AM183">
        <v>15000</v>
      </c>
      <c r="AN183">
        <v>0</v>
      </c>
      <c r="AO183">
        <v>184</v>
      </c>
      <c r="AP183">
        <v>2016</v>
      </c>
      <c r="AQ183">
        <v>1.74</v>
      </c>
      <c r="AR183">
        <v>1.59</v>
      </c>
      <c r="AS183" t="s">
        <v>3074</v>
      </c>
      <c r="AT183" t="s">
        <v>186</v>
      </c>
      <c r="AU183" t="s">
        <v>177</v>
      </c>
      <c r="AV183" t="s">
        <v>187</v>
      </c>
      <c r="AW183" t="s">
        <v>182</v>
      </c>
      <c r="AX183">
        <v>0</v>
      </c>
      <c r="AY183" t="s">
        <v>312</v>
      </c>
      <c r="AZ183" t="s">
        <v>199</v>
      </c>
      <c r="BA183" t="s">
        <v>313</v>
      </c>
      <c r="BB183" t="s">
        <v>191</v>
      </c>
      <c r="BC183" t="s">
        <v>182</v>
      </c>
      <c r="BD183" t="s">
        <v>182</v>
      </c>
      <c r="BE183" t="s">
        <v>383</v>
      </c>
      <c r="BF183">
        <v>0</v>
      </c>
      <c r="BG183">
        <v>0</v>
      </c>
      <c r="BH183">
        <v>0</v>
      </c>
      <c r="BI183" t="s">
        <v>199</v>
      </c>
      <c r="BJ183" t="s">
        <v>315</v>
      </c>
      <c r="BL183" t="s">
        <v>1002</v>
      </c>
      <c r="BM183" t="s">
        <v>238</v>
      </c>
      <c r="BN183" t="s">
        <v>182</v>
      </c>
      <c r="BO183" t="s">
        <v>198</v>
      </c>
      <c r="BP183" t="s">
        <v>198</v>
      </c>
      <c r="BQ183" t="s">
        <v>198</v>
      </c>
      <c r="BR183" t="s">
        <v>198</v>
      </c>
      <c r="BS183" t="s">
        <v>198</v>
      </c>
      <c r="BT183" t="s">
        <v>198</v>
      </c>
      <c r="BU183" t="s">
        <v>182</v>
      </c>
      <c r="BV183" t="s">
        <v>198</v>
      </c>
      <c r="BW183" t="s">
        <v>198</v>
      </c>
      <c r="BX183" t="s">
        <v>199</v>
      </c>
      <c r="BY183" t="s">
        <v>198</v>
      </c>
      <c r="BZ183" t="s">
        <v>199</v>
      </c>
      <c r="CA183" t="s">
        <v>199</v>
      </c>
      <c r="CB183" t="s">
        <v>3075</v>
      </c>
      <c r="CC183" t="s">
        <v>201</v>
      </c>
      <c r="CD183" t="s">
        <v>202</v>
      </c>
      <c r="CE183" t="s">
        <v>3076</v>
      </c>
      <c r="CF183" t="s">
        <v>3077</v>
      </c>
      <c r="CG183" t="s">
        <v>177</v>
      </c>
      <c r="CH183" t="s">
        <v>3078</v>
      </c>
      <c r="CI183" t="s">
        <v>3079</v>
      </c>
      <c r="CJ183" t="s">
        <v>1620</v>
      </c>
      <c r="CK183" t="s">
        <v>232</v>
      </c>
      <c r="CL183" t="s">
        <v>233</v>
      </c>
      <c r="CM183" t="s">
        <v>1195</v>
      </c>
      <c r="CN183" t="s">
        <v>1164</v>
      </c>
      <c r="CO183" t="s">
        <v>183</v>
      </c>
      <c r="CP183" t="s">
        <v>266</v>
      </c>
      <c r="CS183" t="s">
        <v>198</v>
      </c>
      <c r="CT183" t="s">
        <v>2724</v>
      </c>
      <c r="CU183" t="s">
        <v>292</v>
      </c>
      <c r="CV183" t="s">
        <v>293</v>
      </c>
      <c r="CW183" t="s">
        <v>3080</v>
      </c>
      <c r="CX183" t="s">
        <v>235</v>
      </c>
      <c r="CY183" t="s">
        <v>183</v>
      </c>
      <c r="CZ183" t="s">
        <v>211</v>
      </c>
      <c r="DA183" t="s">
        <v>189</v>
      </c>
      <c r="DC183" t="s">
        <v>3081</v>
      </c>
      <c r="DD183" t="s">
        <v>3082</v>
      </c>
      <c r="DE183" t="s">
        <v>346</v>
      </c>
      <c r="DF183" t="s">
        <v>347</v>
      </c>
      <c r="DG183" t="s">
        <v>1075</v>
      </c>
      <c r="DH183" t="s">
        <v>1056</v>
      </c>
      <c r="DI183" t="s">
        <v>183</v>
      </c>
      <c r="DJ183" t="s">
        <v>211</v>
      </c>
      <c r="DK183" t="s">
        <v>290</v>
      </c>
      <c r="DM183" t="s">
        <v>3083</v>
      </c>
      <c r="DN183" t="s">
        <v>2905</v>
      </c>
      <c r="DO183" t="s">
        <v>207</v>
      </c>
      <c r="DP183" t="s">
        <v>208</v>
      </c>
      <c r="DQ183" t="s">
        <v>2955</v>
      </c>
      <c r="DR183" t="s">
        <v>469</v>
      </c>
      <c r="DS183" t="s">
        <v>183</v>
      </c>
      <c r="DT183" t="s">
        <v>211</v>
      </c>
      <c r="DU183" t="s">
        <v>523</v>
      </c>
      <c r="DW183" t="s">
        <v>3083</v>
      </c>
      <c r="EG183" t="s">
        <v>198</v>
      </c>
      <c r="EQ183" t="s">
        <v>198</v>
      </c>
      <c r="FA183" t="s">
        <v>198</v>
      </c>
      <c r="FK183" t="s">
        <v>198</v>
      </c>
      <c r="FU183" t="s">
        <v>198</v>
      </c>
    </row>
    <row r="184" spans="1:177">
      <c r="A184" s="1" t="str">
        <f>HYPERLINK("http://digipan.lumentumllc.com/apps/getLink/index.php?t=PropLink&amp;p=4637770","PL")</f>
        <v>PL</v>
      </c>
      <c r="B184" s="1" t="str">
        <f>HYPERLINK("http://digipan.lumentumllc.com/apps/getLink/index.php?t=TaxLink&amp;p=4637770","TL")</f>
        <v>TL</v>
      </c>
      <c r="C184" s="1" t="str">
        <f>HYPERLINK("http://digipan.lumentumllc.com/apps/getMap/index.php?p=4637770","Map")</f>
        <v>Map</v>
      </c>
      <c r="E184" t="s">
        <v>177</v>
      </c>
      <c r="F184" t="s">
        <v>178</v>
      </c>
      <c r="L184" t="s">
        <v>3084</v>
      </c>
      <c r="N184" t="s">
        <v>3084</v>
      </c>
      <c r="O184" t="s">
        <v>3084</v>
      </c>
      <c r="P184" t="s">
        <v>3085</v>
      </c>
      <c r="Q184" t="s">
        <v>3084</v>
      </c>
      <c r="V184">
        <v>215</v>
      </c>
      <c r="W184">
        <v>1</v>
      </c>
      <c r="X184">
        <v>2017</v>
      </c>
      <c r="Y184">
        <v>2018</v>
      </c>
      <c r="Z184">
        <v>712.33</v>
      </c>
      <c r="AB184" t="s">
        <v>181</v>
      </c>
      <c r="AC184" t="s">
        <v>182</v>
      </c>
      <c r="AD184" t="s">
        <v>183</v>
      </c>
      <c r="AE184">
        <v>2</v>
      </c>
      <c r="AF184">
        <v>3</v>
      </c>
      <c r="AG184" t="s">
        <v>762</v>
      </c>
      <c r="AH184">
        <v>50</v>
      </c>
      <c r="AI184">
        <v>1391.29</v>
      </c>
      <c r="AJ184">
        <v>69.56</v>
      </c>
      <c r="AK184">
        <v>1460.85</v>
      </c>
      <c r="AL184">
        <v>90703</v>
      </c>
      <c r="AM184">
        <v>31200</v>
      </c>
      <c r="AN184">
        <v>59503</v>
      </c>
      <c r="AO184">
        <v>615</v>
      </c>
      <c r="AP184">
        <v>2016</v>
      </c>
      <c r="AQ184">
        <v>0.79</v>
      </c>
      <c r="AR184">
        <v>1.61</v>
      </c>
      <c r="AS184" t="s">
        <v>3086</v>
      </c>
      <c r="AT184" t="s">
        <v>186</v>
      </c>
      <c r="AU184" t="s">
        <v>177</v>
      </c>
      <c r="AV184" t="s">
        <v>187</v>
      </c>
      <c r="AW184" t="s">
        <v>202</v>
      </c>
      <c r="AX184">
        <v>2</v>
      </c>
      <c r="AY184" t="s">
        <v>188</v>
      </c>
      <c r="AZ184" t="s">
        <v>189</v>
      </c>
      <c r="BA184" t="s">
        <v>190</v>
      </c>
      <c r="BB184" t="s">
        <v>191</v>
      </c>
      <c r="BC184" t="s">
        <v>182</v>
      </c>
      <c r="BD184" t="s">
        <v>182</v>
      </c>
      <c r="BE184" t="s">
        <v>1438</v>
      </c>
      <c r="BF184">
        <v>1</v>
      </c>
      <c r="BG184">
        <v>1</v>
      </c>
      <c r="BH184">
        <v>1998</v>
      </c>
      <c r="BI184" t="s">
        <v>1709</v>
      </c>
      <c r="BJ184" t="s">
        <v>194</v>
      </c>
      <c r="BK184" t="s">
        <v>195</v>
      </c>
      <c r="BL184" t="s">
        <v>3087</v>
      </c>
      <c r="BM184" t="s">
        <v>2540</v>
      </c>
      <c r="BN184" t="s">
        <v>182</v>
      </c>
      <c r="BO184" t="s">
        <v>198</v>
      </c>
      <c r="BP184" t="s">
        <v>198</v>
      </c>
      <c r="BQ184" t="s">
        <v>198</v>
      </c>
      <c r="BR184" t="s">
        <v>198</v>
      </c>
      <c r="BS184" t="s">
        <v>198</v>
      </c>
      <c r="BT184" t="s">
        <v>198</v>
      </c>
      <c r="BU184" t="s">
        <v>182</v>
      </c>
      <c r="BV184" t="s">
        <v>198</v>
      </c>
      <c r="BW184" t="s">
        <v>198</v>
      </c>
      <c r="BX184" t="s">
        <v>199</v>
      </c>
      <c r="BY184" t="s">
        <v>198</v>
      </c>
      <c r="BZ184" t="s">
        <v>199</v>
      </c>
      <c r="CA184" t="s">
        <v>199</v>
      </c>
      <c r="CB184" t="s">
        <v>3088</v>
      </c>
      <c r="CC184" t="s">
        <v>201</v>
      </c>
      <c r="CD184" t="s">
        <v>182</v>
      </c>
      <c r="CE184" t="s">
        <v>3089</v>
      </c>
      <c r="CF184" t="s">
        <v>204</v>
      </c>
      <c r="CG184" t="s">
        <v>177</v>
      </c>
      <c r="CH184" t="s">
        <v>187</v>
      </c>
      <c r="CI184" t="s">
        <v>3090</v>
      </c>
      <c r="CJ184" t="s">
        <v>3091</v>
      </c>
      <c r="CK184" t="s">
        <v>232</v>
      </c>
      <c r="CL184" t="s">
        <v>233</v>
      </c>
      <c r="CM184" t="s">
        <v>3092</v>
      </c>
      <c r="CN184" t="s">
        <v>235</v>
      </c>
      <c r="CO184" t="s">
        <v>183</v>
      </c>
      <c r="CP184" t="s">
        <v>266</v>
      </c>
      <c r="CS184" t="s">
        <v>198</v>
      </c>
      <c r="CT184" t="s">
        <v>2742</v>
      </c>
      <c r="CU184" t="s">
        <v>292</v>
      </c>
      <c r="CV184" t="s">
        <v>293</v>
      </c>
      <c r="CW184" t="s">
        <v>3093</v>
      </c>
      <c r="CX184" t="s">
        <v>235</v>
      </c>
      <c r="CY184" t="s">
        <v>183</v>
      </c>
      <c r="CZ184" t="s">
        <v>266</v>
      </c>
      <c r="DC184" t="s">
        <v>198</v>
      </c>
      <c r="DD184" t="s">
        <v>1322</v>
      </c>
      <c r="DE184" t="s">
        <v>267</v>
      </c>
      <c r="DF184" t="s">
        <v>268</v>
      </c>
      <c r="DG184" t="s">
        <v>3094</v>
      </c>
      <c r="DH184" t="s">
        <v>235</v>
      </c>
      <c r="DI184" t="s">
        <v>183</v>
      </c>
      <c r="DJ184" t="s">
        <v>211</v>
      </c>
      <c r="DK184" t="s">
        <v>865</v>
      </c>
      <c r="DM184" t="s">
        <v>3095</v>
      </c>
      <c r="DN184" t="s">
        <v>3096</v>
      </c>
      <c r="DO184" t="s">
        <v>238</v>
      </c>
      <c r="DP184" t="s">
        <v>239</v>
      </c>
      <c r="DQ184" t="s">
        <v>3097</v>
      </c>
      <c r="DR184" t="s">
        <v>440</v>
      </c>
      <c r="DS184" t="s">
        <v>183</v>
      </c>
      <c r="DT184" t="s">
        <v>211</v>
      </c>
      <c r="DU184" t="s">
        <v>250</v>
      </c>
      <c r="DW184" t="s">
        <v>3098</v>
      </c>
      <c r="DX184" t="s">
        <v>3099</v>
      </c>
      <c r="DY184" t="s">
        <v>207</v>
      </c>
      <c r="DZ184" t="s">
        <v>208</v>
      </c>
      <c r="EA184" t="s">
        <v>3100</v>
      </c>
      <c r="EB184" t="s">
        <v>210</v>
      </c>
      <c r="EC184" t="s">
        <v>183</v>
      </c>
      <c r="ED184" t="s">
        <v>211</v>
      </c>
      <c r="EE184" t="s">
        <v>342</v>
      </c>
      <c r="EG184" t="s">
        <v>3101</v>
      </c>
      <c r="EQ184" t="s">
        <v>198</v>
      </c>
      <c r="FA184" t="s">
        <v>198</v>
      </c>
      <c r="FK184" t="s">
        <v>198</v>
      </c>
      <c r="FU184" t="s">
        <v>198</v>
      </c>
    </row>
    <row r="185" spans="1:177">
      <c r="A185" s="1" t="str">
        <f>HYPERLINK("http://digipan.lumentumllc.com/apps/getLink/index.php?t=PropLink&amp;p=15748866","PL")</f>
        <v>PL</v>
      </c>
      <c r="B185" s="1" t="str">
        <f>HYPERLINK("http://digipan.lumentumllc.com/apps/getLink/index.php?t=TaxLink&amp;p=15748866","TL")</f>
        <v>TL</v>
      </c>
      <c r="C185" s="1" t="str">
        <f>HYPERLINK("http://digipan.lumentumllc.com/apps/getMap/index.php?p=15748866","Map")</f>
        <v>Map</v>
      </c>
      <c r="E185" t="s">
        <v>177</v>
      </c>
      <c r="F185" t="s">
        <v>178</v>
      </c>
      <c r="L185" t="s">
        <v>3102</v>
      </c>
      <c r="N185" t="s">
        <v>3102</v>
      </c>
      <c r="O185" t="s">
        <v>3102</v>
      </c>
      <c r="Q185" t="s">
        <v>3102</v>
      </c>
      <c r="V185">
        <v>217</v>
      </c>
      <c r="W185">
        <v>1</v>
      </c>
      <c r="X185">
        <v>2017</v>
      </c>
      <c r="Y185">
        <v>2018</v>
      </c>
      <c r="Z185">
        <v>720.09</v>
      </c>
      <c r="AB185" t="s">
        <v>181</v>
      </c>
      <c r="AC185" t="s">
        <v>182</v>
      </c>
      <c r="AD185" t="s">
        <v>183</v>
      </c>
      <c r="AE185">
        <v>1</v>
      </c>
      <c r="AF185">
        <v>0</v>
      </c>
      <c r="AG185" t="s">
        <v>1200</v>
      </c>
      <c r="AH185">
        <v>0</v>
      </c>
      <c r="AI185">
        <v>699.8</v>
      </c>
      <c r="AJ185">
        <v>34.99</v>
      </c>
      <c r="AK185">
        <v>734.79</v>
      </c>
      <c r="AL185">
        <v>82461</v>
      </c>
      <c r="AM185">
        <v>15000</v>
      </c>
      <c r="AN185">
        <v>67461</v>
      </c>
      <c r="AO185">
        <v>622</v>
      </c>
      <c r="AP185">
        <v>2016</v>
      </c>
      <c r="AQ185">
        <v>0.87</v>
      </c>
      <c r="AR185">
        <v>0.89</v>
      </c>
      <c r="AS185" t="s">
        <v>3103</v>
      </c>
      <c r="AT185" t="s">
        <v>186</v>
      </c>
      <c r="AU185" t="s">
        <v>177</v>
      </c>
      <c r="AV185" t="s">
        <v>187</v>
      </c>
      <c r="AW185" t="s">
        <v>202</v>
      </c>
      <c r="AX185">
        <v>2</v>
      </c>
      <c r="AY185" t="s">
        <v>188</v>
      </c>
      <c r="AZ185" t="s">
        <v>189</v>
      </c>
      <c r="BA185" t="s">
        <v>190</v>
      </c>
      <c r="BB185" t="s">
        <v>191</v>
      </c>
      <c r="BC185" t="s">
        <v>182</v>
      </c>
      <c r="BD185" t="s">
        <v>182</v>
      </c>
      <c r="BE185" t="s">
        <v>383</v>
      </c>
      <c r="BF185">
        <v>1</v>
      </c>
      <c r="BG185">
        <v>1</v>
      </c>
      <c r="BH185">
        <v>2007</v>
      </c>
      <c r="BI185" t="s">
        <v>3104</v>
      </c>
      <c r="BJ185" t="s">
        <v>396</v>
      </c>
      <c r="BK185" t="s">
        <v>195</v>
      </c>
      <c r="BL185" t="s">
        <v>3105</v>
      </c>
      <c r="BM185" t="s">
        <v>273</v>
      </c>
      <c r="BN185" t="s">
        <v>182</v>
      </c>
      <c r="BO185" t="s">
        <v>3106</v>
      </c>
      <c r="BP185" t="s">
        <v>3107</v>
      </c>
      <c r="BQ185" t="s">
        <v>904</v>
      </c>
      <c r="BR185" t="s">
        <v>3108</v>
      </c>
      <c r="BS185" t="s">
        <v>198</v>
      </c>
      <c r="BT185" t="s">
        <v>3109</v>
      </c>
      <c r="BU185" t="s">
        <v>182</v>
      </c>
      <c r="BV185" t="s">
        <v>198</v>
      </c>
      <c r="BW185" t="s">
        <v>198</v>
      </c>
      <c r="BX185" t="s">
        <v>199</v>
      </c>
      <c r="BY185" t="s">
        <v>198</v>
      </c>
      <c r="BZ185" t="s">
        <v>199</v>
      </c>
      <c r="CA185" t="s">
        <v>199</v>
      </c>
      <c r="CB185" t="s">
        <v>3110</v>
      </c>
      <c r="CC185" t="s">
        <v>201</v>
      </c>
      <c r="CD185" t="s">
        <v>182</v>
      </c>
      <c r="CE185" t="s">
        <v>3111</v>
      </c>
      <c r="CF185" t="s">
        <v>204</v>
      </c>
      <c r="CG185" t="s">
        <v>177</v>
      </c>
      <c r="CH185" t="s">
        <v>187</v>
      </c>
      <c r="CI185" t="s">
        <v>3112</v>
      </c>
      <c r="CJ185" t="s">
        <v>1678</v>
      </c>
      <c r="CK185" t="s">
        <v>232</v>
      </c>
      <c r="CL185" t="s">
        <v>233</v>
      </c>
      <c r="CM185" t="s">
        <v>3113</v>
      </c>
      <c r="CN185" t="s">
        <v>235</v>
      </c>
      <c r="CO185" t="s">
        <v>183</v>
      </c>
      <c r="CP185" t="s">
        <v>266</v>
      </c>
      <c r="CS185" t="s">
        <v>198</v>
      </c>
      <c r="DC185" t="s">
        <v>198</v>
      </c>
      <c r="DM185" t="s">
        <v>198</v>
      </c>
      <c r="DW185" t="s">
        <v>198</v>
      </c>
      <c r="EG185" t="s">
        <v>198</v>
      </c>
      <c r="EQ185" t="s">
        <v>198</v>
      </c>
      <c r="FA185" t="s">
        <v>198</v>
      </c>
      <c r="FK185" t="s">
        <v>198</v>
      </c>
      <c r="FU185" t="s">
        <v>198</v>
      </c>
    </row>
    <row r="186" spans="1:177">
      <c r="A186" s="1" t="str">
        <f>HYPERLINK("http://digipan.lumentumllc.com/apps/getLink/index.php?t=PropLink&amp;p=6886744","PL")</f>
        <v>PL</v>
      </c>
      <c r="B186" s="1" t="str">
        <f>HYPERLINK("http://digipan.lumentumllc.com/apps/getLink/index.php?t=TaxLink&amp;p=6886744","TL")</f>
        <v>TL</v>
      </c>
      <c r="C186" s="1" t="str">
        <f>HYPERLINK("http://digipan.lumentumllc.com/apps/getMap/index.php?p=6886744","Map")</f>
        <v>Map</v>
      </c>
      <c r="E186" t="s">
        <v>177</v>
      </c>
      <c r="F186" t="s">
        <v>178</v>
      </c>
      <c r="L186" t="s">
        <v>3114</v>
      </c>
      <c r="N186" t="s">
        <v>3114</v>
      </c>
      <c r="O186" t="s">
        <v>3114</v>
      </c>
      <c r="P186" t="s">
        <v>3115</v>
      </c>
      <c r="Q186" t="s">
        <v>3114</v>
      </c>
      <c r="V186">
        <v>218</v>
      </c>
      <c r="W186">
        <v>1</v>
      </c>
      <c r="X186">
        <v>2017</v>
      </c>
      <c r="Y186">
        <v>2018</v>
      </c>
      <c r="Z186">
        <v>376.47</v>
      </c>
      <c r="AB186" t="s">
        <v>181</v>
      </c>
      <c r="AC186" t="s">
        <v>182</v>
      </c>
      <c r="AD186" t="s">
        <v>183</v>
      </c>
      <c r="AE186">
        <v>1</v>
      </c>
      <c r="AF186">
        <v>2</v>
      </c>
      <c r="AG186" t="s">
        <v>363</v>
      </c>
      <c r="AH186">
        <v>67</v>
      </c>
      <c r="AI186">
        <v>360.43</v>
      </c>
      <c r="AJ186">
        <v>18.02</v>
      </c>
      <c r="AK186">
        <v>378.45</v>
      </c>
      <c r="AL186">
        <v>56374</v>
      </c>
      <c r="AM186">
        <v>15000</v>
      </c>
      <c r="AN186">
        <v>41374</v>
      </c>
      <c r="AO186">
        <v>308</v>
      </c>
      <c r="AP186">
        <v>2016</v>
      </c>
      <c r="AQ186">
        <v>0.67</v>
      </c>
      <c r="AR186">
        <v>0.67</v>
      </c>
      <c r="AS186" t="s">
        <v>3116</v>
      </c>
      <c r="AT186" t="s">
        <v>186</v>
      </c>
      <c r="AU186" t="s">
        <v>177</v>
      </c>
      <c r="AV186" t="s">
        <v>187</v>
      </c>
      <c r="AW186" t="s">
        <v>202</v>
      </c>
      <c r="AX186">
        <v>1</v>
      </c>
      <c r="AY186" t="s">
        <v>188</v>
      </c>
      <c r="AZ186" t="s">
        <v>206</v>
      </c>
      <c r="BA186" t="s">
        <v>355</v>
      </c>
      <c r="BB186" t="s">
        <v>191</v>
      </c>
      <c r="BC186" t="s">
        <v>182</v>
      </c>
      <c r="BD186" t="s">
        <v>182</v>
      </c>
      <c r="BE186" t="s">
        <v>383</v>
      </c>
      <c r="BF186">
        <v>1</v>
      </c>
      <c r="BG186">
        <v>1</v>
      </c>
      <c r="BH186">
        <v>1962</v>
      </c>
      <c r="BI186" t="s">
        <v>3117</v>
      </c>
      <c r="BJ186" t="s">
        <v>194</v>
      </c>
      <c r="BK186" t="s">
        <v>195</v>
      </c>
      <c r="BL186" t="s">
        <v>199</v>
      </c>
      <c r="BM186" t="s">
        <v>207</v>
      </c>
      <c r="BN186" t="s">
        <v>182</v>
      </c>
      <c r="BO186" t="s">
        <v>198</v>
      </c>
      <c r="BP186" t="s">
        <v>198</v>
      </c>
      <c r="BQ186" t="s">
        <v>198</v>
      </c>
      <c r="BR186" t="s">
        <v>198</v>
      </c>
      <c r="BS186" t="s">
        <v>198</v>
      </c>
      <c r="BT186" t="s">
        <v>198</v>
      </c>
      <c r="BU186" t="s">
        <v>182</v>
      </c>
      <c r="BV186" t="s">
        <v>198</v>
      </c>
      <c r="BW186" t="s">
        <v>198</v>
      </c>
      <c r="BX186" t="s">
        <v>199</v>
      </c>
      <c r="BY186" t="s">
        <v>198</v>
      </c>
      <c r="BZ186" t="s">
        <v>199</v>
      </c>
      <c r="CA186" t="s">
        <v>199</v>
      </c>
      <c r="CB186" t="s">
        <v>3118</v>
      </c>
      <c r="CC186" t="s">
        <v>201</v>
      </c>
      <c r="CD186" t="s">
        <v>182</v>
      </c>
      <c r="CE186" t="s">
        <v>3119</v>
      </c>
      <c r="CF186" t="s">
        <v>204</v>
      </c>
      <c r="CG186" t="s">
        <v>177</v>
      </c>
      <c r="CH186" t="s">
        <v>187</v>
      </c>
      <c r="CI186" t="s">
        <v>3120</v>
      </c>
      <c r="CJ186" t="s">
        <v>2008</v>
      </c>
      <c r="CK186" t="s">
        <v>232</v>
      </c>
      <c r="CL186" t="s">
        <v>233</v>
      </c>
      <c r="CM186" t="s">
        <v>3121</v>
      </c>
      <c r="CN186" t="s">
        <v>235</v>
      </c>
      <c r="CO186" t="s">
        <v>183</v>
      </c>
      <c r="CP186" t="s">
        <v>266</v>
      </c>
      <c r="CS186" t="s">
        <v>198</v>
      </c>
      <c r="CT186" t="s">
        <v>2865</v>
      </c>
      <c r="CU186" t="s">
        <v>292</v>
      </c>
      <c r="CV186" t="s">
        <v>293</v>
      </c>
      <c r="CW186" t="s">
        <v>3122</v>
      </c>
      <c r="CX186" t="s">
        <v>235</v>
      </c>
      <c r="CY186" t="s">
        <v>183</v>
      </c>
      <c r="CZ186" t="s">
        <v>211</v>
      </c>
      <c r="DA186" t="s">
        <v>298</v>
      </c>
      <c r="DC186" t="s">
        <v>3123</v>
      </c>
      <c r="DD186" t="s">
        <v>2666</v>
      </c>
      <c r="DE186" t="s">
        <v>267</v>
      </c>
      <c r="DF186" t="s">
        <v>268</v>
      </c>
      <c r="DG186" t="s">
        <v>3124</v>
      </c>
      <c r="DH186" t="s">
        <v>235</v>
      </c>
      <c r="DI186" t="s">
        <v>183</v>
      </c>
      <c r="DJ186" t="s">
        <v>211</v>
      </c>
      <c r="DK186" t="s">
        <v>345</v>
      </c>
      <c r="DM186" t="s">
        <v>3125</v>
      </c>
      <c r="DW186" t="s">
        <v>198</v>
      </c>
      <c r="EG186" t="s">
        <v>198</v>
      </c>
      <c r="EQ186" t="s">
        <v>198</v>
      </c>
      <c r="FA186" t="s">
        <v>198</v>
      </c>
      <c r="FK186" t="s">
        <v>198</v>
      </c>
      <c r="FU186" t="s">
        <v>198</v>
      </c>
    </row>
    <row r="187" spans="1:177">
      <c r="A187" s="1" t="str">
        <f>HYPERLINK("http://digipan.lumentumllc.com/apps/getLink/index.php?t=PropLink&amp;p=15748882","PL")</f>
        <v>PL</v>
      </c>
      <c r="B187" s="1" t="str">
        <f>HYPERLINK("http://digipan.lumentumllc.com/apps/getLink/index.php?t=TaxLink&amp;p=15748882","TL")</f>
        <v>TL</v>
      </c>
      <c r="C187" s="1" t="str">
        <f>HYPERLINK("http://digipan.lumentumllc.com/apps/getMap/index.php?p=15748882","Map")</f>
        <v>Map</v>
      </c>
      <c r="E187" t="s">
        <v>177</v>
      </c>
      <c r="F187" t="s">
        <v>178</v>
      </c>
      <c r="L187" t="s">
        <v>3126</v>
      </c>
      <c r="N187" t="s">
        <v>3126</v>
      </c>
      <c r="O187" t="s">
        <v>3126</v>
      </c>
      <c r="Q187" t="s">
        <v>3126</v>
      </c>
      <c r="V187">
        <v>219</v>
      </c>
      <c r="W187">
        <v>1</v>
      </c>
      <c r="X187">
        <v>2017</v>
      </c>
      <c r="Y187">
        <v>2018</v>
      </c>
      <c r="Z187">
        <v>383.77</v>
      </c>
      <c r="AB187" t="s">
        <v>181</v>
      </c>
      <c r="AC187" t="s">
        <v>182</v>
      </c>
      <c r="AD187" t="s">
        <v>183</v>
      </c>
      <c r="AE187">
        <v>1</v>
      </c>
      <c r="AF187">
        <v>0</v>
      </c>
      <c r="AG187" t="s">
        <v>1200</v>
      </c>
      <c r="AH187">
        <v>0</v>
      </c>
      <c r="AI187">
        <v>404.35</v>
      </c>
      <c r="AJ187">
        <v>20.22</v>
      </c>
      <c r="AK187">
        <v>424.57</v>
      </c>
      <c r="AL187">
        <v>22500</v>
      </c>
      <c r="AM187">
        <v>15000</v>
      </c>
      <c r="AN187">
        <v>7500</v>
      </c>
      <c r="AO187">
        <v>349</v>
      </c>
      <c r="AP187">
        <v>2016</v>
      </c>
      <c r="AQ187">
        <v>1.71</v>
      </c>
      <c r="AR187">
        <v>1.89</v>
      </c>
      <c r="AS187" t="s">
        <v>3127</v>
      </c>
      <c r="AT187" t="s">
        <v>186</v>
      </c>
      <c r="AU187" t="s">
        <v>177</v>
      </c>
      <c r="AV187" t="s">
        <v>187</v>
      </c>
      <c r="AW187" t="s">
        <v>182</v>
      </c>
      <c r="AX187">
        <v>0</v>
      </c>
      <c r="AY187" t="s">
        <v>312</v>
      </c>
      <c r="AZ187" t="s">
        <v>199</v>
      </c>
      <c r="BA187" t="s">
        <v>313</v>
      </c>
      <c r="BB187" t="s">
        <v>191</v>
      </c>
      <c r="BC187" t="s">
        <v>182</v>
      </c>
      <c r="BD187" t="s">
        <v>182</v>
      </c>
      <c r="BE187" t="s">
        <v>383</v>
      </c>
      <c r="BF187">
        <v>1</v>
      </c>
      <c r="BG187">
        <v>0</v>
      </c>
      <c r="BH187">
        <v>1960</v>
      </c>
      <c r="BI187" t="s">
        <v>199</v>
      </c>
      <c r="BJ187" t="s">
        <v>248</v>
      </c>
      <c r="BK187" t="s">
        <v>2350</v>
      </c>
      <c r="BL187" t="s">
        <v>199</v>
      </c>
      <c r="BM187" t="s">
        <v>292</v>
      </c>
      <c r="BN187" t="s">
        <v>182</v>
      </c>
      <c r="BO187" t="s">
        <v>198</v>
      </c>
      <c r="BP187" t="s">
        <v>198</v>
      </c>
      <c r="BQ187" t="s">
        <v>198</v>
      </c>
      <c r="BR187" t="s">
        <v>198</v>
      </c>
      <c r="BS187" t="s">
        <v>198</v>
      </c>
      <c r="BT187" t="s">
        <v>198</v>
      </c>
      <c r="BU187" t="s">
        <v>182</v>
      </c>
      <c r="BV187" t="s">
        <v>198</v>
      </c>
      <c r="BW187" t="s">
        <v>198</v>
      </c>
      <c r="BX187" t="s">
        <v>199</v>
      </c>
      <c r="BY187" t="s">
        <v>198</v>
      </c>
      <c r="BZ187" t="s">
        <v>199</v>
      </c>
      <c r="CA187" t="s">
        <v>199</v>
      </c>
      <c r="CB187" t="s">
        <v>3128</v>
      </c>
      <c r="CC187" t="s">
        <v>201</v>
      </c>
      <c r="CD187" t="s">
        <v>202</v>
      </c>
      <c r="CE187" t="s">
        <v>3129</v>
      </c>
      <c r="CF187" t="s">
        <v>204</v>
      </c>
      <c r="CG187" t="s">
        <v>177</v>
      </c>
      <c r="CH187" t="s">
        <v>187</v>
      </c>
      <c r="CI187" t="s">
        <v>3130</v>
      </c>
      <c r="CJ187" t="s">
        <v>3131</v>
      </c>
      <c r="CK187" t="s">
        <v>232</v>
      </c>
      <c r="CL187" t="s">
        <v>233</v>
      </c>
      <c r="CM187" t="s">
        <v>3132</v>
      </c>
      <c r="CN187" t="s">
        <v>331</v>
      </c>
      <c r="CO187" t="s">
        <v>183</v>
      </c>
      <c r="CP187" t="s">
        <v>266</v>
      </c>
      <c r="CS187" t="s">
        <v>198</v>
      </c>
      <c r="DC187" t="s">
        <v>198</v>
      </c>
      <c r="DM187" t="s">
        <v>198</v>
      </c>
      <c r="DW187" t="s">
        <v>198</v>
      </c>
      <c r="EG187" t="s">
        <v>198</v>
      </c>
      <c r="EQ187" t="s">
        <v>198</v>
      </c>
      <c r="FA187" t="s">
        <v>198</v>
      </c>
      <c r="FK187" t="s">
        <v>198</v>
      </c>
      <c r="FU187" t="s">
        <v>198</v>
      </c>
    </row>
    <row r="188" spans="1:177">
      <c r="A188" s="1" t="str">
        <f>HYPERLINK("http://digipan.lumentumllc.com/apps/getLink/index.php?t=PropLink&amp;p=4637790","PL")</f>
        <v>PL</v>
      </c>
      <c r="B188" s="1" t="str">
        <f>HYPERLINK("http://digipan.lumentumllc.com/apps/getLink/index.php?t=TaxLink&amp;p=4637790","TL")</f>
        <v>TL</v>
      </c>
      <c r="C188" s="1" t="str">
        <f>HYPERLINK("http://digipan.lumentumllc.com/apps/getMap/index.php?p=4637790","Map")</f>
        <v>Map</v>
      </c>
      <c r="E188" t="s">
        <v>177</v>
      </c>
      <c r="F188" t="s">
        <v>178</v>
      </c>
      <c r="L188" t="s">
        <v>3133</v>
      </c>
      <c r="N188" t="s">
        <v>3133</v>
      </c>
      <c r="O188" t="s">
        <v>3133</v>
      </c>
      <c r="P188" t="s">
        <v>3134</v>
      </c>
      <c r="Q188" t="s">
        <v>3133</v>
      </c>
      <c r="V188">
        <v>220</v>
      </c>
      <c r="W188">
        <v>1</v>
      </c>
      <c r="X188">
        <v>2017</v>
      </c>
      <c r="Y188">
        <v>2018</v>
      </c>
      <c r="Z188">
        <v>1228</v>
      </c>
      <c r="AB188" t="s">
        <v>181</v>
      </c>
      <c r="AC188" t="s">
        <v>182</v>
      </c>
      <c r="AD188" t="s">
        <v>183</v>
      </c>
      <c r="AE188">
        <v>1</v>
      </c>
      <c r="AF188">
        <v>4</v>
      </c>
      <c r="AG188" t="s">
        <v>951</v>
      </c>
      <c r="AH188">
        <v>80</v>
      </c>
      <c r="AI188">
        <v>1150.1400000000001</v>
      </c>
      <c r="AJ188">
        <v>57.51</v>
      </c>
      <c r="AK188">
        <v>1207.6500000000001</v>
      </c>
      <c r="AL188">
        <v>73049</v>
      </c>
      <c r="AM188">
        <v>15000</v>
      </c>
      <c r="AN188">
        <v>58049</v>
      </c>
      <c r="AO188">
        <v>1039</v>
      </c>
      <c r="AP188">
        <v>2016</v>
      </c>
      <c r="AQ188">
        <v>1.68</v>
      </c>
      <c r="AR188">
        <v>1.65</v>
      </c>
      <c r="AS188" t="s">
        <v>3135</v>
      </c>
      <c r="AT188" t="s">
        <v>186</v>
      </c>
      <c r="AU188" t="s">
        <v>177</v>
      </c>
      <c r="AV188" t="s">
        <v>187</v>
      </c>
      <c r="AW188" t="s">
        <v>182</v>
      </c>
      <c r="AX188">
        <v>2</v>
      </c>
      <c r="AY188" t="s">
        <v>188</v>
      </c>
      <c r="AZ188" t="s">
        <v>189</v>
      </c>
      <c r="BA188" t="s">
        <v>190</v>
      </c>
      <c r="BB188" t="s">
        <v>191</v>
      </c>
      <c r="BC188" t="s">
        <v>182</v>
      </c>
      <c r="BD188" t="s">
        <v>182</v>
      </c>
      <c r="BE188" t="s">
        <v>383</v>
      </c>
      <c r="BF188">
        <v>1</v>
      </c>
      <c r="BG188">
        <v>1</v>
      </c>
      <c r="BH188">
        <v>2011</v>
      </c>
      <c r="BI188" t="s">
        <v>861</v>
      </c>
      <c r="BJ188" t="s">
        <v>194</v>
      </c>
      <c r="BK188" t="s">
        <v>195</v>
      </c>
      <c r="BL188" t="s">
        <v>199</v>
      </c>
      <c r="BM188" t="s">
        <v>292</v>
      </c>
      <c r="BN188" t="s">
        <v>182</v>
      </c>
      <c r="BO188" t="s">
        <v>198</v>
      </c>
      <c r="BP188" t="s">
        <v>198</v>
      </c>
      <c r="BQ188" t="s">
        <v>198</v>
      </c>
      <c r="BR188" t="s">
        <v>198</v>
      </c>
      <c r="BS188" t="s">
        <v>198</v>
      </c>
      <c r="BT188" t="s">
        <v>198</v>
      </c>
      <c r="BU188" t="s">
        <v>182</v>
      </c>
      <c r="BV188" t="s">
        <v>198</v>
      </c>
      <c r="BW188" t="s">
        <v>198</v>
      </c>
      <c r="BX188" t="s">
        <v>199</v>
      </c>
      <c r="BY188" t="s">
        <v>198</v>
      </c>
      <c r="BZ188" t="s">
        <v>199</v>
      </c>
      <c r="CA188" t="s">
        <v>199</v>
      </c>
      <c r="CB188" t="s">
        <v>3136</v>
      </c>
      <c r="CC188" t="s">
        <v>201</v>
      </c>
      <c r="CD188" t="s">
        <v>182</v>
      </c>
      <c r="CE188" t="s">
        <v>3137</v>
      </c>
      <c r="CF188" t="s">
        <v>204</v>
      </c>
      <c r="CG188" t="s">
        <v>177</v>
      </c>
      <c r="CH188" t="s">
        <v>187</v>
      </c>
      <c r="CI188" t="s">
        <v>3130</v>
      </c>
      <c r="CJ188" t="s">
        <v>1701</v>
      </c>
      <c r="CK188" t="s">
        <v>232</v>
      </c>
      <c r="CL188" t="s">
        <v>233</v>
      </c>
      <c r="CM188" t="s">
        <v>3138</v>
      </c>
      <c r="CN188" t="s">
        <v>235</v>
      </c>
      <c r="CO188" t="s">
        <v>183</v>
      </c>
      <c r="CP188" t="s">
        <v>266</v>
      </c>
      <c r="CS188" t="s">
        <v>198</v>
      </c>
      <c r="CT188" t="s">
        <v>2875</v>
      </c>
      <c r="CU188" t="s">
        <v>292</v>
      </c>
      <c r="CV188" t="s">
        <v>293</v>
      </c>
      <c r="CW188" t="s">
        <v>3139</v>
      </c>
      <c r="CX188" t="s">
        <v>235</v>
      </c>
      <c r="CY188" t="s">
        <v>183</v>
      </c>
      <c r="CZ188" t="s">
        <v>211</v>
      </c>
      <c r="DA188" t="s">
        <v>523</v>
      </c>
      <c r="DC188" t="s">
        <v>3140</v>
      </c>
      <c r="DD188" t="s">
        <v>1396</v>
      </c>
      <c r="DE188" t="s">
        <v>267</v>
      </c>
      <c r="DF188" t="s">
        <v>268</v>
      </c>
      <c r="DG188" t="s">
        <v>3141</v>
      </c>
      <c r="DH188" t="s">
        <v>235</v>
      </c>
      <c r="DI188" t="s">
        <v>183</v>
      </c>
      <c r="DJ188" t="s">
        <v>211</v>
      </c>
      <c r="DK188" t="s">
        <v>329</v>
      </c>
      <c r="DM188" t="s">
        <v>1645</v>
      </c>
      <c r="DN188" t="s">
        <v>1925</v>
      </c>
      <c r="DO188" t="s">
        <v>273</v>
      </c>
      <c r="DP188" t="s">
        <v>274</v>
      </c>
      <c r="DQ188" t="s">
        <v>3142</v>
      </c>
      <c r="DR188" t="s">
        <v>235</v>
      </c>
      <c r="DS188" t="s">
        <v>183</v>
      </c>
      <c r="DT188" t="s">
        <v>211</v>
      </c>
      <c r="DU188" t="s">
        <v>329</v>
      </c>
      <c r="DW188" t="s">
        <v>3143</v>
      </c>
      <c r="DX188" t="s">
        <v>1771</v>
      </c>
      <c r="DY188" t="s">
        <v>302</v>
      </c>
      <c r="DZ188" t="s">
        <v>303</v>
      </c>
      <c r="EA188" t="s">
        <v>3144</v>
      </c>
      <c r="EB188" t="s">
        <v>235</v>
      </c>
      <c r="EC188" t="s">
        <v>183</v>
      </c>
      <c r="ED188" t="s">
        <v>211</v>
      </c>
      <c r="EE188" t="s">
        <v>329</v>
      </c>
      <c r="EG188" t="s">
        <v>875</v>
      </c>
      <c r="EQ188" t="s">
        <v>198</v>
      </c>
      <c r="FA188" t="s">
        <v>198</v>
      </c>
      <c r="FK188" t="s">
        <v>198</v>
      </c>
      <c r="FU188" t="s">
        <v>198</v>
      </c>
    </row>
    <row r="189" spans="1:177">
      <c r="A189" s="1" t="str">
        <f>HYPERLINK("http://digipan.lumentumllc.com/apps/getLink/index.php?t=PropLink&amp;p=5246507","PL")</f>
        <v>PL</v>
      </c>
      <c r="B189" s="1" t="str">
        <f>HYPERLINK("http://digipan.lumentumllc.com/apps/getLink/index.php?t=TaxLink&amp;p=5246507","TL")</f>
        <v>TL</v>
      </c>
      <c r="C189" s="1" t="str">
        <f>HYPERLINK("http://digipan.lumentumllc.com/apps/getMap/index.php?p=5246507","Map")</f>
        <v>Map</v>
      </c>
      <c r="E189" t="s">
        <v>177</v>
      </c>
      <c r="F189" t="s">
        <v>178</v>
      </c>
      <c r="L189" t="s">
        <v>3145</v>
      </c>
      <c r="N189" t="s">
        <v>3145</v>
      </c>
      <c r="O189" t="s">
        <v>3145</v>
      </c>
      <c r="P189" t="s">
        <v>3146</v>
      </c>
      <c r="Q189" t="s">
        <v>3145</v>
      </c>
      <c r="V189">
        <v>221</v>
      </c>
      <c r="W189">
        <v>1</v>
      </c>
      <c r="X189">
        <v>2017</v>
      </c>
      <c r="Y189">
        <v>2018</v>
      </c>
      <c r="Z189">
        <v>638.44000000000005</v>
      </c>
      <c r="AB189" t="s">
        <v>181</v>
      </c>
      <c r="AC189" t="s">
        <v>182</v>
      </c>
      <c r="AD189" t="s">
        <v>183</v>
      </c>
      <c r="AE189">
        <v>1</v>
      </c>
      <c r="AF189">
        <v>7</v>
      </c>
      <c r="AG189" t="s">
        <v>418</v>
      </c>
      <c r="AH189">
        <v>86</v>
      </c>
      <c r="AI189">
        <v>641.94000000000005</v>
      </c>
      <c r="AJ189">
        <v>32.1</v>
      </c>
      <c r="AK189">
        <v>674.04</v>
      </c>
      <c r="AL189">
        <v>37040</v>
      </c>
      <c r="AM189">
        <v>37040</v>
      </c>
      <c r="AN189">
        <v>0</v>
      </c>
      <c r="AO189">
        <v>569</v>
      </c>
      <c r="AP189">
        <v>2016</v>
      </c>
      <c r="AQ189">
        <v>1.72</v>
      </c>
      <c r="AR189">
        <v>1.82</v>
      </c>
      <c r="AS189" t="s">
        <v>1494</v>
      </c>
      <c r="AT189" t="s">
        <v>186</v>
      </c>
      <c r="AU189" t="s">
        <v>177</v>
      </c>
      <c r="AV189" t="s">
        <v>187</v>
      </c>
      <c r="AW189" t="s">
        <v>182</v>
      </c>
      <c r="AX189">
        <v>0</v>
      </c>
      <c r="AY189" t="s">
        <v>312</v>
      </c>
      <c r="AZ189" t="s">
        <v>199</v>
      </c>
      <c r="BA189" t="s">
        <v>313</v>
      </c>
      <c r="BB189" t="s">
        <v>191</v>
      </c>
      <c r="BC189" t="s">
        <v>182</v>
      </c>
      <c r="BD189" t="s">
        <v>182</v>
      </c>
      <c r="BE189" t="s">
        <v>3147</v>
      </c>
      <c r="BF189">
        <v>0</v>
      </c>
      <c r="BG189">
        <v>0</v>
      </c>
      <c r="BH189">
        <v>0</v>
      </c>
      <c r="BI189" t="s">
        <v>199</v>
      </c>
      <c r="BJ189" t="s">
        <v>315</v>
      </c>
      <c r="BL189" t="s">
        <v>3148</v>
      </c>
      <c r="BM189" t="s">
        <v>1311</v>
      </c>
      <c r="BN189" t="s">
        <v>182</v>
      </c>
      <c r="BO189" t="s">
        <v>842</v>
      </c>
      <c r="BP189" t="s">
        <v>3149</v>
      </c>
      <c r="BS189" t="s">
        <v>3150</v>
      </c>
      <c r="BT189" t="s">
        <v>198</v>
      </c>
      <c r="BU189" t="s">
        <v>182</v>
      </c>
      <c r="BV189" t="s">
        <v>198</v>
      </c>
      <c r="BW189" t="s">
        <v>198</v>
      </c>
      <c r="BX189" t="s">
        <v>199</v>
      </c>
      <c r="BY189" t="s">
        <v>198</v>
      </c>
      <c r="BZ189" t="s">
        <v>199</v>
      </c>
      <c r="CA189" t="s">
        <v>199</v>
      </c>
      <c r="CB189" t="s">
        <v>3151</v>
      </c>
      <c r="CC189" t="s">
        <v>201</v>
      </c>
      <c r="CD189" t="s">
        <v>202</v>
      </c>
      <c r="CE189" t="s">
        <v>3152</v>
      </c>
      <c r="CF189" t="s">
        <v>413</v>
      </c>
      <c r="CG189" t="s">
        <v>177</v>
      </c>
      <c r="CH189" t="s">
        <v>1579</v>
      </c>
      <c r="CI189" t="s">
        <v>3153</v>
      </c>
      <c r="CJ189" t="s">
        <v>3154</v>
      </c>
      <c r="CK189" t="s">
        <v>232</v>
      </c>
      <c r="CL189" t="s">
        <v>233</v>
      </c>
      <c r="CM189" t="s">
        <v>3155</v>
      </c>
      <c r="CN189" t="s">
        <v>331</v>
      </c>
      <c r="CO189" t="s">
        <v>183</v>
      </c>
      <c r="CP189" t="s">
        <v>266</v>
      </c>
      <c r="CS189" t="s">
        <v>198</v>
      </c>
      <c r="CT189" t="s">
        <v>1502</v>
      </c>
      <c r="CU189" t="s">
        <v>292</v>
      </c>
      <c r="CV189" t="s">
        <v>293</v>
      </c>
      <c r="CW189" t="s">
        <v>3156</v>
      </c>
      <c r="CX189" t="s">
        <v>295</v>
      </c>
      <c r="CY189" t="s">
        <v>183</v>
      </c>
      <c r="CZ189" t="s">
        <v>211</v>
      </c>
      <c r="DA189" t="s">
        <v>345</v>
      </c>
      <c r="DC189" t="s">
        <v>3157</v>
      </c>
      <c r="DD189" t="s">
        <v>2948</v>
      </c>
      <c r="DE189" t="s">
        <v>267</v>
      </c>
      <c r="DF189" t="s">
        <v>268</v>
      </c>
      <c r="DG189" t="s">
        <v>3158</v>
      </c>
      <c r="DH189" t="s">
        <v>1341</v>
      </c>
      <c r="DI189" t="s">
        <v>183</v>
      </c>
      <c r="DJ189" t="s">
        <v>211</v>
      </c>
      <c r="DK189" t="s">
        <v>298</v>
      </c>
      <c r="DM189" t="s">
        <v>459</v>
      </c>
      <c r="DN189" t="s">
        <v>1678</v>
      </c>
      <c r="DO189" t="s">
        <v>273</v>
      </c>
      <c r="DP189" t="s">
        <v>274</v>
      </c>
      <c r="DQ189" t="s">
        <v>3159</v>
      </c>
      <c r="DR189" t="s">
        <v>796</v>
      </c>
      <c r="DS189" t="s">
        <v>183</v>
      </c>
      <c r="DT189" t="s">
        <v>211</v>
      </c>
      <c r="DU189" t="s">
        <v>298</v>
      </c>
      <c r="DW189" t="s">
        <v>1069</v>
      </c>
      <c r="DX189" t="s">
        <v>1925</v>
      </c>
      <c r="DY189" t="s">
        <v>302</v>
      </c>
      <c r="DZ189" t="s">
        <v>303</v>
      </c>
      <c r="EA189" t="s">
        <v>3160</v>
      </c>
      <c r="EB189" t="s">
        <v>305</v>
      </c>
      <c r="EC189" t="s">
        <v>183</v>
      </c>
      <c r="ED189" t="s">
        <v>211</v>
      </c>
      <c r="EE189" t="s">
        <v>334</v>
      </c>
      <c r="EG189" t="s">
        <v>3161</v>
      </c>
      <c r="EH189" t="s">
        <v>3162</v>
      </c>
      <c r="EI189" t="s">
        <v>238</v>
      </c>
      <c r="EJ189" t="s">
        <v>239</v>
      </c>
      <c r="EK189" t="s">
        <v>3163</v>
      </c>
      <c r="EL189" t="s">
        <v>331</v>
      </c>
      <c r="EM189" t="s">
        <v>183</v>
      </c>
      <c r="EN189" t="s">
        <v>211</v>
      </c>
      <c r="EO189" t="s">
        <v>345</v>
      </c>
      <c r="EQ189" t="s">
        <v>2435</v>
      </c>
      <c r="ER189" t="s">
        <v>3164</v>
      </c>
      <c r="ES189" t="s">
        <v>346</v>
      </c>
      <c r="ET189" t="s">
        <v>347</v>
      </c>
      <c r="EU189" t="s">
        <v>3165</v>
      </c>
      <c r="EV189" t="s">
        <v>615</v>
      </c>
      <c r="EW189" t="s">
        <v>183</v>
      </c>
      <c r="EX189" t="s">
        <v>211</v>
      </c>
      <c r="EY189" t="s">
        <v>298</v>
      </c>
      <c r="FA189" t="s">
        <v>3166</v>
      </c>
      <c r="FB189" t="s">
        <v>3167</v>
      </c>
      <c r="FC189" t="s">
        <v>207</v>
      </c>
      <c r="FD189" t="s">
        <v>208</v>
      </c>
      <c r="FE189" t="s">
        <v>3168</v>
      </c>
      <c r="FF189" t="s">
        <v>469</v>
      </c>
      <c r="FG189" t="s">
        <v>183</v>
      </c>
      <c r="FH189" t="s">
        <v>211</v>
      </c>
      <c r="FI189" t="s">
        <v>345</v>
      </c>
      <c r="FK189" t="s">
        <v>3169</v>
      </c>
      <c r="FU189" t="s">
        <v>198</v>
      </c>
    </row>
    <row r="190" spans="1:177">
      <c r="A190" s="1" t="str">
        <f>HYPERLINK("http://digipan.lumentumllc.com/apps/getLink/index.php?t=PropLink&amp;p=5246508","PL")</f>
        <v>PL</v>
      </c>
      <c r="B190" s="1" t="str">
        <f>HYPERLINK("http://digipan.lumentumllc.com/apps/getLink/index.php?t=TaxLink&amp;p=5246508","TL")</f>
        <v>TL</v>
      </c>
      <c r="C190" s="1" t="str">
        <f>HYPERLINK("http://digipan.lumentumllc.com/apps/getMap/index.php?p=5246508","Map")</f>
        <v>Map</v>
      </c>
      <c r="E190" t="s">
        <v>177</v>
      </c>
      <c r="F190" t="s">
        <v>178</v>
      </c>
      <c r="L190" t="s">
        <v>3170</v>
      </c>
      <c r="N190" t="s">
        <v>3170</v>
      </c>
      <c r="O190" t="s">
        <v>3170</v>
      </c>
      <c r="P190" t="s">
        <v>3171</v>
      </c>
      <c r="Q190" t="s">
        <v>3170</v>
      </c>
      <c r="V190">
        <v>222</v>
      </c>
      <c r="W190">
        <v>1</v>
      </c>
      <c r="X190">
        <v>2017</v>
      </c>
      <c r="Y190">
        <v>2018</v>
      </c>
      <c r="Z190">
        <v>1851.29</v>
      </c>
      <c r="AG190" t="s">
        <v>184</v>
      </c>
      <c r="AH190">
        <v>0</v>
      </c>
      <c r="AK190">
        <v>0</v>
      </c>
      <c r="AL190">
        <v>111117</v>
      </c>
      <c r="AM190">
        <v>47440</v>
      </c>
      <c r="AN190">
        <v>63677</v>
      </c>
      <c r="AO190">
        <v>1555</v>
      </c>
      <c r="AP190">
        <v>2016</v>
      </c>
      <c r="AQ190">
        <v>1.67</v>
      </c>
      <c r="AS190" t="s">
        <v>3172</v>
      </c>
      <c r="AT190" t="s">
        <v>186</v>
      </c>
      <c r="AU190" t="s">
        <v>177</v>
      </c>
      <c r="AV190" t="s">
        <v>187</v>
      </c>
      <c r="AW190" t="s">
        <v>182</v>
      </c>
      <c r="AX190">
        <v>2</v>
      </c>
      <c r="AY190" t="s">
        <v>188</v>
      </c>
      <c r="AZ190" t="s">
        <v>189</v>
      </c>
      <c r="BA190" t="s">
        <v>190</v>
      </c>
      <c r="BB190" t="s">
        <v>191</v>
      </c>
      <c r="BC190" t="s">
        <v>182</v>
      </c>
      <c r="BD190" t="s">
        <v>182</v>
      </c>
      <c r="BE190" t="s">
        <v>3173</v>
      </c>
      <c r="BF190">
        <v>2</v>
      </c>
      <c r="BG190">
        <v>2</v>
      </c>
      <c r="BH190">
        <v>1998</v>
      </c>
      <c r="BI190" t="s">
        <v>3174</v>
      </c>
      <c r="BJ190" t="s">
        <v>194</v>
      </c>
      <c r="BK190" t="s">
        <v>195</v>
      </c>
      <c r="BL190" t="s">
        <v>3175</v>
      </c>
      <c r="BM190" t="s">
        <v>1311</v>
      </c>
      <c r="BN190" t="s">
        <v>182</v>
      </c>
      <c r="BO190" t="s">
        <v>198</v>
      </c>
      <c r="BP190" t="s">
        <v>198</v>
      </c>
      <c r="BQ190" t="s">
        <v>198</v>
      </c>
      <c r="BR190" t="s">
        <v>198</v>
      </c>
      <c r="BS190" t="s">
        <v>198</v>
      </c>
      <c r="BT190" t="s">
        <v>198</v>
      </c>
      <c r="BU190" t="s">
        <v>182</v>
      </c>
      <c r="BV190" t="s">
        <v>198</v>
      </c>
      <c r="BW190" t="s">
        <v>198</v>
      </c>
      <c r="BX190" t="s">
        <v>199</v>
      </c>
      <c r="BY190" t="s">
        <v>198</v>
      </c>
      <c r="BZ190" t="s">
        <v>199</v>
      </c>
      <c r="CA190" t="s">
        <v>199</v>
      </c>
      <c r="CB190" t="s">
        <v>3176</v>
      </c>
      <c r="CC190" t="s">
        <v>201</v>
      </c>
      <c r="CD190" t="s">
        <v>182</v>
      </c>
      <c r="CE190" t="s">
        <v>3177</v>
      </c>
      <c r="CF190" t="s">
        <v>2333</v>
      </c>
      <c r="CG190" t="s">
        <v>177</v>
      </c>
      <c r="CH190" t="s">
        <v>3178</v>
      </c>
      <c r="CI190" t="s">
        <v>3179</v>
      </c>
      <c r="CS190" t="s">
        <v>198</v>
      </c>
      <c r="DC190" t="s">
        <v>198</v>
      </c>
      <c r="DM190" t="s">
        <v>198</v>
      </c>
      <c r="DW190" t="s">
        <v>198</v>
      </c>
      <c r="EG190" t="s">
        <v>198</v>
      </c>
      <c r="EQ190" t="s">
        <v>198</v>
      </c>
      <c r="FA190" t="s">
        <v>198</v>
      </c>
      <c r="FK190" t="s">
        <v>198</v>
      </c>
      <c r="FU190" t="s">
        <v>198</v>
      </c>
    </row>
    <row r="191" spans="1:177">
      <c r="A191" s="1" t="str">
        <f>HYPERLINK("http://digipan.lumentumllc.com/apps/getLink/index.php?t=PropLink&amp;p=7112443","PL")</f>
        <v>PL</v>
      </c>
      <c r="B191" s="1" t="str">
        <f>HYPERLINK("http://digipan.lumentumllc.com/apps/getLink/index.php?t=TaxLink&amp;p=7112443","TL")</f>
        <v>TL</v>
      </c>
      <c r="C191" s="1" t="str">
        <f>HYPERLINK("http://digipan.lumentumllc.com/apps/getMap/index.php?p=7112443","Map")</f>
        <v>Map</v>
      </c>
      <c r="E191" t="s">
        <v>177</v>
      </c>
      <c r="F191" t="s">
        <v>178</v>
      </c>
      <c r="L191" t="s">
        <v>3180</v>
      </c>
      <c r="N191" t="s">
        <v>3180</v>
      </c>
      <c r="O191" t="s">
        <v>3180</v>
      </c>
      <c r="P191" t="s">
        <v>3181</v>
      </c>
      <c r="Q191" t="s">
        <v>3180</v>
      </c>
      <c r="V191">
        <v>223</v>
      </c>
      <c r="W191">
        <v>1</v>
      </c>
      <c r="X191">
        <v>2017</v>
      </c>
      <c r="Y191">
        <v>2018</v>
      </c>
      <c r="Z191">
        <v>1542.24</v>
      </c>
      <c r="AB191" t="s">
        <v>181</v>
      </c>
      <c r="AC191" t="s">
        <v>182</v>
      </c>
      <c r="AD191" t="s">
        <v>183</v>
      </c>
      <c r="AE191">
        <v>0</v>
      </c>
      <c r="AF191">
        <v>1</v>
      </c>
      <c r="AG191" t="s">
        <v>821</v>
      </c>
      <c r="AH191">
        <v>100</v>
      </c>
      <c r="AK191">
        <v>0</v>
      </c>
      <c r="AL191">
        <v>92241</v>
      </c>
      <c r="AM191">
        <v>34640</v>
      </c>
      <c r="AN191">
        <v>57601</v>
      </c>
      <c r="AO191">
        <v>1273</v>
      </c>
      <c r="AP191">
        <v>2016</v>
      </c>
      <c r="AQ191">
        <v>1.67</v>
      </c>
      <c r="AS191" t="s">
        <v>3182</v>
      </c>
      <c r="AT191" t="s">
        <v>186</v>
      </c>
      <c r="AU191" t="s">
        <v>177</v>
      </c>
      <c r="AV191" t="s">
        <v>187</v>
      </c>
      <c r="AW191" t="s">
        <v>182</v>
      </c>
      <c r="AX191">
        <v>2</v>
      </c>
      <c r="AY191" t="s">
        <v>188</v>
      </c>
      <c r="AZ191" t="s">
        <v>189</v>
      </c>
      <c r="BA191" t="s">
        <v>190</v>
      </c>
      <c r="BB191" t="s">
        <v>191</v>
      </c>
      <c r="BC191" t="s">
        <v>182</v>
      </c>
      <c r="BD191" t="s">
        <v>182</v>
      </c>
      <c r="BE191" t="s">
        <v>3183</v>
      </c>
      <c r="BF191">
        <v>1</v>
      </c>
      <c r="BG191">
        <v>1</v>
      </c>
      <c r="BH191">
        <v>1998</v>
      </c>
      <c r="BI191" t="s">
        <v>1332</v>
      </c>
      <c r="BJ191" t="s">
        <v>194</v>
      </c>
      <c r="BK191" t="s">
        <v>195</v>
      </c>
      <c r="BL191" t="s">
        <v>797</v>
      </c>
      <c r="BM191" t="s">
        <v>232</v>
      </c>
      <c r="BN191" t="s">
        <v>182</v>
      </c>
      <c r="BO191" t="s">
        <v>3184</v>
      </c>
      <c r="BP191" t="s">
        <v>3185</v>
      </c>
      <c r="BR191" t="s">
        <v>2318</v>
      </c>
      <c r="BS191" t="s">
        <v>3186</v>
      </c>
      <c r="BT191" t="s">
        <v>198</v>
      </c>
      <c r="BU191" t="s">
        <v>182</v>
      </c>
      <c r="BV191" t="s">
        <v>198</v>
      </c>
      <c r="BW191" t="s">
        <v>198</v>
      </c>
      <c r="BX191" t="s">
        <v>199</v>
      </c>
      <c r="BY191" t="s">
        <v>198</v>
      </c>
      <c r="BZ191" t="s">
        <v>199</v>
      </c>
      <c r="CA191" t="s">
        <v>199</v>
      </c>
      <c r="CB191" t="s">
        <v>3187</v>
      </c>
      <c r="CC191" t="s">
        <v>201</v>
      </c>
      <c r="CD191" t="s">
        <v>202</v>
      </c>
      <c r="CE191" t="s">
        <v>3188</v>
      </c>
      <c r="CF191" t="s">
        <v>204</v>
      </c>
      <c r="CG191" t="s">
        <v>177</v>
      </c>
      <c r="CH191" t="s">
        <v>187</v>
      </c>
      <c r="CI191" t="s">
        <v>3189</v>
      </c>
      <c r="CJ191" t="s">
        <v>3190</v>
      </c>
      <c r="CK191" t="s">
        <v>292</v>
      </c>
      <c r="CL191" t="s">
        <v>293</v>
      </c>
      <c r="CM191" t="s">
        <v>3191</v>
      </c>
      <c r="CN191" t="s">
        <v>235</v>
      </c>
      <c r="CO191" t="s">
        <v>183</v>
      </c>
      <c r="CP191" t="s">
        <v>211</v>
      </c>
      <c r="CQ191" t="s">
        <v>296</v>
      </c>
      <c r="CS191" t="s">
        <v>3192</v>
      </c>
      <c r="DC191" t="s">
        <v>198</v>
      </c>
      <c r="DM191" t="s">
        <v>198</v>
      </c>
      <c r="DW191" t="s">
        <v>198</v>
      </c>
      <c r="EG191" t="s">
        <v>198</v>
      </c>
      <c r="EQ191" t="s">
        <v>198</v>
      </c>
      <c r="FA191" t="s">
        <v>198</v>
      </c>
      <c r="FK191" t="s">
        <v>198</v>
      </c>
      <c r="FU191" t="s">
        <v>198</v>
      </c>
    </row>
    <row r="192" spans="1:177">
      <c r="A192" s="1" t="str">
        <f>HYPERLINK("http://digipan.lumentumllc.com/apps/getLink/index.php?t=PropLink&amp;p=6886745","PL")</f>
        <v>PL</v>
      </c>
      <c r="B192" s="1" t="str">
        <f>HYPERLINK("http://digipan.lumentumllc.com/apps/getLink/index.php?t=TaxLink&amp;p=6886745","TL")</f>
        <v>TL</v>
      </c>
      <c r="C192" s="1" t="str">
        <f>HYPERLINK("http://digipan.lumentumllc.com/apps/getMap/index.php?p=6886745","Map")</f>
        <v>Map</v>
      </c>
      <c r="E192" t="s">
        <v>177</v>
      </c>
      <c r="F192" t="s">
        <v>178</v>
      </c>
      <c r="L192" t="s">
        <v>3193</v>
      </c>
      <c r="N192" t="s">
        <v>3193</v>
      </c>
      <c r="O192" t="s">
        <v>3193</v>
      </c>
      <c r="P192" t="s">
        <v>3194</v>
      </c>
      <c r="Q192" t="s">
        <v>3193</v>
      </c>
      <c r="V192">
        <v>224</v>
      </c>
      <c r="W192">
        <v>1</v>
      </c>
      <c r="X192">
        <v>2017</v>
      </c>
      <c r="Y192">
        <v>2018</v>
      </c>
      <c r="Z192">
        <v>918.62</v>
      </c>
      <c r="AB192" t="s">
        <v>181</v>
      </c>
      <c r="AC192" t="s">
        <v>182</v>
      </c>
      <c r="AD192" t="s">
        <v>183</v>
      </c>
      <c r="AE192">
        <v>1</v>
      </c>
      <c r="AF192">
        <v>2</v>
      </c>
      <c r="AG192" t="s">
        <v>363</v>
      </c>
      <c r="AH192">
        <v>67</v>
      </c>
      <c r="AI192">
        <v>897.02</v>
      </c>
      <c r="AJ192">
        <v>44.85</v>
      </c>
      <c r="AK192">
        <v>941.87</v>
      </c>
      <c r="AL192">
        <v>109234</v>
      </c>
      <c r="AM192">
        <v>24000</v>
      </c>
      <c r="AN192">
        <v>85234</v>
      </c>
      <c r="AO192">
        <v>804</v>
      </c>
      <c r="AP192">
        <v>2016</v>
      </c>
      <c r="AQ192">
        <v>0.84</v>
      </c>
      <c r="AR192">
        <v>0.86</v>
      </c>
      <c r="AS192" t="s">
        <v>3195</v>
      </c>
      <c r="AT192" t="s">
        <v>186</v>
      </c>
      <c r="AU192" t="s">
        <v>177</v>
      </c>
      <c r="AV192" t="s">
        <v>187</v>
      </c>
      <c r="AW192" t="s">
        <v>202</v>
      </c>
      <c r="AX192">
        <v>1</v>
      </c>
      <c r="AY192" t="s">
        <v>188</v>
      </c>
      <c r="AZ192" t="s">
        <v>206</v>
      </c>
      <c r="BA192" t="s">
        <v>355</v>
      </c>
      <c r="BB192" t="s">
        <v>191</v>
      </c>
      <c r="BC192" t="s">
        <v>182</v>
      </c>
      <c r="BD192" t="s">
        <v>182</v>
      </c>
      <c r="BE192" t="s">
        <v>365</v>
      </c>
      <c r="BF192">
        <v>1</v>
      </c>
      <c r="BG192">
        <v>1</v>
      </c>
      <c r="BH192">
        <v>1987</v>
      </c>
      <c r="BI192" t="s">
        <v>3196</v>
      </c>
      <c r="BJ192" t="s">
        <v>194</v>
      </c>
      <c r="BK192" t="s">
        <v>195</v>
      </c>
      <c r="BL192" t="s">
        <v>3197</v>
      </c>
      <c r="BM192" t="s">
        <v>1474</v>
      </c>
      <c r="BN192" t="s">
        <v>182</v>
      </c>
      <c r="BO192" t="s">
        <v>198</v>
      </c>
      <c r="BP192" t="s">
        <v>198</v>
      </c>
      <c r="BQ192" t="s">
        <v>198</v>
      </c>
      <c r="BR192" t="s">
        <v>198</v>
      </c>
      <c r="BS192" t="s">
        <v>198</v>
      </c>
      <c r="BT192" t="s">
        <v>198</v>
      </c>
      <c r="BU192" t="s">
        <v>182</v>
      </c>
      <c r="BV192" t="s">
        <v>198</v>
      </c>
      <c r="BW192" t="s">
        <v>198</v>
      </c>
      <c r="BX192" t="s">
        <v>199</v>
      </c>
      <c r="BY192" t="s">
        <v>198</v>
      </c>
      <c r="BZ192" t="s">
        <v>199</v>
      </c>
      <c r="CA192" t="s">
        <v>199</v>
      </c>
      <c r="CB192" t="s">
        <v>3198</v>
      </c>
      <c r="CC192" t="s">
        <v>201</v>
      </c>
      <c r="CD192" t="s">
        <v>202</v>
      </c>
      <c r="CE192" t="s">
        <v>3199</v>
      </c>
      <c r="CF192" t="s">
        <v>204</v>
      </c>
      <c r="CG192" t="s">
        <v>177</v>
      </c>
      <c r="CH192" t="s">
        <v>187</v>
      </c>
      <c r="CI192" t="s">
        <v>3200</v>
      </c>
      <c r="CJ192" t="s">
        <v>3201</v>
      </c>
      <c r="CK192" t="s">
        <v>232</v>
      </c>
      <c r="CL192" t="s">
        <v>233</v>
      </c>
      <c r="CM192" t="s">
        <v>3202</v>
      </c>
      <c r="CN192" t="s">
        <v>235</v>
      </c>
      <c r="CO192" t="s">
        <v>183</v>
      </c>
      <c r="CP192" t="s">
        <v>266</v>
      </c>
      <c r="CS192" t="s">
        <v>198</v>
      </c>
      <c r="CT192" t="s">
        <v>1549</v>
      </c>
      <c r="CU192" t="s">
        <v>292</v>
      </c>
      <c r="CV192" t="s">
        <v>293</v>
      </c>
      <c r="CW192" t="s">
        <v>3203</v>
      </c>
      <c r="CX192" t="s">
        <v>235</v>
      </c>
      <c r="CY192" t="s">
        <v>183</v>
      </c>
      <c r="CZ192" t="s">
        <v>211</v>
      </c>
      <c r="DA192" t="s">
        <v>298</v>
      </c>
      <c r="DC192" t="s">
        <v>3204</v>
      </c>
      <c r="DD192" t="s">
        <v>2742</v>
      </c>
      <c r="DE192" t="s">
        <v>267</v>
      </c>
      <c r="DF192" t="s">
        <v>268</v>
      </c>
      <c r="DG192" t="s">
        <v>3205</v>
      </c>
      <c r="DH192" t="s">
        <v>235</v>
      </c>
      <c r="DI192" t="s">
        <v>183</v>
      </c>
      <c r="DJ192" t="s">
        <v>211</v>
      </c>
      <c r="DK192" t="s">
        <v>493</v>
      </c>
      <c r="DM192" t="s">
        <v>3206</v>
      </c>
      <c r="DW192" t="s">
        <v>198</v>
      </c>
      <c r="EG192" t="s">
        <v>198</v>
      </c>
      <c r="EQ192" t="s">
        <v>198</v>
      </c>
      <c r="FA192" t="s">
        <v>198</v>
      </c>
      <c r="FK192" t="s">
        <v>198</v>
      </c>
      <c r="FU192" t="s">
        <v>198</v>
      </c>
    </row>
    <row r="193" spans="1:177">
      <c r="A193" s="1" t="str">
        <f>HYPERLINK("http://digipan.lumentumllc.com/apps/getLink/index.php?t=PropLink&amp;p=5246616","PL")</f>
        <v>PL</v>
      </c>
      <c r="B193" s="1" t="str">
        <f>HYPERLINK("http://digipan.lumentumllc.com/apps/getLink/index.php?t=TaxLink&amp;p=5246616","TL")</f>
        <v>TL</v>
      </c>
      <c r="C193" s="1" t="str">
        <f>HYPERLINK("http://digipan.lumentumllc.com/apps/getMap/index.php?p=5246616","Map")</f>
        <v>Map</v>
      </c>
      <c r="E193" t="s">
        <v>177</v>
      </c>
      <c r="F193" t="s">
        <v>178</v>
      </c>
      <c r="L193" t="s">
        <v>3207</v>
      </c>
      <c r="N193" t="s">
        <v>3207</v>
      </c>
      <c r="O193" t="s">
        <v>3207</v>
      </c>
      <c r="P193" t="s">
        <v>3208</v>
      </c>
      <c r="Q193" t="s">
        <v>3207</v>
      </c>
      <c r="V193">
        <v>225</v>
      </c>
      <c r="W193">
        <v>1</v>
      </c>
      <c r="X193">
        <v>2017</v>
      </c>
      <c r="Y193">
        <v>2018</v>
      </c>
      <c r="Z193">
        <v>911.26</v>
      </c>
      <c r="AB193" t="s">
        <v>181</v>
      </c>
      <c r="AC193" t="s">
        <v>182</v>
      </c>
      <c r="AD193" t="s">
        <v>183</v>
      </c>
      <c r="AE193">
        <v>1</v>
      </c>
      <c r="AF193">
        <v>7</v>
      </c>
      <c r="AG193" t="s">
        <v>418</v>
      </c>
      <c r="AH193">
        <v>86</v>
      </c>
      <c r="AI193">
        <v>910.3</v>
      </c>
      <c r="AJ193">
        <v>45.52</v>
      </c>
      <c r="AK193">
        <v>955.82</v>
      </c>
      <c r="AL193">
        <v>53703</v>
      </c>
      <c r="AM193">
        <v>36000</v>
      </c>
      <c r="AN193">
        <v>17703</v>
      </c>
      <c r="AO193">
        <v>817</v>
      </c>
      <c r="AP193">
        <v>2016</v>
      </c>
      <c r="AQ193">
        <v>1.7</v>
      </c>
      <c r="AR193">
        <v>1.78</v>
      </c>
      <c r="AS193" t="s">
        <v>3209</v>
      </c>
      <c r="AT193" t="s">
        <v>3210</v>
      </c>
      <c r="AU193" t="s">
        <v>177</v>
      </c>
      <c r="AV193" t="s">
        <v>2334</v>
      </c>
      <c r="AW193" t="s">
        <v>182</v>
      </c>
      <c r="AX193">
        <v>10</v>
      </c>
      <c r="AY193" t="s">
        <v>3211</v>
      </c>
      <c r="AZ193" t="s">
        <v>270</v>
      </c>
      <c r="BA193" t="s">
        <v>3212</v>
      </c>
      <c r="BB193" t="s">
        <v>191</v>
      </c>
      <c r="BC193" t="s">
        <v>182</v>
      </c>
      <c r="BD193" t="s">
        <v>182</v>
      </c>
      <c r="BE193" t="s">
        <v>1966</v>
      </c>
      <c r="BF193">
        <v>0</v>
      </c>
      <c r="BG193">
        <v>0</v>
      </c>
      <c r="BH193">
        <v>0</v>
      </c>
      <c r="BI193" t="s">
        <v>199</v>
      </c>
      <c r="BJ193" t="s">
        <v>248</v>
      </c>
      <c r="BL193" t="s">
        <v>199</v>
      </c>
      <c r="BM193" t="s">
        <v>286</v>
      </c>
      <c r="BN193" t="s">
        <v>182</v>
      </c>
      <c r="BO193" t="s">
        <v>198</v>
      </c>
      <c r="BP193" t="s">
        <v>198</v>
      </c>
      <c r="BQ193" t="s">
        <v>198</v>
      </c>
      <c r="BR193" t="s">
        <v>198</v>
      </c>
      <c r="BS193" t="s">
        <v>198</v>
      </c>
      <c r="BT193" t="s">
        <v>198</v>
      </c>
      <c r="BU193" t="s">
        <v>182</v>
      </c>
      <c r="BV193" t="s">
        <v>198</v>
      </c>
      <c r="BW193" t="s">
        <v>198</v>
      </c>
      <c r="BX193" t="s">
        <v>199</v>
      </c>
      <c r="BY193" t="s">
        <v>198</v>
      </c>
      <c r="BZ193" t="s">
        <v>199</v>
      </c>
      <c r="CA193" t="s">
        <v>199</v>
      </c>
      <c r="CB193" t="s">
        <v>3213</v>
      </c>
      <c r="CC193" t="s">
        <v>201</v>
      </c>
      <c r="CD193" t="s">
        <v>182</v>
      </c>
      <c r="CE193" t="s">
        <v>3214</v>
      </c>
      <c r="CF193" t="s">
        <v>204</v>
      </c>
      <c r="CG193" t="s">
        <v>177</v>
      </c>
      <c r="CH193" t="s">
        <v>187</v>
      </c>
      <c r="CI193" t="s">
        <v>3215</v>
      </c>
      <c r="CJ193" t="s">
        <v>1768</v>
      </c>
      <c r="CK193" t="s">
        <v>232</v>
      </c>
      <c r="CL193" t="s">
        <v>233</v>
      </c>
      <c r="CM193" t="s">
        <v>3216</v>
      </c>
      <c r="CN193" t="s">
        <v>235</v>
      </c>
      <c r="CO193" t="s">
        <v>183</v>
      </c>
      <c r="CP193" t="s">
        <v>266</v>
      </c>
      <c r="CS193" t="s">
        <v>198</v>
      </c>
      <c r="CT193" t="s">
        <v>2993</v>
      </c>
      <c r="CU193" t="s">
        <v>292</v>
      </c>
      <c r="CV193" t="s">
        <v>293</v>
      </c>
      <c r="CW193" t="s">
        <v>3217</v>
      </c>
      <c r="CX193" t="s">
        <v>295</v>
      </c>
      <c r="CY193" t="s">
        <v>183</v>
      </c>
      <c r="CZ193" t="s">
        <v>211</v>
      </c>
      <c r="DA193" t="s">
        <v>298</v>
      </c>
      <c r="DC193" t="s">
        <v>430</v>
      </c>
      <c r="DD193" t="s">
        <v>1591</v>
      </c>
      <c r="DE193" t="s">
        <v>267</v>
      </c>
      <c r="DF193" t="s">
        <v>268</v>
      </c>
      <c r="DG193" t="s">
        <v>3218</v>
      </c>
      <c r="DH193" t="s">
        <v>331</v>
      </c>
      <c r="DI193" t="s">
        <v>183</v>
      </c>
      <c r="DJ193" t="s">
        <v>211</v>
      </c>
      <c r="DK193" t="s">
        <v>345</v>
      </c>
      <c r="DM193" t="s">
        <v>542</v>
      </c>
      <c r="DN193" t="s">
        <v>3154</v>
      </c>
      <c r="DO193" t="s">
        <v>273</v>
      </c>
      <c r="DP193" t="s">
        <v>274</v>
      </c>
      <c r="DQ193" t="s">
        <v>3219</v>
      </c>
      <c r="DR193" t="s">
        <v>341</v>
      </c>
      <c r="DS193" t="s">
        <v>183</v>
      </c>
      <c r="DT193" t="s">
        <v>211</v>
      </c>
      <c r="DU193" t="s">
        <v>298</v>
      </c>
      <c r="DW193" t="s">
        <v>1069</v>
      </c>
      <c r="DX193" t="s">
        <v>2008</v>
      </c>
      <c r="DY193" t="s">
        <v>302</v>
      </c>
      <c r="DZ193" t="s">
        <v>303</v>
      </c>
      <c r="EA193" t="s">
        <v>3220</v>
      </c>
      <c r="EB193" t="s">
        <v>440</v>
      </c>
      <c r="EC193" t="s">
        <v>183</v>
      </c>
      <c r="ED193" t="s">
        <v>211</v>
      </c>
      <c r="EE193" t="s">
        <v>523</v>
      </c>
      <c r="EG193" t="s">
        <v>3221</v>
      </c>
      <c r="EH193" t="s">
        <v>3222</v>
      </c>
      <c r="EI193" t="s">
        <v>238</v>
      </c>
      <c r="EJ193" t="s">
        <v>239</v>
      </c>
      <c r="EK193" t="s">
        <v>3223</v>
      </c>
      <c r="EL193" t="s">
        <v>440</v>
      </c>
      <c r="EM193" t="s">
        <v>183</v>
      </c>
      <c r="EN193" t="s">
        <v>211</v>
      </c>
      <c r="EO193" t="s">
        <v>298</v>
      </c>
      <c r="EQ193" t="s">
        <v>1133</v>
      </c>
      <c r="ER193" t="s">
        <v>3224</v>
      </c>
      <c r="ES193" t="s">
        <v>346</v>
      </c>
      <c r="ET193" t="s">
        <v>347</v>
      </c>
      <c r="EU193" t="s">
        <v>3225</v>
      </c>
      <c r="EV193" t="s">
        <v>1966</v>
      </c>
      <c r="EW193" t="s">
        <v>183</v>
      </c>
      <c r="EX193" t="s">
        <v>211</v>
      </c>
      <c r="EY193" t="s">
        <v>345</v>
      </c>
      <c r="FA193" t="s">
        <v>3226</v>
      </c>
      <c r="FB193" t="s">
        <v>3060</v>
      </c>
      <c r="FC193" t="s">
        <v>207</v>
      </c>
      <c r="FD193" t="s">
        <v>208</v>
      </c>
      <c r="FE193" t="s">
        <v>3227</v>
      </c>
      <c r="FF193" t="s">
        <v>922</v>
      </c>
      <c r="FG193" t="s">
        <v>183</v>
      </c>
      <c r="FH193" t="s">
        <v>211</v>
      </c>
      <c r="FI193" t="s">
        <v>298</v>
      </c>
      <c r="FK193" t="s">
        <v>1381</v>
      </c>
      <c r="FU193" t="s">
        <v>198</v>
      </c>
    </row>
    <row r="194" spans="1:177">
      <c r="A194" s="1" t="str">
        <f>HYPERLINK("http://digipan.lumentumllc.com/apps/getLink/index.php?t=PropLink&amp;p=15750074","PL")</f>
        <v>PL</v>
      </c>
      <c r="B194" s="1" t="str">
        <f>HYPERLINK("http://digipan.lumentumllc.com/apps/getLink/index.php?t=TaxLink&amp;p=15750074","TL")</f>
        <v>TL</v>
      </c>
      <c r="C194" s="1" t="str">
        <f>HYPERLINK("http://digipan.lumentumllc.com/apps/getMap/index.php?p=15750074","Map")</f>
        <v>Map</v>
      </c>
      <c r="E194" t="s">
        <v>177</v>
      </c>
      <c r="F194" t="s">
        <v>178</v>
      </c>
      <c r="L194" t="s">
        <v>3228</v>
      </c>
      <c r="N194" t="s">
        <v>3228</v>
      </c>
      <c r="O194" t="s">
        <v>3228</v>
      </c>
      <c r="Q194" t="s">
        <v>3228</v>
      </c>
      <c r="V194">
        <v>226</v>
      </c>
      <c r="W194">
        <v>1</v>
      </c>
      <c r="X194">
        <v>2017</v>
      </c>
      <c r="Y194">
        <v>2018</v>
      </c>
      <c r="Z194">
        <v>630.09</v>
      </c>
      <c r="AG194" t="s">
        <v>184</v>
      </c>
      <c r="AH194">
        <v>0</v>
      </c>
      <c r="AK194">
        <v>0</v>
      </c>
      <c r="AL194">
        <v>92175</v>
      </c>
      <c r="AM194">
        <v>27120</v>
      </c>
      <c r="AN194">
        <v>65055</v>
      </c>
      <c r="AO194">
        <v>547</v>
      </c>
      <c r="AP194">
        <v>2016</v>
      </c>
      <c r="AQ194">
        <v>0.68</v>
      </c>
      <c r="AS194" t="s">
        <v>3229</v>
      </c>
      <c r="AT194" t="s">
        <v>186</v>
      </c>
      <c r="AU194" t="s">
        <v>177</v>
      </c>
      <c r="AV194" t="s">
        <v>187</v>
      </c>
      <c r="AW194" t="s">
        <v>202</v>
      </c>
      <c r="AX194">
        <v>1</v>
      </c>
      <c r="AY194" t="s">
        <v>188</v>
      </c>
      <c r="AZ194" t="s">
        <v>206</v>
      </c>
      <c r="BA194" t="s">
        <v>355</v>
      </c>
      <c r="BB194" t="s">
        <v>191</v>
      </c>
      <c r="BC194" t="s">
        <v>182</v>
      </c>
      <c r="BD194" t="s">
        <v>182</v>
      </c>
      <c r="BE194" t="s">
        <v>3230</v>
      </c>
      <c r="BF194">
        <v>1</v>
      </c>
      <c r="BG194">
        <v>1</v>
      </c>
      <c r="BH194">
        <v>1960</v>
      </c>
      <c r="BI194" t="s">
        <v>3231</v>
      </c>
      <c r="BJ194" t="s">
        <v>194</v>
      </c>
      <c r="BK194" t="s">
        <v>195</v>
      </c>
      <c r="BL194" t="s">
        <v>3232</v>
      </c>
      <c r="BM194" t="s">
        <v>559</v>
      </c>
      <c r="BN194" t="s">
        <v>182</v>
      </c>
      <c r="BO194" t="s">
        <v>3233</v>
      </c>
      <c r="BP194" t="s">
        <v>3234</v>
      </c>
      <c r="BQ194" t="s">
        <v>562</v>
      </c>
      <c r="BR194" t="s">
        <v>563</v>
      </c>
      <c r="BS194" t="s">
        <v>198</v>
      </c>
      <c r="BT194" t="s">
        <v>1419</v>
      </c>
      <c r="BU194" t="s">
        <v>182</v>
      </c>
      <c r="BV194" t="s">
        <v>198</v>
      </c>
      <c r="BW194" t="s">
        <v>198</v>
      </c>
      <c r="BX194" t="s">
        <v>199</v>
      </c>
      <c r="BY194" t="s">
        <v>198</v>
      </c>
      <c r="BZ194" t="s">
        <v>199</v>
      </c>
      <c r="CA194" t="s">
        <v>199</v>
      </c>
      <c r="CB194" t="s">
        <v>3235</v>
      </c>
      <c r="CC194" t="s">
        <v>201</v>
      </c>
      <c r="CD194" t="s">
        <v>182</v>
      </c>
      <c r="CE194" t="s">
        <v>3236</v>
      </c>
      <c r="CF194" t="s">
        <v>204</v>
      </c>
      <c r="CG194" t="s">
        <v>177</v>
      </c>
      <c r="CH194" t="s">
        <v>187</v>
      </c>
      <c r="CI194" t="s">
        <v>3237</v>
      </c>
      <c r="CS194" t="s">
        <v>198</v>
      </c>
      <c r="DC194" t="s">
        <v>198</v>
      </c>
      <c r="DM194" t="s">
        <v>198</v>
      </c>
      <c r="DW194" t="s">
        <v>198</v>
      </c>
      <c r="EG194" t="s">
        <v>198</v>
      </c>
      <c r="EQ194" t="s">
        <v>198</v>
      </c>
      <c r="FA194" t="s">
        <v>198</v>
      </c>
      <c r="FK194" t="s">
        <v>198</v>
      </c>
      <c r="FU194" t="s">
        <v>198</v>
      </c>
    </row>
    <row r="195" spans="1:177">
      <c r="A195" s="1" t="str">
        <f>HYPERLINK("http://digipan.lumentumllc.com/apps/getLink/index.php?t=PropLink&amp;p=6886758","PL")</f>
        <v>PL</v>
      </c>
      <c r="B195" s="1" t="str">
        <f>HYPERLINK("http://digipan.lumentumllc.com/apps/getLink/index.php?t=TaxLink&amp;p=6886758","TL")</f>
        <v>TL</v>
      </c>
      <c r="C195" s="1" t="str">
        <f>HYPERLINK("http://digipan.lumentumllc.com/apps/getMap/index.php?p=6886758","Map")</f>
        <v>Map</v>
      </c>
      <c r="E195" t="s">
        <v>177</v>
      </c>
      <c r="F195" t="s">
        <v>178</v>
      </c>
      <c r="L195" t="s">
        <v>3238</v>
      </c>
      <c r="N195" t="s">
        <v>3238</v>
      </c>
      <c r="O195" t="s">
        <v>3238</v>
      </c>
      <c r="P195" t="s">
        <v>3239</v>
      </c>
      <c r="Q195" t="s">
        <v>3238</v>
      </c>
      <c r="V195">
        <v>227</v>
      </c>
      <c r="W195">
        <v>1</v>
      </c>
      <c r="X195">
        <v>2017</v>
      </c>
      <c r="Y195">
        <v>2018</v>
      </c>
      <c r="Z195">
        <v>1924.86</v>
      </c>
      <c r="AB195" t="s">
        <v>181</v>
      </c>
      <c r="AC195" t="s">
        <v>182</v>
      </c>
      <c r="AD195" t="s">
        <v>183</v>
      </c>
      <c r="AE195">
        <v>1</v>
      </c>
      <c r="AF195">
        <v>1</v>
      </c>
      <c r="AG195" t="s">
        <v>2222</v>
      </c>
      <c r="AH195">
        <v>50</v>
      </c>
      <c r="AI195">
        <v>1893.27</v>
      </c>
      <c r="AJ195">
        <v>94.66</v>
      </c>
      <c r="AK195">
        <v>1987.93</v>
      </c>
      <c r="AL195">
        <v>115611</v>
      </c>
      <c r="AM195">
        <v>18450</v>
      </c>
      <c r="AN195">
        <v>97161</v>
      </c>
      <c r="AO195">
        <v>1726</v>
      </c>
      <c r="AP195">
        <v>2016</v>
      </c>
      <c r="AQ195">
        <v>1.66</v>
      </c>
      <c r="AR195">
        <v>1.72</v>
      </c>
      <c r="AS195" t="s">
        <v>3240</v>
      </c>
      <c r="AT195" t="s">
        <v>186</v>
      </c>
      <c r="AU195" t="s">
        <v>177</v>
      </c>
      <c r="AV195" t="s">
        <v>187</v>
      </c>
      <c r="AW195" t="s">
        <v>182</v>
      </c>
      <c r="AX195">
        <v>1</v>
      </c>
      <c r="AY195" t="s">
        <v>188</v>
      </c>
      <c r="AZ195" t="s">
        <v>206</v>
      </c>
      <c r="BA195" t="s">
        <v>355</v>
      </c>
      <c r="BB195" t="s">
        <v>191</v>
      </c>
      <c r="BC195" t="s">
        <v>182</v>
      </c>
      <c r="BD195" t="s">
        <v>182</v>
      </c>
      <c r="BE195" t="s">
        <v>3241</v>
      </c>
      <c r="BF195">
        <v>1</v>
      </c>
      <c r="BG195">
        <v>1</v>
      </c>
      <c r="BH195">
        <v>2007</v>
      </c>
      <c r="BI195" t="s">
        <v>2199</v>
      </c>
      <c r="BJ195" t="s">
        <v>194</v>
      </c>
      <c r="BK195" t="s">
        <v>195</v>
      </c>
      <c r="BL195" t="s">
        <v>3242</v>
      </c>
      <c r="BM195" t="s">
        <v>267</v>
      </c>
      <c r="BN195" t="s">
        <v>182</v>
      </c>
      <c r="BO195" t="s">
        <v>3243</v>
      </c>
      <c r="BP195" t="s">
        <v>3244</v>
      </c>
      <c r="BQ195" t="s">
        <v>1896</v>
      </c>
      <c r="BR195" t="s">
        <v>1897</v>
      </c>
      <c r="BS195" t="s">
        <v>198</v>
      </c>
      <c r="BT195" t="s">
        <v>3245</v>
      </c>
      <c r="BU195" t="s">
        <v>182</v>
      </c>
      <c r="BV195" t="s">
        <v>198</v>
      </c>
      <c r="BW195" t="s">
        <v>198</v>
      </c>
      <c r="BX195" t="s">
        <v>199</v>
      </c>
      <c r="BY195" t="s">
        <v>198</v>
      </c>
      <c r="BZ195" t="s">
        <v>199</v>
      </c>
      <c r="CA195" t="s">
        <v>199</v>
      </c>
      <c r="CB195" t="s">
        <v>3246</v>
      </c>
      <c r="CC195" t="s">
        <v>201</v>
      </c>
      <c r="CD195" t="s">
        <v>182</v>
      </c>
      <c r="CE195" t="s">
        <v>3247</v>
      </c>
      <c r="CF195" t="s">
        <v>204</v>
      </c>
      <c r="CG195" t="s">
        <v>177</v>
      </c>
      <c r="CH195" t="s">
        <v>187</v>
      </c>
      <c r="CI195" t="s">
        <v>3248</v>
      </c>
      <c r="CJ195" t="s">
        <v>1792</v>
      </c>
      <c r="CK195" t="s">
        <v>232</v>
      </c>
      <c r="CL195" t="s">
        <v>233</v>
      </c>
      <c r="CM195" t="s">
        <v>3249</v>
      </c>
      <c r="CN195" t="s">
        <v>235</v>
      </c>
      <c r="CO195" t="s">
        <v>183</v>
      </c>
      <c r="CP195" t="s">
        <v>266</v>
      </c>
      <c r="CS195" t="s">
        <v>198</v>
      </c>
      <c r="CT195" t="s">
        <v>2968</v>
      </c>
      <c r="CU195" t="s">
        <v>267</v>
      </c>
      <c r="CV195" t="s">
        <v>268</v>
      </c>
      <c r="CW195" t="s">
        <v>3250</v>
      </c>
      <c r="CX195" t="s">
        <v>235</v>
      </c>
      <c r="CY195" t="s">
        <v>183</v>
      </c>
      <c r="CZ195" t="s">
        <v>211</v>
      </c>
      <c r="DA195" t="s">
        <v>460</v>
      </c>
      <c r="DC195" t="s">
        <v>3251</v>
      </c>
      <c r="DM195" t="s">
        <v>198</v>
      </c>
      <c r="DW195" t="s">
        <v>198</v>
      </c>
      <c r="EG195" t="s">
        <v>198</v>
      </c>
      <c r="EQ195" t="s">
        <v>198</v>
      </c>
      <c r="FA195" t="s">
        <v>198</v>
      </c>
      <c r="FK195" t="s">
        <v>198</v>
      </c>
      <c r="FU195" t="s">
        <v>198</v>
      </c>
    </row>
    <row r="196" spans="1:177">
      <c r="A196" s="1" t="str">
        <f>HYPERLINK("http://digipan.lumentumllc.com/apps/getLink/index.php?t=PropLink&amp;p=6594241","PL")</f>
        <v>PL</v>
      </c>
      <c r="B196" s="1" t="str">
        <f>HYPERLINK("http://digipan.lumentumllc.com/apps/getLink/index.php?t=TaxLink&amp;p=6594241","TL")</f>
        <v>TL</v>
      </c>
      <c r="C196" s="1" t="str">
        <f>HYPERLINK("http://digipan.lumentumllc.com/apps/getMap/index.php?p=6594241","Map")</f>
        <v>Map</v>
      </c>
      <c r="E196" t="s">
        <v>177</v>
      </c>
      <c r="F196" t="s">
        <v>178</v>
      </c>
      <c r="L196" t="s">
        <v>3252</v>
      </c>
      <c r="N196" t="s">
        <v>3252</v>
      </c>
      <c r="O196" t="s">
        <v>3252</v>
      </c>
      <c r="P196" t="s">
        <v>3253</v>
      </c>
      <c r="Q196" t="s">
        <v>3252</v>
      </c>
      <c r="V196">
        <v>228</v>
      </c>
      <c r="W196">
        <v>1</v>
      </c>
      <c r="X196">
        <v>2017</v>
      </c>
      <c r="Y196">
        <v>2018</v>
      </c>
      <c r="Z196">
        <v>300.5</v>
      </c>
      <c r="AB196" t="s">
        <v>181</v>
      </c>
      <c r="AC196" t="s">
        <v>182</v>
      </c>
      <c r="AD196" t="s">
        <v>183</v>
      </c>
      <c r="AE196">
        <v>0</v>
      </c>
      <c r="AF196">
        <v>4</v>
      </c>
      <c r="AG196" t="s">
        <v>744</v>
      </c>
      <c r="AH196">
        <v>100</v>
      </c>
      <c r="AK196">
        <v>0</v>
      </c>
      <c r="AL196">
        <v>16416</v>
      </c>
      <c r="AM196">
        <v>16416</v>
      </c>
      <c r="AN196">
        <v>0</v>
      </c>
      <c r="AO196">
        <v>239</v>
      </c>
      <c r="AP196">
        <v>2016</v>
      </c>
      <c r="AQ196">
        <v>1.83</v>
      </c>
      <c r="AS196" t="s">
        <v>3254</v>
      </c>
      <c r="AT196" t="s">
        <v>186</v>
      </c>
      <c r="AU196" t="s">
        <v>177</v>
      </c>
      <c r="AV196" t="s">
        <v>187</v>
      </c>
      <c r="AW196" t="s">
        <v>182</v>
      </c>
      <c r="AX196">
        <v>0</v>
      </c>
      <c r="AY196" t="s">
        <v>312</v>
      </c>
      <c r="AZ196" t="s">
        <v>199</v>
      </c>
      <c r="BA196" t="s">
        <v>313</v>
      </c>
      <c r="BB196" t="s">
        <v>191</v>
      </c>
      <c r="BC196" t="s">
        <v>182</v>
      </c>
      <c r="BD196" t="s">
        <v>182</v>
      </c>
      <c r="BE196" t="s">
        <v>3255</v>
      </c>
      <c r="BF196">
        <v>0</v>
      </c>
      <c r="BG196">
        <v>0</v>
      </c>
      <c r="BH196">
        <v>0</v>
      </c>
      <c r="BI196" t="s">
        <v>199</v>
      </c>
      <c r="BJ196" t="s">
        <v>248</v>
      </c>
      <c r="BL196" t="s">
        <v>841</v>
      </c>
      <c r="BM196" t="s">
        <v>273</v>
      </c>
      <c r="BN196" t="s">
        <v>182</v>
      </c>
      <c r="BO196" t="s">
        <v>198</v>
      </c>
      <c r="BP196" t="s">
        <v>198</v>
      </c>
      <c r="BQ196" t="s">
        <v>198</v>
      </c>
      <c r="BR196" t="s">
        <v>198</v>
      </c>
      <c r="BS196" t="s">
        <v>198</v>
      </c>
      <c r="BT196" t="s">
        <v>198</v>
      </c>
      <c r="BU196" t="s">
        <v>182</v>
      </c>
      <c r="BV196" t="s">
        <v>198</v>
      </c>
      <c r="BW196" t="s">
        <v>198</v>
      </c>
      <c r="BX196" t="s">
        <v>199</v>
      </c>
      <c r="BY196" t="s">
        <v>198</v>
      </c>
      <c r="BZ196" t="s">
        <v>199</v>
      </c>
      <c r="CA196" t="s">
        <v>199</v>
      </c>
      <c r="CB196" t="s">
        <v>3256</v>
      </c>
      <c r="CC196" t="s">
        <v>201</v>
      </c>
      <c r="CD196" t="s">
        <v>202</v>
      </c>
      <c r="CE196" t="s">
        <v>3257</v>
      </c>
      <c r="CF196" t="s">
        <v>204</v>
      </c>
      <c r="CG196" t="s">
        <v>177</v>
      </c>
      <c r="CH196" t="s">
        <v>187</v>
      </c>
      <c r="CI196" t="s">
        <v>3258</v>
      </c>
      <c r="CJ196" t="s">
        <v>1816</v>
      </c>
      <c r="CK196" t="s">
        <v>232</v>
      </c>
      <c r="CL196" t="s">
        <v>233</v>
      </c>
      <c r="CM196" t="s">
        <v>3259</v>
      </c>
      <c r="CN196" t="s">
        <v>1164</v>
      </c>
      <c r="CO196" t="s">
        <v>183</v>
      </c>
      <c r="CP196" t="s">
        <v>211</v>
      </c>
      <c r="CQ196" t="s">
        <v>342</v>
      </c>
      <c r="CS196" t="s">
        <v>1264</v>
      </c>
      <c r="CT196" t="s">
        <v>3018</v>
      </c>
      <c r="CU196" t="s">
        <v>292</v>
      </c>
      <c r="CV196" t="s">
        <v>293</v>
      </c>
      <c r="CW196" t="s">
        <v>3260</v>
      </c>
      <c r="CX196" t="s">
        <v>387</v>
      </c>
      <c r="CY196" t="s">
        <v>183</v>
      </c>
      <c r="CZ196" t="s">
        <v>211</v>
      </c>
      <c r="DA196" t="s">
        <v>199</v>
      </c>
      <c r="DC196" t="s">
        <v>3261</v>
      </c>
      <c r="DD196" t="s">
        <v>1623</v>
      </c>
      <c r="DE196" t="s">
        <v>267</v>
      </c>
      <c r="DF196" t="s">
        <v>268</v>
      </c>
      <c r="DG196" t="s">
        <v>3262</v>
      </c>
      <c r="DH196" t="s">
        <v>400</v>
      </c>
      <c r="DI196" t="s">
        <v>183</v>
      </c>
      <c r="DJ196" t="s">
        <v>211</v>
      </c>
      <c r="DK196" t="s">
        <v>427</v>
      </c>
      <c r="DM196" t="s">
        <v>3261</v>
      </c>
      <c r="DN196" t="s">
        <v>2021</v>
      </c>
      <c r="DO196" t="s">
        <v>273</v>
      </c>
      <c r="DP196" t="s">
        <v>274</v>
      </c>
      <c r="DQ196" t="s">
        <v>3263</v>
      </c>
      <c r="DR196" t="s">
        <v>387</v>
      </c>
      <c r="DS196" t="s">
        <v>183</v>
      </c>
      <c r="DT196" t="s">
        <v>211</v>
      </c>
      <c r="DU196" t="s">
        <v>427</v>
      </c>
      <c r="DW196" t="s">
        <v>2404</v>
      </c>
      <c r="EG196" t="s">
        <v>198</v>
      </c>
      <c r="EQ196" t="s">
        <v>198</v>
      </c>
      <c r="FA196" t="s">
        <v>198</v>
      </c>
      <c r="FK196" t="s">
        <v>198</v>
      </c>
      <c r="FU196" t="s">
        <v>198</v>
      </c>
    </row>
    <row r="197" spans="1:177">
      <c r="A197" s="1" t="str">
        <f>HYPERLINK("http://digipan.lumentumllc.com/apps/getLink/index.php?t=PropLink&amp;p=4637871","PL")</f>
        <v>PL</v>
      </c>
      <c r="B197" s="1" t="str">
        <f>HYPERLINK("http://digipan.lumentumllc.com/apps/getLink/index.php?t=TaxLink&amp;p=4637871","TL")</f>
        <v>TL</v>
      </c>
      <c r="C197" s="1" t="str">
        <f>HYPERLINK("http://digipan.lumentumllc.com/apps/getMap/index.php?p=4637871","Map")</f>
        <v>Map</v>
      </c>
      <c r="E197" t="s">
        <v>177</v>
      </c>
      <c r="F197" t="s">
        <v>178</v>
      </c>
      <c r="L197" t="s">
        <v>3264</v>
      </c>
      <c r="N197" t="s">
        <v>3264</v>
      </c>
      <c r="O197" t="s">
        <v>3264</v>
      </c>
      <c r="P197" t="s">
        <v>3265</v>
      </c>
      <c r="Q197" t="s">
        <v>3264</v>
      </c>
      <c r="V197">
        <v>229</v>
      </c>
      <c r="W197">
        <v>1</v>
      </c>
      <c r="X197">
        <v>2017</v>
      </c>
      <c r="Y197">
        <v>2018</v>
      </c>
      <c r="Z197">
        <v>272.64</v>
      </c>
      <c r="AB197" t="s">
        <v>181</v>
      </c>
      <c r="AC197" t="s">
        <v>182</v>
      </c>
      <c r="AD197" t="s">
        <v>1037</v>
      </c>
      <c r="AE197">
        <v>0</v>
      </c>
      <c r="AF197">
        <v>5</v>
      </c>
      <c r="AG197" t="s">
        <v>3266</v>
      </c>
      <c r="AH197">
        <v>100</v>
      </c>
      <c r="AK197">
        <v>0</v>
      </c>
      <c r="AL197">
        <v>39697</v>
      </c>
      <c r="AM197">
        <v>24880</v>
      </c>
      <c r="AN197">
        <v>14817</v>
      </c>
      <c r="AO197">
        <v>95</v>
      </c>
      <c r="AP197">
        <v>2016</v>
      </c>
      <c r="AQ197">
        <v>0.69</v>
      </c>
      <c r="AS197" t="s">
        <v>3267</v>
      </c>
      <c r="AT197" t="s">
        <v>186</v>
      </c>
      <c r="AU197" t="s">
        <v>177</v>
      </c>
      <c r="AV197" t="s">
        <v>187</v>
      </c>
      <c r="AW197" t="s">
        <v>202</v>
      </c>
      <c r="AX197">
        <v>2</v>
      </c>
      <c r="AY197" t="s">
        <v>188</v>
      </c>
      <c r="AZ197" t="s">
        <v>189</v>
      </c>
      <c r="BA197" t="s">
        <v>190</v>
      </c>
      <c r="BB197" t="s">
        <v>191</v>
      </c>
      <c r="BC197" t="s">
        <v>182</v>
      </c>
      <c r="BD197" t="s">
        <v>182</v>
      </c>
      <c r="BE197" t="s">
        <v>3268</v>
      </c>
      <c r="BF197">
        <v>1</v>
      </c>
      <c r="BG197">
        <v>1</v>
      </c>
      <c r="BH197">
        <v>1986</v>
      </c>
      <c r="BI197" t="s">
        <v>2563</v>
      </c>
      <c r="BJ197" t="s">
        <v>194</v>
      </c>
      <c r="BK197" t="s">
        <v>195</v>
      </c>
      <c r="BL197" t="s">
        <v>199</v>
      </c>
      <c r="BM197" t="s">
        <v>1474</v>
      </c>
      <c r="BN197" t="s">
        <v>182</v>
      </c>
      <c r="BO197" t="s">
        <v>198</v>
      </c>
      <c r="BP197" t="s">
        <v>198</v>
      </c>
      <c r="BQ197" t="s">
        <v>198</v>
      </c>
      <c r="BR197" t="s">
        <v>198</v>
      </c>
      <c r="BS197" t="s">
        <v>198</v>
      </c>
      <c r="BT197" t="s">
        <v>198</v>
      </c>
      <c r="BU197" t="s">
        <v>182</v>
      </c>
      <c r="BV197" t="s">
        <v>198</v>
      </c>
      <c r="BW197" t="s">
        <v>198</v>
      </c>
      <c r="BX197" t="s">
        <v>199</v>
      </c>
      <c r="BY197" t="s">
        <v>198</v>
      </c>
      <c r="BZ197" t="s">
        <v>199</v>
      </c>
      <c r="CA197" t="s">
        <v>199</v>
      </c>
      <c r="CB197" t="s">
        <v>3269</v>
      </c>
      <c r="CC197" t="s">
        <v>201</v>
      </c>
      <c r="CD197" t="s">
        <v>202</v>
      </c>
      <c r="CE197" t="s">
        <v>3270</v>
      </c>
      <c r="CF197" t="s">
        <v>204</v>
      </c>
      <c r="CG197" t="s">
        <v>177</v>
      </c>
      <c r="CH197" t="s">
        <v>187</v>
      </c>
      <c r="CI197" t="s">
        <v>3271</v>
      </c>
      <c r="CJ197" t="s">
        <v>1840</v>
      </c>
      <c r="CK197" t="s">
        <v>232</v>
      </c>
      <c r="CL197" t="s">
        <v>233</v>
      </c>
      <c r="CM197" t="s">
        <v>3272</v>
      </c>
      <c r="CN197" t="s">
        <v>331</v>
      </c>
      <c r="CO197" t="s">
        <v>183</v>
      </c>
      <c r="CP197" t="s">
        <v>211</v>
      </c>
      <c r="CQ197" t="s">
        <v>329</v>
      </c>
      <c r="CS197" t="s">
        <v>1760</v>
      </c>
      <c r="CT197" t="s">
        <v>1588</v>
      </c>
      <c r="CU197" t="s">
        <v>292</v>
      </c>
      <c r="CV197" t="s">
        <v>293</v>
      </c>
      <c r="CW197" t="s">
        <v>3273</v>
      </c>
      <c r="CX197" t="s">
        <v>482</v>
      </c>
      <c r="CY197" t="s">
        <v>5</v>
      </c>
      <c r="CZ197" t="s">
        <v>211</v>
      </c>
      <c r="DA197" t="s">
        <v>298</v>
      </c>
      <c r="DC197" t="s">
        <v>1760</v>
      </c>
      <c r="DD197" t="s">
        <v>2865</v>
      </c>
      <c r="DE197" t="s">
        <v>267</v>
      </c>
      <c r="DF197" t="s">
        <v>268</v>
      </c>
      <c r="DG197" t="s">
        <v>3274</v>
      </c>
      <c r="DH197" t="s">
        <v>482</v>
      </c>
      <c r="DI197" t="s">
        <v>5</v>
      </c>
      <c r="DJ197" t="s">
        <v>211</v>
      </c>
      <c r="DK197" t="s">
        <v>329</v>
      </c>
      <c r="DM197" t="s">
        <v>3275</v>
      </c>
      <c r="DN197" t="s">
        <v>1701</v>
      </c>
      <c r="DO197" t="s">
        <v>302</v>
      </c>
      <c r="DP197" t="s">
        <v>303</v>
      </c>
      <c r="DQ197" t="s">
        <v>3276</v>
      </c>
      <c r="DR197" t="s">
        <v>305</v>
      </c>
      <c r="DS197" t="s">
        <v>183</v>
      </c>
      <c r="DT197" t="s">
        <v>211</v>
      </c>
      <c r="DU197" t="s">
        <v>329</v>
      </c>
      <c r="DW197" t="s">
        <v>3277</v>
      </c>
      <c r="DX197" t="s">
        <v>3278</v>
      </c>
      <c r="DY197" t="s">
        <v>238</v>
      </c>
      <c r="DZ197" t="s">
        <v>239</v>
      </c>
      <c r="EA197" t="s">
        <v>3279</v>
      </c>
      <c r="EB197" t="s">
        <v>440</v>
      </c>
      <c r="EC197" t="s">
        <v>183</v>
      </c>
      <c r="ED197" t="s">
        <v>211</v>
      </c>
      <c r="EE197" t="s">
        <v>306</v>
      </c>
      <c r="EG197" t="s">
        <v>3280</v>
      </c>
      <c r="EQ197" t="s">
        <v>198</v>
      </c>
      <c r="FA197" t="s">
        <v>198</v>
      </c>
      <c r="FK197" t="s">
        <v>198</v>
      </c>
      <c r="FU197" t="s">
        <v>198</v>
      </c>
    </row>
    <row r="198" spans="1:177">
      <c r="A198" s="1" t="str">
        <f>HYPERLINK("http://digipan.lumentumllc.com/apps/getLink/index.php?t=PropLink&amp;p=5246691","PL")</f>
        <v>PL</v>
      </c>
      <c r="B198" s="1" t="str">
        <f>HYPERLINK("http://digipan.lumentumllc.com/apps/getLink/index.php?t=TaxLink&amp;p=5246691","TL")</f>
        <v>TL</v>
      </c>
      <c r="C198" s="1" t="str">
        <f>HYPERLINK("http://digipan.lumentumllc.com/apps/getMap/index.php?p=5246691","Map")</f>
        <v>Map</v>
      </c>
      <c r="E198" t="s">
        <v>177</v>
      </c>
      <c r="F198" t="s">
        <v>178</v>
      </c>
      <c r="L198" t="s">
        <v>3281</v>
      </c>
      <c r="N198" t="s">
        <v>3281</v>
      </c>
      <c r="O198" t="s">
        <v>3281</v>
      </c>
      <c r="P198" t="s">
        <v>3282</v>
      </c>
      <c r="Q198" t="s">
        <v>3281</v>
      </c>
      <c r="V198">
        <v>230</v>
      </c>
      <c r="W198">
        <v>1</v>
      </c>
      <c r="X198">
        <v>2017</v>
      </c>
      <c r="Y198">
        <v>2018</v>
      </c>
      <c r="Z198">
        <v>387.57</v>
      </c>
      <c r="AB198" t="s">
        <v>181</v>
      </c>
      <c r="AC198" t="s">
        <v>182</v>
      </c>
      <c r="AD198" t="s">
        <v>183</v>
      </c>
      <c r="AE198">
        <v>1</v>
      </c>
      <c r="AF198">
        <v>4</v>
      </c>
      <c r="AG198" t="s">
        <v>951</v>
      </c>
      <c r="AH198">
        <v>80</v>
      </c>
      <c r="AI198">
        <v>371.61</v>
      </c>
      <c r="AJ198">
        <v>18.579999999999998</v>
      </c>
      <c r="AK198">
        <v>390.19</v>
      </c>
      <c r="AL198">
        <v>60342</v>
      </c>
      <c r="AM198">
        <v>25920</v>
      </c>
      <c r="AN198">
        <v>34422</v>
      </c>
      <c r="AO198">
        <v>319</v>
      </c>
      <c r="AP198">
        <v>2016</v>
      </c>
      <c r="AQ198">
        <v>0.64</v>
      </c>
      <c r="AR198">
        <v>0.65</v>
      </c>
      <c r="AS198" t="s">
        <v>3283</v>
      </c>
      <c r="AT198" t="s">
        <v>186</v>
      </c>
      <c r="AU198" t="s">
        <v>177</v>
      </c>
      <c r="AV198" t="s">
        <v>187</v>
      </c>
      <c r="AW198" t="s">
        <v>202</v>
      </c>
      <c r="AX198">
        <v>2</v>
      </c>
      <c r="AY198" t="s">
        <v>188</v>
      </c>
      <c r="AZ198" t="s">
        <v>189</v>
      </c>
      <c r="BA198" t="s">
        <v>190</v>
      </c>
      <c r="BB198" t="s">
        <v>191</v>
      </c>
      <c r="BC198" t="s">
        <v>182</v>
      </c>
      <c r="BD198" t="s">
        <v>182</v>
      </c>
      <c r="BE198" t="s">
        <v>3284</v>
      </c>
      <c r="BF198">
        <v>1</v>
      </c>
      <c r="BG198">
        <v>1</v>
      </c>
      <c r="BH198">
        <v>1989</v>
      </c>
      <c r="BI198" t="s">
        <v>3285</v>
      </c>
      <c r="BJ198" t="s">
        <v>194</v>
      </c>
      <c r="BK198" t="s">
        <v>195</v>
      </c>
      <c r="BL198" t="s">
        <v>1439</v>
      </c>
      <c r="BM198" t="s">
        <v>981</v>
      </c>
      <c r="BN198" t="s">
        <v>182</v>
      </c>
      <c r="BO198" t="s">
        <v>198</v>
      </c>
      <c r="BP198" t="s">
        <v>198</v>
      </c>
      <c r="BQ198" t="s">
        <v>198</v>
      </c>
      <c r="BR198" t="s">
        <v>198</v>
      </c>
      <c r="BS198" t="s">
        <v>198</v>
      </c>
      <c r="BT198" t="s">
        <v>198</v>
      </c>
      <c r="BU198" t="s">
        <v>182</v>
      </c>
      <c r="BV198" t="s">
        <v>198</v>
      </c>
      <c r="BW198" t="s">
        <v>198</v>
      </c>
      <c r="BX198" t="s">
        <v>199</v>
      </c>
      <c r="BY198" t="s">
        <v>198</v>
      </c>
      <c r="BZ198" t="s">
        <v>199</v>
      </c>
      <c r="CA198" t="s">
        <v>199</v>
      </c>
      <c r="CB198" t="s">
        <v>3286</v>
      </c>
      <c r="CC198" t="s">
        <v>201</v>
      </c>
      <c r="CD198" t="s">
        <v>182</v>
      </c>
      <c r="CE198" t="s">
        <v>3287</v>
      </c>
      <c r="CF198" t="s">
        <v>204</v>
      </c>
      <c r="CG198" t="s">
        <v>177</v>
      </c>
      <c r="CH198" t="s">
        <v>187</v>
      </c>
      <c r="CI198" t="s">
        <v>3288</v>
      </c>
      <c r="CJ198" t="s">
        <v>1876</v>
      </c>
      <c r="CK198" t="s">
        <v>232</v>
      </c>
      <c r="CL198" t="s">
        <v>233</v>
      </c>
      <c r="CM198" t="s">
        <v>3289</v>
      </c>
      <c r="CN198" t="s">
        <v>235</v>
      </c>
      <c r="CO198" t="s">
        <v>183</v>
      </c>
      <c r="CP198" t="s">
        <v>266</v>
      </c>
      <c r="CS198" t="s">
        <v>198</v>
      </c>
      <c r="CT198" t="s">
        <v>1620</v>
      </c>
      <c r="CU198" t="s">
        <v>292</v>
      </c>
      <c r="CV198" t="s">
        <v>293</v>
      </c>
      <c r="CW198" t="s">
        <v>3290</v>
      </c>
      <c r="CX198" t="s">
        <v>235</v>
      </c>
      <c r="CY198" t="s">
        <v>183</v>
      </c>
      <c r="CZ198" t="s">
        <v>211</v>
      </c>
      <c r="DA198" t="s">
        <v>264</v>
      </c>
      <c r="DC198" t="s">
        <v>3291</v>
      </c>
      <c r="DD198" t="s">
        <v>2875</v>
      </c>
      <c r="DE198" t="s">
        <v>267</v>
      </c>
      <c r="DF198" t="s">
        <v>268</v>
      </c>
      <c r="DG198" t="s">
        <v>3292</v>
      </c>
      <c r="DH198" t="s">
        <v>235</v>
      </c>
      <c r="DI198" t="s">
        <v>183</v>
      </c>
      <c r="DJ198" t="s">
        <v>211</v>
      </c>
      <c r="DK198" t="s">
        <v>212</v>
      </c>
      <c r="DM198" t="s">
        <v>3293</v>
      </c>
      <c r="DN198" t="s">
        <v>3154</v>
      </c>
      <c r="DO198" t="s">
        <v>302</v>
      </c>
      <c r="DP198" t="s">
        <v>303</v>
      </c>
      <c r="DQ198" t="s">
        <v>3294</v>
      </c>
      <c r="DR198" t="s">
        <v>436</v>
      </c>
      <c r="DS198" t="s">
        <v>183</v>
      </c>
      <c r="DT198" t="s">
        <v>211</v>
      </c>
      <c r="DU198" t="s">
        <v>616</v>
      </c>
      <c r="DW198" t="s">
        <v>3295</v>
      </c>
      <c r="DX198" t="s">
        <v>3296</v>
      </c>
      <c r="DY198" t="s">
        <v>346</v>
      </c>
      <c r="DZ198" t="s">
        <v>347</v>
      </c>
      <c r="EA198" t="s">
        <v>3297</v>
      </c>
      <c r="EB198" t="s">
        <v>247</v>
      </c>
      <c r="EC198" t="s">
        <v>183</v>
      </c>
      <c r="ED198" t="s">
        <v>211</v>
      </c>
      <c r="EE198" t="s">
        <v>329</v>
      </c>
      <c r="EG198" t="s">
        <v>1324</v>
      </c>
      <c r="EQ198" t="s">
        <v>198</v>
      </c>
      <c r="FA198" t="s">
        <v>198</v>
      </c>
      <c r="FK198" t="s">
        <v>198</v>
      </c>
      <c r="FU198" t="s">
        <v>198</v>
      </c>
    </row>
    <row r="199" spans="1:177">
      <c r="A199" s="1" t="str">
        <f>HYPERLINK("http://digipan.lumentumllc.com/apps/getLink/index.php?t=PropLink&amp;p=6886762","PL")</f>
        <v>PL</v>
      </c>
      <c r="B199" s="1" t="str">
        <f>HYPERLINK("http://digipan.lumentumllc.com/apps/getLink/index.php?t=TaxLink&amp;p=6886762","TL")</f>
        <v>TL</v>
      </c>
      <c r="C199" s="1" t="str">
        <f>HYPERLINK("http://digipan.lumentumllc.com/apps/getMap/index.php?p=6886762","Map")</f>
        <v>Map</v>
      </c>
      <c r="E199" t="s">
        <v>177</v>
      </c>
      <c r="F199" t="s">
        <v>178</v>
      </c>
      <c r="L199" t="s">
        <v>3298</v>
      </c>
      <c r="N199" t="s">
        <v>3298</v>
      </c>
      <c r="O199" t="s">
        <v>3298</v>
      </c>
      <c r="P199" t="s">
        <v>3299</v>
      </c>
      <c r="Q199" t="s">
        <v>3298</v>
      </c>
      <c r="V199">
        <v>231</v>
      </c>
      <c r="W199">
        <v>1</v>
      </c>
      <c r="X199">
        <v>2017</v>
      </c>
      <c r="Y199">
        <v>2018</v>
      </c>
      <c r="Z199">
        <v>787.67</v>
      </c>
      <c r="AB199" t="s">
        <v>181</v>
      </c>
      <c r="AC199" t="s">
        <v>182</v>
      </c>
      <c r="AD199" t="s">
        <v>183</v>
      </c>
      <c r="AE199">
        <v>1</v>
      </c>
      <c r="AF199">
        <v>2</v>
      </c>
      <c r="AG199" t="s">
        <v>363</v>
      </c>
      <c r="AH199">
        <v>67</v>
      </c>
      <c r="AI199">
        <v>766.79</v>
      </c>
      <c r="AJ199">
        <v>38.340000000000003</v>
      </c>
      <c r="AK199">
        <v>805.13</v>
      </c>
      <c r="AL199">
        <v>92796</v>
      </c>
      <c r="AM199">
        <v>38400</v>
      </c>
      <c r="AN199">
        <v>54396</v>
      </c>
      <c r="AO199">
        <v>684</v>
      </c>
      <c r="AP199">
        <v>2016</v>
      </c>
      <c r="AQ199">
        <v>0.85</v>
      </c>
      <c r="AR199">
        <v>0.87</v>
      </c>
      <c r="AS199" t="s">
        <v>3300</v>
      </c>
      <c r="AT199" t="s">
        <v>186</v>
      </c>
      <c r="AU199" t="s">
        <v>177</v>
      </c>
      <c r="AV199" t="s">
        <v>187</v>
      </c>
      <c r="AW199" t="s">
        <v>202</v>
      </c>
      <c r="AX199">
        <v>2</v>
      </c>
      <c r="AY199" t="s">
        <v>188</v>
      </c>
      <c r="AZ199" t="s">
        <v>189</v>
      </c>
      <c r="BA199" t="s">
        <v>190</v>
      </c>
      <c r="BB199" t="s">
        <v>191</v>
      </c>
      <c r="BC199" t="s">
        <v>182</v>
      </c>
      <c r="BD199" t="s">
        <v>182</v>
      </c>
      <c r="BE199" t="s">
        <v>3301</v>
      </c>
      <c r="BF199">
        <v>1</v>
      </c>
      <c r="BG199">
        <v>1</v>
      </c>
      <c r="BH199">
        <v>2003</v>
      </c>
      <c r="BI199" t="s">
        <v>3302</v>
      </c>
      <c r="BJ199" t="s">
        <v>194</v>
      </c>
      <c r="BK199" t="s">
        <v>195</v>
      </c>
      <c r="BL199" t="s">
        <v>3303</v>
      </c>
      <c r="BM199" t="s">
        <v>273</v>
      </c>
      <c r="BN199" t="s">
        <v>182</v>
      </c>
      <c r="BO199" t="s">
        <v>198</v>
      </c>
      <c r="BP199" t="s">
        <v>198</v>
      </c>
      <c r="BQ199" t="s">
        <v>198</v>
      </c>
      <c r="BR199" t="s">
        <v>198</v>
      </c>
      <c r="BS199" t="s">
        <v>198</v>
      </c>
      <c r="BT199" t="s">
        <v>198</v>
      </c>
      <c r="BU199" t="s">
        <v>182</v>
      </c>
      <c r="BV199" t="s">
        <v>198</v>
      </c>
      <c r="BW199" t="s">
        <v>198</v>
      </c>
      <c r="BX199" t="s">
        <v>199</v>
      </c>
      <c r="BY199" t="s">
        <v>198</v>
      </c>
      <c r="BZ199" t="s">
        <v>199</v>
      </c>
      <c r="CA199" t="s">
        <v>199</v>
      </c>
      <c r="CB199" t="s">
        <v>3304</v>
      </c>
      <c r="CC199" t="s">
        <v>201</v>
      </c>
      <c r="CD199" t="s">
        <v>182</v>
      </c>
      <c r="CE199" t="s">
        <v>3305</v>
      </c>
      <c r="CF199" t="s">
        <v>204</v>
      </c>
      <c r="CG199" t="s">
        <v>177</v>
      </c>
      <c r="CH199" t="s">
        <v>187</v>
      </c>
      <c r="CI199" t="s">
        <v>3306</v>
      </c>
      <c r="CJ199" t="s">
        <v>3307</v>
      </c>
      <c r="CK199" t="s">
        <v>232</v>
      </c>
      <c r="CL199" t="s">
        <v>233</v>
      </c>
      <c r="CM199" t="s">
        <v>3308</v>
      </c>
      <c r="CN199" t="s">
        <v>235</v>
      </c>
      <c r="CO199" t="s">
        <v>183</v>
      </c>
      <c r="CP199" t="s">
        <v>266</v>
      </c>
      <c r="CS199" t="s">
        <v>198</v>
      </c>
      <c r="CT199" t="s">
        <v>3091</v>
      </c>
      <c r="CU199" t="s">
        <v>292</v>
      </c>
      <c r="CV199" t="s">
        <v>293</v>
      </c>
      <c r="CW199" t="s">
        <v>3309</v>
      </c>
      <c r="CX199" t="s">
        <v>235</v>
      </c>
      <c r="CY199" t="s">
        <v>183</v>
      </c>
      <c r="CZ199" t="s">
        <v>211</v>
      </c>
      <c r="DA199" t="s">
        <v>298</v>
      </c>
      <c r="DC199" t="s">
        <v>3204</v>
      </c>
      <c r="DD199" t="s">
        <v>2885</v>
      </c>
      <c r="DE199" t="s">
        <v>267</v>
      </c>
      <c r="DF199" t="s">
        <v>268</v>
      </c>
      <c r="DG199" t="s">
        <v>3310</v>
      </c>
      <c r="DH199" t="s">
        <v>235</v>
      </c>
      <c r="DI199" t="s">
        <v>183</v>
      </c>
      <c r="DJ199" t="s">
        <v>211</v>
      </c>
      <c r="DK199" t="s">
        <v>298</v>
      </c>
      <c r="DM199" t="s">
        <v>868</v>
      </c>
      <c r="DW199" t="s">
        <v>198</v>
      </c>
      <c r="EG199" t="s">
        <v>198</v>
      </c>
      <c r="EQ199" t="s">
        <v>198</v>
      </c>
      <c r="FA199" t="s">
        <v>198</v>
      </c>
      <c r="FK199" t="s">
        <v>198</v>
      </c>
      <c r="FU199" t="s">
        <v>198</v>
      </c>
    </row>
    <row r="200" spans="1:177">
      <c r="A200" s="1" t="str">
        <f>HYPERLINK("http://digipan.lumentumllc.com/apps/getLink/index.php?t=PropLink&amp;p=4637875","PL")</f>
        <v>PL</v>
      </c>
      <c r="B200" s="1" t="str">
        <f>HYPERLINK("http://digipan.lumentumllc.com/apps/getLink/index.php?t=TaxLink&amp;p=4637875","TL")</f>
        <v>TL</v>
      </c>
      <c r="C200" s="1" t="str">
        <f>HYPERLINK("http://digipan.lumentumllc.com/apps/getMap/index.php?p=4637875","Map")</f>
        <v>Map</v>
      </c>
      <c r="E200" t="s">
        <v>177</v>
      </c>
      <c r="F200" t="s">
        <v>178</v>
      </c>
      <c r="L200" t="s">
        <v>3311</v>
      </c>
      <c r="N200" t="s">
        <v>3311</v>
      </c>
      <c r="O200" t="s">
        <v>3311</v>
      </c>
      <c r="P200" t="s">
        <v>3312</v>
      </c>
      <c r="Q200" t="s">
        <v>3311</v>
      </c>
      <c r="V200">
        <v>232</v>
      </c>
      <c r="W200">
        <v>1</v>
      </c>
      <c r="X200">
        <v>2017</v>
      </c>
      <c r="Y200">
        <v>2018</v>
      </c>
      <c r="Z200">
        <v>1594.94</v>
      </c>
      <c r="AB200" t="s">
        <v>181</v>
      </c>
      <c r="AC200" t="s">
        <v>202</v>
      </c>
      <c r="AD200" t="s">
        <v>183</v>
      </c>
      <c r="AE200">
        <v>0</v>
      </c>
      <c r="AF200">
        <v>6</v>
      </c>
      <c r="AG200" t="s">
        <v>3266</v>
      </c>
      <c r="AH200">
        <v>100</v>
      </c>
      <c r="AK200">
        <v>0</v>
      </c>
      <c r="AL200">
        <v>95461</v>
      </c>
      <c r="AM200">
        <v>80740</v>
      </c>
      <c r="AN200">
        <v>14721</v>
      </c>
      <c r="AO200">
        <v>1447</v>
      </c>
      <c r="AP200">
        <v>2016</v>
      </c>
      <c r="AQ200">
        <v>1.67</v>
      </c>
      <c r="AS200" t="s">
        <v>3313</v>
      </c>
      <c r="AT200" t="s">
        <v>186</v>
      </c>
      <c r="AU200" t="s">
        <v>177</v>
      </c>
      <c r="AV200" t="s">
        <v>187</v>
      </c>
      <c r="AW200" t="s">
        <v>182</v>
      </c>
      <c r="AX200">
        <v>2</v>
      </c>
      <c r="AY200" t="s">
        <v>188</v>
      </c>
      <c r="AZ200" t="s">
        <v>189</v>
      </c>
      <c r="BA200" t="s">
        <v>190</v>
      </c>
      <c r="BB200" t="s">
        <v>191</v>
      </c>
      <c r="BC200" t="s">
        <v>182</v>
      </c>
      <c r="BD200" t="s">
        <v>182</v>
      </c>
      <c r="BE200" t="s">
        <v>3314</v>
      </c>
      <c r="BF200">
        <v>1</v>
      </c>
      <c r="BG200">
        <v>1</v>
      </c>
      <c r="BH200">
        <v>1990</v>
      </c>
      <c r="BI200" t="s">
        <v>2209</v>
      </c>
      <c r="BJ200" t="s">
        <v>194</v>
      </c>
      <c r="BK200" t="s">
        <v>195</v>
      </c>
      <c r="BL200" t="s">
        <v>199</v>
      </c>
      <c r="BM200" t="s">
        <v>358</v>
      </c>
      <c r="BN200" t="s">
        <v>182</v>
      </c>
      <c r="BO200" t="s">
        <v>198</v>
      </c>
      <c r="BP200" t="s">
        <v>198</v>
      </c>
      <c r="BQ200" t="s">
        <v>198</v>
      </c>
      <c r="BR200" t="s">
        <v>198</v>
      </c>
      <c r="BS200" t="s">
        <v>198</v>
      </c>
      <c r="BT200" t="s">
        <v>198</v>
      </c>
      <c r="BU200" t="s">
        <v>182</v>
      </c>
      <c r="BV200" t="s">
        <v>198</v>
      </c>
      <c r="BW200" t="s">
        <v>198</v>
      </c>
      <c r="BX200" t="s">
        <v>199</v>
      </c>
      <c r="BY200" t="s">
        <v>198</v>
      </c>
      <c r="BZ200" t="s">
        <v>199</v>
      </c>
      <c r="CA200" t="s">
        <v>199</v>
      </c>
      <c r="CB200" t="s">
        <v>3315</v>
      </c>
      <c r="CC200" t="s">
        <v>201</v>
      </c>
      <c r="CD200" t="s">
        <v>182</v>
      </c>
      <c r="CE200" t="s">
        <v>3316</v>
      </c>
      <c r="CF200" t="s">
        <v>204</v>
      </c>
      <c r="CG200" t="s">
        <v>177</v>
      </c>
      <c r="CH200" t="s">
        <v>187</v>
      </c>
      <c r="CI200" t="s">
        <v>3317</v>
      </c>
      <c r="CJ200" t="s">
        <v>1925</v>
      </c>
      <c r="CK200" t="s">
        <v>292</v>
      </c>
      <c r="CL200" t="s">
        <v>293</v>
      </c>
      <c r="CM200" t="s">
        <v>3318</v>
      </c>
      <c r="CN200" t="s">
        <v>482</v>
      </c>
      <c r="CO200" t="s">
        <v>183</v>
      </c>
      <c r="CP200" t="s">
        <v>211</v>
      </c>
      <c r="CQ200" t="s">
        <v>270</v>
      </c>
      <c r="CR200" t="s">
        <v>271</v>
      </c>
      <c r="CS200" t="s">
        <v>3319</v>
      </c>
      <c r="CT200" t="s">
        <v>1502</v>
      </c>
      <c r="CU200" t="s">
        <v>267</v>
      </c>
      <c r="CV200" t="s">
        <v>268</v>
      </c>
      <c r="CW200" t="s">
        <v>3320</v>
      </c>
      <c r="CX200" t="s">
        <v>235</v>
      </c>
      <c r="CY200" t="s">
        <v>183</v>
      </c>
      <c r="CZ200" t="s">
        <v>211</v>
      </c>
      <c r="DA200" t="s">
        <v>337</v>
      </c>
      <c r="DB200" t="s">
        <v>271</v>
      </c>
      <c r="DC200" t="s">
        <v>3319</v>
      </c>
      <c r="DD200" t="s">
        <v>3321</v>
      </c>
      <c r="DE200" t="s">
        <v>273</v>
      </c>
      <c r="DF200" t="s">
        <v>268</v>
      </c>
      <c r="DG200" t="s">
        <v>3322</v>
      </c>
      <c r="DH200" t="s">
        <v>482</v>
      </c>
      <c r="DI200" t="s">
        <v>183</v>
      </c>
      <c r="DJ200" t="s">
        <v>211</v>
      </c>
      <c r="DK200" t="s">
        <v>337</v>
      </c>
      <c r="DL200" t="s">
        <v>271</v>
      </c>
      <c r="DM200" t="s">
        <v>3319</v>
      </c>
      <c r="DN200" t="s">
        <v>3323</v>
      </c>
      <c r="DO200" t="s">
        <v>302</v>
      </c>
      <c r="DP200" t="s">
        <v>268</v>
      </c>
      <c r="DQ200" t="s">
        <v>3324</v>
      </c>
      <c r="DR200" t="s">
        <v>482</v>
      </c>
      <c r="DS200" t="s">
        <v>183</v>
      </c>
      <c r="DT200" t="s">
        <v>211</v>
      </c>
      <c r="DV200" t="s">
        <v>271</v>
      </c>
      <c r="DW200" t="s">
        <v>198</v>
      </c>
      <c r="DX200" t="s">
        <v>3325</v>
      </c>
      <c r="DY200" t="s">
        <v>238</v>
      </c>
      <c r="DZ200" t="s">
        <v>268</v>
      </c>
      <c r="EA200" t="s">
        <v>3326</v>
      </c>
      <c r="EB200" t="s">
        <v>482</v>
      </c>
      <c r="EC200" t="s">
        <v>183</v>
      </c>
      <c r="ED200" t="s">
        <v>211</v>
      </c>
      <c r="EF200" t="s">
        <v>271</v>
      </c>
      <c r="EG200" t="s">
        <v>198</v>
      </c>
      <c r="EH200" t="s">
        <v>3327</v>
      </c>
      <c r="EI200" t="s">
        <v>207</v>
      </c>
      <c r="EJ200" t="s">
        <v>208</v>
      </c>
      <c r="EK200" t="s">
        <v>3328</v>
      </c>
      <c r="EL200" t="s">
        <v>576</v>
      </c>
      <c r="EM200" t="s">
        <v>183</v>
      </c>
      <c r="EN200" t="s">
        <v>211</v>
      </c>
      <c r="EO200" t="s">
        <v>493</v>
      </c>
      <c r="EQ200" t="s">
        <v>3329</v>
      </c>
      <c r="FA200" t="s">
        <v>198</v>
      </c>
      <c r="FK200" t="s">
        <v>198</v>
      </c>
      <c r="FU200" t="s">
        <v>198</v>
      </c>
    </row>
    <row r="201" spans="1:177">
      <c r="A201" s="1" t="str">
        <f>HYPERLINK("http://digipan.lumentumllc.com/apps/getLink/index.php?t=PropLink&amp;p=4637876","PL")</f>
        <v>PL</v>
      </c>
      <c r="B201" s="1" t="str">
        <f>HYPERLINK("http://digipan.lumentumllc.com/apps/getLink/index.php?t=TaxLink&amp;p=4637876","TL")</f>
        <v>TL</v>
      </c>
      <c r="C201" s="1" t="str">
        <f>HYPERLINK("http://digipan.lumentumllc.com/apps/getMap/index.php?p=4637876","Map")</f>
        <v>Map</v>
      </c>
      <c r="E201" t="s">
        <v>177</v>
      </c>
      <c r="F201" t="s">
        <v>178</v>
      </c>
      <c r="L201" t="s">
        <v>3330</v>
      </c>
      <c r="N201" t="s">
        <v>3330</v>
      </c>
      <c r="O201" t="s">
        <v>3330</v>
      </c>
      <c r="P201" t="s">
        <v>3331</v>
      </c>
      <c r="Q201" t="s">
        <v>3330</v>
      </c>
      <c r="V201">
        <v>233</v>
      </c>
      <c r="W201">
        <v>1</v>
      </c>
      <c r="X201">
        <v>2017</v>
      </c>
      <c r="Y201">
        <v>2018</v>
      </c>
      <c r="Z201">
        <v>282.26</v>
      </c>
      <c r="AB201" t="s">
        <v>181</v>
      </c>
      <c r="AC201" t="s">
        <v>182</v>
      </c>
      <c r="AD201" t="s">
        <v>183</v>
      </c>
      <c r="AE201">
        <v>0</v>
      </c>
      <c r="AF201">
        <v>3</v>
      </c>
      <c r="AG201" t="s">
        <v>216</v>
      </c>
      <c r="AH201">
        <v>100</v>
      </c>
      <c r="AK201">
        <v>0</v>
      </c>
      <c r="AL201">
        <v>40286</v>
      </c>
      <c r="AM201">
        <v>24000</v>
      </c>
      <c r="AN201">
        <v>16286</v>
      </c>
      <c r="AO201">
        <v>222</v>
      </c>
      <c r="AP201">
        <v>2016</v>
      </c>
      <c r="AQ201">
        <v>0.7</v>
      </c>
      <c r="AS201" t="s">
        <v>3332</v>
      </c>
      <c r="AT201" t="s">
        <v>186</v>
      </c>
      <c r="AU201" t="s">
        <v>177</v>
      </c>
      <c r="AV201" t="s">
        <v>187</v>
      </c>
      <c r="AW201" t="s">
        <v>202</v>
      </c>
      <c r="AX201">
        <v>2</v>
      </c>
      <c r="AY201" t="s">
        <v>188</v>
      </c>
      <c r="AZ201" t="s">
        <v>189</v>
      </c>
      <c r="BA201" t="s">
        <v>190</v>
      </c>
      <c r="BB201" t="s">
        <v>191</v>
      </c>
      <c r="BC201" t="s">
        <v>182</v>
      </c>
      <c r="BD201" t="s">
        <v>182</v>
      </c>
      <c r="BE201" t="s">
        <v>796</v>
      </c>
      <c r="BF201">
        <v>1</v>
      </c>
      <c r="BG201">
        <v>1</v>
      </c>
      <c r="BH201">
        <v>1982</v>
      </c>
      <c r="BI201" t="s">
        <v>3333</v>
      </c>
      <c r="BJ201" t="s">
        <v>194</v>
      </c>
      <c r="BK201" t="s">
        <v>195</v>
      </c>
      <c r="BL201" t="s">
        <v>199</v>
      </c>
      <c r="BM201" t="s">
        <v>267</v>
      </c>
      <c r="BN201" t="s">
        <v>182</v>
      </c>
      <c r="BO201" t="s">
        <v>3334</v>
      </c>
      <c r="BP201" t="s">
        <v>3335</v>
      </c>
      <c r="BS201" t="s">
        <v>2631</v>
      </c>
      <c r="BT201" t="s">
        <v>198</v>
      </c>
      <c r="BU201" t="s">
        <v>182</v>
      </c>
      <c r="BV201" t="s">
        <v>198</v>
      </c>
      <c r="BW201" t="s">
        <v>198</v>
      </c>
      <c r="BX201" t="s">
        <v>199</v>
      </c>
      <c r="BY201" t="s">
        <v>198</v>
      </c>
      <c r="BZ201" t="s">
        <v>199</v>
      </c>
      <c r="CA201" t="s">
        <v>199</v>
      </c>
      <c r="CB201" t="s">
        <v>3336</v>
      </c>
      <c r="CC201" t="s">
        <v>201</v>
      </c>
      <c r="CD201" t="s">
        <v>182</v>
      </c>
      <c r="CE201" t="s">
        <v>3337</v>
      </c>
      <c r="CF201" t="s">
        <v>204</v>
      </c>
      <c r="CG201" t="s">
        <v>177</v>
      </c>
      <c r="CH201" t="s">
        <v>187</v>
      </c>
      <c r="CI201" t="s">
        <v>3338</v>
      </c>
      <c r="CJ201" t="s">
        <v>1646</v>
      </c>
      <c r="CK201" t="s">
        <v>292</v>
      </c>
      <c r="CL201" t="s">
        <v>293</v>
      </c>
      <c r="CM201" t="s">
        <v>3339</v>
      </c>
      <c r="CN201" t="s">
        <v>235</v>
      </c>
      <c r="CO201" t="s">
        <v>183</v>
      </c>
      <c r="CP201" t="s">
        <v>211</v>
      </c>
      <c r="CQ201" t="s">
        <v>342</v>
      </c>
      <c r="CS201" t="s">
        <v>3340</v>
      </c>
      <c r="CT201" t="s">
        <v>3190</v>
      </c>
      <c r="CU201" t="s">
        <v>267</v>
      </c>
      <c r="CV201" t="s">
        <v>268</v>
      </c>
      <c r="CW201" t="s">
        <v>3341</v>
      </c>
      <c r="CX201" t="s">
        <v>3342</v>
      </c>
      <c r="CY201" t="s">
        <v>183</v>
      </c>
      <c r="CZ201" t="s">
        <v>211</v>
      </c>
      <c r="DA201" t="s">
        <v>206</v>
      </c>
      <c r="DC201" t="s">
        <v>3343</v>
      </c>
      <c r="DD201" t="s">
        <v>3344</v>
      </c>
      <c r="DE201" t="s">
        <v>207</v>
      </c>
      <c r="DF201" t="s">
        <v>208</v>
      </c>
      <c r="DG201" t="s">
        <v>3345</v>
      </c>
      <c r="DH201" t="s">
        <v>210</v>
      </c>
      <c r="DI201" t="s">
        <v>183</v>
      </c>
      <c r="DJ201" t="s">
        <v>211</v>
      </c>
      <c r="DK201" t="s">
        <v>250</v>
      </c>
      <c r="DM201" t="s">
        <v>3346</v>
      </c>
      <c r="DW201" t="s">
        <v>198</v>
      </c>
      <c r="EG201" t="s">
        <v>198</v>
      </c>
      <c r="EQ201" t="s">
        <v>198</v>
      </c>
      <c r="FA201" t="s">
        <v>198</v>
      </c>
      <c r="FK201" t="s">
        <v>198</v>
      </c>
      <c r="FU201" t="s">
        <v>198</v>
      </c>
    </row>
    <row r="202" spans="1:177">
      <c r="A202" s="1" t="str">
        <f>HYPERLINK("http://digipan.lumentumllc.com/apps/getLink/index.php?t=PropLink&amp;p=6129140","PL")</f>
        <v>PL</v>
      </c>
      <c r="B202" s="1" t="str">
        <f>HYPERLINK("http://digipan.lumentumllc.com/apps/getLink/index.php?t=TaxLink&amp;p=6129140","TL")</f>
        <v>TL</v>
      </c>
      <c r="C202" s="1" t="str">
        <f>HYPERLINK("http://digipan.lumentumllc.com/apps/getMap/index.php?p=6129140","Map")</f>
        <v>Map</v>
      </c>
      <c r="E202" t="s">
        <v>177</v>
      </c>
      <c r="F202" t="s">
        <v>178</v>
      </c>
      <c r="L202" t="s">
        <v>3347</v>
      </c>
      <c r="N202" t="s">
        <v>3347</v>
      </c>
      <c r="O202" t="s">
        <v>3347</v>
      </c>
      <c r="P202" t="s">
        <v>3348</v>
      </c>
      <c r="Q202" t="s">
        <v>3347</v>
      </c>
      <c r="V202">
        <v>234</v>
      </c>
      <c r="W202">
        <v>1</v>
      </c>
      <c r="X202">
        <v>2017</v>
      </c>
      <c r="Y202">
        <v>2018</v>
      </c>
      <c r="Z202">
        <v>352.34</v>
      </c>
      <c r="AB202" t="s">
        <v>181</v>
      </c>
      <c r="AC202" t="s">
        <v>182</v>
      </c>
      <c r="AD202" t="s">
        <v>183</v>
      </c>
      <c r="AE202">
        <v>1</v>
      </c>
      <c r="AF202">
        <v>4</v>
      </c>
      <c r="AG202" t="s">
        <v>951</v>
      </c>
      <c r="AH202">
        <v>80</v>
      </c>
      <c r="AI202">
        <v>356.16</v>
      </c>
      <c r="AJ202">
        <v>19.59</v>
      </c>
      <c r="AK202">
        <v>375.75</v>
      </c>
      <c r="AL202">
        <v>19566</v>
      </c>
      <c r="AM202">
        <v>10500</v>
      </c>
      <c r="AN202">
        <v>9066</v>
      </c>
      <c r="AO202">
        <v>304</v>
      </c>
      <c r="AP202">
        <v>2016</v>
      </c>
      <c r="AQ202">
        <v>1.8</v>
      </c>
      <c r="AR202">
        <v>1.92</v>
      </c>
      <c r="AS202" t="s">
        <v>3349</v>
      </c>
      <c r="AT202" t="s">
        <v>186</v>
      </c>
      <c r="AU202" t="s">
        <v>177</v>
      </c>
      <c r="AV202" t="s">
        <v>187</v>
      </c>
      <c r="AW202" t="s">
        <v>182</v>
      </c>
      <c r="AX202">
        <v>2</v>
      </c>
      <c r="AY202" t="s">
        <v>188</v>
      </c>
      <c r="AZ202" t="s">
        <v>189</v>
      </c>
      <c r="BA202" t="s">
        <v>190</v>
      </c>
      <c r="BB202" t="s">
        <v>191</v>
      </c>
      <c r="BC202" t="s">
        <v>182</v>
      </c>
      <c r="BD202" t="s">
        <v>182</v>
      </c>
      <c r="BE202" t="s">
        <v>383</v>
      </c>
      <c r="BF202">
        <v>1</v>
      </c>
      <c r="BG202">
        <v>1</v>
      </c>
      <c r="BH202">
        <v>1989</v>
      </c>
      <c r="BI202" t="s">
        <v>2209</v>
      </c>
      <c r="BJ202" t="s">
        <v>285</v>
      </c>
      <c r="BK202" t="s">
        <v>195</v>
      </c>
      <c r="BL202" t="s">
        <v>1144</v>
      </c>
      <c r="BM202" t="s">
        <v>232</v>
      </c>
      <c r="BN202" t="s">
        <v>182</v>
      </c>
      <c r="BO202" t="s">
        <v>198</v>
      </c>
      <c r="BP202" t="s">
        <v>198</v>
      </c>
      <c r="BQ202" t="s">
        <v>198</v>
      </c>
      <c r="BR202" t="s">
        <v>198</v>
      </c>
      <c r="BS202" t="s">
        <v>198</v>
      </c>
      <c r="BT202" t="s">
        <v>198</v>
      </c>
      <c r="BU202" t="s">
        <v>182</v>
      </c>
      <c r="BV202" t="s">
        <v>198</v>
      </c>
      <c r="BW202" t="s">
        <v>198</v>
      </c>
      <c r="BX202" t="s">
        <v>199</v>
      </c>
      <c r="BY202" t="s">
        <v>198</v>
      </c>
      <c r="BZ202" t="s">
        <v>199</v>
      </c>
      <c r="CA202" t="s">
        <v>199</v>
      </c>
      <c r="CB202" t="s">
        <v>3350</v>
      </c>
      <c r="CC202" t="s">
        <v>201</v>
      </c>
      <c r="CD202" t="s">
        <v>202</v>
      </c>
      <c r="CE202" t="s">
        <v>3351</v>
      </c>
      <c r="CF202" t="s">
        <v>204</v>
      </c>
      <c r="CG202" t="s">
        <v>177</v>
      </c>
      <c r="CH202" t="s">
        <v>187</v>
      </c>
      <c r="CI202" t="s">
        <v>3352</v>
      </c>
      <c r="CJ202" t="s">
        <v>2161</v>
      </c>
      <c r="CK202" t="s">
        <v>232</v>
      </c>
      <c r="CL202" t="s">
        <v>233</v>
      </c>
      <c r="CM202" t="s">
        <v>3353</v>
      </c>
      <c r="CN202" t="s">
        <v>1164</v>
      </c>
      <c r="CO202" t="s">
        <v>183</v>
      </c>
      <c r="CP202" t="s">
        <v>266</v>
      </c>
      <c r="CS202" t="s">
        <v>198</v>
      </c>
      <c r="CT202" t="s">
        <v>2943</v>
      </c>
      <c r="CU202" t="s">
        <v>267</v>
      </c>
      <c r="CV202" t="s">
        <v>268</v>
      </c>
      <c r="CW202" t="s">
        <v>3354</v>
      </c>
      <c r="CX202" t="s">
        <v>235</v>
      </c>
      <c r="CY202" t="s">
        <v>183</v>
      </c>
      <c r="CZ202" t="s">
        <v>211</v>
      </c>
      <c r="DA202" t="s">
        <v>329</v>
      </c>
      <c r="DC202" t="s">
        <v>434</v>
      </c>
      <c r="DD202" t="s">
        <v>3355</v>
      </c>
      <c r="DE202" t="s">
        <v>273</v>
      </c>
      <c r="DF202" t="s">
        <v>274</v>
      </c>
      <c r="DG202" t="s">
        <v>3356</v>
      </c>
      <c r="DH202" t="s">
        <v>235</v>
      </c>
      <c r="DI202" t="s">
        <v>183</v>
      </c>
      <c r="DJ202" t="s">
        <v>211</v>
      </c>
      <c r="DK202" t="s">
        <v>329</v>
      </c>
      <c r="DM202" t="s">
        <v>1616</v>
      </c>
      <c r="DN202" t="s">
        <v>2021</v>
      </c>
      <c r="DO202" t="s">
        <v>302</v>
      </c>
      <c r="DP202" t="s">
        <v>303</v>
      </c>
      <c r="DQ202" t="s">
        <v>3357</v>
      </c>
      <c r="DR202" t="s">
        <v>331</v>
      </c>
      <c r="DS202" t="s">
        <v>183</v>
      </c>
      <c r="DT202" t="s">
        <v>211</v>
      </c>
      <c r="DU202" t="s">
        <v>342</v>
      </c>
      <c r="DW202" t="s">
        <v>2676</v>
      </c>
      <c r="DX202" t="s">
        <v>3358</v>
      </c>
      <c r="DY202" t="s">
        <v>238</v>
      </c>
      <c r="DZ202" t="s">
        <v>239</v>
      </c>
      <c r="EA202" t="s">
        <v>3359</v>
      </c>
      <c r="EB202" t="s">
        <v>440</v>
      </c>
      <c r="EC202" t="s">
        <v>183</v>
      </c>
      <c r="ED202" t="s">
        <v>211</v>
      </c>
      <c r="EE202" t="s">
        <v>189</v>
      </c>
      <c r="EG202" t="s">
        <v>887</v>
      </c>
      <c r="EQ202" t="s">
        <v>198</v>
      </c>
      <c r="FA202" t="s">
        <v>198</v>
      </c>
      <c r="FK202" t="s">
        <v>198</v>
      </c>
      <c r="FU202" t="s">
        <v>198</v>
      </c>
    </row>
    <row r="203" spans="1:177">
      <c r="A203" s="1" t="str">
        <f>HYPERLINK("http://digipan.lumentumllc.com/apps/getLink/index.php?t=PropLink&amp;p=15750955","PL")</f>
        <v>PL</v>
      </c>
      <c r="B203" s="1" t="str">
        <f>HYPERLINK("http://digipan.lumentumllc.com/apps/getLink/index.php?t=TaxLink&amp;p=15750955","TL")</f>
        <v>TL</v>
      </c>
      <c r="C203" s="1" t="str">
        <f>HYPERLINK("http://digipan.lumentumllc.com/apps/getMap/index.php?p=15750955","Map")</f>
        <v>Map</v>
      </c>
      <c r="E203" t="s">
        <v>177</v>
      </c>
      <c r="F203" t="s">
        <v>178</v>
      </c>
      <c r="L203" t="s">
        <v>3360</v>
      </c>
      <c r="N203" t="s">
        <v>3360</v>
      </c>
      <c r="O203" t="s">
        <v>3360</v>
      </c>
      <c r="Q203" t="s">
        <v>3360</v>
      </c>
      <c r="V203">
        <v>235</v>
      </c>
      <c r="W203">
        <v>1</v>
      </c>
      <c r="X203">
        <v>2017</v>
      </c>
      <c r="Y203">
        <v>2018</v>
      </c>
      <c r="Z203">
        <v>391.46</v>
      </c>
      <c r="AG203" t="s">
        <v>184</v>
      </c>
      <c r="AH203">
        <v>0</v>
      </c>
      <c r="AK203">
        <v>0</v>
      </c>
      <c r="AL203">
        <v>30000</v>
      </c>
      <c r="AM203">
        <v>30000</v>
      </c>
      <c r="AN203">
        <v>0</v>
      </c>
      <c r="AO203">
        <v>326</v>
      </c>
      <c r="AP203">
        <v>2016</v>
      </c>
      <c r="AQ203">
        <v>1.3</v>
      </c>
      <c r="AS203" t="s">
        <v>3361</v>
      </c>
      <c r="AT203" t="s">
        <v>186</v>
      </c>
      <c r="AU203" t="s">
        <v>177</v>
      </c>
      <c r="AV203" t="s">
        <v>187</v>
      </c>
      <c r="AW203" t="s">
        <v>182</v>
      </c>
      <c r="AX203">
        <v>0</v>
      </c>
      <c r="AY203" t="s">
        <v>312</v>
      </c>
      <c r="AZ203" t="s">
        <v>199</v>
      </c>
      <c r="BA203" t="s">
        <v>313</v>
      </c>
      <c r="BB203" t="s">
        <v>191</v>
      </c>
      <c r="BC203" t="s">
        <v>182</v>
      </c>
      <c r="BD203" t="s">
        <v>182</v>
      </c>
      <c r="BE203" t="s">
        <v>838</v>
      </c>
      <c r="BF203">
        <v>0</v>
      </c>
      <c r="BG203">
        <v>0</v>
      </c>
      <c r="BH203">
        <v>0</v>
      </c>
      <c r="BI203" t="s">
        <v>199</v>
      </c>
      <c r="BJ203" t="s">
        <v>396</v>
      </c>
      <c r="BL203" t="s">
        <v>3362</v>
      </c>
      <c r="BM203" t="s">
        <v>197</v>
      </c>
      <c r="BN203" t="s">
        <v>182</v>
      </c>
      <c r="BO203" t="s">
        <v>3363</v>
      </c>
      <c r="BP203" t="s">
        <v>3364</v>
      </c>
      <c r="BQ203" t="s">
        <v>581</v>
      </c>
      <c r="BR203" t="s">
        <v>563</v>
      </c>
      <c r="BS203" t="s">
        <v>198</v>
      </c>
      <c r="BT203" t="s">
        <v>3365</v>
      </c>
      <c r="BU203" t="s">
        <v>182</v>
      </c>
      <c r="BV203" t="s">
        <v>198</v>
      </c>
      <c r="BW203" t="s">
        <v>198</v>
      </c>
      <c r="BX203" t="s">
        <v>199</v>
      </c>
      <c r="BY203" t="s">
        <v>198</v>
      </c>
      <c r="BZ203" t="s">
        <v>199</v>
      </c>
      <c r="CA203" t="s">
        <v>199</v>
      </c>
      <c r="CB203" t="s">
        <v>3366</v>
      </c>
      <c r="CC203" t="s">
        <v>201</v>
      </c>
      <c r="CD203" t="s">
        <v>202</v>
      </c>
      <c r="CE203" t="s">
        <v>3367</v>
      </c>
      <c r="CF203" t="s">
        <v>960</v>
      </c>
      <c r="CG203" t="s">
        <v>177</v>
      </c>
      <c r="CH203" t="s">
        <v>3368</v>
      </c>
      <c r="CI203" t="s">
        <v>3369</v>
      </c>
      <c r="CS203" t="s">
        <v>198</v>
      </c>
      <c r="DC203" t="s">
        <v>198</v>
      </c>
      <c r="DM203" t="s">
        <v>198</v>
      </c>
      <c r="DW203" t="s">
        <v>198</v>
      </c>
      <c r="EG203" t="s">
        <v>198</v>
      </c>
      <c r="EQ203" t="s">
        <v>198</v>
      </c>
      <c r="FA203" t="s">
        <v>198</v>
      </c>
      <c r="FK203" t="s">
        <v>198</v>
      </c>
      <c r="FU203" t="s">
        <v>198</v>
      </c>
    </row>
    <row r="204" spans="1:177">
      <c r="A204" s="1" t="str">
        <f>HYPERLINK("http://digipan.lumentumllc.com/apps/getLink/index.php?t=PropLink&amp;p=5246758","PL")</f>
        <v>PL</v>
      </c>
      <c r="B204" s="1" t="str">
        <f>HYPERLINK("http://digipan.lumentumllc.com/apps/getLink/index.php?t=TaxLink&amp;p=5246758","TL")</f>
        <v>TL</v>
      </c>
      <c r="C204" s="1" t="str">
        <f>HYPERLINK("http://digipan.lumentumllc.com/apps/getMap/index.php?p=5246758","Map")</f>
        <v>Map</v>
      </c>
      <c r="E204" t="s">
        <v>177</v>
      </c>
      <c r="F204" t="s">
        <v>178</v>
      </c>
      <c r="L204" t="s">
        <v>3370</v>
      </c>
      <c r="N204" t="s">
        <v>3370</v>
      </c>
      <c r="O204" t="s">
        <v>3370</v>
      </c>
      <c r="P204" t="s">
        <v>3371</v>
      </c>
      <c r="Q204" t="s">
        <v>3370</v>
      </c>
      <c r="V204">
        <v>237</v>
      </c>
      <c r="W204">
        <v>1</v>
      </c>
      <c r="X204">
        <v>2017</v>
      </c>
      <c r="Y204">
        <v>2018</v>
      </c>
      <c r="Z204">
        <v>789.04</v>
      </c>
      <c r="AB204" t="s">
        <v>181</v>
      </c>
      <c r="AC204" t="s">
        <v>202</v>
      </c>
      <c r="AD204" t="s">
        <v>183</v>
      </c>
      <c r="AE204">
        <v>1</v>
      </c>
      <c r="AF204">
        <v>5</v>
      </c>
      <c r="AG204" t="s">
        <v>322</v>
      </c>
      <c r="AH204">
        <v>83</v>
      </c>
      <c r="AI204">
        <v>768.3</v>
      </c>
      <c r="AJ204">
        <v>38.42</v>
      </c>
      <c r="AK204">
        <v>806.72</v>
      </c>
      <c r="AL204">
        <v>96667</v>
      </c>
      <c r="AM204">
        <v>40000</v>
      </c>
      <c r="AN204">
        <v>56667</v>
      </c>
      <c r="AO204">
        <v>685</v>
      </c>
      <c r="AP204">
        <v>2016</v>
      </c>
      <c r="AQ204">
        <v>0.82</v>
      </c>
      <c r="AR204">
        <v>0.83</v>
      </c>
      <c r="AS204" t="s">
        <v>3372</v>
      </c>
      <c r="AT204" t="s">
        <v>186</v>
      </c>
      <c r="AU204" t="s">
        <v>177</v>
      </c>
      <c r="AV204" t="s">
        <v>187</v>
      </c>
      <c r="AW204" t="s">
        <v>202</v>
      </c>
      <c r="AX204">
        <v>2</v>
      </c>
      <c r="AY204" t="s">
        <v>188</v>
      </c>
      <c r="AZ204" t="s">
        <v>189</v>
      </c>
      <c r="BA204" t="s">
        <v>190</v>
      </c>
      <c r="BB204" t="s">
        <v>191</v>
      </c>
      <c r="BC204" t="s">
        <v>182</v>
      </c>
      <c r="BD204" t="s">
        <v>182</v>
      </c>
      <c r="BE204" t="s">
        <v>247</v>
      </c>
      <c r="BF204">
        <v>1</v>
      </c>
      <c r="BG204">
        <v>1</v>
      </c>
      <c r="BH204">
        <v>1998</v>
      </c>
      <c r="BI204" t="s">
        <v>3373</v>
      </c>
      <c r="BJ204" t="s">
        <v>194</v>
      </c>
      <c r="BK204" t="s">
        <v>195</v>
      </c>
      <c r="BL204" t="s">
        <v>3374</v>
      </c>
      <c r="BM204" t="s">
        <v>207</v>
      </c>
      <c r="BN204" t="s">
        <v>182</v>
      </c>
      <c r="BO204" t="s">
        <v>3375</v>
      </c>
      <c r="BP204" t="s">
        <v>3376</v>
      </c>
      <c r="BS204" t="s">
        <v>3377</v>
      </c>
      <c r="BT204" t="s">
        <v>198</v>
      </c>
      <c r="BU204" t="s">
        <v>182</v>
      </c>
      <c r="BV204" t="s">
        <v>198</v>
      </c>
      <c r="BW204" t="s">
        <v>198</v>
      </c>
      <c r="BX204" t="s">
        <v>199</v>
      </c>
      <c r="BY204" t="s">
        <v>198</v>
      </c>
      <c r="BZ204" t="s">
        <v>199</v>
      </c>
      <c r="CA204" t="s">
        <v>199</v>
      </c>
      <c r="CB204" t="s">
        <v>3378</v>
      </c>
      <c r="CC204" t="s">
        <v>201</v>
      </c>
      <c r="CD204" t="s">
        <v>182</v>
      </c>
      <c r="CE204" t="s">
        <v>3379</v>
      </c>
      <c r="CF204" t="s">
        <v>204</v>
      </c>
      <c r="CG204" t="s">
        <v>177</v>
      </c>
      <c r="CH204" t="s">
        <v>187</v>
      </c>
      <c r="CI204" t="s">
        <v>3380</v>
      </c>
      <c r="CJ204" t="s">
        <v>3381</v>
      </c>
      <c r="CK204" t="s">
        <v>232</v>
      </c>
      <c r="CL204" t="s">
        <v>233</v>
      </c>
      <c r="CM204" t="s">
        <v>3382</v>
      </c>
      <c r="CN204" t="s">
        <v>235</v>
      </c>
      <c r="CO204" t="s">
        <v>183</v>
      </c>
      <c r="CP204" t="s">
        <v>266</v>
      </c>
      <c r="CS204" t="s">
        <v>198</v>
      </c>
      <c r="CT204" t="s">
        <v>1549</v>
      </c>
      <c r="CU204" t="s">
        <v>267</v>
      </c>
      <c r="CV204" t="s">
        <v>268</v>
      </c>
      <c r="CW204" t="s">
        <v>3383</v>
      </c>
      <c r="CX204" t="s">
        <v>235</v>
      </c>
      <c r="CY204" t="s">
        <v>183</v>
      </c>
      <c r="CZ204" t="s">
        <v>211</v>
      </c>
      <c r="DA204" t="s">
        <v>270</v>
      </c>
      <c r="DB204" t="s">
        <v>271</v>
      </c>
      <c r="DC204" t="s">
        <v>272</v>
      </c>
      <c r="DD204" t="s">
        <v>1768</v>
      </c>
      <c r="DE204" t="s">
        <v>273</v>
      </c>
      <c r="DF204" t="s">
        <v>274</v>
      </c>
      <c r="DG204" t="s">
        <v>3384</v>
      </c>
      <c r="DH204" t="s">
        <v>235</v>
      </c>
      <c r="DI204" t="s">
        <v>183</v>
      </c>
      <c r="DJ204" t="s">
        <v>211</v>
      </c>
      <c r="DL204" t="s">
        <v>271</v>
      </c>
      <c r="DM204" t="s">
        <v>198</v>
      </c>
      <c r="DN204" t="s">
        <v>3201</v>
      </c>
      <c r="DO204" t="s">
        <v>302</v>
      </c>
      <c r="DP204" t="s">
        <v>303</v>
      </c>
      <c r="DQ204" t="s">
        <v>3385</v>
      </c>
      <c r="DR204" t="s">
        <v>235</v>
      </c>
      <c r="DS204" t="s">
        <v>183</v>
      </c>
      <c r="DT204" t="s">
        <v>211</v>
      </c>
      <c r="DU204" t="s">
        <v>345</v>
      </c>
      <c r="DW204" t="s">
        <v>2598</v>
      </c>
      <c r="DX204" t="s">
        <v>3386</v>
      </c>
      <c r="DY204" t="s">
        <v>238</v>
      </c>
      <c r="DZ204" t="s">
        <v>239</v>
      </c>
      <c r="EA204" t="s">
        <v>3387</v>
      </c>
      <c r="EB204" t="s">
        <v>816</v>
      </c>
      <c r="EC204" t="s">
        <v>183</v>
      </c>
      <c r="ED204" t="s">
        <v>211</v>
      </c>
      <c r="EE204" t="s">
        <v>345</v>
      </c>
      <c r="EG204" t="s">
        <v>3388</v>
      </c>
      <c r="EH204" t="s">
        <v>3389</v>
      </c>
      <c r="EI204" t="s">
        <v>346</v>
      </c>
      <c r="EJ204" t="s">
        <v>347</v>
      </c>
      <c r="EK204" t="s">
        <v>3390</v>
      </c>
      <c r="EL204" t="s">
        <v>247</v>
      </c>
      <c r="EM204" t="s">
        <v>183</v>
      </c>
      <c r="EN204" t="s">
        <v>211</v>
      </c>
      <c r="EO204" t="s">
        <v>345</v>
      </c>
      <c r="EQ204" t="s">
        <v>3391</v>
      </c>
      <c r="FA204" t="s">
        <v>198</v>
      </c>
      <c r="FK204" t="s">
        <v>198</v>
      </c>
      <c r="FU204" t="s">
        <v>198</v>
      </c>
    </row>
    <row r="205" spans="1:177">
      <c r="A205" s="1" t="str">
        <f>HYPERLINK("http://digipan.lumentumllc.com/apps/getLink/index.php?t=PropLink&amp;p=6594252","PL")</f>
        <v>PL</v>
      </c>
      <c r="B205" s="1" t="str">
        <f>HYPERLINK("http://digipan.lumentumllc.com/apps/getLink/index.php?t=TaxLink&amp;p=6594252","TL")</f>
        <v>TL</v>
      </c>
      <c r="C205" s="1" t="str">
        <f>HYPERLINK("http://digipan.lumentumllc.com/apps/getMap/index.php?p=6594252","Map")</f>
        <v>Map</v>
      </c>
      <c r="E205" t="s">
        <v>177</v>
      </c>
      <c r="F205" t="s">
        <v>178</v>
      </c>
      <c r="L205" t="s">
        <v>3392</v>
      </c>
      <c r="N205" t="s">
        <v>3392</v>
      </c>
      <c r="O205" t="s">
        <v>3392</v>
      </c>
      <c r="P205" t="s">
        <v>3393</v>
      </c>
      <c r="Q205" t="s">
        <v>3392</v>
      </c>
      <c r="V205">
        <v>238</v>
      </c>
      <c r="W205">
        <v>1</v>
      </c>
      <c r="X205">
        <v>2017</v>
      </c>
      <c r="Y205">
        <v>2018</v>
      </c>
      <c r="Z205">
        <v>767.15</v>
      </c>
      <c r="AB205" t="s">
        <v>181</v>
      </c>
      <c r="AC205" t="s">
        <v>182</v>
      </c>
      <c r="AD205" t="s">
        <v>183</v>
      </c>
      <c r="AE205">
        <v>0</v>
      </c>
      <c r="AF205">
        <v>4</v>
      </c>
      <c r="AG205" t="s">
        <v>744</v>
      </c>
      <c r="AH205">
        <v>100</v>
      </c>
      <c r="AK205">
        <v>0</v>
      </c>
      <c r="AL205">
        <v>44900</v>
      </c>
      <c r="AM205">
        <v>44900</v>
      </c>
      <c r="AN205">
        <v>0</v>
      </c>
      <c r="AO205">
        <v>689</v>
      </c>
      <c r="AP205">
        <v>2016</v>
      </c>
      <c r="AQ205">
        <v>1.71</v>
      </c>
      <c r="AS205" t="s">
        <v>3394</v>
      </c>
      <c r="AT205" t="s">
        <v>186</v>
      </c>
      <c r="AU205" t="s">
        <v>177</v>
      </c>
      <c r="AV205" t="s">
        <v>187</v>
      </c>
      <c r="AW205" t="s">
        <v>182</v>
      </c>
      <c r="AX205">
        <v>0</v>
      </c>
      <c r="AY205" t="s">
        <v>312</v>
      </c>
      <c r="AZ205" t="s">
        <v>199</v>
      </c>
      <c r="BA205" t="s">
        <v>313</v>
      </c>
      <c r="BB205" t="s">
        <v>191</v>
      </c>
      <c r="BC205" t="s">
        <v>182</v>
      </c>
      <c r="BD205" t="s">
        <v>1528</v>
      </c>
      <c r="BE205" t="s">
        <v>3395</v>
      </c>
      <c r="BF205">
        <v>0</v>
      </c>
      <c r="BG205">
        <v>0</v>
      </c>
      <c r="BH205">
        <v>0</v>
      </c>
      <c r="BI205" t="s">
        <v>199</v>
      </c>
      <c r="BJ205" t="s">
        <v>315</v>
      </c>
      <c r="BL205" t="s">
        <v>199</v>
      </c>
      <c r="BM205" t="s">
        <v>302</v>
      </c>
      <c r="BN205" t="s">
        <v>182</v>
      </c>
      <c r="BO205" t="s">
        <v>3396</v>
      </c>
      <c r="BP205" t="s">
        <v>3397</v>
      </c>
      <c r="BS205" t="s">
        <v>3398</v>
      </c>
      <c r="BT205" t="s">
        <v>198</v>
      </c>
      <c r="BU205" t="s">
        <v>182</v>
      </c>
      <c r="BV205" t="s">
        <v>198</v>
      </c>
      <c r="BW205" t="s">
        <v>198</v>
      </c>
      <c r="BX205" t="s">
        <v>199</v>
      </c>
      <c r="BY205" t="s">
        <v>198</v>
      </c>
      <c r="BZ205" t="s">
        <v>199</v>
      </c>
      <c r="CA205" t="s">
        <v>199</v>
      </c>
      <c r="CB205" t="s">
        <v>3399</v>
      </c>
      <c r="CC205" t="s">
        <v>201</v>
      </c>
      <c r="CD205" t="s">
        <v>182</v>
      </c>
      <c r="CE205" t="s">
        <v>3400</v>
      </c>
      <c r="CF205" t="s">
        <v>204</v>
      </c>
      <c r="CG205" t="s">
        <v>177</v>
      </c>
      <c r="CH205" t="s">
        <v>187</v>
      </c>
      <c r="CI205" t="s">
        <v>3401</v>
      </c>
      <c r="CJ205" t="s">
        <v>1923</v>
      </c>
      <c r="CK205" t="s">
        <v>232</v>
      </c>
      <c r="CL205" t="s">
        <v>233</v>
      </c>
      <c r="CM205" t="s">
        <v>3402</v>
      </c>
      <c r="CN205" t="s">
        <v>235</v>
      </c>
      <c r="CO205" t="s">
        <v>183</v>
      </c>
      <c r="CP205" t="s">
        <v>211</v>
      </c>
      <c r="CQ205" t="s">
        <v>199</v>
      </c>
      <c r="CS205" t="s">
        <v>3403</v>
      </c>
      <c r="CT205" t="s">
        <v>1678</v>
      </c>
      <c r="CU205" t="s">
        <v>292</v>
      </c>
      <c r="CV205" t="s">
        <v>293</v>
      </c>
      <c r="CW205" t="s">
        <v>3404</v>
      </c>
      <c r="CX205" t="s">
        <v>235</v>
      </c>
      <c r="CY205" t="s">
        <v>183</v>
      </c>
      <c r="CZ205" t="s">
        <v>211</v>
      </c>
      <c r="DA205" t="s">
        <v>206</v>
      </c>
      <c r="DC205" t="s">
        <v>3405</v>
      </c>
      <c r="DD205" t="s">
        <v>3406</v>
      </c>
      <c r="DE205" t="s">
        <v>267</v>
      </c>
      <c r="DF205" t="s">
        <v>268</v>
      </c>
      <c r="DG205" t="s">
        <v>3407</v>
      </c>
      <c r="DH205" t="s">
        <v>235</v>
      </c>
      <c r="DI205" t="s">
        <v>183</v>
      </c>
      <c r="DJ205" t="s">
        <v>211</v>
      </c>
      <c r="DK205" t="s">
        <v>329</v>
      </c>
      <c r="DM205" t="s">
        <v>3408</v>
      </c>
      <c r="DN205" t="s">
        <v>1792</v>
      </c>
      <c r="DO205" t="s">
        <v>273</v>
      </c>
      <c r="DP205" t="s">
        <v>274</v>
      </c>
      <c r="DQ205" t="s">
        <v>3409</v>
      </c>
      <c r="DR205" t="s">
        <v>235</v>
      </c>
      <c r="DS205" t="s">
        <v>183</v>
      </c>
      <c r="DT205" t="s">
        <v>211</v>
      </c>
      <c r="DU205" t="s">
        <v>189</v>
      </c>
      <c r="DW205" t="s">
        <v>3410</v>
      </c>
      <c r="EG205" t="s">
        <v>198</v>
      </c>
      <c r="EQ205" t="s">
        <v>198</v>
      </c>
      <c r="FA205" t="s">
        <v>198</v>
      </c>
      <c r="FK205" t="s">
        <v>198</v>
      </c>
      <c r="FU205" t="s">
        <v>198</v>
      </c>
    </row>
    <row r="206" spans="1:177">
      <c r="A206" s="1" t="str">
        <f>HYPERLINK("http://digipan.lumentumllc.com/apps/getLink/index.php?t=PropLink&amp;p=15751817","PL")</f>
        <v>PL</v>
      </c>
      <c r="B206" s="1" t="str">
        <f>HYPERLINK("http://digipan.lumentumllc.com/apps/getLink/index.php?t=TaxLink&amp;p=15751817","TL")</f>
        <v>TL</v>
      </c>
      <c r="C206" s="1" t="str">
        <f>HYPERLINK("http://digipan.lumentumllc.com/apps/getMap/index.php?p=15751817","Map")</f>
        <v>Map</v>
      </c>
      <c r="E206" t="s">
        <v>177</v>
      </c>
      <c r="F206" t="s">
        <v>178</v>
      </c>
      <c r="L206" t="s">
        <v>3411</v>
      </c>
      <c r="N206" t="s">
        <v>3411</v>
      </c>
      <c r="O206" t="s">
        <v>3411</v>
      </c>
      <c r="Q206" t="s">
        <v>3411</v>
      </c>
      <c r="V206">
        <v>240</v>
      </c>
      <c r="W206">
        <v>1</v>
      </c>
      <c r="X206">
        <v>2017</v>
      </c>
      <c r="Y206">
        <v>2018</v>
      </c>
      <c r="Z206">
        <v>547.75</v>
      </c>
      <c r="AB206" t="s">
        <v>181</v>
      </c>
      <c r="AC206" t="s">
        <v>182</v>
      </c>
      <c r="AD206" t="s">
        <v>183</v>
      </c>
      <c r="AE206">
        <v>0</v>
      </c>
      <c r="AF206">
        <v>1</v>
      </c>
      <c r="AG206" t="s">
        <v>821</v>
      </c>
      <c r="AH206">
        <v>100</v>
      </c>
      <c r="AK206">
        <v>0</v>
      </c>
      <c r="AL206">
        <v>31500</v>
      </c>
      <c r="AM206">
        <v>24000</v>
      </c>
      <c r="AN206">
        <v>7500</v>
      </c>
      <c r="AO206">
        <v>445</v>
      </c>
      <c r="AP206">
        <v>2016</v>
      </c>
      <c r="AQ206">
        <v>1.74</v>
      </c>
      <c r="AS206" t="s">
        <v>3412</v>
      </c>
      <c r="AT206" t="s">
        <v>186</v>
      </c>
      <c r="AU206" t="s">
        <v>177</v>
      </c>
      <c r="AV206" t="s">
        <v>187</v>
      </c>
      <c r="AW206" t="s">
        <v>182</v>
      </c>
      <c r="AX206">
        <v>0</v>
      </c>
      <c r="AY206" t="s">
        <v>312</v>
      </c>
      <c r="AZ206" t="s">
        <v>199</v>
      </c>
      <c r="BA206" t="s">
        <v>313</v>
      </c>
      <c r="BB206" t="s">
        <v>191</v>
      </c>
      <c r="BC206" t="s">
        <v>182</v>
      </c>
      <c r="BD206" t="s">
        <v>182</v>
      </c>
      <c r="BE206" t="s">
        <v>796</v>
      </c>
      <c r="BF206">
        <v>0</v>
      </c>
      <c r="BG206">
        <v>0</v>
      </c>
      <c r="BH206">
        <v>0</v>
      </c>
      <c r="BI206" t="s">
        <v>199</v>
      </c>
      <c r="BJ206" t="s">
        <v>248</v>
      </c>
      <c r="BK206" t="s">
        <v>2350</v>
      </c>
      <c r="BL206" t="s">
        <v>199</v>
      </c>
      <c r="BM206" t="s">
        <v>267</v>
      </c>
      <c r="BN206" t="s">
        <v>182</v>
      </c>
      <c r="BO206" t="s">
        <v>198</v>
      </c>
      <c r="BP206" t="s">
        <v>198</v>
      </c>
      <c r="BQ206" t="s">
        <v>198</v>
      </c>
      <c r="BR206" t="s">
        <v>198</v>
      </c>
      <c r="BS206" t="s">
        <v>198</v>
      </c>
      <c r="BT206" t="s">
        <v>198</v>
      </c>
      <c r="BU206" t="s">
        <v>182</v>
      </c>
      <c r="BV206" t="s">
        <v>198</v>
      </c>
      <c r="BW206" t="s">
        <v>198</v>
      </c>
      <c r="BX206" t="s">
        <v>199</v>
      </c>
      <c r="BY206" t="s">
        <v>198</v>
      </c>
      <c r="BZ206" t="s">
        <v>199</v>
      </c>
      <c r="CA206" t="s">
        <v>296</v>
      </c>
      <c r="CB206" t="s">
        <v>3413</v>
      </c>
      <c r="CC206" t="s">
        <v>201</v>
      </c>
      <c r="CD206" t="s">
        <v>202</v>
      </c>
      <c r="CE206" t="s">
        <v>3414</v>
      </c>
      <c r="CF206" t="s">
        <v>3415</v>
      </c>
      <c r="CG206" t="s">
        <v>177</v>
      </c>
      <c r="CH206" t="s">
        <v>3416</v>
      </c>
      <c r="CI206" t="s">
        <v>3401</v>
      </c>
      <c r="CJ206" t="s">
        <v>1964</v>
      </c>
      <c r="CK206" t="s">
        <v>232</v>
      </c>
      <c r="CL206" t="s">
        <v>233</v>
      </c>
      <c r="CM206" t="s">
        <v>3417</v>
      </c>
      <c r="CN206" t="s">
        <v>235</v>
      </c>
      <c r="CO206" t="s">
        <v>183</v>
      </c>
      <c r="CP206" t="s">
        <v>211</v>
      </c>
      <c r="CQ206" t="s">
        <v>199</v>
      </c>
      <c r="CS206" t="s">
        <v>3403</v>
      </c>
      <c r="DC206" t="s">
        <v>198</v>
      </c>
      <c r="DM206" t="s">
        <v>198</v>
      </c>
      <c r="DW206" t="s">
        <v>198</v>
      </c>
      <c r="EG206" t="s">
        <v>198</v>
      </c>
      <c r="EQ206" t="s">
        <v>198</v>
      </c>
      <c r="FA206" t="s">
        <v>198</v>
      </c>
      <c r="FK206" t="s">
        <v>198</v>
      </c>
      <c r="FU206" t="s">
        <v>198</v>
      </c>
    </row>
    <row r="207" spans="1:177">
      <c r="A207" s="1" t="str">
        <f>HYPERLINK("http://digipan.lumentumllc.com/apps/getLink/index.php?t=PropLink&amp;p=5246763","PL")</f>
        <v>PL</v>
      </c>
      <c r="B207" s="1" t="str">
        <f>HYPERLINK("http://digipan.lumentumllc.com/apps/getLink/index.php?t=TaxLink&amp;p=5246763","TL")</f>
        <v>TL</v>
      </c>
      <c r="C207" s="1" t="str">
        <f>HYPERLINK("http://digipan.lumentumllc.com/apps/getMap/index.php?p=5246763","Map")</f>
        <v>Map</v>
      </c>
      <c r="E207" t="s">
        <v>177</v>
      </c>
      <c r="F207" t="s">
        <v>178</v>
      </c>
      <c r="L207" t="s">
        <v>3418</v>
      </c>
      <c r="N207" t="s">
        <v>3418</v>
      </c>
      <c r="O207" t="s">
        <v>3418</v>
      </c>
      <c r="P207" t="s">
        <v>3419</v>
      </c>
      <c r="Q207" t="s">
        <v>3418</v>
      </c>
      <c r="V207">
        <v>241</v>
      </c>
      <c r="W207">
        <v>1</v>
      </c>
      <c r="X207">
        <v>2017</v>
      </c>
      <c r="Y207">
        <v>2018</v>
      </c>
      <c r="Z207">
        <v>519.25</v>
      </c>
      <c r="AB207" t="s">
        <v>181</v>
      </c>
      <c r="AC207" t="s">
        <v>202</v>
      </c>
      <c r="AD207" t="s">
        <v>183</v>
      </c>
      <c r="AE207">
        <v>4</v>
      </c>
      <c r="AF207">
        <v>4</v>
      </c>
      <c r="AG207" t="s">
        <v>3420</v>
      </c>
      <c r="AH207">
        <v>43</v>
      </c>
      <c r="AI207">
        <v>1912.75</v>
      </c>
      <c r="AJ207">
        <v>394.08</v>
      </c>
      <c r="AK207">
        <v>2306.83</v>
      </c>
      <c r="AL207">
        <v>29760</v>
      </c>
      <c r="AM207">
        <v>29760</v>
      </c>
      <c r="AN207">
        <v>0</v>
      </c>
      <c r="AO207">
        <v>455</v>
      </c>
      <c r="AP207">
        <v>2016</v>
      </c>
      <c r="AQ207">
        <v>1.74</v>
      </c>
      <c r="AR207">
        <v>7.75</v>
      </c>
      <c r="AS207" t="s">
        <v>3421</v>
      </c>
      <c r="AT207" t="s">
        <v>186</v>
      </c>
      <c r="AU207" t="s">
        <v>177</v>
      </c>
      <c r="AV207" t="s">
        <v>187</v>
      </c>
      <c r="AW207" t="s">
        <v>182</v>
      </c>
      <c r="AX207">
        <v>0</v>
      </c>
      <c r="AY207" t="s">
        <v>312</v>
      </c>
      <c r="AZ207" t="s">
        <v>199</v>
      </c>
      <c r="BA207" t="s">
        <v>313</v>
      </c>
      <c r="BB207" t="s">
        <v>191</v>
      </c>
      <c r="BC207" t="s">
        <v>182</v>
      </c>
      <c r="BD207" t="s">
        <v>182</v>
      </c>
      <c r="BE207" t="s">
        <v>3422</v>
      </c>
      <c r="BF207">
        <v>0</v>
      </c>
      <c r="BG207">
        <v>0</v>
      </c>
      <c r="BH207">
        <v>0</v>
      </c>
      <c r="BI207" t="s">
        <v>199</v>
      </c>
      <c r="BJ207" t="s">
        <v>315</v>
      </c>
      <c r="BL207" t="s">
        <v>2075</v>
      </c>
      <c r="BM207" t="s">
        <v>559</v>
      </c>
      <c r="BN207" t="s">
        <v>182</v>
      </c>
      <c r="BO207" t="s">
        <v>198</v>
      </c>
      <c r="BP207" t="s">
        <v>198</v>
      </c>
      <c r="BQ207" t="s">
        <v>198</v>
      </c>
      <c r="BR207" t="s">
        <v>198</v>
      </c>
      <c r="BS207" t="s">
        <v>198</v>
      </c>
      <c r="BT207" t="s">
        <v>198</v>
      </c>
      <c r="BU207" t="s">
        <v>182</v>
      </c>
      <c r="BV207" t="s">
        <v>198</v>
      </c>
      <c r="BW207" t="s">
        <v>198</v>
      </c>
      <c r="BX207" t="s">
        <v>199</v>
      </c>
      <c r="BY207" t="s">
        <v>198</v>
      </c>
      <c r="BZ207" t="s">
        <v>199</v>
      </c>
      <c r="CA207" t="s">
        <v>199</v>
      </c>
      <c r="CB207" t="s">
        <v>3423</v>
      </c>
      <c r="CC207" t="s">
        <v>201</v>
      </c>
      <c r="CD207" t="s">
        <v>182</v>
      </c>
      <c r="CE207" t="s">
        <v>3424</v>
      </c>
      <c r="CF207" t="s">
        <v>3415</v>
      </c>
      <c r="CG207" t="s">
        <v>177</v>
      </c>
      <c r="CH207" t="s">
        <v>3425</v>
      </c>
      <c r="CI207" t="s">
        <v>3426</v>
      </c>
      <c r="CJ207" t="s">
        <v>1980</v>
      </c>
      <c r="CK207" t="s">
        <v>232</v>
      </c>
      <c r="CL207" t="s">
        <v>233</v>
      </c>
      <c r="CM207" t="s">
        <v>3427</v>
      </c>
      <c r="CN207" t="s">
        <v>482</v>
      </c>
      <c r="CO207" t="s">
        <v>183</v>
      </c>
      <c r="CP207" t="s">
        <v>266</v>
      </c>
      <c r="CS207" t="s">
        <v>198</v>
      </c>
      <c r="CT207" t="s">
        <v>3131</v>
      </c>
      <c r="CU207" t="s">
        <v>292</v>
      </c>
      <c r="CV207" t="s">
        <v>293</v>
      </c>
      <c r="CW207" t="s">
        <v>3428</v>
      </c>
      <c r="CX207" t="s">
        <v>333</v>
      </c>
      <c r="CY207" t="s">
        <v>183</v>
      </c>
      <c r="CZ207" t="s">
        <v>266</v>
      </c>
      <c r="DC207" t="s">
        <v>198</v>
      </c>
      <c r="DD207" t="s">
        <v>2993</v>
      </c>
      <c r="DE207" t="s">
        <v>267</v>
      </c>
      <c r="DF207" t="s">
        <v>268</v>
      </c>
      <c r="DG207" t="s">
        <v>3429</v>
      </c>
      <c r="DH207" t="s">
        <v>331</v>
      </c>
      <c r="DI207" t="s">
        <v>183</v>
      </c>
      <c r="DJ207" t="s">
        <v>266</v>
      </c>
      <c r="DM207" t="s">
        <v>198</v>
      </c>
      <c r="DN207" t="s">
        <v>3307</v>
      </c>
      <c r="DO207" t="s">
        <v>273</v>
      </c>
      <c r="DP207" t="s">
        <v>274</v>
      </c>
      <c r="DQ207" t="s">
        <v>3430</v>
      </c>
      <c r="DR207" t="s">
        <v>247</v>
      </c>
      <c r="DS207" t="s">
        <v>183</v>
      </c>
      <c r="DT207" t="s">
        <v>266</v>
      </c>
      <c r="DW207" t="s">
        <v>198</v>
      </c>
      <c r="DX207" t="s">
        <v>3355</v>
      </c>
      <c r="DY207" t="s">
        <v>302</v>
      </c>
      <c r="DZ207" t="s">
        <v>303</v>
      </c>
      <c r="EA207" t="s">
        <v>3431</v>
      </c>
      <c r="EB207" t="s">
        <v>440</v>
      </c>
      <c r="EC207" t="s">
        <v>183</v>
      </c>
      <c r="ED207" t="s">
        <v>211</v>
      </c>
      <c r="EE207" t="s">
        <v>250</v>
      </c>
      <c r="EF207" t="s">
        <v>271</v>
      </c>
      <c r="EG207" t="s">
        <v>2950</v>
      </c>
      <c r="EH207" t="s">
        <v>3432</v>
      </c>
      <c r="EI207" t="s">
        <v>238</v>
      </c>
      <c r="EJ207" t="s">
        <v>239</v>
      </c>
      <c r="EK207" t="s">
        <v>3433</v>
      </c>
      <c r="EL207" t="s">
        <v>391</v>
      </c>
      <c r="EM207" t="s">
        <v>183</v>
      </c>
      <c r="EN207" t="s">
        <v>211</v>
      </c>
      <c r="EO207" t="s">
        <v>487</v>
      </c>
      <c r="EP207" t="s">
        <v>271</v>
      </c>
      <c r="EQ207" t="s">
        <v>2950</v>
      </c>
      <c r="ER207" t="s">
        <v>3434</v>
      </c>
      <c r="ES207" t="s">
        <v>346</v>
      </c>
      <c r="ET207" t="s">
        <v>347</v>
      </c>
      <c r="EU207" t="s">
        <v>3435</v>
      </c>
      <c r="EV207" t="s">
        <v>615</v>
      </c>
      <c r="EW207" t="s">
        <v>183</v>
      </c>
      <c r="EX207" t="s">
        <v>211</v>
      </c>
      <c r="EZ207" t="s">
        <v>271</v>
      </c>
      <c r="FA207" t="s">
        <v>198</v>
      </c>
      <c r="FB207" t="s">
        <v>3436</v>
      </c>
      <c r="FC207" t="s">
        <v>207</v>
      </c>
      <c r="FD207" t="s">
        <v>208</v>
      </c>
      <c r="FE207" t="s">
        <v>3437</v>
      </c>
      <c r="FF207" t="s">
        <v>473</v>
      </c>
      <c r="FG207" t="s">
        <v>183</v>
      </c>
      <c r="FH207" t="s">
        <v>211</v>
      </c>
      <c r="FI207" t="s">
        <v>525</v>
      </c>
      <c r="FK207" t="s">
        <v>878</v>
      </c>
      <c r="FU207" t="s">
        <v>198</v>
      </c>
    </row>
    <row r="208" spans="1:177">
      <c r="A208" s="1" t="str">
        <f>HYPERLINK("http://digipan.lumentumllc.com/apps/getLink/index.php?t=PropLink&amp;p=6461965","PL")</f>
        <v>PL</v>
      </c>
      <c r="B208" s="1" t="str">
        <f>HYPERLINK("http://digipan.lumentumllc.com/apps/getLink/index.php?t=TaxLink&amp;p=6461965","TL")</f>
        <v>TL</v>
      </c>
      <c r="C208" s="1" t="str">
        <f>HYPERLINK("http://digipan.lumentumllc.com/apps/getMap/index.php?p=6461965","Map")</f>
        <v>Map</v>
      </c>
      <c r="E208" t="s">
        <v>177</v>
      </c>
      <c r="F208" t="s">
        <v>178</v>
      </c>
      <c r="L208" t="s">
        <v>3438</v>
      </c>
      <c r="N208" t="s">
        <v>3438</v>
      </c>
      <c r="O208" t="s">
        <v>3438</v>
      </c>
      <c r="P208" t="s">
        <v>3439</v>
      </c>
      <c r="Q208" t="s">
        <v>3438</v>
      </c>
      <c r="V208">
        <v>243</v>
      </c>
      <c r="W208">
        <v>1</v>
      </c>
      <c r="X208">
        <v>2017</v>
      </c>
      <c r="Y208">
        <v>2018</v>
      </c>
      <c r="Z208">
        <v>248.11</v>
      </c>
      <c r="AB208" t="s">
        <v>181</v>
      </c>
      <c r="AC208" t="s">
        <v>182</v>
      </c>
      <c r="AD208" t="s">
        <v>183</v>
      </c>
      <c r="AE208">
        <v>0</v>
      </c>
      <c r="AF208">
        <v>3</v>
      </c>
      <c r="AG208" t="s">
        <v>381</v>
      </c>
      <c r="AH208">
        <v>100</v>
      </c>
      <c r="AK208">
        <v>0</v>
      </c>
      <c r="AL208">
        <v>140000</v>
      </c>
      <c r="AM208">
        <v>13200</v>
      </c>
      <c r="AN208">
        <v>126800</v>
      </c>
      <c r="AO208">
        <v>184</v>
      </c>
      <c r="AP208">
        <v>2016</v>
      </c>
      <c r="AQ208">
        <v>0.18</v>
      </c>
      <c r="AS208" t="s">
        <v>1494</v>
      </c>
      <c r="AT208" t="s">
        <v>186</v>
      </c>
      <c r="AU208" t="s">
        <v>177</v>
      </c>
      <c r="AV208" t="s">
        <v>187</v>
      </c>
      <c r="AW208" t="s">
        <v>182</v>
      </c>
      <c r="AX208">
        <v>55</v>
      </c>
      <c r="AY208" t="s">
        <v>218</v>
      </c>
      <c r="AZ208" t="s">
        <v>1682</v>
      </c>
      <c r="BA208" t="s">
        <v>1683</v>
      </c>
      <c r="BB208" t="s">
        <v>191</v>
      </c>
      <c r="BC208" t="s">
        <v>182</v>
      </c>
      <c r="BD208" t="s">
        <v>182</v>
      </c>
      <c r="BE208" t="s">
        <v>2105</v>
      </c>
      <c r="BF208">
        <v>0</v>
      </c>
      <c r="BG208">
        <v>0</v>
      </c>
      <c r="BH208">
        <v>0</v>
      </c>
      <c r="BI208" t="s">
        <v>199</v>
      </c>
      <c r="BJ208" t="s">
        <v>315</v>
      </c>
      <c r="BL208" t="s">
        <v>199</v>
      </c>
      <c r="BM208" t="s">
        <v>358</v>
      </c>
      <c r="BN208" t="s">
        <v>182</v>
      </c>
      <c r="BO208" t="s">
        <v>198</v>
      </c>
      <c r="BP208" t="s">
        <v>198</v>
      </c>
      <c r="BQ208" t="s">
        <v>198</v>
      </c>
      <c r="BR208" t="s">
        <v>198</v>
      </c>
      <c r="BS208" t="s">
        <v>198</v>
      </c>
      <c r="BT208" t="s">
        <v>198</v>
      </c>
      <c r="BU208" t="s">
        <v>182</v>
      </c>
      <c r="BV208" t="s">
        <v>198</v>
      </c>
      <c r="BW208" t="s">
        <v>198</v>
      </c>
      <c r="BX208" t="s">
        <v>199</v>
      </c>
      <c r="BY208" t="s">
        <v>198</v>
      </c>
      <c r="BZ208" t="s">
        <v>199</v>
      </c>
      <c r="CA208" t="s">
        <v>199</v>
      </c>
      <c r="CB208" t="s">
        <v>3440</v>
      </c>
      <c r="CC208" t="s">
        <v>201</v>
      </c>
      <c r="CD208" t="s">
        <v>182</v>
      </c>
      <c r="CE208" t="s">
        <v>3441</v>
      </c>
      <c r="CF208" t="s">
        <v>413</v>
      </c>
      <c r="CG208" t="s">
        <v>177</v>
      </c>
      <c r="CH208" t="s">
        <v>414</v>
      </c>
      <c r="CI208" t="s">
        <v>3442</v>
      </c>
      <c r="CJ208" t="s">
        <v>1994</v>
      </c>
      <c r="CK208" t="s">
        <v>232</v>
      </c>
      <c r="CL208" t="s">
        <v>233</v>
      </c>
      <c r="CM208" t="s">
        <v>1195</v>
      </c>
      <c r="CN208" t="s">
        <v>235</v>
      </c>
      <c r="CO208" t="s">
        <v>183</v>
      </c>
      <c r="CP208" t="s">
        <v>211</v>
      </c>
      <c r="CQ208" t="s">
        <v>206</v>
      </c>
      <c r="CS208" t="s">
        <v>3443</v>
      </c>
      <c r="CT208" t="s">
        <v>3018</v>
      </c>
      <c r="CU208" t="s">
        <v>267</v>
      </c>
      <c r="CV208" t="s">
        <v>268</v>
      </c>
      <c r="CW208" t="s">
        <v>3444</v>
      </c>
      <c r="CX208" t="s">
        <v>3342</v>
      </c>
      <c r="CY208" t="s">
        <v>183</v>
      </c>
      <c r="CZ208" t="s">
        <v>211</v>
      </c>
      <c r="DA208" t="s">
        <v>199</v>
      </c>
      <c r="DC208" t="s">
        <v>3445</v>
      </c>
      <c r="DD208" t="s">
        <v>1768</v>
      </c>
      <c r="DE208" t="s">
        <v>302</v>
      </c>
      <c r="DF208" t="s">
        <v>303</v>
      </c>
      <c r="DG208" t="s">
        <v>3446</v>
      </c>
      <c r="DH208" t="s">
        <v>1491</v>
      </c>
      <c r="DI208" t="s">
        <v>183</v>
      </c>
      <c r="DJ208" t="s">
        <v>211</v>
      </c>
      <c r="DK208" t="s">
        <v>206</v>
      </c>
      <c r="DM208" t="s">
        <v>3447</v>
      </c>
      <c r="DW208" t="s">
        <v>198</v>
      </c>
      <c r="EG208" t="s">
        <v>198</v>
      </c>
      <c r="EQ208" t="s">
        <v>198</v>
      </c>
      <c r="FA208" t="s">
        <v>198</v>
      </c>
      <c r="FK208" t="s">
        <v>198</v>
      </c>
      <c r="FU208" t="s">
        <v>198</v>
      </c>
    </row>
    <row r="209" spans="1:177">
      <c r="A209" s="1" t="str">
        <f>HYPERLINK("http://digipan.lumentumllc.com/apps/getLink/index.php?t=PropLink&amp;p=5246783","PL")</f>
        <v>PL</v>
      </c>
      <c r="B209" s="1" t="str">
        <f>HYPERLINK("http://digipan.lumentumllc.com/apps/getLink/index.php?t=TaxLink&amp;p=5246783","TL")</f>
        <v>TL</v>
      </c>
      <c r="C209" s="1" t="str">
        <f>HYPERLINK("http://digipan.lumentumllc.com/apps/getMap/index.php?p=5246783","Map")</f>
        <v>Map</v>
      </c>
      <c r="E209" t="s">
        <v>177</v>
      </c>
      <c r="F209" t="s">
        <v>178</v>
      </c>
      <c r="L209" t="s">
        <v>3448</v>
      </c>
      <c r="N209" t="s">
        <v>3448</v>
      </c>
      <c r="O209" t="s">
        <v>3448</v>
      </c>
      <c r="P209" t="s">
        <v>3449</v>
      </c>
      <c r="Q209" t="s">
        <v>3448</v>
      </c>
      <c r="V209">
        <v>244</v>
      </c>
      <c r="W209">
        <v>1</v>
      </c>
      <c r="X209">
        <v>2017</v>
      </c>
      <c r="Y209">
        <v>2018</v>
      </c>
      <c r="Z209">
        <v>3498.17</v>
      </c>
      <c r="AB209" t="s">
        <v>181</v>
      </c>
      <c r="AC209" t="s">
        <v>202</v>
      </c>
      <c r="AD209" t="s">
        <v>183</v>
      </c>
      <c r="AE209">
        <v>0</v>
      </c>
      <c r="AF209">
        <v>6</v>
      </c>
      <c r="AG209" t="s">
        <v>3266</v>
      </c>
      <c r="AH209">
        <v>100</v>
      </c>
      <c r="AK209">
        <v>0</v>
      </c>
      <c r="AL209">
        <v>394515</v>
      </c>
      <c r="AM209">
        <v>39190</v>
      </c>
      <c r="AN209">
        <v>355325</v>
      </c>
      <c r="AO209">
        <v>2385</v>
      </c>
      <c r="AP209">
        <v>2016</v>
      </c>
      <c r="AQ209">
        <v>0.89</v>
      </c>
      <c r="AS209" t="s">
        <v>3450</v>
      </c>
      <c r="AT209" t="s">
        <v>186</v>
      </c>
      <c r="AU209" t="s">
        <v>177</v>
      </c>
      <c r="AV209" t="s">
        <v>187</v>
      </c>
      <c r="AW209" t="s">
        <v>182</v>
      </c>
      <c r="AX209">
        <v>50</v>
      </c>
      <c r="AY209" t="s">
        <v>218</v>
      </c>
      <c r="AZ209" t="s">
        <v>589</v>
      </c>
      <c r="BA209" t="s">
        <v>590</v>
      </c>
      <c r="BB209" t="s">
        <v>191</v>
      </c>
      <c r="BC209" t="s">
        <v>182</v>
      </c>
      <c r="BD209" t="s">
        <v>182</v>
      </c>
      <c r="BE209" t="s">
        <v>3451</v>
      </c>
      <c r="BF209">
        <v>1</v>
      </c>
      <c r="BG209">
        <v>1</v>
      </c>
      <c r="BH209">
        <v>2008</v>
      </c>
      <c r="BI209" t="s">
        <v>3452</v>
      </c>
      <c r="BJ209" t="s">
        <v>194</v>
      </c>
      <c r="BK209" t="s">
        <v>195</v>
      </c>
      <c r="BL209" t="s">
        <v>3453</v>
      </c>
      <c r="BM209" t="s">
        <v>273</v>
      </c>
      <c r="BN209" t="s">
        <v>182</v>
      </c>
      <c r="BO209" t="s">
        <v>2660</v>
      </c>
      <c r="BP209" t="s">
        <v>3454</v>
      </c>
      <c r="BR209" t="s">
        <v>2318</v>
      </c>
      <c r="BS209" t="s">
        <v>3455</v>
      </c>
      <c r="BT209" t="s">
        <v>198</v>
      </c>
      <c r="BU209" t="s">
        <v>182</v>
      </c>
      <c r="BV209" t="s">
        <v>198</v>
      </c>
      <c r="BW209" t="s">
        <v>198</v>
      </c>
      <c r="BX209" t="s">
        <v>199</v>
      </c>
      <c r="BY209" t="s">
        <v>198</v>
      </c>
      <c r="BZ209" t="s">
        <v>199</v>
      </c>
      <c r="CA209" t="s">
        <v>199</v>
      </c>
      <c r="CB209" t="s">
        <v>3456</v>
      </c>
      <c r="CC209" t="s">
        <v>201</v>
      </c>
      <c r="CD209" t="s">
        <v>182</v>
      </c>
      <c r="CE209" t="s">
        <v>3457</v>
      </c>
      <c r="CF209" t="s">
        <v>204</v>
      </c>
      <c r="CG209" t="s">
        <v>177</v>
      </c>
      <c r="CH209" t="s">
        <v>187</v>
      </c>
      <c r="CI209" t="s">
        <v>3458</v>
      </c>
      <c r="CJ209" t="s">
        <v>3201</v>
      </c>
      <c r="CK209" t="s">
        <v>292</v>
      </c>
      <c r="CL209" t="s">
        <v>293</v>
      </c>
      <c r="CM209" t="s">
        <v>3459</v>
      </c>
      <c r="CN209" t="s">
        <v>235</v>
      </c>
      <c r="CO209" t="s">
        <v>183</v>
      </c>
      <c r="CP209" t="s">
        <v>211</v>
      </c>
      <c r="CQ209" t="s">
        <v>212</v>
      </c>
      <c r="CS209" t="s">
        <v>3460</v>
      </c>
      <c r="CT209" t="s">
        <v>1771</v>
      </c>
      <c r="CU209" t="s">
        <v>267</v>
      </c>
      <c r="CV209" t="s">
        <v>268</v>
      </c>
      <c r="CW209" t="s">
        <v>3461</v>
      </c>
      <c r="CX209" t="s">
        <v>235</v>
      </c>
      <c r="CY209" t="s">
        <v>183</v>
      </c>
      <c r="CZ209" t="s">
        <v>211</v>
      </c>
      <c r="DA209" t="s">
        <v>189</v>
      </c>
      <c r="DC209" t="s">
        <v>3462</v>
      </c>
      <c r="DD209" t="s">
        <v>3463</v>
      </c>
      <c r="DE209" t="s">
        <v>273</v>
      </c>
      <c r="DF209" t="s">
        <v>274</v>
      </c>
      <c r="DG209" t="s">
        <v>3464</v>
      </c>
      <c r="DH209" t="s">
        <v>235</v>
      </c>
      <c r="DI209" t="s">
        <v>183</v>
      </c>
      <c r="DJ209" t="s">
        <v>211</v>
      </c>
      <c r="DK209" t="s">
        <v>460</v>
      </c>
      <c r="DM209" t="s">
        <v>3462</v>
      </c>
      <c r="DN209" t="s">
        <v>1792</v>
      </c>
      <c r="DO209" t="s">
        <v>302</v>
      </c>
      <c r="DP209" t="s">
        <v>303</v>
      </c>
      <c r="DQ209" t="s">
        <v>3465</v>
      </c>
      <c r="DR209" t="s">
        <v>235</v>
      </c>
      <c r="DS209" t="s">
        <v>183</v>
      </c>
      <c r="DT209" t="s">
        <v>211</v>
      </c>
      <c r="DU209" t="s">
        <v>206</v>
      </c>
      <c r="DW209" t="s">
        <v>3466</v>
      </c>
      <c r="DX209" t="s">
        <v>3467</v>
      </c>
      <c r="DY209" t="s">
        <v>346</v>
      </c>
      <c r="DZ209" t="s">
        <v>347</v>
      </c>
      <c r="EA209" t="s">
        <v>3468</v>
      </c>
      <c r="EB209" t="s">
        <v>235</v>
      </c>
      <c r="EC209" t="s">
        <v>183</v>
      </c>
      <c r="ED209" t="s">
        <v>211</v>
      </c>
      <c r="EE209" t="s">
        <v>270</v>
      </c>
      <c r="EF209" t="s">
        <v>271</v>
      </c>
      <c r="EG209" t="s">
        <v>2786</v>
      </c>
      <c r="EH209" t="s">
        <v>3469</v>
      </c>
      <c r="EI209" t="s">
        <v>207</v>
      </c>
      <c r="EJ209" t="s">
        <v>208</v>
      </c>
      <c r="EK209" t="s">
        <v>3470</v>
      </c>
      <c r="EL209" t="s">
        <v>2515</v>
      </c>
      <c r="EM209" t="s">
        <v>183</v>
      </c>
      <c r="EN209" t="s">
        <v>211</v>
      </c>
      <c r="EP209" t="s">
        <v>271</v>
      </c>
      <c r="EQ209" t="s">
        <v>198</v>
      </c>
      <c r="FA209" t="s">
        <v>198</v>
      </c>
      <c r="FK209" t="s">
        <v>198</v>
      </c>
      <c r="FU209" t="s">
        <v>198</v>
      </c>
    </row>
    <row r="210" spans="1:177">
      <c r="A210" s="1" t="str">
        <f>HYPERLINK("http://digipan.lumentumllc.com/apps/getLink/index.php?t=PropLink&amp;p=6886790","PL")</f>
        <v>PL</v>
      </c>
      <c r="B210" s="1" t="str">
        <f>HYPERLINK("http://digipan.lumentumllc.com/apps/getLink/index.php?t=TaxLink&amp;p=6886790","TL")</f>
        <v>TL</v>
      </c>
      <c r="C210" s="1" t="str">
        <f>HYPERLINK("http://digipan.lumentumllc.com/apps/getMap/index.php?p=6886790","Map")</f>
        <v>Map</v>
      </c>
      <c r="E210" t="s">
        <v>177</v>
      </c>
      <c r="F210" t="s">
        <v>178</v>
      </c>
      <c r="L210" t="s">
        <v>3471</v>
      </c>
      <c r="N210" t="s">
        <v>3471</v>
      </c>
      <c r="O210" t="s">
        <v>3471</v>
      </c>
      <c r="P210" t="s">
        <v>3472</v>
      </c>
      <c r="Q210" t="s">
        <v>3471</v>
      </c>
      <c r="V210">
        <v>245</v>
      </c>
      <c r="W210">
        <v>1</v>
      </c>
      <c r="X210">
        <v>2017</v>
      </c>
      <c r="Y210">
        <v>2018</v>
      </c>
      <c r="Z210">
        <v>725.71</v>
      </c>
      <c r="AB210" t="s">
        <v>181</v>
      </c>
      <c r="AC210" t="s">
        <v>182</v>
      </c>
      <c r="AD210" t="s">
        <v>183</v>
      </c>
      <c r="AE210">
        <v>0</v>
      </c>
      <c r="AF210">
        <v>2</v>
      </c>
      <c r="AG210" t="s">
        <v>216</v>
      </c>
      <c r="AH210">
        <v>100</v>
      </c>
      <c r="AK210">
        <v>0</v>
      </c>
      <c r="AL210">
        <v>42371</v>
      </c>
      <c r="AM210">
        <v>24000</v>
      </c>
      <c r="AN210">
        <v>18371</v>
      </c>
      <c r="AO210">
        <v>651</v>
      </c>
      <c r="AP210">
        <v>2016</v>
      </c>
      <c r="AQ210">
        <v>1.71</v>
      </c>
      <c r="AS210" t="s">
        <v>3473</v>
      </c>
      <c r="AT210" t="s">
        <v>186</v>
      </c>
      <c r="AU210" t="s">
        <v>177</v>
      </c>
      <c r="AV210" t="s">
        <v>187</v>
      </c>
      <c r="AW210" t="s">
        <v>182</v>
      </c>
      <c r="AX210">
        <v>2</v>
      </c>
      <c r="AY210" t="s">
        <v>188</v>
      </c>
      <c r="AZ210" t="s">
        <v>189</v>
      </c>
      <c r="BA210" t="s">
        <v>190</v>
      </c>
      <c r="BB210" t="s">
        <v>191</v>
      </c>
      <c r="BC210" t="s">
        <v>182</v>
      </c>
      <c r="BD210" t="s">
        <v>182</v>
      </c>
      <c r="BE210" t="s">
        <v>365</v>
      </c>
      <c r="BF210">
        <v>1</v>
      </c>
      <c r="BG210">
        <v>1</v>
      </c>
      <c r="BH210">
        <v>1974</v>
      </c>
      <c r="BI210" t="s">
        <v>3474</v>
      </c>
      <c r="BJ210" t="s">
        <v>194</v>
      </c>
      <c r="BK210" t="s">
        <v>195</v>
      </c>
      <c r="BL210" t="s">
        <v>199</v>
      </c>
      <c r="BM210" t="s">
        <v>1041</v>
      </c>
      <c r="BN210" t="s">
        <v>182</v>
      </c>
      <c r="BO210" t="s">
        <v>3475</v>
      </c>
      <c r="BP210" t="s">
        <v>3476</v>
      </c>
      <c r="BS210" t="s">
        <v>3477</v>
      </c>
      <c r="BT210" t="s">
        <v>198</v>
      </c>
      <c r="BU210" t="s">
        <v>182</v>
      </c>
      <c r="BV210" t="s">
        <v>198</v>
      </c>
      <c r="BW210" t="s">
        <v>198</v>
      </c>
      <c r="BX210" t="s">
        <v>199</v>
      </c>
      <c r="BY210" t="s">
        <v>198</v>
      </c>
      <c r="BZ210" t="s">
        <v>199</v>
      </c>
      <c r="CA210" t="s">
        <v>199</v>
      </c>
      <c r="CB210" t="s">
        <v>3478</v>
      </c>
      <c r="CC210" t="s">
        <v>201</v>
      </c>
      <c r="CD210" t="s">
        <v>202</v>
      </c>
      <c r="CE210" t="s">
        <v>3479</v>
      </c>
      <c r="CF210" t="s">
        <v>204</v>
      </c>
      <c r="CG210" t="s">
        <v>177</v>
      </c>
      <c r="CH210" t="s">
        <v>187</v>
      </c>
      <c r="CI210" t="s">
        <v>3369</v>
      </c>
      <c r="CJ210" t="s">
        <v>3480</v>
      </c>
      <c r="CK210" t="s">
        <v>292</v>
      </c>
      <c r="CL210" t="s">
        <v>293</v>
      </c>
      <c r="CM210" t="s">
        <v>3481</v>
      </c>
      <c r="CN210" t="s">
        <v>235</v>
      </c>
      <c r="CO210" t="s">
        <v>183</v>
      </c>
      <c r="CP210" t="s">
        <v>211</v>
      </c>
      <c r="CQ210" t="s">
        <v>298</v>
      </c>
      <c r="CS210" t="s">
        <v>3482</v>
      </c>
      <c r="CT210" t="s">
        <v>1620</v>
      </c>
      <c r="CU210" t="s">
        <v>267</v>
      </c>
      <c r="CV210" t="s">
        <v>268</v>
      </c>
      <c r="CW210" t="s">
        <v>3483</v>
      </c>
      <c r="CX210" t="s">
        <v>235</v>
      </c>
      <c r="CY210" t="s">
        <v>183</v>
      </c>
      <c r="CZ210" t="s">
        <v>211</v>
      </c>
      <c r="DA210" t="s">
        <v>427</v>
      </c>
      <c r="DC210" t="s">
        <v>293</v>
      </c>
      <c r="DM210" t="s">
        <v>198</v>
      </c>
      <c r="DW210" t="s">
        <v>198</v>
      </c>
      <c r="EG210" t="s">
        <v>198</v>
      </c>
      <c r="EQ210" t="s">
        <v>198</v>
      </c>
      <c r="FA210" t="s">
        <v>198</v>
      </c>
      <c r="FK210" t="s">
        <v>198</v>
      </c>
      <c r="FU210" t="s">
        <v>198</v>
      </c>
    </row>
    <row r="211" spans="1:177">
      <c r="A211" s="1" t="str">
        <f>HYPERLINK("http://digipan.lumentumllc.com/apps/getLink/index.php?t=PropLink&amp;p=5247130","PL")</f>
        <v>PL</v>
      </c>
      <c r="B211" s="1" t="str">
        <f>HYPERLINK("http://digipan.lumentumllc.com/apps/getLink/index.php?t=TaxLink&amp;p=5247130","TL")</f>
        <v>TL</v>
      </c>
      <c r="C211" s="1" t="str">
        <f>HYPERLINK("http://digipan.lumentumllc.com/apps/getMap/index.php?p=5247130","Map")</f>
        <v>Map</v>
      </c>
      <c r="E211" t="s">
        <v>177</v>
      </c>
      <c r="F211" t="s">
        <v>178</v>
      </c>
      <c r="L211" t="s">
        <v>3484</v>
      </c>
      <c r="N211" t="s">
        <v>3484</v>
      </c>
      <c r="O211" t="s">
        <v>3484</v>
      </c>
      <c r="P211" t="s">
        <v>3485</v>
      </c>
      <c r="Q211" t="s">
        <v>3484</v>
      </c>
      <c r="V211">
        <v>246</v>
      </c>
      <c r="W211">
        <v>1</v>
      </c>
      <c r="X211">
        <v>2017</v>
      </c>
      <c r="Y211">
        <v>2018</v>
      </c>
      <c r="Z211">
        <v>296.13</v>
      </c>
      <c r="AB211" t="s">
        <v>181</v>
      </c>
      <c r="AC211" t="s">
        <v>182</v>
      </c>
      <c r="AD211" t="s">
        <v>183</v>
      </c>
      <c r="AE211">
        <v>1</v>
      </c>
      <c r="AF211">
        <v>7</v>
      </c>
      <c r="AG211" t="s">
        <v>418</v>
      </c>
      <c r="AH211">
        <v>86</v>
      </c>
      <c r="AI211">
        <v>256.56</v>
      </c>
      <c r="AJ211">
        <v>16.68</v>
      </c>
      <c r="AK211">
        <v>273.24</v>
      </c>
      <c r="AL211">
        <v>17700</v>
      </c>
      <c r="AM211">
        <v>17700</v>
      </c>
      <c r="AN211">
        <v>0</v>
      </c>
      <c r="AO211">
        <v>212</v>
      </c>
      <c r="AP211">
        <v>2016</v>
      </c>
      <c r="AQ211">
        <v>1.67</v>
      </c>
      <c r="AR211">
        <v>1.54</v>
      </c>
      <c r="AS211" t="s">
        <v>3486</v>
      </c>
      <c r="AT211" t="s">
        <v>186</v>
      </c>
      <c r="AU211" t="s">
        <v>177</v>
      </c>
      <c r="AV211" t="s">
        <v>187</v>
      </c>
      <c r="AW211" t="s">
        <v>182</v>
      </c>
      <c r="AX211">
        <v>0</v>
      </c>
      <c r="AY211" t="s">
        <v>312</v>
      </c>
      <c r="AZ211" t="s">
        <v>199</v>
      </c>
      <c r="BA211" t="s">
        <v>313</v>
      </c>
      <c r="BB211" t="s">
        <v>191</v>
      </c>
      <c r="BC211" t="s">
        <v>182</v>
      </c>
      <c r="BD211" t="s">
        <v>182</v>
      </c>
      <c r="BE211" t="s">
        <v>1223</v>
      </c>
      <c r="BF211">
        <v>0</v>
      </c>
      <c r="BG211">
        <v>0</v>
      </c>
      <c r="BH211">
        <v>0</v>
      </c>
      <c r="BI211" t="s">
        <v>199</v>
      </c>
      <c r="BJ211" t="s">
        <v>248</v>
      </c>
      <c r="BL211" t="s">
        <v>3487</v>
      </c>
      <c r="BM211" t="s">
        <v>286</v>
      </c>
      <c r="BN211" t="s">
        <v>182</v>
      </c>
      <c r="BO211" t="s">
        <v>3488</v>
      </c>
      <c r="BP211" t="s">
        <v>956</v>
      </c>
      <c r="BS211" t="s">
        <v>3489</v>
      </c>
      <c r="BT211" t="s">
        <v>198</v>
      </c>
      <c r="BU211" t="s">
        <v>182</v>
      </c>
      <c r="BV211" t="s">
        <v>198</v>
      </c>
      <c r="BW211" t="s">
        <v>198</v>
      </c>
      <c r="BX211" t="s">
        <v>199</v>
      </c>
      <c r="BY211" t="s">
        <v>198</v>
      </c>
      <c r="BZ211" t="s">
        <v>199</v>
      </c>
      <c r="CA211" t="s">
        <v>199</v>
      </c>
      <c r="CB211" t="s">
        <v>3490</v>
      </c>
      <c r="CC211" t="s">
        <v>201</v>
      </c>
      <c r="CD211" t="s">
        <v>182</v>
      </c>
      <c r="CE211" t="s">
        <v>3491</v>
      </c>
      <c r="CF211" t="s">
        <v>204</v>
      </c>
      <c r="CG211" t="s">
        <v>177</v>
      </c>
      <c r="CH211" t="s">
        <v>187</v>
      </c>
      <c r="CI211" t="s">
        <v>3492</v>
      </c>
      <c r="CJ211" t="s">
        <v>2343</v>
      </c>
      <c r="CK211" t="s">
        <v>232</v>
      </c>
      <c r="CL211" t="s">
        <v>233</v>
      </c>
      <c r="CM211" t="s">
        <v>3493</v>
      </c>
      <c r="CN211" t="s">
        <v>688</v>
      </c>
      <c r="CO211" t="s">
        <v>183</v>
      </c>
      <c r="CP211" t="s">
        <v>266</v>
      </c>
      <c r="CS211" t="s">
        <v>198</v>
      </c>
      <c r="CT211" t="s">
        <v>3355</v>
      </c>
      <c r="CU211" t="s">
        <v>292</v>
      </c>
      <c r="CV211" t="s">
        <v>293</v>
      </c>
      <c r="CW211" t="s">
        <v>3494</v>
      </c>
      <c r="CX211" t="s">
        <v>387</v>
      </c>
      <c r="CY211" t="s">
        <v>183</v>
      </c>
      <c r="CZ211" t="s">
        <v>211</v>
      </c>
      <c r="DA211" t="s">
        <v>298</v>
      </c>
      <c r="DC211" t="s">
        <v>3495</v>
      </c>
      <c r="DD211" t="s">
        <v>3091</v>
      </c>
      <c r="DE211" t="s">
        <v>267</v>
      </c>
      <c r="DF211" t="s">
        <v>268</v>
      </c>
      <c r="DG211" t="s">
        <v>3496</v>
      </c>
      <c r="DH211" t="s">
        <v>331</v>
      </c>
      <c r="DI211" t="s">
        <v>183</v>
      </c>
      <c r="DJ211" t="s">
        <v>211</v>
      </c>
      <c r="DK211" t="s">
        <v>298</v>
      </c>
      <c r="DM211" t="s">
        <v>2151</v>
      </c>
      <c r="DN211" t="s">
        <v>1964</v>
      </c>
      <c r="DO211" t="s">
        <v>273</v>
      </c>
      <c r="DP211" t="s">
        <v>274</v>
      </c>
      <c r="DQ211" t="s">
        <v>3497</v>
      </c>
      <c r="DR211" t="s">
        <v>402</v>
      </c>
      <c r="DS211" t="s">
        <v>183</v>
      </c>
      <c r="DT211" t="s">
        <v>211</v>
      </c>
      <c r="DU211" t="s">
        <v>298</v>
      </c>
      <c r="DW211" t="s">
        <v>2856</v>
      </c>
      <c r="DX211" t="s">
        <v>3307</v>
      </c>
      <c r="DY211" t="s">
        <v>302</v>
      </c>
      <c r="DZ211" t="s">
        <v>303</v>
      </c>
      <c r="EA211" t="s">
        <v>3498</v>
      </c>
      <c r="EB211" t="s">
        <v>295</v>
      </c>
      <c r="EC211" t="s">
        <v>183</v>
      </c>
      <c r="ED211" t="s">
        <v>211</v>
      </c>
      <c r="EE211" t="s">
        <v>298</v>
      </c>
      <c r="EG211" t="s">
        <v>3499</v>
      </c>
      <c r="EH211" t="s">
        <v>533</v>
      </c>
      <c r="EI211" t="s">
        <v>238</v>
      </c>
      <c r="EJ211" t="s">
        <v>239</v>
      </c>
      <c r="EK211" t="s">
        <v>3500</v>
      </c>
      <c r="EL211" t="s">
        <v>278</v>
      </c>
      <c r="EM211" t="s">
        <v>183</v>
      </c>
      <c r="EN211" t="s">
        <v>211</v>
      </c>
      <c r="EO211" t="s">
        <v>298</v>
      </c>
      <c r="EQ211" t="s">
        <v>3501</v>
      </c>
      <c r="ER211" t="s">
        <v>3502</v>
      </c>
      <c r="ES211" t="s">
        <v>346</v>
      </c>
      <c r="ET211" t="s">
        <v>347</v>
      </c>
      <c r="EU211" t="s">
        <v>3503</v>
      </c>
      <c r="EV211" t="s">
        <v>615</v>
      </c>
      <c r="EW211" t="s">
        <v>183</v>
      </c>
      <c r="EX211" t="s">
        <v>211</v>
      </c>
      <c r="EY211" t="s">
        <v>345</v>
      </c>
      <c r="FA211" t="s">
        <v>2496</v>
      </c>
      <c r="FB211" t="s">
        <v>3504</v>
      </c>
      <c r="FC211" t="s">
        <v>207</v>
      </c>
      <c r="FD211" t="s">
        <v>208</v>
      </c>
      <c r="FE211" t="s">
        <v>3505</v>
      </c>
      <c r="FF211" t="s">
        <v>473</v>
      </c>
      <c r="FG211" t="s">
        <v>183</v>
      </c>
      <c r="FH211" t="s">
        <v>211</v>
      </c>
      <c r="FI211" t="s">
        <v>298</v>
      </c>
      <c r="FK211" t="s">
        <v>1381</v>
      </c>
      <c r="FU211" t="s">
        <v>198</v>
      </c>
    </row>
    <row r="212" spans="1:177">
      <c r="A212" s="1" t="str">
        <f>HYPERLINK("http://digipan.lumentumllc.com/apps/getLink/index.php?t=PropLink&amp;p=5247131","PL")</f>
        <v>PL</v>
      </c>
      <c r="B212" s="1" t="str">
        <f>HYPERLINK("http://digipan.lumentumllc.com/apps/getLink/index.php?t=TaxLink&amp;p=5247131","TL")</f>
        <v>TL</v>
      </c>
      <c r="C212" s="1" t="str">
        <f>HYPERLINK("http://digipan.lumentumllc.com/apps/getMap/index.php?p=5247131","Map")</f>
        <v>Map</v>
      </c>
      <c r="E212" t="s">
        <v>177</v>
      </c>
      <c r="F212" t="s">
        <v>178</v>
      </c>
      <c r="L212" t="s">
        <v>3506</v>
      </c>
      <c r="N212" t="s">
        <v>3506</v>
      </c>
      <c r="O212" t="s">
        <v>3506</v>
      </c>
      <c r="P212" t="s">
        <v>3507</v>
      </c>
      <c r="Q212" t="s">
        <v>3506</v>
      </c>
      <c r="V212">
        <v>247</v>
      </c>
      <c r="W212">
        <v>1</v>
      </c>
      <c r="X212">
        <v>2017</v>
      </c>
      <c r="Y212">
        <v>2018</v>
      </c>
      <c r="Z212">
        <v>2483.5700000000002</v>
      </c>
      <c r="AB212" t="s">
        <v>181</v>
      </c>
      <c r="AC212" t="s">
        <v>182</v>
      </c>
      <c r="AD212" t="s">
        <v>183</v>
      </c>
      <c r="AE212">
        <v>1</v>
      </c>
      <c r="AF212">
        <v>7</v>
      </c>
      <c r="AG212" t="s">
        <v>418</v>
      </c>
      <c r="AH212">
        <v>86</v>
      </c>
      <c r="AI212">
        <v>2451.2600000000002</v>
      </c>
      <c r="AJ212">
        <v>122.56</v>
      </c>
      <c r="AK212">
        <v>2573.8200000000002</v>
      </c>
      <c r="AL212">
        <v>206802</v>
      </c>
      <c r="AM212">
        <v>85275</v>
      </c>
      <c r="AN212">
        <v>121527</v>
      </c>
      <c r="AO212">
        <v>2242</v>
      </c>
      <c r="AP212">
        <v>2016</v>
      </c>
      <c r="AQ212">
        <v>1.2</v>
      </c>
      <c r="AR212">
        <v>1.24</v>
      </c>
      <c r="AS212" t="s">
        <v>3508</v>
      </c>
      <c r="AT212" t="s">
        <v>186</v>
      </c>
      <c r="AU212" t="s">
        <v>177</v>
      </c>
      <c r="AV212" t="s">
        <v>187</v>
      </c>
      <c r="AW212" t="s">
        <v>202</v>
      </c>
      <c r="AX212">
        <v>1</v>
      </c>
      <c r="AY212" t="s">
        <v>188</v>
      </c>
      <c r="AZ212" t="s">
        <v>206</v>
      </c>
      <c r="BA212" t="s">
        <v>355</v>
      </c>
      <c r="BB212" t="s">
        <v>191</v>
      </c>
      <c r="BC212" t="s">
        <v>182</v>
      </c>
      <c r="BD212" t="s">
        <v>182</v>
      </c>
      <c r="BE212" t="s">
        <v>3509</v>
      </c>
      <c r="BF212">
        <v>1</v>
      </c>
      <c r="BG212">
        <v>1</v>
      </c>
      <c r="BH212">
        <v>1971</v>
      </c>
      <c r="BI212" t="s">
        <v>3510</v>
      </c>
      <c r="BJ212" t="s">
        <v>194</v>
      </c>
      <c r="BK212" t="s">
        <v>195</v>
      </c>
      <c r="BL212" t="s">
        <v>199</v>
      </c>
      <c r="BM212" t="s">
        <v>410</v>
      </c>
      <c r="BN212" t="s">
        <v>182</v>
      </c>
      <c r="BO212" t="s">
        <v>3488</v>
      </c>
      <c r="BP212" t="s">
        <v>2542</v>
      </c>
      <c r="BR212" t="s">
        <v>1461</v>
      </c>
      <c r="BS212" t="s">
        <v>3511</v>
      </c>
      <c r="BT212" t="s">
        <v>198</v>
      </c>
      <c r="BU212" t="s">
        <v>182</v>
      </c>
      <c r="BV212" t="s">
        <v>198</v>
      </c>
      <c r="BW212" t="s">
        <v>198</v>
      </c>
      <c r="BX212" t="s">
        <v>199</v>
      </c>
      <c r="BY212" t="s">
        <v>198</v>
      </c>
      <c r="BZ212" t="s">
        <v>199</v>
      </c>
      <c r="CA212" t="s">
        <v>199</v>
      </c>
      <c r="CB212" t="s">
        <v>3490</v>
      </c>
      <c r="CC212" t="s">
        <v>201</v>
      </c>
      <c r="CD212" t="s">
        <v>182</v>
      </c>
      <c r="CE212" t="s">
        <v>3512</v>
      </c>
      <c r="CF212" t="s">
        <v>204</v>
      </c>
      <c r="CG212" t="s">
        <v>177</v>
      </c>
      <c r="CH212" t="s">
        <v>187</v>
      </c>
      <c r="CI212" t="s">
        <v>3513</v>
      </c>
      <c r="CJ212" t="s">
        <v>2360</v>
      </c>
      <c r="CK212" t="s">
        <v>232</v>
      </c>
      <c r="CL212" t="s">
        <v>233</v>
      </c>
      <c r="CM212" t="s">
        <v>3514</v>
      </c>
      <c r="CN212" t="s">
        <v>235</v>
      </c>
      <c r="CO212" t="s">
        <v>183</v>
      </c>
      <c r="CP212" t="s">
        <v>266</v>
      </c>
      <c r="CS212" t="s">
        <v>198</v>
      </c>
      <c r="CT212" t="s">
        <v>1768</v>
      </c>
      <c r="CU212" t="s">
        <v>292</v>
      </c>
      <c r="CV212" t="s">
        <v>293</v>
      </c>
      <c r="CW212" t="s">
        <v>3515</v>
      </c>
      <c r="CX212" t="s">
        <v>235</v>
      </c>
      <c r="CY212" t="s">
        <v>183</v>
      </c>
      <c r="CZ212" t="s">
        <v>211</v>
      </c>
      <c r="DA212" t="s">
        <v>298</v>
      </c>
      <c r="DC212" t="s">
        <v>3495</v>
      </c>
      <c r="DD212" t="s">
        <v>1925</v>
      </c>
      <c r="DE212" t="s">
        <v>267</v>
      </c>
      <c r="DF212" t="s">
        <v>268</v>
      </c>
      <c r="DG212" t="s">
        <v>3516</v>
      </c>
      <c r="DH212" t="s">
        <v>235</v>
      </c>
      <c r="DI212" t="s">
        <v>183</v>
      </c>
      <c r="DJ212" t="s">
        <v>211</v>
      </c>
      <c r="DK212" t="s">
        <v>298</v>
      </c>
      <c r="DM212" t="s">
        <v>2151</v>
      </c>
      <c r="DN212" t="s">
        <v>1980</v>
      </c>
      <c r="DO212" t="s">
        <v>273</v>
      </c>
      <c r="DP212" t="s">
        <v>274</v>
      </c>
      <c r="DQ212" t="s">
        <v>3517</v>
      </c>
      <c r="DR212" t="s">
        <v>235</v>
      </c>
      <c r="DS212" t="s">
        <v>183</v>
      </c>
      <c r="DT212" t="s">
        <v>211</v>
      </c>
      <c r="DU212" t="s">
        <v>298</v>
      </c>
      <c r="DW212" t="s">
        <v>2856</v>
      </c>
      <c r="DX212" t="s">
        <v>2161</v>
      </c>
      <c r="DY212" t="s">
        <v>302</v>
      </c>
      <c r="DZ212" t="s">
        <v>303</v>
      </c>
      <c r="EA212" t="s">
        <v>3518</v>
      </c>
      <c r="EB212" t="s">
        <v>235</v>
      </c>
      <c r="EC212" t="s">
        <v>183</v>
      </c>
      <c r="ED212" t="s">
        <v>211</v>
      </c>
      <c r="EE212" t="s">
        <v>298</v>
      </c>
      <c r="EG212" t="s">
        <v>3499</v>
      </c>
      <c r="EH212" t="s">
        <v>559</v>
      </c>
      <c r="EI212" t="s">
        <v>238</v>
      </c>
      <c r="EJ212" t="s">
        <v>239</v>
      </c>
      <c r="EK212" t="s">
        <v>3519</v>
      </c>
      <c r="EL212" t="s">
        <v>235</v>
      </c>
      <c r="EM212" t="s">
        <v>183</v>
      </c>
      <c r="EN212" t="s">
        <v>211</v>
      </c>
      <c r="EO212" t="s">
        <v>298</v>
      </c>
      <c r="EQ212" t="s">
        <v>3501</v>
      </c>
      <c r="ER212" t="s">
        <v>3520</v>
      </c>
      <c r="ES212" t="s">
        <v>346</v>
      </c>
      <c r="ET212" t="s">
        <v>347</v>
      </c>
      <c r="EU212" t="s">
        <v>3521</v>
      </c>
      <c r="EV212" t="s">
        <v>235</v>
      </c>
      <c r="EW212" t="s">
        <v>183</v>
      </c>
      <c r="EX212" t="s">
        <v>211</v>
      </c>
      <c r="EY212" t="s">
        <v>345</v>
      </c>
      <c r="FA212" t="s">
        <v>2496</v>
      </c>
      <c r="FB212" t="s">
        <v>3522</v>
      </c>
      <c r="FC212" t="s">
        <v>207</v>
      </c>
      <c r="FD212" t="s">
        <v>208</v>
      </c>
      <c r="FE212" t="s">
        <v>3523</v>
      </c>
      <c r="FF212" t="s">
        <v>235</v>
      </c>
      <c r="FG212" t="s">
        <v>183</v>
      </c>
      <c r="FH212" t="s">
        <v>211</v>
      </c>
      <c r="FI212" t="s">
        <v>298</v>
      </c>
      <c r="FK212" t="s">
        <v>1381</v>
      </c>
      <c r="FU212" t="s">
        <v>198</v>
      </c>
    </row>
    <row r="213" spans="1:177">
      <c r="A213" s="1" t="str">
        <f>HYPERLINK("http://digipan.lumentumllc.com/apps/getLink/index.php?t=PropLink&amp;p=41030216","PL")</f>
        <v>PL</v>
      </c>
      <c r="B213" s="1" t="str">
        <f>HYPERLINK("http://digipan.lumentumllc.com/apps/getLink/index.php?t=TaxLink&amp;p=41030216","TL")</f>
        <v>TL</v>
      </c>
      <c r="C213" s="1" t="str">
        <f>HYPERLINK("","")</f>
        <v/>
      </c>
      <c r="E213" t="s">
        <v>177</v>
      </c>
      <c r="F213" t="s">
        <v>178</v>
      </c>
      <c r="L213" t="s">
        <v>3524</v>
      </c>
      <c r="N213" t="s">
        <v>3524</v>
      </c>
      <c r="O213" t="s">
        <v>3524</v>
      </c>
      <c r="Q213" t="s">
        <v>3524</v>
      </c>
      <c r="V213">
        <v>248</v>
      </c>
      <c r="W213">
        <v>1</v>
      </c>
      <c r="X213">
        <v>2017</v>
      </c>
      <c r="Y213">
        <v>2018</v>
      </c>
      <c r="Z213">
        <v>503.53</v>
      </c>
      <c r="AG213" t="s">
        <v>184</v>
      </c>
      <c r="AH213">
        <v>0</v>
      </c>
      <c r="AK213">
        <v>0</v>
      </c>
      <c r="AL213">
        <v>28800</v>
      </c>
      <c r="AM213">
        <v>28800</v>
      </c>
      <c r="AN213">
        <v>0</v>
      </c>
      <c r="AQ213">
        <v>1.75</v>
      </c>
      <c r="AS213" t="s">
        <v>1494</v>
      </c>
      <c r="AT213" t="s">
        <v>186</v>
      </c>
      <c r="AU213" t="s">
        <v>177</v>
      </c>
      <c r="AV213" t="s">
        <v>187</v>
      </c>
      <c r="AW213" t="s">
        <v>182</v>
      </c>
      <c r="AX213">
        <v>0</v>
      </c>
      <c r="AY213" t="s">
        <v>312</v>
      </c>
      <c r="AZ213" t="s">
        <v>199</v>
      </c>
      <c r="BA213" t="s">
        <v>313</v>
      </c>
      <c r="BB213" t="s">
        <v>191</v>
      </c>
      <c r="BC213" t="s">
        <v>202</v>
      </c>
      <c r="BD213" t="s">
        <v>182</v>
      </c>
      <c r="BE213" t="s">
        <v>3525</v>
      </c>
      <c r="BI213" t="s">
        <v>199</v>
      </c>
      <c r="BL213" t="s">
        <v>3526</v>
      </c>
      <c r="BM213" t="s">
        <v>232</v>
      </c>
      <c r="BN213" t="s">
        <v>182</v>
      </c>
      <c r="BO213" t="s">
        <v>198</v>
      </c>
      <c r="BP213" t="s">
        <v>198</v>
      </c>
      <c r="BQ213" t="s">
        <v>198</v>
      </c>
      <c r="BR213" t="s">
        <v>198</v>
      </c>
      <c r="BS213" t="s">
        <v>198</v>
      </c>
      <c r="BT213" t="s">
        <v>198</v>
      </c>
      <c r="BU213" t="s">
        <v>182</v>
      </c>
      <c r="BV213" t="s">
        <v>198</v>
      </c>
      <c r="BW213" t="s">
        <v>198</v>
      </c>
      <c r="BX213" t="s">
        <v>199</v>
      </c>
      <c r="BY213" t="s">
        <v>198</v>
      </c>
      <c r="CB213" t="s">
        <v>3527</v>
      </c>
      <c r="CC213" t="s">
        <v>201</v>
      </c>
      <c r="CD213" t="s">
        <v>182</v>
      </c>
      <c r="CE213" t="s">
        <v>3528</v>
      </c>
      <c r="CF213" t="s">
        <v>2333</v>
      </c>
      <c r="CG213" t="s">
        <v>177</v>
      </c>
      <c r="CH213" t="s">
        <v>2334</v>
      </c>
      <c r="CI213" t="s">
        <v>3529</v>
      </c>
      <c r="CS213" t="s">
        <v>198</v>
      </c>
      <c r="DC213" t="s">
        <v>198</v>
      </c>
      <c r="DM213" t="s">
        <v>198</v>
      </c>
      <c r="DW213" t="s">
        <v>198</v>
      </c>
      <c r="EG213" t="s">
        <v>198</v>
      </c>
      <c r="EQ213" t="s">
        <v>198</v>
      </c>
      <c r="FA213" t="s">
        <v>198</v>
      </c>
      <c r="FK213" t="s">
        <v>198</v>
      </c>
      <c r="FU213" t="s">
        <v>198</v>
      </c>
    </row>
    <row r="214" spans="1:177">
      <c r="A214" s="1" t="str">
        <f>HYPERLINK("http://digipan.lumentumllc.com/apps/getLink/index.php?t=PropLink&amp;p=5247204","PL")</f>
        <v>PL</v>
      </c>
      <c r="B214" s="1" t="str">
        <f>HYPERLINK("http://digipan.lumentumllc.com/apps/getLink/index.php?t=TaxLink&amp;p=5247204","TL")</f>
        <v>TL</v>
      </c>
      <c r="C214" s="1" t="str">
        <f>HYPERLINK("http://digipan.lumentumllc.com/apps/getMap/index.php?p=5247204","Map")</f>
        <v>Map</v>
      </c>
      <c r="E214" t="s">
        <v>177</v>
      </c>
      <c r="F214" t="s">
        <v>178</v>
      </c>
      <c r="L214" t="s">
        <v>3530</v>
      </c>
      <c r="N214" t="s">
        <v>3530</v>
      </c>
      <c r="O214" t="s">
        <v>3530</v>
      </c>
      <c r="P214" t="s">
        <v>3531</v>
      </c>
      <c r="Q214" t="s">
        <v>3530</v>
      </c>
      <c r="V214">
        <v>249</v>
      </c>
      <c r="W214">
        <v>1</v>
      </c>
      <c r="X214">
        <v>2017</v>
      </c>
      <c r="Y214">
        <v>2018</v>
      </c>
      <c r="Z214">
        <v>880.39</v>
      </c>
      <c r="AB214" t="s">
        <v>181</v>
      </c>
      <c r="AC214" t="s">
        <v>182</v>
      </c>
      <c r="AD214" t="s">
        <v>183</v>
      </c>
      <c r="AE214">
        <v>1</v>
      </c>
      <c r="AF214">
        <v>5</v>
      </c>
      <c r="AG214" t="s">
        <v>322</v>
      </c>
      <c r="AH214">
        <v>83</v>
      </c>
      <c r="AI214">
        <v>791.79</v>
      </c>
      <c r="AJ214">
        <v>39.590000000000003</v>
      </c>
      <c r="AK214">
        <v>831.38</v>
      </c>
      <c r="AL214">
        <v>57430</v>
      </c>
      <c r="AM214">
        <v>24192</v>
      </c>
      <c r="AN214">
        <v>33238</v>
      </c>
      <c r="AO214">
        <v>707</v>
      </c>
      <c r="AP214">
        <v>2016</v>
      </c>
      <c r="AQ214">
        <v>1.53</v>
      </c>
      <c r="AR214">
        <v>1.45</v>
      </c>
      <c r="AS214" t="s">
        <v>3532</v>
      </c>
      <c r="AT214" t="s">
        <v>186</v>
      </c>
      <c r="AU214" t="s">
        <v>177</v>
      </c>
      <c r="AV214" t="s">
        <v>187</v>
      </c>
      <c r="AW214" t="s">
        <v>182</v>
      </c>
      <c r="AX214">
        <v>2</v>
      </c>
      <c r="AY214" t="s">
        <v>188</v>
      </c>
      <c r="AZ214" t="s">
        <v>189</v>
      </c>
      <c r="BA214" t="s">
        <v>190</v>
      </c>
      <c r="BB214" t="s">
        <v>191</v>
      </c>
      <c r="BC214" t="s">
        <v>182</v>
      </c>
      <c r="BD214" t="s">
        <v>182</v>
      </c>
      <c r="BE214" t="s">
        <v>3533</v>
      </c>
      <c r="BF214">
        <v>1</v>
      </c>
      <c r="BG214">
        <v>1</v>
      </c>
      <c r="BH214">
        <v>1997</v>
      </c>
      <c r="BI214" t="s">
        <v>839</v>
      </c>
      <c r="BJ214" t="s">
        <v>194</v>
      </c>
      <c r="BK214" t="s">
        <v>195</v>
      </c>
      <c r="BL214" t="s">
        <v>199</v>
      </c>
      <c r="BM214" t="s">
        <v>368</v>
      </c>
      <c r="BN214" t="s">
        <v>182</v>
      </c>
      <c r="BO214" t="s">
        <v>198</v>
      </c>
      <c r="BP214" t="s">
        <v>198</v>
      </c>
      <c r="BQ214" t="s">
        <v>198</v>
      </c>
      <c r="BR214" t="s">
        <v>198</v>
      </c>
      <c r="BS214" t="s">
        <v>198</v>
      </c>
      <c r="BT214" t="s">
        <v>198</v>
      </c>
      <c r="BU214" t="s">
        <v>182</v>
      </c>
      <c r="BV214" t="s">
        <v>198</v>
      </c>
      <c r="BW214" t="s">
        <v>198</v>
      </c>
      <c r="BX214" t="s">
        <v>199</v>
      </c>
      <c r="BY214" t="s">
        <v>198</v>
      </c>
      <c r="BZ214" t="s">
        <v>199</v>
      </c>
      <c r="CA214" t="s">
        <v>199</v>
      </c>
      <c r="CB214" t="s">
        <v>3534</v>
      </c>
      <c r="CC214" t="s">
        <v>201</v>
      </c>
      <c r="CD214" t="s">
        <v>182</v>
      </c>
      <c r="CE214" t="s">
        <v>3535</v>
      </c>
      <c r="CF214" t="s">
        <v>204</v>
      </c>
      <c r="CG214" t="s">
        <v>177</v>
      </c>
      <c r="CH214" t="s">
        <v>187</v>
      </c>
      <c r="CI214" t="s">
        <v>3536</v>
      </c>
      <c r="CJ214" t="s">
        <v>2372</v>
      </c>
      <c r="CK214" t="s">
        <v>232</v>
      </c>
      <c r="CL214" t="s">
        <v>233</v>
      </c>
      <c r="CM214" t="s">
        <v>3537</v>
      </c>
      <c r="CN214" t="s">
        <v>235</v>
      </c>
      <c r="CO214" t="s">
        <v>183</v>
      </c>
      <c r="CP214" t="s">
        <v>266</v>
      </c>
      <c r="CS214" t="s">
        <v>198</v>
      </c>
      <c r="CT214" t="s">
        <v>1646</v>
      </c>
      <c r="CU214" t="s">
        <v>267</v>
      </c>
      <c r="CV214" t="s">
        <v>268</v>
      </c>
      <c r="CW214" t="s">
        <v>3538</v>
      </c>
      <c r="CX214" t="s">
        <v>235</v>
      </c>
      <c r="CY214" t="s">
        <v>183</v>
      </c>
      <c r="CZ214" t="s">
        <v>211</v>
      </c>
      <c r="DA214" t="s">
        <v>342</v>
      </c>
      <c r="DC214" t="s">
        <v>3539</v>
      </c>
      <c r="DD214" t="s">
        <v>2006</v>
      </c>
      <c r="DE214" t="s">
        <v>273</v>
      </c>
      <c r="DF214" t="s">
        <v>274</v>
      </c>
      <c r="DG214" t="s">
        <v>3540</v>
      </c>
      <c r="DH214" t="s">
        <v>235</v>
      </c>
      <c r="DI214" t="s">
        <v>183</v>
      </c>
      <c r="DJ214" t="s">
        <v>211</v>
      </c>
      <c r="DK214" t="s">
        <v>345</v>
      </c>
      <c r="DM214" t="s">
        <v>3539</v>
      </c>
      <c r="DN214" t="s">
        <v>3381</v>
      </c>
      <c r="DO214" t="s">
        <v>302</v>
      </c>
      <c r="DP214" t="s">
        <v>303</v>
      </c>
      <c r="DQ214" t="s">
        <v>3541</v>
      </c>
      <c r="DR214" t="s">
        <v>436</v>
      </c>
      <c r="DS214" t="s">
        <v>183</v>
      </c>
      <c r="DT214" t="s">
        <v>211</v>
      </c>
      <c r="DU214" t="s">
        <v>298</v>
      </c>
      <c r="DW214" t="s">
        <v>1346</v>
      </c>
      <c r="DX214" t="s">
        <v>3542</v>
      </c>
      <c r="DY214" t="s">
        <v>238</v>
      </c>
      <c r="DZ214" t="s">
        <v>239</v>
      </c>
      <c r="EA214" t="s">
        <v>3543</v>
      </c>
      <c r="EB214" t="s">
        <v>440</v>
      </c>
      <c r="EC214" t="s">
        <v>183</v>
      </c>
      <c r="ED214" t="s">
        <v>211</v>
      </c>
      <c r="EE214" t="s">
        <v>298</v>
      </c>
      <c r="EG214" t="s">
        <v>3501</v>
      </c>
      <c r="EH214" t="s">
        <v>3544</v>
      </c>
      <c r="EI214" t="s">
        <v>346</v>
      </c>
      <c r="EJ214" t="s">
        <v>347</v>
      </c>
      <c r="EK214" t="s">
        <v>3545</v>
      </c>
      <c r="EL214" t="s">
        <v>576</v>
      </c>
      <c r="EM214" t="s">
        <v>183</v>
      </c>
      <c r="EN214" t="s">
        <v>211</v>
      </c>
      <c r="EO214" t="s">
        <v>345</v>
      </c>
      <c r="EQ214" t="s">
        <v>3391</v>
      </c>
      <c r="FA214" t="s">
        <v>198</v>
      </c>
      <c r="FK214" t="s">
        <v>198</v>
      </c>
      <c r="FU214" t="s">
        <v>198</v>
      </c>
    </row>
    <row r="215" spans="1:177">
      <c r="A215" s="1" t="str">
        <f>HYPERLINK("http://digipan.lumentumllc.com/apps/getLink/index.php?t=PropLink&amp;p=15754368","PL")</f>
        <v>PL</v>
      </c>
      <c r="B215" s="1" t="str">
        <f>HYPERLINK("http://digipan.lumentumllc.com/apps/getLink/index.php?t=TaxLink&amp;p=15754368","TL")</f>
        <v>TL</v>
      </c>
      <c r="C215" s="1" t="str">
        <f>HYPERLINK("http://digipan.lumentumllc.com/apps/getMap/index.php?p=15754368","Map")</f>
        <v>Map</v>
      </c>
      <c r="E215" t="s">
        <v>177</v>
      </c>
      <c r="F215" t="s">
        <v>178</v>
      </c>
      <c r="L215" t="s">
        <v>3546</v>
      </c>
      <c r="N215" t="s">
        <v>3546</v>
      </c>
      <c r="O215" t="s">
        <v>3546</v>
      </c>
      <c r="Q215" t="s">
        <v>3546</v>
      </c>
      <c r="V215">
        <v>250</v>
      </c>
      <c r="W215">
        <v>1</v>
      </c>
      <c r="X215">
        <v>2017</v>
      </c>
      <c r="Y215">
        <v>2018</v>
      </c>
      <c r="Z215">
        <v>141.94999999999999</v>
      </c>
      <c r="AB215" t="s">
        <v>181</v>
      </c>
      <c r="AC215" t="s">
        <v>182</v>
      </c>
      <c r="AD215" t="s">
        <v>183</v>
      </c>
      <c r="AE215">
        <v>1</v>
      </c>
      <c r="AF215">
        <v>0</v>
      </c>
      <c r="AG215" t="s">
        <v>1200</v>
      </c>
      <c r="AH215">
        <v>0</v>
      </c>
      <c r="AI215">
        <v>189.27</v>
      </c>
      <c r="AJ215">
        <v>10.41</v>
      </c>
      <c r="AK215">
        <v>199.68</v>
      </c>
      <c r="AL215">
        <v>80300</v>
      </c>
      <c r="AM215">
        <v>6716</v>
      </c>
      <c r="AN215">
        <v>73584</v>
      </c>
      <c r="AO215">
        <v>150</v>
      </c>
      <c r="AP215">
        <v>2016</v>
      </c>
      <c r="AQ215">
        <v>0.18</v>
      </c>
      <c r="AR215">
        <v>0.25</v>
      </c>
      <c r="AS215" t="s">
        <v>1494</v>
      </c>
      <c r="AT215" t="s">
        <v>186</v>
      </c>
      <c r="AU215" t="s">
        <v>177</v>
      </c>
      <c r="AV215" t="s">
        <v>187</v>
      </c>
      <c r="AW215" t="s">
        <v>182</v>
      </c>
      <c r="AX215">
        <v>55</v>
      </c>
      <c r="AY215" t="s">
        <v>218</v>
      </c>
      <c r="AZ215" t="s">
        <v>1682</v>
      </c>
      <c r="BA215" t="s">
        <v>1683</v>
      </c>
      <c r="BB215" t="s">
        <v>191</v>
      </c>
      <c r="BC215" t="s">
        <v>182</v>
      </c>
      <c r="BD215" t="s">
        <v>1528</v>
      </c>
      <c r="BE215" t="s">
        <v>3547</v>
      </c>
      <c r="BF215">
        <v>0</v>
      </c>
      <c r="BG215">
        <v>0</v>
      </c>
      <c r="BH215">
        <v>0</v>
      </c>
      <c r="BI215" t="s">
        <v>199</v>
      </c>
      <c r="BJ215" t="s">
        <v>315</v>
      </c>
      <c r="BL215" t="s">
        <v>3548</v>
      </c>
      <c r="BM215" t="s">
        <v>1156</v>
      </c>
      <c r="BN215" t="s">
        <v>182</v>
      </c>
      <c r="BO215" t="s">
        <v>198</v>
      </c>
      <c r="BP215" t="s">
        <v>198</v>
      </c>
      <c r="BQ215" t="s">
        <v>198</v>
      </c>
      <c r="BR215" t="s">
        <v>198</v>
      </c>
      <c r="BS215" t="s">
        <v>198</v>
      </c>
      <c r="BT215" t="s">
        <v>198</v>
      </c>
      <c r="BU215" t="s">
        <v>182</v>
      </c>
      <c r="BV215" t="s">
        <v>198</v>
      </c>
      <c r="BW215" t="s">
        <v>198</v>
      </c>
      <c r="BX215" t="s">
        <v>199</v>
      </c>
      <c r="BY215" t="s">
        <v>198</v>
      </c>
      <c r="BZ215" t="s">
        <v>199</v>
      </c>
      <c r="CA215" t="s">
        <v>199</v>
      </c>
      <c r="CB215" t="s">
        <v>3549</v>
      </c>
      <c r="CC215" t="s">
        <v>201</v>
      </c>
      <c r="CD215" t="s">
        <v>202</v>
      </c>
      <c r="CE215" t="s">
        <v>3550</v>
      </c>
      <c r="CF215" t="s">
        <v>204</v>
      </c>
      <c r="CG215" t="s">
        <v>177</v>
      </c>
      <c r="CH215" t="s">
        <v>187</v>
      </c>
      <c r="CI215" t="s">
        <v>3551</v>
      </c>
      <c r="CJ215" t="s">
        <v>3552</v>
      </c>
      <c r="CK215" t="s">
        <v>232</v>
      </c>
      <c r="CL215" t="s">
        <v>233</v>
      </c>
      <c r="CM215" t="s">
        <v>3553</v>
      </c>
      <c r="CN215" t="s">
        <v>1164</v>
      </c>
      <c r="CO215" t="s">
        <v>183</v>
      </c>
      <c r="CP215" t="s">
        <v>266</v>
      </c>
      <c r="CS215" t="s">
        <v>198</v>
      </c>
      <c r="DC215" t="s">
        <v>198</v>
      </c>
      <c r="DM215" t="s">
        <v>198</v>
      </c>
      <c r="DW215" t="s">
        <v>198</v>
      </c>
      <c r="EG215" t="s">
        <v>198</v>
      </c>
      <c r="EQ215" t="s">
        <v>198</v>
      </c>
      <c r="FA215" t="s">
        <v>198</v>
      </c>
      <c r="FK215" t="s">
        <v>198</v>
      </c>
      <c r="FU215" t="s">
        <v>198</v>
      </c>
    </row>
    <row r="216" spans="1:177">
      <c r="A216" s="1" t="str">
        <f>HYPERLINK("http://digipan.lumentumllc.com/apps/getLink/index.php?t=PropLink&amp;p=5247205","PL")</f>
        <v>PL</v>
      </c>
      <c r="B216" s="1" t="str">
        <f>HYPERLINK("http://digipan.lumentumllc.com/apps/getLink/index.php?t=TaxLink&amp;p=5247205","TL")</f>
        <v>TL</v>
      </c>
      <c r="C216" s="1" t="str">
        <f>HYPERLINK("http://digipan.lumentumllc.com/apps/getMap/index.php?p=5247205","Map")</f>
        <v>Map</v>
      </c>
      <c r="E216" t="s">
        <v>177</v>
      </c>
      <c r="F216" t="s">
        <v>178</v>
      </c>
      <c r="L216" t="s">
        <v>3554</v>
      </c>
      <c r="N216" t="s">
        <v>3554</v>
      </c>
      <c r="O216" t="s">
        <v>3554</v>
      </c>
      <c r="P216" t="s">
        <v>3555</v>
      </c>
      <c r="Q216" t="s">
        <v>3554</v>
      </c>
      <c r="V216">
        <v>251</v>
      </c>
      <c r="W216">
        <v>1</v>
      </c>
      <c r="X216">
        <v>2017</v>
      </c>
      <c r="Y216">
        <v>2018</v>
      </c>
      <c r="Z216">
        <v>550.69000000000005</v>
      </c>
      <c r="AB216" t="s">
        <v>181</v>
      </c>
      <c r="AC216" t="s">
        <v>182</v>
      </c>
      <c r="AD216" t="s">
        <v>183</v>
      </c>
      <c r="AE216">
        <v>0</v>
      </c>
      <c r="AF216">
        <v>7</v>
      </c>
      <c r="AG216" t="s">
        <v>528</v>
      </c>
      <c r="AH216">
        <v>100</v>
      </c>
      <c r="AK216">
        <v>0</v>
      </c>
      <c r="AL216">
        <v>31680</v>
      </c>
      <c r="AM216">
        <v>31680</v>
      </c>
      <c r="AN216">
        <v>0</v>
      </c>
      <c r="AO216">
        <v>486</v>
      </c>
      <c r="AP216">
        <v>2016</v>
      </c>
      <c r="AQ216">
        <v>1.74</v>
      </c>
      <c r="AS216" t="s">
        <v>1494</v>
      </c>
      <c r="AT216" t="s">
        <v>186</v>
      </c>
      <c r="AU216" t="s">
        <v>177</v>
      </c>
      <c r="AV216" t="s">
        <v>187</v>
      </c>
      <c r="AW216" t="s">
        <v>182</v>
      </c>
      <c r="AX216">
        <v>0</v>
      </c>
      <c r="AY216" t="s">
        <v>312</v>
      </c>
      <c r="AZ216" t="s">
        <v>199</v>
      </c>
      <c r="BA216" t="s">
        <v>313</v>
      </c>
      <c r="BB216" t="s">
        <v>191</v>
      </c>
      <c r="BC216" t="s">
        <v>182</v>
      </c>
      <c r="BD216" t="s">
        <v>182</v>
      </c>
      <c r="BE216" t="s">
        <v>1536</v>
      </c>
      <c r="BF216">
        <v>0</v>
      </c>
      <c r="BG216">
        <v>0</v>
      </c>
      <c r="BH216">
        <v>0</v>
      </c>
      <c r="BI216" t="s">
        <v>199</v>
      </c>
      <c r="BJ216" t="s">
        <v>315</v>
      </c>
      <c r="BL216" t="s">
        <v>199</v>
      </c>
      <c r="BM216" t="s">
        <v>679</v>
      </c>
      <c r="BN216" t="s">
        <v>182</v>
      </c>
      <c r="BO216" t="s">
        <v>3556</v>
      </c>
      <c r="BP216" t="s">
        <v>3557</v>
      </c>
      <c r="BS216" t="s">
        <v>3558</v>
      </c>
      <c r="BT216" t="s">
        <v>198</v>
      </c>
      <c r="BU216" t="s">
        <v>182</v>
      </c>
      <c r="BV216" t="s">
        <v>198</v>
      </c>
      <c r="BW216" t="s">
        <v>198</v>
      </c>
      <c r="BX216" t="s">
        <v>199</v>
      </c>
      <c r="BY216" t="s">
        <v>198</v>
      </c>
      <c r="BZ216" t="s">
        <v>199</v>
      </c>
      <c r="CA216" t="s">
        <v>199</v>
      </c>
      <c r="CB216" t="s">
        <v>3559</v>
      </c>
      <c r="CC216" t="s">
        <v>201</v>
      </c>
      <c r="CD216" t="s">
        <v>182</v>
      </c>
      <c r="CE216" t="s">
        <v>3560</v>
      </c>
      <c r="CF216" t="s">
        <v>3561</v>
      </c>
      <c r="CG216" t="s">
        <v>177</v>
      </c>
      <c r="CH216" t="s">
        <v>3562</v>
      </c>
      <c r="CI216" t="s">
        <v>3563</v>
      </c>
      <c r="CJ216" t="s">
        <v>2064</v>
      </c>
      <c r="CK216" t="s">
        <v>232</v>
      </c>
      <c r="CL216" t="s">
        <v>233</v>
      </c>
      <c r="CM216" t="s">
        <v>3564</v>
      </c>
      <c r="CN216" t="s">
        <v>331</v>
      </c>
      <c r="CO216" t="s">
        <v>183</v>
      </c>
      <c r="CP216" t="s">
        <v>211</v>
      </c>
      <c r="CQ216" t="s">
        <v>329</v>
      </c>
      <c r="CS216" t="s">
        <v>3495</v>
      </c>
      <c r="CT216" t="s">
        <v>1792</v>
      </c>
      <c r="CU216" t="s">
        <v>292</v>
      </c>
      <c r="CV216" t="s">
        <v>293</v>
      </c>
      <c r="CW216" t="s">
        <v>3565</v>
      </c>
      <c r="CX216" t="s">
        <v>333</v>
      </c>
      <c r="CY216" t="s">
        <v>183</v>
      </c>
      <c r="CZ216" t="s">
        <v>211</v>
      </c>
      <c r="DA216" t="s">
        <v>298</v>
      </c>
      <c r="DC216" t="s">
        <v>3495</v>
      </c>
      <c r="DD216" t="s">
        <v>1663</v>
      </c>
      <c r="DE216" t="s">
        <v>267</v>
      </c>
      <c r="DF216" t="s">
        <v>268</v>
      </c>
      <c r="DG216" t="s">
        <v>3566</v>
      </c>
      <c r="DH216" t="s">
        <v>331</v>
      </c>
      <c r="DI216" t="s">
        <v>183</v>
      </c>
      <c r="DJ216" t="s">
        <v>211</v>
      </c>
      <c r="DK216" t="s">
        <v>298</v>
      </c>
      <c r="DM216" t="s">
        <v>3567</v>
      </c>
      <c r="DN216" t="s">
        <v>1923</v>
      </c>
      <c r="DO216" t="s">
        <v>302</v>
      </c>
      <c r="DP216" t="s">
        <v>303</v>
      </c>
      <c r="DQ216" t="s">
        <v>3568</v>
      </c>
      <c r="DR216" t="s">
        <v>331</v>
      </c>
      <c r="DS216" t="s">
        <v>183</v>
      </c>
      <c r="DT216" t="s">
        <v>211</v>
      </c>
      <c r="DU216" t="s">
        <v>808</v>
      </c>
      <c r="DW216" t="s">
        <v>3569</v>
      </c>
      <c r="DX216" t="s">
        <v>3570</v>
      </c>
      <c r="DY216" t="s">
        <v>238</v>
      </c>
      <c r="DZ216" t="s">
        <v>239</v>
      </c>
      <c r="EA216" t="s">
        <v>3571</v>
      </c>
      <c r="EB216" t="s">
        <v>278</v>
      </c>
      <c r="EC216" t="s">
        <v>183</v>
      </c>
      <c r="ED216" t="s">
        <v>211</v>
      </c>
      <c r="EE216" t="s">
        <v>199</v>
      </c>
      <c r="EG216" t="s">
        <v>3572</v>
      </c>
      <c r="EH216" t="s">
        <v>3573</v>
      </c>
      <c r="EI216" t="s">
        <v>346</v>
      </c>
      <c r="EJ216" t="s">
        <v>347</v>
      </c>
      <c r="EK216" t="s">
        <v>3574</v>
      </c>
      <c r="EL216" t="s">
        <v>615</v>
      </c>
      <c r="EM216" t="s">
        <v>183</v>
      </c>
      <c r="EN216" t="s">
        <v>211</v>
      </c>
      <c r="EO216" t="s">
        <v>212</v>
      </c>
      <c r="EQ216" t="s">
        <v>3575</v>
      </c>
      <c r="ER216" t="s">
        <v>3467</v>
      </c>
      <c r="ES216" t="s">
        <v>207</v>
      </c>
      <c r="ET216" t="s">
        <v>208</v>
      </c>
      <c r="EU216" t="s">
        <v>3576</v>
      </c>
      <c r="EV216" t="s">
        <v>314</v>
      </c>
      <c r="EW216" t="s">
        <v>183</v>
      </c>
      <c r="EX216" t="s">
        <v>211</v>
      </c>
      <c r="EY216" t="s">
        <v>471</v>
      </c>
      <c r="FA216" t="s">
        <v>3577</v>
      </c>
      <c r="FK216" t="s">
        <v>198</v>
      </c>
      <c r="FU216" t="s">
        <v>198</v>
      </c>
    </row>
    <row r="217" spans="1:177">
      <c r="A217" s="1" t="str">
        <f>HYPERLINK("http://digipan.lumentumllc.com/apps/getLink/index.php?t=PropLink&amp;p=5247207","PL")</f>
        <v>PL</v>
      </c>
      <c r="B217" s="1" t="str">
        <f>HYPERLINK("http://digipan.lumentumllc.com/apps/getLink/index.php?t=TaxLink&amp;p=5247207","TL")</f>
        <v>TL</v>
      </c>
      <c r="C217" s="1" t="str">
        <f>HYPERLINK("http://digipan.lumentumllc.com/apps/getMap/index.php?p=5247207","Map")</f>
        <v>Map</v>
      </c>
      <c r="E217" t="s">
        <v>177</v>
      </c>
      <c r="F217" t="s">
        <v>178</v>
      </c>
      <c r="L217" t="s">
        <v>3578</v>
      </c>
      <c r="N217" t="s">
        <v>3578</v>
      </c>
      <c r="O217" t="s">
        <v>3578</v>
      </c>
      <c r="P217" t="s">
        <v>3579</v>
      </c>
      <c r="Q217" t="s">
        <v>3578</v>
      </c>
      <c r="V217">
        <v>252</v>
      </c>
      <c r="W217">
        <v>1</v>
      </c>
      <c r="X217">
        <v>2017</v>
      </c>
      <c r="Y217">
        <v>2018</v>
      </c>
      <c r="Z217">
        <v>566.33000000000004</v>
      </c>
      <c r="AB217" t="s">
        <v>181</v>
      </c>
      <c r="AC217" t="s">
        <v>182</v>
      </c>
      <c r="AD217" t="s">
        <v>183</v>
      </c>
      <c r="AE217">
        <v>1</v>
      </c>
      <c r="AF217">
        <v>5</v>
      </c>
      <c r="AG217" t="s">
        <v>322</v>
      </c>
      <c r="AH217">
        <v>83</v>
      </c>
      <c r="AI217">
        <v>560.58000000000004</v>
      </c>
      <c r="AJ217">
        <v>28.03</v>
      </c>
      <c r="AK217">
        <v>588.61</v>
      </c>
      <c r="AL217">
        <v>74860</v>
      </c>
      <c r="AM217">
        <v>44000</v>
      </c>
      <c r="AN217">
        <v>30860</v>
      </c>
      <c r="AO217">
        <v>493</v>
      </c>
      <c r="AP217">
        <v>2016</v>
      </c>
      <c r="AQ217">
        <v>0.76</v>
      </c>
      <c r="AR217">
        <v>0.79</v>
      </c>
      <c r="AS217" t="s">
        <v>3580</v>
      </c>
      <c r="AT217" t="s">
        <v>186</v>
      </c>
      <c r="AU217" t="s">
        <v>177</v>
      </c>
      <c r="AV217" t="s">
        <v>187</v>
      </c>
      <c r="AW217" t="s">
        <v>202</v>
      </c>
      <c r="AX217">
        <v>2</v>
      </c>
      <c r="AY217" t="s">
        <v>188</v>
      </c>
      <c r="AZ217" t="s">
        <v>189</v>
      </c>
      <c r="BA217" t="s">
        <v>190</v>
      </c>
      <c r="BB217" t="s">
        <v>191</v>
      </c>
      <c r="BC217" t="s">
        <v>182</v>
      </c>
      <c r="BD217" t="s">
        <v>182</v>
      </c>
      <c r="BE217" t="s">
        <v>1164</v>
      </c>
      <c r="BF217">
        <v>1</v>
      </c>
      <c r="BG217">
        <v>1</v>
      </c>
      <c r="BH217">
        <v>1981</v>
      </c>
      <c r="BI217" t="s">
        <v>3581</v>
      </c>
      <c r="BJ217" t="s">
        <v>194</v>
      </c>
      <c r="BK217" t="s">
        <v>195</v>
      </c>
      <c r="BL217" t="s">
        <v>199</v>
      </c>
      <c r="BM217" t="s">
        <v>945</v>
      </c>
      <c r="BN217" t="s">
        <v>182</v>
      </c>
      <c r="BO217" t="s">
        <v>198</v>
      </c>
      <c r="BP217" t="s">
        <v>198</v>
      </c>
      <c r="BQ217" t="s">
        <v>198</v>
      </c>
      <c r="BR217" t="s">
        <v>198</v>
      </c>
      <c r="BS217" t="s">
        <v>198</v>
      </c>
      <c r="BT217" t="s">
        <v>198</v>
      </c>
      <c r="BU217" t="s">
        <v>182</v>
      </c>
      <c r="BV217" t="s">
        <v>198</v>
      </c>
      <c r="BW217" t="s">
        <v>198</v>
      </c>
      <c r="BX217" t="s">
        <v>199</v>
      </c>
      <c r="BY217" t="s">
        <v>198</v>
      </c>
      <c r="BZ217" t="s">
        <v>199</v>
      </c>
      <c r="CA217" t="s">
        <v>199</v>
      </c>
      <c r="CB217" t="s">
        <v>3582</v>
      </c>
      <c r="CC217" t="s">
        <v>201</v>
      </c>
      <c r="CD217" t="s">
        <v>182</v>
      </c>
      <c r="CE217" t="s">
        <v>3583</v>
      </c>
      <c r="CF217" t="s">
        <v>204</v>
      </c>
      <c r="CG217" t="s">
        <v>177</v>
      </c>
      <c r="CH217" t="s">
        <v>187</v>
      </c>
      <c r="CI217" t="s">
        <v>3584</v>
      </c>
      <c r="CJ217" t="s">
        <v>3585</v>
      </c>
      <c r="CK217" t="s">
        <v>232</v>
      </c>
      <c r="CL217" t="s">
        <v>233</v>
      </c>
      <c r="CM217" t="s">
        <v>3586</v>
      </c>
      <c r="CN217" t="s">
        <v>235</v>
      </c>
      <c r="CO217" t="s">
        <v>183</v>
      </c>
      <c r="CP217" t="s">
        <v>266</v>
      </c>
      <c r="CS217" t="s">
        <v>198</v>
      </c>
      <c r="CT217" t="s">
        <v>1840</v>
      </c>
      <c r="CU217" t="s">
        <v>292</v>
      </c>
      <c r="CV217" t="s">
        <v>293</v>
      </c>
      <c r="CW217" t="s">
        <v>3587</v>
      </c>
      <c r="CX217" t="s">
        <v>235</v>
      </c>
      <c r="CY217" t="s">
        <v>183</v>
      </c>
      <c r="CZ217" t="s">
        <v>211</v>
      </c>
      <c r="DA217" t="s">
        <v>298</v>
      </c>
      <c r="DC217" t="s">
        <v>3588</v>
      </c>
      <c r="DD217" t="s">
        <v>1678</v>
      </c>
      <c r="DE217" t="s">
        <v>267</v>
      </c>
      <c r="DF217" t="s">
        <v>268</v>
      </c>
      <c r="DG217" t="s">
        <v>3589</v>
      </c>
      <c r="DH217" t="s">
        <v>235</v>
      </c>
      <c r="DI217" t="s">
        <v>183</v>
      </c>
      <c r="DJ217" t="s">
        <v>211</v>
      </c>
      <c r="DK217" t="s">
        <v>250</v>
      </c>
      <c r="DM217" t="s">
        <v>3590</v>
      </c>
      <c r="DN217" t="s">
        <v>2343</v>
      </c>
      <c r="DO217" t="s">
        <v>273</v>
      </c>
      <c r="DP217" t="s">
        <v>274</v>
      </c>
      <c r="DQ217" t="s">
        <v>3591</v>
      </c>
      <c r="DR217" t="s">
        <v>235</v>
      </c>
      <c r="DS217" t="s">
        <v>183</v>
      </c>
      <c r="DT217" t="s">
        <v>211</v>
      </c>
      <c r="DU217" t="s">
        <v>329</v>
      </c>
      <c r="DW217" t="s">
        <v>1346</v>
      </c>
      <c r="DX217" t="s">
        <v>1940</v>
      </c>
      <c r="DY217" t="s">
        <v>302</v>
      </c>
      <c r="DZ217" t="s">
        <v>303</v>
      </c>
      <c r="EA217" t="s">
        <v>3592</v>
      </c>
      <c r="EB217" t="s">
        <v>1586</v>
      </c>
      <c r="EC217" t="s">
        <v>183</v>
      </c>
      <c r="ED217" t="s">
        <v>211</v>
      </c>
      <c r="EE217" t="s">
        <v>329</v>
      </c>
      <c r="EG217" t="s">
        <v>3501</v>
      </c>
      <c r="EH217" t="s">
        <v>3593</v>
      </c>
      <c r="EI217" t="s">
        <v>238</v>
      </c>
      <c r="EJ217" t="s">
        <v>239</v>
      </c>
      <c r="EK217" t="s">
        <v>3594</v>
      </c>
      <c r="EL217" t="s">
        <v>440</v>
      </c>
      <c r="EM217" t="s">
        <v>183</v>
      </c>
      <c r="EN217" t="s">
        <v>211</v>
      </c>
      <c r="EO217" t="s">
        <v>298</v>
      </c>
      <c r="EQ217" t="s">
        <v>3501</v>
      </c>
      <c r="FA217" t="s">
        <v>198</v>
      </c>
      <c r="FK217" t="s">
        <v>198</v>
      </c>
      <c r="FU217" t="s">
        <v>198</v>
      </c>
    </row>
    <row r="218" spans="1:177">
      <c r="A218" s="1" t="str">
        <f>HYPERLINK("http://digipan.lumentumllc.com/apps/getLink/index.php?t=PropLink&amp;p=6462015","PL")</f>
        <v>PL</v>
      </c>
      <c r="B218" s="1" t="str">
        <f>HYPERLINK("http://digipan.lumentumllc.com/apps/getLink/index.php?t=TaxLink&amp;p=6462015","TL")</f>
        <v>TL</v>
      </c>
      <c r="C218" s="1" t="str">
        <f>HYPERLINK("http://digipan.lumentumllc.com/apps/getMap/index.php?p=6462015","Map")</f>
        <v>Map</v>
      </c>
      <c r="E218" t="s">
        <v>177</v>
      </c>
      <c r="F218" t="s">
        <v>178</v>
      </c>
      <c r="L218" t="s">
        <v>3595</v>
      </c>
      <c r="N218" t="s">
        <v>3595</v>
      </c>
      <c r="O218" t="s">
        <v>3595</v>
      </c>
      <c r="P218" t="s">
        <v>3596</v>
      </c>
      <c r="Q218" t="s">
        <v>3595</v>
      </c>
      <c r="V218">
        <v>253</v>
      </c>
      <c r="W218">
        <v>1</v>
      </c>
      <c r="X218">
        <v>2017</v>
      </c>
      <c r="Y218">
        <v>2018</v>
      </c>
      <c r="Z218">
        <v>360.42</v>
      </c>
      <c r="AB218" t="s">
        <v>181</v>
      </c>
      <c r="AC218" t="s">
        <v>202</v>
      </c>
      <c r="AD218" t="s">
        <v>183</v>
      </c>
      <c r="AE218">
        <v>0</v>
      </c>
      <c r="AF218">
        <v>5</v>
      </c>
      <c r="AG218" t="s">
        <v>3266</v>
      </c>
      <c r="AH218">
        <v>100</v>
      </c>
      <c r="AK218">
        <v>0</v>
      </c>
      <c r="AL218">
        <v>63027</v>
      </c>
      <c r="AM218">
        <v>21300</v>
      </c>
      <c r="AN218">
        <v>41727</v>
      </c>
      <c r="AO218">
        <v>326</v>
      </c>
      <c r="AP218">
        <v>2016</v>
      </c>
      <c r="AQ218">
        <v>0.56999999999999995</v>
      </c>
      <c r="AS218" t="s">
        <v>3597</v>
      </c>
      <c r="AT218" t="s">
        <v>186</v>
      </c>
      <c r="AU218" t="s">
        <v>177</v>
      </c>
      <c r="AV218" t="s">
        <v>187</v>
      </c>
      <c r="AW218" t="s">
        <v>202</v>
      </c>
      <c r="AX218">
        <v>2</v>
      </c>
      <c r="AY218" t="s">
        <v>188</v>
      </c>
      <c r="AZ218" t="s">
        <v>189</v>
      </c>
      <c r="BA218" t="s">
        <v>190</v>
      </c>
      <c r="BB218" t="s">
        <v>191</v>
      </c>
      <c r="BC218" t="s">
        <v>182</v>
      </c>
      <c r="BD218" t="s">
        <v>182</v>
      </c>
      <c r="BE218" t="s">
        <v>3598</v>
      </c>
      <c r="BF218">
        <v>1</v>
      </c>
      <c r="BG218">
        <v>1</v>
      </c>
      <c r="BH218">
        <v>1996</v>
      </c>
      <c r="BI218" t="s">
        <v>2716</v>
      </c>
      <c r="BJ218" t="s">
        <v>396</v>
      </c>
      <c r="BK218" t="s">
        <v>195</v>
      </c>
      <c r="BL218" t="s">
        <v>199</v>
      </c>
      <c r="BM218" t="s">
        <v>346</v>
      </c>
      <c r="BN218" t="s">
        <v>182</v>
      </c>
      <c r="BO218" t="s">
        <v>198</v>
      </c>
      <c r="BP218" t="s">
        <v>198</v>
      </c>
      <c r="BQ218" t="s">
        <v>198</v>
      </c>
      <c r="BR218" t="s">
        <v>198</v>
      </c>
      <c r="BS218" t="s">
        <v>198</v>
      </c>
      <c r="BT218" t="s">
        <v>198</v>
      </c>
      <c r="BU218" t="s">
        <v>182</v>
      </c>
      <c r="BV218" t="s">
        <v>198</v>
      </c>
      <c r="BW218" t="s">
        <v>198</v>
      </c>
      <c r="BX218" t="s">
        <v>199</v>
      </c>
      <c r="BY218" t="s">
        <v>198</v>
      </c>
      <c r="BZ218" t="s">
        <v>199</v>
      </c>
      <c r="CA218" t="s">
        <v>199</v>
      </c>
      <c r="CB218" t="s">
        <v>3599</v>
      </c>
      <c r="CC218" t="s">
        <v>201</v>
      </c>
      <c r="CD218" t="s">
        <v>182</v>
      </c>
      <c r="CE218" t="s">
        <v>3600</v>
      </c>
      <c r="CF218" t="s">
        <v>204</v>
      </c>
      <c r="CG218" t="s">
        <v>177</v>
      </c>
      <c r="CH218" t="s">
        <v>187</v>
      </c>
      <c r="CI218" t="s">
        <v>3601</v>
      </c>
      <c r="CJ218" t="s">
        <v>1876</v>
      </c>
      <c r="CK218" t="s">
        <v>292</v>
      </c>
      <c r="CL218" t="s">
        <v>293</v>
      </c>
      <c r="CM218" t="s">
        <v>3602</v>
      </c>
      <c r="CN218" t="s">
        <v>235</v>
      </c>
      <c r="CO218" t="s">
        <v>183</v>
      </c>
      <c r="CP218" t="s">
        <v>211</v>
      </c>
      <c r="CQ218" t="s">
        <v>270</v>
      </c>
      <c r="CR218" t="s">
        <v>271</v>
      </c>
      <c r="CS218" t="s">
        <v>2808</v>
      </c>
      <c r="CT218" t="s">
        <v>1701</v>
      </c>
      <c r="CU218" t="s">
        <v>267</v>
      </c>
      <c r="CV218" t="s">
        <v>268</v>
      </c>
      <c r="CW218" t="s">
        <v>3603</v>
      </c>
      <c r="CX218" t="s">
        <v>235</v>
      </c>
      <c r="CY218" t="s">
        <v>183</v>
      </c>
      <c r="CZ218" t="s">
        <v>211</v>
      </c>
      <c r="DB218" t="s">
        <v>271</v>
      </c>
      <c r="DC218" t="s">
        <v>198</v>
      </c>
      <c r="DD218" t="s">
        <v>3552</v>
      </c>
      <c r="DE218" t="s">
        <v>273</v>
      </c>
      <c r="DF218" t="s">
        <v>274</v>
      </c>
      <c r="DG218" t="s">
        <v>3604</v>
      </c>
      <c r="DH218" t="s">
        <v>3342</v>
      </c>
      <c r="DI218" t="s">
        <v>183</v>
      </c>
      <c r="DJ218" t="s">
        <v>211</v>
      </c>
      <c r="DK218" t="s">
        <v>298</v>
      </c>
      <c r="DM218" t="s">
        <v>2749</v>
      </c>
      <c r="DN218" t="s">
        <v>2006</v>
      </c>
      <c r="DO218" t="s">
        <v>302</v>
      </c>
      <c r="DP218" t="s">
        <v>303</v>
      </c>
      <c r="DQ218" t="s">
        <v>3605</v>
      </c>
      <c r="DR218" t="s">
        <v>436</v>
      </c>
      <c r="DS218" t="s">
        <v>183</v>
      </c>
      <c r="DT218" t="s">
        <v>211</v>
      </c>
      <c r="DU218" t="s">
        <v>525</v>
      </c>
      <c r="DW218" t="s">
        <v>2749</v>
      </c>
      <c r="DX218" t="s">
        <v>3606</v>
      </c>
      <c r="DY218" t="s">
        <v>238</v>
      </c>
      <c r="DZ218" t="s">
        <v>239</v>
      </c>
      <c r="EA218" t="s">
        <v>3607</v>
      </c>
      <c r="EB218" t="s">
        <v>278</v>
      </c>
      <c r="EC218" t="s">
        <v>183</v>
      </c>
      <c r="ED218" t="s">
        <v>211</v>
      </c>
      <c r="EE218" t="s">
        <v>525</v>
      </c>
      <c r="EG218" t="s">
        <v>437</v>
      </c>
      <c r="EQ218" t="s">
        <v>198</v>
      </c>
      <c r="FA218" t="s">
        <v>198</v>
      </c>
      <c r="FK218" t="s">
        <v>198</v>
      </c>
      <c r="FU218" t="s">
        <v>198</v>
      </c>
    </row>
    <row r="219" spans="1:177">
      <c r="A219" s="1" t="str">
        <f>HYPERLINK("http://digipan.lumentumllc.com/apps/getLink/index.php?t=PropLink&amp;p=15754761","PL")</f>
        <v>PL</v>
      </c>
      <c r="B219" s="1" t="str">
        <f>HYPERLINK("http://digipan.lumentumllc.com/apps/getLink/index.php?t=TaxLink&amp;p=15754761","TL")</f>
        <v>TL</v>
      </c>
      <c r="C219" s="1" t="str">
        <f>HYPERLINK("http://digipan.lumentumllc.com/apps/getMap/index.php?p=15754761","Map")</f>
        <v>Map</v>
      </c>
      <c r="E219" t="s">
        <v>177</v>
      </c>
      <c r="F219" t="s">
        <v>178</v>
      </c>
      <c r="L219" t="s">
        <v>3608</v>
      </c>
      <c r="N219" t="s">
        <v>3608</v>
      </c>
      <c r="O219" t="s">
        <v>3608</v>
      </c>
      <c r="Q219" t="s">
        <v>3608</v>
      </c>
      <c r="V219">
        <v>254</v>
      </c>
      <c r="W219">
        <v>1</v>
      </c>
      <c r="X219">
        <v>2017</v>
      </c>
      <c r="Y219">
        <v>2018</v>
      </c>
      <c r="Z219">
        <v>1014.35</v>
      </c>
      <c r="AB219" t="s">
        <v>181</v>
      </c>
      <c r="AC219" t="s">
        <v>182</v>
      </c>
      <c r="AD219" t="s">
        <v>183</v>
      </c>
      <c r="AE219">
        <v>1</v>
      </c>
      <c r="AF219">
        <v>0</v>
      </c>
      <c r="AG219" t="s">
        <v>1200</v>
      </c>
      <c r="AH219">
        <v>0</v>
      </c>
      <c r="AI219">
        <v>94.07</v>
      </c>
      <c r="AJ219">
        <v>5.17</v>
      </c>
      <c r="AK219">
        <v>99.24</v>
      </c>
      <c r="AL219">
        <v>60000</v>
      </c>
      <c r="AM219">
        <v>60000</v>
      </c>
      <c r="AN219">
        <v>0</v>
      </c>
      <c r="AO219">
        <v>62</v>
      </c>
      <c r="AP219">
        <v>2016</v>
      </c>
      <c r="AQ219">
        <v>1.69</v>
      </c>
      <c r="AR219">
        <v>0.17</v>
      </c>
      <c r="AS219" t="s">
        <v>3609</v>
      </c>
      <c r="AT219" t="s">
        <v>186</v>
      </c>
      <c r="AU219" t="s">
        <v>177</v>
      </c>
      <c r="AV219" t="s">
        <v>187</v>
      </c>
      <c r="AW219" t="s">
        <v>182</v>
      </c>
      <c r="AX219">
        <v>0</v>
      </c>
      <c r="AY219" t="s">
        <v>312</v>
      </c>
      <c r="AZ219" t="s">
        <v>199</v>
      </c>
      <c r="BA219" t="s">
        <v>313</v>
      </c>
      <c r="BB219" t="s">
        <v>191</v>
      </c>
      <c r="BC219" t="s">
        <v>182</v>
      </c>
      <c r="BD219" t="s">
        <v>182</v>
      </c>
      <c r="BE219" t="s">
        <v>576</v>
      </c>
      <c r="BF219">
        <v>0</v>
      </c>
      <c r="BG219">
        <v>0</v>
      </c>
      <c r="BH219">
        <v>0</v>
      </c>
      <c r="BI219" t="s">
        <v>199</v>
      </c>
      <c r="BJ219" t="s">
        <v>248</v>
      </c>
      <c r="BL219" t="s">
        <v>2281</v>
      </c>
      <c r="BM219" t="s">
        <v>232</v>
      </c>
      <c r="BN219" t="s">
        <v>182</v>
      </c>
      <c r="BO219" t="s">
        <v>198</v>
      </c>
      <c r="BP219" t="s">
        <v>198</v>
      </c>
      <c r="BQ219" t="s">
        <v>198</v>
      </c>
      <c r="BR219" t="s">
        <v>198</v>
      </c>
      <c r="BS219" t="s">
        <v>198</v>
      </c>
      <c r="BT219" t="s">
        <v>198</v>
      </c>
      <c r="BU219" t="s">
        <v>182</v>
      </c>
      <c r="BV219" t="s">
        <v>198</v>
      </c>
      <c r="BW219" t="s">
        <v>198</v>
      </c>
      <c r="BX219" t="s">
        <v>199</v>
      </c>
      <c r="BY219" t="s">
        <v>198</v>
      </c>
      <c r="BZ219" t="s">
        <v>199</v>
      </c>
      <c r="CA219" t="s">
        <v>199</v>
      </c>
      <c r="CB219" t="s">
        <v>3610</v>
      </c>
      <c r="CC219" t="s">
        <v>201</v>
      </c>
      <c r="CD219" t="s">
        <v>182</v>
      </c>
      <c r="CE219" t="s">
        <v>3247</v>
      </c>
      <c r="CF219" t="s">
        <v>204</v>
      </c>
      <c r="CG219" t="s">
        <v>177</v>
      </c>
      <c r="CH219" t="s">
        <v>187</v>
      </c>
      <c r="CI219" t="s">
        <v>1955</v>
      </c>
      <c r="CJ219" t="s">
        <v>2158</v>
      </c>
      <c r="CK219" t="s">
        <v>232</v>
      </c>
      <c r="CL219" t="s">
        <v>233</v>
      </c>
      <c r="CM219" t="s">
        <v>3611</v>
      </c>
      <c r="CN219" t="s">
        <v>1164</v>
      </c>
      <c r="CO219" t="s">
        <v>183</v>
      </c>
      <c r="CP219" t="s">
        <v>266</v>
      </c>
      <c r="CS219" t="s">
        <v>198</v>
      </c>
      <c r="DC219" t="s">
        <v>198</v>
      </c>
      <c r="DM219" t="s">
        <v>198</v>
      </c>
      <c r="DW219" t="s">
        <v>198</v>
      </c>
      <c r="EG219" t="s">
        <v>198</v>
      </c>
      <c r="EQ219" t="s">
        <v>198</v>
      </c>
      <c r="FA219" t="s">
        <v>198</v>
      </c>
      <c r="FK219" t="s">
        <v>198</v>
      </c>
      <c r="FU219" t="s">
        <v>198</v>
      </c>
    </row>
    <row r="220" spans="1:177">
      <c r="A220" s="1" t="str">
        <f>HYPERLINK("http://digipan.lumentumllc.com/apps/getLink/index.php?t=PropLink&amp;p=6129255","PL")</f>
        <v>PL</v>
      </c>
      <c r="B220" s="1" t="str">
        <f>HYPERLINK("http://digipan.lumentumllc.com/apps/getLink/index.php?t=TaxLink&amp;p=6129255","TL")</f>
        <v>TL</v>
      </c>
      <c r="C220" s="1" t="str">
        <f>HYPERLINK("http://digipan.lumentumllc.com/apps/getMap/index.php?p=6129255","Map")</f>
        <v>Map</v>
      </c>
      <c r="E220" t="s">
        <v>177</v>
      </c>
      <c r="F220" t="s">
        <v>178</v>
      </c>
      <c r="L220" t="s">
        <v>3612</v>
      </c>
      <c r="N220" t="s">
        <v>3612</v>
      </c>
      <c r="O220" t="s">
        <v>3612</v>
      </c>
      <c r="P220" t="s">
        <v>3613</v>
      </c>
      <c r="Q220" t="s">
        <v>3612</v>
      </c>
      <c r="V220">
        <v>255</v>
      </c>
      <c r="W220">
        <v>1</v>
      </c>
      <c r="X220">
        <v>2017</v>
      </c>
      <c r="Y220">
        <v>2018</v>
      </c>
      <c r="Z220">
        <v>3690.36</v>
      </c>
      <c r="AB220" t="s">
        <v>181</v>
      </c>
      <c r="AC220" t="s">
        <v>182</v>
      </c>
      <c r="AD220" t="s">
        <v>183</v>
      </c>
      <c r="AE220">
        <v>1</v>
      </c>
      <c r="AF220">
        <v>2</v>
      </c>
      <c r="AG220" t="s">
        <v>363</v>
      </c>
      <c r="AH220">
        <v>67</v>
      </c>
      <c r="AI220">
        <v>3754.52</v>
      </c>
      <c r="AJ220">
        <v>187.73</v>
      </c>
      <c r="AK220">
        <v>3942.25</v>
      </c>
      <c r="AL220">
        <v>223443</v>
      </c>
      <c r="AM220">
        <v>73875</v>
      </c>
      <c r="AN220">
        <v>149568</v>
      </c>
      <c r="AO220">
        <v>3447</v>
      </c>
      <c r="AP220">
        <v>2016</v>
      </c>
      <c r="AQ220">
        <v>1.65</v>
      </c>
      <c r="AR220">
        <v>1.76</v>
      </c>
      <c r="AS220" t="s">
        <v>3614</v>
      </c>
      <c r="AT220" t="s">
        <v>186</v>
      </c>
      <c r="AU220" t="s">
        <v>177</v>
      </c>
      <c r="AV220" t="s">
        <v>187</v>
      </c>
      <c r="AW220" t="s">
        <v>182</v>
      </c>
      <c r="AX220">
        <v>1</v>
      </c>
      <c r="AY220" t="s">
        <v>188</v>
      </c>
      <c r="AZ220" t="s">
        <v>206</v>
      </c>
      <c r="BA220" t="s">
        <v>355</v>
      </c>
      <c r="BB220" t="s">
        <v>191</v>
      </c>
      <c r="BC220" t="s">
        <v>182</v>
      </c>
      <c r="BD220" t="s">
        <v>182</v>
      </c>
      <c r="BE220" t="s">
        <v>1968</v>
      </c>
      <c r="BF220">
        <v>1</v>
      </c>
      <c r="BG220">
        <v>1</v>
      </c>
      <c r="BH220">
        <v>2008</v>
      </c>
      <c r="BI220" t="s">
        <v>3615</v>
      </c>
      <c r="BJ220" t="s">
        <v>396</v>
      </c>
      <c r="BK220" t="s">
        <v>195</v>
      </c>
      <c r="BL220" t="s">
        <v>3616</v>
      </c>
      <c r="BM220" t="s">
        <v>267</v>
      </c>
      <c r="BN220" t="s">
        <v>182</v>
      </c>
      <c r="BO220" t="s">
        <v>3617</v>
      </c>
      <c r="BP220" t="s">
        <v>3618</v>
      </c>
      <c r="BQ220" t="s">
        <v>904</v>
      </c>
      <c r="BR220" t="s">
        <v>563</v>
      </c>
      <c r="BS220" t="s">
        <v>198</v>
      </c>
      <c r="BT220" t="s">
        <v>3619</v>
      </c>
      <c r="BU220" t="s">
        <v>182</v>
      </c>
      <c r="BV220" t="s">
        <v>198</v>
      </c>
      <c r="BW220" t="s">
        <v>198</v>
      </c>
      <c r="BX220" t="s">
        <v>199</v>
      </c>
      <c r="BY220" t="s">
        <v>198</v>
      </c>
      <c r="BZ220" t="s">
        <v>199</v>
      </c>
      <c r="CA220" t="s">
        <v>199</v>
      </c>
      <c r="CB220" t="s">
        <v>3620</v>
      </c>
      <c r="CC220" t="s">
        <v>201</v>
      </c>
      <c r="CD220" t="s">
        <v>182</v>
      </c>
      <c r="CE220" t="s">
        <v>3247</v>
      </c>
      <c r="CF220" t="s">
        <v>204</v>
      </c>
      <c r="CG220" t="s">
        <v>177</v>
      </c>
      <c r="CH220" t="s">
        <v>187</v>
      </c>
      <c r="CI220" t="s">
        <v>3621</v>
      </c>
      <c r="CJ220" t="s">
        <v>2202</v>
      </c>
      <c r="CK220" t="s">
        <v>232</v>
      </c>
      <c r="CL220" t="s">
        <v>233</v>
      </c>
      <c r="CM220" t="s">
        <v>3622</v>
      </c>
      <c r="CN220" t="s">
        <v>235</v>
      </c>
      <c r="CO220" t="s">
        <v>183</v>
      </c>
      <c r="CP220" t="s">
        <v>266</v>
      </c>
      <c r="CS220" t="s">
        <v>198</v>
      </c>
      <c r="CT220" t="s">
        <v>2021</v>
      </c>
      <c r="CU220" t="s">
        <v>267</v>
      </c>
      <c r="CV220" t="s">
        <v>268</v>
      </c>
      <c r="CW220" t="s">
        <v>3623</v>
      </c>
      <c r="CX220" t="s">
        <v>235</v>
      </c>
      <c r="CY220" t="s">
        <v>183</v>
      </c>
      <c r="CZ220" t="s">
        <v>211</v>
      </c>
      <c r="DA220" t="s">
        <v>460</v>
      </c>
      <c r="DC220" t="s">
        <v>3251</v>
      </c>
      <c r="DD220" t="s">
        <v>3624</v>
      </c>
      <c r="DE220" t="s">
        <v>346</v>
      </c>
      <c r="DF220" t="s">
        <v>239</v>
      </c>
      <c r="DG220" t="s">
        <v>3625</v>
      </c>
      <c r="DH220" t="s">
        <v>278</v>
      </c>
      <c r="DI220" t="s">
        <v>183</v>
      </c>
      <c r="DJ220" t="s">
        <v>211</v>
      </c>
      <c r="DK220" t="s">
        <v>296</v>
      </c>
      <c r="DM220" t="s">
        <v>3626</v>
      </c>
      <c r="DW220" t="s">
        <v>198</v>
      </c>
      <c r="EG220" t="s">
        <v>198</v>
      </c>
      <c r="EQ220" t="s">
        <v>198</v>
      </c>
      <c r="FA220" t="s">
        <v>198</v>
      </c>
      <c r="FK220" t="s">
        <v>198</v>
      </c>
      <c r="FU220" t="s">
        <v>198</v>
      </c>
    </row>
    <row r="221" spans="1:177">
      <c r="A221" s="1" t="str">
        <f>HYPERLINK("http://digipan.lumentumllc.com/apps/getLink/index.php?t=PropLink&amp;p=5247337","PL")</f>
        <v>PL</v>
      </c>
      <c r="B221" s="1" t="str">
        <f>HYPERLINK("http://digipan.lumentumllc.com/apps/getLink/index.php?t=TaxLink&amp;p=5247337","TL")</f>
        <v>TL</v>
      </c>
      <c r="C221" s="1" t="str">
        <f>HYPERLINK("http://digipan.lumentumllc.com/apps/getMap/index.php?p=5247337","Map")</f>
        <v>Map</v>
      </c>
      <c r="E221" t="s">
        <v>177</v>
      </c>
      <c r="F221" t="s">
        <v>178</v>
      </c>
      <c r="L221" t="s">
        <v>3627</v>
      </c>
      <c r="N221" t="s">
        <v>3627</v>
      </c>
      <c r="O221" t="s">
        <v>3627</v>
      </c>
      <c r="P221" t="s">
        <v>3628</v>
      </c>
      <c r="Q221" t="s">
        <v>3627</v>
      </c>
      <c r="V221">
        <v>256</v>
      </c>
      <c r="W221">
        <v>1</v>
      </c>
      <c r="X221">
        <v>2017</v>
      </c>
      <c r="Y221">
        <v>2018</v>
      </c>
      <c r="Z221">
        <v>700</v>
      </c>
      <c r="AB221" t="s">
        <v>181</v>
      </c>
      <c r="AC221" t="s">
        <v>182</v>
      </c>
      <c r="AD221" t="s">
        <v>183</v>
      </c>
      <c r="AE221">
        <v>1</v>
      </c>
      <c r="AF221">
        <v>2</v>
      </c>
      <c r="AG221" t="s">
        <v>363</v>
      </c>
      <c r="AH221">
        <v>67</v>
      </c>
      <c r="AI221">
        <v>49.86</v>
      </c>
      <c r="AJ221">
        <v>4.8600000000000003</v>
      </c>
      <c r="AK221">
        <v>54.72</v>
      </c>
      <c r="AL221">
        <v>40800</v>
      </c>
      <c r="AM221">
        <v>40800</v>
      </c>
      <c r="AN221">
        <v>0</v>
      </c>
      <c r="AO221">
        <v>21</v>
      </c>
      <c r="AP221">
        <v>2016</v>
      </c>
      <c r="AQ221">
        <v>1.72</v>
      </c>
      <c r="AR221">
        <v>0.13</v>
      </c>
      <c r="AS221" t="s">
        <v>3609</v>
      </c>
      <c r="AT221" t="s">
        <v>186</v>
      </c>
      <c r="AU221" t="s">
        <v>177</v>
      </c>
      <c r="AV221" t="s">
        <v>187</v>
      </c>
      <c r="AW221" t="s">
        <v>182</v>
      </c>
      <c r="AX221">
        <v>0</v>
      </c>
      <c r="AY221" t="s">
        <v>312</v>
      </c>
      <c r="AZ221" t="s">
        <v>199</v>
      </c>
      <c r="BA221" t="s">
        <v>313</v>
      </c>
      <c r="BB221" t="s">
        <v>191</v>
      </c>
      <c r="BC221" t="s">
        <v>182</v>
      </c>
      <c r="BD221" t="s">
        <v>182</v>
      </c>
      <c r="BE221" t="s">
        <v>3629</v>
      </c>
      <c r="BF221">
        <v>0</v>
      </c>
      <c r="BG221">
        <v>0</v>
      </c>
      <c r="BH221">
        <v>0</v>
      </c>
      <c r="BI221" t="s">
        <v>199</v>
      </c>
      <c r="BJ221" t="s">
        <v>248</v>
      </c>
      <c r="BL221" t="s">
        <v>199</v>
      </c>
      <c r="BM221" t="s">
        <v>232</v>
      </c>
      <c r="BN221" t="s">
        <v>182</v>
      </c>
      <c r="BO221" t="s">
        <v>198</v>
      </c>
      <c r="BP221" t="s">
        <v>198</v>
      </c>
      <c r="BQ221" t="s">
        <v>198</v>
      </c>
      <c r="BR221" t="s">
        <v>198</v>
      </c>
      <c r="BS221" t="s">
        <v>198</v>
      </c>
      <c r="BT221" t="s">
        <v>198</v>
      </c>
      <c r="BU221" t="s">
        <v>182</v>
      </c>
      <c r="BV221" t="s">
        <v>198</v>
      </c>
      <c r="BW221" t="s">
        <v>198</v>
      </c>
      <c r="BX221" t="s">
        <v>199</v>
      </c>
      <c r="BY221" t="s">
        <v>198</v>
      </c>
      <c r="BZ221" t="s">
        <v>199</v>
      </c>
      <c r="CA221" t="s">
        <v>199</v>
      </c>
      <c r="CB221" t="s">
        <v>3630</v>
      </c>
      <c r="CC221" t="s">
        <v>201</v>
      </c>
      <c r="CD221" t="s">
        <v>202</v>
      </c>
      <c r="CE221" t="s">
        <v>3247</v>
      </c>
      <c r="CF221" t="s">
        <v>204</v>
      </c>
      <c r="CG221" t="s">
        <v>177</v>
      </c>
      <c r="CH221" t="s">
        <v>187</v>
      </c>
      <c r="CI221" t="s">
        <v>3631</v>
      </c>
      <c r="CJ221" t="s">
        <v>2248</v>
      </c>
      <c r="CK221" t="s">
        <v>232</v>
      </c>
      <c r="CL221" t="s">
        <v>233</v>
      </c>
      <c r="CM221" t="s">
        <v>3632</v>
      </c>
      <c r="CN221" t="s">
        <v>341</v>
      </c>
      <c r="CO221" t="s">
        <v>183</v>
      </c>
      <c r="CP221" t="s">
        <v>266</v>
      </c>
      <c r="CS221" t="s">
        <v>198</v>
      </c>
      <c r="CT221" t="s">
        <v>3633</v>
      </c>
      <c r="CU221" t="s">
        <v>238</v>
      </c>
      <c r="CV221" t="s">
        <v>239</v>
      </c>
      <c r="CW221" t="s">
        <v>3634</v>
      </c>
      <c r="CX221" t="s">
        <v>1056</v>
      </c>
      <c r="CY221" t="s">
        <v>183</v>
      </c>
      <c r="CZ221" t="s">
        <v>211</v>
      </c>
      <c r="DA221" t="s">
        <v>339</v>
      </c>
      <c r="DC221" t="s">
        <v>3635</v>
      </c>
      <c r="DD221" t="s">
        <v>3636</v>
      </c>
      <c r="DE221" t="s">
        <v>346</v>
      </c>
      <c r="DF221" t="s">
        <v>347</v>
      </c>
      <c r="DG221" t="s">
        <v>3637</v>
      </c>
      <c r="DH221" t="s">
        <v>482</v>
      </c>
      <c r="DI221" t="s">
        <v>183</v>
      </c>
      <c r="DJ221" t="s">
        <v>211</v>
      </c>
      <c r="DK221" t="s">
        <v>493</v>
      </c>
      <c r="DM221" t="s">
        <v>3635</v>
      </c>
      <c r="DW221" t="s">
        <v>198</v>
      </c>
      <c r="EG221" t="s">
        <v>198</v>
      </c>
      <c r="EQ221" t="s">
        <v>198</v>
      </c>
      <c r="FA221" t="s">
        <v>198</v>
      </c>
      <c r="FK221" t="s">
        <v>198</v>
      </c>
      <c r="FU221" t="s">
        <v>198</v>
      </c>
    </row>
    <row r="222" spans="1:177">
      <c r="A222" s="1" t="str">
        <f>HYPERLINK("http://digipan.lumentumllc.com/apps/getLink/index.php?t=PropLink&amp;p=5247781","PL")</f>
        <v>PL</v>
      </c>
      <c r="B222" s="1" t="str">
        <f>HYPERLINK("http://digipan.lumentumllc.com/apps/getLink/index.php?t=TaxLink&amp;p=5247781","TL")</f>
        <v>TL</v>
      </c>
      <c r="C222" s="1" t="str">
        <f>HYPERLINK("http://digipan.lumentumllc.com/apps/getMap/index.php?p=5247781","Map")</f>
        <v>Map</v>
      </c>
      <c r="E222" t="s">
        <v>177</v>
      </c>
      <c r="F222" t="s">
        <v>178</v>
      </c>
      <c r="L222" t="s">
        <v>3638</v>
      </c>
      <c r="N222" t="s">
        <v>3638</v>
      </c>
      <c r="O222" t="s">
        <v>3638</v>
      </c>
      <c r="P222" t="s">
        <v>3639</v>
      </c>
      <c r="Q222" t="s">
        <v>3638</v>
      </c>
      <c r="V222">
        <v>257</v>
      </c>
      <c r="W222">
        <v>1</v>
      </c>
      <c r="X222">
        <v>2017</v>
      </c>
      <c r="Y222">
        <v>2018</v>
      </c>
      <c r="Z222">
        <v>4135.0200000000004</v>
      </c>
      <c r="AB222" t="s">
        <v>181</v>
      </c>
      <c r="AC222" t="s">
        <v>182</v>
      </c>
      <c r="AD222" t="s">
        <v>183</v>
      </c>
      <c r="AE222">
        <v>1</v>
      </c>
      <c r="AF222">
        <v>5</v>
      </c>
      <c r="AG222" t="s">
        <v>322</v>
      </c>
      <c r="AH222">
        <v>83</v>
      </c>
      <c r="AI222">
        <v>4173.84</v>
      </c>
      <c r="AJ222">
        <v>208.69</v>
      </c>
      <c r="AK222">
        <v>4382.53</v>
      </c>
      <c r="AL222">
        <v>250603</v>
      </c>
      <c r="AM222">
        <v>176448</v>
      </c>
      <c r="AN222">
        <v>74155</v>
      </c>
      <c r="AO222">
        <v>3834</v>
      </c>
      <c r="AP222">
        <v>2016</v>
      </c>
      <c r="AQ222">
        <v>1.65</v>
      </c>
      <c r="AR222">
        <v>1.75</v>
      </c>
      <c r="AS222" t="s">
        <v>3640</v>
      </c>
      <c r="AT222" t="s">
        <v>186</v>
      </c>
      <c r="AU222" t="s">
        <v>177</v>
      </c>
      <c r="AV222" t="s">
        <v>187</v>
      </c>
      <c r="AW222" t="s">
        <v>182</v>
      </c>
      <c r="AX222">
        <v>35</v>
      </c>
      <c r="AY222" t="s">
        <v>3641</v>
      </c>
      <c r="AZ222" t="s">
        <v>1067</v>
      </c>
      <c r="BA222" t="s">
        <v>3642</v>
      </c>
      <c r="BB222" t="s">
        <v>191</v>
      </c>
      <c r="BC222" t="s">
        <v>182</v>
      </c>
      <c r="BD222" t="s">
        <v>182</v>
      </c>
      <c r="BE222" t="s">
        <v>576</v>
      </c>
      <c r="BF222">
        <v>2</v>
      </c>
      <c r="BG222">
        <v>0</v>
      </c>
      <c r="BH222">
        <v>2001</v>
      </c>
      <c r="BI222" t="s">
        <v>2582</v>
      </c>
      <c r="BJ222" t="s">
        <v>194</v>
      </c>
      <c r="BK222" t="s">
        <v>3643</v>
      </c>
      <c r="BL222" t="s">
        <v>199</v>
      </c>
      <c r="BM222" t="s">
        <v>3644</v>
      </c>
      <c r="BN222" t="s">
        <v>182</v>
      </c>
      <c r="BO222" t="s">
        <v>198</v>
      </c>
      <c r="BP222" t="s">
        <v>198</v>
      </c>
      <c r="BQ222" t="s">
        <v>198</v>
      </c>
      <c r="BR222" t="s">
        <v>198</v>
      </c>
      <c r="BS222" t="s">
        <v>198</v>
      </c>
      <c r="BT222" t="s">
        <v>198</v>
      </c>
      <c r="BU222" t="s">
        <v>182</v>
      </c>
      <c r="BV222" t="s">
        <v>198</v>
      </c>
      <c r="BW222" t="s">
        <v>198</v>
      </c>
      <c r="BX222" t="s">
        <v>199</v>
      </c>
      <c r="BY222" t="s">
        <v>198</v>
      </c>
      <c r="BZ222" t="s">
        <v>199</v>
      </c>
      <c r="CA222" t="s">
        <v>199</v>
      </c>
      <c r="CB222" t="s">
        <v>3645</v>
      </c>
      <c r="CC222" t="s">
        <v>201</v>
      </c>
      <c r="CD222" t="s">
        <v>182</v>
      </c>
      <c r="CE222" t="s">
        <v>3646</v>
      </c>
      <c r="CF222" t="s">
        <v>413</v>
      </c>
      <c r="CG222" t="s">
        <v>177</v>
      </c>
      <c r="CH222" t="s">
        <v>2643</v>
      </c>
      <c r="CI222" t="s">
        <v>3647</v>
      </c>
      <c r="CJ222" t="s">
        <v>2272</v>
      </c>
      <c r="CK222" t="s">
        <v>232</v>
      </c>
      <c r="CL222" t="s">
        <v>233</v>
      </c>
      <c r="CM222" t="s">
        <v>3648</v>
      </c>
      <c r="CN222" t="s">
        <v>235</v>
      </c>
      <c r="CO222" t="s">
        <v>183</v>
      </c>
      <c r="CP222" t="s">
        <v>266</v>
      </c>
      <c r="CS222" t="s">
        <v>198</v>
      </c>
      <c r="CT222" t="s">
        <v>3480</v>
      </c>
      <c r="CU222" t="s">
        <v>267</v>
      </c>
      <c r="CV222" t="s">
        <v>268</v>
      </c>
      <c r="CW222" t="s">
        <v>3649</v>
      </c>
      <c r="CX222" t="s">
        <v>235</v>
      </c>
      <c r="CY222" t="s">
        <v>183</v>
      </c>
      <c r="CZ222" t="s">
        <v>211</v>
      </c>
      <c r="DA222" t="s">
        <v>270</v>
      </c>
      <c r="DC222" t="s">
        <v>3650</v>
      </c>
      <c r="DD222" t="s">
        <v>2158</v>
      </c>
      <c r="DE222" t="s">
        <v>273</v>
      </c>
      <c r="DF222" t="s">
        <v>274</v>
      </c>
      <c r="DG222" t="s">
        <v>3651</v>
      </c>
      <c r="DH222" t="s">
        <v>235</v>
      </c>
      <c r="DI222" t="s">
        <v>183</v>
      </c>
      <c r="DJ222" t="s">
        <v>211</v>
      </c>
      <c r="DK222" t="s">
        <v>471</v>
      </c>
      <c r="DM222" t="s">
        <v>3652</v>
      </c>
      <c r="DN222" t="s">
        <v>2360</v>
      </c>
      <c r="DO222" t="s">
        <v>302</v>
      </c>
      <c r="DP222" t="s">
        <v>303</v>
      </c>
      <c r="DQ222" t="s">
        <v>3653</v>
      </c>
      <c r="DR222" t="s">
        <v>235</v>
      </c>
      <c r="DS222" t="s">
        <v>183</v>
      </c>
      <c r="DT222" t="s">
        <v>211</v>
      </c>
      <c r="DU222" t="s">
        <v>493</v>
      </c>
      <c r="DW222" t="s">
        <v>3654</v>
      </c>
      <c r="DX222" t="s">
        <v>3655</v>
      </c>
      <c r="DY222" t="s">
        <v>238</v>
      </c>
      <c r="DZ222" t="s">
        <v>239</v>
      </c>
      <c r="EA222" t="s">
        <v>3656</v>
      </c>
      <c r="EB222" t="s">
        <v>511</v>
      </c>
      <c r="EC222" t="s">
        <v>183</v>
      </c>
      <c r="ED222" t="s">
        <v>211</v>
      </c>
      <c r="EE222" t="s">
        <v>345</v>
      </c>
      <c r="EG222" t="s">
        <v>3657</v>
      </c>
      <c r="EH222" t="s">
        <v>3658</v>
      </c>
      <c r="EI222" t="s">
        <v>346</v>
      </c>
      <c r="EJ222" t="s">
        <v>347</v>
      </c>
      <c r="EK222" t="s">
        <v>3659</v>
      </c>
      <c r="EL222" t="s">
        <v>235</v>
      </c>
      <c r="EM222" t="s">
        <v>183</v>
      </c>
      <c r="EN222" t="s">
        <v>211</v>
      </c>
      <c r="EO222" t="s">
        <v>633</v>
      </c>
      <c r="EQ222" t="s">
        <v>3660</v>
      </c>
      <c r="FA222" t="s">
        <v>198</v>
      </c>
      <c r="FK222" t="s">
        <v>198</v>
      </c>
      <c r="FU222" t="s">
        <v>198</v>
      </c>
    </row>
    <row r="223" spans="1:177">
      <c r="A223" s="1" t="str">
        <f>HYPERLINK("http://digipan.lumentumllc.com/apps/getLink/index.php?t=PropLink&amp;p=6129469","PL")</f>
        <v>PL</v>
      </c>
      <c r="B223" s="1" t="str">
        <f>HYPERLINK("http://digipan.lumentumllc.com/apps/getLink/index.php?t=TaxLink&amp;p=6129469","TL")</f>
        <v>TL</v>
      </c>
      <c r="C223" s="1" t="str">
        <f>HYPERLINK("http://digipan.lumentumllc.com/apps/getMap/index.php?p=6129469","Map")</f>
        <v>Map</v>
      </c>
      <c r="E223" t="s">
        <v>177</v>
      </c>
      <c r="F223" t="s">
        <v>178</v>
      </c>
      <c r="L223" t="s">
        <v>3661</v>
      </c>
      <c r="N223" t="s">
        <v>3661</v>
      </c>
      <c r="O223" t="s">
        <v>3661</v>
      </c>
      <c r="P223" t="s">
        <v>3662</v>
      </c>
      <c r="Q223" t="s">
        <v>3661</v>
      </c>
      <c r="V223">
        <v>258</v>
      </c>
      <c r="W223">
        <v>1</v>
      </c>
      <c r="X223">
        <v>2017</v>
      </c>
      <c r="Y223">
        <v>2018</v>
      </c>
      <c r="Z223">
        <v>2059.11</v>
      </c>
      <c r="AB223" t="s">
        <v>181</v>
      </c>
      <c r="AC223" t="s">
        <v>182</v>
      </c>
      <c r="AD223" t="s">
        <v>183</v>
      </c>
      <c r="AE223">
        <v>1</v>
      </c>
      <c r="AF223">
        <v>3</v>
      </c>
      <c r="AG223" t="s">
        <v>257</v>
      </c>
      <c r="AH223">
        <v>75</v>
      </c>
      <c r="AI223">
        <v>1971.85</v>
      </c>
      <c r="AJ223">
        <v>98.59</v>
      </c>
      <c r="AK223">
        <v>2070.44</v>
      </c>
      <c r="AL223">
        <v>436696</v>
      </c>
      <c r="AM223">
        <v>51184</v>
      </c>
      <c r="AN223">
        <v>385512</v>
      </c>
      <c r="AO223">
        <v>1798</v>
      </c>
      <c r="AP223">
        <v>2016</v>
      </c>
      <c r="AQ223">
        <v>0.47</v>
      </c>
      <c r="AR223">
        <v>0.47</v>
      </c>
      <c r="AS223" t="s">
        <v>3663</v>
      </c>
      <c r="AT223" t="s">
        <v>186</v>
      </c>
      <c r="AU223" t="s">
        <v>177</v>
      </c>
      <c r="AV223" t="s">
        <v>187</v>
      </c>
      <c r="AW223" t="s">
        <v>202</v>
      </c>
      <c r="AX223">
        <v>50</v>
      </c>
      <c r="AY223" t="s">
        <v>218</v>
      </c>
      <c r="AZ223" t="s">
        <v>589</v>
      </c>
      <c r="BA223" t="s">
        <v>590</v>
      </c>
      <c r="BB223" t="s">
        <v>191</v>
      </c>
      <c r="BC223" t="s">
        <v>182</v>
      </c>
      <c r="BD223" t="s">
        <v>182</v>
      </c>
      <c r="BE223" t="s">
        <v>3664</v>
      </c>
      <c r="BF223">
        <v>2</v>
      </c>
      <c r="BG223">
        <v>2</v>
      </c>
      <c r="BH223">
        <v>2000</v>
      </c>
      <c r="BI223" t="s">
        <v>3665</v>
      </c>
      <c r="BJ223" t="s">
        <v>194</v>
      </c>
      <c r="BK223" t="s">
        <v>195</v>
      </c>
      <c r="BL223" t="s">
        <v>3666</v>
      </c>
      <c r="BM223" t="s">
        <v>945</v>
      </c>
      <c r="BN223" t="s">
        <v>182</v>
      </c>
      <c r="BO223" t="s">
        <v>1668</v>
      </c>
      <c r="BP223" t="s">
        <v>3667</v>
      </c>
      <c r="BS223" t="s">
        <v>3668</v>
      </c>
      <c r="BT223" t="s">
        <v>198</v>
      </c>
      <c r="BU223" t="s">
        <v>182</v>
      </c>
      <c r="BV223" t="s">
        <v>198</v>
      </c>
      <c r="BW223" t="s">
        <v>198</v>
      </c>
      <c r="BX223" t="s">
        <v>199</v>
      </c>
      <c r="BY223" t="s">
        <v>198</v>
      </c>
      <c r="BZ223" t="s">
        <v>199</v>
      </c>
      <c r="CA223" t="s">
        <v>199</v>
      </c>
      <c r="CB223" t="s">
        <v>3669</v>
      </c>
      <c r="CC223" t="s">
        <v>201</v>
      </c>
      <c r="CD223" t="s">
        <v>182</v>
      </c>
      <c r="CE223" t="s">
        <v>3670</v>
      </c>
      <c r="CF223" t="s">
        <v>204</v>
      </c>
      <c r="CG223" t="s">
        <v>177</v>
      </c>
      <c r="CH223" t="s">
        <v>187</v>
      </c>
      <c r="CI223" t="s">
        <v>3671</v>
      </c>
      <c r="CJ223" t="s">
        <v>3672</v>
      </c>
      <c r="CK223" t="s">
        <v>232</v>
      </c>
      <c r="CL223" t="s">
        <v>233</v>
      </c>
      <c r="CM223" t="s">
        <v>3673</v>
      </c>
      <c r="CN223" t="s">
        <v>235</v>
      </c>
      <c r="CO223" t="s">
        <v>183</v>
      </c>
      <c r="CP223" t="s">
        <v>266</v>
      </c>
      <c r="CS223" t="s">
        <v>198</v>
      </c>
      <c r="CT223" t="s">
        <v>3307</v>
      </c>
      <c r="CU223" t="s">
        <v>292</v>
      </c>
      <c r="CV223" t="s">
        <v>293</v>
      </c>
      <c r="CW223" t="s">
        <v>3674</v>
      </c>
      <c r="CX223" t="s">
        <v>235</v>
      </c>
      <c r="CY223" t="s">
        <v>183</v>
      </c>
      <c r="CZ223" t="s">
        <v>211</v>
      </c>
      <c r="DA223" t="s">
        <v>298</v>
      </c>
      <c r="DC223" t="s">
        <v>457</v>
      </c>
      <c r="DD223" t="s">
        <v>3355</v>
      </c>
      <c r="DE223" t="s">
        <v>267</v>
      </c>
      <c r="DF223" t="s">
        <v>268</v>
      </c>
      <c r="DG223" t="s">
        <v>3675</v>
      </c>
      <c r="DH223" t="s">
        <v>235</v>
      </c>
      <c r="DI223" t="s">
        <v>183</v>
      </c>
      <c r="DJ223" t="s">
        <v>211</v>
      </c>
      <c r="DK223" t="s">
        <v>342</v>
      </c>
      <c r="DM223" t="s">
        <v>3676</v>
      </c>
      <c r="DN223" t="s">
        <v>3677</v>
      </c>
      <c r="DO223" t="s">
        <v>238</v>
      </c>
      <c r="DP223" t="s">
        <v>239</v>
      </c>
      <c r="DQ223" t="s">
        <v>3678</v>
      </c>
      <c r="DR223" t="s">
        <v>440</v>
      </c>
      <c r="DS223" t="s">
        <v>183</v>
      </c>
      <c r="DT223" t="s">
        <v>211</v>
      </c>
      <c r="DU223" t="s">
        <v>270</v>
      </c>
      <c r="DW223" t="s">
        <v>3679</v>
      </c>
      <c r="EG223" t="s">
        <v>198</v>
      </c>
      <c r="EQ223" t="s">
        <v>198</v>
      </c>
      <c r="FA223" t="s">
        <v>198</v>
      </c>
      <c r="FK223" t="s">
        <v>198</v>
      </c>
      <c r="FU223" t="s">
        <v>198</v>
      </c>
    </row>
    <row r="224" spans="1:177">
      <c r="A224" s="1" t="str">
        <f>HYPERLINK("http://digipan.lumentumllc.com/apps/getLink/index.php?t=PropLink&amp;p=5247785","PL")</f>
        <v>PL</v>
      </c>
      <c r="B224" s="1" t="str">
        <f>HYPERLINK("http://digipan.lumentumllc.com/apps/getLink/index.php?t=TaxLink&amp;p=5247785","TL")</f>
        <v>TL</v>
      </c>
      <c r="C224" s="1" t="str">
        <f>HYPERLINK("http://digipan.lumentumllc.com/apps/getMap/index.php?p=5247785","Map")</f>
        <v>Map</v>
      </c>
      <c r="E224" t="s">
        <v>177</v>
      </c>
      <c r="F224" t="s">
        <v>178</v>
      </c>
      <c r="L224" t="s">
        <v>3680</v>
      </c>
      <c r="N224" t="s">
        <v>3680</v>
      </c>
      <c r="O224" t="s">
        <v>3680</v>
      </c>
      <c r="P224" t="s">
        <v>3681</v>
      </c>
      <c r="Q224" t="s">
        <v>3680</v>
      </c>
      <c r="V224">
        <v>259</v>
      </c>
      <c r="W224">
        <v>1</v>
      </c>
      <c r="X224">
        <v>2017</v>
      </c>
      <c r="Y224">
        <v>2018</v>
      </c>
      <c r="Z224">
        <v>89.51</v>
      </c>
      <c r="AB224" t="s">
        <v>181</v>
      </c>
      <c r="AC224" t="s">
        <v>182</v>
      </c>
      <c r="AD224" t="s">
        <v>183</v>
      </c>
      <c r="AE224">
        <v>0</v>
      </c>
      <c r="AF224">
        <v>2</v>
      </c>
      <c r="AG224" t="s">
        <v>216</v>
      </c>
      <c r="AH224">
        <v>100</v>
      </c>
      <c r="AK224">
        <v>0</v>
      </c>
      <c r="AL224">
        <v>3750</v>
      </c>
      <c r="AM224">
        <v>3750</v>
      </c>
      <c r="AN224">
        <v>0</v>
      </c>
      <c r="AO224">
        <v>51</v>
      </c>
      <c r="AP224">
        <v>2016</v>
      </c>
      <c r="AQ224">
        <v>2.39</v>
      </c>
      <c r="AS224" t="s">
        <v>2984</v>
      </c>
      <c r="AT224" t="s">
        <v>186</v>
      </c>
      <c r="AU224" t="s">
        <v>177</v>
      </c>
      <c r="AV224" t="s">
        <v>187</v>
      </c>
      <c r="AW224" t="s">
        <v>182</v>
      </c>
      <c r="AX224">
        <v>0</v>
      </c>
      <c r="AY224" t="s">
        <v>312</v>
      </c>
      <c r="AZ224" t="s">
        <v>199</v>
      </c>
      <c r="BA224" t="s">
        <v>313</v>
      </c>
      <c r="BB224" t="s">
        <v>191</v>
      </c>
      <c r="BC224" t="s">
        <v>182</v>
      </c>
      <c r="BD224" t="s">
        <v>182</v>
      </c>
      <c r="BE224" t="s">
        <v>3682</v>
      </c>
      <c r="BF224">
        <v>0</v>
      </c>
      <c r="BG224">
        <v>0</v>
      </c>
      <c r="BH224">
        <v>0</v>
      </c>
      <c r="BI224" t="s">
        <v>199</v>
      </c>
      <c r="BJ224" t="s">
        <v>315</v>
      </c>
      <c r="BL224" t="s">
        <v>199</v>
      </c>
      <c r="BM224" t="s">
        <v>410</v>
      </c>
      <c r="BN224" t="s">
        <v>182</v>
      </c>
      <c r="BO224" t="s">
        <v>3683</v>
      </c>
      <c r="BP224" t="s">
        <v>3684</v>
      </c>
      <c r="BQ224" t="s">
        <v>800</v>
      </c>
      <c r="BR224" t="s">
        <v>563</v>
      </c>
      <c r="BS224" t="s">
        <v>198</v>
      </c>
      <c r="BT224" t="s">
        <v>3685</v>
      </c>
      <c r="BU224" t="s">
        <v>182</v>
      </c>
      <c r="BV224" t="s">
        <v>198</v>
      </c>
      <c r="BW224" t="s">
        <v>198</v>
      </c>
      <c r="BX224" t="s">
        <v>199</v>
      </c>
      <c r="BY224" t="s">
        <v>198</v>
      </c>
      <c r="BZ224" t="s">
        <v>199</v>
      </c>
      <c r="CA224" t="s">
        <v>199</v>
      </c>
      <c r="CB224" t="s">
        <v>3686</v>
      </c>
      <c r="CC224" t="s">
        <v>201</v>
      </c>
      <c r="CD224" t="s">
        <v>202</v>
      </c>
      <c r="CE224" t="s">
        <v>3247</v>
      </c>
      <c r="CF224" t="s">
        <v>204</v>
      </c>
      <c r="CG224" t="s">
        <v>177</v>
      </c>
      <c r="CH224" t="s">
        <v>187</v>
      </c>
      <c r="CI224" t="s">
        <v>3687</v>
      </c>
      <c r="CJ224" t="s">
        <v>3688</v>
      </c>
      <c r="CK224" t="s">
        <v>238</v>
      </c>
      <c r="CL224" t="s">
        <v>239</v>
      </c>
      <c r="CM224" t="s">
        <v>3689</v>
      </c>
      <c r="CN224" t="s">
        <v>1615</v>
      </c>
      <c r="CO224" t="s">
        <v>183</v>
      </c>
      <c r="CP224" t="s">
        <v>211</v>
      </c>
      <c r="CQ224" t="s">
        <v>339</v>
      </c>
      <c r="CS224" t="s">
        <v>3635</v>
      </c>
      <c r="CT224" t="s">
        <v>3690</v>
      </c>
      <c r="CU224" t="s">
        <v>346</v>
      </c>
      <c r="CV224" t="s">
        <v>347</v>
      </c>
      <c r="CW224" t="s">
        <v>3691</v>
      </c>
      <c r="CX224" t="s">
        <v>1056</v>
      </c>
      <c r="CY224" t="s">
        <v>183</v>
      </c>
      <c r="CZ224" t="s">
        <v>211</v>
      </c>
      <c r="DA224" t="s">
        <v>339</v>
      </c>
      <c r="DC224" t="s">
        <v>3692</v>
      </c>
      <c r="DM224" t="s">
        <v>198</v>
      </c>
      <c r="DW224" t="s">
        <v>198</v>
      </c>
      <c r="EG224" t="s">
        <v>198</v>
      </c>
      <c r="EQ224" t="s">
        <v>198</v>
      </c>
      <c r="FA224" t="s">
        <v>198</v>
      </c>
      <c r="FK224" t="s">
        <v>198</v>
      </c>
      <c r="FU224" t="s">
        <v>198</v>
      </c>
    </row>
    <row r="225" spans="1:177">
      <c r="A225" s="1" t="str">
        <f>HYPERLINK("http://digipan.lumentumllc.com/apps/getLink/index.php?t=PropLink&amp;p=5247787","PL")</f>
        <v>PL</v>
      </c>
      <c r="B225" s="1" t="str">
        <f>HYPERLINK("http://digipan.lumentumllc.com/apps/getLink/index.php?t=TaxLink&amp;p=5247787","TL")</f>
        <v>TL</v>
      </c>
      <c r="C225" s="1" t="str">
        <f>HYPERLINK("http://digipan.lumentumllc.com/apps/getMap/index.php?p=5247787","Map")</f>
        <v>Map</v>
      </c>
      <c r="E225" t="s">
        <v>177</v>
      </c>
      <c r="F225" t="s">
        <v>178</v>
      </c>
      <c r="L225" t="s">
        <v>3693</v>
      </c>
      <c r="N225" t="s">
        <v>3693</v>
      </c>
      <c r="O225" t="s">
        <v>3693</v>
      </c>
      <c r="P225" t="s">
        <v>3694</v>
      </c>
      <c r="Q225" t="s">
        <v>3693</v>
      </c>
      <c r="V225">
        <v>260</v>
      </c>
      <c r="W225">
        <v>1</v>
      </c>
      <c r="X225">
        <v>2017</v>
      </c>
      <c r="Y225">
        <v>2018</v>
      </c>
      <c r="Z225">
        <v>1848.46</v>
      </c>
      <c r="AB225" t="s">
        <v>181</v>
      </c>
      <c r="AC225" t="s">
        <v>182</v>
      </c>
      <c r="AD225" t="s">
        <v>183</v>
      </c>
      <c r="AE225">
        <v>1</v>
      </c>
      <c r="AF225">
        <v>5</v>
      </c>
      <c r="AG225" t="s">
        <v>322</v>
      </c>
      <c r="AH225">
        <v>83</v>
      </c>
      <c r="AI225">
        <v>1841.37</v>
      </c>
      <c r="AJ225">
        <v>92.07</v>
      </c>
      <c r="AK225">
        <v>1933.44</v>
      </c>
      <c r="AL225">
        <v>110945</v>
      </c>
      <c r="AM225">
        <v>20000</v>
      </c>
      <c r="AN225">
        <v>90945</v>
      </c>
      <c r="AO225">
        <v>1678</v>
      </c>
      <c r="AP225">
        <v>2016</v>
      </c>
      <c r="AQ225">
        <v>1.67</v>
      </c>
      <c r="AR225">
        <v>1.74</v>
      </c>
      <c r="AS225" t="s">
        <v>3695</v>
      </c>
      <c r="AT225" t="s">
        <v>186</v>
      </c>
      <c r="AU225" t="s">
        <v>177</v>
      </c>
      <c r="AV225" t="s">
        <v>187</v>
      </c>
      <c r="AW225" t="s">
        <v>182</v>
      </c>
      <c r="AX225">
        <v>1</v>
      </c>
      <c r="AY225" t="s">
        <v>188</v>
      </c>
      <c r="AZ225" t="s">
        <v>206</v>
      </c>
      <c r="BA225" t="s">
        <v>355</v>
      </c>
      <c r="BB225" t="s">
        <v>191</v>
      </c>
      <c r="BC225" t="s">
        <v>182</v>
      </c>
      <c r="BD225" t="s">
        <v>182</v>
      </c>
      <c r="BE225" t="s">
        <v>3696</v>
      </c>
      <c r="BF225">
        <v>1</v>
      </c>
      <c r="BG225">
        <v>1</v>
      </c>
      <c r="BH225">
        <v>1966</v>
      </c>
      <c r="BI225" t="s">
        <v>3697</v>
      </c>
      <c r="BJ225" t="s">
        <v>194</v>
      </c>
      <c r="BK225" t="s">
        <v>195</v>
      </c>
      <c r="BL225" t="s">
        <v>199</v>
      </c>
      <c r="BM225" t="s">
        <v>679</v>
      </c>
      <c r="BN225" t="s">
        <v>182</v>
      </c>
      <c r="BO225" t="s">
        <v>198</v>
      </c>
      <c r="BP225" t="s">
        <v>198</v>
      </c>
      <c r="BQ225" t="s">
        <v>198</v>
      </c>
      <c r="BR225" t="s">
        <v>198</v>
      </c>
      <c r="BS225" t="s">
        <v>198</v>
      </c>
      <c r="BT225" t="s">
        <v>198</v>
      </c>
      <c r="BU225" t="s">
        <v>182</v>
      </c>
      <c r="BV225" t="s">
        <v>198</v>
      </c>
      <c r="BW225" t="s">
        <v>198</v>
      </c>
      <c r="BX225" t="s">
        <v>199</v>
      </c>
      <c r="BY225" t="s">
        <v>198</v>
      </c>
      <c r="BZ225" t="s">
        <v>199</v>
      </c>
      <c r="CA225" t="s">
        <v>199</v>
      </c>
      <c r="CB225" t="s">
        <v>3534</v>
      </c>
      <c r="CC225" t="s">
        <v>201</v>
      </c>
      <c r="CD225" t="s">
        <v>182</v>
      </c>
      <c r="CE225" t="s">
        <v>3698</v>
      </c>
      <c r="CF225" t="s">
        <v>204</v>
      </c>
      <c r="CG225" t="s">
        <v>177</v>
      </c>
      <c r="CH225" t="s">
        <v>187</v>
      </c>
      <c r="CI225" t="s">
        <v>3699</v>
      </c>
      <c r="CJ225" t="s">
        <v>3700</v>
      </c>
      <c r="CK225" t="s">
        <v>232</v>
      </c>
      <c r="CL225" t="s">
        <v>233</v>
      </c>
      <c r="CM225" t="s">
        <v>3701</v>
      </c>
      <c r="CN225" t="s">
        <v>235</v>
      </c>
      <c r="CO225" t="s">
        <v>183</v>
      </c>
      <c r="CP225" t="s">
        <v>266</v>
      </c>
      <c r="CS225" t="s">
        <v>198</v>
      </c>
      <c r="CT225" t="s">
        <v>2161</v>
      </c>
      <c r="CU225" t="s">
        <v>292</v>
      </c>
      <c r="CV225" t="s">
        <v>293</v>
      </c>
      <c r="CW225" t="s">
        <v>3702</v>
      </c>
      <c r="CX225" t="s">
        <v>235</v>
      </c>
      <c r="CY225" t="s">
        <v>183</v>
      </c>
      <c r="CZ225" t="s">
        <v>211</v>
      </c>
      <c r="DA225" t="s">
        <v>298</v>
      </c>
      <c r="DC225" t="s">
        <v>3703</v>
      </c>
      <c r="DD225" t="s">
        <v>1792</v>
      </c>
      <c r="DE225" t="s">
        <v>267</v>
      </c>
      <c r="DF225" t="s">
        <v>268</v>
      </c>
      <c r="DG225" t="s">
        <v>3704</v>
      </c>
      <c r="DH225" t="s">
        <v>235</v>
      </c>
      <c r="DI225" t="s">
        <v>183</v>
      </c>
      <c r="DJ225" t="s">
        <v>211</v>
      </c>
      <c r="DK225" t="s">
        <v>471</v>
      </c>
      <c r="DM225" t="s">
        <v>3705</v>
      </c>
      <c r="DN225" t="s">
        <v>2248</v>
      </c>
      <c r="DO225" t="s">
        <v>273</v>
      </c>
      <c r="DP225" t="s">
        <v>274</v>
      </c>
      <c r="DQ225" t="s">
        <v>3706</v>
      </c>
      <c r="DR225" t="s">
        <v>235</v>
      </c>
      <c r="DS225" t="s">
        <v>183</v>
      </c>
      <c r="DT225" t="s">
        <v>211</v>
      </c>
      <c r="DU225" t="s">
        <v>337</v>
      </c>
      <c r="DW225" t="s">
        <v>2488</v>
      </c>
      <c r="DX225" t="s">
        <v>2064</v>
      </c>
      <c r="DY225" t="s">
        <v>302</v>
      </c>
      <c r="DZ225" t="s">
        <v>303</v>
      </c>
      <c r="EA225" t="s">
        <v>3707</v>
      </c>
      <c r="EB225" t="s">
        <v>235</v>
      </c>
      <c r="EC225" t="s">
        <v>183</v>
      </c>
      <c r="ED225" t="s">
        <v>211</v>
      </c>
      <c r="EE225" t="s">
        <v>298</v>
      </c>
      <c r="EG225" t="s">
        <v>1346</v>
      </c>
      <c r="EH225" t="s">
        <v>3708</v>
      </c>
      <c r="EI225" t="s">
        <v>238</v>
      </c>
      <c r="EJ225" t="s">
        <v>239</v>
      </c>
      <c r="EK225" t="s">
        <v>3709</v>
      </c>
      <c r="EL225" t="s">
        <v>235</v>
      </c>
      <c r="EM225" t="s">
        <v>183</v>
      </c>
      <c r="EN225" t="s">
        <v>211</v>
      </c>
      <c r="EO225" t="s">
        <v>298</v>
      </c>
      <c r="EQ225" t="s">
        <v>3501</v>
      </c>
      <c r="FA225" t="s">
        <v>198</v>
      </c>
      <c r="FK225" t="s">
        <v>198</v>
      </c>
      <c r="FU225" t="s">
        <v>198</v>
      </c>
    </row>
    <row r="226" spans="1:177">
      <c r="A226" s="1" t="str">
        <f>HYPERLINK("http://digipan.lumentumllc.com/apps/getLink/index.php?t=PropLink&amp;p=15758424","PL")</f>
        <v>PL</v>
      </c>
      <c r="B226" s="1" t="str">
        <f>HYPERLINK("http://digipan.lumentumllc.com/apps/getLink/index.php?t=TaxLink&amp;p=15758424","TL")</f>
        <v>TL</v>
      </c>
      <c r="C226" s="1" t="str">
        <f>HYPERLINK("http://digipan.lumentumllc.com/apps/getMap/index.php?p=15758424","Map")</f>
        <v>Map</v>
      </c>
      <c r="E226" t="s">
        <v>177</v>
      </c>
      <c r="F226" t="s">
        <v>178</v>
      </c>
      <c r="L226" t="s">
        <v>3710</v>
      </c>
      <c r="N226" t="s">
        <v>3710</v>
      </c>
      <c r="O226" t="s">
        <v>3710</v>
      </c>
      <c r="Q226" t="s">
        <v>3710</v>
      </c>
      <c r="V226">
        <v>261</v>
      </c>
      <c r="W226">
        <v>1</v>
      </c>
      <c r="X226">
        <v>2017</v>
      </c>
      <c r="Y226">
        <v>2018</v>
      </c>
      <c r="Z226">
        <v>359.45</v>
      </c>
      <c r="AB226" t="s">
        <v>181</v>
      </c>
      <c r="AC226" t="s">
        <v>182</v>
      </c>
      <c r="AD226" t="s">
        <v>183</v>
      </c>
      <c r="AE226">
        <v>0</v>
      </c>
      <c r="AF226">
        <v>1</v>
      </c>
      <c r="AG226" t="s">
        <v>821</v>
      </c>
      <c r="AH226">
        <v>100</v>
      </c>
      <c r="AK226">
        <v>0</v>
      </c>
      <c r="AL226">
        <v>20000</v>
      </c>
      <c r="AM226">
        <v>20000</v>
      </c>
      <c r="AN226">
        <v>0</v>
      </c>
      <c r="AO226">
        <v>273</v>
      </c>
      <c r="AP226">
        <v>2016</v>
      </c>
      <c r="AQ226">
        <v>1.8</v>
      </c>
      <c r="AS226" t="s">
        <v>3711</v>
      </c>
      <c r="AT226" t="s">
        <v>186</v>
      </c>
      <c r="AU226" t="s">
        <v>177</v>
      </c>
      <c r="AV226" t="s">
        <v>187</v>
      </c>
      <c r="AW226" t="s">
        <v>182</v>
      </c>
      <c r="AX226">
        <v>0</v>
      </c>
      <c r="AY226" t="s">
        <v>312</v>
      </c>
      <c r="AZ226" t="s">
        <v>199</v>
      </c>
      <c r="BA226" t="s">
        <v>313</v>
      </c>
      <c r="BB226" t="s">
        <v>191</v>
      </c>
      <c r="BC226" t="s">
        <v>182</v>
      </c>
      <c r="BD226" t="s">
        <v>182</v>
      </c>
      <c r="BE226" t="s">
        <v>3696</v>
      </c>
      <c r="BF226">
        <v>0</v>
      </c>
      <c r="BG226">
        <v>0</v>
      </c>
      <c r="BH226">
        <v>0</v>
      </c>
      <c r="BI226" t="s">
        <v>199</v>
      </c>
      <c r="BJ226" t="s">
        <v>396</v>
      </c>
      <c r="BL226" t="s">
        <v>1741</v>
      </c>
      <c r="BM226" t="s">
        <v>232</v>
      </c>
      <c r="BN226" t="s">
        <v>182</v>
      </c>
      <c r="BO226" t="s">
        <v>198</v>
      </c>
      <c r="BP226" t="s">
        <v>198</v>
      </c>
      <c r="BQ226" t="s">
        <v>198</v>
      </c>
      <c r="BR226" t="s">
        <v>198</v>
      </c>
      <c r="BS226" t="s">
        <v>198</v>
      </c>
      <c r="BT226" t="s">
        <v>198</v>
      </c>
      <c r="BU226" t="s">
        <v>182</v>
      </c>
      <c r="BV226" t="s">
        <v>198</v>
      </c>
      <c r="BW226" t="s">
        <v>198</v>
      </c>
      <c r="BX226" t="s">
        <v>199</v>
      </c>
      <c r="BY226" t="s">
        <v>198</v>
      </c>
      <c r="BZ226" t="s">
        <v>199</v>
      </c>
      <c r="CA226" t="s">
        <v>199</v>
      </c>
      <c r="CB226" t="s">
        <v>3712</v>
      </c>
      <c r="CC226" t="s">
        <v>1407</v>
      </c>
      <c r="CD226" t="s">
        <v>202</v>
      </c>
      <c r="CE226" t="s">
        <v>3713</v>
      </c>
      <c r="CF226" t="s">
        <v>3714</v>
      </c>
      <c r="CG226" t="s">
        <v>177</v>
      </c>
      <c r="CH226" t="s">
        <v>3715</v>
      </c>
      <c r="CI226" t="s">
        <v>3716</v>
      </c>
      <c r="CJ226" t="s">
        <v>3717</v>
      </c>
      <c r="CK226" t="s">
        <v>232</v>
      </c>
      <c r="CL226" t="s">
        <v>233</v>
      </c>
      <c r="CM226" t="s">
        <v>3718</v>
      </c>
      <c r="CN226" t="s">
        <v>1164</v>
      </c>
      <c r="CO226" t="s">
        <v>183</v>
      </c>
      <c r="CP226" t="s">
        <v>211</v>
      </c>
      <c r="CQ226" t="s">
        <v>189</v>
      </c>
      <c r="CS226" t="s">
        <v>3719</v>
      </c>
      <c r="DC226" t="s">
        <v>198</v>
      </c>
      <c r="DM226" t="s">
        <v>198</v>
      </c>
      <c r="DW226" t="s">
        <v>198</v>
      </c>
      <c r="EG226" t="s">
        <v>198</v>
      </c>
      <c r="EQ226" t="s">
        <v>198</v>
      </c>
      <c r="FA226" t="s">
        <v>198</v>
      </c>
      <c r="FK226" t="s">
        <v>198</v>
      </c>
      <c r="FU226" t="s">
        <v>198</v>
      </c>
    </row>
    <row r="227" spans="1:177">
      <c r="A227" s="1" t="str">
        <f>HYPERLINK("http://digipan.lumentumllc.com/apps/getLink/index.php?t=PropLink&amp;p=6462050","PL")</f>
        <v>PL</v>
      </c>
      <c r="B227" s="1" t="str">
        <f>HYPERLINK("http://digipan.lumentumllc.com/apps/getLink/index.php?t=TaxLink&amp;p=6462050","TL")</f>
        <v>TL</v>
      </c>
      <c r="C227" s="1" t="str">
        <f>HYPERLINK("http://digipan.lumentumllc.com/apps/getMap/index.php?p=6462050","Map")</f>
        <v>Map</v>
      </c>
      <c r="E227" t="s">
        <v>177</v>
      </c>
      <c r="F227" t="s">
        <v>178</v>
      </c>
      <c r="L227" t="s">
        <v>3720</v>
      </c>
      <c r="N227" t="s">
        <v>3720</v>
      </c>
      <c r="O227" t="s">
        <v>3720</v>
      </c>
      <c r="P227" t="s">
        <v>3721</v>
      </c>
      <c r="Q227" t="s">
        <v>3720</v>
      </c>
      <c r="V227">
        <v>262</v>
      </c>
      <c r="W227">
        <v>1</v>
      </c>
      <c r="X227">
        <v>2017</v>
      </c>
      <c r="Y227">
        <v>2018</v>
      </c>
      <c r="Z227">
        <v>247.22</v>
      </c>
      <c r="AB227" t="s">
        <v>181</v>
      </c>
      <c r="AC227" t="s">
        <v>182</v>
      </c>
      <c r="AD227" t="s">
        <v>183</v>
      </c>
      <c r="AE227">
        <v>0</v>
      </c>
      <c r="AF227">
        <v>3</v>
      </c>
      <c r="AG227" t="s">
        <v>381</v>
      </c>
      <c r="AH227">
        <v>100</v>
      </c>
      <c r="AK227">
        <v>0</v>
      </c>
      <c r="AL227">
        <v>15000</v>
      </c>
      <c r="AM227">
        <v>15000</v>
      </c>
      <c r="AN227">
        <v>0</v>
      </c>
      <c r="AO227">
        <v>193</v>
      </c>
      <c r="AP227">
        <v>2016</v>
      </c>
      <c r="AQ227">
        <v>1.65</v>
      </c>
      <c r="AS227" t="s">
        <v>3722</v>
      </c>
      <c r="AT227" t="s">
        <v>186</v>
      </c>
      <c r="AU227" t="s">
        <v>177</v>
      </c>
      <c r="AV227" t="s">
        <v>187</v>
      </c>
      <c r="AW227" t="s">
        <v>182</v>
      </c>
      <c r="AX227">
        <v>0</v>
      </c>
      <c r="AY227" t="s">
        <v>312</v>
      </c>
      <c r="AZ227" t="s">
        <v>199</v>
      </c>
      <c r="BA227" t="s">
        <v>313</v>
      </c>
      <c r="BB227" t="s">
        <v>191</v>
      </c>
      <c r="BC227" t="s">
        <v>182</v>
      </c>
      <c r="BD227" t="s">
        <v>182</v>
      </c>
      <c r="BE227" t="s">
        <v>3696</v>
      </c>
      <c r="BF227">
        <v>0</v>
      </c>
      <c r="BG227">
        <v>0</v>
      </c>
      <c r="BH227">
        <v>0</v>
      </c>
      <c r="BI227" t="s">
        <v>199</v>
      </c>
      <c r="BJ227" t="s">
        <v>315</v>
      </c>
      <c r="BL227" t="s">
        <v>1331</v>
      </c>
      <c r="BM227" t="s">
        <v>368</v>
      </c>
      <c r="BN227" t="s">
        <v>182</v>
      </c>
      <c r="BO227" t="s">
        <v>198</v>
      </c>
      <c r="BP227" t="s">
        <v>198</v>
      </c>
      <c r="BQ227" t="s">
        <v>198</v>
      </c>
      <c r="BR227" t="s">
        <v>198</v>
      </c>
      <c r="BS227" t="s">
        <v>198</v>
      </c>
      <c r="BT227" t="s">
        <v>198</v>
      </c>
      <c r="BU227" t="s">
        <v>182</v>
      </c>
      <c r="BV227" t="s">
        <v>198</v>
      </c>
      <c r="BW227" t="s">
        <v>198</v>
      </c>
      <c r="BX227" t="s">
        <v>199</v>
      </c>
      <c r="BY227" t="s">
        <v>198</v>
      </c>
      <c r="BZ227" t="s">
        <v>199</v>
      </c>
      <c r="CA227" t="s">
        <v>199</v>
      </c>
      <c r="CB227" t="s">
        <v>3723</v>
      </c>
      <c r="CC227" t="s">
        <v>201</v>
      </c>
      <c r="CD227" t="s">
        <v>182</v>
      </c>
      <c r="CE227" t="s">
        <v>3724</v>
      </c>
      <c r="CF227" t="s">
        <v>204</v>
      </c>
      <c r="CG227" t="s">
        <v>177</v>
      </c>
      <c r="CH227" t="s">
        <v>187</v>
      </c>
      <c r="CI227" t="s">
        <v>3725</v>
      </c>
      <c r="CJ227" t="s">
        <v>1816</v>
      </c>
      <c r="CK227" t="s">
        <v>267</v>
      </c>
      <c r="CL227" t="s">
        <v>268</v>
      </c>
      <c r="CM227" t="s">
        <v>3726</v>
      </c>
      <c r="CN227" t="s">
        <v>482</v>
      </c>
      <c r="CO227" t="s">
        <v>183</v>
      </c>
      <c r="CP227" t="s">
        <v>211</v>
      </c>
      <c r="CQ227" t="s">
        <v>329</v>
      </c>
      <c r="CS227" t="s">
        <v>3727</v>
      </c>
      <c r="CT227" t="s">
        <v>2272</v>
      </c>
      <c r="CU227" t="s">
        <v>273</v>
      </c>
      <c r="CV227" t="s">
        <v>274</v>
      </c>
      <c r="CW227" t="s">
        <v>390</v>
      </c>
      <c r="CX227" t="s">
        <v>1180</v>
      </c>
      <c r="CY227" t="s">
        <v>183</v>
      </c>
      <c r="CZ227" t="s">
        <v>211</v>
      </c>
      <c r="DA227" t="s">
        <v>298</v>
      </c>
      <c r="DC227" t="s">
        <v>3727</v>
      </c>
      <c r="DD227" t="s">
        <v>3585</v>
      </c>
      <c r="DE227" t="s">
        <v>302</v>
      </c>
      <c r="DF227" t="s">
        <v>303</v>
      </c>
      <c r="DG227" t="s">
        <v>3728</v>
      </c>
      <c r="DH227" t="s">
        <v>1052</v>
      </c>
      <c r="DI227" t="s">
        <v>183</v>
      </c>
      <c r="DJ227" t="s">
        <v>211</v>
      </c>
      <c r="DK227" t="s">
        <v>525</v>
      </c>
      <c r="DM227" t="s">
        <v>3727</v>
      </c>
      <c r="DW227" t="s">
        <v>198</v>
      </c>
      <c r="EG227" t="s">
        <v>198</v>
      </c>
      <c r="EQ227" t="s">
        <v>198</v>
      </c>
      <c r="FA227" t="s">
        <v>198</v>
      </c>
      <c r="FK227" t="s">
        <v>198</v>
      </c>
      <c r="FU227" t="s">
        <v>198</v>
      </c>
    </row>
    <row r="228" spans="1:177">
      <c r="A228" s="1" t="str">
        <f>HYPERLINK("http://digipan.lumentumllc.com/apps/getLink/index.php?t=PropLink&amp;p=6129610","PL")</f>
        <v>PL</v>
      </c>
      <c r="B228" s="1" t="str">
        <f>HYPERLINK("http://digipan.lumentumllc.com/apps/getLink/index.php?t=TaxLink&amp;p=6129610","TL")</f>
        <v>TL</v>
      </c>
      <c r="C228" s="1" t="str">
        <f>HYPERLINK("http://digipan.lumentumllc.com/apps/getMap/index.php?p=6129610","Map")</f>
        <v>Map</v>
      </c>
      <c r="E228" t="s">
        <v>177</v>
      </c>
      <c r="F228" t="s">
        <v>178</v>
      </c>
      <c r="L228" t="s">
        <v>3729</v>
      </c>
      <c r="N228" t="s">
        <v>3729</v>
      </c>
      <c r="O228" t="s">
        <v>3729</v>
      </c>
      <c r="P228" t="s">
        <v>3730</v>
      </c>
      <c r="Q228" t="s">
        <v>3729</v>
      </c>
      <c r="V228">
        <v>263</v>
      </c>
      <c r="W228">
        <v>1</v>
      </c>
      <c r="X228">
        <v>2017</v>
      </c>
      <c r="Y228">
        <v>2018</v>
      </c>
      <c r="Z228">
        <v>429.88</v>
      </c>
      <c r="AB228" t="s">
        <v>181</v>
      </c>
      <c r="AC228" t="s">
        <v>182</v>
      </c>
      <c r="AD228" t="s">
        <v>183</v>
      </c>
      <c r="AE228">
        <v>0</v>
      </c>
      <c r="AF228">
        <v>1</v>
      </c>
      <c r="AG228" t="s">
        <v>184</v>
      </c>
      <c r="AH228">
        <v>0</v>
      </c>
      <c r="AK228">
        <v>0</v>
      </c>
      <c r="AL228">
        <v>24300</v>
      </c>
      <c r="AM228">
        <v>24300</v>
      </c>
      <c r="AN228">
        <v>0</v>
      </c>
      <c r="AO228">
        <v>373</v>
      </c>
      <c r="AP228">
        <v>2016</v>
      </c>
      <c r="AQ228">
        <v>1.77</v>
      </c>
      <c r="AS228" t="s">
        <v>3731</v>
      </c>
      <c r="AT228" t="s">
        <v>186</v>
      </c>
      <c r="AU228" t="s">
        <v>177</v>
      </c>
      <c r="AV228" t="s">
        <v>187</v>
      </c>
      <c r="AW228" t="s">
        <v>182</v>
      </c>
      <c r="AX228">
        <v>0</v>
      </c>
      <c r="AY228" t="s">
        <v>312</v>
      </c>
      <c r="AZ228" t="s">
        <v>199</v>
      </c>
      <c r="BA228" t="s">
        <v>313</v>
      </c>
      <c r="BB228" t="s">
        <v>191</v>
      </c>
      <c r="BC228" t="s">
        <v>182</v>
      </c>
      <c r="BD228" t="s">
        <v>182</v>
      </c>
      <c r="BE228" t="s">
        <v>3732</v>
      </c>
      <c r="BF228">
        <v>0</v>
      </c>
      <c r="BG228">
        <v>0</v>
      </c>
      <c r="BH228">
        <v>0</v>
      </c>
      <c r="BI228" t="s">
        <v>199</v>
      </c>
      <c r="BJ228" t="s">
        <v>315</v>
      </c>
      <c r="BL228" t="s">
        <v>199</v>
      </c>
      <c r="BM228" t="s">
        <v>1332</v>
      </c>
      <c r="BN228" t="s">
        <v>182</v>
      </c>
      <c r="BO228" t="s">
        <v>198</v>
      </c>
      <c r="BP228" t="s">
        <v>198</v>
      </c>
      <c r="BQ228" t="s">
        <v>198</v>
      </c>
      <c r="BR228" t="s">
        <v>198</v>
      </c>
      <c r="BS228" t="s">
        <v>198</v>
      </c>
      <c r="BT228" t="s">
        <v>198</v>
      </c>
      <c r="BU228" t="s">
        <v>182</v>
      </c>
      <c r="BV228" t="s">
        <v>198</v>
      </c>
      <c r="BW228" t="s">
        <v>198</v>
      </c>
      <c r="BX228" t="s">
        <v>199</v>
      </c>
      <c r="BY228" t="s">
        <v>198</v>
      </c>
      <c r="BZ228" t="s">
        <v>199</v>
      </c>
      <c r="CA228" t="s">
        <v>199</v>
      </c>
      <c r="CB228" t="s">
        <v>3733</v>
      </c>
      <c r="CC228" t="s">
        <v>201</v>
      </c>
      <c r="CD228" t="s">
        <v>182</v>
      </c>
      <c r="CE228" t="s">
        <v>3734</v>
      </c>
      <c r="CF228" t="s">
        <v>413</v>
      </c>
      <c r="CG228" t="s">
        <v>177</v>
      </c>
      <c r="CH228" t="s">
        <v>1044</v>
      </c>
      <c r="CI228" t="s">
        <v>3735</v>
      </c>
      <c r="CJ228" t="s">
        <v>3736</v>
      </c>
      <c r="CK228" t="s">
        <v>207</v>
      </c>
      <c r="CL228" t="s">
        <v>208</v>
      </c>
      <c r="CM228" t="s">
        <v>2389</v>
      </c>
      <c r="CN228" t="s">
        <v>473</v>
      </c>
      <c r="CO228" t="s">
        <v>183</v>
      </c>
      <c r="CP228" t="s">
        <v>211</v>
      </c>
      <c r="CQ228" t="s">
        <v>199</v>
      </c>
      <c r="CS228" t="s">
        <v>3737</v>
      </c>
      <c r="DC228" t="s">
        <v>198</v>
      </c>
      <c r="DM228" t="s">
        <v>198</v>
      </c>
      <c r="DW228" t="s">
        <v>198</v>
      </c>
      <c r="EG228" t="s">
        <v>198</v>
      </c>
      <c r="EQ228" t="s">
        <v>198</v>
      </c>
      <c r="FA228" t="s">
        <v>198</v>
      </c>
      <c r="FK228" t="s">
        <v>198</v>
      </c>
      <c r="FU228" t="s">
        <v>198</v>
      </c>
    </row>
    <row r="229" spans="1:177">
      <c r="A229" s="1" t="str">
        <f>HYPERLINK("http://digipan.lumentumllc.com/apps/getLink/index.php?t=PropLink&amp;p=6594411","PL")</f>
        <v>PL</v>
      </c>
      <c r="B229" s="1" t="str">
        <f>HYPERLINK("http://digipan.lumentumllc.com/apps/getLink/index.php?t=TaxLink&amp;p=6594411","TL")</f>
        <v>TL</v>
      </c>
      <c r="C229" s="1" t="str">
        <f>HYPERLINK("http://digipan.lumentumllc.com/apps/getMap/index.php?p=6594411","Map")</f>
        <v>Map</v>
      </c>
      <c r="E229" t="s">
        <v>177</v>
      </c>
      <c r="F229" t="s">
        <v>178</v>
      </c>
      <c r="L229" t="s">
        <v>3738</v>
      </c>
      <c r="N229" t="s">
        <v>3738</v>
      </c>
      <c r="O229" t="s">
        <v>3738</v>
      </c>
      <c r="P229" t="s">
        <v>3739</v>
      </c>
      <c r="Q229" t="s">
        <v>3738</v>
      </c>
      <c r="V229">
        <v>264</v>
      </c>
      <c r="W229">
        <v>1</v>
      </c>
      <c r="X229">
        <v>2017</v>
      </c>
      <c r="Y229">
        <v>2018</v>
      </c>
      <c r="Z229">
        <v>462.43</v>
      </c>
      <c r="AG229" t="s">
        <v>184</v>
      </c>
      <c r="AH229">
        <v>0</v>
      </c>
      <c r="AK229">
        <v>0</v>
      </c>
      <c r="AL229">
        <v>64119</v>
      </c>
      <c r="AM229">
        <v>15000</v>
      </c>
      <c r="AN229">
        <v>49119</v>
      </c>
      <c r="AO229">
        <v>396</v>
      </c>
      <c r="AP229">
        <v>2016</v>
      </c>
      <c r="AQ229">
        <v>0.72</v>
      </c>
      <c r="AS229" t="s">
        <v>3740</v>
      </c>
      <c r="AT229" t="s">
        <v>186</v>
      </c>
      <c r="AU229" t="s">
        <v>177</v>
      </c>
      <c r="AV229" t="s">
        <v>187</v>
      </c>
      <c r="AW229" t="s">
        <v>202</v>
      </c>
      <c r="AX229">
        <v>1</v>
      </c>
      <c r="AY229" t="s">
        <v>188</v>
      </c>
      <c r="AZ229" t="s">
        <v>206</v>
      </c>
      <c r="BA229" t="s">
        <v>355</v>
      </c>
      <c r="BB229" t="s">
        <v>191</v>
      </c>
      <c r="BC229" t="s">
        <v>182</v>
      </c>
      <c r="BD229" t="s">
        <v>182</v>
      </c>
      <c r="BE229" t="s">
        <v>383</v>
      </c>
      <c r="BF229">
        <v>1</v>
      </c>
      <c r="BG229">
        <v>1</v>
      </c>
      <c r="BH229">
        <v>1954</v>
      </c>
      <c r="BI229" t="s">
        <v>3333</v>
      </c>
      <c r="BJ229" t="s">
        <v>194</v>
      </c>
      <c r="BK229" t="s">
        <v>195</v>
      </c>
      <c r="BL229" t="s">
        <v>199</v>
      </c>
      <c r="BM229" t="s">
        <v>533</v>
      </c>
      <c r="BN229" t="s">
        <v>182</v>
      </c>
      <c r="BO229" t="s">
        <v>198</v>
      </c>
      <c r="BP229" t="s">
        <v>198</v>
      </c>
      <c r="BQ229" t="s">
        <v>198</v>
      </c>
      <c r="BR229" t="s">
        <v>198</v>
      </c>
      <c r="BS229" t="s">
        <v>198</v>
      </c>
      <c r="BT229" t="s">
        <v>198</v>
      </c>
      <c r="BU229" t="s">
        <v>182</v>
      </c>
      <c r="BV229" t="s">
        <v>198</v>
      </c>
      <c r="BW229" t="s">
        <v>198</v>
      </c>
      <c r="BX229" t="s">
        <v>199</v>
      </c>
      <c r="BY229" t="s">
        <v>198</v>
      </c>
      <c r="BZ229" t="s">
        <v>199</v>
      </c>
      <c r="CA229" t="s">
        <v>199</v>
      </c>
      <c r="CB229" t="s">
        <v>3741</v>
      </c>
      <c r="CC229" t="s">
        <v>201</v>
      </c>
      <c r="CD229" t="s">
        <v>202</v>
      </c>
      <c r="CE229" t="s">
        <v>3742</v>
      </c>
      <c r="CF229" t="s">
        <v>204</v>
      </c>
      <c r="CG229" t="s">
        <v>177</v>
      </c>
      <c r="CH229" t="s">
        <v>187</v>
      </c>
      <c r="CI229" t="s">
        <v>3743</v>
      </c>
      <c r="CS229" t="s">
        <v>198</v>
      </c>
      <c r="DC229" t="s">
        <v>198</v>
      </c>
      <c r="DM229" t="s">
        <v>198</v>
      </c>
      <c r="DW229" t="s">
        <v>198</v>
      </c>
      <c r="EG229" t="s">
        <v>198</v>
      </c>
      <c r="EQ229" t="s">
        <v>198</v>
      </c>
      <c r="FA229" t="s">
        <v>198</v>
      </c>
      <c r="FK229" t="s">
        <v>198</v>
      </c>
      <c r="FU229" t="s">
        <v>198</v>
      </c>
    </row>
    <row r="230" spans="1:177">
      <c r="A230" s="1" t="str">
        <f>HYPERLINK("http://digipan.lumentumllc.com/apps/getLink/index.php?t=PropLink&amp;p=5244816","PL")</f>
        <v>PL</v>
      </c>
      <c r="B230" s="1" t="str">
        <f>HYPERLINK("http://digipan.lumentumllc.com/apps/getLink/index.php?t=TaxLink&amp;p=5244816","TL")</f>
        <v>TL</v>
      </c>
      <c r="C230" s="1" t="str">
        <f>HYPERLINK("http://digipan.lumentumllc.com/apps/getMap/index.php?p=5244816","Map")</f>
        <v>Map</v>
      </c>
      <c r="E230" t="s">
        <v>177</v>
      </c>
      <c r="F230" t="s">
        <v>178</v>
      </c>
      <c r="L230" t="s">
        <v>3744</v>
      </c>
      <c r="N230" t="s">
        <v>3744</v>
      </c>
      <c r="O230" t="s">
        <v>3744</v>
      </c>
      <c r="P230" t="s">
        <v>3745</v>
      </c>
      <c r="Q230" t="s">
        <v>3744</v>
      </c>
      <c r="V230">
        <v>265</v>
      </c>
      <c r="W230">
        <v>1</v>
      </c>
      <c r="X230">
        <v>2017</v>
      </c>
      <c r="Y230">
        <v>2018</v>
      </c>
      <c r="Z230">
        <v>1576.99</v>
      </c>
      <c r="AB230" t="s">
        <v>181</v>
      </c>
      <c r="AC230" t="s">
        <v>202</v>
      </c>
      <c r="AD230" t="s">
        <v>183</v>
      </c>
      <c r="AE230">
        <v>0</v>
      </c>
      <c r="AF230">
        <v>5</v>
      </c>
      <c r="AG230" t="s">
        <v>3266</v>
      </c>
      <c r="AH230">
        <v>100</v>
      </c>
      <c r="AK230">
        <v>0</v>
      </c>
      <c r="AL230">
        <v>139136</v>
      </c>
      <c r="AM230">
        <v>40000</v>
      </c>
      <c r="AN230">
        <v>99136</v>
      </c>
      <c r="AO230">
        <v>1322</v>
      </c>
      <c r="AP230">
        <v>2016</v>
      </c>
      <c r="AQ230">
        <v>1.1299999999999999</v>
      </c>
      <c r="AS230" t="s">
        <v>3746</v>
      </c>
      <c r="AT230" t="s">
        <v>3747</v>
      </c>
      <c r="AU230" t="s">
        <v>177</v>
      </c>
      <c r="AV230" t="s">
        <v>1030</v>
      </c>
      <c r="AW230" t="s">
        <v>202</v>
      </c>
      <c r="AX230">
        <v>2</v>
      </c>
      <c r="AY230" t="s">
        <v>188</v>
      </c>
      <c r="AZ230" t="s">
        <v>189</v>
      </c>
      <c r="BA230" t="s">
        <v>190</v>
      </c>
      <c r="BB230" t="s">
        <v>191</v>
      </c>
      <c r="BC230" t="s">
        <v>182</v>
      </c>
      <c r="BD230" t="s">
        <v>182</v>
      </c>
      <c r="BE230" t="s">
        <v>247</v>
      </c>
      <c r="BF230">
        <v>2</v>
      </c>
      <c r="BG230">
        <v>2</v>
      </c>
      <c r="BH230">
        <v>2002</v>
      </c>
      <c r="BI230" t="s">
        <v>3748</v>
      </c>
      <c r="BJ230" t="s">
        <v>194</v>
      </c>
      <c r="BK230" t="s">
        <v>195</v>
      </c>
      <c r="BL230" t="s">
        <v>3749</v>
      </c>
      <c r="BM230" t="s">
        <v>325</v>
      </c>
      <c r="BN230" t="s">
        <v>182</v>
      </c>
      <c r="BO230" t="s">
        <v>3750</v>
      </c>
      <c r="BP230" t="s">
        <v>3751</v>
      </c>
      <c r="BQ230" t="s">
        <v>2227</v>
      </c>
      <c r="BR230" t="s">
        <v>563</v>
      </c>
      <c r="BS230" t="s">
        <v>198</v>
      </c>
      <c r="BT230" t="s">
        <v>3752</v>
      </c>
      <c r="BU230" t="s">
        <v>182</v>
      </c>
      <c r="BV230" t="s">
        <v>198</v>
      </c>
      <c r="BW230" t="s">
        <v>198</v>
      </c>
      <c r="BX230" t="s">
        <v>199</v>
      </c>
      <c r="BY230" t="s">
        <v>198</v>
      </c>
      <c r="BZ230" t="s">
        <v>199</v>
      </c>
      <c r="CA230" t="s">
        <v>199</v>
      </c>
      <c r="CB230" t="s">
        <v>3753</v>
      </c>
      <c r="CC230" t="s">
        <v>201</v>
      </c>
      <c r="CD230" t="s">
        <v>182</v>
      </c>
      <c r="CE230" t="s">
        <v>3754</v>
      </c>
      <c r="CF230" t="s">
        <v>1029</v>
      </c>
      <c r="CG230" t="s">
        <v>177</v>
      </c>
      <c r="CH230" t="s">
        <v>1030</v>
      </c>
      <c r="CI230" t="s">
        <v>3755</v>
      </c>
      <c r="CJ230" t="s">
        <v>3756</v>
      </c>
      <c r="CK230" t="s">
        <v>232</v>
      </c>
      <c r="CL230" t="s">
        <v>233</v>
      </c>
      <c r="CM230" t="s">
        <v>3757</v>
      </c>
      <c r="CN230" t="s">
        <v>235</v>
      </c>
      <c r="CO230" t="s">
        <v>183</v>
      </c>
      <c r="CP230" t="s">
        <v>211</v>
      </c>
      <c r="CQ230" t="s">
        <v>199</v>
      </c>
      <c r="CS230" t="s">
        <v>3758</v>
      </c>
      <c r="CT230" t="s">
        <v>1876</v>
      </c>
      <c r="CU230" t="s">
        <v>267</v>
      </c>
      <c r="CV230" t="s">
        <v>268</v>
      </c>
      <c r="CW230" t="s">
        <v>3759</v>
      </c>
      <c r="CX230" t="s">
        <v>235</v>
      </c>
      <c r="CY230" t="s">
        <v>183</v>
      </c>
      <c r="CZ230" t="s">
        <v>211</v>
      </c>
      <c r="DA230" t="s">
        <v>270</v>
      </c>
      <c r="DB230" t="s">
        <v>271</v>
      </c>
      <c r="DC230" t="s">
        <v>272</v>
      </c>
      <c r="DD230" t="s">
        <v>3672</v>
      </c>
      <c r="DE230" t="s">
        <v>273</v>
      </c>
      <c r="DF230" t="s">
        <v>274</v>
      </c>
      <c r="DG230" t="s">
        <v>3760</v>
      </c>
      <c r="DH230" t="s">
        <v>235</v>
      </c>
      <c r="DI230" t="s">
        <v>183</v>
      </c>
      <c r="DJ230" t="s">
        <v>211</v>
      </c>
      <c r="DL230" t="s">
        <v>271</v>
      </c>
      <c r="DM230" t="s">
        <v>198</v>
      </c>
      <c r="DN230" t="s">
        <v>2202</v>
      </c>
      <c r="DO230" t="s">
        <v>302</v>
      </c>
      <c r="DP230" t="s">
        <v>303</v>
      </c>
      <c r="DQ230" t="s">
        <v>3761</v>
      </c>
      <c r="DR230" t="s">
        <v>235</v>
      </c>
      <c r="DS230" t="s">
        <v>183</v>
      </c>
      <c r="DT230" t="s">
        <v>211</v>
      </c>
      <c r="DU230" t="s">
        <v>345</v>
      </c>
      <c r="DW230" t="s">
        <v>3762</v>
      </c>
      <c r="DX230" t="s">
        <v>3763</v>
      </c>
      <c r="DY230" t="s">
        <v>346</v>
      </c>
      <c r="DZ230" t="s">
        <v>347</v>
      </c>
      <c r="EA230" t="s">
        <v>3764</v>
      </c>
      <c r="EB230" t="s">
        <v>235</v>
      </c>
      <c r="EC230" t="s">
        <v>183</v>
      </c>
      <c r="ED230" t="s">
        <v>211</v>
      </c>
      <c r="EE230" t="s">
        <v>296</v>
      </c>
      <c r="EG230" t="s">
        <v>3765</v>
      </c>
      <c r="EQ230" t="s">
        <v>198</v>
      </c>
      <c r="FA230" t="s">
        <v>198</v>
      </c>
      <c r="FK230" t="s">
        <v>198</v>
      </c>
      <c r="FU230" t="s">
        <v>198</v>
      </c>
    </row>
    <row r="231" spans="1:177">
      <c r="A231" s="1" t="str">
        <f>HYPERLINK("http://digipan.lumentumllc.com/apps/getLink/index.php?t=PropLink&amp;p=15736699","PL")</f>
        <v>PL</v>
      </c>
      <c r="B231" s="1" t="str">
        <f>HYPERLINK("http://digipan.lumentumllc.com/apps/getLink/index.php?t=TaxLink&amp;p=15736699","TL")</f>
        <v>TL</v>
      </c>
      <c r="C231" s="1" t="str">
        <f>HYPERLINK("http://digipan.lumentumllc.com/apps/getMap/index.php?p=15736699","Map")</f>
        <v>Map</v>
      </c>
      <c r="E231" t="s">
        <v>177</v>
      </c>
      <c r="F231" t="s">
        <v>178</v>
      </c>
      <c r="L231" t="s">
        <v>3766</v>
      </c>
      <c r="N231" t="s">
        <v>3766</v>
      </c>
      <c r="O231" t="s">
        <v>3766</v>
      </c>
      <c r="Q231" t="s">
        <v>3766</v>
      </c>
      <c r="V231">
        <v>266</v>
      </c>
      <c r="W231">
        <v>1</v>
      </c>
      <c r="X231">
        <v>2017</v>
      </c>
      <c r="Y231">
        <v>2018</v>
      </c>
      <c r="Z231">
        <v>663.03</v>
      </c>
      <c r="AG231" t="s">
        <v>184</v>
      </c>
      <c r="AH231">
        <v>0</v>
      </c>
      <c r="AK231">
        <v>0</v>
      </c>
      <c r="AL231">
        <v>39452</v>
      </c>
      <c r="AM231">
        <v>15150</v>
      </c>
      <c r="AN231">
        <v>24302</v>
      </c>
      <c r="AO231">
        <v>528</v>
      </c>
      <c r="AP231">
        <v>2016</v>
      </c>
      <c r="AQ231">
        <v>1.68</v>
      </c>
      <c r="AS231" t="s">
        <v>3767</v>
      </c>
      <c r="AT231" t="s">
        <v>3747</v>
      </c>
      <c r="AU231" t="s">
        <v>177</v>
      </c>
      <c r="AV231" t="s">
        <v>1030</v>
      </c>
      <c r="AW231" t="s">
        <v>182</v>
      </c>
      <c r="AX231">
        <v>2</v>
      </c>
      <c r="AY231" t="s">
        <v>188</v>
      </c>
      <c r="AZ231" t="s">
        <v>189</v>
      </c>
      <c r="BA231" t="s">
        <v>190</v>
      </c>
      <c r="BB231" t="s">
        <v>191</v>
      </c>
      <c r="BC231" t="s">
        <v>182</v>
      </c>
      <c r="BD231" t="s">
        <v>182</v>
      </c>
      <c r="BE231" t="s">
        <v>899</v>
      </c>
      <c r="BF231">
        <v>1</v>
      </c>
      <c r="BG231">
        <v>1</v>
      </c>
      <c r="BH231">
        <v>2000</v>
      </c>
      <c r="BI231" t="s">
        <v>2563</v>
      </c>
      <c r="BJ231" t="s">
        <v>194</v>
      </c>
      <c r="BK231" t="s">
        <v>195</v>
      </c>
      <c r="BL231" t="s">
        <v>3768</v>
      </c>
      <c r="BM231" t="s">
        <v>292</v>
      </c>
      <c r="BN231" t="s">
        <v>182</v>
      </c>
      <c r="BO231" t="s">
        <v>3769</v>
      </c>
      <c r="BP231" t="s">
        <v>2911</v>
      </c>
      <c r="BQ231" t="s">
        <v>1285</v>
      </c>
      <c r="BR231" t="s">
        <v>563</v>
      </c>
      <c r="BS231" t="s">
        <v>198</v>
      </c>
      <c r="BT231" t="s">
        <v>3770</v>
      </c>
      <c r="BU231" t="s">
        <v>182</v>
      </c>
      <c r="BV231" t="s">
        <v>198</v>
      </c>
      <c r="BW231" t="s">
        <v>198</v>
      </c>
      <c r="BX231" t="s">
        <v>199</v>
      </c>
      <c r="BY231" t="s">
        <v>198</v>
      </c>
      <c r="BZ231" t="s">
        <v>199</v>
      </c>
      <c r="CA231" t="s">
        <v>199</v>
      </c>
      <c r="CB231" t="s">
        <v>3771</v>
      </c>
      <c r="CC231" t="s">
        <v>201</v>
      </c>
      <c r="CD231" t="s">
        <v>182</v>
      </c>
      <c r="CE231" t="s">
        <v>3772</v>
      </c>
      <c r="CF231" t="s">
        <v>1029</v>
      </c>
      <c r="CG231" t="s">
        <v>177</v>
      </c>
      <c r="CH231" t="s">
        <v>1030</v>
      </c>
      <c r="CI231" t="s">
        <v>3773</v>
      </c>
      <c r="CS231" t="s">
        <v>198</v>
      </c>
      <c r="DC231" t="s">
        <v>198</v>
      </c>
      <c r="DM231" t="s">
        <v>198</v>
      </c>
      <c r="DW231" t="s">
        <v>198</v>
      </c>
      <c r="EG231" t="s">
        <v>198</v>
      </c>
      <c r="EQ231" t="s">
        <v>198</v>
      </c>
      <c r="FA231" t="s">
        <v>198</v>
      </c>
      <c r="FK231" t="s">
        <v>198</v>
      </c>
      <c r="FU231" t="s">
        <v>198</v>
      </c>
    </row>
    <row r="232" spans="1:177">
      <c r="A232" s="1" t="str">
        <f>HYPERLINK("http://digipan.lumentumllc.com/apps/getLink/index.php?t=PropLink&amp;p=15736710","PL")</f>
        <v>PL</v>
      </c>
      <c r="B232" s="1" t="str">
        <f>HYPERLINK("http://digipan.lumentumllc.com/apps/getLink/index.php?t=TaxLink&amp;p=15736710","TL")</f>
        <v>TL</v>
      </c>
      <c r="C232" s="1" t="str">
        <f>HYPERLINK("http://digipan.lumentumllc.com/apps/getMap/index.php?p=15736710","Map")</f>
        <v>Map</v>
      </c>
      <c r="E232" t="s">
        <v>177</v>
      </c>
      <c r="F232" t="s">
        <v>178</v>
      </c>
      <c r="L232" t="s">
        <v>3774</v>
      </c>
      <c r="N232" t="s">
        <v>3774</v>
      </c>
      <c r="O232" t="s">
        <v>3774</v>
      </c>
      <c r="Q232" t="s">
        <v>3774</v>
      </c>
      <c r="V232">
        <v>267</v>
      </c>
      <c r="W232">
        <v>1</v>
      </c>
      <c r="X232">
        <v>2017</v>
      </c>
      <c r="Y232">
        <v>2018</v>
      </c>
      <c r="Z232">
        <v>605.59</v>
      </c>
      <c r="AB232" t="s">
        <v>181</v>
      </c>
      <c r="AC232" t="s">
        <v>182</v>
      </c>
      <c r="AD232" t="s">
        <v>183</v>
      </c>
      <c r="AE232">
        <v>1</v>
      </c>
      <c r="AF232">
        <v>0</v>
      </c>
      <c r="AG232" t="s">
        <v>1200</v>
      </c>
      <c r="AH232">
        <v>0</v>
      </c>
      <c r="AI232">
        <v>600.16</v>
      </c>
      <c r="AJ232">
        <v>30.01</v>
      </c>
      <c r="AK232">
        <v>630.16999999999996</v>
      </c>
      <c r="AL232">
        <v>89910</v>
      </c>
      <c r="AM232">
        <v>15000</v>
      </c>
      <c r="AN232">
        <v>74910</v>
      </c>
      <c r="AO232">
        <v>530</v>
      </c>
      <c r="AP232">
        <v>2016</v>
      </c>
      <c r="AQ232">
        <v>0.67</v>
      </c>
      <c r="AR232">
        <v>0.7</v>
      </c>
      <c r="AS232" t="s">
        <v>3775</v>
      </c>
      <c r="AT232" t="s">
        <v>3747</v>
      </c>
      <c r="AU232" t="s">
        <v>177</v>
      </c>
      <c r="AV232" t="s">
        <v>1030</v>
      </c>
      <c r="AW232" t="s">
        <v>202</v>
      </c>
      <c r="AX232">
        <v>1</v>
      </c>
      <c r="AY232" t="s">
        <v>188</v>
      </c>
      <c r="AZ232" t="s">
        <v>206</v>
      </c>
      <c r="BA232" t="s">
        <v>355</v>
      </c>
      <c r="BB232" t="s">
        <v>191</v>
      </c>
      <c r="BC232" t="s">
        <v>182</v>
      </c>
      <c r="BD232" t="s">
        <v>182</v>
      </c>
      <c r="BE232" t="s">
        <v>383</v>
      </c>
      <c r="BF232">
        <v>1</v>
      </c>
      <c r="BG232">
        <v>1</v>
      </c>
      <c r="BH232">
        <v>1960</v>
      </c>
      <c r="BI232" t="s">
        <v>3776</v>
      </c>
      <c r="BJ232" t="s">
        <v>194</v>
      </c>
      <c r="BK232" t="s">
        <v>195</v>
      </c>
      <c r="BL232" t="s">
        <v>199</v>
      </c>
      <c r="BM232" t="s">
        <v>302</v>
      </c>
      <c r="BN232" t="s">
        <v>182</v>
      </c>
      <c r="BO232" t="s">
        <v>198</v>
      </c>
      <c r="BP232" t="s">
        <v>198</v>
      </c>
      <c r="BQ232" t="s">
        <v>198</v>
      </c>
      <c r="BR232" t="s">
        <v>198</v>
      </c>
      <c r="BS232" t="s">
        <v>198</v>
      </c>
      <c r="BT232" t="s">
        <v>198</v>
      </c>
      <c r="BU232" t="s">
        <v>182</v>
      </c>
      <c r="BV232" t="s">
        <v>198</v>
      </c>
      <c r="BW232" t="s">
        <v>198</v>
      </c>
      <c r="BX232" t="s">
        <v>199</v>
      </c>
      <c r="BY232" t="s">
        <v>198</v>
      </c>
      <c r="BZ232" t="s">
        <v>199</v>
      </c>
      <c r="CA232" t="s">
        <v>199</v>
      </c>
      <c r="CB232" t="s">
        <v>3777</v>
      </c>
      <c r="CC232" t="s">
        <v>201</v>
      </c>
      <c r="CD232" t="s">
        <v>182</v>
      </c>
      <c r="CE232" t="s">
        <v>3778</v>
      </c>
      <c r="CF232" t="s">
        <v>1029</v>
      </c>
      <c r="CG232" t="s">
        <v>177</v>
      </c>
      <c r="CH232" t="s">
        <v>1030</v>
      </c>
      <c r="CI232" t="s">
        <v>3779</v>
      </c>
      <c r="CJ232" t="s">
        <v>2497</v>
      </c>
      <c r="CK232" t="s">
        <v>232</v>
      </c>
      <c r="CL232" t="s">
        <v>233</v>
      </c>
      <c r="CM232" t="s">
        <v>3780</v>
      </c>
      <c r="CN232" t="s">
        <v>235</v>
      </c>
      <c r="CO232" t="s">
        <v>183</v>
      </c>
      <c r="CP232" t="s">
        <v>266</v>
      </c>
      <c r="CS232" t="s">
        <v>198</v>
      </c>
      <c r="DC232" t="s">
        <v>198</v>
      </c>
      <c r="DM232" t="s">
        <v>198</v>
      </c>
      <c r="DW232" t="s">
        <v>198</v>
      </c>
      <c r="EG232" t="s">
        <v>198</v>
      </c>
      <c r="EQ232" t="s">
        <v>198</v>
      </c>
      <c r="FA232" t="s">
        <v>198</v>
      </c>
      <c r="FK232" t="s">
        <v>198</v>
      </c>
      <c r="FU232" t="s">
        <v>198</v>
      </c>
    </row>
    <row r="233" spans="1:177">
      <c r="A233" s="1" t="str">
        <f>HYPERLINK("http://digipan.lumentumllc.com/apps/getLink/index.php?t=PropLink&amp;p=15736721","PL")</f>
        <v>PL</v>
      </c>
      <c r="B233" s="1" t="str">
        <f>HYPERLINK("http://digipan.lumentumllc.com/apps/getLink/index.php?t=TaxLink&amp;p=15736721","TL")</f>
        <v>TL</v>
      </c>
      <c r="C233" s="1" t="str">
        <f>HYPERLINK("http://digipan.lumentumllc.com/apps/getMap/index.php?p=15736721","Map")</f>
        <v>Map</v>
      </c>
      <c r="E233" t="s">
        <v>177</v>
      </c>
      <c r="F233" t="s">
        <v>178</v>
      </c>
      <c r="L233" t="s">
        <v>3781</v>
      </c>
      <c r="N233" t="s">
        <v>3781</v>
      </c>
      <c r="O233" t="s">
        <v>3781</v>
      </c>
      <c r="Q233" t="s">
        <v>3781</v>
      </c>
      <c r="V233">
        <v>268</v>
      </c>
      <c r="W233">
        <v>1</v>
      </c>
      <c r="X233">
        <v>2017</v>
      </c>
      <c r="Y233">
        <v>2018</v>
      </c>
      <c r="Z233">
        <v>301.49</v>
      </c>
      <c r="AG233" t="s">
        <v>184</v>
      </c>
      <c r="AH233">
        <v>0</v>
      </c>
      <c r="AK233">
        <v>0</v>
      </c>
      <c r="AL233">
        <v>17655</v>
      </c>
      <c r="AM233">
        <v>17655</v>
      </c>
      <c r="AN233">
        <v>0</v>
      </c>
      <c r="AO233">
        <v>217</v>
      </c>
      <c r="AP233">
        <v>2016</v>
      </c>
      <c r="AQ233">
        <v>1.71</v>
      </c>
      <c r="AS233" t="s">
        <v>3782</v>
      </c>
      <c r="AT233" t="s">
        <v>3747</v>
      </c>
      <c r="AU233" t="s">
        <v>177</v>
      </c>
      <c r="AV233" t="s">
        <v>1030</v>
      </c>
      <c r="AW233" t="s">
        <v>182</v>
      </c>
      <c r="AX233">
        <v>0</v>
      </c>
      <c r="AY233" t="s">
        <v>312</v>
      </c>
      <c r="AZ233" t="s">
        <v>199</v>
      </c>
      <c r="BA233" t="s">
        <v>313</v>
      </c>
      <c r="BB233" t="s">
        <v>191</v>
      </c>
      <c r="BC233" t="s">
        <v>182</v>
      </c>
      <c r="BD233" t="s">
        <v>182</v>
      </c>
      <c r="BE233" t="s">
        <v>3783</v>
      </c>
      <c r="BF233">
        <v>0</v>
      </c>
      <c r="BG233">
        <v>0</v>
      </c>
      <c r="BH233">
        <v>0</v>
      </c>
      <c r="BI233" t="s">
        <v>199</v>
      </c>
      <c r="BJ233" t="s">
        <v>248</v>
      </c>
      <c r="BL233" t="s">
        <v>1332</v>
      </c>
      <c r="BM233" t="s">
        <v>2351</v>
      </c>
      <c r="BN233" t="s">
        <v>182</v>
      </c>
      <c r="BO233" t="s">
        <v>198</v>
      </c>
      <c r="BP233" t="s">
        <v>198</v>
      </c>
      <c r="BQ233" t="s">
        <v>198</v>
      </c>
      <c r="BR233" t="s">
        <v>198</v>
      </c>
      <c r="BS233" t="s">
        <v>198</v>
      </c>
      <c r="BT233" t="s">
        <v>198</v>
      </c>
      <c r="BU233" t="s">
        <v>182</v>
      </c>
      <c r="BV233" t="s">
        <v>198</v>
      </c>
      <c r="BW233" t="s">
        <v>198</v>
      </c>
      <c r="BX233" t="s">
        <v>199</v>
      </c>
      <c r="BY233" t="s">
        <v>198</v>
      </c>
      <c r="BZ233" t="s">
        <v>199</v>
      </c>
      <c r="CA233" t="s">
        <v>199</v>
      </c>
      <c r="CB233" t="s">
        <v>3784</v>
      </c>
      <c r="CC233" t="s">
        <v>201</v>
      </c>
      <c r="CD233" t="s">
        <v>182</v>
      </c>
      <c r="CE233" t="s">
        <v>3778</v>
      </c>
      <c r="CF233" t="s">
        <v>1029</v>
      </c>
      <c r="CG233" t="s">
        <v>177</v>
      </c>
      <c r="CH233" t="s">
        <v>1030</v>
      </c>
      <c r="CI233" t="s">
        <v>3785</v>
      </c>
      <c r="CS233" t="s">
        <v>198</v>
      </c>
      <c r="DC233" t="s">
        <v>198</v>
      </c>
      <c r="DM233" t="s">
        <v>198</v>
      </c>
      <c r="DW233" t="s">
        <v>198</v>
      </c>
      <c r="EG233" t="s">
        <v>198</v>
      </c>
      <c r="EQ233" t="s">
        <v>198</v>
      </c>
      <c r="FA233" t="s">
        <v>198</v>
      </c>
      <c r="FK233" t="s">
        <v>198</v>
      </c>
      <c r="FU233" t="s">
        <v>198</v>
      </c>
    </row>
    <row r="234" spans="1:177">
      <c r="A234" s="1" t="str">
        <f>HYPERLINK("http://digipan.lumentumllc.com/apps/getLink/index.php?t=PropLink&amp;p=15736743","PL")</f>
        <v>PL</v>
      </c>
      <c r="B234" s="1" t="str">
        <f>HYPERLINK("http://digipan.lumentumllc.com/apps/getLink/index.php?t=TaxLink&amp;p=15736743","TL")</f>
        <v>TL</v>
      </c>
      <c r="C234" s="1" t="str">
        <f>HYPERLINK("http://digipan.lumentumllc.com/apps/getMap/index.php?p=15736743","Map")</f>
        <v>Map</v>
      </c>
      <c r="E234" t="s">
        <v>177</v>
      </c>
      <c r="F234" t="s">
        <v>178</v>
      </c>
      <c r="L234" t="s">
        <v>3786</v>
      </c>
      <c r="N234" t="s">
        <v>3786</v>
      </c>
      <c r="O234" t="s">
        <v>3786</v>
      </c>
      <c r="Q234" t="s">
        <v>3786</v>
      </c>
      <c r="V234">
        <v>269</v>
      </c>
      <c r="W234">
        <v>1</v>
      </c>
      <c r="X234">
        <v>2017</v>
      </c>
      <c r="Y234">
        <v>2018</v>
      </c>
      <c r="Z234">
        <v>2886.44</v>
      </c>
      <c r="AG234" t="s">
        <v>184</v>
      </c>
      <c r="AH234">
        <v>0</v>
      </c>
      <c r="AK234">
        <v>0</v>
      </c>
      <c r="AL234">
        <v>218743</v>
      </c>
      <c r="AM234">
        <v>20000</v>
      </c>
      <c r="AN234">
        <v>198743</v>
      </c>
      <c r="AO234">
        <v>2612</v>
      </c>
      <c r="AP234">
        <v>2016</v>
      </c>
      <c r="AQ234">
        <v>1.32</v>
      </c>
      <c r="AS234" t="s">
        <v>3787</v>
      </c>
      <c r="AT234" t="s">
        <v>3747</v>
      </c>
      <c r="AU234" t="s">
        <v>177</v>
      </c>
      <c r="AV234" t="s">
        <v>1030</v>
      </c>
      <c r="AW234" t="s">
        <v>202</v>
      </c>
      <c r="AX234">
        <v>1</v>
      </c>
      <c r="AY234" t="s">
        <v>188</v>
      </c>
      <c r="AZ234" t="s">
        <v>206</v>
      </c>
      <c r="BA234" t="s">
        <v>355</v>
      </c>
      <c r="BB234" t="s">
        <v>191</v>
      </c>
      <c r="BC234" t="s">
        <v>182</v>
      </c>
      <c r="BD234" t="s">
        <v>182</v>
      </c>
      <c r="BE234" t="s">
        <v>899</v>
      </c>
      <c r="BF234">
        <v>1</v>
      </c>
      <c r="BG234">
        <v>1</v>
      </c>
      <c r="BH234">
        <v>2003</v>
      </c>
      <c r="BI234" t="s">
        <v>3788</v>
      </c>
      <c r="BJ234" t="s">
        <v>194</v>
      </c>
      <c r="BK234" t="s">
        <v>195</v>
      </c>
      <c r="BL234" t="s">
        <v>3789</v>
      </c>
      <c r="BM234" t="s">
        <v>197</v>
      </c>
      <c r="BN234" t="s">
        <v>182</v>
      </c>
      <c r="BO234" t="s">
        <v>1510</v>
      </c>
      <c r="BP234" t="s">
        <v>3790</v>
      </c>
      <c r="BQ234" t="s">
        <v>1520</v>
      </c>
      <c r="BS234" t="s">
        <v>198</v>
      </c>
      <c r="BT234" t="s">
        <v>228</v>
      </c>
      <c r="BU234" t="s">
        <v>182</v>
      </c>
      <c r="BV234" t="s">
        <v>198</v>
      </c>
      <c r="BW234" t="s">
        <v>198</v>
      </c>
      <c r="BX234" t="s">
        <v>199</v>
      </c>
      <c r="BY234" t="s">
        <v>198</v>
      </c>
      <c r="BZ234" t="s">
        <v>199</v>
      </c>
      <c r="CA234" t="s">
        <v>199</v>
      </c>
      <c r="CB234" t="s">
        <v>3791</v>
      </c>
      <c r="CC234" t="s">
        <v>201</v>
      </c>
      <c r="CD234" t="s">
        <v>202</v>
      </c>
      <c r="CE234" t="s">
        <v>3792</v>
      </c>
      <c r="CF234" t="s">
        <v>1029</v>
      </c>
      <c r="CG234" t="s">
        <v>177</v>
      </c>
      <c r="CH234" t="s">
        <v>1030</v>
      </c>
      <c r="CI234" t="s">
        <v>1335</v>
      </c>
      <c r="CS234" t="s">
        <v>198</v>
      </c>
      <c r="DC234" t="s">
        <v>198</v>
      </c>
      <c r="DM234" t="s">
        <v>198</v>
      </c>
      <c r="DW234" t="s">
        <v>198</v>
      </c>
      <c r="EG234" t="s">
        <v>198</v>
      </c>
      <c r="EQ234" t="s">
        <v>198</v>
      </c>
      <c r="FA234" t="s">
        <v>198</v>
      </c>
      <c r="FK234" t="s">
        <v>198</v>
      </c>
      <c r="FU234" t="s">
        <v>198</v>
      </c>
    </row>
    <row r="235" spans="1:177">
      <c r="A235" s="1" t="str">
        <f>HYPERLINK("http://digipan.lumentumllc.com/apps/getLink/index.php?t=PropLink&amp;p=5244880","PL")</f>
        <v>PL</v>
      </c>
      <c r="B235" s="1" t="str">
        <f>HYPERLINK("http://digipan.lumentumllc.com/apps/getLink/index.php?t=TaxLink&amp;p=5244880","TL")</f>
        <v>TL</v>
      </c>
      <c r="C235" s="1" t="str">
        <f>HYPERLINK("http://digipan.lumentumllc.com/apps/getMap/index.php?p=5244880","Map")</f>
        <v>Map</v>
      </c>
      <c r="E235" t="s">
        <v>177</v>
      </c>
      <c r="F235" t="s">
        <v>178</v>
      </c>
      <c r="L235" t="s">
        <v>3793</v>
      </c>
      <c r="N235" t="s">
        <v>3793</v>
      </c>
      <c r="O235" t="s">
        <v>3793</v>
      </c>
      <c r="P235" t="s">
        <v>3794</v>
      </c>
      <c r="Q235" t="s">
        <v>3793</v>
      </c>
      <c r="V235">
        <v>271</v>
      </c>
      <c r="W235">
        <v>1</v>
      </c>
      <c r="X235">
        <v>2017</v>
      </c>
      <c r="Y235">
        <v>2018</v>
      </c>
      <c r="Z235">
        <v>778.26</v>
      </c>
      <c r="AB235" t="s">
        <v>181</v>
      </c>
      <c r="AC235" t="s">
        <v>182</v>
      </c>
      <c r="AD235" t="s">
        <v>183</v>
      </c>
      <c r="AE235">
        <v>1</v>
      </c>
      <c r="AF235">
        <v>6</v>
      </c>
      <c r="AG235" t="s">
        <v>418</v>
      </c>
      <c r="AH235">
        <v>86</v>
      </c>
      <c r="AI235">
        <v>786.17</v>
      </c>
      <c r="AJ235">
        <v>39.31</v>
      </c>
      <c r="AK235">
        <v>825.48</v>
      </c>
      <c r="AL235">
        <v>45579</v>
      </c>
      <c r="AM235">
        <v>32000</v>
      </c>
      <c r="AN235">
        <v>13579</v>
      </c>
      <c r="AO235">
        <v>702</v>
      </c>
      <c r="AP235">
        <v>2016</v>
      </c>
      <c r="AQ235">
        <v>1.71</v>
      </c>
      <c r="AR235">
        <v>1.81</v>
      </c>
      <c r="AS235" t="s">
        <v>3795</v>
      </c>
      <c r="AT235" t="s">
        <v>3747</v>
      </c>
      <c r="AU235" t="s">
        <v>177</v>
      </c>
      <c r="AV235" t="s">
        <v>1030</v>
      </c>
      <c r="AW235" t="s">
        <v>182</v>
      </c>
      <c r="AX235">
        <v>2</v>
      </c>
      <c r="AY235" t="s">
        <v>188</v>
      </c>
      <c r="AZ235" t="s">
        <v>189</v>
      </c>
      <c r="BA235" t="s">
        <v>190</v>
      </c>
      <c r="BB235" t="s">
        <v>191</v>
      </c>
      <c r="BC235" t="s">
        <v>182</v>
      </c>
      <c r="BD235" t="s">
        <v>182</v>
      </c>
      <c r="BE235" t="s">
        <v>927</v>
      </c>
      <c r="BF235">
        <v>3</v>
      </c>
      <c r="BG235">
        <v>3</v>
      </c>
      <c r="BH235">
        <v>1968</v>
      </c>
      <c r="BI235" t="s">
        <v>3796</v>
      </c>
      <c r="BJ235" t="s">
        <v>315</v>
      </c>
      <c r="BK235" t="s">
        <v>195</v>
      </c>
      <c r="BL235" t="s">
        <v>199</v>
      </c>
      <c r="BM235" t="s">
        <v>945</v>
      </c>
      <c r="BN235" t="s">
        <v>182</v>
      </c>
      <c r="BO235" t="s">
        <v>198</v>
      </c>
      <c r="BP235" t="s">
        <v>198</v>
      </c>
      <c r="BQ235" t="s">
        <v>198</v>
      </c>
      <c r="BR235" t="s">
        <v>198</v>
      </c>
      <c r="BS235" t="s">
        <v>198</v>
      </c>
      <c r="BT235" t="s">
        <v>198</v>
      </c>
      <c r="BU235" t="s">
        <v>182</v>
      </c>
      <c r="BV235" t="s">
        <v>198</v>
      </c>
      <c r="BW235" t="s">
        <v>198</v>
      </c>
      <c r="BX235" t="s">
        <v>199</v>
      </c>
      <c r="BY235" t="s">
        <v>198</v>
      </c>
      <c r="BZ235" t="s">
        <v>199</v>
      </c>
      <c r="CA235" t="s">
        <v>199</v>
      </c>
      <c r="CB235" t="s">
        <v>3797</v>
      </c>
      <c r="CC235" t="s">
        <v>201</v>
      </c>
      <c r="CD235" t="s">
        <v>182</v>
      </c>
      <c r="CE235" t="s">
        <v>3798</v>
      </c>
      <c r="CF235" t="s">
        <v>413</v>
      </c>
      <c r="CG235" t="s">
        <v>177</v>
      </c>
      <c r="CH235" t="s">
        <v>3799</v>
      </c>
      <c r="CI235" t="s">
        <v>3800</v>
      </c>
      <c r="CJ235" t="s">
        <v>2411</v>
      </c>
      <c r="CK235" t="s">
        <v>232</v>
      </c>
      <c r="CL235" t="s">
        <v>233</v>
      </c>
      <c r="CM235" t="s">
        <v>3801</v>
      </c>
      <c r="CN235" t="s">
        <v>235</v>
      </c>
      <c r="CO235" t="s">
        <v>183</v>
      </c>
      <c r="CP235" t="s">
        <v>266</v>
      </c>
      <c r="CS235" t="s">
        <v>198</v>
      </c>
      <c r="CT235" t="s">
        <v>2343</v>
      </c>
      <c r="CU235" t="s">
        <v>292</v>
      </c>
      <c r="CV235" t="s">
        <v>293</v>
      </c>
      <c r="CW235" t="s">
        <v>3802</v>
      </c>
      <c r="CX235" t="s">
        <v>235</v>
      </c>
      <c r="CY235" t="s">
        <v>183</v>
      </c>
      <c r="CZ235" t="s">
        <v>211</v>
      </c>
      <c r="DA235" t="s">
        <v>329</v>
      </c>
      <c r="DC235" t="s">
        <v>459</v>
      </c>
      <c r="DD235" t="s">
        <v>1940</v>
      </c>
      <c r="DE235" t="s">
        <v>267</v>
      </c>
      <c r="DF235" t="s">
        <v>268</v>
      </c>
      <c r="DG235" t="s">
        <v>3803</v>
      </c>
      <c r="DH235" t="s">
        <v>235</v>
      </c>
      <c r="DI235" t="s">
        <v>183</v>
      </c>
      <c r="DJ235" t="s">
        <v>211</v>
      </c>
      <c r="DK235" t="s">
        <v>298</v>
      </c>
      <c r="DM235" t="s">
        <v>459</v>
      </c>
      <c r="DN235" t="s">
        <v>2411</v>
      </c>
      <c r="DO235" t="s">
        <v>273</v>
      </c>
      <c r="DP235" t="s">
        <v>274</v>
      </c>
      <c r="DQ235" t="s">
        <v>3804</v>
      </c>
      <c r="DR235" t="s">
        <v>838</v>
      </c>
      <c r="DS235" t="s">
        <v>183</v>
      </c>
      <c r="DT235" t="s">
        <v>211</v>
      </c>
      <c r="DU235" t="s">
        <v>345</v>
      </c>
      <c r="DW235" t="s">
        <v>3805</v>
      </c>
      <c r="DX235" t="s">
        <v>2494</v>
      </c>
      <c r="DY235" t="s">
        <v>302</v>
      </c>
      <c r="DZ235" t="s">
        <v>303</v>
      </c>
      <c r="EA235" t="s">
        <v>3806</v>
      </c>
      <c r="EB235" t="s">
        <v>235</v>
      </c>
      <c r="EC235" t="s">
        <v>183</v>
      </c>
      <c r="ED235" t="s">
        <v>211</v>
      </c>
      <c r="EE235" t="s">
        <v>345</v>
      </c>
      <c r="EG235" t="s">
        <v>3807</v>
      </c>
      <c r="EH235" t="s">
        <v>3808</v>
      </c>
      <c r="EI235" t="s">
        <v>238</v>
      </c>
      <c r="EJ235" t="s">
        <v>239</v>
      </c>
      <c r="EK235" t="s">
        <v>3809</v>
      </c>
      <c r="EL235" t="s">
        <v>247</v>
      </c>
      <c r="EM235" t="s">
        <v>183</v>
      </c>
      <c r="EN235" t="s">
        <v>211</v>
      </c>
      <c r="EO235" t="s">
        <v>298</v>
      </c>
      <c r="EQ235" t="s">
        <v>3501</v>
      </c>
      <c r="ER235" t="s">
        <v>3810</v>
      </c>
      <c r="ES235" t="s">
        <v>346</v>
      </c>
      <c r="ET235" t="s">
        <v>347</v>
      </c>
      <c r="EU235" t="s">
        <v>3811</v>
      </c>
      <c r="EV235" t="s">
        <v>247</v>
      </c>
      <c r="EW235" t="s">
        <v>183</v>
      </c>
      <c r="EX235" t="s">
        <v>211</v>
      </c>
      <c r="EY235" t="s">
        <v>298</v>
      </c>
      <c r="FA235" t="s">
        <v>1100</v>
      </c>
      <c r="FK235" t="s">
        <v>198</v>
      </c>
      <c r="FU235" t="s">
        <v>198</v>
      </c>
    </row>
    <row r="236" spans="1:177">
      <c r="A236" s="1" t="str">
        <f>HYPERLINK("http://digipan.lumentumllc.com/apps/getLink/index.php?t=PropLink&amp;p=5245525","PL")</f>
        <v>PL</v>
      </c>
      <c r="B236" s="1" t="str">
        <f>HYPERLINK("http://digipan.lumentumllc.com/apps/getLink/index.php?t=TaxLink&amp;p=5245525","TL")</f>
        <v>TL</v>
      </c>
      <c r="C236" s="1" t="str">
        <f>HYPERLINK("http://digipan.lumentumllc.com/apps/getMap/index.php?p=5245525","Map")</f>
        <v>Map</v>
      </c>
      <c r="E236" t="s">
        <v>177</v>
      </c>
      <c r="F236" t="s">
        <v>178</v>
      </c>
      <c r="L236" t="s">
        <v>3812</v>
      </c>
      <c r="N236" t="s">
        <v>3812</v>
      </c>
      <c r="O236" t="s">
        <v>3812</v>
      </c>
      <c r="P236" t="s">
        <v>3813</v>
      </c>
      <c r="Q236" t="s">
        <v>3812</v>
      </c>
      <c r="V236">
        <v>272</v>
      </c>
      <c r="W236">
        <v>1</v>
      </c>
      <c r="X236">
        <v>2017</v>
      </c>
      <c r="Y236">
        <v>2018</v>
      </c>
      <c r="Z236">
        <v>326.42</v>
      </c>
      <c r="AB236" t="s">
        <v>181</v>
      </c>
      <c r="AC236" t="s">
        <v>202</v>
      </c>
      <c r="AD236" t="s">
        <v>183</v>
      </c>
      <c r="AE236">
        <v>1</v>
      </c>
      <c r="AF236">
        <v>6</v>
      </c>
      <c r="AG236" t="s">
        <v>322</v>
      </c>
      <c r="AH236">
        <v>83</v>
      </c>
      <c r="AI236">
        <v>310.42</v>
      </c>
      <c r="AJ236">
        <v>17.07</v>
      </c>
      <c r="AK236">
        <v>327.49</v>
      </c>
      <c r="AL236">
        <v>18000</v>
      </c>
      <c r="AM236">
        <v>18000</v>
      </c>
      <c r="AN236">
        <v>0</v>
      </c>
      <c r="AO236">
        <v>262</v>
      </c>
      <c r="AP236">
        <v>2016</v>
      </c>
      <c r="AQ236">
        <v>1.81</v>
      </c>
      <c r="AR236">
        <v>1.82</v>
      </c>
      <c r="AS236" t="s">
        <v>3814</v>
      </c>
      <c r="AT236" t="s">
        <v>3747</v>
      </c>
      <c r="AU236" t="s">
        <v>177</v>
      </c>
      <c r="AV236" t="s">
        <v>1030</v>
      </c>
      <c r="AW236" t="s">
        <v>182</v>
      </c>
      <c r="AX236">
        <v>0</v>
      </c>
      <c r="AY236" t="s">
        <v>312</v>
      </c>
      <c r="AZ236" t="s">
        <v>199</v>
      </c>
      <c r="BA236" t="s">
        <v>313</v>
      </c>
      <c r="BB236" t="s">
        <v>191</v>
      </c>
      <c r="BC236" t="s">
        <v>182</v>
      </c>
      <c r="BD236" t="s">
        <v>182</v>
      </c>
      <c r="BE236" t="s">
        <v>576</v>
      </c>
      <c r="BF236">
        <v>0</v>
      </c>
      <c r="BG236">
        <v>0</v>
      </c>
      <c r="BH236">
        <v>0</v>
      </c>
      <c r="BI236" t="s">
        <v>199</v>
      </c>
      <c r="BJ236" t="s">
        <v>315</v>
      </c>
      <c r="BL236" t="s">
        <v>3815</v>
      </c>
      <c r="BM236" t="s">
        <v>559</v>
      </c>
      <c r="BN236" t="s">
        <v>182</v>
      </c>
      <c r="BO236" t="s">
        <v>198</v>
      </c>
      <c r="BP236" t="s">
        <v>198</v>
      </c>
      <c r="BQ236" t="s">
        <v>198</v>
      </c>
      <c r="BR236" t="s">
        <v>198</v>
      </c>
      <c r="BS236" t="s">
        <v>198</v>
      </c>
      <c r="BT236" t="s">
        <v>198</v>
      </c>
      <c r="BU236" t="s">
        <v>182</v>
      </c>
      <c r="BV236" t="s">
        <v>198</v>
      </c>
      <c r="BW236" t="s">
        <v>198</v>
      </c>
      <c r="BX236" t="s">
        <v>199</v>
      </c>
      <c r="BY236" t="s">
        <v>198</v>
      </c>
      <c r="BZ236" t="s">
        <v>199</v>
      </c>
      <c r="CA236" t="s">
        <v>199</v>
      </c>
      <c r="CB236" t="s">
        <v>3816</v>
      </c>
      <c r="CC236" t="s">
        <v>201</v>
      </c>
      <c r="CD236" t="s">
        <v>182</v>
      </c>
      <c r="CE236" t="s">
        <v>3817</v>
      </c>
      <c r="CF236" t="s">
        <v>1029</v>
      </c>
      <c r="CG236" t="s">
        <v>177</v>
      </c>
      <c r="CH236" t="s">
        <v>1030</v>
      </c>
      <c r="CI236" t="s">
        <v>3818</v>
      </c>
      <c r="CJ236" t="s">
        <v>3819</v>
      </c>
      <c r="CK236" t="s">
        <v>232</v>
      </c>
      <c r="CL236" t="s">
        <v>233</v>
      </c>
      <c r="CM236" t="s">
        <v>3820</v>
      </c>
      <c r="CN236" t="s">
        <v>1164</v>
      </c>
      <c r="CO236" t="s">
        <v>183</v>
      </c>
      <c r="CP236" t="s">
        <v>266</v>
      </c>
      <c r="CS236" t="s">
        <v>198</v>
      </c>
      <c r="CT236" t="s">
        <v>1994</v>
      </c>
      <c r="CU236" t="s">
        <v>267</v>
      </c>
      <c r="CV236" t="s">
        <v>268</v>
      </c>
      <c r="CW236" t="s">
        <v>3821</v>
      </c>
      <c r="CX236" t="s">
        <v>235</v>
      </c>
      <c r="CY236" t="s">
        <v>183</v>
      </c>
      <c r="CZ236" t="s">
        <v>211</v>
      </c>
      <c r="DA236" t="s">
        <v>264</v>
      </c>
      <c r="DB236" t="s">
        <v>271</v>
      </c>
      <c r="DC236" t="s">
        <v>1917</v>
      </c>
      <c r="DD236" t="s">
        <v>3819</v>
      </c>
      <c r="DE236" t="s">
        <v>273</v>
      </c>
      <c r="DF236" t="s">
        <v>274</v>
      </c>
      <c r="DG236" t="s">
        <v>3822</v>
      </c>
      <c r="DH236" t="s">
        <v>402</v>
      </c>
      <c r="DI236" t="s">
        <v>183</v>
      </c>
      <c r="DJ236" t="s">
        <v>211</v>
      </c>
      <c r="DK236" t="s">
        <v>471</v>
      </c>
      <c r="DL236" t="s">
        <v>271</v>
      </c>
      <c r="DM236" t="s">
        <v>1917</v>
      </c>
      <c r="DN236" t="s">
        <v>2556</v>
      </c>
      <c r="DO236" t="s">
        <v>302</v>
      </c>
      <c r="DP236" t="s">
        <v>303</v>
      </c>
      <c r="DQ236" t="s">
        <v>3823</v>
      </c>
      <c r="DR236" t="s">
        <v>295</v>
      </c>
      <c r="DS236" t="s">
        <v>183</v>
      </c>
      <c r="DT236" t="s">
        <v>211</v>
      </c>
      <c r="DV236" t="s">
        <v>271</v>
      </c>
      <c r="DW236" t="s">
        <v>198</v>
      </c>
      <c r="DX236" t="s">
        <v>3824</v>
      </c>
      <c r="DY236" t="s">
        <v>238</v>
      </c>
      <c r="DZ236" t="s">
        <v>239</v>
      </c>
      <c r="EA236" t="s">
        <v>2952</v>
      </c>
      <c r="EB236" t="s">
        <v>1676</v>
      </c>
      <c r="EC236" t="s">
        <v>183</v>
      </c>
      <c r="ED236" t="s">
        <v>211</v>
      </c>
      <c r="EE236" t="s">
        <v>345</v>
      </c>
      <c r="EG236" t="s">
        <v>3825</v>
      </c>
      <c r="EH236" t="s">
        <v>3826</v>
      </c>
      <c r="EI236" t="s">
        <v>346</v>
      </c>
      <c r="EJ236" t="s">
        <v>347</v>
      </c>
      <c r="EK236" t="s">
        <v>1075</v>
      </c>
      <c r="EL236" t="s">
        <v>3395</v>
      </c>
      <c r="EM236" t="s">
        <v>183</v>
      </c>
      <c r="EN236" t="s">
        <v>211</v>
      </c>
      <c r="EO236" t="s">
        <v>298</v>
      </c>
      <c r="EQ236" t="s">
        <v>2756</v>
      </c>
      <c r="ER236" t="s">
        <v>3827</v>
      </c>
      <c r="ES236" t="s">
        <v>207</v>
      </c>
      <c r="ET236" t="s">
        <v>208</v>
      </c>
      <c r="EU236" t="s">
        <v>2955</v>
      </c>
      <c r="EV236" t="s">
        <v>469</v>
      </c>
      <c r="EW236" t="s">
        <v>183</v>
      </c>
      <c r="EX236" t="s">
        <v>211</v>
      </c>
      <c r="EY236" t="s">
        <v>298</v>
      </c>
      <c r="FA236" t="s">
        <v>474</v>
      </c>
      <c r="FK236" t="s">
        <v>198</v>
      </c>
      <c r="FU236" t="s">
        <v>198</v>
      </c>
    </row>
    <row r="237" spans="1:177">
      <c r="A237" s="1" t="str">
        <f>HYPERLINK("http://digipan.lumentumllc.com/apps/getLink/index.php?t=PropLink&amp;p=6886689","PL")</f>
        <v>PL</v>
      </c>
      <c r="B237" s="1" t="str">
        <f>HYPERLINK("http://digipan.lumentumllc.com/apps/getLink/index.php?t=TaxLink&amp;p=6886689","TL")</f>
        <v>TL</v>
      </c>
      <c r="C237" s="1" t="str">
        <f>HYPERLINK("http://digipan.lumentumllc.com/apps/getMap/index.php?p=6886689","Map")</f>
        <v>Map</v>
      </c>
      <c r="E237" t="s">
        <v>177</v>
      </c>
      <c r="F237" t="s">
        <v>178</v>
      </c>
      <c r="L237" t="s">
        <v>3828</v>
      </c>
      <c r="N237" t="s">
        <v>3828</v>
      </c>
      <c r="O237" t="s">
        <v>3828</v>
      </c>
      <c r="P237" t="s">
        <v>3829</v>
      </c>
      <c r="Q237" t="s">
        <v>3828</v>
      </c>
      <c r="V237">
        <v>274</v>
      </c>
      <c r="W237">
        <v>1</v>
      </c>
      <c r="X237">
        <v>2017</v>
      </c>
      <c r="Y237">
        <v>2018</v>
      </c>
      <c r="Z237">
        <v>567.03</v>
      </c>
      <c r="AB237" t="s">
        <v>181</v>
      </c>
      <c r="AC237" t="s">
        <v>182</v>
      </c>
      <c r="AD237" t="s">
        <v>183</v>
      </c>
      <c r="AE237">
        <v>0</v>
      </c>
      <c r="AF237">
        <v>1</v>
      </c>
      <c r="AG237" t="s">
        <v>821</v>
      </c>
      <c r="AH237">
        <v>100</v>
      </c>
      <c r="AK237">
        <v>0</v>
      </c>
      <c r="AL237">
        <v>32678</v>
      </c>
      <c r="AM237">
        <v>14982</v>
      </c>
      <c r="AN237">
        <v>17696</v>
      </c>
      <c r="AO237">
        <v>459</v>
      </c>
      <c r="AP237">
        <v>2016</v>
      </c>
      <c r="AQ237">
        <v>1.74</v>
      </c>
      <c r="AS237" t="s">
        <v>3830</v>
      </c>
      <c r="AT237" t="s">
        <v>3747</v>
      </c>
      <c r="AU237" t="s">
        <v>177</v>
      </c>
      <c r="AV237" t="s">
        <v>1030</v>
      </c>
      <c r="AW237" t="s">
        <v>182</v>
      </c>
      <c r="AX237">
        <v>1</v>
      </c>
      <c r="AY237" t="s">
        <v>188</v>
      </c>
      <c r="AZ237" t="s">
        <v>206</v>
      </c>
      <c r="BA237" t="s">
        <v>355</v>
      </c>
      <c r="BB237" t="s">
        <v>191</v>
      </c>
      <c r="BC237" t="s">
        <v>182</v>
      </c>
      <c r="BD237" t="s">
        <v>182</v>
      </c>
      <c r="BE237" t="s">
        <v>3831</v>
      </c>
      <c r="BF237">
        <v>1</v>
      </c>
      <c r="BG237">
        <v>1</v>
      </c>
      <c r="BH237">
        <v>1963</v>
      </c>
      <c r="BI237" t="s">
        <v>3832</v>
      </c>
      <c r="BJ237" t="s">
        <v>194</v>
      </c>
      <c r="BK237" t="s">
        <v>195</v>
      </c>
      <c r="BL237" t="s">
        <v>199</v>
      </c>
      <c r="BM237" t="s">
        <v>302</v>
      </c>
      <c r="BN237" t="s">
        <v>182</v>
      </c>
      <c r="BO237" t="s">
        <v>198</v>
      </c>
      <c r="BP237" t="s">
        <v>198</v>
      </c>
      <c r="BQ237" t="s">
        <v>198</v>
      </c>
      <c r="BR237" t="s">
        <v>198</v>
      </c>
      <c r="BS237" t="s">
        <v>198</v>
      </c>
      <c r="BT237" t="s">
        <v>198</v>
      </c>
      <c r="BU237" t="s">
        <v>182</v>
      </c>
      <c r="BV237" t="s">
        <v>198</v>
      </c>
      <c r="BW237" t="s">
        <v>198</v>
      </c>
      <c r="BX237" t="s">
        <v>199</v>
      </c>
      <c r="BY237" t="s">
        <v>198</v>
      </c>
      <c r="BZ237" t="s">
        <v>199</v>
      </c>
      <c r="CA237" t="s">
        <v>199</v>
      </c>
      <c r="CB237" t="s">
        <v>3833</v>
      </c>
      <c r="CC237" t="s">
        <v>201</v>
      </c>
      <c r="CD237" t="s">
        <v>202</v>
      </c>
      <c r="CE237" t="s">
        <v>3834</v>
      </c>
      <c r="CF237" t="s">
        <v>1029</v>
      </c>
      <c r="CG237" t="s">
        <v>177</v>
      </c>
      <c r="CH237" t="s">
        <v>1030</v>
      </c>
      <c r="CI237" t="s">
        <v>3835</v>
      </c>
      <c r="CJ237" t="s">
        <v>2006</v>
      </c>
      <c r="CK237" t="s">
        <v>267</v>
      </c>
      <c r="CL237" t="s">
        <v>268</v>
      </c>
      <c r="CM237" t="s">
        <v>3836</v>
      </c>
      <c r="CN237" t="s">
        <v>511</v>
      </c>
      <c r="CO237" t="s">
        <v>183</v>
      </c>
      <c r="CP237" t="s">
        <v>211</v>
      </c>
      <c r="CQ237" t="s">
        <v>199</v>
      </c>
      <c r="CS237" t="s">
        <v>3445</v>
      </c>
      <c r="DC237" t="s">
        <v>198</v>
      </c>
      <c r="DM237" t="s">
        <v>198</v>
      </c>
      <c r="DW237" t="s">
        <v>198</v>
      </c>
      <c r="EG237" t="s">
        <v>198</v>
      </c>
      <c r="EQ237" t="s">
        <v>198</v>
      </c>
      <c r="FA237" t="s">
        <v>198</v>
      </c>
      <c r="FK237" t="s">
        <v>198</v>
      </c>
      <c r="FU237" t="s">
        <v>198</v>
      </c>
    </row>
    <row r="238" spans="1:177">
      <c r="A238" s="1" t="str">
        <f>HYPERLINK("http://digipan.lumentumllc.com/apps/getLink/index.php?t=PropLink&amp;p=5245529","PL")</f>
        <v>PL</v>
      </c>
      <c r="B238" s="1" t="str">
        <f>HYPERLINK("http://digipan.lumentumllc.com/apps/getLink/index.php?t=TaxLink&amp;p=5245529","TL")</f>
        <v>TL</v>
      </c>
      <c r="C238" s="1" t="str">
        <f>HYPERLINK("http://digipan.lumentumllc.com/apps/getMap/index.php?p=5245529","Map")</f>
        <v>Map</v>
      </c>
      <c r="E238" t="s">
        <v>177</v>
      </c>
      <c r="F238" t="s">
        <v>178</v>
      </c>
      <c r="L238" t="s">
        <v>3837</v>
      </c>
      <c r="N238" t="s">
        <v>3837</v>
      </c>
      <c r="O238" t="s">
        <v>3837</v>
      </c>
      <c r="P238" t="s">
        <v>3838</v>
      </c>
      <c r="Q238" t="s">
        <v>3837</v>
      </c>
      <c r="V238">
        <v>275</v>
      </c>
      <c r="W238">
        <v>1</v>
      </c>
      <c r="X238">
        <v>2017</v>
      </c>
      <c r="Y238">
        <v>2018</v>
      </c>
      <c r="Z238">
        <v>794.92</v>
      </c>
      <c r="AB238" t="s">
        <v>181</v>
      </c>
      <c r="AC238" t="s">
        <v>182</v>
      </c>
      <c r="AD238" t="s">
        <v>183</v>
      </c>
      <c r="AE238">
        <v>1</v>
      </c>
      <c r="AF238">
        <v>5</v>
      </c>
      <c r="AG238" t="s">
        <v>951</v>
      </c>
      <c r="AH238">
        <v>80</v>
      </c>
      <c r="AI238">
        <v>772.21</v>
      </c>
      <c r="AJ238">
        <v>38.61</v>
      </c>
      <c r="AK238">
        <v>810.82</v>
      </c>
      <c r="AL238">
        <v>46598</v>
      </c>
      <c r="AM238">
        <v>9150</v>
      </c>
      <c r="AN238">
        <v>37448</v>
      </c>
      <c r="AO238">
        <v>689</v>
      </c>
      <c r="AP238">
        <v>2016</v>
      </c>
      <c r="AQ238">
        <v>1.71</v>
      </c>
      <c r="AR238">
        <v>1.74</v>
      </c>
      <c r="AS238" t="s">
        <v>3839</v>
      </c>
      <c r="AT238" t="s">
        <v>3747</v>
      </c>
      <c r="AU238" t="s">
        <v>177</v>
      </c>
      <c r="AV238" t="s">
        <v>1030</v>
      </c>
      <c r="AW238" t="s">
        <v>182</v>
      </c>
      <c r="AX238">
        <v>1</v>
      </c>
      <c r="AY238" t="s">
        <v>188</v>
      </c>
      <c r="AZ238" t="s">
        <v>206</v>
      </c>
      <c r="BA238" t="s">
        <v>355</v>
      </c>
      <c r="BB238" t="s">
        <v>191</v>
      </c>
      <c r="BC238" t="s">
        <v>182</v>
      </c>
      <c r="BD238" t="s">
        <v>182</v>
      </c>
      <c r="BE238" t="s">
        <v>498</v>
      </c>
      <c r="BF238">
        <v>1</v>
      </c>
      <c r="BG238">
        <v>1</v>
      </c>
      <c r="BH238">
        <v>1963</v>
      </c>
      <c r="BI238" t="s">
        <v>3840</v>
      </c>
      <c r="BJ238" t="s">
        <v>194</v>
      </c>
      <c r="BK238" t="s">
        <v>195</v>
      </c>
      <c r="BL238" t="s">
        <v>3841</v>
      </c>
      <c r="BM238" t="s">
        <v>945</v>
      </c>
      <c r="BN238" t="s">
        <v>182</v>
      </c>
      <c r="BO238" t="s">
        <v>3842</v>
      </c>
      <c r="BP238" t="s">
        <v>3843</v>
      </c>
      <c r="BS238" t="s">
        <v>3844</v>
      </c>
      <c r="BT238" t="s">
        <v>198</v>
      </c>
      <c r="BU238" t="s">
        <v>182</v>
      </c>
      <c r="BV238" t="s">
        <v>198</v>
      </c>
      <c r="BW238" t="s">
        <v>198</v>
      </c>
      <c r="BX238" t="s">
        <v>199</v>
      </c>
      <c r="BY238" t="s">
        <v>198</v>
      </c>
      <c r="BZ238" t="s">
        <v>199</v>
      </c>
      <c r="CA238" t="s">
        <v>199</v>
      </c>
      <c r="CB238" t="s">
        <v>3845</v>
      </c>
      <c r="CC238" t="s">
        <v>201</v>
      </c>
      <c r="CD238" t="s">
        <v>202</v>
      </c>
      <c r="CE238" t="s">
        <v>3846</v>
      </c>
      <c r="CF238" t="s">
        <v>1029</v>
      </c>
      <c r="CG238" t="s">
        <v>177</v>
      </c>
      <c r="CH238" t="s">
        <v>1030</v>
      </c>
      <c r="CI238" t="s">
        <v>3835</v>
      </c>
      <c r="CJ238" t="s">
        <v>2436</v>
      </c>
      <c r="CK238" t="s">
        <v>232</v>
      </c>
      <c r="CL238" t="s">
        <v>233</v>
      </c>
      <c r="CM238" t="s">
        <v>3847</v>
      </c>
      <c r="CN238" t="s">
        <v>235</v>
      </c>
      <c r="CO238" t="s">
        <v>183</v>
      </c>
      <c r="CP238" t="s">
        <v>266</v>
      </c>
      <c r="CS238" t="s">
        <v>198</v>
      </c>
      <c r="CT238" t="s">
        <v>2372</v>
      </c>
      <c r="CU238" t="s">
        <v>292</v>
      </c>
      <c r="CV238" t="s">
        <v>293</v>
      </c>
      <c r="CW238" t="s">
        <v>3848</v>
      </c>
      <c r="CX238" t="s">
        <v>235</v>
      </c>
      <c r="CY238" t="s">
        <v>183</v>
      </c>
      <c r="CZ238" t="s">
        <v>211</v>
      </c>
      <c r="DA238" t="s">
        <v>206</v>
      </c>
      <c r="DC238" t="s">
        <v>3849</v>
      </c>
      <c r="DD238" t="s">
        <v>2436</v>
      </c>
      <c r="DE238" t="s">
        <v>273</v>
      </c>
      <c r="DF238" t="s">
        <v>274</v>
      </c>
      <c r="DG238" t="s">
        <v>3850</v>
      </c>
      <c r="DH238" t="s">
        <v>235</v>
      </c>
      <c r="DI238" t="s">
        <v>183</v>
      </c>
      <c r="DJ238" t="s">
        <v>211</v>
      </c>
      <c r="DK238" t="s">
        <v>270</v>
      </c>
      <c r="DM238" t="s">
        <v>3851</v>
      </c>
      <c r="DN238" t="s">
        <v>3852</v>
      </c>
      <c r="DO238" t="s">
        <v>302</v>
      </c>
      <c r="DP238" t="s">
        <v>303</v>
      </c>
      <c r="DQ238" t="s">
        <v>1965</v>
      </c>
      <c r="DR238" t="s">
        <v>436</v>
      </c>
      <c r="DS238" t="s">
        <v>183</v>
      </c>
      <c r="DT238" t="s">
        <v>211</v>
      </c>
      <c r="DU238" t="s">
        <v>329</v>
      </c>
      <c r="DW238" t="s">
        <v>2904</v>
      </c>
      <c r="DX238" t="s">
        <v>260</v>
      </c>
      <c r="DY238" t="s">
        <v>238</v>
      </c>
      <c r="DZ238" t="s">
        <v>239</v>
      </c>
      <c r="EA238" t="s">
        <v>3853</v>
      </c>
      <c r="EB238" t="s">
        <v>247</v>
      </c>
      <c r="EC238" t="s">
        <v>183</v>
      </c>
      <c r="ED238" t="s">
        <v>211</v>
      </c>
      <c r="EE238" t="s">
        <v>298</v>
      </c>
      <c r="EG238" t="s">
        <v>2904</v>
      </c>
      <c r="EH238" t="s">
        <v>3854</v>
      </c>
      <c r="EI238" t="s">
        <v>207</v>
      </c>
      <c r="EJ238" t="s">
        <v>208</v>
      </c>
      <c r="EK238" t="s">
        <v>3855</v>
      </c>
      <c r="EL238" t="s">
        <v>391</v>
      </c>
      <c r="EM238" t="s">
        <v>183</v>
      </c>
      <c r="EN238" t="s">
        <v>211</v>
      </c>
      <c r="EO238" t="s">
        <v>212</v>
      </c>
      <c r="EQ238" t="s">
        <v>3856</v>
      </c>
      <c r="FA238" t="s">
        <v>198</v>
      </c>
      <c r="FK238" t="s">
        <v>198</v>
      </c>
      <c r="FU238" t="s">
        <v>198</v>
      </c>
    </row>
    <row r="239" spans="1:177">
      <c r="A239" s="1" t="str">
        <f>HYPERLINK("http://digipan.lumentumllc.com/apps/getLink/index.php?t=PropLink&amp;p=5245530","PL")</f>
        <v>PL</v>
      </c>
      <c r="B239" s="1" t="str">
        <f>HYPERLINK("http://digipan.lumentumllc.com/apps/getLink/index.php?t=TaxLink&amp;p=5245530","TL")</f>
        <v>TL</v>
      </c>
      <c r="C239" s="1" t="str">
        <f>HYPERLINK("http://digipan.lumentumllc.com/apps/getMap/index.php?p=5245530","Map")</f>
        <v>Map</v>
      </c>
      <c r="E239" t="s">
        <v>177</v>
      </c>
      <c r="F239" t="s">
        <v>178</v>
      </c>
      <c r="L239" t="s">
        <v>3857</v>
      </c>
      <c r="N239" t="s">
        <v>3857</v>
      </c>
      <c r="O239" t="s">
        <v>3857</v>
      </c>
      <c r="P239" t="s">
        <v>3858</v>
      </c>
      <c r="Q239" t="s">
        <v>3857</v>
      </c>
      <c r="V239">
        <v>276</v>
      </c>
      <c r="W239">
        <v>1</v>
      </c>
      <c r="X239">
        <v>2017</v>
      </c>
      <c r="Y239">
        <v>2018</v>
      </c>
      <c r="Z239">
        <v>66.349999999999994</v>
      </c>
      <c r="AB239" t="s">
        <v>181</v>
      </c>
      <c r="AC239" t="s">
        <v>182</v>
      </c>
      <c r="AD239" t="s">
        <v>1037</v>
      </c>
      <c r="AE239">
        <v>3</v>
      </c>
      <c r="AF239">
        <v>4</v>
      </c>
      <c r="AG239" t="s">
        <v>3859</v>
      </c>
      <c r="AH239">
        <v>50</v>
      </c>
      <c r="AI239">
        <v>171.49</v>
      </c>
      <c r="AJ239">
        <v>59.74</v>
      </c>
      <c r="AK239">
        <v>231.23</v>
      </c>
      <c r="AL239">
        <v>2250</v>
      </c>
      <c r="AM239">
        <v>2250</v>
      </c>
      <c r="AN239">
        <v>0</v>
      </c>
      <c r="AO239">
        <v>28</v>
      </c>
      <c r="AP239">
        <v>2016</v>
      </c>
      <c r="AQ239">
        <v>2.95</v>
      </c>
      <c r="AR239">
        <v>10.28</v>
      </c>
      <c r="AS239" t="s">
        <v>3860</v>
      </c>
      <c r="AT239" t="s">
        <v>3747</v>
      </c>
      <c r="AU239" t="s">
        <v>177</v>
      </c>
      <c r="AV239" t="s">
        <v>1030</v>
      </c>
      <c r="AW239" t="s">
        <v>182</v>
      </c>
      <c r="AX239">
        <v>0</v>
      </c>
      <c r="AY239" t="s">
        <v>312</v>
      </c>
      <c r="AZ239" t="s">
        <v>199</v>
      </c>
      <c r="BA239" t="s">
        <v>313</v>
      </c>
      <c r="BB239" t="s">
        <v>191</v>
      </c>
      <c r="BC239" t="s">
        <v>182</v>
      </c>
      <c r="BD239" t="s">
        <v>182</v>
      </c>
      <c r="BE239" t="s">
        <v>3861</v>
      </c>
      <c r="BF239">
        <v>0</v>
      </c>
      <c r="BG239">
        <v>0</v>
      </c>
      <c r="BH239">
        <v>0</v>
      </c>
      <c r="BI239" t="s">
        <v>199</v>
      </c>
      <c r="BJ239" t="s">
        <v>248</v>
      </c>
      <c r="BL239" t="s">
        <v>199</v>
      </c>
      <c r="BM239" t="s">
        <v>286</v>
      </c>
      <c r="BN239" t="s">
        <v>182</v>
      </c>
      <c r="BO239" t="s">
        <v>198</v>
      </c>
      <c r="BP239" t="s">
        <v>198</v>
      </c>
      <c r="BQ239" t="s">
        <v>198</v>
      </c>
      <c r="BR239" t="s">
        <v>198</v>
      </c>
      <c r="BS239" t="s">
        <v>198</v>
      </c>
      <c r="BT239" t="s">
        <v>198</v>
      </c>
      <c r="BU239" t="s">
        <v>182</v>
      </c>
      <c r="BV239" t="s">
        <v>198</v>
      </c>
      <c r="BW239" t="s">
        <v>198</v>
      </c>
      <c r="BX239" t="s">
        <v>199</v>
      </c>
      <c r="BY239" t="s">
        <v>198</v>
      </c>
      <c r="BZ239" t="s">
        <v>199</v>
      </c>
      <c r="CA239" t="s">
        <v>199</v>
      </c>
      <c r="CB239" t="s">
        <v>3862</v>
      </c>
      <c r="CC239" t="s">
        <v>201</v>
      </c>
      <c r="CD239" t="s">
        <v>182</v>
      </c>
      <c r="CE239" t="s">
        <v>3863</v>
      </c>
      <c r="CF239" t="s">
        <v>1029</v>
      </c>
      <c r="CG239" t="s">
        <v>177</v>
      </c>
      <c r="CH239" t="s">
        <v>1030</v>
      </c>
      <c r="CI239" t="s">
        <v>3864</v>
      </c>
      <c r="CJ239" t="s">
        <v>3865</v>
      </c>
      <c r="CK239" t="s">
        <v>232</v>
      </c>
      <c r="CL239" t="s">
        <v>233</v>
      </c>
      <c r="CM239" t="s">
        <v>3866</v>
      </c>
      <c r="CN239" t="s">
        <v>482</v>
      </c>
      <c r="CO239" t="s">
        <v>183</v>
      </c>
      <c r="CP239" t="s">
        <v>266</v>
      </c>
      <c r="CS239" t="s">
        <v>198</v>
      </c>
      <c r="CT239" t="s">
        <v>2064</v>
      </c>
      <c r="CU239" t="s">
        <v>292</v>
      </c>
      <c r="CV239" t="s">
        <v>293</v>
      </c>
      <c r="CW239" t="s">
        <v>3867</v>
      </c>
      <c r="CX239" t="s">
        <v>482</v>
      </c>
      <c r="CY239" t="s">
        <v>5</v>
      </c>
      <c r="CZ239" t="s">
        <v>266</v>
      </c>
      <c r="DC239" t="s">
        <v>198</v>
      </c>
      <c r="DD239" t="s">
        <v>2343</v>
      </c>
      <c r="DE239" t="s">
        <v>267</v>
      </c>
      <c r="DF239" t="s">
        <v>268</v>
      </c>
      <c r="DG239" t="s">
        <v>3868</v>
      </c>
      <c r="DH239" t="s">
        <v>482</v>
      </c>
      <c r="DI239" t="s">
        <v>183</v>
      </c>
      <c r="DJ239" t="s">
        <v>266</v>
      </c>
      <c r="DM239" t="s">
        <v>198</v>
      </c>
      <c r="DN239" t="s">
        <v>2634</v>
      </c>
      <c r="DO239" t="s">
        <v>302</v>
      </c>
      <c r="DP239" t="s">
        <v>303</v>
      </c>
      <c r="DQ239" t="s">
        <v>3869</v>
      </c>
      <c r="DR239" t="s">
        <v>1615</v>
      </c>
      <c r="DS239" t="s">
        <v>183</v>
      </c>
      <c r="DT239" t="s">
        <v>211</v>
      </c>
      <c r="DU239" t="s">
        <v>329</v>
      </c>
      <c r="DW239" t="s">
        <v>1815</v>
      </c>
      <c r="DX239" t="s">
        <v>3870</v>
      </c>
      <c r="DY239" t="s">
        <v>238</v>
      </c>
      <c r="DZ239" t="s">
        <v>239</v>
      </c>
      <c r="EA239" t="s">
        <v>3871</v>
      </c>
      <c r="EB239" t="s">
        <v>482</v>
      </c>
      <c r="EC239" t="s">
        <v>183</v>
      </c>
      <c r="ED239" t="s">
        <v>211</v>
      </c>
      <c r="EE239" t="s">
        <v>298</v>
      </c>
      <c r="EG239" t="s">
        <v>1815</v>
      </c>
      <c r="EH239" t="s">
        <v>3872</v>
      </c>
      <c r="EI239" t="s">
        <v>346</v>
      </c>
      <c r="EJ239" t="s">
        <v>347</v>
      </c>
      <c r="EK239" t="s">
        <v>3873</v>
      </c>
      <c r="EL239" t="s">
        <v>3395</v>
      </c>
      <c r="EM239" t="s">
        <v>183</v>
      </c>
      <c r="EN239" t="s">
        <v>211</v>
      </c>
      <c r="EO239" t="s">
        <v>298</v>
      </c>
      <c r="EQ239" t="s">
        <v>878</v>
      </c>
      <c r="ER239" t="s">
        <v>3874</v>
      </c>
      <c r="ES239" t="s">
        <v>207</v>
      </c>
      <c r="ET239" t="s">
        <v>208</v>
      </c>
      <c r="EU239" t="s">
        <v>3875</v>
      </c>
      <c r="EV239" t="s">
        <v>473</v>
      </c>
      <c r="EW239" t="s">
        <v>183</v>
      </c>
      <c r="EX239" t="s">
        <v>211</v>
      </c>
      <c r="EY239" t="s">
        <v>298</v>
      </c>
      <c r="FA239" t="s">
        <v>1167</v>
      </c>
      <c r="FK239" t="s">
        <v>198</v>
      </c>
      <c r="FU239" t="s">
        <v>198</v>
      </c>
    </row>
    <row r="240" spans="1:177">
      <c r="A240" s="1" t="str">
        <f>HYPERLINK("http://digipan.lumentumllc.com/apps/getLink/index.php?t=PropLink&amp;p=15743960","PL")</f>
        <v>PL</v>
      </c>
      <c r="B240" s="1" t="str">
        <f>HYPERLINK("http://digipan.lumentumllc.com/apps/getLink/index.php?t=TaxLink&amp;p=15743960","TL")</f>
        <v>TL</v>
      </c>
      <c r="C240" s="1" t="str">
        <f>HYPERLINK("http://digipan.lumentumllc.com/apps/getMap/index.php?p=15743960","Map")</f>
        <v>Map</v>
      </c>
      <c r="E240" t="s">
        <v>177</v>
      </c>
      <c r="F240" t="s">
        <v>178</v>
      </c>
      <c r="L240" t="s">
        <v>3876</v>
      </c>
      <c r="N240" t="s">
        <v>3876</v>
      </c>
      <c r="O240" t="s">
        <v>3876</v>
      </c>
      <c r="Q240" t="s">
        <v>3876</v>
      </c>
      <c r="V240">
        <v>277</v>
      </c>
      <c r="W240">
        <v>1</v>
      </c>
      <c r="X240">
        <v>2017</v>
      </c>
      <c r="Y240">
        <v>2018</v>
      </c>
      <c r="Z240">
        <v>1136.0999999999999</v>
      </c>
      <c r="AG240" t="s">
        <v>184</v>
      </c>
      <c r="AH240">
        <v>0</v>
      </c>
      <c r="AK240">
        <v>0</v>
      </c>
      <c r="AL240">
        <v>67435</v>
      </c>
      <c r="AM240">
        <v>18750</v>
      </c>
      <c r="AN240">
        <v>48685</v>
      </c>
      <c r="AO240">
        <v>417</v>
      </c>
      <c r="AP240">
        <v>2016</v>
      </c>
      <c r="AQ240">
        <v>1.68</v>
      </c>
      <c r="AS240" t="s">
        <v>3877</v>
      </c>
      <c r="AT240" t="s">
        <v>3747</v>
      </c>
      <c r="AU240" t="s">
        <v>177</v>
      </c>
      <c r="AV240" t="s">
        <v>1030</v>
      </c>
      <c r="AW240" t="s">
        <v>182</v>
      </c>
      <c r="AX240">
        <v>2</v>
      </c>
      <c r="AY240" t="s">
        <v>188</v>
      </c>
      <c r="AZ240" t="s">
        <v>189</v>
      </c>
      <c r="BA240" t="s">
        <v>190</v>
      </c>
      <c r="BB240" t="s">
        <v>191</v>
      </c>
      <c r="BC240" t="s">
        <v>182</v>
      </c>
      <c r="BD240" t="s">
        <v>182</v>
      </c>
      <c r="BE240" t="s">
        <v>3878</v>
      </c>
      <c r="BF240">
        <v>1</v>
      </c>
      <c r="BG240">
        <v>1</v>
      </c>
      <c r="BH240">
        <v>1999</v>
      </c>
      <c r="BI240" t="s">
        <v>3474</v>
      </c>
      <c r="BJ240" t="s">
        <v>194</v>
      </c>
      <c r="BK240" t="s">
        <v>195</v>
      </c>
      <c r="BL240" t="s">
        <v>3879</v>
      </c>
      <c r="BM240" t="s">
        <v>368</v>
      </c>
      <c r="BN240" t="s">
        <v>182</v>
      </c>
      <c r="BO240" t="s">
        <v>3880</v>
      </c>
      <c r="BP240" t="s">
        <v>3881</v>
      </c>
      <c r="BQ240" t="s">
        <v>2053</v>
      </c>
      <c r="BR240" t="s">
        <v>227</v>
      </c>
      <c r="BS240" t="s">
        <v>198</v>
      </c>
      <c r="BT240" t="s">
        <v>3882</v>
      </c>
      <c r="BU240" t="s">
        <v>182</v>
      </c>
      <c r="BV240" t="s">
        <v>198</v>
      </c>
      <c r="BW240" t="s">
        <v>198</v>
      </c>
      <c r="BX240" t="s">
        <v>199</v>
      </c>
      <c r="BY240" t="s">
        <v>198</v>
      </c>
      <c r="BZ240" t="s">
        <v>199</v>
      </c>
      <c r="CA240" t="s">
        <v>199</v>
      </c>
      <c r="CB240" t="s">
        <v>3883</v>
      </c>
      <c r="CC240" t="s">
        <v>201</v>
      </c>
      <c r="CD240" t="s">
        <v>202</v>
      </c>
      <c r="CE240" t="s">
        <v>3884</v>
      </c>
      <c r="CF240" t="s">
        <v>1029</v>
      </c>
      <c r="CG240" t="s">
        <v>177</v>
      </c>
      <c r="CH240" t="s">
        <v>1030</v>
      </c>
      <c r="CI240" t="s">
        <v>3885</v>
      </c>
      <c r="CS240" t="s">
        <v>198</v>
      </c>
      <c r="DC240" t="s">
        <v>198</v>
      </c>
      <c r="DM240" t="s">
        <v>198</v>
      </c>
      <c r="DW240" t="s">
        <v>198</v>
      </c>
      <c r="EG240" t="s">
        <v>198</v>
      </c>
      <c r="EQ240" t="s">
        <v>198</v>
      </c>
      <c r="FA240" t="s">
        <v>198</v>
      </c>
      <c r="FK240" t="s">
        <v>198</v>
      </c>
      <c r="FU240" t="s">
        <v>198</v>
      </c>
    </row>
    <row r="241" spans="1:177">
      <c r="A241" s="1" t="str">
        <f>HYPERLINK("http://digipan.lumentumllc.com/apps/getLink/index.php?t=PropLink&amp;p=7112402","PL")</f>
        <v>PL</v>
      </c>
      <c r="B241" s="1" t="str">
        <f>HYPERLINK("http://digipan.lumentumllc.com/apps/getLink/index.php?t=TaxLink&amp;p=7112402","TL")</f>
        <v>TL</v>
      </c>
      <c r="C241" s="1" t="str">
        <f>HYPERLINK("http://digipan.lumentumllc.com/apps/getMap/index.php?p=7112402","Map")</f>
        <v>Map</v>
      </c>
      <c r="E241" t="s">
        <v>177</v>
      </c>
      <c r="F241" t="s">
        <v>178</v>
      </c>
      <c r="L241" t="s">
        <v>3886</v>
      </c>
      <c r="N241" t="s">
        <v>3886</v>
      </c>
      <c r="O241" t="s">
        <v>3886</v>
      </c>
      <c r="P241" t="s">
        <v>3887</v>
      </c>
      <c r="Q241" t="s">
        <v>3886</v>
      </c>
      <c r="V241">
        <v>278</v>
      </c>
      <c r="W241">
        <v>1</v>
      </c>
      <c r="X241">
        <v>2017</v>
      </c>
      <c r="Y241">
        <v>2018</v>
      </c>
      <c r="Z241">
        <v>39.17</v>
      </c>
      <c r="AB241" t="s">
        <v>181</v>
      </c>
      <c r="AC241" t="s">
        <v>182</v>
      </c>
      <c r="AD241" t="s">
        <v>183</v>
      </c>
      <c r="AE241">
        <v>0</v>
      </c>
      <c r="AF241">
        <v>1</v>
      </c>
      <c r="AG241" t="s">
        <v>821</v>
      </c>
      <c r="AH241">
        <v>100</v>
      </c>
      <c r="AK241">
        <v>0</v>
      </c>
      <c r="AL241">
        <v>13980</v>
      </c>
      <c r="AM241">
        <v>438</v>
      </c>
      <c r="AN241">
        <v>13542</v>
      </c>
      <c r="AO241">
        <v>6</v>
      </c>
      <c r="AP241">
        <v>2016</v>
      </c>
      <c r="AQ241">
        <v>0.28000000000000003</v>
      </c>
      <c r="AS241" t="s">
        <v>3888</v>
      </c>
      <c r="AT241" t="s">
        <v>3747</v>
      </c>
      <c r="AU241" t="s">
        <v>177</v>
      </c>
      <c r="AV241" t="s">
        <v>1030</v>
      </c>
      <c r="AW241" t="s">
        <v>182</v>
      </c>
      <c r="AX241">
        <v>55</v>
      </c>
      <c r="AY241" t="s">
        <v>218</v>
      </c>
      <c r="AZ241" t="s">
        <v>1682</v>
      </c>
      <c r="BA241" t="s">
        <v>1683</v>
      </c>
      <c r="BB241" t="s">
        <v>191</v>
      </c>
      <c r="BC241" t="s">
        <v>182</v>
      </c>
      <c r="BD241" t="s">
        <v>182</v>
      </c>
      <c r="BE241" t="s">
        <v>3889</v>
      </c>
      <c r="BF241">
        <v>0</v>
      </c>
      <c r="BG241">
        <v>0</v>
      </c>
      <c r="BH241">
        <v>0</v>
      </c>
      <c r="BI241" t="s">
        <v>199</v>
      </c>
      <c r="BJ241" t="s">
        <v>315</v>
      </c>
      <c r="BL241" t="s">
        <v>199</v>
      </c>
      <c r="BM241" t="s">
        <v>238</v>
      </c>
      <c r="BN241" t="s">
        <v>182</v>
      </c>
      <c r="BO241" t="s">
        <v>198</v>
      </c>
      <c r="BP241" t="s">
        <v>198</v>
      </c>
      <c r="BQ241" t="s">
        <v>198</v>
      </c>
      <c r="BR241" t="s">
        <v>198</v>
      </c>
      <c r="BS241" t="s">
        <v>198</v>
      </c>
      <c r="BT241" t="s">
        <v>198</v>
      </c>
      <c r="BU241" t="s">
        <v>182</v>
      </c>
      <c r="BV241" t="s">
        <v>198</v>
      </c>
      <c r="BW241" t="s">
        <v>198</v>
      </c>
      <c r="BX241" t="s">
        <v>199</v>
      </c>
      <c r="BY241" t="s">
        <v>198</v>
      </c>
      <c r="BZ241" t="s">
        <v>199</v>
      </c>
      <c r="CA241" t="s">
        <v>199</v>
      </c>
      <c r="CB241" t="s">
        <v>3890</v>
      </c>
      <c r="CC241" t="s">
        <v>201</v>
      </c>
      <c r="CD241" t="s">
        <v>202</v>
      </c>
      <c r="CE241" t="s">
        <v>3891</v>
      </c>
      <c r="CF241" t="s">
        <v>1029</v>
      </c>
      <c r="CG241" t="s">
        <v>177</v>
      </c>
      <c r="CH241" t="s">
        <v>1030</v>
      </c>
      <c r="CI241" t="s">
        <v>3892</v>
      </c>
      <c r="CJ241" t="s">
        <v>3585</v>
      </c>
      <c r="CK241" t="s">
        <v>292</v>
      </c>
      <c r="CL241" t="s">
        <v>293</v>
      </c>
      <c r="CM241" t="s">
        <v>3893</v>
      </c>
      <c r="CN241" t="s">
        <v>482</v>
      </c>
      <c r="CO241" t="s">
        <v>183</v>
      </c>
      <c r="CP241" t="s">
        <v>211</v>
      </c>
      <c r="CQ241" t="s">
        <v>290</v>
      </c>
      <c r="CS241" t="s">
        <v>3894</v>
      </c>
      <c r="DC241" t="s">
        <v>198</v>
      </c>
      <c r="DM241" t="s">
        <v>198</v>
      </c>
      <c r="DW241" t="s">
        <v>198</v>
      </c>
      <c r="EG241" t="s">
        <v>198</v>
      </c>
      <c r="EQ241" t="s">
        <v>198</v>
      </c>
      <c r="FA241" t="s">
        <v>198</v>
      </c>
      <c r="FK241" t="s">
        <v>198</v>
      </c>
      <c r="FU241" t="s">
        <v>198</v>
      </c>
    </row>
    <row r="242" spans="1:177">
      <c r="A242" s="1" t="str">
        <f>HYPERLINK("http://digipan.lumentumllc.com/apps/getLink/index.php?t=PropLink&amp;p=6461890","PL")</f>
        <v>PL</v>
      </c>
      <c r="B242" s="1" t="str">
        <f>HYPERLINK("http://digipan.lumentumllc.com/apps/getLink/index.php?t=TaxLink&amp;p=6461890","TL")</f>
        <v>TL</v>
      </c>
      <c r="C242" s="1" t="str">
        <f>HYPERLINK("http://digipan.lumentumllc.com/apps/getMap/index.php?p=6461890","Map")</f>
        <v>Map</v>
      </c>
      <c r="E242" t="s">
        <v>177</v>
      </c>
      <c r="F242" t="s">
        <v>178</v>
      </c>
      <c r="L242" t="s">
        <v>3895</v>
      </c>
      <c r="N242" t="s">
        <v>3895</v>
      </c>
      <c r="O242" t="s">
        <v>3895</v>
      </c>
      <c r="P242" t="s">
        <v>3896</v>
      </c>
      <c r="Q242" t="s">
        <v>3895</v>
      </c>
      <c r="V242">
        <v>279</v>
      </c>
      <c r="W242">
        <v>1</v>
      </c>
      <c r="X242">
        <v>2017</v>
      </c>
      <c r="Y242">
        <v>2018</v>
      </c>
      <c r="Z242">
        <v>471.77</v>
      </c>
      <c r="AB242" t="s">
        <v>181</v>
      </c>
      <c r="AC242" t="s">
        <v>182</v>
      </c>
      <c r="AD242" t="s">
        <v>183</v>
      </c>
      <c r="AE242">
        <v>1</v>
      </c>
      <c r="AF242">
        <v>3</v>
      </c>
      <c r="AG242" t="s">
        <v>257</v>
      </c>
      <c r="AH242">
        <v>75</v>
      </c>
      <c r="AI242">
        <v>443.01</v>
      </c>
      <c r="AJ242">
        <v>22.15</v>
      </c>
      <c r="AK242">
        <v>465.16</v>
      </c>
      <c r="AL242">
        <v>26860</v>
      </c>
      <c r="AM242">
        <v>10155</v>
      </c>
      <c r="AN242">
        <v>16705</v>
      </c>
      <c r="AO242">
        <v>385</v>
      </c>
      <c r="AP242">
        <v>2016</v>
      </c>
      <c r="AQ242">
        <v>1.76</v>
      </c>
      <c r="AR242">
        <v>1.73</v>
      </c>
      <c r="AS242" t="s">
        <v>3888</v>
      </c>
      <c r="AT242" t="s">
        <v>3747</v>
      </c>
      <c r="AU242" t="s">
        <v>177</v>
      </c>
      <c r="AV242" t="s">
        <v>1030</v>
      </c>
      <c r="AW242" t="s">
        <v>182</v>
      </c>
      <c r="AX242">
        <v>2</v>
      </c>
      <c r="AY242" t="s">
        <v>188</v>
      </c>
      <c r="AZ242" t="s">
        <v>189</v>
      </c>
      <c r="BA242" t="s">
        <v>190</v>
      </c>
      <c r="BB242" t="s">
        <v>191</v>
      </c>
      <c r="BC242" t="s">
        <v>182</v>
      </c>
      <c r="BD242" t="s">
        <v>530</v>
      </c>
      <c r="BE242" t="s">
        <v>3897</v>
      </c>
      <c r="BF242">
        <v>1</v>
      </c>
      <c r="BG242">
        <v>1</v>
      </c>
      <c r="BH242">
        <v>1973</v>
      </c>
      <c r="BI242" t="s">
        <v>1530</v>
      </c>
      <c r="BJ242" t="s">
        <v>194</v>
      </c>
      <c r="BK242" t="s">
        <v>195</v>
      </c>
      <c r="BL242" t="s">
        <v>199</v>
      </c>
      <c r="BM242" t="s">
        <v>410</v>
      </c>
      <c r="BN242" t="s">
        <v>182</v>
      </c>
      <c r="BO242" t="s">
        <v>198</v>
      </c>
      <c r="BP242" t="s">
        <v>198</v>
      </c>
      <c r="BQ242" t="s">
        <v>198</v>
      </c>
      <c r="BR242" t="s">
        <v>198</v>
      </c>
      <c r="BS242" t="s">
        <v>198</v>
      </c>
      <c r="BT242" t="s">
        <v>198</v>
      </c>
      <c r="BU242" t="s">
        <v>182</v>
      </c>
      <c r="BV242" t="s">
        <v>198</v>
      </c>
      <c r="BW242" t="s">
        <v>198</v>
      </c>
      <c r="BX242" t="s">
        <v>199</v>
      </c>
      <c r="BY242" t="s">
        <v>198</v>
      </c>
      <c r="BZ242" t="s">
        <v>199</v>
      </c>
      <c r="CA242" t="s">
        <v>199</v>
      </c>
      <c r="CB242" t="s">
        <v>3890</v>
      </c>
      <c r="CC242" t="s">
        <v>201</v>
      </c>
      <c r="CD242" t="s">
        <v>202</v>
      </c>
      <c r="CE242" t="s">
        <v>3891</v>
      </c>
      <c r="CF242" t="s">
        <v>1029</v>
      </c>
      <c r="CG242" t="s">
        <v>177</v>
      </c>
      <c r="CH242" t="s">
        <v>1030</v>
      </c>
      <c r="CI242" t="s">
        <v>3898</v>
      </c>
      <c r="CJ242" t="s">
        <v>2513</v>
      </c>
      <c r="CK242" t="s">
        <v>232</v>
      </c>
      <c r="CL242" t="s">
        <v>233</v>
      </c>
      <c r="CM242" t="s">
        <v>3899</v>
      </c>
      <c r="CN242" t="s">
        <v>331</v>
      </c>
      <c r="CO242" t="s">
        <v>183</v>
      </c>
      <c r="CP242" t="s">
        <v>266</v>
      </c>
      <c r="CS242" t="s">
        <v>198</v>
      </c>
      <c r="CT242" t="s">
        <v>3900</v>
      </c>
      <c r="CU242" t="s">
        <v>292</v>
      </c>
      <c r="CV242" t="s">
        <v>293</v>
      </c>
      <c r="CW242" t="s">
        <v>3901</v>
      </c>
      <c r="CX242" t="s">
        <v>389</v>
      </c>
      <c r="CY242" t="s">
        <v>183</v>
      </c>
      <c r="CZ242" t="s">
        <v>211</v>
      </c>
      <c r="DA242" t="s">
        <v>345</v>
      </c>
      <c r="DC242" t="s">
        <v>2825</v>
      </c>
      <c r="DD242" t="s">
        <v>3552</v>
      </c>
      <c r="DE242" t="s">
        <v>267</v>
      </c>
      <c r="DF242" t="s">
        <v>268</v>
      </c>
      <c r="DG242" t="s">
        <v>3902</v>
      </c>
      <c r="DH242" t="s">
        <v>235</v>
      </c>
      <c r="DI242" t="s">
        <v>183</v>
      </c>
      <c r="DJ242" t="s">
        <v>211</v>
      </c>
      <c r="DK242" t="s">
        <v>298</v>
      </c>
      <c r="DM242" t="s">
        <v>459</v>
      </c>
      <c r="DN242" t="s">
        <v>3903</v>
      </c>
      <c r="DO242" t="s">
        <v>302</v>
      </c>
      <c r="DP242" t="s">
        <v>303</v>
      </c>
      <c r="DQ242" t="s">
        <v>3904</v>
      </c>
      <c r="DR242" t="s">
        <v>305</v>
      </c>
      <c r="DS242" t="s">
        <v>183</v>
      </c>
      <c r="DT242" t="s">
        <v>211</v>
      </c>
      <c r="DU242" t="s">
        <v>212</v>
      </c>
      <c r="DW242" t="s">
        <v>3905</v>
      </c>
      <c r="EG242" t="s">
        <v>198</v>
      </c>
      <c r="EQ242" t="s">
        <v>198</v>
      </c>
      <c r="FA242" t="s">
        <v>198</v>
      </c>
      <c r="FK242" t="s">
        <v>198</v>
      </c>
      <c r="FU242" t="s">
        <v>198</v>
      </c>
    </row>
    <row r="243" spans="1:177">
      <c r="A243" s="1" t="str">
        <f>HYPERLINK("http://digipan.lumentumllc.com/apps/getLink/index.php?t=PropLink&amp;p=15745983","PL")</f>
        <v>PL</v>
      </c>
      <c r="B243" s="1" t="str">
        <f>HYPERLINK("http://digipan.lumentumllc.com/apps/getLink/index.php?t=TaxLink&amp;p=15745983","TL")</f>
        <v>TL</v>
      </c>
      <c r="C243" s="1" t="str">
        <f>HYPERLINK("http://digipan.lumentumllc.com/apps/getMap/index.php?p=15745983","Map")</f>
        <v>Map</v>
      </c>
      <c r="E243" t="s">
        <v>177</v>
      </c>
      <c r="F243" t="s">
        <v>178</v>
      </c>
      <c r="L243" t="s">
        <v>3906</v>
      </c>
      <c r="N243" t="s">
        <v>3906</v>
      </c>
      <c r="O243" t="s">
        <v>3906</v>
      </c>
      <c r="Q243" t="s">
        <v>3906</v>
      </c>
      <c r="V243">
        <v>280</v>
      </c>
      <c r="W243">
        <v>1</v>
      </c>
      <c r="X243">
        <v>2017</v>
      </c>
      <c r="Y243">
        <v>2018</v>
      </c>
      <c r="Z243">
        <v>59.47</v>
      </c>
      <c r="AG243" t="s">
        <v>184</v>
      </c>
      <c r="AH243">
        <v>0</v>
      </c>
      <c r="AK243">
        <v>0</v>
      </c>
      <c r="AL243">
        <v>1800</v>
      </c>
      <c r="AM243">
        <v>1800</v>
      </c>
      <c r="AN243">
        <v>0</v>
      </c>
      <c r="AO243">
        <v>22</v>
      </c>
      <c r="AP243">
        <v>2016</v>
      </c>
      <c r="AQ243">
        <v>3.3</v>
      </c>
      <c r="AS243" t="s">
        <v>3888</v>
      </c>
      <c r="AT243" t="s">
        <v>3747</v>
      </c>
      <c r="AU243" t="s">
        <v>177</v>
      </c>
      <c r="AV243" t="s">
        <v>1030</v>
      </c>
      <c r="AW243" t="s">
        <v>182</v>
      </c>
      <c r="AX243">
        <v>0</v>
      </c>
      <c r="AY243" t="s">
        <v>312</v>
      </c>
      <c r="AZ243" t="s">
        <v>199</v>
      </c>
      <c r="BA243" t="s">
        <v>313</v>
      </c>
      <c r="BB243" t="s">
        <v>191</v>
      </c>
      <c r="BC243" t="s">
        <v>182</v>
      </c>
      <c r="BD243" t="s">
        <v>182</v>
      </c>
      <c r="BE243" t="s">
        <v>3907</v>
      </c>
      <c r="BF243">
        <v>0</v>
      </c>
      <c r="BG243">
        <v>0</v>
      </c>
      <c r="BH243">
        <v>0</v>
      </c>
      <c r="BI243" t="s">
        <v>199</v>
      </c>
      <c r="BJ243" t="s">
        <v>315</v>
      </c>
      <c r="BL243" t="s">
        <v>1332</v>
      </c>
      <c r="BM243" t="s">
        <v>1026</v>
      </c>
      <c r="BN243" t="s">
        <v>182</v>
      </c>
      <c r="BO243" t="s">
        <v>198</v>
      </c>
      <c r="BP243" t="s">
        <v>198</v>
      </c>
      <c r="BQ243" t="s">
        <v>198</v>
      </c>
      <c r="BR243" t="s">
        <v>198</v>
      </c>
      <c r="BS243" t="s">
        <v>198</v>
      </c>
      <c r="BT243" t="s">
        <v>198</v>
      </c>
      <c r="BU243" t="s">
        <v>182</v>
      </c>
      <c r="BV243" t="s">
        <v>198</v>
      </c>
      <c r="BW243" t="s">
        <v>198</v>
      </c>
      <c r="BX243" t="s">
        <v>199</v>
      </c>
      <c r="BY243" t="s">
        <v>198</v>
      </c>
      <c r="BZ243" t="s">
        <v>199</v>
      </c>
      <c r="CA243" t="s">
        <v>199</v>
      </c>
      <c r="CB243" t="s">
        <v>3908</v>
      </c>
      <c r="CC243" t="s">
        <v>201</v>
      </c>
      <c r="CD243" t="s">
        <v>182</v>
      </c>
      <c r="CE243" t="s">
        <v>3909</v>
      </c>
      <c r="CF243" t="s">
        <v>3910</v>
      </c>
      <c r="CG243" t="s">
        <v>3911</v>
      </c>
      <c r="CH243" t="s">
        <v>3912</v>
      </c>
      <c r="CI243" t="s">
        <v>3913</v>
      </c>
      <c r="CS243" t="s">
        <v>198</v>
      </c>
      <c r="DC243" t="s">
        <v>198</v>
      </c>
      <c r="DM243" t="s">
        <v>198</v>
      </c>
      <c r="DW243" t="s">
        <v>198</v>
      </c>
      <c r="EG243" t="s">
        <v>198</v>
      </c>
      <c r="EQ243" t="s">
        <v>198</v>
      </c>
      <c r="FA243" t="s">
        <v>198</v>
      </c>
      <c r="FK243" t="s">
        <v>198</v>
      </c>
      <c r="FU243" t="s">
        <v>198</v>
      </c>
    </row>
    <row r="244" spans="1:177">
      <c r="A244" s="1" t="str">
        <f>HYPERLINK("http://digipan.lumentumllc.com/apps/getLink/index.php?t=PropLink&amp;p=15745985","PL")</f>
        <v>PL</v>
      </c>
      <c r="B244" s="1" t="str">
        <f>HYPERLINK("http://digipan.lumentumllc.com/apps/getLink/index.php?t=TaxLink&amp;p=15745985","TL")</f>
        <v>TL</v>
      </c>
      <c r="C244" s="1" t="str">
        <f>HYPERLINK("http://digipan.lumentumllc.com/apps/getMap/index.php?p=15745985","Map")</f>
        <v>Map</v>
      </c>
      <c r="E244" t="s">
        <v>177</v>
      </c>
      <c r="F244" t="s">
        <v>178</v>
      </c>
      <c r="L244" t="s">
        <v>3914</v>
      </c>
      <c r="N244" t="s">
        <v>3914</v>
      </c>
      <c r="O244" t="s">
        <v>3914</v>
      </c>
      <c r="Q244" t="s">
        <v>3914</v>
      </c>
      <c r="V244">
        <v>281</v>
      </c>
      <c r="W244">
        <v>1</v>
      </c>
      <c r="X244">
        <v>2017</v>
      </c>
      <c r="Y244">
        <v>2018</v>
      </c>
      <c r="Z244">
        <v>58.57</v>
      </c>
      <c r="AG244" t="s">
        <v>184</v>
      </c>
      <c r="AH244">
        <v>0</v>
      </c>
      <c r="AK244">
        <v>0</v>
      </c>
      <c r="AL244">
        <v>1740</v>
      </c>
      <c r="AM244">
        <v>1740</v>
      </c>
      <c r="AN244">
        <v>0</v>
      </c>
      <c r="AO244">
        <v>21</v>
      </c>
      <c r="AP244">
        <v>2016</v>
      </c>
      <c r="AQ244">
        <v>3.37</v>
      </c>
      <c r="AS244" t="s">
        <v>3888</v>
      </c>
      <c r="AT244" t="s">
        <v>3747</v>
      </c>
      <c r="AU244" t="s">
        <v>177</v>
      </c>
      <c r="AV244" t="s">
        <v>1030</v>
      </c>
      <c r="AW244" t="s">
        <v>182</v>
      </c>
      <c r="AX244">
        <v>0</v>
      </c>
      <c r="AY244" t="s">
        <v>312</v>
      </c>
      <c r="AZ244" t="s">
        <v>199</v>
      </c>
      <c r="BA244" t="s">
        <v>313</v>
      </c>
      <c r="BB244" t="s">
        <v>191</v>
      </c>
      <c r="BC244" t="s">
        <v>182</v>
      </c>
      <c r="BD244" t="s">
        <v>182</v>
      </c>
      <c r="BE244" t="s">
        <v>3907</v>
      </c>
      <c r="BF244">
        <v>0</v>
      </c>
      <c r="BG244">
        <v>0</v>
      </c>
      <c r="BH244">
        <v>0</v>
      </c>
      <c r="BI244" t="s">
        <v>199</v>
      </c>
      <c r="BJ244" t="s">
        <v>315</v>
      </c>
      <c r="BL244" t="s">
        <v>199</v>
      </c>
      <c r="BM244" t="s">
        <v>358</v>
      </c>
      <c r="BN244" t="s">
        <v>182</v>
      </c>
      <c r="BO244" t="s">
        <v>198</v>
      </c>
      <c r="BP244" t="s">
        <v>198</v>
      </c>
      <c r="BQ244" t="s">
        <v>198</v>
      </c>
      <c r="BR244" t="s">
        <v>198</v>
      </c>
      <c r="BS244" t="s">
        <v>198</v>
      </c>
      <c r="BT244" t="s">
        <v>198</v>
      </c>
      <c r="BU244" t="s">
        <v>182</v>
      </c>
      <c r="BV244" t="s">
        <v>198</v>
      </c>
      <c r="BW244" t="s">
        <v>198</v>
      </c>
      <c r="BX244" t="s">
        <v>199</v>
      </c>
      <c r="BY244" t="s">
        <v>198</v>
      </c>
      <c r="BZ244" t="s">
        <v>199</v>
      </c>
      <c r="CA244" t="s">
        <v>199</v>
      </c>
      <c r="CB244" t="s">
        <v>3908</v>
      </c>
      <c r="CC244" t="s">
        <v>201</v>
      </c>
      <c r="CD244" t="s">
        <v>182</v>
      </c>
      <c r="CE244" t="s">
        <v>3909</v>
      </c>
      <c r="CF244" t="s">
        <v>3910</v>
      </c>
      <c r="CG244" t="s">
        <v>3911</v>
      </c>
      <c r="CH244" t="s">
        <v>3912</v>
      </c>
      <c r="CI244" t="s">
        <v>3915</v>
      </c>
      <c r="CS244" t="s">
        <v>198</v>
      </c>
      <c r="DC244" t="s">
        <v>198</v>
      </c>
      <c r="DM244" t="s">
        <v>198</v>
      </c>
      <c r="DW244" t="s">
        <v>198</v>
      </c>
      <c r="EG244" t="s">
        <v>198</v>
      </c>
      <c r="EQ244" t="s">
        <v>198</v>
      </c>
      <c r="FA244" t="s">
        <v>198</v>
      </c>
      <c r="FK244" t="s">
        <v>198</v>
      </c>
      <c r="FU244" t="s">
        <v>198</v>
      </c>
    </row>
    <row r="245" spans="1:177">
      <c r="A245" s="1" t="str">
        <f>HYPERLINK("http://digipan.lumentumllc.com/apps/getLink/index.php?t=PropLink&amp;p=5246021","PL")</f>
        <v>PL</v>
      </c>
      <c r="B245" s="1" t="str">
        <f>HYPERLINK("http://digipan.lumentumllc.com/apps/getLink/index.php?t=TaxLink&amp;p=5246021","TL")</f>
        <v>TL</v>
      </c>
      <c r="C245" s="1" t="str">
        <f>HYPERLINK("http://digipan.lumentumllc.com/apps/getMap/index.php?p=5246021","Map")</f>
        <v>Map</v>
      </c>
      <c r="E245" t="s">
        <v>177</v>
      </c>
      <c r="F245" t="s">
        <v>178</v>
      </c>
      <c r="L245" t="s">
        <v>3916</v>
      </c>
      <c r="N245" t="s">
        <v>3916</v>
      </c>
      <c r="O245" t="s">
        <v>3916</v>
      </c>
      <c r="P245" t="s">
        <v>3917</v>
      </c>
      <c r="Q245" t="s">
        <v>3916</v>
      </c>
      <c r="V245">
        <v>282</v>
      </c>
      <c r="W245">
        <v>1</v>
      </c>
      <c r="X245">
        <v>2017</v>
      </c>
      <c r="Y245">
        <v>2018</v>
      </c>
      <c r="Z245">
        <v>37.619999999999997</v>
      </c>
      <c r="AB245" t="s">
        <v>181</v>
      </c>
      <c r="AC245" t="s">
        <v>182</v>
      </c>
      <c r="AD245" t="s">
        <v>183</v>
      </c>
      <c r="AE245">
        <v>2</v>
      </c>
      <c r="AF245">
        <v>0</v>
      </c>
      <c r="AG245" t="s">
        <v>1737</v>
      </c>
      <c r="AH245">
        <v>0</v>
      </c>
      <c r="AI245">
        <v>47.47</v>
      </c>
      <c r="AJ245">
        <v>52.5</v>
      </c>
      <c r="AK245">
        <v>99.97</v>
      </c>
      <c r="AL245">
        <v>367</v>
      </c>
      <c r="AM245">
        <v>367</v>
      </c>
      <c r="AN245">
        <v>0</v>
      </c>
      <c r="AO245">
        <v>0</v>
      </c>
      <c r="AP245">
        <v>0</v>
      </c>
      <c r="AQ245">
        <v>10.25</v>
      </c>
      <c r="AR245">
        <v>27.24</v>
      </c>
      <c r="AS245" t="s">
        <v>3888</v>
      </c>
      <c r="AT245" t="s">
        <v>3747</v>
      </c>
      <c r="AU245" t="s">
        <v>177</v>
      </c>
      <c r="AV245" t="s">
        <v>1030</v>
      </c>
      <c r="AW245" t="s">
        <v>182</v>
      </c>
      <c r="AX245">
        <v>0</v>
      </c>
      <c r="AY245" t="s">
        <v>312</v>
      </c>
      <c r="AZ245" t="s">
        <v>199</v>
      </c>
      <c r="BA245" t="s">
        <v>313</v>
      </c>
      <c r="BB245" t="s">
        <v>191</v>
      </c>
      <c r="BC245" t="s">
        <v>182</v>
      </c>
      <c r="BD245" t="s">
        <v>182</v>
      </c>
      <c r="BE245" t="s">
        <v>3918</v>
      </c>
      <c r="BF245">
        <v>0</v>
      </c>
      <c r="BG245">
        <v>0</v>
      </c>
      <c r="BH245">
        <v>0</v>
      </c>
      <c r="BI245" t="s">
        <v>199</v>
      </c>
      <c r="BJ245" t="s">
        <v>315</v>
      </c>
      <c r="BL245" t="s">
        <v>199</v>
      </c>
      <c r="BM245" t="s">
        <v>981</v>
      </c>
      <c r="BN245" t="s">
        <v>182</v>
      </c>
      <c r="BO245" t="s">
        <v>198</v>
      </c>
      <c r="BP245" t="s">
        <v>198</v>
      </c>
      <c r="BQ245" t="s">
        <v>198</v>
      </c>
      <c r="BR245" t="s">
        <v>198</v>
      </c>
      <c r="BS245" t="s">
        <v>198</v>
      </c>
      <c r="BT245" t="s">
        <v>198</v>
      </c>
      <c r="BU245" t="s">
        <v>182</v>
      </c>
      <c r="BV245" t="s">
        <v>198</v>
      </c>
      <c r="BW245" t="s">
        <v>198</v>
      </c>
      <c r="BX245" t="s">
        <v>199</v>
      </c>
      <c r="BY245" t="s">
        <v>198</v>
      </c>
      <c r="BZ245" t="s">
        <v>199</v>
      </c>
      <c r="CA245" t="s">
        <v>199</v>
      </c>
      <c r="CB245" t="s">
        <v>3919</v>
      </c>
      <c r="CC245" t="s">
        <v>201</v>
      </c>
      <c r="CD245" t="s">
        <v>182</v>
      </c>
      <c r="CE245" t="s">
        <v>3920</v>
      </c>
      <c r="CF245" t="s">
        <v>3921</v>
      </c>
      <c r="CG245" t="s">
        <v>177</v>
      </c>
      <c r="CH245" t="s">
        <v>3922</v>
      </c>
      <c r="CI245" t="s">
        <v>3923</v>
      </c>
      <c r="CJ245" t="s">
        <v>3924</v>
      </c>
      <c r="CK245" t="s">
        <v>238</v>
      </c>
      <c r="CL245" t="s">
        <v>239</v>
      </c>
      <c r="CM245" t="s">
        <v>3925</v>
      </c>
      <c r="CN245" t="s">
        <v>333</v>
      </c>
      <c r="CO245" t="s">
        <v>183</v>
      </c>
      <c r="CP245" t="s">
        <v>266</v>
      </c>
      <c r="CS245" t="s">
        <v>198</v>
      </c>
      <c r="CT245" t="s">
        <v>3926</v>
      </c>
      <c r="CU245" t="s">
        <v>346</v>
      </c>
      <c r="CV245" t="s">
        <v>347</v>
      </c>
      <c r="CW245" t="s">
        <v>3927</v>
      </c>
      <c r="CX245" t="s">
        <v>482</v>
      </c>
      <c r="CY245" t="s">
        <v>183</v>
      </c>
      <c r="CZ245" t="s">
        <v>266</v>
      </c>
      <c r="DC245" t="s">
        <v>198</v>
      </c>
      <c r="DM245" t="s">
        <v>198</v>
      </c>
      <c r="DW245" t="s">
        <v>198</v>
      </c>
      <c r="EG245" t="s">
        <v>198</v>
      </c>
      <c r="EQ245" t="s">
        <v>198</v>
      </c>
      <c r="FA245" t="s">
        <v>198</v>
      </c>
      <c r="FK245" t="s">
        <v>198</v>
      </c>
      <c r="FU245" t="s">
        <v>198</v>
      </c>
    </row>
    <row r="246" spans="1:177">
      <c r="A246" s="1" t="str">
        <f>HYPERLINK("http://digipan.lumentumllc.com/apps/getLink/index.php?t=PropLink&amp;p=5246022","PL")</f>
        <v>PL</v>
      </c>
      <c r="B246" s="1" t="str">
        <f>HYPERLINK("http://digipan.lumentumllc.com/apps/getLink/index.php?t=TaxLink&amp;p=5246022","TL")</f>
        <v>TL</v>
      </c>
      <c r="C246" s="1" t="str">
        <f>HYPERLINK("http://digipan.lumentumllc.com/apps/getMap/index.php?p=5246022","Map")</f>
        <v>Map</v>
      </c>
      <c r="E246" t="s">
        <v>177</v>
      </c>
      <c r="F246" t="s">
        <v>178</v>
      </c>
      <c r="L246" t="s">
        <v>3928</v>
      </c>
      <c r="N246" t="s">
        <v>3928</v>
      </c>
      <c r="O246" t="s">
        <v>3928</v>
      </c>
      <c r="P246" t="s">
        <v>3929</v>
      </c>
      <c r="Q246" t="s">
        <v>3928</v>
      </c>
      <c r="V246">
        <v>283</v>
      </c>
      <c r="W246">
        <v>1</v>
      </c>
      <c r="X246">
        <v>2017</v>
      </c>
      <c r="Y246">
        <v>2018</v>
      </c>
      <c r="Z246">
        <v>40.82</v>
      </c>
      <c r="AB246" t="s">
        <v>181</v>
      </c>
      <c r="AC246" t="s">
        <v>182</v>
      </c>
      <c r="AD246" t="s">
        <v>1037</v>
      </c>
      <c r="AE246">
        <v>7</v>
      </c>
      <c r="AF246">
        <v>0</v>
      </c>
      <c r="AG246" t="s">
        <v>1038</v>
      </c>
      <c r="AH246">
        <v>0</v>
      </c>
      <c r="AI246">
        <v>204.84</v>
      </c>
      <c r="AJ246">
        <v>81.5</v>
      </c>
      <c r="AK246">
        <v>286.33999999999997</v>
      </c>
      <c r="AL246">
        <v>577</v>
      </c>
      <c r="AM246">
        <v>577</v>
      </c>
      <c r="AN246">
        <v>0</v>
      </c>
      <c r="AO246">
        <v>7</v>
      </c>
      <c r="AP246">
        <v>2016</v>
      </c>
      <c r="AQ246">
        <v>7.07</v>
      </c>
      <c r="AR246">
        <v>49.63</v>
      </c>
      <c r="AS246" t="s">
        <v>3888</v>
      </c>
      <c r="AT246" t="s">
        <v>3747</v>
      </c>
      <c r="AU246" t="s">
        <v>177</v>
      </c>
      <c r="AV246" t="s">
        <v>1030</v>
      </c>
      <c r="AW246" t="s">
        <v>182</v>
      </c>
      <c r="AX246">
        <v>0</v>
      </c>
      <c r="AY246" t="s">
        <v>312</v>
      </c>
      <c r="AZ246" t="s">
        <v>199</v>
      </c>
      <c r="BA246" t="s">
        <v>313</v>
      </c>
      <c r="BB246" t="s">
        <v>191</v>
      </c>
      <c r="BC246" t="s">
        <v>182</v>
      </c>
      <c r="BD246" t="s">
        <v>182</v>
      </c>
      <c r="BE246" t="s">
        <v>3930</v>
      </c>
      <c r="BF246">
        <v>0</v>
      </c>
      <c r="BG246">
        <v>0</v>
      </c>
      <c r="BH246">
        <v>0</v>
      </c>
      <c r="BI246" t="s">
        <v>199</v>
      </c>
      <c r="BJ246" t="s">
        <v>315</v>
      </c>
      <c r="BL246" t="s">
        <v>199</v>
      </c>
      <c r="BM246" t="s">
        <v>358</v>
      </c>
      <c r="BN246" t="s">
        <v>182</v>
      </c>
      <c r="BO246" t="s">
        <v>198</v>
      </c>
      <c r="BP246" t="s">
        <v>198</v>
      </c>
      <c r="BQ246" t="s">
        <v>198</v>
      </c>
      <c r="BR246" t="s">
        <v>198</v>
      </c>
      <c r="BS246" t="s">
        <v>198</v>
      </c>
      <c r="BT246" t="s">
        <v>198</v>
      </c>
      <c r="BU246" t="s">
        <v>182</v>
      </c>
      <c r="BV246" t="s">
        <v>198</v>
      </c>
      <c r="BW246" t="s">
        <v>198</v>
      </c>
      <c r="BX246" t="s">
        <v>199</v>
      </c>
      <c r="BY246" t="s">
        <v>198</v>
      </c>
      <c r="BZ246" t="s">
        <v>199</v>
      </c>
      <c r="CA246" t="s">
        <v>199</v>
      </c>
      <c r="CB246" t="s">
        <v>3931</v>
      </c>
      <c r="CC246" t="s">
        <v>201</v>
      </c>
      <c r="CD246" t="s">
        <v>182</v>
      </c>
      <c r="CE246" t="s">
        <v>3932</v>
      </c>
      <c r="CF246" t="s">
        <v>3933</v>
      </c>
      <c r="CG246" t="s">
        <v>177</v>
      </c>
      <c r="CH246" t="s">
        <v>3934</v>
      </c>
      <c r="CI246" t="s">
        <v>3935</v>
      </c>
      <c r="CJ246" t="s">
        <v>2531</v>
      </c>
      <c r="CK246" t="s">
        <v>232</v>
      </c>
      <c r="CL246" t="s">
        <v>233</v>
      </c>
      <c r="CM246" t="s">
        <v>3936</v>
      </c>
      <c r="CN246" t="s">
        <v>482</v>
      </c>
      <c r="CO246" t="s">
        <v>5</v>
      </c>
      <c r="CP246" t="s">
        <v>266</v>
      </c>
      <c r="CS246" t="s">
        <v>198</v>
      </c>
      <c r="CT246" t="s">
        <v>2158</v>
      </c>
      <c r="CU246" t="s">
        <v>292</v>
      </c>
      <c r="CV246" t="s">
        <v>293</v>
      </c>
      <c r="CW246" t="s">
        <v>3937</v>
      </c>
      <c r="CX246" t="s">
        <v>482</v>
      </c>
      <c r="CY246" t="s">
        <v>183</v>
      </c>
      <c r="CZ246" t="s">
        <v>266</v>
      </c>
      <c r="DC246" t="s">
        <v>198</v>
      </c>
      <c r="DD246" t="s">
        <v>3585</v>
      </c>
      <c r="DE246" t="s">
        <v>267</v>
      </c>
      <c r="DF246" t="s">
        <v>268</v>
      </c>
      <c r="DG246" t="s">
        <v>3938</v>
      </c>
      <c r="DH246" t="s">
        <v>1722</v>
      </c>
      <c r="DI246" t="s">
        <v>183</v>
      </c>
      <c r="DJ246" t="s">
        <v>266</v>
      </c>
      <c r="DM246" t="s">
        <v>198</v>
      </c>
      <c r="DN246" t="s">
        <v>2513</v>
      </c>
      <c r="DO246" t="s">
        <v>273</v>
      </c>
      <c r="DP246" t="s">
        <v>274</v>
      </c>
      <c r="DQ246" t="s">
        <v>3939</v>
      </c>
      <c r="DR246" t="s">
        <v>1722</v>
      </c>
      <c r="DS246" t="s">
        <v>183</v>
      </c>
      <c r="DT246" t="s">
        <v>266</v>
      </c>
      <c r="DW246" t="s">
        <v>198</v>
      </c>
      <c r="DX246" t="s">
        <v>2697</v>
      </c>
      <c r="DY246" t="s">
        <v>302</v>
      </c>
      <c r="DZ246" t="s">
        <v>303</v>
      </c>
      <c r="EA246" t="s">
        <v>3940</v>
      </c>
      <c r="EB246" t="s">
        <v>1722</v>
      </c>
      <c r="EC246" t="s">
        <v>183</v>
      </c>
      <c r="ED246" t="s">
        <v>266</v>
      </c>
      <c r="EG246" t="s">
        <v>198</v>
      </c>
      <c r="EH246" t="s">
        <v>3941</v>
      </c>
      <c r="EI246" t="s">
        <v>238</v>
      </c>
      <c r="EJ246" t="s">
        <v>239</v>
      </c>
      <c r="EK246" t="s">
        <v>3942</v>
      </c>
      <c r="EL246" t="s">
        <v>333</v>
      </c>
      <c r="EM246" t="s">
        <v>183</v>
      </c>
      <c r="EN246" t="s">
        <v>266</v>
      </c>
      <c r="EQ246" t="s">
        <v>198</v>
      </c>
      <c r="ER246" t="s">
        <v>3943</v>
      </c>
      <c r="ES246" t="s">
        <v>346</v>
      </c>
      <c r="ET246" t="s">
        <v>347</v>
      </c>
      <c r="EU246" t="s">
        <v>3944</v>
      </c>
      <c r="EV246" t="s">
        <v>482</v>
      </c>
      <c r="EW246" t="s">
        <v>183</v>
      </c>
      <c r="EX246" t="s">
        <v>266</v>
      </c>
      <c r="FA246" t="s">
        <v>198</v>
      </c>
      <c r="FK246" t="s">
        <v>198</v>
      </c>
      <c r="FU246" t="s">
        <v>198</v>
      </c>
    </row>
    <row r="247" spans="1:177">
      <c r="A247" s="1" t="str">
        <f>HYPERLINK("http://digipan.lumentumllc.com/apps/getLink/index.php?t=PropLink&amp;p=5246023","PL")</f>
        <v>PL</v>
      </c>
      <c r="B247" s="1" t="str">
        <f>HYPERLINK("http://digipan.lumentumllc.com/apps/getLink/index.php?t=TaxLink&amp;p=5246023","TL")</f>
        <v>TL</v>
      </c>
      <c r="C247" s="1" t="str">
        <f>HYPERLINK("http://digipan.lumentumllc.com/apps/getMap/index.php?p=5246023","Map")</f>
        <v>Map</v>
      </c>
      <c r="E247" t="s">
        <v>177</v>
      </c>
      <c r="F247" t="s">
        <v>178</v>
      </c>
      <c r="L247" t="s">
        <v>3945</v>
      </c>
      <c r="N247" t="s">
        <v>3945</v>
      </c>
      <c r="O247" t="s">
        <v>3945</v>
      </c>
      <c r="P247" t="s">
        <v>3946</v>
      </c>
      <c r="Q247" t="s">
        <v>3945</v>
      </c>
      <c r="V247">
        <v>284</v>
      </c>
      <c r="W247">
        <v>1</v>
      </c>
      <c r="X247">
        <v>2017</v>
      </c>
      <c r="Y247">
        <v>2018</v>
      </c>
      <c r="Z247">
        <v>40.82</v>
      </c>
      <c r="AB247" t="s">
        <v>181</v>
      </c>
      <c r="AC247" t="s">
        <v>182</v>
      </c>
      <c r="AD247" t="s">
        <v>1037</v>
      </c>
      <c r="AE247">
        <v>7</v>
      </c>
      <c r="AF247">
        <v>0</v>
      </c>
      <c r="AG247" t="s">
        <v>1038</v>
      </c>
      <c r="AH247">
        <v>0</v>
      </c>
      <c r="AI247">
        <v>203.14</v>
      </c>
      <c r="AJ247">
        <v>79.36</v>
      </c>
      <c r="AK247">
        <v>282.5</v>
      </c>
      <c r="AL247">
        <v>577</v>
      </c>
      <c r="AM247">
        <v>577</v>
      </c>
      <c r="AN247">
        <v>0</v>
      </c>
      <c r="AO247">
        <v>7</v>
      </c>
      <c r="AP247">
        <v>2016</v>
      </c>
      <c r="AQ247">
        <v>7.07</v>
      </c>
      <c r="AR247">
        <v>48.96</v>
      </c>
      <c r="AS247" t="s">
        <v>3888</v>
      </c>
      <c r="AT247" t="s">
        <v>3747</v>
      </c>
      <c r="AU247" t="s">
        <v>177</v>
      </c>
      <c r="AV247" t="s">
        <v>1030</v>
      </c>
      <c r="AW247" t="s">
        <v>182</v>
      </c>
      <c r="AX247">
        <v>0</v>
      </c>
      <c r="AY247" t="s">
        <v>312</v>
      </c>
      <c r="AZ247" t="s">
        <v>199</v>
      </c>
      <c r="BA247" t="s">
        <v>313</v>
      </c>
      <c r="BB247" t="s">
        <v>191</v>
      </c>
      <c r="BC247" t="s">
        <v>182</v>
      </c>
      <c r="BD247" t="s">
        <v>182</v>
      </c>
      <c r="BE247" t="s">
        <v>3930</v>
      </c>
      <c r="BF247">
        <v>0</v>
      </c>
      <c r="BG247">
        <v>0</v>
      </c>
      <c r="BH247">
        <v>0</v>
      </c>
      <c r="BI247" t="s">
        <v>199</v>
      </c>
      <c r="BJ247" t="s">
        <v>315</v>
      </c>
      <c r="BL247" t="s">
        <v>199</v>
      </c>
      <c r="BM247" t="s">
        <v>325</v>
      </c>
      <c r="BN247" t="s">
        <v>182</v>
      </c>
      <c r="BO247" t="s">
        <v>198</v>
      </c>
      <c r="BP247" t="s">
        <v>198</v>
      </c>
      <c r="BQ247" t="s">
        <v>198</v>
      </c>
      <c r="BR247" t="s">
        <v>198</v>
      </c>
      <c r="BS247" t="s">
        <v>198</v>
      </c>
      <c r="BT247" t="s">
        <v>198</v>
      </c>
      <c r="BU247" t="s">
        <v>182</v>
      </c>
      <c r="BV247" t="s">
        <v>198</v>
      </c>
      <c r="BW247" t="s">
        <v>198</v>
      </c>
      <c r="BX247" t="s">
        <v>199</v>
      </c>
      <c r="BY247" t="s">
        <v>198</v>
      </c>
      <c r="BZ247" t="s">
        <v>199</v>
      </c>
      <c r="CA247" t="s">
        <v>199</v>
      </c>
      <c r="CB247" t="s">
        <v>3947</v>
      </c>
      <c r="CC247" t="s">
        <v>201</v>
      </c>
      <c r="CD247" t="s">
        <v>202</v>
      </c>
      <c r="CE247" t="s">
        <v>3948</v>
      </c>
      <c r="CF247" t="s">
        <v>1029</v>
      </c>
      <c r="CG247" t="s">
        <v>177</v>
      </c>
      <c r="CH247" t="s">
        <v>1030</v>
      </c>
      <c r="CI247" t="s">
        <v>3949</v>
      </c>
      <c r="CJ247" t="s">
        <v>2556</v>
      </c>
      <c r="CK247" t="s">
        <v>232</v>
      </c>
      <c r="CL247" t="s">
        <v>233</v>
      </c>
      <c r="CM247" t="s">
        <v>3936</v>
      </c>
      <c r="CN247" t="s">
        <v>482</v>
      </c>
      <c r="CO247" t="s">
        <v>5</v>
      </c>
      <c r="CP247" t="s">
        <v>266</v>
      </c>
      <c r="CS247" t="s">
        <v>198</v>
      </c>
      <c r="CT247" t="s">
        <v>2202</v>
      </c>
      <c r="CU247" t="s">
        <v>292</v>
      </c>
      <c r="CV247" t="s">
        <v>293</v>
      </c>
      <c r="CW247" t="s">
        <v>3937</v>
      </c>
      <c r="CX247" t="s">
        <v>482</v>
      </c>
      <c r="CY247" t="s">
        <v>183</v>
      </c>
      <c r="CZ247" t="s">
        <v>266</v>
      </c>
      <c r="DC247" t="s">
        <v>198</v>
      </c>
      <c r="DD247" t="s">
        <v>3900</v>
      </c>
      <c r="DE247" t="s">
        <v>267</v>
      </c>
      <c r="DF247" t="s">
        <v>268</v>
      </c>
      <c r="DG247" t="s">
        <v>3938</v>
      </c>
      <c r="DH247" t="s">
        <v>1722</v>
      </c>
      <c r="DI247" t="s">
        <v>183</v>
      </c>
      <c r="DJ247" t="s">
        <v>266</v>
      </c>
      <c r="DM247" t="s">
        <v>198</v>
      </c>
      <c r="DN247" t="s">
        <v>2531</v>
      </c>
      <c r="DO247" t="s">
        <v>273</v>
      </c>
      <c r="DP247" t="s">
        <v>274</v>
      </c>
      <c r="DQ247" t="s">
        <v>3939</v>
      </c>
      <c r="DR247" t="s">
        <v>1722</v>
      </c>
      <c r="DS247" t="s">
        <v>183</v>
      </c>
      <c r="DT247" t="s">
        <v>266</v>
      </c>
      <c r="DW247" t="s">
        <v>198</v>
      </c>
      <c r="DX247" t="s">
        <v>2726</v>
      </c>
      <c r="DY247" t="s">
        <v>302</v>
      </c>
      <c r="DZ247" t="s">
        <v>303</v>
      </c>
      <c r="EA247" t="s">
        <v>3940</v>
      </c>
      <c r="EB247" t="s">
        <v>1722</v>
      </c>
      <c r="EC247" t="s">
        <v>183</v>
      </c>
      <c r="ED247" t="s">
        <v>266</v>
      </c>
      <c r="EG247" t="s">
        <v>198</v>
      </c>
      <c r="EH247" t="s">
        <v>3950</v>
      </c>
      <c r="EI247" t="s">
        <v>238</v>
      </c>
      <c r="EJ247" t="s">
        <v>239</v>
      </c>
      <c r="EK247" t="s">
        <v>3942</v>
      </c>
      <c r="EL247" t="s">
        <v>333</v>
      </c>
      <c r="EM247" t="s">
        <v>183</v>
      </c>
      <c r="EN247" t="s">
        <v>266</v>
      </c>
      <c r="EQ247" t="s">
        <v>198</v>
      </c>
      <c r="ER247" t="s">
        <v>3951</v>
      </c>
      <c r="ES247" t="s">
        <v>346</v>
      </c>
      <c r="ET247" t="s">
        <v>347</v>
      </c>
      <c r="EU247" t="s">
        <v>3952</v>
      </c>
      <c r="EV247" t="s">
        <v>482</v>
      </c>
      <c r="EW247" t="s">
        <v>183</v>
      </c>
      <c r="EX247" t="s">
        <v>266</v>
      </c>
      <c r="FA247" t="s">
        <v>198</v>
      </c>
      <c r="FK247" t="s">
        <v>198</v>
      </c>
      <c r="FU247" t="s">
        <v>198</v>
      </c>
    </row>
    <row r="248" spans="1:177">
      <c r="A248" s="1" t="str">
        <f>HYPERLINK("http://digipan.lumentumllc.com/apps/getLink/index.php?t=PropLink&amp;p=6128977","PL")</f>
        <v>PL</v>
      </c>
      <c r="B248" s="1" t="str">
        <f>HYPERLINK("http://digipan.lumentumllc.com/apps/getLink/index.php?t=TaxLink&amp;p=6128977","TL")</f>
        <v>TL</v>
      </c>
      <c r="C248" s="1" t="str">
        <f>HYPERLINK("http://digipan.lumentumllc.com/apps/getMap/index.php?p=6128977","Map")</f>
        <v>Map</v>
      </c>
      <c r="E248" t="s">
        <v>177</v>
      </c>
      <c r="F248" t="s">
        <v>178</v>
      </c>
      <c r="L248" t="s">
        <v>3953</v>
      </c>
      <c r="N248" t="s">
        <v>3953</v>
      </c>
      <c r="O248" t="s">
        <v>3953</v>
      </c>
      <c r="P248" t="s">
        <v>3954</v>
      </c>
      <c r="Q248" t="s">
        <v>3953</v>
      </c>
      <c r="V248">
        <v>285</v>
      </c>
      <c r="W248">
        <v>1</v>
      </c>
      <c r="X248">
        <v>2017</v>
      </c>
      <c r="Y248">
        <v>2018</v>
      </c>
      <c r="Z248">
        <v>71.89</v>
      </c>
      <c r="AB248" t="s">
        <v>181</v>
      </c>
      <c r="AC248" t="s">
        <v>182</v>
      </c>
      <c r="AD248" t="s">
        <v>1037</v>
      </c>
      <c r="AE248">
        <v>6</v>
      </c>
      <c r="AF248">
        <v>0</v>
      </c>
      <c r="AG248" t="s">
        <v>3955</v>
      </c>
      <c r="AH248">
        <v>0</v>
      </c>
      <c r="AI248">
        <v>288.58</v>
      </c>
      <c r="AJ248">
        <v>66.97</v>
      </c>
      <c r="AK248">
        <v>355.55</v>
      </c>
      <c r="AL248">
        <v>3480</v>
      </c>
      <c r="AM248">
        <v>3480</v>
      </c>
      <c r="AN248">
        <v>0</v>
      </c>
      <c r="AO248">
        <v>32</v>
      </c>
      <c r="AP248">
        <v>2016</v>
      </c>
      <c r="AQ248">
        <v>2.0699999999999998</v>
      </c>
      <c r="AR248">
        <v>10.220000000000001</v>
      </c>
      <c r="AS248" t="s">
        <v>3888</v>
      </c>
      <c r="AT248" t="s">
        <v>3747</v>
      </c>
      <c r="AU248" t="s">
        <v>177</v>
      </c>
      <c r="AV248" t="s">
        <v>1030</v>
      </c>
      <c r="AW248" t="s">
        <v>182</v>
      </c>
      <c r="AX248">
        <v>0</v>
      </c>
      <c r="AY248" t="s">
        <v>312</v>
      </c>
      <c r="AZ248" t="s">
        <v>199</v>
      </c>
      <c r="BA248" t="s">
        <v>313</v>
      </c>
      <c r="BB248" t="s">
        <v>191</v>
      </c>
      <c r="BC248" t="s">
        <v>182</v>
      </c>
      <c r="BD248" t="s">
        <v>530</v>
      </c>
      <c r="BE248" t="s">
        <v>3956</v>
      </c>
      <c r="BF248">
        <v>0</v>
      </c>
      <c r="BG248">
        <v>0</v>
      </c>
      <c r="BH248">
        <v>0</v>
      </c>
      <c r="BI248" t="s">
        <v>199</v>
      </c>
      <c r="BJ248" t="s">
        <v>315</v>
      </c>
      <c r="BL248" t="s">
        <v>199</v>
      </c>
      <c r="BM248" t="s">
        <v>3957</v>
      </c>
      <c r="BN248" t="s">
        <v>182</v>
      </c>
      <c r="BO248" t="s">
        <v>198</v>
      </c>
      <c r="BP248" t="s">
        <v>198</v>
      </c>
      <c r="BQ248" t="s">
        <v>198</v>
      </c>
      <c r="BR248" t="s">
        <v>198</v>
      </c>
      <c r="BS248" t="s">
        <v>198</v>
      </c>
      <c r="BT248" t="s">
        <v>198</v>
      </c>
      <c r="BU248" t="s">
        <v>182</v>
      </c>
      <c r="BV248" t="s">
        <v>198</v>
      </c>
      <c r="BW248" t="s">
        <v>198</v>
      </c>
      <c r="BX248" t="s">
        <v>199</v>
      </c>
      <c r="BY248" t="s">
        <v>198</v>
      </c>
      <c r="BZ248" t="s">
        <v>199</v>
      </c>
      <c r="CA248" t="s">
        <v>199</v>
      </c>
      <c r="CB248" t="s">
        <v>3958</v>
      </c>
      <c r="CC248" t="s">
        <v>201</v>
      </c>
      <c r="CD248" t="s">
        <v>182</v>
      </c>
      <c r="CE248" t="s">
        <v>3959</v>
      </c>
      <c r="CF248" t="s">
        <v>3960</v>
      </c>
      <c r="CG248" t="s">
        <v>3961</v>
      </c>
      <c r="CH248" t="s">
        <v>3962</v>
      </c>
      <c r="CI248" t="s">
        <v>3963</v>
      </c>
      <c r="CJ248" t="s">
        <v>2573</v>
      </c>
      <c r="CK248" t="s">
        <v>232</v>
      </c>
      <c r="CL248" t="s">
        <v>233</v>
      </c>
      <c r="CM248" t="s">
        <v>3964</v>
      </c>
      <c r="CN248" t="s">
        <v>482</v>
      </c>
      <c r="CO248" t="s">
        <v>5</v>
      </c>
      <c r="CP248" t="s">
        <v>266</v>
      </c>
      <c r="CS248" t="s">
        <v>198</v>
      </c>
      <c r="CT248" t="s">
        <v>2248</v>
      </c>
      <c r="CU248" t="s">
        <v>292</v>
      </c>
      <c r="CV248" t="s">
        <v>293</v>
      </c>
      <c r="CW248" t="s">
        <v>3965</v>
      </c>
      <c r="CX248" t="s">
        <v>482</v>
      </c>
      <c r="CY248" t="s">
        <v>183</v>
      </c>
      <c r="CZ248" t="s">
        <v>266</v>
      </c>
      <c r="DC248" t="s">
        <v>198</v>
      </c>
      <c r="DD248" t="s">
        <v>2158</v>
      </c>
      <c r="DE248" t="s">
        <v>267</v>
      </c>
      <c r="DF248" t="s">
        <v>268</v>
      </c>
      <c r="DG248" t="s">
        <v>3966</v>
      </c>
      <c r="DH248" t="s">
        <v>1722</v>
      </c>
      <c r="DI248" t="s">
        <v>183</v>
      </c>
      <c r="DJ248" t="s">
        <v>266</v>
      </c>
      <c r="DM248" t="s">
        <v>198</v>
      </c>
      <c r="DN248" t="s">
        <v>2556</v>
      </c>
      <c r="DO248" t="s">
        <v>273</v>
      </c>
      <c r="DP248" t="s">
        <v>274</v>
      </c>
      <c r="DQ248" t="s">
        <v>3967</v>
      </c>
      <c r="DR248" t="s">
        <v>1722</v>
      </c>
      <c r="DS248" t="s">
        <v>183</v>
      </c>
      <c r="DT248" t="s">
        <v>266</v>
      </c>
      <c r="DW248" t="s">
        <v>198</v>
      </c>
      <c r="DX248" t="s">
        <v>2842</v>
      </c>
      <c r="DY248" t="s">
        <v>302</v>
      </c>
      <c r="DZ248" t="s">
        <v>303</v>
      </c>
      <c r="EA248" t="s">
        <v>3968</v>
      </c>
      <c r="EB248" t="s">
        <v>1722</v>
      </c>
      <c r="EC248" t="s">
        <v>183</v>
      </c>
      <c r="ED248" t="s">
        <v>266</v>
      </c>
      <c r="EG248" t="s">
        <v>198</v>
      </c>
      <c r="EH248" t="s">
        <v>3969</v>
      </c>
      <c r="EI248" t="s">
        <v>238</v>
      </c>
      <c r="EJ248" t="s">
        <v>239</v>
      </c>
      <c r="EK248" t="s">
        <v>3970</v>
      </c>
      <c r="EL248" t="s">
        <v>922</v>
      </c>
      <c r="EM248" t="s">
        <v>183</v>
      </c>
      <c r="EN248" t="s">
        <v>266</v>
      </c>
      <c r="EQ248" t="s">
        <v>198</v>
      </c>
      <c r="FA248" t="s">
        <v>198</v>
      </c>
      <c r="FK248" t="s">
        <v>198</v>
      </c>
      <c r="FU248" t="s">
        <v>198</v>
      </c>
    </row>
    <row r="249" spans="1:177">
      <c r="A249" s="1" t="str">
        <f>HYPERLINK("http://digipan.lumentumllc.com/apps/getLink/index.php?t=PropLink&amp;p=7112403","PL")</f>
        <v>PL</v>
      </c>
      <c r="B249" s="1" t="str">
        <f>HYPERLINK("http://digipan.lumentumllc.com/apps/getLink/index.php?t=TaxLink&amp;p=7112403","TL")</f>
        <v>TL</v>
      </c>
      <c r="C249" s="1" t="str">
        <f>HYPERLINK("http://digipan.lumentumllc.com/apps/getMap/index.php?p=7112403","Map")</f>
        <v>Map</v>
      </c>
      <c r="E249" t="s">
        <v>177</v>
      </c>
      <c r="F249" t="s">
        <v>178</v>
      </c>
      <c r="L249" t="s">
        <v>3971</v>
      </c>
      <c r="N249" t="s">
        <v>3971</v>
      </c>
      <c r="O249" t="s">
        <v>3971</v>
      </c>
      <c r="P249" t="s">
        <v>3972</v>
      </c>
      <c r="Q249" t="s">
        <v>3971</v>
      </c>
      <c r="V249">
        <v>286</v>
      </c>
      <c r="W249">
        <v>1</v>
      </c>
      <c r="X249">
        <v>2017</v>
      </c>
      <c r="Y249">
        <v>2018</v>
      </c>
      <c r="Z249">
        <v>58.57</v>
      </c>
      <c r="AB249" t="s">
        <v>181</v>
      </c>
      <c r="AC249" t="s">
        <v>182</v>
      </c>
      <c r="AD249" t="s">
        <v>1037</v>
      </c>
      <c r="AE249">
        <v>2</v>
      </c>
      <c r="AF249">
        <v>0</v>
      </c>
      <c r="AG249" t="s">
        <v>1737</v>
      </c>
      <c r="AH249">
        <v>0</v>
      </c>
      <c r="AI249">
        <v>104.27</v>
      </c>
      <c r="AJ249">
        <v>26.99</v>
      </c>
      <c r="AK249">
        <v>131.26</v>
      </c>
      <c r="AL249">
        <v>1740</v>
      </c>
      <c r="AM249">
        <v>1740</v>
      </c>
      <c r="AN249">
        <v>0</v>
      </c>
      <c r="AO249">
        <v>21</v>
      </c>
      <c r="AP249">
        <v>2016</v>
      </c>
      <c r="AQ249">
        <v>3.37</v>
      </c>
      <c r="AR249">
        <v>7.54</v>
      </c>
      <c r="AS249" t="s">
        <v>3888</v>
      </c>
      <c r="AT249" t="s">
        <v>3747</v>
      </c>
      <c r="AU249" t="s">
        <v>177</v>
      </c>
      <c r="AV249" t="s">
        <v>1030</v>
      </c>
      <c r="AW249" t="s">
        <v>182</v>
      </c>
      <c r="AX249">
        <v>0</v>
      </c>
      <c r="AY249" t="s">
        <v>312</v>
      </c>
      <c r="AZ249" t="s">
        <v>199</v>
      </c>
      <c r="BA249" t="s">
        <v>313</v>
      </c>
      <c r="BB249" t="s">
        <v>191</v>
      </c>
      <c r="BC249" t="s">
        <v>182</v>
      </c>
      <c r="BD249" t="s">
        <v>182</v>
      </c>
      <c r="BE249" t="s">
        <v>3907</v>
      </c>
      <c r="BF249">
        <v>0</v>
      </c>
      <c r="BG249">
        <v>0</v>
      </c>
      <c r="BH249">
        <v>0</v>
      </c>
      <c r="BI249" t="s">
        <v>199</v>
      </c>
      <c r="BJ249" t="s">
        <v>315</v>
      </c>
      <c r="BL249" t="s">
        <v>199</v>
      </c>
      <c r="BM249" t="s">
        <v>3957</v>
      </c>
      <c r="BN249" t="s">
        <v>182</v>
      </c>
      <c r="BO249" t="s">
        <v>198</v>
      </c>
      <c r="BP249" t="s">
        <v>198</v>
      </c>
      <c r="BQ249" t="s">
        <v>198</v>
      </c>
      <c r="BR249" t="s">
        <v>198</v>
      </c>
      <c r="BS249" t="s">
        <v>198</v>
      </c>
      <c r="BT249" t="s">
        <v>198</v>
      </c>
      <c r="BU249" t="s">
        <v>182</v>
      </c>
      <c r="BV249" t="s">
        <v>198</v>
      </c>
      <c r="BW249" t="s">
        <v>198</v>
      </c>
      <c r="BX249" t="s">
        <v>199</v>
      </c>
      <c r="BY249" t="s">
        <v>198</v>
      </c>
      <c r="BZ249" t="s">
        <v>199</v>
      </c>
      <c r="CA249" t="s">
        <v>199</v>
      </c>
      <c r="CB249" t="s">
        <v>3958</v>
      </c>
      <c r="CC249" t="s">
        <v>201</v>
      </c>
      <c r="CD249" t="s">
        <v>182</v>
      </c>
      <c r="CE249" t="s">
        <v>3959</v>
      </c>
      <c r="CF249" t="s">
        <v>3960</v>
      </c>
      <c r="CG249" t="s">
        <v>3961</v>
      </c>
      <c r="CH249" t="s">
        <v>3962</v>
      </c>
      <c r="CI249" t="s">
        <v>3973</v>
      </c>
      <c r="CJ249" t="s">
        <v>2700</v>
      </c>
      <c r="CK249" t="s">
        <v>232</v>
      </c>
      <c r="CL249" t="s">
        <v>233</v>
      </c>
      <c r="CM249" t="s">
        <v>3974</v>
      </c>
      <c r="CN249" t="s">
        <v>482</v>
      </c>
      <c r="CO249" t="s">
        <v>183</v>
      </c>
      <c r="CP249" t="s">
        <v>266</v>
      </c>
      <c r="CS249" t="s">
        <v>198</v>
      </c>
      <c r="CT249" t="s">
        <v>2272</v>
      </c>
      <c r="CU249" t="s">
        <v>292</v>
      </c>
      <c r="CV249" t="s">
        <v>293</v>
      </c>
      <c r="CW249" t="s">
        <v>3975</v>
      </c>
      <c r="CX249" t="s">
        <v>482</v>
      </c>
      <c r="CY249" t="s">
        <v>5</v>
      </c>
      <c r="CZ249" t="s">
        <v>266</v>
      </c>
      <c r="DC249" t="s">
        <v>198</v>
      </c>
      <c r="DM249" t="s">
        <v>198</v>
      </c>
      <c r="DW249" t="s">
        <v>198</v>
      </c>
      <c r="EG249" t="s">
        <v>198</v>
      </c>
      <c r="EQ249" t="s">
        <v>198</v>
      </c>
      <c r="FA249" t="s">
        <v>198</v>
      </c>
      <c r="FK249" t="s">
        <v>198</v>
      </c>
      <c r="FU249" t="s">
        <v>198</v>
      </c>
    </row>
    <row r="250" spans="1:177">
      <c r="A250" s="1" t="str">
        <f>HYPERLINK("http://digipan.lumentumllc.com/apps/getLink/index.php?t=PropLink&amp;p=15746008","PL")</f>
        <v>PL</v>
      </c>
      <c r="B250" s="1" t="str">
        <f>HYPERLINK("http://digipan.lumentumllc.com/apps/getLink/index.php?t=TaxLink&amp;p=15746008","TL")</f>
        <v>TL</v>
      </c>
      <c r="C250" s="1" t="str">
        <f>HYPERLINK("http://digipan.lumentumllc.com/apps/getMap/index.php?p=15746008","Map")</f>
        <v>Map</v>
      </c>
      <c r="E250" t="s">
        <v>177</v>
      </c>
      <c r="F250" t="s">
        <v>178</v>
      </c>
      <c r="L250" t="s">
        <v>3976</v>
      </c>
      <c r="N250" t="s">
        <v>3976</v>
      </c>
      <c r="O250" t="s">
        <v>3976</v>
      </c>
      <c r="Q250" t="s">
        <v>3976</v>
      </c>
      <c r="V250">
        <v>287</v>
      </c>
      <c r="W250">
        <v>1</v>
      </c>
      <c r="X250">
        <v>2017</v>
      </c>
      <c r="Y250">
        <v>2018</v>
      </c>
      <c r="Z250">
        <v>2077.56</v>
      </c>
      <c r="AG250" t="s">
        <v>184</v>
      </c>
      <c r="AH250">
        <v>0</v>
      </c>
      <c r="AK250">
        <v>0</v>
      </c>
      <c r="AL250">
        <v>124939</v>
      </c>
      <c r="AM250">
        <v>60000</v>
      </c>
      <c r="AN250">
        <v>64939</v>
      </c>
      <c r="AO250">
        <v>92</v>
      </c>
      <c r="AP250">
        <v>2016</v>
      </c>
      <c r="AQ250">
        <v>1.66</v>
      </c>
      <c r="AS250" t="s">
        <v>3977</v>
      </c>
      <c r="AT250" t="s">
        <v>3747</v>
      </c>
      <c r="AU250" t="s">
        <v>177</v>
      </c>
      <c r="AV250" t="s">
        <v>1030</v>
      </c>
      <c r="AW250" t="s">
        <v>182</v>
      </c>
      <c r="AX250">
        <v>2</v>
      </c>
      <c r="AY250" t="s">
        <v>188</v>
      </c>
      <c r="AZ250" t="s">
        <v>189</v>
      </c>
      <c r="BA250" t="s">
        <v>190</v>
      </c>
      <c r="BB250" t="s">
        <v>191</v>
      </c>
      <c r="BC250" t="s">
        <v>182</v>
      </c>
      <c r="BD250" t="s">
        <v>182</v>
      </c>
      <c r="BE250" t="s">
        <v>576</v>
      </c>
      <c r="BF250">
        <v>1</v>
      </c>
      <c r="BG250">
        <v>1</v>
      </c>
      <c r="BH250">
        <v>2016</v>
      </c>
      <c r="BI250" t="s">
        <v>1143</v>
      </c>
      <c r="BJ250" t="s">
        <v>194</v>
      </c>
      <c r="BK250" t="s">
        <v>195</v>
      </c>
      <c r="BL250" t="s">
        <v>199</v>
      </c>
      <c r="BM250" t="s">
        <v>232</v>
      </c>
      <c r="BN250" t="s">
        <v>182</v>
      </c>
      <c r="BO250" t="s">
        <v>198</v>
      </c>
      <c r="BP250" t="s">
        <v>198</v>
      </c>
      <c r="BQ250" t="s">
        <v>198</v>
      </c>
      <c r="BR250" t="s">
        <v>198</v>
      </c>
      <c r="BS250" t="s">
        <v>198</v>
      </c>
      <c r="BT250" t="s">
        <v>198</v>
      </c>
      <c r="BU250" t="s">
        <v>182</v>
      </c>
      <c r="BV250" t="s">
        <v>198</v>
      </c>
      <c r="BW250" t="s">
        <v>198</v>
      </c>
      <c r="BX250" t="s">
        <v>199</v>
      </c>
      <c r="BY250" t="s">
        <v>198</v>
      </c>
      <c r="BZ250" t="s">
        <v>199</v>
      </c>
      <c r="CA250" t="s">
        <v>199</v>
      </c>
      <c r="CB250" t="s">
        <v>3978</v>
      </c>
      <c r="CC250" t="s">
        <v>201</v>
      </c>
      <c r="CD250" t="s">
        <v>202</v>
      </c>
      <c r="CE250" t="s">
        <v>3979</v>
      </c>
      <c r="CF250" t="s">
        <v>1029</v>
      </c>
      <c r="CG250" t="s">
        <v>177</v>
      </c>
      <c r="CH250" t="s">
        <v>1030</v>
      </c>
      <c r="CI250" t="s">
        <v>3980</v>
      </c>
      <c r="CS250" t="s">
        <v>198</v>
      </c>
      <c r="DC250" t="s">
        <v>198</v>
      </c>
      <c r="DM250" t="s">
        <v>198</v>
      </c>
      <c r="DW250" t="s">
        <v>198</v>
      </c>
      <c r="EG250" t="s">
        <v>198</v>
      </c>
      <c r="EQ250" t="s">
        <v>198</v>
      </c>
      <c r="FA250" t="s">
        <v>198</v>
      </c>
      <c r="FK250" t="s">
        <v>198</v>
      </c>
      <c r="FU250" t="s">
        <v>198</v>
      </c>
    </row>
    <row r="251" spans="1:177">
      <c r="A251" s="1" t="str">
        <f>HYPERLINK("http://digipan.lumentumllc.com/apps/getLink/index.php?t=PropLink&amp;p=6594174","PL")</f>
        <v>PL</v>
      </c>
      <c r="B251" s="1" t="str">
        <f>HYPERLINK("http://digipan.lumentumllc.com/apps/getLink/index.php?t=TaxLink&amp;p=6594174","TL")</f>
        <v>TL</v>
      </c>
      <c r="C251" s="1" t="str">
        <f>HYPERLINK("http://digipan.lumentumllc.com/apps/getMap/index.php?p=6594174","Map")</f>
        <v>Map</v>
      </c>
      <c r="E251" t="s">
        <v>177</v>
      </c>
      <c r="F251" t="s">
        <v>178</v>
      </c>
      <c r="L251" t="s">
        <v>3981</v>
      </c>
      <c r="N251" t="s">
        <v>3981</v>
      </c>
      <c r="O251" t="s">
        <v>3981</v>
      </c>
      <c r="P251" t="s">
        <v>3982</v>
      </c>
      <c r="Q251" t="s">
        <v>3981</v>
      </c>
      <c r="V251">
        <v>288</v>
      </c>
      <c r="W251">
        <v>1</v>
      </c>
      <c r="X251">
        <v>2017</v>
      </c>
      <c r="Y251">
        <v>2018</v>
      </c>
      <c r="Z251">
        <v>1499.22</v>
      </c>
      <c r="AB251" t="s">
        <v>181</v>
      </c>
      <c r="AC251" t="s">
        <v>182</v>
      </c>
      <c r="AD251" t="s">
        <v>183</v>
      </c>
      <c r="AE251">
        <v>1</v>
      </c>
      <c r="AF251">
        <v>3</v>
      </c>
      <c r="AG251" t="s">
        <v>257</v>
      </c>
      <c r="AH251">
        <v>75</v>
      </c>
      <c r="AI251">
        <v>1428.14</v>
      </c>
      <c r="AJ251">
        <v>71.41</v>
      </c>
      <c r="AK251">
        <v>1499.55</v>
      </c>
      <c r="AL251">
        <v>89614</v>
      </c>
      <c r="AM251">
        <v>60000</v>
      </c>
      <c r="AN251">
        <v>29614</v>
      </c>
      <c r="AO251">
        <v>1296</v>
      </c>
      <c r="AP251">
        <v>2016</v>
      </c>
      <c r="AQ251">
        <v>1.67</v>
      </c>
      <c r="AR251">
        <v>1.67</v>
      </c>
      <c r="AS251" t="s">
        <v>3983</v>
      </c>
      <c r="AT251" t="s">
        <v>3747</v>
      </c>
      <c r="AU251" t="s">
        <v>177</v>
      </c>
      <c r="AV251" t="s">
        <v>1030</v>
      </c>
      <c r="AW251" t="s">
        <v>182</v>
      </c>
      <c r="AX251">
        <v>2</v>
      </c>
      <c r="AY251" t="s">
        <v>188</v>
      </c>
      <c r="AZ251" t="s">
        <v>189</v>
      </c>
      <c r="BA251" t="s">
        <v>190</v>
      </c>
      <c r="BB251" t="s">
        <v>191</v>
      </c>
      <c r="BC251" t="s">
        <v>182</v>
      </c>
      <c r="BD251" t="s">
        <v>182</v>
      </c>
      <c r="BE251" t="s">
        <v>576</v>
      </c>
      <c r="BF251">
        <v>1</v>
      </c>
      <c r="BG251">
        <v>1</v>
      </c>
      <c r="BH251">
        <v>1999</v>
      </c>
      <c r="BI251" t="s">
        <v>1271</v>
      </c>
      <c r="BJ251" t="s">
        <v>194</v>
      </c>
      <c r="BK251" t="s">
        <v>195</v>
      </c>
      <c r="BL251" t="s">
        <v>3984</v>
      </c>
      <c r="BM251" t="s">
        <v>273</v>
      </c>
      <c r="BN251" t="s">
        <v>182</v>
      </c>
      <c r="BO251" t="s">
        <v>198</v>
      </c>
      <c r="BP251" t="s">
        <v>198</v>
      </c>
      <c r="BQ251" t="s">
        <v>198</v>
      </c>
      <c r="BR251" t="s">
        <v>198</v>
      </c>
      <c r="BS251" t="s">
        <v>198</v>
      </c>
      <c r="BT251" t="s">
        <v>198</v>
      </c>
      <c r="BU251" t="s">
        <v>182</v>
      </c>
      <c r="BV251" t="s">
        <v>198</v>
      </c>
      <c r="BW251" t="s">
        <v>198</v>
      </c>
      <c r="BX251" t="s">
        <v>199</v>
      </c>
      <c r="BY251" t="s">
        <v>198</v>
      </c>
      <c r="BZ251" t="s">
        <v>199</v>
      </c>
      <c r="CA251" t="s">
        <v>199</v>
      </c>
      <c r="CB251" t="s">
        <v>3985</v>
      </c>
      <c r="CC251" t="s">
        <v>201</v>
      </c>
      <c r="CD251" t="s">
        <v>182</v>
      </c>
      <c r="CE251" t="s">
        <v>3986</v>
      </c>
      <c r="CF251" t="s">
        <v>413</v>
      </c>
      <c r="CG251" t="s">
        <v>177</v>
      </c>
      <c r="CH251" t="s">
        <v>3987</v>
      </c>
      <c r="CI251" t="s">
        <v>3988</v>
      </c>
      <c r="CJ251" t="s">
        <v>2634</v>
      </c>
      <c r="CK251" t="s">
        <v>232</v>
      </c>
      <c r="CL251" t="s">
        <v>233</v>
      </c>
      <c r="CM251" t="s">
        <v>3989</v>
      </c>
      <c r="CN251" t="s">
        <v>235</v>
      </c>
      <c r="CO251" t="s">
        <v>183</v>
      </c>
      <c r="CP251" t="s">
        <v>266</v>
      </c>
      <c r="CS251" t="s">
        <v>198</v>
      </c>
      <c r="CT251" t="s">
        <v>3990</v>
      </c>
      <c r="CU251" t="s">
        <v>292</v>
      </c>
      <c r="CV251" t="s">
        <v>293</v>
      </c>
      <c r="CW251" t="s">
        <v>3991</v>
      </c>
      <c r="CX251" t="s">
        <v>331</v>
      </c>
      <c r="CY251" t="s">
        <v>183</v>
      </c>
      <c r="CZ251" t="s">
        <v>211</v>
      </c>
      <c r="DA251" t="s">
        <v>199</v>
      </c>
      <c r="DC251" t="s">
        <v>3992</v>
      </c>
      <c r="DD251" t="s">
        <v>2272</v>
      </c>
      <c r="DE251" t="s">
        <v>267</v>
      </c>
      <c r="DF251" t="s">
        <v>268</v>
      </c>
      <c r="DG251" t="s">
        <v>3993</v>
      </c>
      <c r="DH251" t="s">
        <v>235</v>
      </c>
      <c r="DI251" t="s">
        <v>183</v>
      </c>
      <c r="DJ251" t="s">
        <v>211</v>
      </c>
      <c r="DK251" t="s">
        <v>427</v>
      </c>
      <c r="DM251" t="s">
        <v>3992</v>
      </c>
      <c r="DN251" t="s">
        <v>2700</v>
      </c>
      <c r="DO251" t="s">
        <v>273</v>
      </c>
      <c r="DP251" t="s">
        <v>274</v>
      </c>
      <c r="DQ251" t="s">
        <v>3994</v>
      </c>
      <c r="DR251" t="s">
        <v>486</v>
      </c>
      <c r="DS251" t="s">
        <v>183</v>
      </c>
      <c r="DT251" t="s">
        <v>211</v>
      </c>
      <c r="DU251" t="s">
        <v>633</v>
      </c>
      <c r="DW251" t="s">
        <v>3992</v>
      </c>
      <c r="EG251" t="s">
        <v>198</v>
      </c>
      <c r="EQ251" t="s">
        <v>198</v>
      </c>
      <c r="FA251" t="s">
        <v>198</v>
      </c>
      <c r="FK251" t="s">
        <v>198</v>
      </c>
      <c r="FU251" t="s">
        <v>198</v>
      </c>
    </row>
    <row r="252" spans="1:177">
      <c r="A252" s="1" t="str">
        <f>HYPERLINK("http://digipan.lumentumllc.com/apps/getLink/index.php?t=PropLink&amp;p=15746010","PL")</f>
        <v>PL</v>
      </c>
      <c r="B252" s="1" t="str">
        <f>HYPERLINK("http://digipan.lumentumllc.com/apps/getLink/index.php?t=TaxLink&amp;p=15746010","TL")</f>
        <v>TL</v>
      </c>
      <c r="C252" s="1" t="str">
        <f>HYPERLINK("http://digipan.lumentumllc.com/apps/getMap/index.php?p=15746010","Map")</f>
        <v>Map</v>
      </c>
      <c r="E252" t="s">
        <v>177</v>
      </c>
      <c r="F252" t="s">
        <v>178</v>
      </c>
      <c r="L252" t="s">
        <v>3995</v>
      </c>
      <c r="N252" t="s">
        <v>3995</v>
      </c>
      <c r="O252" t="s">
        <v>3995</v>
      </c>
      <c r="Q252" t="s">
        <v>3995</v>
      </c>
      <c r="V252">
        <v>289</v>
      </c>
      <c r="W252">
        <v>1</v>
      </c>
      <c r="X252">
        <v>2017</v>
      </c>
      <c r="Y252">
        <v>2018</v>
      </c>
      <c r="Z252">
        <v>2781.02</v>
      </c>
      <c r="AG252" t="s">
        <v>184</v>
      </c>
      <c r="AH252">
        <v>0</v>
      </c>
      <c r="AK252">
        <v>0</v>
      </c>
      <c r="AL252">
        <v>169767</v>
      </c>
      <c r="AM252">
        <v>36560</v>
      </c>
      <c r="AN252">
        <v>133207</v>
      </c>
      <c r="AO252">
        <v>2323</v>
      </c>
      <c r="AP252">
        <v>2016</v>
      </c>
      <c r="AQ252">
        <v>1.64</v>
      </c>
      <c r="AS252" t="s">
        <v>3996</v>
      </c>
      <c r="AT252" t="s">
        <v>3747</v>
      </c>
      <c r="AU252" t="s">
        <v>177</v>
      </c>
      <c r="AV252" t="s">
        <v>1030</v>
      </c>
      <c r="AW252" t="s">
        <v>182</v>
      </c>
      <c r="AX252">
        <v>1</v>
      </c>
      <c r="AY252" t="s">
        <v>188</v>
      </c>
      <c r="AZ252" t="s">
        <v>206</v>
      </c>
      <c r="BA252" t="s">
        <v>355</v>
      </c>
      <c r="BB252" t="s">
        <v>191</v>
      </c>
      <c r="BC252" t="s">
        <v>182</v>
      </c>
      <c r="BD252" t="s">
        <v>182</v>
      </c>
      <c r="BE252" t="s">
        <v>3997</v>
      </c>
      <c r="BF252">
        <v>1</v>
      </c>
      <c r="BG252">
        <v>1</v>
      </c>
      <c r="BH252">
        <v>2012</v>
      </c>
      <c r="BI252" t="s">
        <v>3998</v>
      </c>
      <c r="BJ252" t="s">
        <v>315</v>
      </c>
      <c r="BK252" t="s">
        <v>195</v>
      </c>
      <c r="BL252" t="s">
        <v>199</v>
      </c>
      <c r="BM252" t="s">
        <v>292</v>
      </c>
      <c r="BN252" t="s">
        <v>182</v>
      </c>
      <c r="BO252" t="s">
        <v>198</v>
      </c>
      <c r="BP252" t="s">
        <v>198</v>
      </c>
      <c r="BQ252" t="s">
        <v>198</v>
      </c>
      <c r="BR252" t="s">
        <v>198</v>
      </c>
      <c r="BS252" t="s">
        <v>198</v>
      </c>
      <c r="BT252" t="s">
        <v>198</v>
      </c>
      <c r="BU252" t="s">
        <v>182</v>
      </c>
      <c r="BV252" t="s">
        <v>198</v>
      </c>
      <c r="BW252" t="s">
        <v>198</v>
      </c>
      <c r="BX252" t="s">
        <v>199</v>
      </c>
      <c r="BY252" t="s">
        <v>198</v>
      </c>
      <c r="BZ252" t="s">
        <v>199</v>
      </c>
      <c r="CA252" t="s">
        <v>199</v>
      </c>
      <c r="CB252" t="s">
        <v>3999</v>
      </c>
      <c r="CC252" t="s">
        <v>201</v>
      </c>
      <c r="CD252" t="s">
        <v>182</v>
      </c>
      <c r="CE252" t="s">
        <v>4000</v>
      </c>
      <c r="CF252" t="s">
        <v>1029</v>
      </c>
      <c r="CG252" t="s">
        <v>177</v>
      </c>
      <c r="CH252" t="s">
        <v>1030</v>
      </c>
      <c r="CI252" t="s">
        <v>4001</v>
      </c>
      <c r="CS252" t="s">
        <v>198</v>
      </c>
      <c r="DC252" t="s">
        <v>198</v>
      </c>
      <c r="DM252" t="s">
        <v>198</v>
      </c>
      <c r="DW252" t="s">
        <v>198</v>
      </c>
      <c r="EG252" t="s">
        <v>198</v>
      </c>
      <c r="EQ252" t="s">
        <v>198</v>
      </c>
      <c r="FA252" t="s">
        <v>198</v>
      </c>
      <c r="FK252" t="s">
        <v>198</v>
      </c>
      <c r="FU252" t="s">
        <v>198</v>
      </c>
    </row>
    <row r="253" spans="1:177">
      <c r="A253" s="1" t="str">
        <f>HYPERLINK("http://digipan.lumentumllc.com/apps/getLink/index.php?t=PropLink&amp;p=41029570","PL")</f>
        <v>PL</v>
      </c>
      <c r="B253" s="1" t="str">
        <f>HYPERLINK("http://digipan.lumentumllc.com/apps/getLink/index.php?t=TaxLink&amp;p=41029570","TL")</f>
        <v>TL</v>
      </c>
      <c r="C253" s="1" t="str">
        <f>HYPERLINK("","")</f>
        <v/>
      </c>
      <c r="E253" t="s">
        <v>177</v>
      </c>
      <c r="F253" t="s">
        <v>178</v>
      </c>
      <c r="L253" t="s">
        <v>4002</v>
      </c>
      <c r="N253" t="s">
        <v>4002</v>
      </c>
      <c r="O253" t="s">
        <v>4002</v>
      </c>
      <c r="Q253" t="s">
        <v>4002</v>
      </c>
      <c r="V253">
        <v>290</v>
      </c>
      <c r="W253">
        <v>1</v>
      </c>
      <c r="X253">
        <v>2017</v>
      </c>
      <c r="Y253">
        <v>2018</v>
      </c>
      <c r="Z253">
        <v>93.39</v>
      </c>
      <c r="AG253" t="s">
        <v>184</v>
      </c>
      <c r="AH253">
        <v>0</v>
      </c>
      <c r="AK253">
        <v>0</v>
      </c>
      <c r="AL253">
        <v>3750</v>
      </c>
      <c r="AM253">
        <v>3750</v>
      </c>
      <c r="AN253">
        <v>0</v>
      </c>
      <c r="AQ253">
        <v>2.4900000000000002</v>
      </c>
      <c r="AS253" t="s">
        <v>4003</v>
      </c>
      <c r="AT253" t="s">
        <v>3747</v>
      </c>
      <c r="AU253" t="s">
        <v>177</v>
      </c>
      <c r="AV253" t="s">
        <v>1030</v>
      </c>
      <c r="AW253" t="s">
        <v>182</v>
      </c>
      <c r="AX253">
        <v>0</v>
      </c>
      <c r="AY253" t="s">
        <v>312</v>
      </c>
      <c r="AZ253" t="s">
        <v>199</v>
      </c>
      <c r="BA253" t="s">
        <v>313</v>
      </c>
      <c r="BB253" t="s">
        <v>191</v>
      </c>
      <c r="BC253" t="s">
        <v>202</v>
      </c>
      <c r="BD253" t="s">
        <v>182</v>
      </c>
      <c r="BE253" t="s">
        <v>235</v>
      </c>
      <c r="BI253" t="s">
        <v>199</v>
      </c>
      <c r="BN253" t="s">
        <v>182</v>
      </c>
      <c r="BO253" t="s">
        <v>198</v>
      </c>
      <c r="BP253" t="s">
        <v>198</v>
      </c>
      <c r="BQ253" t="s">
        <v>198</v>
      </c>
      <c r="BR253" t="s">
        <v>198</v>
      </c>
      <c r="BS253" t="s">
        <v>198</v>
      </c>
      <c r="BT253" t="s">
        <v>198</v>
      </c>
      <c r="BU253" t="s">
        <v>182</v>
      </c>
      <c r="BV253" t="s">
        <v>198</v>
      </c>
      <c r="BW253" t="s">
        <v>198</v>
      </c>
      <c r="BX253" t="s">
        <v>199</v>
      </c>
      <c r="BY253" t="s">
        <v>198</v>
      </c>
      <c r="CB253" t="s">
        <v>4004</v>
      </c>
      <c r="CC253" t="s">
        <v>201</v>
      </c>
      <c r="CD253" t="s">
        <v>182</v>
      </c>
      <c r="CE253" t="s">
        <v>4005</v>
      </c>
      <c r="CF253" t="s">
        <v>1029</v>
      </c>
      <c r="CG253" t="s">
        <v>177</v>
      </c>
      <c r="CH253" t="s">
        <v>1030</v>
      </c>
      <c r="CI253" t="s">
        <v>4001</v>
      </c>
      <c r="CS253" t="s">
        <v>198</v>
      </c>
      <c r="DC253" t="s">
        <v>198</v>
      </c>
      <c r="DM253" t="s">
        <v>198</v>
      </c>
      <c r="DW253" t="s">
        <v>198</v>
      </c>
      <c r="EG253" t="s">
        <v>198</v>
      </c>
      <c r="EQ253" t="s">
        <v>198</v>
      </c>
      <c r="FA253" t="s">
        <v>198</v>
      </c>
      <c r="FK253" t="s">
        <v>198</v>
      </c>
      <c r="FU253" t="s">
        <v>198</v>
      </c>
    </row>
    <row r="254" spans="1:177">
      <c r="A254" s="1" t="str">
        <f>HYPERLINK("http://digipan.lumentumllc.com/apps/getLink/index.php?t=PropLink&amp;p=15746284","PL")</f>
        <v>PL</v>
      </c>
      <c r="B254" s="1" t="str">
        <f>HYPERLINK("http://digipan.lumentumllc.com/apps/getLink/index.php?t=TaxLink&amp;p=15746284","TL")</f>
        <v>TL</v>
      </c>
      <c r="C254" s="1" t="str">
        <f>HYPERLINK("http://digipan.lumentumllc.com/apps/getMap/index.php?p=15746284","Map")</f>
        <v>Map</v>
      </c>
      <c r="E254" t="s">
        <v>177</v>
      </c>
      <c r="F254" t="s">
        <v>178</v>
      </c>
      <c r="L254" t="s">
        <v>4006</v>
      </c>
      <c r="N254" t="s">
        <v>4006</v>
      </c>
      <c r="O254" t="s">
        <v>4006</v>
      </c>
      <c r="Q254" t="s">
        <v>4006</v>
      </c>
      <c r="V254">
        <v>291</v>
      </c>
      <c r="W254">
        <v>1</v>
      </c>
      <c r="X254">
        <v>2017</v>
      </c>
      <c r="Y254">
        <v>2018</v>
      </c>
      <c r="Z254">
        <v>673.07</v>
      </c>
      <c r="AB254" t="s">
        <v>181</v>
      </c>
      <c r="AC254" t="s">
        <v>182</v>
      </c>
      <c r="AD254" t="s">
        <v>183</v>
      </c>
      <c r="AE254">
        <v>1</v>
      </c>
      <c r="AF254">
        <v>0</v>
      </c>
      <c r="AG254" t="s">
        <v>1200</v>
      </c>
      <c r="AH254">
        <v>0</v>
      </c>
      <c r="AI254">
        <v>730.72</v>
      </c>
      <c r="AJ254">
        <v>36.54</v>
      </c>
      <c r="AK254">
        <v>767.26</v>
      </c>
      <c r="AL254">
        <v>39155</v>
      </c>
      <c r="AM254">
        <v>26320</v>
      </c>
      <c r="AN254">
        <v>12835</v>
      </c>
      <c r="AO254">
        <v>651</v>
      </c>
      <c r="AP254">
        <v>2016</v>
      </c>
      <c r="AQ254">
        <v>1.72</v>
      </c>
      <c r="AR254">
        <v>1.96</v>
      </c>
      <c r="AS254" t="s">
        <v>4007</v>
      </c>
      <c r="AT254" t="s">
        <v>3747</v>
      </c>
      <c r="AU254" t="s">
        <v>177</v>
      </c>
      <c r="AV254" t="s">
        <v>1030</v>
      </c>
      <c r="AW254" t="s">
        <v>182</v>
      </c>
      <c r="AX254">
        <v>2</v>
      </c>
      <c r="AY254" t="s">
        <v>188</v>
      </c>
      <c r="AZ254" t="s">
        <v>189</v>
      </c>
      <c r="BA254" t="s">
        <v>190</v>
      </c>
      <c r="BB254" t="s">
        <v>191</v>
      </c>
      <c r="BC254" t="s">
        <v>182</v>
      </c>
      <c r="BD254" t="s">
        <v>182</v>
      </c>
      <c r="BE254" t="s">
        <v>2254</v>
      </c>
      <c r="BF254">
        <v>1</v>
      </c>
      <c r="BG254">
        <v>1</v>
      </c>
      <c r="BH254">
        <v>1968</v>
      </c>
      <c r="BI254" t="s">
        <v>4008</v>
      </c>
      <c r="BJ254" t="s">
        <v>194</v>
      </c>
      <c r="BK254" t="s">
        <v>195</v>
      </c>
      <c r="BL254" t="s">
        <v>4009</v>
      </c>
      <c r="BM254" t="s">
        <v>501</v>
      </c>
      <c r="BN254" t="s">
        <v>182</v>
      </c>
      <c r="BO254" t="s">
        <v>198</v>
      </c>
      <c r="BP254" t="s">
        <v>198</v>
      </c>
      <c r="BQ254" t="s">
        <v>198</v>
      </c>
      <c r="BR254" t="s">
        <v>198</v>
      </c>
      <c r="BS254" t="s">
        <v>198</v>
      </c>
      <c r="BT254" t="s">
        <v>198</v>
      </c>
      <c r="BU254" t="s">
        <v>182</v>
      </c>
      <c r="BV254" t="s">
        <v>198</v>
      </c>
      <c r="BW254" t="s">
        <v>198</v>
      </c>
      <c r="BX254" t="s">
        <v>199</v>
      </c>
      <c r="BY254" t="s">
        <v>198</v>
      </c>
      <c r="BZ254" t="s">
        <v>199</v>
      </c>
      <c r="CA254" t="s">
        <v>199</v>
      </c>
      <c r="CB254" t="s">
        <v>4010</v>
      </c>
      <c r="CC254" t="s">
        <v>201</v>
      </c>
      <c r="CD254" t="s">
        <v>202</v>
      </c>
      <c r="CE254" t="s">
        <v>4011</v>
      </c>
      <c r="CF254" t="s">
        <v>1029</v>
      </c>
      <c r="CG254" t="s">
        <v>177</v>
      </c>
      <c r="CH254" t="s">
        <v>1030</v>
      </c>
      <c r="CI254" t="s">
        <v>4012</v>
      </c>
      <c r="CJ254" t="s">
        <v>4013</v>
      </c>
      <c r="CK254" t="s">
        <v>232</v>
      </c>
      <c r="CL254" t="s">
        <v>233</v>
      </c>
      <c r="CM254" t="s">
        <v>4014</v>
      </c>
      <c r="CN254" t="s">
        <v>235</v>
      </c>
      <c r="CO254" t="s">
        <v>183</v>
      </c>
      <c r="CP254" t="s">
        <v>266</v>
      </c>
      <c r="CS254" t="s">
        <v>198</v>
      </c>
      <c r="DC254" t="s">
        <v>198</v>
      </c>
      <c r="DM254" t="s">
        <v>198</v>
      </c>
      <c r="DW254" t="s">
        <v>198</v>
      </c>
      <c r="EG254" t="s">
        <v>198</v>
      </c>
      <c r="EQ254" t="s">
        <v>198</v>
      </c>
      <c r="FA254" t="s">
        <v>198</v>
      </c>
      <c r="FK254" t="s">
        <v>198</v>
      </c>
      <c r="FU254" t="s">
        <v>198</v>
      </c>
    </row>
    <row r="255" spans="1:177">
      <c r="A255" s="1" t="str">
        <f>HYPERLINK("http://digipan.lumentumllc.com/apps/getLink/index.php?t=PropLink&amp;p=6886700","PL")</f>
        <v>PL</v>
      </c>
      <c r="B255" s="1" t="str">
        <f>HYPERLINK("http://digipan.lumentumllc.com/apps/getLink/index.php?t=TaxLink&amp;p=6886700","TL")</f>
        <v>TL</v>
      </c>
      <c r="C255" s="1" t="str">
        <f>HYPERLINK("http://digipan.lumentumllc.com/apps/getMap/index.php?p=6886700","Map")</f>
        <v>Map</v>
      </c>
      <c r="E255" t="s">
        <v>177</v>
      </c>
      <c r="F255" t="s">
        <v>178</v>
      </c>
      <c r="L255" t="s">
        <v>4015</v>
      </c>
      <c r="N255" t="s">
        <v>4015</v>
      </c>
      <c r="O255" t="s">
        <v>4015</v>
      </c>
      <c r="P255" t="s">
        <v>4016</v>
      </c>
      <c r="Q255" t="s">
        <v>4015</v>
      </c>
      <c r="V255">
        <v>292</v>
      </c>
      <c r="W255">
        <v>1</v>
      </c>
      <c r="X255">
        <v>2017</v>
      </c>
      <c r="Y255">
        <v>2018</v>
      </c>
      <c r="Z255">
        <v>527.66</v>
      </c>
      <c r="AB255" t="s">
        <v>181</v>
      </c>
      <c r="AC255" t="s">
        <v>182</v>
      </c>
      <c r="AD255" t="s">
        <v>183</v>
      </c>
      <c r="AE255">
        <v>0</v>
      </c>
      <c r="AF255">
        <v>2</v>
      </c>
      <c r="AG255" t="s">
        <v>216</v>
      </c>
      <c r="AH255">
        <v>100</v>
      </c>
      <c r="AK255">
        <v>0</v>
      </c>
      <c r="AL255">
        <v>70126</v>
      </c>
      <c r="AM255">
        <v>30000</v>
      </c>
      <c r="AN255">
        <v>40126</v>
      </c>
      <c r="AO255">
        <v>457</v>
      </c>
      <c r="AP255">
        <v>2016</v>
      </c>
      <c r="AQ255">
        <v>0.75</v>
      </c>
      <c r="AS255" t="s">
        <v>4017</v>
      </c>
      <c r="AT255" t="s">
        <v>3747</v>
      </c>
      <c r="AU255" t="s">
        <v>177</v>
      </c>
      <c r="AV255" t="s">
        <v>1030</v>
      </c>
      <c r="AW255" t="s">
        <v>202</v>
      </c>
      <c r="AX255">
        <v>1</v>
      </c>
      <c r="AY255" t="s">
        <v>188</v>
      </c>
      <c r="AZ255" t="s">
        <v>206</v>
      </c>
      <c r="BA255" t="s">
        <v>355</v>
      </c>
      <c r="BB255" t="s">
        <v>191</v>
      </c>
      <c r="BC255" t="s">
        <v>182</v>
      </c>
      <c r="BD255" t="s">
        <v>182</v>
      </c>
      <c r="BE255" t="s">
        <v>838</v>
      </c>
      <c r="BF255">
        <v>1</v>
      </c>
      <c r="BG255">
        <v>1</v>
      </c>
      <c r="BH255">
        <v>1971</v>
      </c>
      <c r="BI255" t="s">
        <v>4018</v>
      </c>
      <c r="BJ255" t="s">
        <v>194</v>
      </c>
      <c r="BK255" t="s">
        <v>195</v>
      </c>
      <c r="BL255" t="s">
        <v>2050</v>
      </c>
      <c r="BM255" t="s">
        <v>410</v>
      </c>
      <c r="BN255" t="s">
        <v>182</v>
      </c>
      <c r="BO255" t="s">
        <v>198</v>
      </c>
      <c r="BP255" t="s">
        <v>198</v>
      </c>
      <c r="BQ255" t="s">
        <v>198</v>
      </c>
      <c r="BR255" t="s">
        <v>198</v>
      </c>
      <c r="BS255" t="s">
        <v>198</v>
      </c>
      <c r="BT255" t="s">
        <v>198</v>
      </c>
      <c r="BU255" t="s">
        <v>182</v>
      </c>
      <c r="BV255" t="s">
        <v>198</v>
      </c>
      <c r="BW255" t="s">
        <v>198</v>
      </c>
      <c r="BX255" t="s">
        <v>199</v>
      </c>
      <c r="BY255" t="s">
        <v>198</v>
      </c>
      <c r="BZ255" t="s">
        <v>199</v>
      </c>
      <c r="CA255" t="s">
        <v>199</v>
      </c>
      <c r="CB255" t="s">
        <v>4019</v>
      </c>
      <c r="CC255" t="s">
        <v>201</v>
      </c>
      <c r="CD255" t="s">
        <v>182</v>
      </c>
      <c r="CE255" t="s">
        <v>4020</v>
      </c>
      <c r="CF255" t="s">
        <v>1029</v>
      </c>
      <c r="CG255" t="s">
        <v>177</v>
      </c>
      <c r="CH255" t="s">
        <v>1030</v>
      </c>
      <c r="CI255" t="s">
        <v>4021</v>
      </c>
      <c r="CJ255" t="s">
        <v>2815</v>
      </c>
      <c r="CK255" t="s">
        <v>232</v>
      </c>
      <c r="CL255" t="s">
        <v>233</v>
      </c>
      <c r="CM255" t="s">
        <v>4022</v>
      </c>
      <c r="CN255" t="s">
        <v>235</v>
      </c>
      <c r="CO255" t="s">
        <v>183</v>
      </c>
      <c r="CP255" t="s">
        <v>211</v>
      </c>
      <c r="CQ255" t="s">
        <v>329</v>
      </c>
      <c r="CS255" t="s">
        <v>4023</v>
      </c>
      <c r="CT255" t="s">
        <v>3717</v>
      </c>
      <c r="CU255" t="s">
        <v>292</v>
      </c>
      <c r="CV255" t="s">
        <v>293</v>
      </c>
      <c r="CW255" t="s">
        <v>4024</v>
      </c>
      <c r="CX255" t="s">
        <v>235</v>
      </c>
      <c r="CY255" t="s">
        <v>183</v>
      </c>
      <c r="CZ255" t="s">
        <v>211</v>
      </c>
      <c r="DA255" t="s">
        <v>290</v>
      </c>
      <c r="DC255" t="s">
        <v>4025</v>
      </c>
      <c r="DM255" t="s">
        <v>198</v>
      </c>
      <c r="DW255" t="s">
        <v>198</v>
      </c>
      <c r="EG255" t="s">
        <v>198</v>
      </c>
      <c r="EQ255" t="s">
        <v>198</v>
      </c>
      <c r="FA255" t="s">
        <v>198</v>
      </c>
      <c r="FK255" t="s">
        <v>198</v>
      </c>
      <c r="FU255" t="s">
        <v>198</v>
      </c>
    </row>
    <row r="256" spans="1:177">
      <c r="A256" s="1" t="str">
        <f>HYPERLINK("http://digipan.lumentumllc.com/apps/getLink/index.php?t=PropLink&amp;p=4637634","PL")</f>
        <v>PL</v>
      </c>
      <c r="B256" s="1" t="str">
        <f>HYPERLINK("http://digipan.lumentumllc.com/apps/getLink/index.php?t=TaxLink&amp;p=4637634","TL")</f>
        <v>TL</v>
      </c>
      <c r="C256" s="1" t="str">
        <f>HYPERLINK("http://digipan.lumentumllc.com/apps/getMap/index.php?p=4637634","Map")</f>
        <v>Map</v>
      </c>
      <c r="E256" t="s">
        <v>177</v>
      </c>
      <c r="F256" t="s">
        <v>178</v>
      </c>
      <c r="L256" t="s">
        <v>4026</v>
      </c>
      <c r="N256" t="s">
        <v>4026</v>
      </c>
      <c r="O256" t="s">
        <v>4026</v>
      </c>
      <c r="P256" t="s">
        <v>4027</v>
      </c>
      <c r="Q256" t="s">
        <v>4026</v>
      </c>
      <c r="V256">
        <v>293</v>
      </c>
      <c r="W256">
        <v>1</v>
      </c>
      <c r="X256">
        <v>2017</v>
      </c>
      <c r="Y256">
        <v>2018</v>
      </c>
      <c r="Z256">
        <v>899.92</v>
      </c>
      <c r="AB256" t="s">
        <v>181</v>
      </c>
      <c r="AC256" t="s">
        <v>182</v>
      </c>
      <c r="AD256" t="s">
        <v>183</v>
      </c>
      <c r="AE256">
        <v>0</v>
      </c>
      <c r="AF256">
        <v>3</v>
      </c>
      <c r="AG256" t="s">
        <v>216</v>
      </c>
      <c r="AH256">
        <v>100</v>
      </c>
      <c r="AK256">
        <v>0</v>
      </c>
      <c r="AL256">
        <v>53010</v>
      </c>
      <c r="AM256">
        <v>47610</v>
      </c>
      <c r="AN256">
        <v>5400</v>
      </c>
      <c r="AO256">
        <v>738</v>
      </c>
      <c r="AP256">
        <v>2016</v>
      </c>
      <c r="AQ256">
        <v>1.7</v>
      </c>
      <c r="AS256" t="s">
        <v>4028</v>
      </c>
      <c r="AT256" t="s">
        <v>3747</v>
      </c>
      <c r="AU256" t="s">
        <v>177</v>
      </c>
      <c r="AV256" t="s">
        <v>1030</v>
      </c>
      <c r="AW256" t="s">
        <v>182</v>
      </c>
      <c r="AX256">
        <v>0</v>
      </c>
      <c r="AY256" t="s">
        <v>312</v>
      </c>
      <c r="AZ256" t="s">
        <v>199</v>
      </c>
      <c r="BA256" t="s">
        <v>313</v>
      </c>
      <c r="BB256" t="s">
        <v>191</v>
      </c>
      <c r="BC256" t="s">
        <v>182</v>
      </c>
      <c r="BD256" t="s">
        <v>182</v>
      </c>
      <c r="BE256" t="s">
        <v>4029</v>
      </c>
      <c r="BF256">
        <v>0</v>
      </c>
      <c r="BG256">
        <v>0</v>
      </c>
      <c r="BH256">
        <v>0</v>
      </c>
      <c r="BI256" t="s">
        <v>199</v>
      </c>
      <c r="BJ256" t="s">
        <v>396</v>
      </c>
      <c r="BL256" t="s">
        <v>797</v>
      </c>
      <c r="BM256" t="s">
        <v>273</v>
      </c>
      <c r="BN256" t="s">
        <v>182</v>
      </c>
      <c r="BO256" t="s">
        <v>198</v>
      </c>
      <c r="BP256" t="s">
        <v>198</v>
      </c>
      <c r="BQ256" t="s">
        <v>198</v>
      </c>
      <c r="BR256" t="s">
        <v>198</v>
      </c>
      <c r="BS256" t="s">
        <v>198</v>
      </c>
      <c r="BT256" t="s">
        <v>198</v>
      </c>
      <c r="BU256" t="s">
        <v>182</v>
      </c>
      <c r="BV256" t="s">
        <v>198</v>
      </c>
      <c r="BW256" t="s">
        <v>198</v>
      </c>
      <c r="BX256" t="s">
        <v>199</v>
      </c>
      <c r="BY256" t="s">
        <v>198</v>
      </c>
      <c r="BZ256" t="s">
        <v>199</v>
      </c>
      <c r="CA256" t="s">
        <v>199</v>
      </c>
      <c r="CB256" t="s">
        <v>4030</v>
      </c>
      <c r="CC256" t="s">
        <v>201</v>
      </c>
      <c r="CD256" t="s">
        <v>182</v>
      </c>
      <c r="CE256" t="s">
        <v>4031</v>
      </c>
      <c r="CF256" t="s">
        <v>1029</v>
      </c>
      <c r="CG256" t="s">
        <v>177</v>
      </c>
      <c r="CH256" t="s">
        <v>1030</v>
      </c>
      <c r="CI256" t="s">
        <v>1955</v>
      </c>
      <c r="CJ256" t="s">
        <v>2677</v>
      </c>
      <c r="CK256" t="s">
        <v>232</v>
      </c>
      <c r="CL256" t="s">
        <v>233</v>
      </c>
      <c r="CM256" t="s">
        <v>4032</v>
      </c>
      <c r="CN256" t="s">
        <v>331</v>
      </c>
      <c r="CO256" t="s">
        <v>183</v>
      </c>
      <c r="CP256" t="s">
        <v>211</v>
      </c>
      <c r="CQ256" t="s">
        <v>329</v>
      </c>
      <c r="CS256" t="s">
        <v>4023</v>
      </c>
      <c r="CT256" t="s">
        <v>3756</v>
      </c>
      <c r="CU256" t="s">
        <v>292</v>
      </c>
      <c r="CV256" t="s">
        <v>293</v>
      </c>
      <c r="CW256" t="s">
        <v>4033</v>
      </c>
      <c r="CX256" t="s">
        <v>235</v>
      </c>
      <c r="CY256" t="s">
        <v>183</v>
      </c>
      <c r="CZ256" t="s">
        <v>211</v>
      </c>
      <c r="DA256" t="s">
        <v>298</v>
      </c>
      <c r="DC256" t="s">
        <v>4023</v>
      </c>
      <c r="DD256" t="s">
        <v>4034</v>
      </c>
      <c r="DE256" t="s">
        <v>207</v>
      </c>
      <c r="DF256" t="s">
        <v>208</v>
      </c>
      <c r="DG256" t="s">
        <v>4035</v>
      </c>
      <c r="DH256" t="s">
        <v>576</v>
      </c>
      <c r="DI256" t="s">
        <v>183</v>
      </c>
      <c r="DJ256" t="s">
        <v>211</v>
      </c>
      <c r="DK256" t="s">
        <v>342</v>
      </c>
      <c r="DM256" t="s">
        <v>4036</v>
      </c>
      <c r="DW256" t="s">
        <v>198</v>
      </c>
      <c r="EG256" t="s">
        <v>198</v>
      </c>
      <c r="EQ256" t="s">
        <v>198</v>
      </c>
      <c r="FA256" t="s">
        <v>198</v>
      </c>
      <c r="FK256" t="s">
        <v>198</v>
      </c>
      <c r="FU256" t="s">
        <v>198</v>
      </c>
    </row>
    <row r="257" spans="1:177">
      <c r="A257" s="1" t="str">
        <f>HYPERLINK("http://digipan.lumentumllc.com/apps/getLink/index.php?t=PropLink&amp;p=6594186","PL")</f>
        <v>PL</v>
      </c>
      <c r="B257" s="1" t="str">
        <f>HYPERLINK("http://digipan.lumentumllc.com/apps/getLink/index.php?t=TaxLink&amp;p=6594186","TL")</f>
        <v>TL</v>
      </c>
      <c r="C257" s="1" t="str">
        <f>HYPERLINK("http://digipan.lumentumllc.com/apps/getMap/index.php?p=6594186","Map")</f>
        <v>Map</v>
      </c>
      <c r="E257" t="s">
        <v>177</v>
      </c>
      <c r="F257" t="s">
        <v>178</v>
      </c>
      <c r="L257" t="s">
        <v>4037</v>
      </c>
      <c r="N257" t="s">
        <v>4037</v>
      </c>
      <c r="O257" t="s">
        <v>4037</v>
      </c>
      <c r="P257" t="s">
        <v>4038</v>
      </c>
      <c r="Q257" t="s">
        <v>4037</v>
      </c>
      <c r="V257">
        <v>294</v>
      </c>
      <c r="W257">
        <v>1</v>
      </c>
      <c r="X257">
        <v>2017</v>
      </c>
      <c r="Y257">
        <v>2018</v>
      </c>
      <c r="Z257">
        <v>783.52</v>
      </c>
      <c r="AG257" t="s">
        <v>184</v>
      </c>
      <c r="AH257">
        <v>0</v>
      </c>
      <c r="AK257">
        <v>0</v>
      </c>
      <c r="AL257">
        <v>45900</v>
      </c>
      <c r="AM257">
        <v>45900</v>
      </c>
      <c r="AN257">
        <v>0</v>
      </c>
      <c r="AO257">
        <v>705</v>
      </c>
      <c r="AP257">
        <v>2016</v>
      </c>
      <c r="AQ257">
        <v>1.71</v>
      </c>
      <c r="AS257" t="s">
        <v>4039</v>
      </c>
      <c r="AT257" t="s">
        <v>3747</v>
      </c>
      <c r="AU257" t="s">
        <v>177</v>
      </c>
      <c r="AV257" t="s">
        <v>1030</v>
      </c>
      <c r="AW257" t="s">
        <v>182</v>
      </c>
      <c r="AX257">
        <v>0</v>
      </c>
      <c r="AY257" t="s">
        <v>312</v>
      </c>
      <c r="AZ257" t="s">
        <v>199</v>
      </c>
      <c r="BA257" t="s">
        <v>313</v>
      </c>
      <c r="BB257" t="s">
        <v>191</v>
      </c>
      <c r="BC257" t="s">
        <v>182</v>
      </c>
      <c r="BD257" t="s">
        <v>182</v>
      </c>
      <c r="BE257" t="s">
        <v>4040</v>
      </c>
      <c r="BF257">
        <v>0</v>
      </c>
      <c r="BG257">
        <v>0</v>
      </c>
      <c r="BH257">
        <v>0</v>
      </c>
      <c r="BI257" t="s">
        <v>199</v>
      </c>
      <c r="BJ257" t="s">
        <v>315</v>
      </c>
      <c r="BL257" t="s">
        <v>1801</v>
      </c>
      <c r="BM257" t="s">
        <v>197</v>
      </c>
      <c r="BN257" t="s">
        <v>182</v>
      </c>
      <c r="BO257" t="s">
        <v>2015</v>
      </c>
      <c r="BP257" t="s">
        <v>1696</v>
      </c>
      <c r="BQ257" t="s">
        <v>800</v>
      </c>
      <c r="BR257" t="s">
        <v>4041</v>
      </c>
      <c r="BS257" t="s">
        <v>198</v>
      </c>
      <c r="BT257" t="s">
        <v>228</v>
      </c>
      <c r="BU257" t="s">
        <v>182</v>
      </c>
      <c r="BV257" t="s">
        <v>198</v>
      </c>
      <c r="BW257" t="s">
        <v>198</v>
      </c>
      <c r="BX257" t="s">
        <v>199</v>
      </c>
      <c r="BY257" t="s">
        <v>198</v>
      </c>
      <c r="BZ257" t="s">
        <v>199</v>
      </c>
      <c r="CA257" t="s">
        <v>199</v>
      </c>
      <c r="CB257" t="s">
        <v>4042</v>
      </c>
      <c r="CC257" t="s">
        <v>201</v>
      </c>
      <c r="CD257" t="s">
        <v>202</v>
      </c>
      <c r="CE257" t="s">
        <v>4043</v>
      </c>
      <c r="CF257" t="s">
        <v>413</v>
      </c>
      <c r="CG257" t="s">
        <v>177</v>
      </c>
      <c r="CH257" t="s">
        <v>4044</v>
      </c>
      <c r="CI257" t="s">
        <v>4045</v>
      </c>
      <c r="CS257" t="s">
        <v>198</v>
      </c>
      <c r="DC257" t="s">
        <v>198</v>
      </c>
      <c r="DM257" t="s">
        <v>198</v>
      </c>
      <c r="DW257" t="s">
        <v>198</v>
      </c>
      <c r="EG257" t="s">
        <v>198</v>
      </c>
      <c r="EQ257" t="s">
        <v>198</v>
      </c>
      <c r="FA257" t="s">
        <v>198</v>
      </c>
      <c r="FK257" t="s">
        <v>198</v>
      </c>
      <c r="FU257" t="s">
        <v>198</v>
      </c>
    </row>
    <row r="258" spans="1:177">
      <c r="A258" s="1" t="str">
        <f>HYPERLINK("http://digipan.lumentumllc.com/apps/getLink/index.php?t=PropLink&amp;p=15746511","PL")</f>
        <v>PL</v>
      </c>
      <c r="B258" s="1" t="str">
        <f>HYPERLINK("http://digipan.lumentumllc.com/apps/getLink/index.php?t=TaxLink&amp;p=15746511","TL")</f>
        <v>TL</v>
      </c>
      <c r="C258" s="1" t="str">
        <f>HYPERLINK("http://digipan.lumentumllc.com/apps/getMap/index.php?p=15746511","Map")</f>
        <v>Map</v>
      </c>
      <c r="E258" t="s">
        <v>177</v>
      </c>
      <c r="F258" t="s">
        <v>178</v>
      </c>
      <c r="L258" t="s">
        <v>4046</v>
      </c>
      <c r="N258" t="s">
        <v>4046</v>
      </c>
      <c r="O258" t="s">
        <v>4046</v>
      </c>
      <c r="Q258" t="s">
        <v>4046</v>
      </c>
      <c r="V258">
        <v>295</v>
      </c>
      <c r="W258">
        <v>1</v>
      </c>
      <c r="X258">
        <v>2017</v>
      </c>
      <c r="Y258">
        <v>2018</v>
      </c>
      <c r="Z258">
        <v>730.46</v>
      </c>
      <c r="AG258" t="s">
        <v>184</v>
      </c>
      <c r="AH258">
        <v>0</v>
      </c>
      <c r="AK258">
        <v>0</v>
      </c>
      <c r="AL258">
        <v>42660</v>
      </c>
      <c r="AM258">
        <v>42660</v>
      </c>
      <c r="AN258">
        <v>0</v>
      </c>
      <c r="AO258">
        <v>57</v>
      </c>
      <c r="AP258">
        <v>2016</v>
      </c>
      <c r="AQ258">
        <v>1.71</v>
      </c>
      <c r="AS258" t="s">
        <v>4047</v>
      </c>
      <c r="AT258" t="s">
        <v>3747</v>
      </c>
      <c r="AU258" t="s">
        <v>177</v>
      </c>
      <c r="AV258" t="s">
        <v>1030</v>
      </c>
      <c r="AW258" t="s">
        <v>182</v>
      </c>
      <c r="AX258">
        <v>0</v>
      </c>
      <c r="AY258" t="s">
        <v>312</v>
      </c>
      <c r="AZ258" t="s">
        <v>199</v>
      </c>
      <c r="BA258" t="s">
        <v>313</v>
      </c>
      <c r="BB258" t="s">
        <v>191</v>
      </c>
      <c r="BC258" t="s">
        <v>182</v>
      </c>
      <c r="BD258" t="s">
        <v>182</v>
      </c>
      <c r="BE258" t="s">
        <v>4048</v>
      </c>
      <c r="BF258">
        <v>0</v>
      </c>
      <c r="BG258">
        <v>0</v>
      </c>
      <c r="BH258">
        <v>0</v>
      </c>
      <c r="BI258" t="s">
        <v>199</v>
      </c>
      <c r="BJ258" t="s">
        <v>396</v>
      </c>
      <c r="BL258" t="s">
        <v>2281</v>
      </c>
      <c r="BM258" t="s">
        <v>197</v>
      </c>
      <c r="BN258" t="s">
        <v>182</v>
      </c>
      <c r="BO258" t="s">
        <v>4049</v>
      </c>
      <c r="BP258" t="s">
        <v>4050</v>
      </c>
      <c r="BQ258" t="s">
        <v>226</v>
      </c>
      <c r="BR258" t="s">
        <v>227</v>
      </c>
      <c r="BS258" t="s">
        <v>198</v>
      </c>
      <c r="BT258" t="s">
        <v>1847</v>
      </c>
      <c r="BU258" t="s">
        <v>182</v>
      </c>
      <c r="BV258" t="s">
        <v>198</v>
      </c>
      <c r="BW258" t="s">
        <v>198</v>
      </c>
      <c r="BX258" t="s">
        <v>199</v>
      </c>
      <c r="BY258" t="s">
        <v>198</v>
      </c>
      <c r="BZ258" t="s">
        <v>199</v>
      </c>
      <c r="CA258" t="s">
        <v>199</v>
      </c>
      <c r="CB258" t="s">
        <v>4051</v>
      </c>
      <c r="CC258" t="s">
        <v>201</v>
      </c>
      <c r="CD258" t="s">
        <v>202</v>
      </c>
      <c r="CE258" t="s">
        <v>4052</v>
      </c>
      <c r="CF258" t="s">
        <v>204</v>
      </c>
      <c r="CG258" t="s">
        <v>177</v>
      </c>
      <c r="CH258" t="s">
        <v>187</v>
      </c>
      <c r="CI258" t="s">
        <v>649</v>
      </c>
      <c r="CS258" t="s">
        <v>198</v>
      </c>
      <c r="DC258" t="s">
        <v>198</v>
      </c>
      <c r="DM258" t="s">
        <v>198</v>
      </c>
      <c r="DW258" t="s">
        <v>198</v>
      </c>
      <c r="EG258" t="s">
        <v>198</v>
      </c>
      <c r="EQ258" t="s">
        <v>198</v>
      </c>
      <c r="FA258" t="s">
        <v>198</v>
      </c>
      <c r="FK258" t="s">
        <v>198</v>
      </c>
      <c r="FU258" t="s">
        <v>198</v>
      </c>
    </row>
    <row r="259" spans="1:177">
      <c r="A259" s="1" t="str">
        <f>HYPERLINK("http://digipan.lumentumllc.com/apps/getLink/index.php?t=PropLink&amp;p=4637640","PL")</f>
        <v>PL</v>
      </c>
      <c r="B259" s="1" t="str">
        <f>HYPERLINK("http://digipan.lumentumllc.com/apps/getLink/index.php?t=TaxLink&amp;p=4637640","TL")</f>
        <v>TL</v>
      </c>
      <c r="C259" s="1" t="str">
        <f>HYPERLINK("http://digipan.lumentumllc.com/apps/getMap/index.php?p=4637640","Map")</f>
        <v>Map</v>
      </c>
      <c r="E259" t="s">
        <v>177</v>
      </c>
      <c r="F259" t="s">
        <v>178</v>
      </c>
      <c r="L259" t="s">
        <v>4053</v>
      </c>
      <c r="N259" t="s">
        <v>4053</v>
      </c>
      <c r="O259" t="s">
        <v>4053</v>
      </c>
      <c r="P259" t="s">
        <v>4054</v>
      </c>
      <c r="Q259" t="s">
        <v>4053</v>
      </c>
      <c r="V259">
        <v>296</v>
      </c>
      <c r="W259">
        <v>1</v>
      </c>
      <c r="X259">
        <v>2017</v>
      </c>
      <c r="Y259">
        <v>2018</v>
      </c>
      <c r="Z259">
        <v>783.52</v>
      </c>
      <c r="AB259" t="s">
        <v>181</v>
      </c>
      <c r="AC259" t="s">
        <v>182</v>
      </c>
      <c r="AD259" t="s">
        <v>183</v>
      </c>
      <c r="AE259">
        <v>0</v>
      </c>
      <c r="AF259">
        <v>3</v>
      </c>
      <c r="AG259" t="s">
        <v>381</v>
      </c>
      <c r="AH259">
        <v>100</v>
      </c>
      <c r="AK259">
        <v>0</v>
      </c>
      <c r="AL259">
        <v>45900</v>
      </c>
      <c r="AM259">
        <v>45900</v>
      </c>
      <c r="AN259">
        <v>0</v>
      </c>
      <c r="AO259">
        <v>745</v>
      </c>
      <c r="AP259">
        <v>2016</v>
      </c>
      <c r="AQ259">
        <v>1.71</v>
      </c>
      <c r="AS259" t="s">
        <v>4055</v>
      </c>
      <c r="AT259" t="s">
        <v>3747</v>
      </c>
      <c r="AU259" t="s">
        <v>177</v>
      </c>
      <c r="AV259" t="s">
        <v>1030</v>
      </c>
      <c r="AW259" t="s">
        <v>182</v>
      </c>
      <c r="AX259">
        <v>0</v>
      </c>
      <c r="AY259" t="s">
        <v>312</v>
      </c>
      <c r="AZ259" t="s">
        <v>199</v>
      </c>
      <c r="BA259" t="s">
        <v>313</v>
      </c>
      <c r="BB259" t="s">
        <v>191</v>
      </c>
      <c r="BC259" t="s">
        <v>182</v>
      </c>
      <c r="BD259" t="s">
        <v>182</v>
      </c>
      <c r="BE259" t="s">
        <v>1056</v>
      </c>
      <c r="BF259">
        <v>0</v>
      </c>
      <c r="BG259">
        <v>0</v>
      </c>
      <c r="BH259">
        <v>0</v>
      </c>
      <c r="BI259" t="s">
        <v>199</v>
      </c>
      <c r="BJ259" t="s">
        <v>396</v>
      </c>
      <c r="BL259" t="s">
        <v>4056</v>
      </c>
      <c r="BM259" t="s">
        <v>273</v>
      </c>
      <c r="BN259" t="s">
        <v>182</v>
      </c>
      <c r="BO259" t="s">
        <v>198</v>
      </c>
      <c r="BP259" t="s">
        <v>198</v>
      </c>
      <c r="BQ259" t="s">
        <v>198</v>
      </c>
      <c r="BR259" t="s">
        <v>198</v>
      </c>
      <c r="BS259" t="s">
        <v>198</v>
      </c>
      <c r="BT259" t="s">
        <v>198</v>
      </c>
      <c r="BU259" t="s">
        <v>182</v>
      </c>
      <c r="BV259" t="s">
        <v>198</v>
      </c>
      <c r="BW259" t="s">
        <v>198</v>
      </c>
      <c r="BX259" t="s">
        <v>199</v>
      </c>
      <c r="BY259" t="s">
        <v>198</v>
      </c>
      <c r="BZ259" t="s">
        <v>199</v>
      </c>
      <c r="CA259" t="s">
        <v>199</v>
      </c>
      <c r="CB259" t="s">
        <v>4057</v>
      </c>
      <c r="CC259" t="s">
        <v>201</v>
      </c>
      <c r="CD259" t="s">
        <v>182</v>
      </c>
      <c r="CE259" t="s">
        <v>4058</v>
      </c>
      <c r="CF259" t="s">
        <v>413</v>
      </c>
      <c r="CG259" t="s">
        <v>177</v>
      </c>
      <c r="CH259" t="s">
        <v>749</v>
      </c>
      <c r="CI259" t="s">
        <v>4059</v>
      </c>
      <c r="CJ259" t="s">
        <v>2697</v>
      </c>
      <c r="CK259" t="s">
        <v>232</v>
      </c>
      <c r="CL259" t="s">
        <v>233</v>
      </c>
      <c r="CM259" t="s">
        <v>4060</v>
      </c>
      <c r="CN259" t="s">
        <v>235</v>
      </c>
      <c r="CO259" t="s">
        <v>183</v>
      </c>
      <c r="CP259" t="s">
        <v>211</v>
      </c>
      <c r="CQ259" t="s">
        <v>199</v>
      </c>
      <c r="CS259" t="s">
        <v>4061</v>
      </c>
      <c r="CT259" t="s">
        <v>2497</v>
      </c>
      <c r="CU259" t="s">
        <v>292</v>
      </c>
      <c r="CV259" t="s">
        <v>293</v>
      </c>
      <c r="CW259" t="s">
        <v>4062</v>
      </c>
      <c r="CX259" t="s">
        <v>235</v>
      </c>
      <c r="CY259" t="s">
        <v>183</v>
      </c>
      <c r="CZ259" t="s">
        <v>211</v>
      </c>
      <c r="DA259" t="s">
        <v>427</v>
      </c>
      <c r="DC259" t="s">
        <v>4061</v>
      </c>
      <c r="DD259" t="s">
        <v>3700</v>
      </c>
      <c r="DE259" t="s">
        <v>267</v>
      </c>
      <c r="DF259" t="s">
        <v>268</v>
      </c>
      <c r="DG259" t="s">
        <v>4063</v>
      </c>
      <c r="DH259" t="s">
        <v>235</v>
      </c>
      <c r="DI259" t="s">
        <v>183</v>
      </c>
      <c r="DJ259" t="s">
        <v>211</v>
      </c>
      <c r="DK259" t="s">
        <v>633</v>
      </c>
      <c r="DM259" t="s">
        <v>4061</v>
      </c>
      <c r="DW259" t="s">
        <v>198</v>
      </c>
      <c r="EG259" t="s">
        <v>198</v>
      </c>
      <c r="EQ259" t="s">
        <v>198</v>
      </c>
      <c r="FA259" t="s">
        <v>198</v>
      </c>
      <c r="FK259" t="s">
        <v>198</v>
      </c>
      <c r="FU259" t="s">
        <v>198</v>
      </c>
    </row>
    <row r="260" spans="1:177">
      <c r="A260" s="1" t="str">
        <f>HYPERLINK("http://digipan.lumentumllc.com/apps/getLink/index.php?t=PropLink&amp;p=4637648","PL")</f>
        <v>PL</v>
      </c>
      <c r="B260" s="1" t="str">
        <f>HYPERLINK("http://digipan.lumentumllc.com/apps/getLink/index.php?t=TaxLink&amp;p=4637648","TL")</f>
        <v>TL</v>
      </c>
      <c r="C260" s="1" t="str">
        <f>HYPERLINK("http://digipan.lumentumllc.com/apps/getMap/index.php?p=4637648","Map")</f>
        <v>Map</v>
      </c>
      <c r="E260" t="s">
        <v>177</v>
      </c>
      <c r="F260" t="s">
        <v>178</v>
      </c>
      <c r="L260" t="s">
        <v>4064</v>
      </c>
      <c r="N260" t="s">
        <v>4064</v>
      </c>
      <c r="O260" t="s">
        <v>4064</v>
      </c>
      <c r="P260" t="s">
        <v>4065</v>
      </c>
      <c r="Q260" t="s">
        <v>4064</v>
      </c>
      <c r="V260">
        <v>297</v>
      </c>
      <c r="W260">
        <v>1</v>
      </c>
      <c r="X260">
        <v>2017</v>
      </c>
      <c r="Y260">
        <v>2018</v>
      </c>
      <c r="Z260">
        <v>671.52</v>
      </c>
      <c r="AB260" t="s">
        <v>181</v>
      </c>
      <c r="AC260" t="s">
        <v>182</v>
      </c>
      <c r="AD260" t="s">
        <v>183</v>
      </c>
      <c r="AE260">
        <v>0</v>
      </c>
      <c r="AF260">
        <v>1</v>
      </c>
      <c r="AG260" t="s">
        <v>821</v>
      </c>
      <c r="AH260">
        <v>100</v>
      </c>
      <c r="AK260">
        <v>0</v>
      </c>
      <c r="AL260">
        <v>39060</v>
      </c>
      <c r="AM260">
        <v>39060</v>
      </c>
      <c r="AN260">
        <v>0</v>
      </c>
      <c r="AO260">
        <v>600</v>
      </c>
      <c r="AP260">
        <v>2016</v>
      </c>
      <c r="AQ260">
        <v>1.72</v>
      </c>
      <c r="AS260" t="s">
        <v>4066</v>
      </c>
      <c r="AT260" t="s">
        <v>3747</v>
      </c>
      <c r="AU260" t="s">
        <v>177</v>
      </c>
      <c r="AV260" t="s">
        <v>1030</v>
      </c>
      <c r="AW260" t="s">
        <v>182</v>
      </c>
      <c r="AX260">
        <v>0</v>
      </c>
      <c r="AY260" t="s">
        <v>312</v>
      </c>
      <c r="AZ260" t="s">
        <v>199</v>
      </c>
      <c r="BA260" t="s">
        <v>313</v>
      </c>
      <c r="BB260" t="s">
        <v>191</v>
      </c>
      <c r="BC260" t="s">
        <v>182</v>
      </c>
      <c r="BD260" t="s">
        <v>182</v>
      </c>
      <c r="BE260" t="s">
        <v>4067</v>
      </c>
      <c r="BF260">
        <v>0</v>
      </c>
      <c r="BG260">
        <v>0</v>
      </c>
      <c r="BH260">
        <v>0</v>
      </c>
      <c r="BI260" t="s">
        <v>199</v>
      </c>
      <c r="BJ260" t="s">
        <v>396</v>
      </c>
      <c r="BL260" t="s">
        <v>727</v>
      </c>
      <c r="BM260" t="s">
        <v>267</v>
      </c>
      <c r="BN260" t="s">
        <v>182</v>
      </c>
      <c r="BO260" t="s">
        <v>198</v>
      </c>
      <c r="BP260" t="s">
        <v>198</v>
      </c>
      <c r="BQ260" t="s">
        <v>198</v>
      </c>
      <c r="BR260" t="s">
        <v>198</v>
      </c>
      <c r="BS260" t="s">
        <v>198</v>
      </c>
      <c r="BT260" t="s">
        <v>198</v>
      </c>
      <c r="BU260" t="s">
        <v>182</v>
      </c>
      <c r="BV260" t="s">
        <v>198</v>
      </c>
      <c r="BW260" t="s">
        <v>198</v>
      </c>
      <c r="BX260" t="s">
        <v>199</v>
      </c>
      <c r="BY260" t="s">
        <v>198</v>
      </c>
      <c r="BZ260" t="s">
        <v>199</v>
      </c>
      <c r="CA260" t="s">
        <v>199</v>
      </c>
      <c r="CB260" t="s">
        <v>4068</v>
      </c>
      <c r="CC260" t="s">
        <v>201</v>
      </c>
      <c r="CD260" t="s">
        <v>202</v>
      </c>
      <c r="CE260" t="s">
        <v>4069</v>
      </c>
      <c r="CF260" t="s">
        <v>3561</v>
      </c>
      <c r="CG260" t="s">
        <v>177</v>
      </c>
      <c r="CH260" t="s">
        <v>4070</v>
      </c>
      <c r="CI260" t="s">
        <v>4071</v>
      </c>
      <c r="CJ260" t="s">
        <v>2754</v>
      </c>
      <c r="CK260" t="s">
        <v>232</v>
      </c>
      <c r="CL260" t="s">
        <v>233</v>
      </c>
      <c r="CM260" t="s">
        <v>4072</v>
      </c>
      <c r="CN260" t="s">
        <v>235</v>
      </c>
      <c r="CO260" t="s">
        <v>183</v>
      </c>
      <c r="CP260" t="s">
        <v>211</v>
      </c>
      <c r="CQ260" t="s">
        <v>199</v>
      </c>
      <c r="CS260" t="s">
        <v>2774</v>
      </c>
      <c r="DC260" t="s">
        <v>198</v>
      </c>
      <c r="DM260" t="s">
        <v>198</v>
      </c>
      <c r="DW260" t="s">
        <v>198</v>
      </c>
      <c r="EG260" t="s">
        <v>198</v>
      </c>
      <c r="EQ260" t="s">
        <v>198</v>
      </c>
      <c r="FA260" t="s">
        <v>198</v>
      </c>
      <c r="FK260" t="s">
        <v>198</v>
      </c>
      <c r="FU260" t="s">
        <v>198</v>
      </c>
    </row>
    <row r="261" spans="1:177">
      <c r="A261" s="1" t="str">
        <f>HYPERLINK("http://digipan.lumentumllc.com/apps/getLink/index.php?t=PropLink&amp;p=4637668","PL")</f>
        <v>PL</v>
      </c>
      <c r="B261" s="1" t="str">
        <f>HYPERLINK("http://digipan.lumentumllc.com/apps/getLink/index.php?t=TaxLink&amp;p=4637668","TL")</f>
        <v>TL</v>
      </c>
      <c r="C261" s="1" t="str">
        <f>HYPERLINK("http://digipan.lumentumllc.com/apps/getMap/index.php?p=4637668","Map")</f>
        <v>Map</v>
      </c>
      <c r="E261" t="s">
        <v>177</v>
      </c>
      <c r="F261" t="s">
        <v>178</v>
      </c>
      <c r="L261" t="s">
        <v>4073</v>
      </c>
      <c r="N261" t="s">
        <v>4073</v>
      </c>
      <c r="O261" t="s">
        <v>4073</v>
      </c>
      <c r="P261" t="s">
        <v>4074</v>
      </c>
      <c r="Q261" t="s">
        <v>4073</v>
      </c>
      <c r="V261">
        <v>298</v>
      </c>
      <c r="W261">
        <v>1</v>
      </c>
      <c r="X261">
        <v>2017</v>
      </c>
      <c r="Y261">
        <v>2018</v>
      </c>
      <c r="Z261">
        <v>774.67</v>
      </c>
      <c r="AG261" t="s">
        <v>184</v>
      </c>
      <c r="AH261">
        <v>0</v>
      </c>
      <c r="AK261">
        <v>0</v>
      </c>
      <c r="AL261">
        <v>45360</v>
      </c>
      <c r="AM261">
        <v>45360</v>
      </c>
      <c r="AN261">
        <v>0</v>
      </c>
      <c r="AO261">
        <v>762</v>
      </c>
      <c r="AP261">
        <v>2016</v>
      </c>
      <c r="AQ261">
        <v>1.71</v>
      </c>
      <c r="AS261" t="s">
        <v>4075</v>
      </c>
      <c r="AT261" t="s">
        <v>3747</v>
      </c>
      <c r="AU261" t="s">
        <v>177</v>
      </c>
      <c r="AV261" t="s">
        <v>1030</v>
      </c>
      <c r="AW261" t="s">
        <v>182</v>
      </c>
      <c r="AX261">
        <v>0</v>
      </c>
      <c r="AY261" t="s">
        <v>312</v>
      </c>
      <c r="AZ261" t="s">
        <v>199</v>
      </c>
      <c r="BA261" t="s">
        <v>313</v>
      </c>
      <c r="BB261" t="s">
        <v>191</v>
      </c>
      <c r="BC261" t="s">
        <v>182</v>
      </c>
      <c r="BD261" t="s">
        <v>182</v>
      </c>
      <c r="BE261" t="s">
        <v>4076</v>
      </c>
      <c r="BF261">
        <v>0</v>
      </c>
      <c r="BG261">
        <v>0</v>
      </c>
      <c r="BH261">
        <v>0</v>
      </c>
      <c r="BI261" t="s">
        <v>199</v>
      </c>
      <c r="BJ261" t="s">
        <v>396</v>
      </c>
      <c r="BL261" t="s">
        <v>727</v>
      </c>
      <c r="BM261" t="s">
        <v>197</v>
      </c>
      <c r="BN261" t="s">
        <v>182</v>
      </c>
      <c r="BO261" t="s">
        <v>4077</v>
      </c>
      <c r="BP261" t="s">
        <v>4078</v>
      </c>
      <c r="BQ261" t="s">
        <v>226</v>
      </c>
      <c r="BR261" t="s">
        <v>227</v>
      </c>
      <c r="BS261" t="s">
        <v>198</v>
      </c>
      <c r="BT261" t="s">
        <v>4079</v>
      </c>
      <c r="BU261" t="s">
        <v>182</v>
      </c>
      <c r="BV261" t="s">
        <v>198</v>
      </c>
      <c r="BW261" t="s">
        <v>198</v>
      </c>
      <c r="BX261" t="s">
        <v>199</v>
      </c>
      <c r="BY261" t="s">
        <v>198</v>
      </c>
      <c r="BZ261" t="s">
        <v>199</v>
      </c>
      <c r="CA261" t="s">
        <v>199</v>
      </c>
      <c r="CB261" t="s">
        <v>4080</v>
      </c>
      <c r="CC261" t="s">
        <v>201</v>
      </c>
      <c r="CD261" t="s">
        <v>202</v>
      </c>
      <c r="CE261" t="s">
        <v>4081</v>
      </c>
      <c r="CF261" t="s">
        <v>413</v>
      </c>
      <c r="CG261" t="s">
        <v>177</v>
      </c>
      <c r="CH261" t="s">
        <v>1579</v>
      </c>
      <c r="CI261" t="s">
        <v>4082</v>
      </c>
      <c r="CS261" t="s">
        <v>198</v>
      </c>
      <c r="DC261" t="s">
        <v>198</v>
      </c>
      <c r="DM261" t="s">
        <v>198</v>
      </c>
      <c r="DW261" t="s">
        <v>198</v>
      </c>
      <c r="EG261" t="s">
        <v>198</v>
      </c>
      <c r="EQ261" t="s">
        <v>198</v>
      </c>
      <c r="FA261" t="s">
        <v>198</v>
      </c>
      <c r="FK261" t="s">
        <v>198</v>
      </c>
      <c r="FU261" t="s">
        <v>198</v>
      </c>
    </row>
    <row r="262" spans="1:177">
      <c r="A262" s="1" t="str">
        <f>HYPERLINK("http://digipan.lumentumllc.com/apps/getLink/index.php?t=PropLink&amp;p=15747181","PL")</f>
        <v>PL</v>
      </c>
      <c r="B262" s="1" t="str">
        <f>HYPERLINK("http://digipan.lumentumllc.com/apps/getLink/index.php?t=TaxLink&amp;p=15747181","TL")</f>
        <v>TL</v>
      </c>
      <c r="C262" s="1" t="str">
        <f>HYPERLINK("http://digipan.lumentumllc.com/apps/getMap/index.php?p=15747181","Map")</f>
        <v>Map</v>
      </c>
      <c r="E262" t="s">
        <v>177</v>
      </c>
      <c r="F262" t="s">
        <v>178</v>
      </c>
      <c r="L262" t="s">
        <v>4083</v>
      </c>
      <c r="N262" t="s">
        <v>4083</v>
      </c>
      <c r="O262" t="s">
        <v>4083</v>
      </c>
      <c r="Q262" t="s">
        <v>4083</v>
      </c>
      <c r="V262">
        <v>299</v>
      </c>
      <c r="W262">
        <v>1</v>
      </c>
      <c r="X262">
        <v>2017</v>
      </c>
      <c r="Y262">
        <v>2018</v>
      </c>
      <c r="Z262">
        <v>377.56</v>
      </c>
      <c r="AG262" t="s">
        <v>184</v>
      </c>
      <c r="AH262">
        <v>0</v>
      </c>
      <c r="AK262">
        <v>0</v>
      </c>
      <c r="AL262">
        <v>21105</v>
      </c>
      <c r="AM262">
        <v>21105</v>
      </c>
      <c r="AN262">
        <v>0</v>
      </c>
      <c r="AO262">
        <v>514</v>
      </c>
      <c r="AP262">
        <v>2016</v>
      </c>
      <c r="AQ262">
        <v>1.79</v>
      </c>
      <c r="AS262" t="s">
        <v>4084</v>
      </c>
      <c r="AT262" t="s">
        <v>3747</v>
      </c>
      <c r="AU262" t="s">
        <v>177</v>
      </c>
      <c r="AV262" t="s">
        <v>1030</v>
      </c>
      <c r="AW262" t="s">
        <v>182</v>
      </c>
      <c r="AX262">
        <v>0</v>
      </c>
      <c r="AY262" t="s">
        <v>312</v>
      </c>
      <c r="AZ262" t="s">
        <v>199</v>
      </c>
      <c r="BA262" t="s">
        <v>313</v>
      </c>
      <c r="BB262" t="s">
        <v>191</v>
      </c>
      <c r="BC262" t="s">
        <v>182</v>
      </c>
      <c r="BD262" t="s">
        <v>182</v>
      </c>
      <c r="BE262" t="s">
        <v>4085</v>
      </c>
      <c r="BF262">
        <v>0</v>
      </c>
      <c r="BG262">
        <v>0</v>
      </c>
      <c r="BH262">
        <v>0</v>
      </c>
      <c r="BI262" t="s">
        <v>199</v>
      </c>
      <c r="BJ262" t="s">
        <v>194</v>
      </c>
      <c r="BL262" t="s">
        <v>4086</v>
      </c>
      <c r="BM262" t="s">
        <v>267</v>
      </c>
      <c r="BN262" t="s">
        <v>182</v>
      </c>
      <c r="BO262" t="s">
        <v>198</v>
      </c>
      <c r="BP262" t="s">
        <v>198</v>
      </c>
      <c r="BQ262" t="s">
        <v>198</v>
      </c>
      <c r="BR262" t="s">
        <v>198</v>
      </c>
      <c r="BS262" t="s">
        <v>198</v>
      </c>
      <c r="BT262" t="s">
        <v>198</v>
      </c>
      <c r="BU262" t="s">
        <v>182</v>
      </c>
      <c r="BV262" t="s">
        <v>198</v>
      </c>
      <c r="BW262" t="s">
        <v>198</v>
      </c>
      <c r="BX262" t="s">
        <v>199</v>
      </c>
      <c r="BY262" t="s">
        <v>198</v>
      </c>
      <c r="BZ262" t="s">
        <v>199</v>
      </c>
      <c r="CA262" t="s">
        <v>199</v>
      </c>
      <c r="CB262" t="s">
        <v>4087</v>
      </c>
      <c r="CC262" t="s">
        <v>201</v>
      </c>
      <c r="CD262" t="s">
        <v>182</v>
      </c>
      <c r="CE262" t="s">
        <v>4088</v>
      </c>
      <c r="CF262" t="s">
        <v>413</v>
      </c>
      <c r="CG262" t="s">
        <v>177</v>
      </c>
      <c r="CH262" t="s">
        <v>4089</v>
      </c>
      <c r="CI262" t="s">
        <v>610</v>
      </c>
      <c r="CS262" t="s">
        <v>198</v>
      </c>
      <c r="DC262" t="s">
        <v>198</v>
      </c>
      <c r="DM262" t="s">
        <v>198</v>
      </c>
      <c r="DW262" t="s">
        <v>198</v>
      </c>
      <c r="EG262" t="s">
        <v>198</v>
      </c>
      <c r="EQ262" t="s">
        <v>198</v>
      </c>
      <c r="FA262" t="s">
        <v>198</v>
      </c>
      <c r="FK262" t="s">
        <v>198</v>
      </c>
      <c r="FU262" t="s">
        <v>198</v>
      </c>
    </row>
    <row r="263" spans="1:177">
      <c r="A263" s="1" t="str">
        <f>HYPERLINK("http://digipan.lumentumllc.com/apps/getLink/index.php?t=PropLink&amp;p=6886714","PL")</f>
        <v>PL</v>
      </c>
      <c r="B263" s="1" t="str">
        <f>HYPERLINK("http://digipan.lumentumllc.com/apps/getLink/index.php?t=TaxLink&amp;p=6886714","TL")</f>
        <v>TL</v>
      </c>
      <c r="C263" s="1" t="str">
        <f>HYPERLINK("http://digipan.lumentumllc.com/apps/getMap/index.php?p=6886714","Map")</f>
        <v>Map</v>
      </c>
      <c r="E263" t="s">
        <v>177</v>
      </c>
      <c r="F263" t="s">
        <v>178</v>
      </c>
      <c r="L263" t="s">
        <v>4090</v>
      </c>
      <c r="N263" t="s">
        <v>4090</v>
      </c>
      <c r="O263" t="s">
        <v>4090</v>
      </c>
      <c r="P263" t="s">
        <v>4091</v>
      </c>
      <c r="Q263" t="s">
        <v>4090</v>
      </c>
      <c r="V263">
        <v>300</v>
      </c>
      <c r="W263">
        <v>1</v>
      </c>
      <c r="X263">
        <v>2017</v>
      </c>
      <c r="Y263">
        <v>2018</v>
      </c>
      <c r="Z263">
        <v>573.38</v>
      </c>
      <c r="AB263" t="s">
        <v>181</v>
      </c>
      <c r="AC263" t="s">
        <v>182</v>
      </c>
      <c r="AD263" t="s">
        <v>183</v>
      </c>
      <c r="AE263">
        <v>0</v>
      </c>
      <c r="AF263">
        <v>3</v>
      </c>
      <c r="AG263" t="s">
        <v>381</v>
      </c>
      <c r="AH263">
        <v>100</v>
      </c>
      <c r="AK263">
        <v>0</v>
      </c>
      <c r="AL263">
        <v>33066</v>
      </c>
      <c r="AM263">
        <v>33066</v>
      </c>
      <c r="AN263">
        <v>0</v>
      </c>
      <c r="AO263">
        <v>559</v>
      </c>
      <c r="AP263">
        <v>2016</v>
      </c>
      <c r="AQ263">
        <v>1.73</v>
      </c>
      <c r="AS263" t="s">
        <v>4092</v>
      </c>
      <c r="AT263" t="s">
        <v>3747</v>
      </c>
      <c r="AU263" t="s">
        <v>177</v>
      </c>
      <c r="AV263" t="s">
        <v>1030</v>
      </c>
      <c r="AW263" t="s">
        <v>182</v>
      </c>
      <c r="AX263">
        <v>0</v>
      </c>
      <c r="AY263" t="s">
        <v>312</v>
      </c>
      <c r="AZ263" t="s">
        <v>199</v>
      </c>
      <c r="BA263" t="s">
        <v>313</v>
      </c>
      <c r="BB263" t="s">
        <v>191</v>
      </c>
      <c r="BC263" t="s">
        <v>182</v>
      </c>
      <c r="BD263" t="s">
        <v>182</v>
      </c>
      <c r="BE263" t="s">
        <v>4093</v>
      </c>
      <c r="BF263">
        <v>0</v>
      </c>
      <c r="BG263">
        <v>0</v>
      </c>
      <c r="BH263">
        <v>0</v>
      </c>
      <c r="BI263" t="s">
        <v>199</v>
      </c>
      <c r="BJ263" t="s">
        <v>396</v>
      </c>
      <c r="BL263" t="s">
        <v>4094</v>
      </c>
      <c r="BM263" t="s">
        <v>267</v>
      </c>
      <c r="BN263" t="s">
        <v>182</v>
      </c>
      <c r="BO263" t="s">
        <v>198</v>
      </c>
      <c r="BP263" t="s">
        <v>198</v>
      </c>
      <c r="BQ263" t="s">
        <v>198</v>
      </c>
      <c r="BR263" t="s">
        <v>198</v>
      </c>
      <c r="BS263" t="s">
        <v>198</v>
      </c>
      <c r="BT263" t="s">
        <v>198</v>
      </c>
      <c r="BU263" t="s">
        <v>182</v>
      </c>
      <c r="BV263" t="s">
        <v>198</v>
      </c>
      <c r="BW263" t="s">
        <v>198</v>
      </c>
      <c r="BX263" t="s">
        <v>199</v>
      </c>
      <c r="BY263" t="s">
        <v>198</v>
      </c>
      <c r="BZ263" t="s">
        <v>199</v>
      </c>
      <c r="CA263" t="s">
        <v>199</v>
      </c>
      <c r="CB263" t="s">
        <v>4095</v>
      </c>
      <c r="CC263" t="s">
        <v>201</v>
      </c>
      <c r="CD263" t="s">
        <v>182</v>
      </c>
      <c r="CE263" t="s">
        <v>4096</v>
      </c>
      <c r="CF263" t="s">
        <v>4097</v>
      </c>
      <c r="CG263" t="s">
        <v>177</v>
      </c>
      <c r="CH263" t="s">
        <v>4098</v>
      </c>
      <c r="CI263" t="s">
        <v>4099</v>
      </c>
      <c r="CJ263" t="s">
        <v>2784</v>
      </c>
      <c r="CK263" t="s">
        <v>232</v>
      </c>
      <c r="CL263" t="s">
        <v>233</v>
      </c>
      <c r="CM263" t="s">
        <v>4100</v>
      </c>
      <c r="CN263" t="s">
        <v>235</v>
      </c>
      <c r="CO263" t="s">
        <v>183</v>
      </c>
      <c r="CP263" t="s">
        <v>211</v>
      </c>
      <c r="CQ263" t="s">
        <v>339</v>
      </c>
      <c r="CS263" t="s">
        <v>4101</v>
      </c>
      <c r="CT263" t="s">
        <v>2411</v>
      </c>
      <c r="CU263" t="s">
        <v>292</v>
      </c>
      <c r="CV263" t="s">
        <v>293</v>
      </c>
      <c r="CW263" t="s">
        <v>4102</v>
      </c>
      <c r="CX263" t="s">
        <v>235</v>
      </c>
      <c r="CY263" t="s">
        <v>183</v>
      </c>
      <c r="CZ263" t="s">
        <v>211</v>
      </c>
      <c r="DA263" t="s">
        <v>342</v>
      </c>
      <c r="DC263" t="s">
        <v>4103</v>
      </c>
      <c r="DD263" t="s">
        <v>3717</v>
      </c>
      <c r="DE263" t="s">
        <v>267</v>
      </c>
      <c r="DF263" t="s">
        <v>268</v>
      </c>
      <c r="DG263" t="s">
        <v>4104</v>
      </c>
      <c r="DH263" t="s">
        <v>331</v>
      </c>
      <c r="DI263" t="s">
        <v>183</v>
      </c>
      <c r="DJ263" t="s">
        <v>211</v>
      </c>
      <c r="DK263" t="s">
        <v>270</v>
      </c>
      <c r="DM263" t="s">
        <v>4105</v>
      </c>
      <c r="DW263" t="s">
        <v>198</v>
      </c>
      <c r="EG263" t="s">
        <v>198</v>
      </c>
      <c r="EQ263" t="s">
        <v>198</v>
      </c>
      <c r="FA263" t="s">
        <v>198</v>
      </c>
      <c r="FK263" t="s">
        <v>198</v>
      </c>
      <c r="FU263" t="s">
        <v>198</v>
      </c>
    </row>
    <row r="264" spans="1:177">
      <c r="A264" s="1" t="str">
        <f>HYPERLINK("http://digipan.lumentumllc.com/apps/getLink/index.php?t=PropLink&amp;p=6886716","PL")</f>
        <v>PL</v>
      </c>
      <c r="B264" s="1" t="str">
        <f>HYPERLINK("http://digipan.lumentumllc.com/apps/getLink/index.php?t=TaxLink&amp;p=6886716","TL")</f>
        <v>TL</v>
      </c>
      <c r="C264" s="1" t="str">
        <f>HYPERLINK("http://digipan.lumentumllc.com/apps/getMap/index.php?p=6886716","Map")</f>
        <v>Map</v>
      </c>
      <c r="E264" t="s">
        <v>177</v>
      </c>
      <c r="F264" t="s">
        <v>178</v>
      </c>
      <c r="L264" t="s">
        <v>4106</v>
      </c>
      <c r="N264" t="s">
        <v>4106</v>
      </c>
      <c r="O264" t="s">
        <v>4106</v>
      </c>
      <c r="P264" t="s">
        <v>4107</v>
      </c>
      <c r="Q264" t="s">
        <v>4106</v>
      </c>
      <c r="V264">
        <v>301</v>
      </c>
      <c r="W264">
        <v>1</v>
      </c>
      <c r="X264">
        <v>2017</v>
      </c>
      <c r="Y264">
        <v>2018</v>
      </c>
      <c r="Z264">
        <v>556.59</v>
      </c>
      <c r="AB264" t="s">
        <v>181</v>
      </c>
      <c r="AC264" t="s">
        <v>182</v>
      </c>
      <c r="AD264" t="s">
        <v>183</v>
      </c>
      <c r="AE264">
        <v>2</v>
      </c>
      <c r="AF264">
        <v>1</v>
      </c>
      <c r="AG264" t="s">
        <v>2087</v>
      </c>
      <c r="AH264">
        <v>33</v>
      </c>
      <c r="AI264">
        <v>1125.8</v>
      </c>
      <c r="AJ264">
        <v>56.29</v>
      </c>
      <c r="AK264">
        <v>1182.0899999999999</v>
      </c>
      <c r="AL264">
        <v>32040</v>
      </c>
      <c r="AM264">
        <v>32040</v>
      </c>
      <c r="AN264">
        <v>0</v>
      </c>
      <c r="AO264">
        <v>492</v>
      </c>
      <c r="AP264">
        <v>2016</v>
      </c>
      <c r="AQ264">
        <v>1.74</v>
      </c>
      <c r="AR264">
        <v>3.69</v>
      </c>
      <c r="AS264" t="s">
        <v>4108</v>
      </c>
      <c r="AT264" t="s">
        <v>3747</v>
      </c>
      <c r="AU264" t="s">
        <v>177</v>
      </c>
      <c r="AV264" t="s">
        <v>1030</v>
      </c>
      <c r="AW264" t="s">
        <v>182</v>
      </c>
      <c r="AX264">
        <v>0</v>
      </c>
      <c r="AY264" t="s">
        <v>312</v>
      </c>
      <c r="AZ264" t="s">
        <v>199</v>
      </c>
      <c r="BA264" t="s">
        <v>313</v>
      </c>
      <c r="BB264" t="s">
        <v>191</v>
      </c>
      <c r="BC264" t="s">
        <v>182</v>
      </c>
      <c r="BD264" t="s">
        <v>182</v>
      </c>
      <c r="BE264" t="s">
        <v>4109</v>
      </c>
      <c r="BF264">
        <v>0</v>
      </c>
      <c r="BG264">
        <v>0</v>
      </c>
      <c r="BH264">
        <v>0</v>
      </c>
      <c r="BI264" t="s">
        <v>199</v>
      </c>
      <c r="BJ264" t="s">
        <v>396</v>
      </c>
      <c r="BL264" t="s">
        <v>4086</v>
      </c>
      <c r="BM264" t="s">
        <v>267</v>
      </c>
      <c r="BN264" t="s">
        <v>182</v>
      </c>
      <c r="BO264" t="s">
        <v>4110</v>
      </c>
      <c r="BP264" t="s">
        <v>4111</v>
      </c>
      <c r="BQ264" t="s">
        <v>226</v>
      </c>
      <c r="BR264" t="s">
        <v>227</v>
      </c>
      <c r="BS264" t="s">
        <v>198</v>
      </c>
      <c r="BT264" t="s">
        <v>228</v>
      </c>
      <c r="BU264" t="s">
        <v>182</v>
      </c>
      <c r="BV264" t="s">
        <v>198</v>
      </c>
      <c r="BW264" t="s">
        <v>198</v>
      </c>
      <c r="BX264" t="s">
        <v>199</v>
      </c>
      <c r="BY264" t="s">
        <v>198</v>
      </c>
      <c r="BZ264" t="s">
        <v>199</v>
      </c>
      <c r="CA264" t="s">
        <v>199</v>
      </c>
      <c r="CB264" t="s">
        <v>4112</v>
      </c>
      <c r="CC264" t="s">
        <v>201</v>
      </c>
      <c r="CD264" t="s">
        <v>182</v>
      </c>
      <c r="CE264" t="s">
        <v>4113</v>
      </c>
      <c r="CF264" t="s">
        <v>413</v>
      </c>
      <c r="CG264" t="s">
        <v>177</v>
      </c>
      <c r="CH264" t="s">
        <v>804</v>
      </c>
      <c r="CI264" t="s">
        <v>4114</v>
      </c>
      <c r="CJ264" t="s">
        <v>2925</v>
      </c>
      <c r="CK264" t="s">
        <v>232</v>
      </c>
      <c r="CL264" t="s">
        <v>233</v>
      </c>
      <c r="CM264" t="s">
        <v>4115</v>
      </c>
      <c r="CN264" t="s">
        <v>331</v>
      </c>
      <c r="CO264" t="s">
        <v>183</v>
      </c>
      <c r="CP264" t="s">
        <v>266</v>
      </c>
      <c r="CS264" t="s">
        <v>198</v>
      </c>
      <c r="CT264" t="s">
        <v>2575</v>
      </c>
      <c r="CU264" t="s">
        <v>292</v>
      </c>
      <c r="CV264" t="s">
        <v>293</v>
      </c>
      <c r="CW264" t="s">
        <v>4116</v>
      </c>
      <c r="CX264" t="s">
        <v>235</v>
      </c>
      <c r="CY264" t="s">
        <v>183</v>
      </c>
      <c r="CZ264" t="s">
        <v>266</v>
      </c>
      <c r="DC264" t="s">
        <v>198</v>
      </c>
      <c r="DD264" t="s">
        <v>2497</v>
      </c>
      <c r="DE264" t="s">
        <v>267</v>
      </c>
      <c r="DF264" t="s">
        <v>268</v>
      </c>
      <c r="DG264" t="s">
        <v>4117</v>
      </c>
      <c r="DH264" t="s">
        <v>1164</v>
      </c>
      <c r="DI264" t="s">
        <v>183</v>
      </c>
      <c r="DJ264" t="s">
        <v>211</v>
      </c>
      <c r="DK264" t="s">
        <v>296</v>
      </c>
      <c r="DM264" t="s">
        <v>4118</v>
      </c>
      <c r="DW264" t="s">
        <v>198</v>
      </c>
      <c r="EG264" t="s">
        <v>198</v>
      </c>
      <c r="EQ264" t="s">
        <v>198</v>
      </c>
      <c r="FA264" t="s">
        <v>198</v>
      </c>
      <c r="FK264" t="s">
        <v>198</v>
      </c>
      <c r="FU264" t="s">
        <v>198</v>
      </c>
    </row>
    <row r="265" spans="1:177">
      <c r="A265" s="1" t="str">
        <f>HYPERLINK("http://digipan.lumentumllc.com/apps/getLink/index.php?t=PropLink&amp;p=5246332","PL")</f>
        <v>PL</v>
      </c>
      <c r="B265" s="1" t="str">
        <f>HYPERLINK("http://digipan.lumentumllc.com/apps/getLink/index.php?t=TaxLink&amp;p=5246332","TL")</f>
        <v>TL</v>
      </c>
      <c r="C265" s="1" t="str">
        <f>HYPERLINK("http://digipan.lumentumllc.com/apps/getMap/index.php?p=5246332","Map")</f>
        <v>Map</v>
      </c>
      <c r="E265" t="s">
        <v>177</v>
      </c>
      <c r="F265" t="s">
        <v>178</v>
      </c>
      <c r="L265" t="s">
        <v>4119</v>
      </c>
      <c r="N265" t="s">
        <v>4119</v>
      </c>
      <c r="O265" t="s">
        <v>4119</v>
      </c>
      <c r="P265" t="s">
        <v>4120</v>
      </c>
      <c r="Q265" t="s">
        <v>4119</v>
      </c>
      <c r="V265">
        <v>303</v>
      </c>
      <c r="W265">
        <v>1</v>
      </c>
      <c r="X265">
        <v>2017</v>
      </c>
      <c r="Y265">
        <v>2018</v>
      </c>
      <c r="Z265">
        <v>1107.28</v>
      </c>
      <c r="AB265" t="s">
        <v>181</v>
      </c>
      <c r="AC265" t="s">
        <v>182</v>
      </c>
      <c r="AD265" t="s">
        <v>183</v>
      </c>
      <c r="AE265">
        <v>0</v>
      </c>
      <c r="AF265">
        <v>8</v>
      </c>
      <c r="AG265" t="s">
        <v>1059</v>
      </c>
      <c r="AH265">
        <v>100</v>
      </c>
      <c r="AK265">
        <v>0</v>
      </c>
      <c r="AL265">
        <v>65676</v>
      </c>
      <c r="AM265">
        <v>40000</v>
      </c>
      <c r="AN265">
        <v>25676</v>
      </c>
      <c r="AO265">
        <v>639</v>
      </c>
      <c r="AP265">
        <v>2016</v>
      </c>
      <c r="AQ265">
        <v>1.69</v>
      </c>
      <c r="AS265" t="s">
        <v>4121</v>
      </c>
      <c r="AT265" t="s">
        <v>3747</v>
      </c>
      <c r="AU265" t="s">
        <v>177</v>
      </c>
      <c r="AV265" t="s">
        <v>1030</v>
      </c>
      <c r="AW265" t="s">
        <v>182</v>
      </c>
      <c r="AX265">
        <v>2</v>
      </c>
      <c r="AY265" t="s">
        <v>188</v>
      </c>
      <c r="AZ265" t="s">
        <v>189</v>
      </c>
      <c r="BA265" t="s">
        <v>190</v>
      </c>
      <c r="BB265" t="s">
        <v>191</v>
      </c>
      <c r="BC265" t="s">
        <v>182</v>
      </c>
      <c r="BD265" t="s">
        <v>182</v>
      </c>
      <c r="BE265" t="s">
        <v>247</v>
      </c>
      <c r="BF265">
        <v>1</v>
      </c>
      <c r="BG265">
        <v>1</v>
      </c>
      <c r="BH265">
        <v>1995</v>
      </c>
      <c r="BI265" t="s">
        <v>4122</v>
      </c>
      <c r="BJ265" t="s">
        <v>194</v>
      </c>
      <c r="BK265" t="s">
        <v>195</v>
      </c>
      <c r="BL265" t="s">
        <v>199</v>
      </c>
      <c r="BM265" t="s">
        <v>410</v>
      </c>
      <c r="BN265" t="s">
        <v>182</v>
      </c>
      <c r="BO265" t="s">
        <v>4123</v>
      </c>
      <c r="BP265" t="s">
        <v>4124</v>
      </c>
      <c r="BS265" t="s">
        <v>4125</v>
      </c>
      <c r="BT265" t="s">
        <v>198</v>
      </c>
      <c r="BU265" t="s">
        <v>182</v>
      </c>
      <c r="BV265" t="s">
        <v>198</v>
      </c>
      <c r="BW265" t="s">
        <v>198</v>
      </c>
      <c r="BX265" t="s">
        <v>199</v>
      </c>
      <c r="BY265" t="s">
        <v>198</v>
      </c>
      <c r="BZ265" t="s">
        <v>199</v>
      </c>
      <c r="CA265" t="s">
        <v>199</v>
      </c>
      <c r="CB265" t="s">
        <v>4126</v>
      </c>
      <c r="CC265" t="s">
        <v>201</v>
      </c>
      <c r="CD265" t="s">
        <v>182</v>
      </c>
      <c r="CE265" t="s">
        <v>2173</v>
      </c>
      <c r="CF265" t="s">
        <v>204</v>
      </c>
      <c r="CG265" t="s">
        <v>177</v>
      </c>
      <c r="CH265" t="s">
        <v>187</v>
      </c>
      <c r="CI265" t="s">
        <v>4127</v>
      </c>
      <c r="CJ265" t="s">
        <v>4128</v>
      </c>
      <c r="CK265" t="s">
        <v>232</v>
      </c>
      <c r="CL265" t="s">
        <v>233</v>
      </c>
      <c r="CM265" t="s">
        <v>4129</v>
      </c>
      <c r="CN265" t="s">
        <v>331</v>
      </c>
      <c r="CO265" t="s">
        <v>183</v>
      </c>
      <c r="CP265" t="s">
        <v>211</v>
      </c>
      <c r="CQ265" t="s">
        <v>342</v>
      </c>
      <c r="CS265" t="s">
        <v>2177</v>
      </c>
      <c r="CT265" t="s">
        <v>3819</v>
      </c>
      <c r="CU265" t="s">
        <v>292</v>
      </c>
      <c r="CV265" t="s">
        <v>293</v>
      </c>
      <c r="CW265" t="s">
        <v>4130</v>
      </c>
      <c r="CX265" t="s">
        <v>295</v>
      </c>
      <c r="CY265" t="s">
        <v>183</v>
      </c>
      <c r="CZ265" t="s">
        <v>211</v>
      </c>
      <c r="DA265" t="s">
        <v>329</v>
      </c>
      <c r="DC265" t="s">
        <v>2179</v>
      </c>
      <c r="DD265" t="s">
        <v>2387</v>
      </c>
      <c r="DE265" t="s">
        <v>267</v>
      </c>
      <c r="DF265" t="s">
        <v>268</v>
      </c>
      <c r="DG265" t="s">
        <v>4131</v>
      </c>
      <c r="DH265" t="s">
        <v>1491</v>
      </c>
      <c r="DI265" t="s">
        <v>183</v>
      </c>
      <c r="DJ265" t="s">
        <v>211</v>
      </c>
      <c r="DK265" t="s">
        <v>298</v>
      </c>
      <c r="DM265" t="s">
        <v>2179</v>
      </c>
      <c r="DN265" t="s">
        <v>2729</v>
      </c>
      <c r="DO265" t="s">
        <v>273</v>
      </c>
      <c r="DP265" t="s">
        <v>274</v>
      </c>
      <c r="DQ265" t="s">
        <v>4132</v>
      </c>
      <c r="DR265" t="s">
        <v>331</v>
      </c>
      <c r="DS265" t="s">
        <v>183</v>
      </c>
      <c r="DT265" t="s">
        <v>211</v>
      </c>
      <c r="DU265" t="s">
        <v>298</v>
      </c>
      <c r="DW265" t="s">
        <v>1645</v>
      </c>
      <c r="DX265" t="s">
        <v>2925</v>
      </c>
      <c r="DY265" t="s">
        <v>302</v>
      </c>
      <c r="DZ265" t="s">
        <v>303</v>
      </c>
      <c r="EA265" t="s">
        <v>4133</v>
      </c>
      <c r="EB265" t="s">
        <v>305</v>
      </c>
      <c r="EC265" t="s">
        <v>183</v>
      </c>
      <c r="ED265" t="s">
        <v>211</v>
      </c>
      <c r="EE265" t="s">
        <v>329</v>
      </c>
      <c r="EG265" t="s">
        <v>1133</v>
      </c>
      <c r="EH265" t="s">
        <v>4134</v>
      </c>
      <c r="EI265" t="s">
        <v>238</v>
      </c>
      <c r="EJ265" t="s">
        <v>239</v>
      </c>
      <c r="EK265" t="s">
        <v>4135</v>
      </c>
      <c r="EL265" t="s">
        <v>278</v>
      </c>
      <c r="EM265" t="s">
        <v>183</v>
      </c>
      <c r="EN265" t="s">
        <v>211</v>
      </c>
      <c r="EO265" t="s">
        <v>298</v>
      </c>
      <c r="EQ265" t="s">
        <v>1133</v>
      </c>
      <c r="ER265" t="s">
        <v>4136</v>
      </c>
      <c r="ES265" t="s">
        <v>346</v>
      </c>
      <c r="ET265" t="s">
        <v>347</v>
      </c>
      <c r="EU265" t="s">
        <v>4137</v>
      </c>
      <c r="EV265" t="s">
        <v>576</v>
      </c>
      <c r="EW265" t="s">
        <v>183</v>
      </c>
      <c r="EX265" t="s">
        <v>211</v>
      </c>
      <c r="EY265" t="s">
        <v>298</v>
      </c>
      <c r="FA265" t="s">
        <v>3166</v>
      </c>
      <c r="FB265" t="s">
        <v>4138</v>
      </c>
      <c r="FC265" t="s">
        <v>207</v>
      </c>
      <c r="FD265" t="s">
        <v>208</v>
      </c>
      <c r="FE265" t="s">
        <v>4139</v>
      </c>
      <c r="FF265" t="s">
        <v>469</v>
      </c>
      <c r="FG265" t="s">
        <v>183</v>
      </c>
      <c r="FH265" t="s">
        <v>211</v>
      </c>
      <c r="FI265" t="s">
        <v>345</v>
      </c>
      <c r="FK265" t="s">
        <v>2516</v>
      </c>
      <c r="FU265" t="s">
        <v>198</v>
      </c>
    </row>
    <row r="266" spans="1:177">
      <c r="A266" s="1" t="str">
        <f>HYPERLINK("http://digipan.lumentumllc.com/apps/getLink/index.php?t=PropLink&amp;p=4637779","PL")</f>
        <v>PL</v>
      </c>
      <c r="B266" s="1" t="str">
        <f>HYPERLINK("http://digipan.lumentumllc.com/apps/getLink/index.php?t=TaxLink&amp;p=4637779","TL")</f>
        <v>TL</v>
      </c>
      <c r="C266" s="1" t="str">
        <f>HYPERLINK("http://digipan.lumentumllc.com/apps/getMap/index.php?p=4637779","Map")</f>
        <v>Map</v>
      </c>
      <c r="E266" t="s">
        <v>177</v>
      </c>
      <c r="F266" t="s">
        <v>178</v>
      </c>
      <c r="L266" t="s">
        <v>4140</v>
      </c>
      <c r="N266" t="s">
        <v>4140</v>
      </c>
      <c r="O266" t="s">
        <v>4140</v>
      </c>
      <c r="P266" t="s">
        <v>4141</v>
      </c>
      <c r="Q266" t="s">
        <v>4140</v>
      </c>
      <c r="V266">
        <v>304</v>
      </c>
      <c r="W266">
        <v>1</v>
      </c>
      <c r="X266">
        <v>2017</v>
      </c>
      <c r="Y266">
        <v>2018</v>
      </c>
      <c r="Z266">
        <v>872.29</v>
      </c>
      <c r="AB266" t="s">
        <v>181</v>
      </c>
      <c r="AC266" t="s">
        <v>182</v>
      </c>
      <c r="AD266" t="s">
        <v>183</v>
      </c>
      <c r="AE266">
        <v>0</v>
      </c>
      <c r="AF266">
        <v>1</v>
      </c>
      <c r="AG266" t="s">
        <v>821</v>
      </c>
      <c r="AH266">
        <v>100</v>
      </c>
      <c r="AK266">
        <v>0</v>
      </c>
      <c r="AL266">
        <v>106120</v>
      </c>
      <c r="AM266">
        <v>30000</v>
      </c>
      <c r="AN266">
        <v>76120</v>
      </c>
      <c r="AO266">
        <v>762</v>
      </c>
      <c r="AP266">
        <v>2016</v>
      </c>
      <c r="AQ266">
        <v>0.82</v>
      </c>
      <c r="AS266" t="s">
        <v>4142</v>
      </c>
      <c r="AT266" t="s">
        <v>3747</v>
      </c>
      <c r="AU266" t="s">
        <v>177</v>
      </c>
      <c r="AV266" t="s">
        <v>1030</v>
      </c>
      <c r="AW266" t="s">
        <v>202</v>
      </c>
      <c r="AX266">
        <v>2</v>
      </c>
      <c r="AY266" t="s">
        <v>188</v>
      </c>
      <c r="AZ266" t="s">
        <v>189</v>
      </c>
      <c r="BA266" t="s">
        <v>190</v>
      </c>
      <c r="BB266" t="s">
        <v>191</v>
      </c>
      <c r="BC266" t="s">
        <v>182</v>
      </c>
      <c r="BD266" t="s">
        <v>182</v>
      </c>
      <c r="BE266" t="s">
        <v>838</v>
      </c>
      <c r="BF266">
        <v>1</v>
      </c>
      <c r="BG266">
        <v>1</v>
      </c>
      <c r="BH266">
        <v>2008</v>
      </c>
      <c r="BI266" t="s">
        <v>4143</v>
      </c>
      <c r="BJ266" t="s">
        <v>194</v>
      </c>
      <c r="BK266" t="s">
        <v>195</v>
      </c>
      <c r="BL266" t="s">
        <v>199</v>
      </c>
      <c r="BM266" t="s">
        <v>3957</v>
      </c>
      <c r="BN266" t="s">
        <v>182</v>
      </c>
      <c r="BO266" t="s">
        <v>198</v>
      </c>
      <c r="BP266" t="s">
        <v>198</v>
      </c>
      <c r="BQ266" t="s">
        <v>198</v>
      </c>
      <c r="BR266" t="s">
        <v>198</v>
      </c>
      <c r="BS266" t="s">
        <v>198</v>
      </c>
      <c r="BT266" t="s">
        <v>198</v>
      </c>
      <c r="BU266" t="s">
        <v>182</v>
      </c>
      <c r="BV266" t="s">
        <v>198</v>
      </c>
      <c r="BW266" t="s">
        <v>198</v>
      </c>
      <c r="BX266" t="s">
        <v>199</v>
      </c>
      <c r="BY266" t="s">
        <v>198</v>
      </c>
      <c r="BZ266" t="s">
        <v>199</v>
      </c>
      <c r="CA266" t="s">
        <v>199</v>
      </c>
      <c r="CB266" t="s">
        <v>4144</v>
      </c>
      <c r="CC266" t="s">
        <v>201</v>
      </c>
      <c r="CD266" t="s">
        <v>182</v>
      </c>
      <c r="CE266" t="s">
        <v>4145</v>
      </c>
      <c r="CF266" t="s">
        <v>1029</v>
      </c>
      <c r="CG266" t="s">
        <v>177</v>
      </c>
      <c r="CH266" t="s">
        <v>1030</v>
      </c>
      <c r="CI266" t="s">
        <v>4146</v>
      </c>
      <c r="CJ266" t="s">
        <v>4147</v>
      </c>
      <c r="CK266" t="s">
        <v>238</v>
      </c>
      <c r="CL266" t="s">
        <v>239</v>
      </c>
      <c r="CM266" t="s">
        <v>4148</v>
      </c>
      <c r="CN266" t="s">
        <v>816</v>
      </c>
      <c r="CO266" t="s">
        <v>183</v>
      </c>
      <c r="CP266" t="s">
        <v>211</v>
      </c>
      <c r="CQ266" t="s">
        <v>206</v>
      </c>
      <c r="CS266" t="s">
        <v>4149</v>
      </c>
      <c r="DC266" t="s">
        <v>198</v>
      </c>
      <c r="DM266" t="s">
        <v>198</v>
      </c>
      <c r="DW266" t="s">
        <v>198</v>
      </c>
      <c r="EG266" t="s">
        <v>198</v>
      </c>
      <c r="EQ266" t="s">
        <v>198</v>
      </c>
      <c r="FA266" t="s">
        <v>198</v>
      </c>
      <c r="FK266" t="s">
        <v>198</v>
      </c>
      <c r="FU266" t="s">
        <v>198</v>
      </c>
    </row>
    <row r="267" spans="1:177">
      <c r="A267" s="1" t="str">
        <f>HYPERLINK("http://digipan.lumentumllc.com/apps/getLink/index.php?t=PropLink&amp;p=5246484","PL")</f>
        <v>PL</v>
      </c>
      <c r="B267" s="1" t="str">
        <f>HYPERLINK("http://digipan.lumentumllc.com/apps/getLink/index.php?t=TaxLink&amp;p=5246484","TL")</f>
        <v>TL</v>
      </c>
      <c r="C267" s="1" t="str">
        <f>HYPERLINK("http://digipan.lumentumllc.com/apps/getMap/index.php?p=5246484","Map")</f>
        <v>Map</v>
      </c>
      <c r="E267" t="s">
        <v>177</v>
      </c>
      <c r="F267" t="s">
        <v>178</v>
      </c>
      <c r="L267" t="s">
        <v>4150</v>
      </c>
      <c r="N267" t="s">
        <v>4150</v>
      </c>
      <c r="O267" t="s">
        <v>4150</v>
      </c>
      <c r="P267" t="s">
        <v>4151</v>
      </c>
      <c r="Q267" t="s">
        <v>4150</v>
      </c>
      <c r="V267">
        <v>305</v>
      </c>
      <c r="W267">
        <v>1</v>
      </c>
      <c r="X267">
        <v>2017</v>
      </c>
      <c r="Y267">
        <v>2018</v>
      </c>
      <c r="Z267">
        <v>1014.35</v>
      </c>
      <c r="AB267" t="s">
        <v>181</v>
      </c>
      <c r="AC267" t="s">
        <v>182</v>
      </c>
      <c r="AD267" t="s">
        <v>183</v>
      </c>
      <c r="AE267">
        <v>1</v>
      </c>
      <c r="AF267">
        <v>7</v>
      </c>
      <c r="AG267" t="s">
        <v>418</v>
      </c>
      <c r="AH267">
        <v>86</v>
      </c>
      <c r="AI267">
        <v>1023.11</v>
      </c>
      <c r="AJ267">
        <v>51.16</v>
      </c>
      <c r="AK267">
        <v>1074.27</v>
      </c>
      <c r="AL267">
        <v>60000</v>
      </c>
      <c r="AM267">
        <v>60000</v>
      </c>
      <c r="AN267">
        <v>0</v>
      </c>
      <c r="AO267">
        <v>921</v>
      </c>
      <c r="AP267">
        <v>2016</v>
      </c>
      <c r="AQ267">
        <v>1.69</v>
      </c>
      <c r="AR267">
        <v>1.79</v>
      </c>
      <c r="AS267" t="s">
        <v>4152</v>
      </c>
      <c r="AT267" t="s">
        <v>3747</v>
      </c>
      <c r="AU267" t="s">
        <v>177</v>
      </c>
      <c r="AV267" t="s">
        <v>1030</v>
      </c>
      <c r="AW267" t="s">
        <v>182</v>
      </c>
      <c r="AX267">
        <v>0</v>
      </c>
      <c r="AY267" t="s">
        <v>312</v>
      </c>
      <c r="AZ267" t="s">
        <v>199</v>
      </c>
      <c r="BA267" t="s">
        <v>313</v>
      </c>
      <c r="BB267" t="s">
        <v>191</v>
      </c>
      <c r="BC267" t="s">
        <v>182</v>
      </c>
      <c r="BD267" t="s">
        <v>182</v>
      </c>
      <c r="BE267" t="s">
        <v>576</v>
      </c>
      <c r="BF267">
        <v>0</v>
      </c>
      <c r="BG267">
        <v>0</v>
      </c>
      <c r="BH267">
        <v>0</v>
      </c>
      <c r="BI267" t="s">
        <v>199</v>
      </c>
      <c r="BJ267" t="s">
        <v>396</v>
      </c>
      <c r="BL267" t="s">
        <v>199</v>
      </c>
      <c r="BM267" t="s">
        <v>302</v>
      </c>
      <c r="BN267" t="s">
        <v>182</v>
      </c>
      <c r="BO267" t="s">
        <v>198</v>
      </c>
      <c r="BP267" t="s">
        <v>198</v>
      </c>
      <c r="BQ267" t="s">
        <v>198</v>
      </c>
      <c r="BR267" t="s">
        <v>198</v>
      </c>
      <c r="BS267" t="s">
        <v>198</v>
      </c>
      <c r="BT267" t="s">
        <v>198</v>
      </c>
      <c r="BU267" t="s">
        <v>182</v>
      </c>
      <c r="BV267" t="s">
        <v>198</v>
      </c>
      <c r="BW267" t="s">
        <v>198</v>
      </c>
      <c r="BX267" t="s">
        <v>199</v>
      </c>
      <c r="BY267" t="s">
        <v>198</v>
      </c>
      <c r="BZ267" t="s">
        <v>199</v>
      </c>
      <c r="CA267" t="s">
        <v>199</v>
      </c>
      <c r="CB267" t="s">
        <v>4153</v>
      </c>
      <c r="CC267" t="s">
        <v>201</v>
      </c>
      <c r="CD267" t="s">
        <v>182</v>
      </c>
      <c r="CE267" t="s">
        <v>4154</v>
      </c>
      <c r="CF267" t="s">
        <v>413</v>
      </c>
      <c r="CG267" t="s">
        <v>177</v>
      </c>
      <c r="CH267" t="s">
        <v>4155</v>
      </c>
      <c r="CI267" t="s">
        <v>4156</v>
      </c>
      <c r="CJ267" t="s">
        <v>4157</v>
      </c>
      <c r="CK267" t="s">
        <v>232</v>
      </c>
      <c r="CL267" t="s">
        <v>233</v>
      </c>
      <c r="CM267" t="s">
        <v>4158</v>
      </c>
      <c r="CN267" t="s">
        <v>235</v>
      </c>
      <c r="CO267" t="s">
        <v>183</v>
      </c>
      <c r="CP267" t="s">
        <v>266</v>
      </c>
      <c r="CS267" t="s">
        <v>198</v>
      </c>
      <c r="CT267" t="s">
        <v>3865</v>
      </c>
      <c r="CU267" t="s">
        <v>292</v>
      </c>
      <c r="CV267" t="s">
        <v>293</v>
      </c>
      <c r="CW267" t="s">
        <v>4159</v>
      </c>
      <c r="CX267" t="s">
        <v>295</v>
      </c>
      <c r="CY267" t="s">
        <v>183</v>
      </c>
      <c r="CZ267" t="s">
        <v>211</v>
      </c>
      <c r="DA267" t="s">
        <v>298</v>
      </c>
      <c r="DC267" t="s">
        <v>1641</v>
      </c>
      <c r="DD267" t="s">
        <v>2411</v>
      </c>
      <c r="DE267" t="s">
        <v>267</v>
      </c>
      <c r="DF267" t="s">
        <v>268</v>
      </c>
      <c r="DG267" t="s">
        <v>4160</v>
      </c>
      <c r="DH267" t="s">
        <v>331</v>
      </c>
      <c r="DI267" t="s">
        <v>183</v>
      </c>
      <c r="DJ267" t="s">
        <v>211</v>
      </c>
      <c r="DK267" t="s">
        <v>345</v>
      </c>
      <c r="DM267" t="s">
        <v>4161</v>
      </c>
      <c r="DN267" t="s">
        <v>2634</v>
      </c>
      <c r="DO267" t="s">
        <v>273</v>
      </c>
      <c r="DP267" t="s">
        <v>274</v>
      </c>
      <c r="DQ267" t="s">
        <v>4162</v>
      </c>
      <c r="DR267" t="s">
        <v>1491</v>
      </c>
      <c r="DS267" t="s">
        <v>183</v>
      </c>
      <c r="DT267" t="s">
        <v>211</v>
      </c>
      <c r="DU267" t="s">
        <v>337</v>
      </c>
      <c r="DW267" t="s">
        <v>4163</v>
      </c>
      <c r="DX267" t="s">
        <v>4128</v>
      </c>
      <c r="DY267" t="s">
        <v>302</v>
      </c>
      <c r="DZ267" t="s">
        <v>303</v>
      </c>
      <c r="EA267" t="s">
        <v>4164</v>
      </c>
      <c r="EB267" t="s">
        <v>927</v>
      </c>
      <c r="EC267" t="s">
        <v>183</v>
      </c>
      <c r="ED267" t="s">
        <v>211</v>
      </c>
      <c r="EE267" t="s">
        <v>298</v>
      </c>
      <c r="EG267" t="s">
        <v>4165</v>
      </c>
      <c r="EH267" t="s">
        <v>4166</v>
      </c>
      <c r="EI267" t="s">
        <v>238</v>
      </c>
      <c r="EJ267" t="s">
        <v>239</v>
      </c>
      <c r="EK267" t="s">
        <v>4167</v>
      </c>
      <c r="EL267" t="s">
        <v>331</v>
      </c>
      <c r="EM267" t="s">
        <v>183</v>
      </c>
      <c r="EN267" t="s">
        <v>211</v>
      </c>
      <c r="EO267" t="s">
        <v>298</v>
      </c>
      <c r="EQ267" t="s">
        <v>1815</v>
      </c>
      <c r="ER267" t="s">
        <v>4168</v>
      </c>
      <c r="ES267" t="s">
        <v>346</v>
      </c>
      <c r="ET267" t="s">
        <v>347</v>
      </c>
      <c r="EU267" t="s">
        <v>4169</v>
      </c>
      <c r="EV267" t="s">
        <v>247</v>
      </c>
      <c r="EW267" t="s">
        <v>183</v>
      </c>
      <c r="EX267" t="s">
        <v>211</v>
      </c>
      <c r="EY267" t="s">
        <v>345</v>
      </c>
      <c r="FA267" t="s">
        <v>4170</v>
      </c>
      <c r="FB267" t="s">
        <v>3926</v>
      </c>
      <c r="FC267" t="s">
        <v>207</v>
      </c>
      <c r="FD267" t="s">
        <v>208</v>
      </c>
      <c r="FE267" t="s">
        <v>4171</v>
      </c>
      <c r="FF267" t="s">
        <v>469</v>
      </c>
      <c r="FG267" t="s">
        <v>183</v>
      </c>
      <c r="FH267" t="s">
        <v>211</v>
      </c>
      <c r="FI267" t="s">
        <v>298</v>
      </c>
      <c r="FK267" t="s">
        <v>1167</v>
      </c>
      <c r="FU267" t="s">
        <v>198</v>
      </c>
    </row>
    <row r="268" spans="1:177">
      <c r="A268" s="1" t="str">
        <f>HYPERLINK("http://digipan.lumentumllc.com/apps/getLink/index.php?t=PropLink&amp;p=6886739","PL")</f>
        <v>PL</v>
      </c>
      <c r="B268" s="1" t="str">
        <f>HYPERLINK("http://digipan.lumentumllc.com/apps/getLink/index.php?t=TaxLink&amp;p=6886739","TL")</f>
        <v>TL</v>
      </c>
      <c r="C268" s="1" t="str">
        <f>HYPERLINK("http://digipan.lumentumllc.com/apps/getMap/index.php?p=6886739","Map")</f>
        <v>Map</v>
      </c>
      <c r="E268" t="s">
        <v>177</v>
      </c>
      <c r="F268" t="s">
        <v>178</v>
      </c>
      <c r="L268" t="s">
        <v>4172</v>
      </c>
      <c r="N268" t="s">
        <v>4172</v>
      </c>
      <c r="O268" t="s">
        <v>4172</v>
      </c>
      <c r="P268" t="s">
        <v>4173</v>
      </c>
      <c r="Q268" t="s">
        <v>4172</v>
      </c>
      <c r="V268">
        <v>306</v>
      </c>
      <c r="W268">
        <v>1</v>
      </c>
      <c r="X268">
        <v>2017</v>
      </c>
      <c r="Y268">
        <v>2018</v>
      </c>
      <c r="Z268">
        <v>1001.98</v>
      </c>
      <c r="AB268" t="s">
        <v>181</v>
      </c>
      <c r="AC268" t="s">
        <v>182</v>
      </c>
      <c r="AD268" t="s">
        <v>183</v>
      </c>
      <c r="AE268">
        <v>0</v>
      </c>
      <c r="AF268">
        <v>2</v>
      </c>
      <c r="AG268" t="s">
        <v>216</v>
      </c>
      <c r="AH268">
        <v>100</v>
      </c>
      <c r="AK268">
        <v>0</v>
      </c>
      <c r="AL268">
        <v>106970</v>
      </c>
      <c r="AM268">
        <v>40640</v>
      </c>
      <c r="AN268">
        <v>66330</v>
      </c>
      <c r="AO268">
        <v>881</v>
      </c>
      <c r="AP268">
        <v>2016</v>
      </c>
      <c r="AQ268">
        <v>0.94</v>
      </c>
      <c r="AS268" t="s">
        <v>4174</v>
      </c>
      <c r="AT268" t="s">
        <v>3747</v>
      </c>
      <c r="AU268" t="s">
        <v>177</v>
      </c>
      <c r="AV268" t="s">
        <v>1030</v>
      </c>
      <c r="AW268" t="s">
        <v>202</v>
      </c>
      <c r="AX268">
        <v>2</v>
      </c>
      <c r="AY268" t="s">
        <v>188</v>
      </c>
      <c r="AZ268" t="s">
        <v>189</v>
      </c>
      <c r="BA268" t="s">
        <v>190</v>
      </c>
      <c r="BB268" t="s">
        <v>191</v>
      </c>
      <c r="BC268" t="s">
        <v>182</v>
      </c>
      <c r="BD268" t="s">
        <v>182</v>
      </c>
      <c r="BE268" t="s">
        <v>4175</v>
      </c>
      <c r="BF268">
        <v>1</v>
      </c>
      <c r="BG268">
        <v>1</v>
      </c>
      <c r="BH268">
        <v>1999</v>
      </c>
      <c r="BI268" t="s">
        <v>883</v>
      </c>
      <c r="BJ268" t="s">
        <v>194</v>
      </c>
      <c r="BK268" t="s">
        <v>195</v>
      </c>
      <c r="BL268" t="s">
        <v>4176</v>
      </c>
      <c r="BM268" t="s">
        <v>286</v>
      </c>
      <c r="BN268" t="s">
        <v>182</v>
      </c>
      <c r="BO268" t="s">
        <v>4177</v>
      </c>
      <c r="BP268" t="s">
        <v>4178</v>
      </c>
      <c r="BS268" t="s">
        <v>4179</v>
      </c>
      <c r="BT268" t="s">
        <v>198</v>
      </c>
      <c r="BU268" t="s">
        <v>182</v>
      </c>
      <c r="BV268" t="s">
        <v>198</v>
      </c>
      <c r="BW268" t="s">
        <v>198</v>
      </c>
      <c r="BX268" t="s">
        <v>199</v>
      </c>
      <c r="BY268" t="s">
        <v>198</v>
      </c>
      <c r="BZ268" t="s">
        <v>199</v>
      </c>
      <c r="CA268" t="s">
        <v>199</v>
      </c>
      <c r="CB268" t="s">
        <v>4180</v>
      </c>
      <c r="CC268" t="s">
        <v>201</v>
      </c>
      <c r="CD268" t="s">
        <v>182</v>
      </c>
      <c r="CE268" t="s">
        <v>4181</v>
      </c>
      <c r="CF268" t="s">
        <v>1029</v>
      </c>
      <c r="CG268" t="s">
        <v>177</v>
      </c>
      <c r="CH268" t="s">
        <v>1030</v>
      </c>
      <c r="CI268" t="s">
        <v>4182</v>
      </c>
      <c r="CJ268" t="s">
        <v>2494</v>
      </c>
      <c r="CK268" t="s">
        <v>292</v>
      </c>
      <c r="CL268" t="s">
        <v>293</v>
      </c>
      <c r="CM268" t="s">
        <v>4183</v>
      </c>
      <c r="CN268" t="s">
        <v>235</v>
      </c>
      <c r="CO268" t="s">
        <v>183</v>
      </c>
      <c r="CP268" t="s">
        <v>211</v>
      </c>
      <c r="CQ268" t="s">
        <v>337</v>
      </c>
      <c r="CS268" t="s">
        <v>540</v>
      </c>
      <c r="CT268" t="s">
        <v>2575</v>
      </c>
      <c r="CU268" t="s">
        <v>267</v>
      </c>
      <c r="CV268" t="s">
        <v>268</v>
      </c>
      <c r="CW268" t="s">
        <v>4184</v>
      </c>
      <c r="CX268" t="s">
        <v>235</v>
      </c>
      <c r="CY268" t="s">
        <v>183</v>
      </c>
      <c r="CZ268" t="s">
        <v>211</v>
      </c>
      <c r="DA268" t="s">
        <v>250</v>
      </c>
      <c r="DC268" t="s">
        <v>4185</v>
      </c>
      <c r="DM268" t="s">
        <v>198</v>
      </c>
      <c r="DW268" t="s">
        <v>198</v>
      </c>
      <c r="EG268" t="s">
        <v>198</v>
      </c>
      <c r="EQ268" t="s">
        <v>198</v>
      </c>
      <c r="FA268" t="s">
        <v>198</v>
      </c>
      <c r="FK268" t="s">
        <v>198</v>
      </c>
      <c r="FU268" t="s">
        <v>198</v>
      </c>
    </row>
    <row r="269" spans="1:177">
      <c r="A269" s="1" t="str">
        <f>HYPERLINK("http://digipan.lumentumllc.com/apps/getLink/index.php?t=PropLink&amp;p=6461939","PL")</f>
        <v>PL</v>
      </c>
      <c r="B269" s="1" t="str">
        <f>HYPERLINK("http://digipan.lumentumllc.com/apps/getLink/index.php?t=TaxLink&amp;p=6461939","TL")</f>
        <v>TL</v>
      </c>
      <c r="C269" s="1" t="str">
        <f>HYPERLINK("http://digipan.lumentumllc.com/apps/getMap/index.php?p=6461939","Map")</f>
        <v>Map</v>
      </c>
      <c r="E269" t="s">
        <v>177</v>
      </c>
      <c r="F269" t="s">
        <v>178</v>
      </c>
      <c r="L269" t="s">
        <v>4186</v>
      </c>
      <c r="N269" t="s">
        <v>4186</v>
      </c>
      <c r="O269" t="s">
        <v>4186</v>
      </c>
      <c r="P269" t="s">
        <v>4187</v>
      </c>
      <c r="Q269" t="s">
        <v>4186</v>
      </c>
      <c r="V269">
        <v>307</v>
      </c>
      <c r="W269">
        <v>1</v>
      </c>
      <c r="X269">
        <v>2017</v>
      </c>
      <c r="Y269">
        <v>2018</v>
      </c>
      <c r="Z269">
        <v>259.58999999999997</v>
      </c>
      <c r="AB269" t="s">
        <v>181</v>
      </c>
      <c r="AC269" t="s">
        <v>182</v>
      </c>
      <c r="AD269" t="s">
        <v>183</v>
      </c>
      <c r="AE269">
        <v>2</v>
      </c>
      <c r="AF269">
        <v>2</v>
      </c>
      <c r="AG269" t="s">
        <v>762</v>
      </c>
      <c r="AH269">
        <v>50</v>
      </c>
      <c r="AI269">
        <v>336.23</v>
      </c>
      <c r="AJ269">
        <v>75.83</v>
      </c>
      <c r="AK269">
        <v>412.06</v>
      </c>
      <c r="AL269">
        <v>19440</v>
      </c>
      <c r="AM269">
        <v>19440</v>
      </c>
      <c r="AN269">
        <v>0</v>
      </c>
      <c r="AO269">
        <v>134</v>
      </c>
      <c r="AP269">
        <v>2016</v>
      </c>
      <c r="AQ269">
        <v>1.34</v>
      </c>
      <c r="AR269">
        <v>2.12</v>
      </c>
      <c r="AS269" t="s">
        <v>4188</v>
      </c>
      <c r="AT269" t="s">
        <v>3747</v>
      </c>
      <c r="AU269" t="s">
        <v>177</v>
      </c>
      <c r="AV269" t="s">
        <v>1030</v>
      </c>
      <c r="AW269" t="s">
        <v>182</v>
      </c>
      <c r="AX269">
        <v>0</v>
      </c>
      <c r="AY269" t="s">
        <v>312</v>
      </c>
      <c r="AZ269" t="s">
        <v>199</v>
      </c>
      <c r="BA269" t="s">
        <v>313</v>
      </c>
      <c r="BB269" t="s">
        <v>191</v>
      </c>
      <c r="BC269" t="s">
        <v>182</v>
      </c>
      <c r="BD269" t="s">
        <v>182</v>
      </c>
      <c r="BE269" t="s">
        <v>2291</v>
      </c>
      <c r="BF269">
        <v>0</v>
      </c>
      <c r="BG269">
        <v>0</v>
      </c>
      <c r="BH269">
        <v>0</v>
      </c>
      <c r="BI269" t="s">
        <v>199</v>
      </c>
      <c r="BJ269" t="s">
        <v>315</v>
      </c>
      <c r="BL269" t="s">
        <v>3374</v>
      </c>
      <c r="BM269" t="s">
        <v>207</v>
      </c>
      <c r="BN269" t="s">
        <v>182</v>
      </c>
      <c r="BO269" t="s">
        <v>198</v>
      </c>
      <c r="BP269" t="s">
        <v>198</v>
      </c>
      <c r="BQ269" t="s">
        <v>198</v>
      </c>
      <c r="BR269" t="s">
        <v>198</v>
      </c>
      <c r="BS269" t="s">
        <v>198</v>
      </c>
      <c r="BT269" t="s">
        <v>198</v>
      </c>
      <c r="BU269" t="s">
        <v>182</v>
      </c>
      <c r="BV269" t="s">
        <v>198</v>
      </c>
      <c r="BW269" t="s">
        <v>198</v>
      </c>
      <c r="BX269" t="s">
        <v>199</v>
      </c>
      <c r="BY269" t="s">
        <v>198</v>
      </c>
      <c r="BZ269" t="s">
        <v>199</v>
      </c>
      <c r="CA269" t="s">
        <v>199</v>
      </c>
      <c r="CB269" t="s">
        <v>4189</v>
      </c>
      <c r="CC269" t="s">
        <v>201</v>
      </c>
      <c r="CD269" t="s">
        <v>202</v>
      </c>
      <c r="CE269" t="s">
        <v>4190</v>
      </c>
      <c r="CF269" t="s">
        <v>1029</v>
      </c>
      <c r="CG269" t="s">
        <v>177</v>
      </c>
      <c r="CH269" t="s">
        <v>1030</v>
      </c>
      <c r="CI269" t="s">
        <v>4191</v>
      </c>
      <c r="CJ269" t="s">
        <v>4192</v>
      </c>
      <c r="CK269" t="s">
        <v>232</v>
      </c>
      <c r="CL269" t="s">
        <v>233</v>
      </c>
      <c r="CM269" t="s">
        <v>4193</v>
      </c>
      <c r="CN269" t="s">
        <v>341</v>
      </c>
      <c r="CO269" t="s">
        <v>183</v>
      </c>
      <c r="CP269" t="s">
        <v>266</v>
      </c>
      <c r="CS269" t="s">
        <v>198</v>
      </c>
      <c r="CT269" t="s">
        <v>2513</v>
      </c>
      <c r="CU269" t="s">
        <v>292</v>
      </c>
      <c r="CV269" t="s">
        <v>293</v>
      </c>
      <c r="CW269" t="s">
        <v>4194</v>
      </c>
      <c r="CX269" t="s">
        <v>482</v>
      </c>
      <c r="CY269" t="s">
        <v>183</v>
      </c>
      <c r="CZ269" t="s">
        <v>266</v>
      </c>
      <c r="DC269" t="s">
        <v>198</v>
      </c>
      <c r="DD269" t="s">
        <v>3819</v>
      </c>
      <c r="DE269" t="s">
        <v>267</v>
      </c>
      <c r="DF269" t="s">
        <v>268</v>
      </c>
      <c r="DG269" t="s">
        <v>4195</v>
      </c>
      <c r="DH269" t="s">
        <v>389</v>
      </c>
      <c r="DI269" t="s">
        <v>183</v>
      </c>
      <c r="DJ269" t="s">
        <v>211</v>
      </c>
      <c r="DK269" t="s">
        <v>189</v>
      </c>
      <c r="DM269" t="s">
        <v>2629</v>
      </c>
      <c r="DN269" t="s">
        <v>4196</v>
      </c>
      <c r="DO269" t="s">
        <v>302</v>
      </c>
      <c r="DP269" t="s">
        <v>303</v>
      </c>
      <c r="DQ269" t="s">
        <v>4197</v>
      </c>
      <c r="DR269" t="s">
        <v>1615</v>
      </c>
      <c r="DS269" t="s">
        <v>183</v>
      </c>
      <c r="DT269" t="s">
        <v>211</v>
      </c>
      <c r="DU269" t="s">
        <v>290</v>
      </c>
      <c r="DW269" t="s">
        <v>4198</v>
      </c>
      <c r="EG269" t="s">
        <v>198</v>
      </c>
      <c r="EQ269" t="s">
        <v>198</v>
      </c>
      <c r="FA269" t="s">
        <v>198</v>
      </c>
      <c r="FK269" t="s">
        <v>198</v>
      </c>
      <c r="FU269" t="s">
        <v>198</v>
      </c>
    </row>
    <row r="270" spans="1:177">
      <c r="A270" s="1" t="str">
        <f>HYPERLINK("http://digipan.lumentumllc.com/apps/getLink/index.php?t=PropLink&amp;p=15748690","PL")</f>
        <v>PL</v>
      </c>
      <c r="B270" s="1" t="str">
        <f>HYPERLINK("http://digipan.lumentumllc.com/apps/getLink/index.php?t=TaxLink&amp;p=15748690","TL")</f>
        <v>TL</v>
      </c>
      <c r="C270" s="1" t="str">
        <f>HYPERLINK("http://digipan.lumentumllc.com/apps/getMap/index.php?p=15748690","Map")</f>
        <v>Map</v>
      </c>
      <c r="E270" t="s">
        <v>177</v>
      </c>
      <c r="F270" t="s">
        <v>178</v>
      </c>
      <c r="L270" t="s">
        <v>4199</v>
      </c>
      <c r="N270" t="s">
        <v>4199</v>
      </c>
      <c r="O270" t="s">
        <v>4199</v>
      </c>
      <c r="Q270" t="s">
        <v>4199</v>
      </c>
      <c r="V270">
        <v>308</v>
      </c>
      <c r="W270">
        <v>1</v>
      </c>
      <c r="X270">
        <v>2017</v>
      </c>
      <c r="Y270">
        <v>2018</v>
      </c>
      <c r="Z270">
        <v>1468.6</v>
      </c>
      <c r="AG270" t="s">
        <v>184</v>
      </c>
      <c r="AH270">
        <v>0</v>
      </c>
      <c r="AK270">
        <v>0</v>
      </c>
      <c r="AL270">
        <v>90214</v>
      </c>
      <c r="AM270">
        <v>22500</v>
      </c>
      <c r="AN270">
        <v>67714</v>
      </c>
      <c r="AO270">
        <v>1198</v>
      </c>
      <c r="AP270">
        <v>2016</v>
      </c>
      <c r="AQ270">
        <v>1.63</v>
      </c>
      <c r="AS270" t="s">
        <v>4200</v>
      </c>
      <c r="AT270" t="s">
        <v>3747</v>
      </c>
      <c r="AU270" t="s">
        <v>177</v>
      </c>
      <c r="AV270" t="s">
        <v>1030</v>
      </c>
      <c r="AW270" t="s">
        <v>182</v>
      </c>
      <c r="AX270">
        <v>2</v>
      </c>
      <c r="AY270" t="s">
        <v>188</v>
      </c>
      <c r="AZ270" t="s">
        <v>189</v>
      </c>
      <c r="BA270" t="s">
        <v>190</v>
      </c>
      <c r="BB270" t="s">
        <v>191</v>
      </c>
      <c r="BC270" t="s">
        <v>182</v>
      </c>
      <c r="BD270" t="s">
        <v>182</v>
      </c>
      <c r="BE270" t="s">
        <v>2589</v>
      </c>
      <c r="BF270">
        <v>1</v>
      </c>
      <c r="BG270">
        <v>1</v>
      </c>
      <c r="BH270">
        <v>2004</v>
      </c>
      <c r="BI270" t="s">
        <v>1709</v>
      </c>
      <c r="BJ270" t="s">
        <v>194</v>
      </c>
      <c r="BK270" t="s">
        <v>195</v>
      </c>
      <c r="BL270" t="s">
        <v>824</v>
      </c>
      <c r="BM270" t="s">
        <v>197</v>
      </c>
      <c r="BN270" t="s">
        <v>182</v>
      </c>
      <c r="BO270" t="s">
        <v>560</v>
      </c>
      <c r="BP270" t="s">
        <v>4201</v>
      </c>
      <c r="BQ270" t="s">
        <v>562</v>
      </c>
      <c r="BR270" t="s">
        <v>2318</v>
      </c>
      <c r="BS270" t="s">
        <v>198</v>
      </c>
      <c r="BT270" t="s">
        <v>4202</v>
      </c>
      <c r="BU270" t="s">
        <v>182</v>
      </c>
      <c r="BV270" t="s">
        <v>198</v>
      </c>
      <c r="BW270" t="s">
        <v>198</v>
      </c>
      <c r="BX270" t="s">
        <v>199</v>
      </c>
      <c r="BY270" t="s">
        <v>198</v>
      </c>
      <c r="BZ270" t="s">
        <v>199</v>
      </c>
      <c r="CA270" t="s">
        <v>199</v>
      </c>
      <c r="CB270" t="s">
        <v>4203</v>
      </c>
      <c r="CC270" t="s">
        <v>201</v>
      </c>
      <c r="CD270" t="s">
        <v>202</v>
      </c>
      <c r="CE270" t="s">
        <v>4204</v>
      </c>
      <c r="CF270" t="s">
        <v>1029</v>
      </c>
      <c r="CG270" t="s">
        <v>177</v>
      </c>
      <c r="CH270" t="s">
        <v>1030</v>
      </c>
      <c r="CI270" t="s">
        <v>4205</v>
      </c>
      <c r="CS270" t="s">
        <v>198</v>
      </c>
      <c r="DC270" t="s">
        <v>198</v>
      </c>
      <c r="DM270" t="s">
        <v>198</v>
      </c>
      <c r="DW270" t="s">
        <v>198</v>
      </c>
      <c r="EG270" t="s">
        <v>198</v>
      </c>
      <c r="EQ270" t="s">
        <v>198</v>
      </c>
      <c r="FA270" t="s">
        <v>198</v>
      </c>
      <c r="FK270" t="s">
        <v>198</v>
      </c>
      <c r="FU270" t="s">
        <v>198</v>
      </c>
    </row>
    <row r="271" spans="1:177">
      <c r="A271" s="1" t="str">
        <f>HYPERLINK("http://digipan.lumentumllc.com/apps/getLink/index.php?t=PropLink&amp;p=7112440","PL")</f>
        <v>PL</v>
      </c>
      <c r="B271" s="1" t="str">
        <f>HYPERLINK("http://digipan.lumentumllc.com/apps/getLink/index.php?t=TaxLink&amp;p=7112440","TL")</f>
        <v>TL</v>
      </c>
      <c r="C271" s="1" t="str">
        <f>HYPERLINK("http://digipan.lumentumllc.com/apps/getMap/index.php?p=7112440","Map")</f>
        <v>Map</v>
      </c>
      <c r="E271" t="s">
        <v>177</v>
      </c>
      <c r="F271" t="s">
        <v>178</v>
      </c>
      <c r="L271" t="s">
        <v>4206</v>
      </c>
      <c r="N271" t="s">
        <v>4206</v>
      </c>
      <c r="O271" t="s">
        <v>4206</v>
      </c>
      <c r="P271" t="s">
        <v>4207</v>
      </c>
      <c r="Q271" t="s">
        <v>4206</v>
      </c>
      <c r="V271">
        <v>309</v>
      </c>
      <c r="W271">
        <v>1</v>
      </c>
      <c r="X271">
        <v>2017</v>
      </c>
      <c r="Y271">
        <v>2018</v>
      </c>
      <c r="Z271">
        <v>687.2</v>
      </c>
      <c r="AB271" t="s">
        <v>181</v>
      </c>
      <c r="AC271" t="s">
        <v>182</v>
      </c>
      <c r="AD271" t="s">
        <v>183</v>
      </c>
      <c r="AE271">
        <v>0</v>
      </c>
      <c r="AF271">
        <v>2</v>
      </c>
      <c r="AG271" t="s">
        <v>216</v>
      </c>
      <c r="AH271">
        <v>100</v>
      </c>
      <c r="AK271">
        <v>0</v>
      </c>
      <c r="AL271">
        <v>40018</v>
      </c>
      <c r="AM271">
        <v>16500</v>
      </c>
      <c r="AN271">
        <v>23518</v>
      </c>
      <c r="AO271">
        <v>448</v>
      </c>
      <c r="AP271">
        <v>2016</v>
      </c>
      <c r="AQ271">
        <v>1.72</v>
      </c>
      <c r="AS271" t="s">
        <v>4208</v>
      </c>
      <c r="AT271" t="s">
        <v>3747</v>
      </c>
      <c r="AU271" t="s">
        <v>177</v>
      </c>
      <c r="AV271" t="s">
        <v>1030</v>
      </c>
      <c r="AW271" t="s">
        <v>182</v>
      </c>
      <c r="AX271">
        <v>2</v>
      </c>
      <c r="AY271" t="s">
        <v>188</v>
      </c>
      <c r="AZ271" t="s">
        <v>189</v>
      </c>
      <c r="BA271" t="s">
        <v>190</v>
      </c>
      <c r="BB271" t="s">
        <v>191</v>
      </c>
      <c r="BC271" t="s">
        <v>182</v>
      </c>
      <c r="BD271" t="s">
        <v>182</v>
      </c>
      <c r="BE271" t="s">
        <v>259</v>
      </c>
      <c r="BF271">
        <v>1</v>
      </c>
      <c r="BG271">
        <v>1</v>
      </c>
      <c r="BH271">
        <v>1986</v>
      </c>
      <c r="BI271" t="s">
        <v>4209</v>
      </c>
      <c r="BJ271" t="s">
        <v>194</v>
      </c>
      <c r="BK271" t="s">
        <v>195</v>
      </c>
      <c r="BL271" t="s">
        <v>4210</v>
      </c>
      <c r="BM271" t="s">
        <v>232</v>
      </c>
      <c r="BN271" t="s">
        <v>182</v>
      </c>
      <c r="BO271" t="s">
        <v>4211</v>
      </c>
      <c r="BP271" t="s">
        <v>4212</v>
      </c>
      <c r="BQ271" t="s">
        <v>562</v>
      </c>
      <c r="BR271" t="s">
        <v>563</v>
      </c>
      <c r="BS271" t="s">
        <v>198</v>
      </c>
      <c r="BT271" t="s">
        <v>1859</v>
      </c>
      <c r="BU271" t="s">
        <v>182</v>
      </c>
      <c r="BV271" t="s">
        <v>198</v>
      </c>
      <c r="BW271" t="s">
        <v>198</v>
      </c>
      <c r="BX271" t="s">
        <v>199</v>
      </c>
      <c r="BY271" t="s">
        <v>198</v>
      </c>
      <c r="BZ271" t="s">
        <v>199</v>
      </c>
      <c r="CA271" t="s">
        <v>199</v>
      </c>
      <c r="CB271" t="s">
        <v>4203</v>
      </c>
      <c r="CC271" t="s">
        <v>201</v>
      </c>
      <c r="CD271" t="s">
        <v>202</v>
      </c>
      <c r="CE271" t="s">
        <v>4213</v>
      </c>
      <c r="CF271" t="s">
        <v>1029</v>
      </c>
      <c r="CG271" t="s">
        <v>177</v>
      </c>
      <c r="CH271" t="s">
        <v>1030</v>
      </c>
      <c r="CI271" t="s">
        <v>4214</v>
      </c>
      <c r="CJ271" t="s">
        <v>4215</v>
      </c>
      <c r="CK271" t="s">
        <v>232</v>
      </c>
      <c r="CL271" t="s">
        <v>233</v>
      </c>
      <c r="CM271" t="s">
        <v>4216</v>
      </c>
      <c r="CN271" t="s">
        <v>235</v>
      </c>
      <c r="CO271" t="s">
        <v>183</v>
      </c>
      <c r="CP271" t="s">
        <v>211</v>
      </c>
      <c r="CQ271" t="s">
        <v>212</v>
      </c>
      <c r="CS271" t="s">
        <v>335</v>
      </c>
      <c r="CT271" t="s">
        <v>2531</v>
      </c>
      <c r="CU271" t="s">
        <v>292</v>
      </c>
      <c r="CV271" t="s">
        <v>293</v>
      </c>
      <c r="CW271" t="s">
        <v>4217</v>
      </c>
      <c r="CX271" t="s">
        <v>295</v>
      </c>
      <c r="CY271" t="s">
        <v>183</v>
      </c>
      <c r="CZ271" t="s">
        <v>211</v>
      </c>
      <c r="DA271" t="s">
        <v>296</v>
      </c>
      <c r="DC271" t="s">
        <v>4218</v>
      </c>
      <c r="DM271" t="s">
        <v>198</v>
      </c>
      <c r="DW271" t="s">
        <v>198</v>
      </c>
      <c r="EG271" t="s">
        <v>198</v>
      </c>
      <c r="EQ271" t="s">
        <v>198</v>
      </c>
      <c r="FA271" t="s">
        <v>198</v>
      </c>
      <c r="FK271" t="s">
        <v>198</v>
      </c>
      <c r="FU271" t="s">
        <v>198</v>
      </c>
    </row>
    <row r="272" spans="1:177">
      <c r="A272" s="1" t="str">
        <f>HYPERLINK("http://digipan.lumentumllc.com/apps/getLink/index.php?t=PropLink&amp;p=15748694","PL")</f>
        <v>PL</v>
      </c>
      <c r="B272" s="1" t="str">
        <f>HYPERLINK("http://digipan.lumentumllc.com/apps/getLink/index.php?t=TaxLink&amp;p=15748694","TL")</f>
        <v>TL</v>
      </c>
      <c r="C272" s="1" t="str">
        <f>HYPERLINK("http://digipan.lumentumllc.com/apps/getMap/index.php?p=15748694","Map")</f>
        <v>Map</v>
      </c>
      <c r="E272" t="s">
        <v>177</v>
      </c>
      <c r="F272" t="s">
        <v>178</v>
      </c>
      <c r="L272" t="s">
        <v>4219</v>
      </c>
      <c r="N272" t="s">
        <v>4219</v>
      </c>
      <c r="O272" t="s">
        <v>4219</v>
      </c>
      <c r="Q272" t="s">
        <v>4219</v>
      </c>
      <c r="V272">
        <v>310</v>
      </c>
      <c r="W272">
        <v>1</v>
      </c>
      <c r="X272">
        <v>2017</v>
      </c>
      <c r="Y272">
        <v>2018</v>
      </c>
      <c r="Z272">
        <v>371.26</v>
      </c>
      <c r="AG272" t="s">
        <v>184</v>
      </c>
      <c r="AH272">
        <v>0</v>
      </c>
      <c r="AK272">
        <v>0</v>
      </c>
      <c r="AL272">
        <v>21427</v>
      </c>
      <c r="AM272">
        <v>15435</v>
      </c>
      <c r="AN272">
        <v>5992</v>
      </c>
      <c r="AO272">
        <v>282</v>
      </c>
      <c r="AP272">
        <v>2016</v>
      </c>
      <c r="AQ272">
        <v>1.73</v>
      </c>
      <c r="AS272" t="s">
        <v>4220</v>
      </c>
      <c r="AT272" t="s">
        <v>3747</v>
      </c>
      <c r="AU272" t="s">
        <v>177</v>
      </c>
      <c r="AV272" t="s">
        <v>1030</v>
      </c>
      <c r="AW272" t="s">
        <v>182</v>
      </c>
      <c r="AX272">
        <v>2</v>
      </c>
      <c r="AY272" t="s">
        <v>188</v>
      </c>
      <c r="AZ272" t="s">
        <v>189</v>
      </c>
      <c r="BA272" t="s">
        <v>190</v>
      </c>
      <c r="BB272" t="s">
        <v>191</v>
      </c>
      <c r="BC272" t="s">
        <v>182</v>
      </c>
      <c r="BD272" t="s">
        <v>182</v>
      </c>
      <c r="BE272" t="s">
        <v>4221</v>
      </c>
      <c r="BF272">
        <v>1</v>
      </c>
      <c r="BG272">
        <v>1</v>
      </c>
      <c r="BH272">
        <v>1983</v>
      </c>
      <c r="BI272" t="s">
        <v>4222</v>
      </c>
      <c r="BJ272" t="s">
        <v>285</v>
      </c>
      <c r="BK272" t="s">
        <v>195</v>
      </c>
      <c r="BL272" t="s">
        <v>199</v>
      </c>
      <c r="BM272" t="s">
        <v>267</v>
      </c>
      <c r="BN272" t="s">
        <v>182</v>
      </c>
      <c r="BO272" t="s">
        <v>198</v>
      </c>
      <c r="BP272" t="s">
        <v>198</v>
      </c>
      <c r="BQ272" t="s">
        <v>198</v>
      </c>
      <c r="BR272" t="s">
        <v>198</v>
      </c>
      <c r="BS272" t="s">
        <v>198</v>
      </c>
      <c r="BT272" t="s">
        <v>198</v>
      </c>
      <c r="BU272" t="s">
        <v>182</v>
      </c>
      <c r="BV272" t="s">
        <v>198</v>
      </c>
      <c r="BW272" t="s">
        <v>198</v>
      </c>
      <c r="BX272" t="s">
        <v>199</v>
      </c>
      <c r="BY272" t="s">
        <v>198</v>
      </c>
      <c r="BZ272" t="s">
        <v>199</v>
      </c>
      <c r="CA272" t="s">
        <v>199</v>
      </c>
      <c r="CB272" t="s">
        <v>4223</v>
      </c>
      <c r="CC272" t="s">
        <v>201</v>
      </c>
      <c r="CD272" t="s">
        <v>182</v>
      </c>
      <c r="CE272" t="s">
        <v>4224</v>
      </c>
      <c r="CF272" t="s">
        <v>4225</v>
      </c>
      <c r="CG272" t="s">
        <v>1602</v>
      </c>
      <c r="CH272" t="s">
        <v>4226</v>
      </c>
      <c r="CI272" t="s">
        <v>4227</v>
      </c>
      <c r="CS272" t="s">
        <v>198</v>
      </c>
      <c r="DC272" t="s">
        <v>198</v>
      </c>
      <c r="DM272" t="s">
        <v>198</v>
      </c>
      <c r="DW272" t="s">
        <v>198</v>
      </c>
      <c r="EG272" t="s">
        <v>198</v>
      </c>
      <c r="EQ272" t="s">
        <v>198</v>
      </c>
      <c r="FA272" t="s">
        <v>198</v>
      </c>
      <c r="FK272" t="s">
        <v>198</v>
      </c>
      <c r="FU272" t="s">
        <v>198</v>
      </c>
    </row>
    <row r="273" spans="1:177">
      <c r="A273" s="1" t="str">
        <f>HYPERLINK("http://digipan.lumentumllc.com/apps/getLink/index.php?t=PropLink&amp;p=6461941","PL")</f>
        <v>PL</v>
      </c>
      <c r="B273" s="1" t="str">
        <f>HYPERLINK("http://digipan.lumentumllc.com/apps/getLink/index.php?t=TaxLink&amp;p=6461941","TL")</f>
        <v>TL</v>
      </c>
      <c r="C273" s="1" t="str">
        <f>HYPERLINK("http://digipan.lumentumllc.com/apps/getMap/index.php?p=6461941","Map")</f>
        <v>Map</v>
      </c>
      <c r="E273" t="s">
        <v>177</v>
      </c>
      <c r="F273" t="s">
        <v>178</v>
      </c>
      <c r="L273" t="s">
        <v>4228</v>
      </c>
      <c r="N273" t="s">
        <v>4228</v>
      </c>
      <c r="O273" t="s">
        <v>4228</v>
      </c>
      <c r="P273" t="s">
        <v>4229</v>
      </c>
      <c r="Q273" t="s">
        <v>4228</v>
      </c>
      <c r="V273">
        <v>312</v>
      </c>
      <c r="W273">
        <v>1</v>
      </c>
      <c r="X273">
        <v>2017</v>
      </c>
      <c r="Y273">
        <v>2018</v>
      </c>
      <c r="Z273">
        <v>406.69</v>
      </c>
      <c r="AB273" t="s">
        <v>181</v>
      </c>
      <c r="AC273" t="s">
        <v>182</v>
      </c>
      <c r="AD273" t="s">
        <v>183</v>
      </c>
      <c r="AE273">
        <v>2</v>
      </c>
      <c r="AF273">
        <v>2</v>
      </c>
      <c r="AG273" t="s">
        <v>762</v>
      </c>
      <c r="AH273">
        <v>50</v>
      </c>
      <c r="AI273">
        <v>692.22</v>
      </c>
      <c r="AJ273">
        <v>39.9</v>
      </c>
      <c r="AK273">
        <v>732.12</v>
      </c>
      <c r="AL273">
        <v>25110</v>
      </c>
      <c r="AM273">
        <v>25110</v>
      </c>
      <c r="AN273">
        <v>0</v>
      </c>
      <c r="AO273">
        <v>301</v>
      </c>
      <c r="AP273">
        <v>2016</v>
      </c>
      <c r="AQ273">
        <v>1.62</v>
      </c>
      <c r="AR273">
        <v>2.92</v>
      </c>
      <c r="AS273" t="s">
        <v>4188</v>
      </c>
      <c r="AT273" t="s">
        <v>3747</v>
      </c>
      <c r="AU273" t="s">
        <v>177</v>
      </c>
      <c r="AV273" t="s">
        <v>1030</v>
      </c>
      <c r="AW273" t="s">
        <v>182</v>
      </c>
      <c r="AX273">
        <v>0</v>
      </c>
      <c r="AY273" t="s">
        <v>312</v>
      </c>
      <c r="AZ273" t="s">
        <v>199</v>
      </c>
      <c r="BA273" t="s">
        <v>313</v>
      </c>
      <c r="BB273" t="s">
        <v>191</v>
      </c>
      <c r="BC273" t="s">
        <v>182</v>
      </c>
      <c r="BD273" t="s">
        <v>182</v>
      </c>
      <c r="BE273" t="s">
        <v>4230</v>
      </c>
      <c r="BF273">
        <v>0</v>
      </c>
      <c r="BG273">
        <v>0</v>
      </c>
      <c r="BH273">
        <v>0</v>
      </c>
      <c r="BI273" t="s">
        <v>199</v>
      </c>
      <c r="BJ273" t="s">
        <v>315</v>
      </c>
      <c r="BL273" t="s">
        <v>2075</v>
      </c>
      <c r="BM273" t="s">
        <v>207</v>
      </c>
      <c r="BN273" t="s">
        <v>182</v>
      </c>
      <c r="BO273" t="s">
        <v>3842</v>
      </c>
      <c r="BP273" t="s">
        <v>4231</v>
      </c>
      <c r="BS273" t="s">
        <v>4232</v>
      </c>
      <c r="BT273" t="s">
        <v>198</v>
      </c>
      <c r="BU273" t="s">
        <v>182</v>
      </c>
      <c r="BV273" t="s">
        <v>198</v>
      </c>
      <c r="BW273" t="s">
        <v>198</v>
      </c>
      <c r="BX273" t="s">
        <v>199</v>
      </c>
      <c r="BY273" t="s">
        <v>198</v>
      </c>
      <c r="BZ273" t="s">
        <v>199</v>
      </c>
      <c r="CA273" t="s">
        <v>199</v>
      </c>
      <c r="CB273" t="s">
        <v>4233</v>
      </c>
      <c r="CC273" t="s">
        <v>201</v>
      </c>
      <c r="CD273" t="s">
        <v>202</v>
      </c>
      <c r="CE273" t="s">
        <v>4190</v>
      </c>
      <c r="CF273" t="s">
        <v>1029</v>
      </c>
      <c r="CG273" t="s">
        <v>177</v>
      </c>
      <c r="CH273" t="s">
        <v>1030</v>
      </c>
      <c r="CI273" t="s">
        <v>4234</v>
      </c>
      <c r="CJ273" t="s">
        <v>3063</v>
      </c>
      <c r="CK273" t="s">
        <v>232</v>
      </c>
      <c r="CL273" t="s">
        <v>233</v>
      </c>
      <c r="CM273" t="s">
        <v>4235</v>
      </c>
      <c r="CN273" t="s">
        <v>688</v>
      </c>
      <c r="CO273" t="s">
        <v>183</v>
      </c>
      <c r="CP273" t="s">
        <v>266</v>
      </c>
      <c r="CS273" t="s">
        <v>198</v>
      </c>
      <c r="CT273" t="s">
        <v>2573</v>
      </c>
      <c r="CU273" t="s">
        <v>292</v>
      </c>
      <c r="CV273" t="s">
        <v>293</v>
      </c>
      <c r="CW273" t="s">
        <v>4236</v>
      </c>
      <c r="CX273" t="s">
        <v>235</v>
      </c>
      <c r="CY273" t="s">
        <v>183</v>
      </c>
      <c r="CZ273" t="s">
        <v>266</v>
      </c>
      <c r="DC273" t="s">
        <v>198</v>
      </c>
      <c r="DD273" t="s">
        <v>2474</v>
      </c>
      <c r="DE273" t="s">
        <v>267</v>
      </c>
      <c r="DF273" t="s">
        <v>268</v>
      </c>
      <c r="DG273" t="s">
        <v>4237</v>
      </c>
      <c r="DH273" t="s">
        <v>235</v>
      </c>
      <c r="DI273" t="s">
        <v>183</v>
      </c>
      <c r="DJ273" t="s">
        <v>211</v>
      </c>
      <c r="DK273" t="s">
        <v>189</v>
      </c>
      <c r="DM273" t="s">
        <v>2629</v>
      </c>
      <c r="DN273" t="s">
        <v>4215</v>
      </c>
      <c r="DO273" t="s">
        <v>302</v>
      </c>
      <c r="DP273" t="s">
        <v>303</v>
      </c>
      <c r="DQ273" t="s">
        <v>4238</v>
      </c>
      <c r="DR273" t="s">
        <v>440</v>
      </c>
      <c r="DS273" t="s">
        <v>183</v>
      </c>
      <c r="DT273" t="s">
        <v>211</v>
      </c>
      <c r="DU273" t="s">
        <v>290</v>
      </c>
      <c r="DW273" t="s">
        <v>4198</v>
      </c>
      <c r="EG273" t="s">
        <v>198</v>
      </c>
      <c r="EQ273" t="s">
        <v>198</v>
      </c>
      <c r="FA273" t="s">
        <v>198</v>
      </c>
      <c r="FK273" t="s">
        <v>198</v>
      </c>
      <c r="FU273" t="s">
        <v>198</v>
      </c>
    </row>
    <row r="274" spans="1:177">
      <c r="A274" s="1" t="str">
        <f>HYPERLINK("http://digipan.lumentumllc.com/apps/getLink/index.php?t=PropLink&amp;p=5246489","PL")</f>
        <v>PL</v>
      </c>
      <c r="B274" s="1" t="str">
        <f>HYPERLINK("http://digipan.lumentumllc.com/apps/getLink/index.php?t=TaxLink&amp;p=5246489","TL")</f>
        <v>TL</v>
      </c>
      <c r="C274" s="1" t="str">
        <f>HYPERLINK("http://digipan.lumentumllc.com/apps/getMap/index.php?p=5246489","Map")</f>
        <v>Map</v>
      </c>
      <c r="E274" t="s">
        <v>177</v>
      </c>
      <c r="F274" t="s">
        <v>178</v>
      </c>
      <c r="L274" t="s">
        <v>4239</v>
      </c>
      <c r="N274" t="s">
        <v>4239</v>
      </c>
      <c r="O274" t="s">
        <v>4239</v>
      </c>
      <c r="P274" t="s">
        <v>4240</v>
      </c>
      <c r="Q274" t="s">
        <v>4239</v>
      </c>
      <c r="V274">
        <v>313</v>
      </c>
      <c r="W274">
        <v>1</v>
      </c>
      <c r="X274">
        <v>2017</v>
      </c>
      <c r="Y274">
        <v>2018</v>
      </c>
      <c r="Z274">
        <v>1032.04</v>
      </c>
      <c r="AB274" t="s">
        <v>181</v>
      </c>
      <c r="AC274" t="s">
        <v>182</v>
      </c>
      <c r="AD274" t="s">
        <v>183</v>
      </c>
      <c r="AE274">
        <v>2</v>
      </c>
      <c r="AF274">
        <v>4</v>
      </c>
      <c r="AG274" t="s">
        <v>282</v>
      </c>
      <c r="AH274">
        <v>67</v>
      </c>
      <c r="AI274">
        <v>2054.5500000000002</v>
      </c>
      <c r="AJ274">
        <v>102.73</v>
      </c>
      <c r="AK274">
        <v>2157.2800000000002</v>
      </c>
      <c r="AL274">
        <v>61080</v>
      </c>
      <c r="AM274">
        <v>61080</v>
      </c>
      <c r="AN274">
        <v>0</v>
      </c>
      <c r="AO274">
        <v>938</v>
      </c>
      <c r="AP274">
        <v>2016</v>
      </c>
      <c r="AQ274">
        <v>1.69</v>
      </c>
      <c r="AR274">
        <v>3.53</v>
      </c>
      <c r="AS274" t="s">
        <v>4188</v>
      </c>
      <c r="AT274" t="s">
        <v>3747</v>
      </c>
      <c r="AU274" t="s">
        <v>177</v>
      </c>
      <c r="AV274" t="s">
        <v>1030</v>
      </c>
      <c r="AW274" t="s">
        <v>182</v>
      </c>
      <c r="AX274">
        <v>0</v>
      </c>
      <c r="AY274" t="s">
        <v>312</v>
      </c>
      <c r="AZ274" t="s">
        <v>199</v>
      </c>
      <c r="BA274" t="s">
        <v>313</v>
      </c>
      <c r="BB274" t="s">
        <v>191</v>
      </c>
      <c r="BC274" t="s">
        <v>182</v>
      </c>
      <c r="BD274" t="s">
        <v>182</v>
      </c>
      <c r="BE274" t="s">
        <v>4241</v>
      </c>
      <c r="BF274">
        <v>0</v>
      </c>
      <c r="BG274">
        <v>0</v>
      </c>
      <c r="BH274">
        <v>0</v>
      </c>
      <c r="BI274" t="s">
        <v>199</v>
      </c>
      <c r="BJ274" t="s">
        <v>315</v>
      </c>
      <c r="BL274" t="s">
        <v>824</v>
      </c>
      <c r="BM274" t="s">
        <v>559</v>
      </c>
      <c r="BN274" t="s">
        <v>182</v>
      </c>
      <c r="BO274" t="s">
        <v>198</v>
      </c>
      <c r="BP274" t="s">
        <v>198</v>
      </c>
      <c r="BQ274" t="s">
        <v>198</v>
      </c>
      <c r="BR274" t="s">
        <v>198</v>
      </c>
      <c r="BS274" t="s">
        <v>198</v>
      </c>
      <c r="BT274" t="s">
        <v>198</v>
      </c>
      <c r="BU274" t="s">
        <v>182</v>
      </c>
      <c r="BV274" t="s">
        <v>198</v>
      </c>
      <c r="BW274" t="s">
        <v>198</v>
      </c>
      <c r="BX274" t="s">
        <v>199</v>
      </c>
      <c r="BY274" t="s">
        <v>198</v>
      </c>
      <c r="BZ274" t="s">
        <v>199</v>
      </c>
      <c r="CA274" t="s">
        <v>199</v>
      </c>
      <c r="CB274" t="s">
        <v>4189</v>
      </c>
      <c r="CC274" t="s">
        <v>201</v>
      </c>
      <c r="CD274" t="s">
        <v>202</v>
      </c>
      <c r="CE274" t="s">
        <v>4190</v>
      </c>
      <c r="CF274" t="s">
        <v>1029</v>
      </c>
      <c r="CG274" t="s">
        <v>177</v>
      </c>
      <c r="CH274" t="s">
        <v>1030</v>
      </c>
      <c r="CI274" t="s">
        <v>4242</v>
      </c>
      <c r="CJ274" t="s">
        <v>3099</v>
      </c>
      <c r="CK274" t="s">
        <v>232</v>
      </c>
      <c r="CL274" t="s">
        <v>233</v>
      </c>
      <c r="CM274" t="s">
        <v>4243</v>
      </c>
      <c r="CN274" t="s">
        <v>235</v>
      </c>
      <c r="CO274" t="s">
        <v>183</v>
      </c>
      <c r="CP274" t="s">
        <v>266</v>
      </c>
      <c r="CS274" t="s">
        <v>198</v>
      </c>
      <c r="CT274" t="s">
        <v>2729</v>
      </c>
      <c r="CU274" t="s">
        <v>292</v>
      </c>
      <c r="CV274" t="s">
        <v>293</v>
      </c>
      <c r="CW274" t="s">
        <v>4244</v>
      </c>
      <c r="CX274" t="s">
        <v>235</v>
      </c>
      <c r="CY274" t="s">
        <v>183</v>
      </c>
      <c r="CZ274" t="s">
        <v>266</v>
      </c>
      <c r="DC274" t="s">
        <v>198</v>
      </c>
      <c r="DD274" t="s">
        <v>2494</v>
      </c>
      <c r="DE274" t="s">
        <v>267</v>
      </c>
      <c r="DF274" t="s">
        <v>268</v>
      </c>
      <c r="DG274" t="s">
        <v>4245</v>
      </c>
      <c r="DH274" t="s">
        <v>331</v>
      </c>
      <c r="DI274" t="s">
        <v>183</v>
      </c>
      <c r="DJ274" t="s">
        <v>211</v>
      </c>
      <c r="DK274" t="s">
        <v>189</v>
      </c>
      <c r="DM274" t="s">
        <v>2629</v>
      </c>
      <c r="DN274" t="s">
        <v>4013</v>
      </c>
      <c r="DO274" t="s">
        <v>273</v>
      </c>
      <c r="DP274" t="s">
        <v>274</v>
      </c>
      <c r="DQ274" t="s">
        <v>4246</v>
      </c>
      <c r="DR274" t="s">
        <v>1491</v>
      </c>
      <c r="DS274" t="s">
        <v>183</v>
      </c>
      <c r="DT274" t="s">
        <v>211</v>
      </c>
      <c r="DU274" t="s">
        <v>212</v>
      </c>
      <c r="DW274" t="s">
        <v>4247</v>
      </c>
      <c r="DX274" t="s">
        <v>3063</v>
      </c>
      <c r="DY274" t="s">
        <v>302</v>
      </c>
      <c r="DZ274" t="s">
        <v>303</v>
      </c>
      <c r="EA274" t="s">
        <v>4248</v>
      </c>
      <c r="EB274" t="s">
        <v>235</v>
      </c>
      <c r="EC274" t="s">
        <v>183</v>
      </c>
      <c r="ED274" t="s">
        <v>211</v>
      </c>
      <c r="EE274" t="s">
        <v>334</v>
      </c>
      <c r="EG274" t="s">
        <v>4247</v>
      </c>
      <c r="EH274" t="s">
        <v>4249</v>
      </c>
      <c r="EI274" t="s">
        <v>346</v>
      </c>
      <c r="EJ274" t="s">
        <v>347</v>
      </c>
      <c r="EK274" t="s">
        <v>4250</v>
      </c>
      <c r="EL274" t="s">
        <v>615</v>
      </c>
      <c r="EM274" t="s">
        <v>183</v>
      </c>
      <c r="EN274" t="s">
        <v>211</v>
      </c>
      <c r="EO274" t="s">
        <v>206</v>
      </c>
      <c r="EQ274" t="s">
        <v>4251</v>
      </c>
      <c r="FA274" t="s">
        <v>198</v>
      </c>
      <c r="FK274" t="s">
        <v>198</v>
      </c>
      <c r="FU274" t="s">
        <v>198</v>
      </c>
    </row>
    <row r="275" spans="1:177">
      <c r="A275" s="1" t="str">
        <f>HYPERLINK("http://digipan.lumentumllc.com/apps/getLink/index.php?t=PropLink&amp;p=6594221","PL")</f>
        <v>PL</v>
      </c>
      <c r="B275" s="1" t="str">
        <f>HYPERLINK("http://digipan.lumentumllc.com/apps/getLink/index.php?t=TaxLink&amp;p=6594221","TL")</f>
        <v>TL</v>
      </c>
      <c r="C275" s="1" t="str">
        <f>HYPERLINK("http://digipan.lumentumllc.com/apps/getMap/index.php?p=6594221","Map")</f>
        <v>Map</v>
      </c>
      <c r="E275" t="s">
        <v>177</v>
      </c>
      <c r="F275" t="s">
        <v>178</v>
      </c>
      <c r="L275" t="s">
        <v>4252</v>
      </c>
      <c r="N275" t="s">
        <v>4252</v>
      </c>
      <c r="O275" t="s">
        <v>4252</v>
      </c>
      <c r="P275" t="s">
        <v>4253</v>
      </c>
      <c r="Q275" t="s">
        <v>4252</v>
      </c>
      <c r="V275">
        <v>314</v>
      </c>
      <c r="W275">
        <v>1</v>
      </c>
      <c r="X275">
        <v>2017</v>
      </c>
      <c r="Y275">
        <v>2018</v>
      </c>
      <c r="Z275">
        <v>334.61</v>
      </c>
      <c r="AB275" t="s">
        <v>181</v>
      </c>
      <c r="AC275" t="s">
        <v>182</v>
      </c>
      <c r="AD275" t="s">
        <v>183</v>
      </c>
      <c r="AE275">
        <v>0</v>
      </c>
      <c r="AF275">
        <v>4</v>
      </c>
      <c r="AG275" t="s">
        <v>744</v>
      </c>
      <c r="AH275">
        <v>100</v>
      </c>
      <c r="AK275">
        <v>0</v>
      </c>
      <c r="AL275">
        <v>119416</v>
      </c>
      <c r="AM275">
        <v>26567</v>
      </c>
      <c r="AN275">
        <v>92849</v>
      </c>
      <c r="AO275">
        <v>268</v>
      </c>
      <c r="AP275">
        <v>2016</v>
      </c>
      <c r="AQ275">
        <v>0.28000000000000003</v>
      </c>
      <c r="AS275" t="s">
        <v>4254</v>
      </c>
      <c r="AT275" t="s">
        <v>3747</v>
      </c>
      <c r="AU275" t="s">
        <v>177</v>
      </c>
      <c r="AV275" t="s">
        <v>1030</v>
      </c>
      <c r="AW275" t="s">
        <v>202</v>
      </c>
      <c r="AX275">
        <v>55</v>
      </c>
      <c r="AY275" t="s">
        <v>218</v>
      </c>
      <c r="AZ275" t="s">
        <v>1682</v>
      </c>
      <c r="BA275" t="s">
        <v>1683</v>
      </c>
      <c r="BB275" t="s">
        <v>191</v>
      </c>
      <c r="BC275" t="s">
        <v>182</v>
      </c>
      <c r="BD275" t="s">
        <v>182</v>
      </c>
      <c r="BE275" t="s">
        <v>4255</v>
      </c>
      <c r="BF275">
        <v>1</v>
      </c>
      <c r="BG275">
        <v>1</v>
      </c>
      <c r="BH275">
        <v>1996</v>
      </c>
      <c r="BI275" t="s">
        <v>4256</v>
      </c>
      <c r="BJ275" t="s">
        <v>396</v>
      </c>
      <c r="BK275" t="s">
        <v>195</v>
      </c>
      <c r="BL275" t="s">
        <v>884</v>
      </c>
      <c r="BM275" t="s">
        <v>302</v>
      </c>
      <c r="BN275" t="s">
        <v>182</v>
      </c>
      <c r="BO275" t="s">
        <v>4257</v>
      </c>
      <c r="BP275" t="s">
        <v>1696</v>
      </c>
      <c r="BQ275" t="s">
        <v>226</v>
      </c>
      <c r="BR275" t="s">
        <v>227</v>
      </c>
      <c r="BS275" t="s">
        <v>198</v>
      </c>
      <c r="BT275" t="s">
        <v>228</v>
      </c>
      <c r="BU275" t="s">
        <v>182</v>
      </c>
      <c r="BV275" t="s">
        <v>198</v>
      </c>
      <c r="BW275" t="s">
        <v>198</v>
      </c>
      <c r="BX275" t="s">
        <v>199</v>
      </c>
      <c r="BY275" t="s">
        <v>198</v>
      </c>
      <c r="BZ275" t="s">
        <v>199</v>
      </c>
      <c r="CA275" t="s">
        <v>199</v>
      </c>
      <c r="CB275" t="s">
        <v>4258</v>
      </c>
      <c r="CC275" t="s">
        <v>201</v>
      </c>
      <c r="CD275" t="s">
        <v>182</v>
      </c>
      <c r="CE275" t="s">
        <v>4259</v>
      </c>
      <c r="CF275" t="s">
        <v>1029</v>
      </c>
      <c r="CG275" t="s">
        <v>177</v>
      </c>
      <c r="CH275" t="s">
        <v>1030</v>
      </c>
      <c r="CI275" t="s">
        <v>4260</v>
      </c>
      <c r="CJ275" t="s">
        <v>2923</v>
      </c>
      <c r="CK275" t="s">
        <v>232</v>
      </c>
      <c r="CL275" t="s">
        <v>233</v>
      </c>
      <c r="CM275" t="s">
        <v>4261</v>
      </c>
      <c r="CN275" t="s">
        <v>235</v>
      </c>
      <c r="CO275" t="s">
        <v>183</v>
      </c>
      <c r="CP275" t="s">
        <v>211</v>
      </c>
      <c r="CQ275" t="s">
        <v>189</v>
      </c>
      <c r="CS275" t="s">
        <v>4262</v>
      </c>
      <c r="CT275" t="s">
        <v>3852</v>
      </c>
      <c r="CU275" t="s">
        <v>292</v>
      </c>
      <c r="CV275" t="s">
        <v>293</v>
      </c>
      <c r="CW275" t="s">
        <v>4263</v>
      </c>
      <c r="CX275" t="s">
        <v>235</v>
      </c>
      <c r="CY275" t="s">
        <v>183</v>
      </c>
      <c r="CZ275" t="s">
        <v>211</v>
      </c>
      <c r="DA275" t="s">
        <v>189</v>
      </c>
      <c r="DC275" t="s">
        <v>4264</v>
      </c>
      <c r="DD275" t="s">
        <v>2513</v>
      </c>
      <c r="DE275" t="s">
        <v>267</v>
      </c>
      <c r="DF275" t="s">
        <v>268</v>
      </c>
      <c r="DG275" t="s">
        <v>4265</v>
      </c>
      <c r="DH275" t="s">
        <v>235</v>
      </c>
      <c r="DI275" t="s">
        <v>183</v>
      </c>
      <c r="DJ275" t="s">
        <v>211</v>
      </c>
      <c r="DK275" t="s">
        <v>199</v>
      </c>
      <c r="DM275" t="s">
        <v>4266</v>
      </c>
      <c r="DN275" t="s">
        <v>2815</v>
      </c>
      <c r="DO275" t="s">
        <v>273</v>
      </c>
      <c r="DP275" t="s">
        <v>274</v>
      </c>
      <c r="DQ275" t="s">
        <v>4267</v>
      </c>
      <c r="DR275" t="s">
        <v>235</v>
      </c>
      <c r="DS275" t="s">
        <v>183</v>
      </c>
      <c r="DT275" t="s">
        <v>211</v>
      </c>
      <c r="DU275" t="s">
        <v>250</v>
      </c>
      <c r="DW275" t="s">
        <v>4268</v>
      </c>
      <c r="EG275" t="s">
        <v>198</v>
      </c>
      <c r="EQ275" t="s">
        <v>198</v>
      </c>
      <c r="FA275" t="s">
        <v>198</v>
      </c>
      <c r="FK275" t="s">
        <v>198</v>
      </c>
      <c r="FU275" t="s">
        <v>198</v>
      </c>
    </row>
    <row r="276" spans="1:177">
      <c r="A276" s="1" t="str">
        <f>HYPERLINK("http://digipan.lumentumllc.com/apps/getLink/index.php?t=PropLink&amp;p=6594223","PL")</f>
        <v>PL</v>
      </c>
      <c r="B276" s="1" t="str">
        <f>HYPERLINK("http://digipan.lumentumllc.com/apps/getLink/index.php?t=TaxLink&amp;p=6594223","TL")</f>
        <v>TL</v>
      </c>
      <c r="C276" s="1" t="str">
        <f>HYPERLINK("http://digipan.lumentumllc.com/apps/getMap/index.php?p=6594223","Map")</f>
        <v>Map</v>
      </c>
      <c r="E276" t="s">
        <v>177</v>
      </c>
      <c r="F276" t="s">
        <v>178</v>
      </c>
      <c r="L276" t="s">
        <v>4269</v>
      </c>
      <c r="N276" t="s">
        <v>4269</v>
      </c>
      <c r="O276" t="s">
        <v>4269</v>
      </c>
      <c r="P276" t="s">
        <v>4270</v>
      </c>
      <c r="Q276" t="s">
        <v>4269</v>
      </c>
      <c r="V276">
        <v>316</v>
      </c>
      <c r="W276">
        <v>1</v>
      </c>
      <c r="X276">
        <v>2017</v>
      </c>
      <c r="Y276">
        <v>2018</v>
      </c>
      <c r="Z276">
        <v>316.25</v>
      </c>
      <c r="AB276" t="s">
        <v>181</v>
      </c>
      <c r="AC276" t="s">
        <v>182</v>
      </c>
      <c r="AD276" t="s">
        <v>183</v>
      </c>
      <c r="AE276">
        <v>0</v>
      </c>
      <c r="AF276">
        <v>1</v>
      </c>
      <c r="AG276" t="s">
        <v>821</v>
      </c>
      <c r="AH276">
        <v>100</v>
      </c>
      <c r="AK276">
        <v>0</v>
      </c>
      <c r="AL276">
        <v>42361</v>
      </c>
      <c r="AM276">
        <v>19050</v>
      </c>
      <c r="AN276">
        <v>23311</v>
      </c>
      <c r="AO276">
        <v>562</v>
      </c>
      <c r="AP276">
        <v>2016</v>
      </c>
      <c r="AQ276">
        <v>0.75</v>
      </c>
      <c r="AS276" t="s">
        <v>4271</v>
      </c>
      <c r="AT276" t="s">
        <v>3747</v>
      </c>
      <c r="AU276" t="s">
        <v>177</v>
      </c>
      <c r="AV276" t="s">
        <v>1030</v>
      </c>
      <c r="AW276" t="s">
        <v>202</v>
      </c>
      <c r="AX276">
        <v>2</v>
      </c>
      <c r="AY276" t="s">
        <v>188</v>
      </c>
      <c r="AZ276" t="s">
        <v>189</v>
      </c>
      <c r="BA276" t="s">
        <v>190</v>
      </c>
      <c r="BB276" t="s">
        <v>191</v>
      </c>
      <c r="BC276" t="s">
        <v>182</v>
      </c>
      <c r="BD276" t="s">
        <v>182</v>
      </c>
      <c r="BE276" t="s">
        <v>4272</v>
      </c>
      <c r="BF276">
        <v>1</v>
      </c>
      <c r="BG276">
        <v>1</v>
      </c>
      <c r="BH276">
        <v>2000</v>
      </c>
      <c r="BI276" t="s">
        <v>2209</v>
      </c>
      <c r="BJ276" t="s">
        <v>194</v>
      </c>
      <c r="BK276" t="s">
        <v>195</v>
      </c>
      <c r="BL276" t="s">
        <v>4273</v>
      </c>
      <c r="BM276" t="s">
        <v>292</v>
      </c>
      <c r="BN276" t="s">
        <v>182</v>
      </c>
      <c r="BO276" t="s">
        <v>4274</v>
      </c>
      <c r="BP276" t="s">
        <v>4275</v>
      </c>
      <c r="BQ276" t="s">
        <v>226</v>
      </c>
      <c r="BR276" t="s">
        <v>227</v>
      </c>
      <c r="BS276" t="s">
        <v>198</v>
      </c>
      <c r="BT276" t="s">
        <v>4276</v>
      </c>
      <c r="BU276" t="s">
        <v>182</v>
      </c>
      <c r="BV276" t="s">
        <v>198</v>
      </c>
      <c r="BW276" t="s">
        <v>198</v>
      </c>
      <c r="BX276" t="s">
        <v>199</v>
      </c>
      <c r="BY276" t="s">
        <v>198</v>
      </c>
      <c r="BZ276" t="s">
        <v>199</v>
      </c>
      <c r="CA276" t="s">
        <v>199</v>
      </c>
      <c r="CB276" t="s">
        <v>4277</v>
      </c>
      <c r="CC276" t="s">
        <v>201</v>
      </c>
      <c r="CD276" t="s">
        <v>182</v>
      </c>
      <c r="CE276" t="s">
        <v>4278</v>
      </c>
      <c r="CF276" t="s">
        <v>1029</v>
      </c>
      <c r="CG276" t="s">
        <v>177</v>
      </c>
      <c r="CH276" t="s">
        <v>1030</v>
      </c>
      <c r="CI276" t="s">
        <v>4279</v>
      </c>
      <c r="CJ276" t="s">
        <v>3903</v>
      </c>
      <c r="CK276" t="s">
        <v>273</v>
      </c>
      <c r="CL276" t="s">
        <v>274</v>
      </c>
      <c r="CM276" t="s">
        <v>4280</v>
      </c>
      <c r="CN276" t="s">
        <v>235</v>
      </c>
      <c r="CO276" t="s">
        <v>183</v>
      </c>
      <c r="CP276" t="s">
        <v>211</v>
      </c>
      <c r="CQ276" t="s">
        <v>270</v>
      </c>
      <c r="CS276" t="s">
        <v>1486</v>
      </c>
      <c r="DC276" t="s">
        <v>198</v>
      </c>
      <c r="DM276" t="s">
        <v>198</v>
      </c>
      <c r="DW276" t="s">
        <v>198</v>
      </c>
      <c r="EG276" t="s">
        <v>198</v>
      </c>
      <c r="EQ276" t="s">
        <v>198</v>
      </c>
      <c r="FA276" t="s">
        <v>198</v>
      </c>
      <c r="FK276" t="s">
        <v>198</v>
      </c>
      <c r="FU276" t="s">
        <v>198</v>
      </c>
    </row>
    <row r="277" spans="1:177">
      <c r="A277" s="1" t="str">
        <f>HYPERLINK("http://digipan.lumentumllc.com/apps/getLink/index.php?t=PropLink&amp;p=5246518","PL")</f>
        <v>PL</v>
      </c>
      <c r="B277" s="1" t="str">
        <f>HYPERLINK("http://digipan.lumentumllc.com/apps/getLink/index.php?t=TaxLink&amp;p=5246518","TL")</f>
        <v>TL</v>
      </c>
      <c r="C277" s="1" t="str">
        <f>HYPERLINK("http://digipan.lumentumllc.com/apps/getMap/index.php?p=5246518","Map")</f>
        <v>Map</v>
      </c>
      <c r="E277" t="s">
        <v>177</v>
      </c>
      <c r="F277" t="s">
        <v>178</v>
      </c>
      <c r="L277" t="s">
        <v>4281</v>
      </c>
      <c r="N277" t="s">
        <v>4281</v>
      </c>
      <c r="O277" t="s">
        <v>4281</v>
      </c>
      <c r="P277" t="s">
        <v>4282</v>
      </c>
      <c r="Q277" t="s">
        <v>4281</v>
      </c>
      <c r="V277">
        <v>317</v>
      </c>
      <c r="W277">
        <v>1</v>
      </c>
      <c r="X277">
        <v>2017</v>
      </c>
      <c r="Y277">
        <v>2018</v>
      </c>
      <c r="Z277">
        <v>759.47</v>
      </c>
      <c r="AB277" t="s">
        <v>181</v>
      </c>
      <c r="AC277" t="s">
        <v>182</v>
      </c>
      <c r="AD277" t="s">
        <v>183</v>
      </c>
      <c r="AE277">
        <v>1</v>
      </c>
      <c r="AF277">
        <v>6</v>
      </c>
      <c r="AG277" t="s">
        <v>322</v>
      </c>
      <c r="AH277">
        <v>83</v>
      </c>
      <c r="AI277">
        <v>626.77</v>
      </c>
      <c r="AJ277">
        <v>31.34</v>
      </c>
      <c r="AK277">
        <v>658.11</v>
      </c>
      <c r="AL277">
        <v>50509</v>
      </c>
      <c r="AM277">
        <v>21600</v>
      </c>
      <c r="AN277">
        <v>28909</v>
      </c>
      <c r="AO277">
        <v>555</v>
      </c>
      <c r="AP277">
        <v>2016</v>
      </c>
      <c r="AQ277">
        <v>1.5</v>
      </c>
      <c r="AR277">
        <v>1.3</v>
      </c>
      <c r="AS277" t="s">
        <v>4283</v>
      </c>
      <c r="AT277" t="s">
        <v>3747</v>
      </c>
      <c r="AU277" t="s">
        <v>177</v>
      </c>
      <c r="AV277" t="s">
        <v>1030</v>
      </c>
      <c r="AW277" t="s">
        <v>182</v>
      </c>
      <c r="AX277">
        <v>2</v>
      </c>
      <c r="AY277" t="s">
        <v>188</v>
      </c>
      <c r="AZ277" t="s">
        <v>189</v>
      </c>
      <c r="BA277" t="s">
        <v>190</v>
      </c>
      <c r="BB277" t="s">
        <v>191</v>
      </c>
      <c r="BC277" t="s">
        <v>182</v>
      </c>
      <c r="BD277" t="s">
        <v>182</v>
      </c>
      <c r="BE277" t="s">
        <v>4284</v>
      </c>
      <c r="BF277">
        <v>1</v>
      </c>
      <c r="BG277">
        <v>1</v>
      </c>
      <c r="BH277">
        <v>1993</v>
      </c>
      <c r="BI277" t="s">
        <v>2716</v>
      </c>
      <c r="BJ277" t="s">
        <v>194</v>
      </c>
      <c r="BK277" t="s">
        <v>195</v>
      </c>
      <c r="BL277" t="s">
        <v>2050</v>
      </c>
      <c r="BM277" t="s">
        <v>533</v>
      </c>
      <c r="BN277" t="s">
        <v>182</v>
      </c>
      <c r="BO277" t="s">
        <v>1204</v>
      </c>
      <c r="BP277" t="s">
        <v>4285</v>
      </c>
      <c r="BQ277" t="s">
        <v>800</v>
      </c>
      <c r="BR277" t="s">
        <v>563</v>
      </c>
      <c r="BS277" t="s">
        <v>198</v>
      </c>
      <c r="BT277" t="s">
        <v>4251</v>
      </c>
      <c r="BU277" t="s">
        <v>182</v>
      </c>
      <c r="BV277" t="s">
        <v>198</v>
      </c>
      <c r="BW277" t="s">
        <v>198</v>
      </c>
      <c r="BX277" t="s">
        <v>199</v>
      </c>
      <c r="BY277" t="s">
        <v>198</v>
      </c>
      <c r="BZ277" t="s">
        <v>199</v>
      </c>
      <c r="CA277" t="s">
        <v>199</v>
      </c>
      <c r="CB277" t="s">
        <v>4286</v>
      </c>
      <c r="CC277" t="s">
        <v>201</v>
      </c>
      <c r="CD277" t="s">
        <v>182</v>
      </c>
      <c r="CE277" t="s">
        <v>4287</v>
      </c>
      <c r="CF277" t="s">
        <v>413</v>
      </c>
      <c r="CG277" t="s">
        <v>177</v>
      </c>
      <c r="CH277" t="s">
        <v>2643</v>
      </c>
      <c r="CI277" t="s">
        <v>1364</v>
      </c>
      <c r="CJ277" t="s">
        <v>4288</v>
      </c>
      <c r="CK277" t="s">
        <v>232</v>
      </c>
      <c r="CL277" t="s">
        <v>233</v>
      </c>
      <c r="CM277" t="s">
        <v>4289</v>
      </c>
      <c r="CN277" t="s">
        <v>235</v>
      </c>
      <c r="CO277" t="s">
        <v>183</v>
      </c>
      <c r="CP277" t="s">
        <v>266</v>
      </c>
      <c r="CS277" t="s">
        <v>198</v>
      </c>
      <c r="CT277" t="s">
        <v>4290</v>
      </c>
      <c r="CU277" t="s">
        <v>292</v>
      </c>
      <c r="CV277" t="s">
        <v>293</v>
      </c>
      <c r="CW277" t="s">
        <v>4291</v>
      </c>
      <c r="CX277" t="s">
        <v>235</v>
      </c>
      <c r="CY277" t="s">
        <v>183</v>
      </c>
      <c r="CZ277" t="s">
        <v>211</v>
      </c>
      <c r="DA277" t="s">
        <v>329</v>
      </c>
      <c r="DC277" t="s">
        <v>2428</v>
      </c>
      <c r="DD277" t="s">
        <v>2531</v>
      </c>
      <c r="DE277" t="s">
        <v>267</v>
      </c>
      <c r="DF277" t="s">
        <v>268</v>
      </c>
      <c r="DG277" t="s">
        <v>4292</v>
      </c>
      <c r="DH277" t="s">
        <v>235</v>
      </c>
      <c r="DI277" t="s">
        <v>183</v>
      </c>
      <c r="DJ277" t="s">
        <v>211</v>
      </c>
      <c r="DK277" t="s">
        <v>298</v>
      </c>
      <c r="DM277" t="s">
        <v>2428</v>
      </c>
      <c r="DN277" t="s">
        <v>2677</v>
      </c>
      <c r="DO277" t="s">
        <v>273</v>
      </c>
      <c r="DP277" t="s">
        <v>274</v>
      </c>
      <c r="DQ277" t="s">
        <v>4293</v>
      </c>
      <c r="DR277" t="s">
        <v>235</v>
      </c>
      <c r="DS277" t="s">
        <v>183</v>
      </c>
      <c r="DT277" t="s">
        <v>211</v>
      </c>
      <c r="DU277" t="s">
        <v>329</v>
      </c>
      <c r="DW277" t="s">
        <v>2184</v>
      </c>
      <c r="DX277" t="s">
        <v>3099</v>
      </c>
      <c r="DY277" t="s">
        <v>302</v>
      </c>
      <c r="DZ277" t="s">
        <v>303</v>
      </c>
      <c r="EA277" t="s">
        <v>4294</v>
      </c>
      <c r="EB277" t="s">
        <v>305</v>
      </c>
      <c r="EC277" t="s">
        <v>183</v>
      </c>
      <c r="ED277" t="s">
        <v>211</v>
      </c>
      <c r="EE277" t="s">
        <v>298</v>
      </c>
      <c r="EG277" t="s">
        <v>2184</v>
      </c>
      <c r="EH277" t="s">
        <v>4295</v>
      </c>
      <c r="EI277" t="s">
        <v>346</v>
      </c>
      <c r="EJ277" t="s">
        <v>347</v>
      </c>
      <c r="EK277" t="s">
        <v>4296</v>
      </c>
      <c r="EL277" t="s">
        <v>576</v>
      </c>
      <c r="EM277" t="s">
        <v>183</v>
      </c>
      <c r="EN277" t="s">
        <v>211</v>
      </c>
      <c r="EO277" t="s">
        <v>329</v>
      </c>
      <c r="EQ277" t="s">
        <v>4297</v>
      </c>
      <c r="ER277" t="s">
        <v>4298</v>
      </c>
      <c r="ES277" t="s">
        <v>207</v>
      </c>
      <c r="ET277" t="s">
        <v>208</v>
      </c>
      <c r="EU277" t="s">
        <v>4299</v>
      </c>
      <c r="EV277" t="s">
        <v>469</v>
      </c>
      <c r="EW277" t="s">
        <v>183</v>
      </c>
      <c r="EX277" t="s">
        <v>211</v>
      </c>
      <c r="EY277" t="s">
        <v>298</v>
      </c>
      <c r="FA277" t="s">
        <v>4297</v>
      </c>
      <c r="FK277" t="s">
        <v>198</v>
      </c>
      <c r="FU277" t="s">
        <v>198</v>
      </c>
    </row>
    <row r="278" spans="1:177">
      <c r="A278" s="1" t="str">
        <f>HYPERLINK("http://digipan.lumentumllc.com/apps/getLink/index.php?t=PropLink&amp;p=15748974","PL")</f>
        <v>PL</v>
      </c>
      <c r="B278" s="1" t="str">
        <f>HYPERLINK("http://digipan.lumentumllc.com/apps/getLink/index.php?t=TaxLink&amp;p=15748974","TL")</f>
        <v>TL</v>
      </c>
      <c r="C278" s="1" t="str">
        <f>HYPERLINK("http://digipan.lumentumllc.com/apps/getMap/index.php?p=15748974","Map")</f>
        <v>Map</v>
      </c>
      <c r="E278" t="s">
        <v>177</v>
      </c>
      <c r="F278" t="s">
        <v>178</v>
      </c>
      <c r="L278" t="s">
        <v>4300</v>
      </c>
      <c r="N278" t="s">
        <v>4300</v>
      </c>
      <c r="O278" t="s">
        <v>4300</v>
      </c>
      <c r="Q278" t="s">
        <v>4300</v>
      </c>
      <c r="V278">
        <v>318</v>
      </c>
      <c r="W278">
        <v>1</v>
      </c>
      <c r="X278">
        <v>2017</v>
      </c>
      <c r="Y278">
        <v>2018</v>
      </c>
      <c r="Z278">
        <v>587.21</v>
      </c>
      <c r="AG278" t="s">
        <v>184</v>
      </c>
      <c r="AH278">
        <v>0</v>
      </c>
      <c r="AK278">
        <v>0</v>
      </c>
      <c r="AL278">
        <v>82476</v>
      </c>
      <c r="AM278">
        <v>24000</v>
      </c>
      <c r="AN278">
        <v>58476</v>
      </c>
      <c r="AO278">
        <v>513</v>
      </c>
      <c r="AP278">
        <v>2016</v>
      </c>
      <c r="AQ278">
        <v>0.71</v>
      </c>
      <c r="AS278" t="s">
        <v>4301</v>
      </c>
      <c r="AT278" t="s">
        <v>3747</v>
      </c>
      <c r="AU278" t="s">
        <v>177</v>
      </c>
      <c r="AV278" t="s">
        <v>1030</v>
      </c>
      <c r="AW278" t="s">
        <v>202</v>
      </c>
      <c r="AX278">
        <v>2</v>
      </c>
      <c r="AY278" t="s">
        <v>188</v>
      </c>
      <c r="AZ278" t="s">
        <v>189</v>
      </c>
      <c r="BA278" t="s">
        <v>190</v>
      </c>
      <c r="BB278" t="s">
        <v>191</v>
      </c>
      <c r="BC278" t="s">
        <v>182</v>
      </c>
      <c r="BD278" t="s">
        <v>182</v>
      </c>
      <c r="BE278" t="s">
        <v>796</v>
      </c>
      <c r="BF278">
        <v>1</v>
      </c>
      <c r="BG278">
        <v>1</v>
      </c>
      <c r="BH278">
        <v>1997</v>
      </c>
      <c r="BI278" t="s">
        <v>1709</v>
      </c>
      <c r="BJ278" t="s">
        <v>194</v>
      </c>
      <c r="BK278" t="s">
        <v>195</v>
      </c>
      <c r="BL278" t="s">
        <v>4302</v>
      </c>
      <c r="BM278" t="s">
        <v>267</v>
      </c>
      <c r="BN278" t="s">
        <v>182</v>
      </c>
      <c r="BO278" t="s">
        <v>4303</v>
      </c>
      <c r="BP278" t="s">
        <v>4304</v>
      </c>
      <c r="BQ278" t="s">
        <v>2227</v>
      </c>
      <c r="BR278" t="s">
        <v>1300</v>
      </c>
      <c r="BS278" t="s">
        <v>198</v>
      </c>
      <c r="BT278" t="s">
        <v>228</v>
      </c>
      <c r="BU278" t="s">
        <v>182</v>
      </c>
      <c r="BV278" t="s">
        <v>198</v>
      </c>
      <c r="BW278" t="s">
        <v>198</v>
      </c>
      <c r="BX278" t="s">
        <v>199</v>
      </c>
      <c r="BY278" t="s">
        <v>198</v>
      </c>
      <c r="BZ278" t="s">
        <v>199</v>
      </c>
      <c r="CA278" t="s">
        <v>199</v>
      </c>
      <c r="CB278" t="s">
        <v>4305</v>
      </c>
      <c r="CC278" t="s">
        <v>201</v>
      </c>
      <c r="CD278" t="s">
        <v>182</v>
      </c>
      <c r="CE278" t="s">
        <v>4306</v>
      </c>
      <c r="CF278" t="s">
        <v>1029</v>
      </c>
      <c r="CG278" t="s">
        <v>177</v>
      </c>
      <c r="CH278" t="s">
        <v>1030</v>
      </c>
      <c r="CI278" t="s">
        <v>4307</v>
      </c>
      <c r="CS278" t="s">
        <v>198</v>
      </c>
      <c r="DC278" t="s">
        <v>198</v>
      </c>
      <c r="DM278" t="s">
        <v>198</v>
      </c>
      <c r="DW278" t="s">
        <v>198</v>
      </c>
      <c r="EG278" t="s">
        <v>198</v>
      </c>
      <c r="EQ278" t="s">
        <v>198</v>
      </c>
      <c r="FA278" t="s">
        <v>198</v>
      </c>
      <c r="FK278" t="s">
        <v>198</v>
      </c>
      <c r="FU278" t="s">
        <v>198</v>
      </c>
    </row>
    <row r="279" spans="1:177">
      <c r="A279" s="1" t="str">
        <f>HYPERLINK("http://digipan.lumentumllc.com/apps/getLink/index.php?t=PropLink&amp;p=6129096","PL")</f>
        <v>PL</v>
      </c>
      <c r="B279" s="1" t="str">
        <f>HYPERLINK("http://digipan.lumentumllc.com/apps/getLink/index.php?t=TaxLink&amp;p=6129096","TL")</f>
        <v>TL</v>
      </c>
      <c r="C279" s="1" t="str">
        <f>HYPERLINK("http://digipan.lumentumllc.com/apps/getMap/index.php?p=6129096","Map")</f>
        <v>Map</v>
      </c>
      <c r="E279" t="s">
        <v>177</v>
      </c>
      <c r="F279" t="s">
        <v>178</v>
      </c>
      <c r="L279" t="s">
        <v>4308</v>
      </c>
      <c r="N279" t="s">
        <v>4308</v>
      </c>
      <c r="O279" t="s">
        <v>4308</v>
      </c>
      <c r="P279" t="s">
        <v>4309</v>
      </c>
      <c r="Q279" t="s">
        <v>4308</v>
      </c>
      <c r="V279">
        <v>319</v>
      </c>
      <c r="W279">
        <v>1</v>
      </c>
      <c r="X279">
        <v>2017</v>
      </c>
      <c r="Y279">
        <v>2018</v>
      </c>
      <c r="Z279">
        <v>701.08</v>
      </c>
      <c r="AG279" t="s">
        <v>184</v>
      </c>
      <c r="AH279">
        <v>0</v>
      </c>
      <c r="AK279">
        <v>0</v>
      </c>
      <c r="AL279">
        <v>41077</v>
      </c>
      <c r="AM279">
        <v>29520</v>
      </c>
      <c r="AN279">
        <v>11557</v>
      </c>
      <c r="AO279">
        <v>568</v>
      </c>
      <c r="AP279">
        <v>2016</v>
      </c>
      <c r="AQ279">
        <v>1.71</v>
      </c>
      <c r="AS279" t="s">
        <v>4310</v>
      </c>
      <c r="AT279" t="s">
        <v>3747</v>
      </c>
      <c r="AU279" t="s">
        <v>177</v>
      </c>
      <c r="AV279" t="s">
        <v>1030</v>
      </c>
      <c r="AW279" t="s">
        <v>182</v>
      </c>
      <c r="AX279">
        <v>0</v>
      </c>
      <c r="AY279" t="s">
        <v>312</v>
      </c>
      <c r="AZ279" t="s">
        <v>199</v>
      </c>
      <c r="BA279" t="s">
        <v>313</v>
      </c>
      <c r="BB279" t="s">
        <v>191</v>
      </c>
      <c r="BC279" t="s">
        <v>182</v>
      </c>
      <c r="BD279" t="s">
        <v>182</v>
      </c>
      <c r="BE279" t="s">
        <v>4311</v>
      </c>
      <c r="BF279">
        <v>0</v>
      </c>
      <c r="BG279">
        <v>0</v>
      </c>
      <c r="BH279">
        <v>0</v>
      </c>
      <c r="BI279" t="s">
        <v>199</v>
      </c>
      <c r="BJ279" t="s">
        <v>248</v>
      </c>
      <c r="BL279" t="s">
        <v>3616</v>
      </c>
      <c r="BM279" t="s">
        <v>302</v>
      </c>
      <c r="BN279" t="s">
        <v>182</v>
      </c>
      <c r="BO279" t="s">
        <v>4312</v>
      </c>
      <c r="BP279" t="s">
        <v>4313</v>
      </c>
      <c r="BQ279" t="s">
        <v>226</v>
      </c>
      <c r="BR279" t="s">
        <v>227</v>
      </c>
      <c r="BS279" t="s">
        <v>198</v>
      </c>
      <c r="BT279" t="s">
        <v>228</v>
      </c>
      <c r="BU279" t="s">
        <v>182</v>
      </c>
      <c r="BV279" t="s">
        <v>198</v>
      </c>
      <c r="BW279" t="s">
        <v>198</v>
      </c>
      <c r="BX279" t="s">
        <v>199</v>
      </c>
      <c r="BY279" t="s">
        <v>198</v>
      </c>
      <c r="BZ279" t="s">
        <v>199</v>
      </c>
      <c r="CA279" t="s">
        <v>199</v>
      </c>
      <c r="CB279" t="s">
        <v>4314</v>
      </c>
      <c r="CC279" t="s">
        <v>201</v>
      </c>
      <c r="CD279" t="s">
        <v>202</v>
      </c>
      <c r="CE279" t="s">
        <v>4315</v>
      </c>
      <c r="CF279" t="s">
        <v>1029</v>
      </c>
      <c r="CG279" t="s">
        <v>177</v>
      </c>
      <c r="CH279" t="s">
        <v>1030</v>
      </c>
      <c r="CI279" t="s">
        <v>4316</v>
      </c>
      <c r="CS279" t="s">
        <v>198</v>
      </c>
      <c r="DC279" t="s">
        <v>198</v>
      </c>
      <c r="DM279" t="s">
        <v>198</v>
      </c>
      <c r="DW279" t="s">
        <v>198</v>
      </c>
      <c r="EG279" t="s">
        <v>198</v>
      </c>
      <c r="EQ279" t="s">
        <v>198</v>
      </c>
      <c r="FA279" t="s">
        <v>198</v>
      </c>
      <c r="FK279" t="s">
        <v>198</v>
      </c>
      <c r="FU279" t="s">
        <v>198</v>
      </c>
    </row>
    <row r="280" spans="1:177">
      <c r="A280" s="1" t="str">
        <f>HYPERLINK("http://digipan.lumentumllc.com/apps/getLink/index.php?t=PropLink&amp;p=6886747","PL")</f>
        <v>PL</v>
      </c>
      <c r="B280" s="1" t="str">
        <f>HYPERLINK("http://digipan.lumentumllc.com/apps/getLink/index.php?t=TaxLink&amp;p=6886747","TL")</f>
        <v>TL</v>
      </c>
      <c r="C280" s="1" t="str">
        <f>HYPERLINK("http://digipan.lumentumllc.com/apps/getMap/index.php?p=6886747","Map")</f>
        <v>Map</v>
      </c>
      <c r="E280" t="s">
        <v>177</v>
      </c>
      <c r="F280" t="s">
        <v>178</v>
      </c>
      <c r="L280" t="s">
        <v>4317</v>
      </c>
      <c r="N280" t="s">
        <v>4317</v>
      </c>
      <c r="O280" t="s">
        <v>4317</v>
      </c>
      <c r="P280" t="s">
        <v>4318</v>
      </c>
      <c r="Q280" t="s">
        <v>4317</v>
      </c>
      <c r="V280">
        <v>320</v>
      </c>
      <c r="W280">
        <v>1</v>
      </c>
      <c r="X280">
        <v>2017</v>
      </c>
      <c r="Y280">
        <v>2018</v>
      </c>
      <c r="Z280">
        <v>2717.71</v>
      </c>
      <c r="AB280" t="s">
        <v>181</v>
      </c>
      <c r="AC280" t="s">
        <v>182</v>
      </c>
      <c r="AD280" t="s">
        <v>183</v>
      </c>
      <c r="AE280">
        <v>1</v>
      </c>
      <c r="AF280">
        <v>2</v>
      </c>
      <c r="AG280" t="s">
        <v>363</v>
      </c>
      <c r="AH280">
        <v>67</v>
      </c>
      <c r="AI280">
        <v>3437.07</v>
      </c>
      <c r="AJ280">
        <v>171.85</v>
      </c>
      <c r="AK280">
        <v>3608.92</v>
      </c>
      <c r="AL280">
        <v>203141</v>
      </c>
      <c r="AM280">
        <v>97500</v>
      </c>
      <c r="AN280">
        <v>105641</v>
      </c>
      <c r="AO280">
        <v>3153</v>
      </c>
      <c r="AP280">
        <v>2016</v>
      </c>
      <c r="AQ280">
        <v>1.34</v>
      </c>
      <c r="AR280">
        <v>1.78</v>
      </c>
      <c r="AS280" t="s">
        <v>4319</v>
      </c>
      <c r="AT280" t="s">
        <v>3747</v>
      </c>
      <c r="AU280" t="s">
        <v>177</v>
      </c>
      <c r="AV280" t="s">
        <v>1030</v>
      </c>
      <c r="AW280" t="s">
        <v>202</v>
      </c>
      <c r="AX280">
        <v>1</v>
      </c>
      <c r="AY280" t="s">
        <v>188</v>
      </c>
      <c r="AZ280" t="s">
        <v>206</v>
      </c>
      <c r="BA280" t="s">
        <v>355</v>
      </c>
      <c r="BB280" t="s">
        <v>191</v>
      </c>
      <c r="BC280" t="s">
        <v>182</v>
      </c>
      <c r="BD280" t="s">
        <v>182</v>
      </c>
      <c r="BE280" t="s">
        <v>2132</v>
      </c>
      <c r="BF280">
        <v>2</v>
      </c>
      <c r="BG280">
        <v>2</v>
      </c>
      <c r="BH280">
        <v>1970</v>
      </c>
      <c r="BI280" t="s">
        <v>4320</v>
      </c>
      <c r="BJ280" t="s">
        <v>285</v>
      </c>
      <c r="BK280" t="s">
        <v>195</v>
      </c>
      <c r="BL280" t="s">
        <v>1720</v>
      </c>
      <c r="BM280" t="s">
        <v>267</v>
      </c>
      <c r="BN280" t="s">
        <v>182</v>
      </c>
      <c r="BO280" t="s">
        <v>3184</v>
      </c>
      <c r="BP280" t="s">
        <v>956</v>
      </c>
      <c r="BR280" t="s">
        <v>1461</v>
      </c>
      <c r="BS280" t="s">
        <v>4321</v>
      </c>
      <c r="BT280" t="s">
        <v>198</v>
      </c>
      <c r="BU280" t="s">
        <v>182</v>
      </c>
      <c r="BV280" t="s">
        <v>198</v>
      </c>
      <c r="BW280" t="s">
        <v>198</v>
      </c>
      <c r="BX280" t="s">
        <v>199</v>
      </c>
      <c r="BY280" t="s">
        <v>198</v>
      </c>
      <c r="BZ280" t="s">
        <v>199</v>
      </c>
      <c r="CA280" t="s">
        <v>199</v>
      </c>
      <c r="CB280" t="s">
        <v>4322</v>
      </c>
      <c r="CC280" t="s">
        <v>201</v>
      </c>
      <c r="CD280" t="s">
        <v>182</v>
      </c>
      <c r="CE280" t="s">
        <v>4323</v>
      </c>
      <c r="CF280" t="s">
        <v>1029</v>
      </c>
      <c r="CG280" t="s">
        <v>177</v>
      </c>
      <c r="CH280" t="s">
        <v>1030</v>
      </c>
      <c r="CI280" t="s">
        <v>4324</v>
      </c>
      <c r="CJ280" t="s">
        <v>2953</v>
      </c>
      <c r="CK280" t="s">
        <v>232</v>
      </c>
      <c r="CL280" t="s">
        <v>233</v>
      </c>
      <c r="CM280" t="s">
        <v>4325</v>
      </c>
      <c r="CN280" t="s">
        <v>235</v>
      </c>
      <c r="CO280" t="s">
        <v>183</v>
      </c>
      <c r="CP280" t="s">
        <v>266</v>
      </c>
      <c r="CS280" t="s">
        <v>198</v>
      </c>
      <c r="CT280" t="s">
        <v>2815</v>
      </c>
      <c r="CU280" t="s">
        <v>292</v>
      </c>
      <c r="CV280" t="s">
        <v>293</v>
      </c>
      <c r="CW280" t="s">
        <v>4326</v>
      </c>
      <c r="CX280" t="s">
        <v>235</v>
      </c>
      <c r="CY280" t="s">
        <v>183</v>
      </c>
      <c r="CZ280" t="s">
        <v>211</v>
      </c>
      <c r="DA280" t="s">
        <v>460</v>
      </c>
      <c r="DC280" t="s">
        <v>3719</v>
      </c>
      <c r="DD280" t="s">
        <v>2573</v>
      </c>
      <c r="DE280" t="s">
        <v>267</v>
      </c>
      <c r="DF280" t="s">
        <v>268</v>
      </c>
      <c r="DG280" t="s">
        <v>4327</v>
      </c>
      <c r="DH280" t="s">
        <v>235</v>
      </c>
      <c r="DI280" t="s">
        <v>183</v>
      </c>
      <c r="DJ280" t="s">
        <v>211</v>
      </c>
      <c r="DK280" t="s">
        <v>264</v>
      </c>
      <c r="DM280" t="s">
        <v>4328</v>
      </c>
      <c r="DW280" t="s">
        <v>198</v>
      </c>
      <c r="EG280" t="s">
        <v>198</v>
      </c>
      <c r="EQ280" t="s">
        <v>198</v>
      </c>
      <c r="FA280" t="s">
        <v>198</v>
      </c>
      <c r="FK280" t="s">
        <v>198</v>
      </c>
      <c r="FU280" t="s">
        <v>198</v>
      </c>
    </row>
    <row r="281" spans="1:177">
      <c r="A281" s="1" t="str">
        <f>HYPERLINK("http://digipan.lumentumllc.com/apps/getLink/index.php?t=PropLink&amp;p=41029638","PL")</f>
        <v>PL</v>
      </c>
      <c r="B281" s="1" t="str">
        <f>HYPERLINK("http://digipan.lumentumllc.com/apps/getLink/index.php?t=TaxLink&amp;p=41029638","TL")</f>
        <v>TL</v>
      </c>
      <c r="C281" s="1" t="str">
        <f>HYPERLINK("","")</f>
        <v/>
      </c>
      <c r="E281" t="s">
        <v>177</v>
      </c>
      <c r="F281" t="s">
        <v>178</v>
      </c>
      <c r="L281" t="s">
        <v>4329</v>
      </c>
      <c r="N281" t="s">
        <v>4329</v>
      </c>
      <c r="O281" t="s">
        <v>4329</v>
      </c>
      <c r="Q281" t="s">
        <v>4329</v>
      </c>
      <c r="V281">
        <v>321</v>
      </c>
      <c r="W281">
        <v>1</v>
      </c>
      <c r="X281">
        <v>2017</v>
      </c>
      <c r="Y281">
        <v>2018</v>
      </c>
      <c r="Z281">
        <v>560.02</v>
      </c>
      <c r="AG281" t="s">
        <v>184</v>
      </c>
      <c r="AH281">
        <v>0</v>
      </c>
      <c r="AK281">
        <v>0</v>
      </c>
      <c r="AL281">
        <v>32250</v>
      </c>
      <c r="AM281">
        <v>24750</v>
      </c>
      <c r="AN281">
        <v>7500</v>
      </c>
      <c r="AQ281">
        <v>1.74</v>
      </c>
      <c r="AS281" t="s">
        <v>4330</v>
      </c>
      <c r="AT281" t="s">
        <v>3747</v>
      </c>
      <c r="AU281" t="s">
        <v>177</v>
      </c>
      <c r="AV281" t="s">
        <v>1030</v>
      </c>
      <c r="AW281" t="s">
        <v>182</v>
      </c>
      <c r="AX281">
        <v>0</v>
      </c>
      <c r="AY281" t="s">
        <v>312</v>
      </c>
      <c r="AZ281" t="s">
        <v>199</v>
      </c>
      <c r="BA281" t="s">
        <v>313</v>
      </c>
      <c r="BB281" t="s">
        <v>191</v>
      </c>
      <c r="BC281" t="s">
        <v>202</v>
      </c>
      <c r="BD281" t="s">
        <v>182</v>
      </c>
      <c r="BE281" t="s">
        <v>4331</v>
      </c>
      <c r="BI281" t="s">
        <v>199</v>
      </c>
      <c r="BL281" t="s">
        <v>592</v>
      </c>
      <c r="BM281" t="s">
        <v>232</v>
      </c>
      <c r="BN281" t="s">
        <v>182</v>
      </c>
      <c r="BO281" t="s">
        <v>198</v>
      </c>
      <c r="BP281" t="s">
        <v>198</v>
      </c>
      <c r="BQ281" t="s">
        <v>198</v>
      </c>
      <c r="BR281" t="s">
        <v>198</v>
      </c>
      <c r="BS281" t="s">
        <v>198</v>
      </c>
      <c r="BT281" t="s">
        <v>198</v>
      </c>
      <c r="BU281" t="s">
        <v>182</v>
      </c>
      <c r="BV281" t="s">
        <v>198</v>
      </c>
      <c r="BW281" t="s">
        <v>198</v>
      </c>
      <c r="BX281" t="s">
        <v>199</v>
      </c>
      <c r="BY281" t="s">
        <v>198</v>
      </c>
      <c r="CB281" t="s">
        <v>4332</v>
      </c>
      <c r="CC281" t="s">
        <v>201</v>
      </c>
      <c r="CD281" t="s">
        <v>182</v>
      </c>
      <c r="CE281" t="s">
        <v>4333</v>
      </c>
      <c r="CF281" t="s">
        <v>1029</v>
      </c>
      <c r="CG281" t="s">
        <v>177</v>
      </c>
      <c r="CH281" t="s">
        <v>1030</v>
      </c>
      <c r="CI281" t="s">
        <v>4334</v>
      </c>
      <c r="CS281" t="s">
        <v>198</v>
      </c>
      <c r="DC281" t="s">
        <v>198</v>
      </c>
      <c r="DM281" t="s">
        <v>198</v>
      </c>
      <c r="DW281" t="s">
        <v>198</v>
      </c>
      <c r="EG281" t="s">
        <v>198</v>
      </c>
      <c r="EQ281" t="s">
        <v>198</v>
      </c>
      <c r="FA281" t="s">
        <v>198</v>
      </c>
      <c r="FK281" t="s">
        <v>198</v>
      </c>
      <c r="FU281" t="s">
        <v>198</v>
      </c>
    </row>
    <row r="282" spans="1:177">
      <c r="A282" s="1" t="str">
        <f>HYPERLINK("http://digipan.lumentumllc.com/apps/getLink/index.php?t=PropLink&amp;p=5246521","PL")</f>
        <v>PL</v>
      </c>
      <c r="B282" s="1" t="str">
        <f>HYPERLINK("http://digipan.lumentumllc.com/apps/getLink/index.php?t=TaxLink&amp;p=5246521","TL")</f>
        <v>TL</v>
      </c>
      <c r="C282" s="1" t="str">
        <f>HYPERLINK("http://digipan.lumentumllc.com/apps/getMap/index.php?p=5246521","Map")</f>
        <v>Map</v>
      </c>
      <c r="E282" t="s">
        <v>177</v>
      </c>
      <c r="F282" t="s">
        <v>178</v>
      </c>
      <c r="L282" t="s">
        <v>4335</v>
      </c>
      <c r="N282" t="s">
        <v>4335</v>
      </c>
      <c r="O282" t="s">
        <v>4335</v>
      </c>
      <c r="P282" t="s">
        <v>4336</v>
      </c>
      <c r="Q282" t="s">
        <v>4335</v>
      </c>
      <c r="V282">
        <v>322</v>
      </c>
      <c r="W282">
        <v>1</v>
      </c>
      <c r="X282">
        <v>2017</v>
      </c>
      <c r="Y282">
        <v>2018</v>
      </c>
      <c r="Z282">
        <v>752.52</v>
      </c>
      <c r="AB282" t="s">
        <v>181</v>
      </c>
      <c r="AC282" t="s">
        <v>182</v>
      </c>
      <c r="AD282" t="s">
        <v>183</v>
      </c>
      <c r="AE282">
        <v>0</v>
      </c>
      <c r="AF282">
        <v>7</v>
      </c>
      <c r="AG282" t="s">
        <v>528</v>
      </c>
      <c r="AH282">
        <v>100</v>
      </c>
      <c r="AK282">
        <v>0</v>
      </c>
      <c r="AL282">
        <v>91018</v>
      </c>
      <c r="AM282">
        <v>24000</v>
      </c>
      <c r="AN282">
        <v>67018</v>
      </c>
      <c r="AO282">
        <v>668</v>
      </c>
      <c r="AP282">
        <v>2016</v>
      </c>
      <c r="AQ282">
        <v>0.83</v>
      </c>
      <c r="AS282" t="s">
        <v>4337</v>
      </c>
      <c r="AT282" t="s">
        <v>3747</v>
      </c>
      <c r="AU282" t="s">
        <v>177</v>
      </c>
      <c r="AV282" t="s">
        <v>1030</v>
      </c>
      <c r="AW282" t="s">
        <v>202</v>
      </c>
      <c r="AX282">
        <v>2</v>
      </c>
      <c r="AY282" t="s">
        <v>188</v>
      </c>
      <c r="AZ282" t="s">
        <v>189</v>
      </c>
      <c r="BA282" t="s">
        <v>190</v>
      </c>
      <c r="BB282" t="s">
        <v>191</v>
      </c>
      <c r="BC282" t="s">
        <v>182</v>
      </c>
      <c r="BD282" t="s">
        <v>182</v>
      </c>
      <c r="BE282" t="s">
        <v>365</v>
      </c>
      <c r="BF282">
        <v>2</v>
      </c>
      <c r="BG282">
        <v>2</v>
      </c>
      <c r="BH282">
        <v>1985</v>
      </c>
      <c r="BI282" t="s">
        <v>4338</v>
      </c>
      <c r="BJ282" t="s">
        <v>194</v>
      </c>
      <c r="BK282" t="s">
        <v>195</v>
      </c>
      <c r="BL282" t="s">
        <v>199</v>
      </c>
      <c r="BM282" t="s">
        <v>267</v>
      </c>
      <c r="BN282" t="s">
        <v>182</v>
      </c>
      <c r="BO282" t="s">
        <v>4339</v>
      </c>
      <c r="BP282" t="s">
        <v>4340</v>
      </c>
      <c r="BS282" t="s">
        <v>4341</v>
      </c>
      <c r="BT282" t="s">
        <v>198</v>
      </c>
      <c r="BU282" t="s">
        <v>182</v>
      </c>
      <c r="BV282" t="s">
        <v>198</v>
      </c>
      <c r="BW282" t="s">
        <v>198</v>
      </c>
      <c r="BX282" t="s">
        <v>199</v>
      </c>
      <c r="BY282" t="s">
        <v>198</v>
      </c>
      <c r="BZ282" t="s">
        <v>199</v>
      </c>
      <c r="CA282" t="s">
        <v>199</v>
      </c>
      <c r="CB282" t="s">
        <v>4342</v>
      </c>
      <c r="CC282" t="s">
        <v>201</v>
      </c>
      <c r="CD282" t="s">
        <v>182</v>
      </c>
      <c r="CE282" t="s">
        <v>4343</v>
      </c>
      <c r="CF282" t="s">
        <v>1029</v>
      </c>
      <c r="CG282" t="s">
        <v>177</v>
      </c>
      <c r="CH282" t="s">
        <v>1030</v>
      </c>
      <c r="CI282" t="s">
        <v>4344</v>
      </c>
      <c r="CJ282" t="s">
        <v>4345</v>
      </c>
      <c r="CK282" t="s">
        <v>232</v>
      </c>
      <c r="CL282" t="s">
        <v>233</v>
      </c>
      <c r="CM282" t="s">
        <v>4346</v>
      </c>
      <c r="CN282" t="s">
        <v>235</v>
      </c>
      <c r="CO282" t="s">
        <v>183</v>
      </c>
      <c r="CP282" t="s">
        <v>211</v>
      </c>
      <c r="CQ282" t="s">
        <v>250</v>
      </c>
      <c r="CS282" t="s">
        <v>4347</v>
      </c>
      <c r="CT282" t="s">
        <v>2697</v>
      </c>
      <c r="CU282" t="s">
        <v>292</v>
      </c>
      <c r="CV282" t="s">
        <v>293</v>
      </c>
      <c r="CW282" t="s">
        <v>4348</v>
      </c>
      <c r="CX282" t="s">
        <v>235</v>
      </c>
      <c r="CY282" t="s">
        <v>183</v>
      </c>
      <c r="CZ282" t="s">
        <v>211</v>
      </c>
      <c r="DA282" t="s">
        <v>199</v>
      </c>
      <c r="DC282" t="s">
        <v>4349</v>
      </c>
      <c r="DD282" t="s">
        <v>2729</v>
      </c>
      <c r="DE282" t="s">
        <v>267</v>
      </c>
      <c r="DF282" t="s">
        <v>268</v>
      </c>
      <c r="DG282" t="s">
        <v>4350</v>
      </c>
      <c r="DH282" t="s">
        <v>235</v>
      </c>
      <c r="DI282" t="s">
        <v>183</v>
      </c>
      <c r="DJ282" t="s">
        <v>211</v>
      </c>
      <c r="DK282" t="s">
        <v>427</v>
      </c>
      <c r="DM282" t="s">
        <v>4349</v>
      </c>
      <c r="DN282" t="s">
        <v>4351</v>
      </c>
      <c r="DO282" t="s">
        <v>302</v>
      </c>
      <c r="DP282" t="s">
        <v>303</v>
      </c>
      <c r="DQ282" t="s">
        <v>4352</v>
      </c>
      <c r="DR282" t="s">
        <v>235</v>
      </c>
      <c r="DS282" t="s">
        <v>183</v>
      </c>
      <c r="DT282" t="s">
        <v>211</v>
      </c>
      <c r="DU282" t="s">
        <v>206</v>
      </c>
      <c r="DW282" t="s">
        <v>4353</v>
      </c>
      <c r="DX282" t="s">
        <v>4354</v>
      </c>
      <c r="DY282" t="s">
        <v>238</v>
      </c>
      <c r="DZ282" t="s">
        <v>239</v>
      </c>
      <c r="EA282" t="s">
        <v>4355</v>
      </c>
      <c r="EB282" t="s">
        <v>1341</v>
      </c>
      <c r="EC282" t="s">
        <v>183</v>
      </c>
      <c r="ED282" t="s">
        <v>211</v>
      </c>
      <c r="EE282" t="s">
        <v>306</v>
      </c>
      <c r="EG282" t="s">
        <v>4353</v>
      </c>
      <c r="EH282" t="s">
        <v>4356</v>
      </c>
      <c r="EI282" t="s">
        <v>346</v>
      </c>
      <c r="EJ282" t="s">
        <v>347</v>
      </c>
      <c r="EK282" t="s">
        <v>4357</v>
      </c>
      <c r="EL282" t="s">
        <v>247</v>
      </c>
      <c r="EM282" t="s">
        <v>183</v>
      </c>
      <c r="EN282" t="s">
        <v>211</v>
      </c>
      <c r="EO282" t="s">
        <v>189</v>
      </c>
      <c r="EQ282" t="s">
        <v>4358</v>
      </c>
      <c r="ER282" t="s">
        <v>4168</v>
      </c>
      <c r="ES282" t="s">
        <v>207</v>
      </c>
      <c r="ET282" t="s">
        <v>208</v>
      </c>
      <c r="EU282" t="s">
        <v>4359</v>
      </c>
      <c r="EV282" t="s">
        <v>210</v>
      </c>
      <c r="EW282" t="s">
        <v>183</v>
      </c>
      <c r="EX282" t="s">
        <v>211</v>
      </c>
      <c r="EY282" t="s">
        <v>460</v>
      </c>
      <c r="FA282" t="s">
        <v>4358</v>
      </c>
      <c r="FK282" t="s">
        <v>198</v>
      </c>
      <c r="FU282" t="s">
        <v>198</v>
      </c>
    </row>
    <row r="283" spans="1:177">
      <c r="A283" s="1" t="str">
        <f>HYPERLINK("http://digipan.lumentumllc.com/apps/getLink/index.php?t=PropLink&amp;p=6461947","PL")</f>
        <v>PL</v>
      </c>
      <c r="B283" s="1" t="str">
        <f>HYPERLINK("http://digipan.lumentumllc.com/apps/getLink/index.php?t=TaxLink&amp;p=6461947","TL")</f>
        <v>TL</v>
      </c>
      <c r="C283" s="1" t="str">
        <f>HYPERLINK("http://digipan.lumentumllc.com/apps/getMap/index.php?p=6461947","Map")</f>
        <v>Map</v>
      </c>
      <c r="E283" t="s">
        <v>177</v>
      </c>
      <c r="F283" t="s">
        <v>178</v>
      </c>
      <c r="L283" t="s">
        <v>4360</v>
      </c>
      <c r="N283" t="s">
        <v>4360</v>
      </c>
      <c r="O283" t="s">
        <v>4360</v>
      </c>
      <c r="P283" t="s">
        <v>4361</v>
      </c>
      <c r="Q283" t="s">
        <v>4360</v>
      </c>
      <c r="V283">
        <v>323</v>
      </c>
      <c r="W283">
        <v>1</v>
      </c>
      <c r="X283">
        <v>2017</v>
      </c>
      <c r="Y283">
        <v>2018</v>
      </c>
      <c r="Z283">
        <v>693.56</v>
      </c>
      <c r="AB283" t="s">
        <v>181</v>
      </c>
      <c r="AC283" t="s">
        <v>202</v>
      </c>
      <c r="AD283" t="s">
        <v>183</v>
      </c>
      <c r="AE283">
        <v>1</v>
      </c>
      <c r="AF283">
        <v>4</v>
      </c>
      <c r="AG283" t="s">
        <v>951</v>
      </c>
      <c r="AH283">
        <v>80</v>
      </c>
      <c r="AI283">
        <v>593.24</v>
      </c>
      <c r="AJ283">
        <v>106.78</v>
      </c>
      <c r="AK283">
        <v>700.02</v>
      </c>
      <c r="AL283">
        <v>44147</v>
      </c>
      <c r="AM283">
        <v>22312</v>
      </c>
      <c r="AN283">
        <v>21835</v>
      </c>
      <c r="AO283">
        <v>524</v>
      </c>
      <c r="AP283">
        <v>2016</v>
      </c>
      <c r="AQ283">
        <v>1.57</v>
      </c>
      <c r="AR283">
        <v>1.59</v>
      </c>
      <c r="AS283" t="s">
        <v>4362</v>
      </c>
      <c r="AT283" t="s">
        <v>3747</v>
      </c>
      <c r="AU283" t="s">
        <v>177</v>
      </c>
      <c r="AV283" t="s">
        <v>1030</v>
      </c>
      <c r="AW283" t="s">
        <v>182</v>
      </c>
      <c r="AX283">
        <v>2</v>
      </c>
      <c r="AY283" t="s">
        <v>188</v>
      </c>
      <c r="AZ283" t="s">
        <v>189</v>
      </c>
      <c r="BA283" t="s">
        <v>190</v>
      </c>
      <c r="BB283" t="s">
        <v>191</v>
      </c>
      <c r="BC283" t="s">
        <v>182</v>
      </c>
      <c r="BD283" t="s">
        <v>182</v>
      </c>
      <c r="BE283" t="s">
        <v>4363</v>
      </c>
      <c r="BF283">
        <v>1</v>
      </c>
      <c r="BG283">
        <v>1</v>
      </c>
      <c r="BH283">
        <v>1994</v>
      </c>
      <c r="BI283" t="s">
        <v>4364</v>
      </c>
      <c r="BJ283" t="s">
        <v>285</v>
      </c>
      <c r="BK283" t="s">
        <v>195</v>
      </c>
      <c r="BL283" t="s">
        <v>4365</v>
      </c>
      <c r="BM283" t="s">
        <v>238</v>
      </c>
      <c r="BN283" t="s">
        <v>182</v>
      </c>
      <c r="BO283" t="s">
        <v>4177</v>
      </c>
      <c r="BP283" t="s">
        <v>4366</v>
      </c>
      <c r="BS283" t="s">
        <v>4367</v>
      </c>
      <c r="BT283" t="s">
        <v>198</v>
      </c>
      <c r="BU283" t="s">
        <v>182</v>
      </c>
      <c r="BV283" t="s">
        <v>198</v>
      </c>
      <c r="BW283" t="s">
        <v>198</v>
      </c>
      <c r="BX283" t="s">
        <v>199</v>
      </c>
      <c r="BY283" t="s">
        <v>198</v>
      </c>
      <c r="BZ283" t="s">
        <v>199</v>
      </c>
      <c r="CA283" t="s">
        <v>199</v>
      </c>
      <c r="CB283" t="s">
        <v>4368</v>
      </c>
      <c r="CC283" t="s">
        <v>201</v>
      </c>
      <c r="CD283" t="s">
        <v>182</v>
      </c>
      <c r="CE283" t="s">
        <v>4369</v>
      </c>
      <c r="CF283" t="s">
        <v>1029</v>
      </c>
      <c r="CG283" t="s">
        <v>177</v>
      </c>
      <c r="CH283" t="s">
        <v>1030</v>
      </c>
      <c r="CI283" t="s">
        <v>4370</v>
      </c>
      <c r="CJ283" t="s">
        <v>4371</v>
      </c>
      <c r="CK283" t="s">
        <v>232</v>
      </c>
      <c r="CL283" t="s">
        <v>233</v>
      </c>
      <c r="CM283" t="s">
        <v>4372</v>
      </c>
      <c r="CN283" t="s">
        <v>482</v>
      </c>
      <c r="CO283" t="s">
        <v>183</v>
      </c>
      <c r="CP283" t="s">
        <v>266</v>
      </c>
      <c r="CS283" t="s">
        <v>198</v>
      </c>
      <c r="CT283" t="s">
        <v>2726</v>
      </c>
      <c r="CU283" t="s">
        <v>292</v>
      </c>
      <c r="CV283" t="s">
        <v>293</v>
      </c>
      <c r="CW283" t="s">
        <v>4373</v>
      </c>
      <c r="CX283" t="s">
        <v>235</v>
      </c>
      <c r="CY283" t="s">
        <v>183</v>
      </c>
      <c r="CZ283" t="s">
        <v>211</v>
      </c>
      <c r="DA283" t="s">
        <v>250</v>
      </c>
      <c r="DB283" t="s">
        <v>271</v>
      </c>
      <c r="DC283" t="s">
        <v>4374</v>
      </c>
      <c r="DD283" t="s">
        <v>3852</v>
      </c>
      <c r="DE283" t="s">
        <v>267</v>
      </c>
      <c r="DF283" t="s">
        <v>268</v>
      </c>
      <c r="DG283" t="s">
        <v>4375</v>
      </c>
      <c r="DH283" t="s">
        <v>235</v>
      </c>
      <c r="DI283" t="s">
        <v>183</v>
      </c>
      <c r="DJ283" t="s">
        <v>211</v>
      </c>
      <c r="DK283" t="s">
        <v>487</v>
      </c>
      <c r="DL283" t="s">
        <v>271</v>
      </c>
      <c r="DM283" t="s">
        <v>4374</v>
      </c>
      <c r="DN283" t="s">
        <v>4376</v>
      </c>
      <c r="DO283" t="s">
        <v>273</v>
      </c>
      <c r="DP283" t="s">
        <v>274</v>
      </c>
      <c r="DQ283" t="s">
        <v>4377</v>
      </c>
      <c r="DR283" t="s">
        <v>514</v>
      </c>
      <c r="DS283" t="s">
        <v>183</v>
      </c>
      <c r="DT283" t="s">
        <v>211</v>
      </c>
      <c r="DV283" t="s">
        <v>271</v>
      </c>
      <c r="DW283" t="s">
        <v>198</v>
      </c>
      <c r="DX283" t="s">
        <v>2953</v>
      </c>
      <c r="DY283" t="s">
        <v>302</v>
      </c>
      <c r="DZ283" t="s">
        <v>303</v>
      </c>
      <c r="EA283" t="s">
        <v>4378</v>
      </c>
      <c r="EB283" t="s">
        <v>305</v>
      </c>
      <c r="EC283" t="s">
        <v>183</v>
      </c>
      <c r="ED283" t="s">
        <v>211</v>
      </c>
      <c r="EE283" t="s">
        <v>298</v>
      </c>
      <c r="EG283" t="s">
        <v>4379</v>
      </c>
      <c r="EQ283" t="s">
        <v>198</v>
      </c>
      <c r="FA283" t="s">
        <v>198</v>
      </c>
      <c r="FK283" t="s">
        <v>198</v>
      </c>
      <c r="FU283" t="s">
        <v>198</v>
      </c>
    </row>
    <row r="284" spans="1:177">
      <c r="A284" s="1" t="str">
        <f>HYPERLINK("http://digipan.lumentumllc.com/apps/getLink/index.php?t=PropLink&amp;p=6594227","PL")</f>
        <v>PL</v>
      </c>
      <c r="B284" s="1" t="str">
        <f>HYPERLINK("http://digipan.lumentumllc.com/apps/getLink/index.php?t=TaxLink&amp;p=6594227","TL")</f>
        <v>TL</v>
      </c>
      <c r="C284" s="1" t="str">
        <f>HYPERLINK("http://digipan.lumentumllc.com/apps/getMap/index.php?p=6594227","Map")</f>
        <v>Map</v>
      </c>
      <c r="E284" t="s">
        <v>177</v>
      </c>
      <c r="F284" t="s">
        <v>178</v>
      </c>
      <c r="L284" t="s">
        <v>4380</v>
      </c>
      <c r="N284" t="s">
        <v>4380</v>
      </c>
      <c r="O284" t="s">
        <v>4380</v>
      </c>
      <c r="P284" t="s">
        <v>4381</v>
      </c>
      <c r="Q284" t="s">
        <v>4380</v>
      </c>
      <c r="V284">
        <v>324</v>
      </c>
      <c r="W284">
        <v>1</v>
      </c>
      <c r="X284">
        <v>2017</v>
      </c>
      <c r="Y284">
        <v>2018</v>
      </c>
      <c r="Z284">
        <v>1322.92</v>
      </c>
      <c r="AG284" t="s">
        <v>184</v>
      </c>
      <c r="AH284">
        <v>0</v>
      </c>
      <c r="AK284">
        <v>0</v>
      </c>
      <c r="AL284">
        <v>154535</v>
      </c>
      <c r="AM284">
        <v>26080</v>
      </c>
      <c r="AN284">
        <v>128455</v>
      </c>
      <c r="AO284">
        <v>986</v>
      </c>
      <c r="AP284">
        <v>2016</v>
      </c>
      <c r="AQ284">
        <v>0.86</v>
      </c>
      <c r="AS284" t="s">
        <v>4382</v>
      </c>
      <c r="AT284" t="s">
        <v>3747</v>
      </c>
      <c r="AU284" t="s">
        <v>177</v>
      </c>
      <c r="AV284" t="s">
        <v>1030</v>
      </c>
      <c r="AW284" t="s">
        <v>202</v>
      </c>
      <c r="AX284">
        <v>1</v>
      </c>
      <c r="AY284" t="s">
        <v>188</v>
      </c>
      <c r="AZ284" t="s">
        <v>206</v>
      </c>
      <c r="BA284" t="s">
        <v>355</v>
      </c>
      <c r="BB284" t="s">
        <v>191</v>
      </c>
      <c r="BC284" t="s">
        <v>182</v>
      </c>
      <c r="BD284" t="s">
        <v>182</v>
      </c>
      <c r="BE284" t="s">
        <v>4383</v>
      </c>
      <c r="BF284">
        <v>1</v>
      </c>
      <c r="BG284">
        <v>1</v>
      </c>
      <c r="BH284">
        <v>1994</v>
      </c>
      <c r="BI284" t="s">
        <v>4384</v>
      </c>
      <c r="BJ284" t="s">
        <v>1945</v>
      </c>
      <c r="BK284" t="s">
        <v>195</v>
      </c>
      <c r="BL284" t="s">
        <v>199</v>
      </c>
      <c r="BM284" t="s">
        <v>981</v>
      </c>
      <c r="BN284" t="s">
        <v>182</v>
      </c>
      <c r="BO284" t="s">
        <v>4385</v>
      </c>
      <c r="BP284" t="s">
        <v>4386</v>
      </c>
      <c r="BS284" t="s">
        <v>4387</v>
      </c>
      <c r="BT284" t="s">
        <v>198</v>
      </c>
      <c r="BU284" t="s">
        <v>182</v>
      </c>
      <c r="BV284" t="s">
        <v>198</v>
      </c>
      <c r="BW284" t="s">
        <v>198</v>
      </c>
      <c r="BX284" t="s">
        <v>199</v>
      </c>
      <c r="BY284" t="s">
        <v>198</v>
      </c>
      <c r="BZ284" t="s">
        <v>199</v>
      </c>
      <c r="CA284" t="s">
        <v>199</v>
      </c>
      <c r="CB284" t="s">
        <v>4388</v>
      </c>
      <c r="CC284" t="s">
        <v>201</v>
      </c>
      <c r="CD284" t="s">
        <v>182</v>
      </c>
      <c r="CE284" t="s">
        <v>4389</v>
      </c>
      <c r="CF284" t="s">
        <v>1029</v>
      </c>
      <c r="CG284" t="s">
        <v>177</v>
      </c>
      <c r="CH284" t="s">
        <v>1030</v>
      </c>
      <c r="CI284" t="s">
        <v>4390</v>
      </c>
      <c r="CS284" t="s">
        <v>198</v>
      </c>
      <c r="DC284" t="s">
        <v>198</v>
      </c>
      <c r="DM284" t="s">
        <v>198</v>
      </c>
      <c r="DW284" t="s">
        <v>198</v>
      </c>
      <c r="EG284" t="s">
        <v>198</v>
      </c>
      <c r="EQ284" t="s">
        <v>198</v>
      </c>
      <c r="FA284" t="s">
        <v>198</v>
      </c>
      <c r="FK284" t="s">
        <v>198</v>
      </c>
      <c r="FU284" t="s">
        <v>198</v>
      </c>
    </row>
    <row r="285" spans="1:177">
      <c r="A285" s="1" t="str">
        <f>HYPERLINK("http://digipan.lumentumllc.com/apps/getLink/index.php?t=PropLink&amp;p=5246524","PL")</f>
        <v>PL</v>
      </c>
      <c r="B285" s="1" t="str">
        <f>HYPERLINK("http://digipan.lumentumllc.com/apps/getLink/index.php?t=TaxLink&amp;p=5246524","TL")</f>
        <v>TL</v>
      </c>
      <c r="C285" s="1" t="str">
        <f>HYPERLINK("http://digipan.lumentumllc.com/apps/getMap/index.php?p=5246524","Map")</f>
        <v>Map</v>
      </c>
      <c r="E285" t="s">
        <v>177</v>
      </c>
      <c r="F285" t="s">
        <v>178</v>
      </c>
      <c r="L285" t="s">
        <v>4391</v>
      </c>
      <c r="N285" t="s">
        <v>4391</v>
      </c>
      <c r="O285" t="s">
        <v>4391</v>
      </c>
      <c r="P285" t="s">
        <v>4392</v>
      </c>
      <c r="Q285" t="s">
        <v>4391</v>
      </c>
      <c r="V285">
        <v>325</v>
      </c>
      <c r="W285">
        <v>1</v>
      </c>
      <c r="X285">
        <v>2017</v>
      </c>
      <c r="Y285">
        <v>2018</v>
      </c>
      <c r="Z285">
        <v>1790.49</v>
      </c>
      <c r="AB285" t="s">
        <v>181</v>
      </c>
      <c r="AC285" t="s">
        <v>182</v>
      </c>
      <c r="AD285" t="s">
        <v>183</v>
      </c>
      <c r="AE285">
        <v>2</v>
      </c>
      <c r="AF285">
        <v>6</v>
      </c>
      <c r="AG285" t="s">
        <v>794</v>
      </c>
      <c r="AH285">
        <v>71</v>
      </c>
      <c r="AI285">
        <v>3551.24</v>
      </c>
      <c r="AJ285">
        <v>177.56</v>
      </c>
      <c r="AK285">
        <v>3728.8</v>
      </c>
      <c r="AL285">
        <v>180707</v>
      </c>
      <c r="AM285">
        <v>63580</v>
      </c>
      <c r="AN285">
        <v>117127</v>
      </c>
      <c r="AO285">
        <v>1605</v>
      </c>
      <c r="AP285">
        <v>2016</v>
      </c>
      <c r="AQ285">
        <v>0.99</v>
      </c>
      <c r="AR285">
        <v>2.06</v>
      </c>
      <c r="AS285" t="s">
        <v>4393</v>
      </c>
      <c r="AT285" t="s">
        <v>3747</v>
      </c>
      <c r="AU285" t="s">
        <v>177</v>
      </c>
      <c r="AV285" t="s">
        <v>1030</v>
      </c>
      <c r="AW285" t="s">
        <v>202</v>
      </c>
      <c r="AX285">
        <v>2</v>
      </c>
      <c r="AY285" t="s">
        <v>188</v>
      </c>
      <c r="AZ285" t="s">
        <v>189</v>
      </c>
      <c r="BA285" t="s">
        <v>190</v>
      </c>
      <c r="BB285" t="s">
        <v>191</v>
      </c>
      <c r="BC285" t="s">
        <v>182</v>
      </c>
      <c r="BD285" t="s">
        <v>182</v>
      </c>
      <c r="BE285" t="s">
        <v>4394</v>
      </c>
      <c r="BF285">
        <v>2</v>
      </c>
      <c r="BG285">
        <v>2</v>
      </c>
      <c r="BH285">
        <v>1994</v>
      </c>
      <c r="BI285" t="s">
        <v>4395</v>
      </c>
      <c r="BJ285" t="s">
        <v>194</v>
      </c>
      <c r="BK285" t="s">
        <v>195</v>
      </c>
      <c r="BL285" t="s">
        <v>199</v>
      </c>
      <c r="BM285" t="s">
        <v>2351</v>
      </c>
      <c r="BN285" t="s">
        <v>182</v>
      </c>
      <c r="BO285" t="s">
        <v>198</v>
      </c>
      <c r="BP285" t="s">
        <v>198</v>
      </c>
      <c r="BQ285" t="s">
        <v>198</v>
      </c>
      <c r="BR285" t="s">
        <v>198</v>
      </c>
      <c r="BS285" t="s">
        <v>198</v>
      </c>
      <c r="BT285" t="s">
        <v>198</v>
      </c>
      <c r="BU285" t="s">
        <v>182</v>
      </c>
      <c r="BV285" t="s">
        <v>198</v>
      </c>
      <c r="BW285" t="s">
        <v>198</v>
      </c>
      <c r="BX285" t="s">
        <v>199</v>
      </c>
      <c r="BY285" t="s">
        <v>198</v>
      </c>
      <c r="BZ285" t="s">
        <v>199</v>
      </c>
      <c r="CA285" t="s">
        <v>199</v>
      </c>
      <c r="CB285" t="s">
        <v>4396</v>
      </c>
      <c r="CC285" t="s">
        <v>201</v>
      </c>
      <c r="CD285" t="s">
        <v>202</v>
      </c>
      <c r="CE285" t="s">
        <v>4397</v>
      </c>
      <c r="CF285" t="s">
        <v>1029</v>
      </c>
      <c r="CG285" t="s">
        <v>177</v>
      </c>
      <c r="CH285" t="s">
        <v>1030</v>
      </c>
      <c r="CI285" t="s">
        <v>4398</v>
      </c>
      <c r="CJ285" t="s">
        <v>4399</v>
      </c>
      <c r="CK285" t="s">
        <v>232</v>
      </c>
      <c r="CL285" t="s">
        <v>233</v>
      </c>
      <c r="CM285" t="s">
        <v>4400</v>
      </c>
      <c r="CN285" t="s">
        <v>235</v>
      </c>
      <c r="CO285" t="s">
        <v>183</v>
      </c>
      <c r="CP285" t="s">
        <v>266</v>
      </c>
      <c r="CS285" t="s">
        <v>198</v>
      </c>
      <c r="CT285" t="s">
        <v>2842</v>
      </c>
      <c r="CU285" t="s">
        <v>292</v>
      </c>
      <c r="CV285" t="s">
        <v>293</v>
      </c>
      <c r="CW285" t="s">
        <v>4401</v>
      </c>
      <c r="CX285" t="s">
        <v>235</v>
      </c>
      <c r="CY285" t="s">
        <v>183</v>
      </c>
      <c r="CZ285" t="s">
        <v>266</v>
      </c>
      <c r="DC285" t="s">
        <v>198</v>
      </c>
      <c r="DD285" t="s">
        <v>4290</v>
      </c>
      <c r="DE285" t="s">
        <v>267</v>
      </c>
      <c r="DF285" t="s">
        <v>268</v>
      </c>
      <c r="DG285" t="s">
        <v>4402</v>
      </c>
      <c r="DH285" t="s">
        <v>235</v>
      </c>
      <c r="DI285" t="s">
        <v>183</v>
      </c>
      <c r="DJ285" t="s">
        <v>211</v>
      </c>
      <c r="DK285" t="s">
        <v>345</v>
      </c>
      <c r="DM285" t="s">
        <v>1068</v>
      </c>
      <c r="DN285" t="s">
        <v>2813</v>
      </c>
      <c r="DO285" t="s">
        <v>273</v>
      </c>
      <c r="DP285" t="s">
        <v>274</v>
      </c>
      <c r="DQ285" t="s">
        <v>4403</v>
      </c>
      <c r="DR285" t="s">
        <v>235</v>
      </c>
      <c r="DS285" t="s">
        <v>183</v>
      </c>
      <c r="DT285" t="s">
        <v>211</v>
      </c>
      <c r="DU285" t="s">
        <v>298</v>
      </c>
      <c r="DW285" t="s">
        <v>3727</v>
      </c>
      <c r="DX285" t="s">
        <v>4345</v>
      </c>
      <c r="DY285" t="s">
        <v>302</v>
      </c>
      <c r="DZ285" t="s">
        <v>303</v>
      </c>
      <c r="EA285" t="s">
        <v>4404</v>
      </c>
      <c r="EB285" t="s">
        <v>235</v>
      </c>
      <c r="EC285" t="s">
        <v>183</v>
      </c>
      <c r="ED285" t="s">
        <v>211</v>
      </c>
      <c r="EE285" t="s">
        <v>345</v>
      </c>
      <c r="EG285" t="s">
        <v>4405</v>
      </c>
      <c r="EH285" t="s">
        <v>4406</v>
      </c>
      <c r="EI285" t="s">
        <v>238</v>
      </c>
      <c r="EJ285" t="s">
        <v>239</v>
      </c>
      <c r="EK285" t="s">
        <v>4407</v>
      </c>
      <c r="EL285" t="s">
        <v>511</v>
      </c>
      <c r="EM285" t="s">
        <v>183</v>
      </c>
      <c r="EN285" t="s">
        <v>211</v>
      </c>
      <c r="EO285" t="s">
        <v>345</v>
      </c>
      <c r="EQ285" t="s">
        <v>4408</v>
      </c>
      <c r="ER285" t="s">
        <v>4409</v>
      </c>
      <c r="ES285" t="s">
        <v>346</v>
      </c>
      <c r="ET285" t="s">
        <v>347</v>
      </c>
      <c r="EU285" t="s">
        <v>4410</v>
      </c>
      <c r="EV285" t="s">
        <v>235</v>
      </c>
      <c r="EW285" t="s">
        <v>183</v>
      </c>
      <c r="EX285" t="s">
        <v>211</v>
      </c>
      <c r="EY285" t="s">
        <v>337</v>
      </c>
      <c r="FA285" t="s">
        <v>4411</v>
      </c>
      <c r="FB285" t="s">
        <v>4249</v>
      </c>
      <c r="FC285" t="s">
        <v>207</v>
      </c>
      <c r="FD285" t="s">
        <v>208</v>
      </c>
      <c r="FE285" t="s">
        <v>4412</v>
      </c>
      <c r="FF285" t="s">
        <v>314</v>
      </c>
      <c r="FG285" t="s">
        <v>183</v>
      </c>
      <c r="FH285" t="s">
        <v>211</v>
      </c>
      <c r="FI285" t="s">
        <v>189</v>
      </c>
      <c r="FK285" t="s">
        <v>4413</v>
      </c>
      <c r="FU285" t="s">
        <v>198</v>
      </c>
    </row>
    <row r="286" spans="1:177">
      <c r="A286" s="1" t="str">
        <f>HYPERLINK("http://digipan.lumentumllc.com/apps/getLink/index.php?t=PropLink&amp;p=5246525","PL")</f>
        <v>PL</v>
      </c>
      <c r="B286" s="1" t="str">
        <f>HYPERLINK("http://digipan.lumentumllc.com/apps/getLink/index.php?t=TaxLink&amp;p=5246525","TL")</f>
        <v>TL</v>
      </c>
      <c r="C286" s="1" t="str">
        <f>HYPERLINK("http://digipan.lumentumllc.com/apps/getMap/index.php?p=5246525","Map")</f>
        <v>Map</v>
      </c>
      <c r="E286" t="s">
        <v>177</v>
      </c>
      <c r="F286" t="s">
        <v>178</v>
      </c>
      <c r="L286" t="s">
        <v>4414</v>
      </c>
      <c r="N286" t="s">
        <v>4414</v>
      </c>
      <c r="O286" t="s">
        <v>4414</v>
      </c>
      <c r="P286" t="s">
        <v>4415</v>
      </c>
      <c r="Q286" t="s">
        <v>4414</v>
      </c>
      <c r="V286">
        <v>326</v>
      </c>
      <c r="W286">
        <v>1</v>
      </c>
      <c r="X286">
        <v>2017</v>
      </c>
      <c r="Y286">
        <v>2018</v>
      </c>
      <c r="Z286">
        <v>1143.06</v>
      </c>
      <c r="AB286" t="s">
        <v>181</v>
      </c>
      <c r="AC286" t="s">
        <v>182</v>
      </c>
      <c r="AD286" t="s">
        <v>183</v>
      </c>
      <c r="AE286">
        <v>7</v>
      </c>
      <c r="AF286">
        <v>1</v>
      </c>
      <c r="AG286" t="s">
        <v>1038</v>
      </c>
      <c r="AH286">
        <v>0</v>
      </c>
      <c r="AI286">
        <v>6439.33</v>
      </c>
      <c r="AJ286">
        <v>1704.46</v>
      </c>
      <c r="AK286">
        <v>8143.79</v>
      </c>
      <c r="AL286">
        <v>67860</v>
      </c>
      <c r="AM286">
        <v>64860</v>
      </c>
      <c r="AN286">
        <v>3000</v>
      </c>
      <c r="AO286">
        <v>1019</v>
      </c>
      <c r="AP286">
        <v>2016</v>
      </c>
      <c r="AQ286">
        <v>1.68</v>
      </c>
      <c r="AR286">
        <v>12</v>
      </c>
      <c r="AS286" t="s">
        <v>4416</v>
      </c>
      <c r="AT286" t="s">
        <v>3747</v>
      </c>
      <c r="AU286" t="s">
        <v>177</v>
      </c>
      <c r="AV286" t="s">
        <v>1030</v>
      </c>
      <c r="AW286" t="s">
        <v>182</v>
      </c>
      <c r="AX286">
        <v>0</v>
      </c>
      <c r="AY286" t="s">
        <v>312</v>
      </c>
      <c r="AZ286" t="s">
        <v>199</v>
      </c>
      <c r="BA286" t="s">
        <v>313</v>
      </c>
      <c r="BB286" t="s">
        <v>191</v>
      </c>
      <c r="BC286" t="s">
        <v>182</v>
      </c>
      <c r="BD286" t="s">
        <v>182</v>
      </c>
      <c r="BE286" t="s">
        <v>4417</v>
      </c>
      <c r="BF286">
        <v>1</v>
      </c>
      <c r="BG286">
        <v>0</v>
      </c>
      <c r="BH286">
        <v>0</v>
      </c>
      <c r="BI286" t="s">
        <v>199</v>
      </c>
      <c r="BJ286" t="s">
        <v>396</v>
      </c>
      <c r="BL286" t="s">
        <v>199</v>
      </c>
      <c r="BM286" t="s">
        <v>346</v>
      </c>
      <c r="BN286" t="s">
        <v>182</v>
      </c>
      <c r="BO286" t="s">
        <v>4418</v>
      </c>
      <c r="BP286" t="s">
        <v>2911</v>
      </c>
      <c r="BS286" t="s">
        <v>4419</v>
      </c>
      <c r="BT286" t="s">
        <v>198</v>
      </c>
      <c r="BU286" t="s">
        <v>182</v>
      </c>
      <c r="BV286" t="s">
        <v>198</v>
      </c>
      <c r="BW286" t="s">
        <v>198</v>
      </c>
      <c r="BX286" t="s">
        <v>199</v>
      </c>
      <c r="BY286" t="s">
        <v>198</v>
      </c>
      <c r="BZ286" t="s">
        <v>199</v>
      </c>
      <c r="CA286" t="s">
        <v>199</v>
      </c>
      <c r="CB286" t="s">
        <v>4420</v>
      </c>
      <c r="CC286" t="s">
        <v>201</v>
      </c>
      <c r="CD286" t="s">
        <v>202</v>
      </c>
      <c r="CE286" t="s">
        <v>4397</v>
      </c>
      <c r="CF286" t="s">
        <v>1029</v>
      </c>
      <c r="CG286" t="s">
        <v>177</v>
      </c>
      <c r="CH286" t="s">
        <v>1030</v>
      </c>
      <c r="CI286" t="s">
        <v>4421</v>
      </c>
      <c r="CJ286" t="s">
        <v>4422</v>
      </c>
      <c r="CK286" t="s">
        <v>232</v>
      </c>
      <c r="CL286" t="s">
        <v>233</v>
      </c>
      <c r="CM286" t="s">
        <v>4423</v>
      </c>
      <c r="CN286" t="s">
        <v>235</v>
      </c>
      <c r="CO286" t="s">
        <v>183</v>
      </c>
      <c r="CP286" t="s">
        <v>266</v>
      </c>
      <c r="CS286" t="s">
        <v>198</v>
      </c>
      <c r="CT286" t="s">
        <v>2754</v>
      </c>
      <c r="CU286" t="s">
        <v>292</v>
      </c>
      <c r="CV286" t="s">
        <v>293</v>
      </c>
      <c r="CW286" t="s">
        <v>4424</v>
      </c>
      <c r="CX286" t="s">
        <v>331</v>
      </c>
      <c r="CY286" t="s">
        <v>183</v>
      </c>
      <c r="CZ286" t="s">
        <v>266</v>
      </c>
      <c r="DC286" t="s">
        <v>198</v>
      </c>
      <c r="DD286" t="s">
        <v>4013</v>
      </c>
      <c r="DE286" t="s">
        <v>267</v>
      </c>
      <c r="DF286" t="s">
        <v>268</v>
      </c>
      <c r="DG286" t="s">
        <v>4425</v>
      </c>
      <c r="DH286" t="s">
        <v>482</v>
      </c>
      <c r="DI286" t="s">
        <v>183</v>
      </c>
      <c r="DJ286" t="s">
        <v>266</v>
      </c>
      <c r="DM286" t="s">
        <v>198</v>
      </c>
      <c r="DN286" t="s">
        <v>2925</v>
      </c>
      <c r="DO286" t="s">
        <v>273</v>
      </c>
      <c r="DP286" t="s">
        <v>274</v>
      </c>
      <c r="DQ286" t="s">
        <v>4426</v>
      </c>
      <c r="DR286" t="s">
        <v>254</v>
      </c>
      <c r="DS286" t="s">
        <v>183</v>
      </c>
      <c r="DT286" t="s">
        <v>266</v>
      </c>
      <c r="DW286" t="s">
        <v>198</v>
      </c>
      <c r="DX286" t="s">
        <v>4371</v>
      </c>
      <c r="DY286" t="s">
        <v>302</v>
      </c>
      <c r="DZ286" t="s">
        <v>303</v>
      </c>
      <c r="EA286" t="s">
        <v>4427</v>
      </c>
      <c r="EB286" t="s">
        <v>927</v>
      </c>
      <c r="EC286" t="s">
        <v>183</v>
      </c>
      <c r="ED286" t="s">
        <v>266</v>
      </c>
      <c r="EG286" t="s">
        <v>198</v>
      </c>
      <c r="EH286" t="s">
        <v>4428</v>
      </c>
      <c r="EI286" t="s">
        <v>238</v>
      </c>
      <c r="EJ286" t="s">
        <v>239</v>
      </c>
      <c r="EK286" t="s">
        <v>4429</v>
      </c>
      <c r="EL286" t="s">
        <v>440</v>
      </c>
      <c r="EM286" t="s">
        <v>183</v>
      </c>
      <c r="EN286" t="s">
        <v>266</v>
      </c>
      <c r="EQ286" t="s">
        <v>198</v>
      </c>
      <c r="ER286" t="s">
        <v>4430</v>
      </c>
      <c r="ES286" t="s">
        <v>346</v>
      </c>
      <c r="ET286" t="s">
        <v>347</v>
      </c>
      <c r="EU286" t="s">
        <v>4431</v>
      </c>
      <c r="EV286" t="s">
        <v>469</v>
      </c>
      <c r="EW286" t="s">
        <v>183</v>
      </c>
      <c r="EX286" t="s">
        <v>266</v>
      </c>
      <c r="FA286" t="s">
        <v>198</v>
      </c>
      <c r="FB286" t="s">
        <v>4295</v>
      </c>
      <c r="FC286" t="s">
        <v>207</v>
      </c>
      <c r="FD286" t="s">
        <v>208</v>
      </c>
      <c r="FE286" t="s">
        <v>4432</v>
      </c>
      <c r="FF286" t="s">
        <v>254</v>
      </c>
      <c r="FG286" t="s">
        <v>183</v>
      </c>
      <c r="FH286" t="s">
        <v>211</v>
      </c>
      <c r="FI286" t="s">
        <v>189</v>
      </c>
      <c r="FK286" t="s">
        <v>4413</v>
      </c>
      <c r="FU286" t="s">
        <v>198</v>
      </c>
    </row>
    <row r="287" spans="1:177">
      <c r="A287" s="1" t="str">
        <f>HYPERLINK("http://digipan.lumentumllc.com/apps/getLink/index.php?t=PropLink&amp;p=6129100","PL")</f>
        <v>PL</v>
      </c>
      <c r="B287" s="1" t="str">
        <f>HYPERLINK("http://digipan.lumentumllc.com/apps/getLink/index.php?t=TaxLink&amp;p=6129100","TL")</f>
        <v>TL</v>
      </c>
      <c r="C287" s="1" t="str">
        <f>HYPERLINK("http://digipan.lumentumllc.com/apps/getMap/index.php?p=6129100","Map")</f>
        <v>Map</v>
      </c>
      <c r="E287" t="s">
        <v>177</v>
      </c>
      <c r="F287" t="s">
        <v>178</v>
      </c>
      <c r="L287" t="s">
        <v>4433</v>
      </c>
      <c r="N287" t="s">
        <v>4433</v>
      </c>
      <c r="O287" t="s">
        <v>4433</v>
      </c>
      <c r="P287" t="s">
        <v>4434</v>
      </c>
      <c r="Q287" t="s">
        <v>4433</v>
      </c>
      <c r="V287">
        <v>327</v>
      </c>
      <c r="W287">
        <v>1</v>
      </c>
      <c r="X287">
        <v>2017</v>
      </c>
      <c r="Y287">
        <v>2018</v>
      </c>
      <c r="Z287">
        <v>627.91</v>
      </c>
      <c r="AB287" t="s">
        <v>181</v>
      </c>
      <c r="AC287" t="s">
        <v>202</v>
      </c>
      <c r="AD287" t="s">
        <v>183</v>
      </c>
      <c r="AE287">
        <v>1</v>
      </c>
      <c r="AF287">
        <v>3</v>
      </c>
      <c r="AG287" t="s">
        <v>257</v>
      </c>
      <c r="AH287">
        <v>75</v>
      </c>
      <c r="AI287">
        <v>521.49</v>
      </c>
      <c r="AJ287">
        <v>26.07</v>
      </c>
      <c r="AK287">
        <v>547.55999999999995</v>
      </c>
      <c r="AL287">
        <v>41098</v>
      </c>
      <c r="AM287">
        <v>15000</v>
      </c>
      <c r="AN287">
        <v>26098</v>
      </c>
      <c r="AO287">
        <v>457</v>
      </c>
      <c r="AP287">
        <v>2016</v>
      </c>
      <c r="AQ287">
        <v>1.53</v>
      </c>
      <c r="AR287">
        <v>1.33</v>
      </c>
      <c r="AS287" t="s">
        <v>4435</v>
      </c>
      <c r="AT287" t="s">
        <v>3747</v>
      </c>
      <c r="AU287" t="s">
        <v>177</v>
      </c>
      <c r="AV287" t="s">
        <v>1030</v>
      </c>
      <c r="AW287" t="s">
        <v>182</v>
      </c>
      <c r="AX287">
        <v>2</v>
      </c>
      <c r="AY287" t="s">
        <v>188</v>
      </c>
      <c r="AZ287" t="s">
        <v>189</v>
      </c>
      <c r="BA287" t="s">
        <v>190</v>
      </c>
      <c r="BB287" t="s">
        <v>191</v>
      </c>
      <c r="BC287" t="s">
        <v>182</v>
      </c>
      <c r="BD287" t="s">
        <v>182</v>
      </c>
      <c r="BE287" t="s">
        <v>383</v>
      </c>
      <c r="BF287">
        <v>1</v>
      </c>
      <c r="BG287">
        <v>1</v>
      </c>
      <c r="BH287">
        <v>1986</v>
      </c>
      <c r="BI287" t="s">
        <v>3358</v>
      </c>
      <c r="BJ287" t="s">
        <v>194</v>
      </c>
      <c r="BK287" t="s">
        <v>195</v>
      </c>
      <c r="BL287" t="s">
        <v>4009</v>
      </c>
      <c r="BM287" t="s">
        <v>238</v>
      </c>
      <c r="BN287" t="s">
        <v>182</v>
      </c>
      <c r="BO287" t="s">
        <v>198</v>
      </c>
      <c r="BP287" t="s">
        <v>198</v>
      </c>
      <c r="BQ287" t="s">
        <v>198</v>
      </c>
      <c r="BR287" t="s">
        <v>198</v>
      </c>
      <c r="BS287" t="s">
        <v>198</v>
      </c>
      <c r="BT287" t="s">
        <v>198</v>
      </c>
      <c r="BU287" t="s">
        <v>182</v>
      </c>
      <c r="BV287" t="s">
        <v>198</v>
      </c>
      <c r="BW287" t="s">
        <v>198</v>
      </c>
      <c r="BX287" t="s">
        <v>199</v>
      </c>
      <c r="BY287" t="s">
        <v>198</v>
      </c>
      <c r="BZ287" t="s">
        <v>199</v>
      </c>
      <c r="CA287" t="s">
        <v>199</v>
      </c>
      <c r="CB287" t="s">
        <v>4436</v>
      </c>
      <c r="CC287" t="s">
        <v>201</v>
      </c>
      <c r="CD287" t="s">
        <v>182</v>
      </c>
      <c r="CE287" t="s">
        <v>4437</v>
      </c>
      <c r="CF287" t="s">
        <v>413</v>
      </c>
      <c r="CG287" t="s">
        <v>177</v>
      </c>
      <c r="CH287" t="s">
        <v>414</v>
      </c>
      <c r="CI287" t="s">
        <v>4438</v>
      </c>
      <c r="CJ287" t="s">
        <v>4439</v>
      </c>
      <c r="CK287" t="s">
        <v>232</v>
      </c>
      <c r="CL287" t="s">
        <v>233</v>
      </c>
      <c r="CM287" t="s">
        <v>4440</v>
      </c>
      <c r="CN287" t="s">
        <v>235</v>
      </c>
      <c r="CO287" t="s">
        <v>183</v>
      </c>
      <c r="CP287" t="s">
        <v>266</v>
      </c>
      <c r="CS287" t="s">
        <v>198</v>
      </c>
      <c r="CT287" t="s">
        <v>2815</v>
      </c>
      <c r="CU287" t="s">
        <v>267</v>
      </c>
      <c r="CV287" t="s">
        <v>268</v>
      </c>
      <c r="CW287" t="s">
        <v>4441</v>
      </c>
      <c r="CX287" t="s">
        <v>331</v>
      </c>
      <c r="CY287" t="s">
        <v>183</v>
      </c>
      <c r="CZ287" t="s">
        <v>211</v>
      </c>
      <c r="DA287" t="s">
        <v>270</v>
      </c>
      <c r="DB287" t="s">
        <v>271</v>
      </c>
      <c r="DC287" t="s">
        <v>272</v>
      </c>
      <c r="DD287" t="s">
        <v>2954</v>
      </c>
      <c r="DE287" t="s">
        <v>273</v>
      </c>
      <c r="DF287" t="s">
        <v>274</v>
      </c>
      <c r="DG287" t="s">
        <v>4442</v>
      </c>
      <c r="DH287" t="s">
        <v>235</v>
      </c>
      <c r="DI287" t="s">
        <v>183</v>
      </c>
      <c r="DJ287" t="s">
        <v>211</v>
      </c>
      <c r="DL287" t="s">
        <v>271</v>
      </c>
      <c r="DM287" t="s">
        <v>198</v>
      </c>
      <c r="DN287" t="s">
        <v>4422</v>
      </c>
      <c r="DO287" t="s">
        <v>302</v>
      </c>
      <c r="DP287" t="s">
        <v>303</v>
      </c>
      <c r="DQ287" t="s">
        <v>4443</v>
      </c>
      <c r="DR287" t="s">
        <v>305</v>
      </c>
      <c r="DS287" t="s">
        <v>183</v>
      </c>
      <c r="DT287" t="s">
        <v>211</v>
      </c>
      <c r="DU287" t="s">
        <v>189</v>
      </c>
      <c r="DW287" t="s">
        <v>4444</v>
      </c>
      <c r="EG287" t="s">
        <v>198</v>
      </c>
      <c r="EQ287" t="s">
        <v>198</v>
      </c>
      <c r="FA287" t="s">
        <v>198</v>
      </c>
      <c r="FK287" t="s">
        <v>198</v>
      </c>
      <c r="FU287" t="s">
        <v>198</v>
      </c>
    </row>
    <row r="288" spans="1:177">
      <c r="A288" s="1" t="str">
        <f>HYPERLINK("http://digipan.lumentumllc.com/apps/getLink/index.php?t=PropLink&amp;p=5246530","PL")</f>
        <v>PL</v>
      </c>
      <c r="B288" s="1" t="str">
        <f>HYPERLINK("http://digipan.lumentumllc.com/apps/getLink/index.php?t=TaxLink&amp;p=5246530","TL")</f>
        <v>TL</v>
      </c>
      <c r="C288" s="1" t="str">
        <f>HYPERLINK("http://digipan.lumentumllc.com/apps/getMap/index.php?p=5246530","Map")</f>
        <v>Map</v>
      </c>
      <c r="E288" t="s">
        <v>177</v>
      </c>
      <c r="F288" t="s">
        <v>178</v>
      </c>
      <c r="L288" t="s">
        <v>4445</v>
      </c>
      <c r="N288" t="s">
        <v>4445</v>
      </c>
      <c r="O288" t="s">
        <v>4445</v>
      </c>
      <c r="P288" t="s">
        <v>4446</v>
      </c>
      <c r="Q288" t="s">
        <v>4445</v>
      </c>
      <c r="V288">
        <v>329</v>
      </c>
      <c r="W288">
        <v>1</v>
      </c>
      <c r="X288">
        <v>2017</v>
      </c>
      <c r="Y288">
        <v>2018</v>
      </c>
      <c r="Z288">
        <v>314.64999999999998</v>
      </c>
      <c r="AB288" t="s">
        <v>181</v>
      </c>
      <c r="AC288" t="s">
        <v>182</v>
      </c>
      <c r="AD288" t="s">
        <v>183</v>
      </c>
      <c r="AE288">
        <v>0</v>
      </c>
      <c r="AF288">
        <v>6</v>
      </c>
      <c r="AG288" t="s">
        <v>528</v>
      </c>
      <c r="AH288">
        <v>100</v>
      </c>
      <c r="AK288">
        <v>0</v>
      </c>
      <c r="AL288">
        <v>17280</v>
      </c>
      <c r="AM288">
        <v>17280</v>
      </c>
      <c r="AN288">
        <v>0</v>
      </c>
      <c r="AO288">
        <v>252</v>
      </c>
      <c r="AP288">
        <v>2016</v>
      </c>
      <c r="AQ288">
        <v>1.82</v>
      </c>
      <c r="AS288" t="s">
        <v>4447</v>
      </c>
      <c r="AT288" t="s">
        <v>3747</v>
      </c>
      <c r="AU288" t="s">
        <v>177</v>
      </c>
      <c r="AV288" t="s">
        <v>1030</v>
      </c>
      <c r="AW288" t="s">
        <v>182</v>
      </c>
      <c r="AX288">
        <v>0</v>
      </c>
      <c r="AY288" t="s">
        <v>312</v>
      </c>
      <c r="AZ288" t="s">
        <v>199</v>
      </c>
      <c r="BA288" t="s">
        <v>313</v>
      </c>
      <c r="BB288" t="s">
        <v>191</v>
      </c>
      <c r="BC288" t="s">
        <v>182</v>
      </c>
      <c r="BD288" t="s">
        <v>182</v>
      </c>
      <c r="BE288" t="s">
        <v>4448</v>
      </c>
      <c r="BF288">
        <v>0</v>
      </c>
      <c r="BG288">
        <v>0</v>
      </c>
      <c r="BH288">
        <v>0</v>
      </c>
      <c r="BI288" t="s">
        <v>199</v>
      </c>
      <c r="BJ288" t="s">
        <v>315</v>
      </c>
      <c r="BL288" t="s">
        <v>4449</v>
      </c>
      <c r="BM288" t="s">
        <v>346</v>
      </c>
      <c r="BN288" t="s">
        <v>182</v>
      </c>
      <c r="BO288" t="s">
        <v>198</v>
      </c>
      <c r="BP288" t="s">
        <v>198</v>
      </c>
      <c r="BQ288" t="s">
        <v>198</v>
      </c>
      <c r="BR288" t="s">
        <v>198</v>
      </c>
      <c r="BS288" t="s">
        <v>198</v>
      </c>
      <c r="BT288" t="s">
        <v>198</v>
      </c>
      <c r="BU288" t="s">
        <v>182</v>
      </c>
      <c r="BV288" t="s">
        <v>198</v>
      </c>
      <c r="BW288" t="s">
        <v>198</v>
      </c>
      <c r="BX288" t="s">
        <v>199</v>
      </c>
      <c r="BY288" t="s">
        <v>198</v>
      </c>
      <c r="BZ288" t="s">
        <v>199</v>
      </c>
      <c r="CA288" t="s">
        <v>199</v>
      </c>
      <c r="CB288" t="s">
        <v>4450</v>
      </c>
      <c r="CC288" t="s">
        <v>201</v>
      </c>
      <c r="CD288" t="s">
        <v>182</v>
      </c>
      <c r="CE288" t="s">
        <v>4397</v>
      </c>
      <c r="CF288" t="s">
        <v>1029</v>
      </c>
      <c r="CG288" t="s">
        <v>177</v>
      </c>
      <c r="CH288" t="s">
        <v>1030</v>
      </c>
      <c r="CI288" t="s">
        <v>4451</v>
      </c>
      <c r="CJ288" t="s">
        <v>2997</v>
      </c>
      <c r="CK288" t="s">
        <v>232</v>
      </c>
      <c r="CL288" t="s">
        <v>233</v>
      </c>
      <c r="CM288" t="s">
        <v>4452</v>
      </c>
      <c r="CN288" t="s">
        <v>484</v>
      </c>
      <c r="CO288" t="s">
        <v>183</v>
      </c>
      <c r="CP288" t="s">
        <v>211</v>
      </c>
      <c r="CQ288" t="s">
        <v>206</v>
      </c>
      <c r="CS288" t="s">
        <v>4453</v>
      </c>
      <c r="CT288" t="s">
        <v>4376</v>
      </c>
      <c r="CU288" t="s">
        <v>292</v>
      </c>
      <c r="CV288" t="s">
        <v>293</v>
      </c>
      <c r="CW288" t="s">
        <v>4454</v>
      </c>
      <c r="CX288" t="s">
        <v>333</v>
      </c>
      <c r="CY288" t="s">
        <v>183</v>
      </c>
      <c r="CZ288" t="s">
        <v>211</v>
      </c>
      <c r="DA288" t="s">
        <v>306</v>
      </c>
      <c r="DC288" t="s">
        <v>4453</v>
      </c>
      <c r="DD288" t="s">
        <v>3903</v>
      </c>
      <c r="DE288" t="s">
        <v>267</v>
      </c>
      <c r="DF288" t="s">
        <v>268</v>
      </c>
      <c r="DG288" t="s">
        <v>4455</v>
      </c>
      <c r="DH288" t="s">
        <v>331</v>
      </c>
      <c r="DI288" t="s">
        <v>183</v>
      </c>
      <c r="DJ288" t="s">
        <v>211</v>
      </c>
      <c r="DK288" t="s">
        <v>808</v>
      </c>
      <c r="DM288" t="s">
        <v>4453</v>
      </c>
      <c r="DN288" t="s">
        <v>4439</v>
      </c>
      <c r="DO288" t="s">
        <v>302</v>
      </c>
      <c r="DP288" t="s">
        <v>303</v>
      </c>
      <c r="DQ288" t="s">
        <v>4456</v>
      </c>
      <c r="DR288" t="s">
        <v>235</v>
      </c>
      <c r="DS288" t="s">
        <v>183</v>
      </c>
      <c r="DT288" t="s">
        <v>211</v>
      </c>
      <c r="DU288" t="s">
        <v>306</v>
      </c>
      <c r="DW288" t="s">
        <v>4457</v>
      </c>
      <c r="DX288" t="s">
        <v>4458</v>
      </c>
      <c r="DY288" t="s">
        <v>238</v>
      </c>
      <c r="DZ288" t="s">
        <v>239</v>
      </c>
      <c r="EA288" t="s">
        <v>4459</v>
      </c>
      <c r="EB288" t="s">
        <v>816</v>
      </c>
      <c r="EC288" t="s">
        <v>183</v>
      </c>
      <c r="ED288" t="s">
        <v>211</v>
      </c>
      <c r="EE288" t="s">
        <v>345</v>
      </c>
      <c r="EG288" t="s">
        <v>4460</v>
      </c>
      <c r="EH288" t="s">
        <v>4461</v>
      </c>
      <c r="EI288" t="s">
        <v>346</v>
      </c>
      <c r="EJ288" t="s">
        <v>347</v>
      </c>
      <c r="EK288" t="s">
        <v>4462</v>
      </c>
      <c r="EL288" t="s">
        <v>247</v>
      </c>
      <c r="EM288" t="s">
        <v>183</v>
      </c>
      <c r="EN288" t="s">
        <v>211</v>
      </c>
      <c r="EO288" t="s">
        <v>342</v>
      </c>
      <c r="EQ288" t="s">
        <v>619</v>
      </c>
      <c r="FA288" t="s">
        <v>198</v>
      </c>
      <c r="FK288" t="s">
        <v>198</v>
      </c>
      <c r="FU288" t="s">
        <v>198</v>
      </c>
    </row>
    <row r="289" spans="1:177">
      <c r="A289" s="1" t="str">
        <f>HYPERLINK("http://digipan.lumentumllc.com/apps/getLink/index.php?t=PropLink&amp;p=5246532","PL")</f>
        <v>PL</v>
      </c>
      <c r="B289" s="1" t="str">
        <f>HYPERLINK("http://digipan.lumentumllc.com/apps/getLink/index.php?t=TaxLink&amp;p=5246532","TL")</f>
        <v>TL</v>
      </c>
      <c r="C289" s="1" t="str">
        <f>HYPERLINK("http://digipan.lumentumllc.com/apps/getMap/index.php?p=5246532","Map")</f>
        <v>Map</v>
      </c>
      <c r="E289" t="s">
        <v>177</v>
      </c>
      <c r="F289" t="s">
        <v>178</v>
      </c>
      <c r="L289" t="s">
        <v>4463</v>
      </c>
      <c r="N289" t="s">
        <v>4463</v>
      </c>
      <c r="O289" t="s">
        <v>4463</v>
      </c>
      <c r="P289" t="s">
        <v>4464</v>
      </c>
      <c r="Q289" t="s">
        <v>4463</v>
      </c>
      <c r="V289">
        <v>330</v>
      </c>
      <c r="W289">
        <v>2</v>
      </c>
      <c r="X289">
        <v>2017</v>
      </c>
      <c r="Y289">
        <v>2018</v>
      </c>
      <c r="Z289">
        <v>1473.77</v>
      </c>
      <c r="AB289" t="s">
        <v>181</v>
      </c>
      <c r="AC289" t="s">
        <v>182</v>
      </c>
      <c r="AD289" t="s">
        <v>183</v>
      </c>
      <c r="AE289">
        <v>0</v>
      </c>
      <c r="AF289">
        <v>1</v>
      </c>
      <c r="AG289" t="s">
        <v>821</v>
      </c>
      <c r="AH289">
        <v>100</v>
      </c>
      <c r="AK289">
        <v>0</v>
      </c>
      <c r="AL289">
        <v>88059</v>
      </c>
      <c r="AM289">
        <v>30720</v>
      </c>
      <c r="AN289">
        <v>57339</v>
      </c>
      <c r="AO289">
        <v>1244</v>
      </c>
      <c r="AP289">
        <v>2016</v>
      </c>
      <c r="AQ289">
        <v>1.67</v>
      </c>
      <c r="AS289" t="s">
        <v>4465</v>
      </c>
      <c r="AT289" t="s">
        <v>3747</v>
      </c>
      <c r="AU289" t="s">
        <v>177</v>
      </c>
      <c r="AV289" t="s">
        <v>1030</v>
      </c>
      <c r="AW289" t="s">
        <v>182</v>
      </c>
      <c r="AX289">
        <v>2</v>
      </c>
      <c r="AY289" t="s">
        <v>188</v>
      </c>
      <c r="AZ289" t="s">
        <v>189</v>
      </c>
      <c r="BA289" t="s">
        <v>190</v>
      </c>
      <c r="BB289" t="s">
        <v>191</v>
      </c>
      <c r="BC289" t="s">
        <v>182</v>
      </c>
      <c r="BD289" t="s">
        <v>182</v>
      </c>
      <c r="BE289" t="s">
        <v>3301</v>
      </c>
      <c r="BF289">
        <v>1</v>
      </c>
      <c r="BG289">
        <v>1</v>
      </c>
      <c r="BH289">
        <v>1999</v>
      </c>
      <c r="BI289" t="s">
        <v>4466</v>
      </c>
      <c r="BJ289" t="s">
        <v>194</v>
      </c>
      <c r="BK289" t="s">
        <v>195</v>
      </c>
      <c r="BL289" t="s">
        <v>1753</v>
      </c>
      <c r="BM289" t="s">
        <v>346</v>
      </c>
      <c r="BN289" t="s">
        <v>182</v>
      </c>
      <c r="BO289" t="s">
        <v>4467</v>
      </c>
      <c r="BP289" t="s">
        <v>1110</v>
      </c>
      <c r="BQ289" t="s">
        <v>904</v>
      </c>
      <c r="BR289" t="s">
        <v>563</v>
      </c>
      <c r="BS289" t="s">
        <v>198</v>
      </c>
      <c r="BT289" t="s">
        <v>228</v>
      </c>
      <c r="BU289" t="s">
        <v>182</v>
      </c>
      <c r="BV289" t="s">
        <v>198</v>
      </c>
      <c r="BW289" t="s">
        <v>198</v>
      </c>
      <c r="BX289" t="s">
        <v>199</v>
      </c>
      <c r="BY289" t="s">
        <v>198</v>
      </c>
      <c r="BZ289" t="s">
        <v>199</v>
      </c>
      <c r="CA289" t="s">
        <v>199</v>
      </c>
      <c r="CB289" t="s">
        <v>4468</v>
      </c>
      <c r="CC289" t="s">
        <v>201</v>
      </c>
      <c r="CD289" t="s">
        <v>202</v>
      </c>
      <c r="CE289" t="s">
        <v>4469</v>
      </c>
      <c r="CF289" t="s">
        <v>1029</v>
      </c>
      <c r="CG289" t="s">
        <v>177</v>
      </c>
      <c r="CH289" t="s">
        <v>1030</v>
      </c>
      <c r="CI289" t="s">
        <v>4470</v>
      </c>
      <c r="CJ289" t="s">
        <v>4471</v>
      </c>
      <c r="CK289" t="s">
        <v>346</v>
      </c>
      <c r="CL289" t="s">
        <v>347</v>
      </c>
      <c r="CM289" t="s">
        <v>4472</v>
      </c>
      <c r="CN289" t="s">
        <v>247</v>
      </c>
      <c r="CO289" t="s">
        <v>183</v>
      </c>
      <c r="CP289" t="s">
        <v>211</v>
      </c>
      <c r="CQ289" t="s">
        <v>250</v>
      </c>
      <c r="CS289" t="s">
        <v>4473</v>
      </c>
      <c r="DC289" t="s">
        <v>198</v>
      </c>
      <c r="DM289" t="s">
        <v>198</v>
      </c>
      <c r="DW289" t="s">
        <v>198</v>
      </c>
      <c r="EG289" t="s">
        <v>198</v>
      </c>
      <c r="EQ289" t="s">
        <v>198</v>
      </c>
      <c r="FA289" t="s">
        <v>198</v>
      </c>
      <c r="FK289" t="s">
        <v>198</v>
      </c>
      <c r="FU289" t="s">
        <v>198</v>
      </c>
    </row>
    <row r="290" spans="1:177">
      <c r="A290" s="1" t="str">
        <f>HYPERLINK("http://digipan.lumentumllc.com/apps/getLink/index.php?t=PropLink&amp;p=6886753","PL")</f>
        <v>PL</v>
      </c>
      <c r="B290" s="1" t="str">
        <f>HYPERLINK("http://digipan.lumentumllc.com/apps/getLink/index.php?t=TaxLink&amp;p=6886753","TL")</f>
        <v>TL</v>
      </c>
      <c r="C290" s="1" t="str">
        <f>HYPERLINK("http://digipan.lumentumllc.com/apps/getMap/index.php?p=6886753","Map")</f>
        <v>Map</v>
      </c>
      <c r="E290" t="s">
        <v>177</v>
      </c>
      <c r="F290" t="s">
        <v>178</v>
      </c>
      <c r="L290" t="s">
        <v>4474</v>
      </c>
      <c r="N290" t="s">
        <v>4474</v>
      </c>
      <c r="O290" t="s">
        <v>4474</v>
      </c>
      <c r="P290" t="s">
        <v>4475</v>
      </c>
      <c r="Q290" t="s">
        <v>4474</v>
      </c>
      <c r="V290">
        <v>332</v>
      </c>
      <c r="W290">
        <v>2</v>
      </c>
      <c r="X290">
        <v>2017</v>
      </c>
      <c r="Y290">
        <v>2018</v>
      </c>
      <c r="Z290">
        <v>564.75</v>
      </c>
      <c r="AB290" t="s">
        <v>181</v>
      </c>
      <c r="AC290" t="s">
        <v>182</v>
      </c>
      <c r="AD290" t="s">
        <v>183</v>
      </c>
      <c r="AE290">
        <v>1</v>
      </c>
      <c r="AF290">
        <v>1</v>
      </c>
      <c r="AG290" t="s">
        <v>2222</v>
      </c>
      <c r="AH290">
        <v>50</v>
      </c>
      <c r="AI290">
        <v>558.95000000000005</v>
      </c>
      <c r="AJ290">
        <v>27.95</v>
      </c>
      <c r="AK290">
        <v>586.9</v>
      </c>
      <c r="AL290">
        <v>83787</v>
      </c>
      <c r="AM290">
        <v>26340</v>
      </c>
      <c r="AN290">
        <v>57447</v>
      </c>
      <c r="AO290">
        <v>492</v>
      </c>
      <c r="AP290">
        <v>2016</v>
      </c>
      <c r="AQ290">
        <v>0.67</v>
      </c>
      <c r="AR290">
        <v>0.7</v>
      </c>
      <c r="AS290" t="s">
        <v>4476</v>
      </c>
      <c r="AT290" t="s">
        <v>3747</v>
      </c>
      <c r="AU290" t="s">
        <v>177</v>
      </c>
      <c r="AV290" t="s">
        <v>1030</v>
      </c>
      <c r="AW290" t="s">
        <v>202</v>
      </c>
      <c r="AX290">
        <v>2</v>
      </c>
      <c r="AY290" t="s">
        <v>188</v>
      </c>
      <c r="AZ290" t="s">
        <v>189</v>
      </c>
      <c r="BA290" t="s">
        <v>190</v>
      </c>
      <c r="BB290" t="s">
        <v>191</v>
      </c>
      <c r="BC290" t="s">
        <v>182</v>
      </c>
      <c r="BD290" t="s">
        <v>182</v>
      </c>
      <c r="BE290" t="s">
        <v>4477</v>
      </c>
      <c r="BF290">
        <v>2</v>
      </c>
      <c r="BG290">
        <v>2</v>
      </c>
      <c r="BH290">
        <v>1995</v>
      </c>
      <c r="BI290" t="s">
        <v>4478</v>
      </c>
      <c r="BJ290" t="s">
        <v>194</v>
      </c>
      <c r="BK290" t="s">
        <v>195</v>
      </c>
      <c r="BL290" t="s">
        <v>199</v>
      </c>
      <c r="BM290" t="s">
        <v>1825</v>
      </c>
      <c r="BN290" t="s">
        <v>182</v>
      </c>
      <c r="BO290" t="s">
        <v>198</v>
      </c>
      <c r="BP290" t="s">
        <v>198</v>
      </c>
      <c r="BQ290" t="s">
        <v>198</v>
      </c>
      <c r="BR290" t="s">
        <v>198</v>
      </c>
      <c r="BS290" t="s">
        <v>198</v>
      </c>
      <c r="BT290" t="s">
        <v>198</v>
      </c>
      <c r="BU290" t="s">
        <v>182</v>
      </c>
      <c r="BV290" t="s">
        <v>198</v>
      </c>
      <c r="BW290" t="s">
        <v>198</v>
      </c>
      <c r="BX290" t="s">
        <v>199</v>
      </c>
      <c r="BY290" t="s">
        <v>198</v>
      </c>
      <c r="BZ290" t="s">
        <v>199</v>
      </c>
      <c r="CA290" t="s">
        <v>199</v>
      </c>
      <c r="CB290" t="s">
        <v>4479</v>
      </c>
      <c r="CC290" t="s">
        <v>201</v>
      </c>
      <c r="CD290" t="s">
        <v>182</v>
      </c>
      <c r="CE290" t="s">
        <v>4480</v>
      </c>
      <c r="CF290" t="s">
        <v>1029</v>
      </c>
      <c r="CG290" t="s">
        <v>177</v>
      </c>
      <c r="CH290" t="s">
        <v>1030</v>
      </c>
      <c r="CI290" t="s">
        <v>1955</v>
      </c>
      <c r="CJ290" t="s">
        <v>3167</v>
      </c>
      <c r="CK290" t="s">
        <v>232</v>
      </c>
      <c r="CL290" t="s">
        <v>233</v>
      </c>
      <c r="CM290" t="s">
        <v>4481</v>
      </c>
      <c r="CN290" t="s">
        <v>235</v>
      </c>
      <c r="CO290" t="s">
        <v>183</v>
      </c>
      <c r="CP290" t="s">
        <v>266</v>
      </c>
      <c r="CS290" t="s">
        <v>198</v>
      </c>
      <c r="CT290" t="s">
        <v>2842</v>
      </c>
      <c r="CU290" t="s">
        <v>267</v>
      </c>
      <c r="CV290" t="s">
        <v>268</v>
      </c>
      <c r="CW290" t="s">
        <v>4482</v>
      </c>
      <c r="CX290" t="s">
        <v>235</v>
      </c>
      <c r="CY290" t="s">
        <v>183</v>
      </c>
      <c r="CZ290" t="s">
        <v>211</v>
      </c>
      <c r="DA290" t="s">
        <v>342</v>
      </c>
      <c r="DC290" t="s">
        <v>4483</v>
      </c>
      <c r="DM290" t="s">
        <v>198</v>
      </c>
      <c r="DW290" t="s">
        <v>198</v>
      </c>
      <c r="EG290" t="s">
        <v>198</v>
      </c>
      <c r="EQ290" t="s">
        <v>198</v>
      </c>
      <c r="FA290" t="s">
        <v>198</v>
      </c>
      <c r="FK290" t="s">
        <v>198</v>
      </c>
      <c r="FU290" t="s">
        <v>198</v>
      </c>
    </row>
    <row r="291" spans="1:177">
      <c r="A291" s="1" t="str">
        <f>HYPERLINK("http://digipan.lumentumllc.com/apps/getLink/index.php?t=PropLink&amp;p=15749289","PL")</f>
        <v>PL</v>
      </c>
      <c r="B291" s="1" t="str">
        <f>HYPERLINK("http://digipan.lumentumllc.com/apps/getLink/index.php?t=TaxLink&amp;p=15749289","TL")</f>
        <v>TL</v>
      </c>
      <c r="C291" s="1" t="str">
        <f>HYPERLINK("http://digipan.lumentumllc.com/apps/getMap/index.php?p=15749289","Map")</f>
        <v>Map</v>
      </c>
      <c r="E291" t="s">
        <v>177</v>
      </c>
      <c r="F291" t="s">
        <v>178</v>
      </c>
      <c r="L291" t="s">
        <v>4484</v>
      </c>
      <c r="N291" t="s">
        <v>4484</v>
      </c>
      <c r="O291" t="s">
        <v>4484</v>
      </c>
      <c r="Q291" t="s">
        <v>4484</v>
      </c>
      <c r="V291">
        <v>333</v>
      </c>
      <c r="W291">
        <v>2</v>
      </c>
      <c r="X291">
        <v>2017</v>
      </c>
      <c r="Y291">
        <v>2018</v>
      </c>
      <c r="Z291">
        <v>71.3</v>
      </c>
      <c r="AG291" t="s">
        <v>184</v>
      </c>
      <c r="AH291">
        <v>0</v>
      </c>
      <c r="AK291">
        <v>0</v>
      </c>
      <c r="AL291">
        <v>60000</v>
      </c>
      <c r="AM291">
        <v>2400</v>
      </c>
      <c r="AN291">
        <v>57600</v>
      </c>
      <c r="AO291">
        <v>34</v>
      </c>
      <c r="AP291">
        <v>2016</v>
      </c>
      <c r="AQ291">
        <v>0.12</v>
      </c>
      <c r="AS291" t="s">
        <v>4485</v>
      </c>
      <c r="AT291" t="s">
        <v>3747</v>
      </c>
      <c r="AU291" t="s">
        <v>177</v>
      </c>
      <c r="AV291" t="s">
        <v>1030</v>
      </c>
      <c r="AW291" t="s">
        <v>182</v>
      </c>
      <c r="AX291">
        <v>57</v>
      </c>
      <c r="AY291" t="s">
        <v>218</v>
      </c>
      <c r="AZ291" t="s">
        <v>1232</v>
      </c>
      <c r="BA291" t="s">
        <v>4486</v>
      </c>
      <c r="BB291" t="s">
        <v>191</v>
      </c>
      <c r="BC291" t="s">
        <v>182</v>
      </c>
      <c r="BD291" t="s">
        <v>182</v>
      </c>
      <c r="BE291" t="s">
        <v>576</v>
      </c>
      <c r="BF291">
        <v>0</v>
      </c>
      <c r="BG291">
        <v>0</v>
      </c>
      <c r="BH291">
        <v>0</v>
      </c>
      <c r="BI291" t="s">
        <v>199</v>
      </c>
      <c r="BJ291" t="s">
        <v>315</v>
      </c>
      <c r="BL291" t="s">
        <v>199</v>
      </c>
      <c r="BM291" t="s">
        <v>1156</v>
      </c>
      <c r="BN291" t="s">
        <v>182</v>
      </c>
      <c r="BO291" t="s">
        <v>198</v>
      </c>
      <c r="BP291" t="s">
        <v>198</v>
      </c>
      <c r="BQ291" t="s">
        <v>198</v>
      </c>
      <c r="BR291" t="s">
        <v>198</v>
      </c>
      <c r="BS291" t="s">
        <v>198</v>
      </c>
      <c r="BT291" t="s">
        <v>198</v>
      </c>
      <c r="BU291" t="s">
        <v>182</v>
      </c>
      <c r="BV291" t="s">
        <v>198</v>
      </c>
      <c r="BW291" t="s">
        <v>198</v>
      </c>
      <c r="BX291" t="s">
        <v>199</v>
      </c>
      <c r="BY291" t="s">
        <v>198</v>
      </c>
      <c r="BZ291" t="s">
        <v>199</v>
      </c>
      <c r="CA291" t="s">
        <v>199</v>
      </c>
      <c r="CB291" t="s">
        <v>4487</v>
      </c>
      <c r="CC291" t="s">
        <v>201</v>
      </c>
      <c r="CD291" t="s">
        <v>182</v>
      </c>
      <c r="CE291" t="s">
        <v>4488</v>
      </c>
      <c r="CF291" t="s">
        <v>413</v>
      </c>
      <c r="CG291" t="s">
        <v>177</v>
      </c>
      <c r="CH291" t="s">
        <v>4489</v>
      </c>
      <c r="CI291" t="s">
        <v>629</v>
      </c>
      <c r="CS291" t="s">
        <v>198</v>
      </c>
      <c r="DC291" t="s">
        <v>198</v>
      </c>
      <c r="DM291" t="s">
        <v>198</v>
      </c>
      <c r="DW291" t="s">
        <v>198</v>
      </c>
      <c r="EG291" t="s">
        <v>198</v>
      </c>
      <c r="EQ291" t="s">
        <v>198</v>
      </c>
      <c r="FA291" t="s">
        <v>198</v>
      </c>
      <c r="FK291" t="s">
        <v>198</v>
      </c>
      <c r="FU291" t="s">
        <v>198</v>
      </c>
    </row>
    <row r="292" spans="1:177">
      <c r="A292" s="1" t="str">
        <f>HYPERLINK("http://digipan.lumentumllc.com/apps/getLink/index.php?t=PropLink&amp;p=15751897","PL")</f>
        <v>PL</v>
      </c>
      <c r="B292" s="1" t="str">
        <f>HYPERLINK("http://digipan.lumentumllc.com/apps/getLink/index.php?t=TaxLink&amp;p=15751897","TL")</f>
        <v>TL</v>
      </c>
      <c r="C292" s="1" t="str">
        <f>HYPERLINK("http://digipan.lumentumllc.com/apps/getMap/index.php?p=15751897","Map")</f>
        <v>Map</v>
      </c>
      <c r="E292" t="s">
        <v>177</v>
      </c>
      <c r="F292" t="s">
        <v>178</v>
      </c>
      <c r="L292" t="s">
        <v>4490</v>
      </c>
      <c r="N292" t="s">
        <v>4490</v>
      </c>
      <c r="O292" t="s">
        <v>4490</v>
      </c>
      <c r="Q292" t="s">
        <v>4490</v>
      </c>
      <c r="V292">
        <v>335</v>
      </c>
      <c r="W292">
        <v>2</v>
      </c>
      <c r="X292">
        <v>2017</v>
      </c>
      <c r="Y292">
        <v>2018</v>
      </c>
      <c r="Z292">
        <v>540.86</v>
      </c>
      <c r="AG292" t="s">
        <v>184</v>
      </c>
      <c r="AH292">
        <v>0</v>
      </c>
      <c r="AK292">
        <v>0</v>
      </c>
      <c r="AL292">
        <v>31080</v>
      </c>
      <c r="AM292">
        <v>31080</v>
      </c>
      <c r="AN292">
        <v>0</v>
      </c>
      <c r="AO292">
        <v>477</v>
      </c>
      <c r="AP292">
        <v>2016</v>
      </c>
      <c r="AQ292">
        <v>1.74</v>
      </c>
      <c r="AS292" t="s">
        <v>4491</v>
      </c>
      <c r="AT292" t="s">
        <v>420</v>
      </c>
      <c r="AU292" t="s">
        <v>177</v>
      </c>
      <c r="AV292" t="s">
        <v>421</v>
      </c>
      <c r="AW292" t="s">
        <v>182</v>
      </c>
      <c r="AX292">
        <v>0</v>
      </c>
      <c r="AY292" t="s">
        <v>312</v>
      </c>
      <c r="AZ292" t="s">
        <v>199</v>
      </c>
      <c r="BA292" t="s">
        <v>313</v>
      </c>
      <c r="BB292" t="s">
        <v>191</v>
      </c>
      <c r="BC292" t="s">
        <v>182</v>
      </c>
      <c r="BD292" t="s">
        <v>2072</v>
      </c>
      <c r="BE292" t="s">
        <v>4492</v>
      </c>
      <c r="BF292">
        <v>0</v>
      </c>
      <c r="BG292">
        <v>0</v>
      </c>
      <c r="BH292">
        <v>0</v>
      </c>
      <c r="BI292" t="s">
        <v>199</v>
      </c>
      <c r="BJ292" t="s">
        <v>248</v>
      </c>
      <c r="BL292" t="s">
        <v>199</v>
      </c>
      <c r="BM292" t="s">
        <v>292</v>
      </c>
      <c r="BN292" t="s">
        <v>182</v>
      </c>
      <c r="BO292" t="s">
        <v>198</v>
      </c>
      <c r="BP292" t="s">
        <v>198</v>
      </c>
      <c r="BQ292" t="s">
        <v>198</v>
      </c>
      <c r="BR292" t="s">
        <v>198</v>
      </c>
      <c r="BS292" t="s">
        <v>198</v>
      </c>
      <c r="BT292" t="s">
        <v>198</v>
      </c>
      <c r="BU292" t="s">
        <v>182</v>
      </c>
      <c r="BV292" t="s">
        <v>198</v>
      </c>
      <c r="BW292" t="s">
        <v>198</v>
      </c>
      <c r="BX292" t="s">
        <v>199</v>
      </c>
      <c r="BY292" t="s">
        <v>198</v>
      </c>
      <c r="BZ292" t="s">
        <v>199</v>
      </c>
      <c r="CA292" t="s">
        <v>199</v>
      </c>
      <c r="CB292" t="s">
        <v>4493</v>
      </c>
      <c r="CC292" t="s">
        <v>201</v>
      </c>
      <c r="CD292" t="s">
        <v>182</v>
      </c>
      <c r="CE292" t="s">
        <v>4494</v>
      </c>
      <c r="CF292" t="s">
        <v>425</v>
      </c>
      <c r="CG292" t="s">
        <v>177</v>
      </c>
      <c r="CH292" t="s">
        <v>421</v>
      </c>
      <c r="CI292" t="s">
        <v>4495</v>
      </c>
      <c r="CS292" t="s">
        <v>198</v>
      </c>
      <c r="DC292" t="s">
        <v>198</v>
      </c>
      <c r="DM292" t="s">
        <v>198</v>
      </c>
      <c r="DW292" t="s">
        <v>198</v>
      </c>
      <c r="EG292" t="s">
        <v>198</v>
      </c>
      <c r="EQ292" t="s">
        <v>198</v>
      </c>
      <c r="FA292" t="s">
        <v>198</v>
      </c>
      <c r="FK292" t="s">
        <v>198</v>
      </c>
      <c r="FU292" t="s">
        <v>198</v>
      </c>
    </row>
    <row r="293" spans="1:177">
      <c r="A293" s="1" t="str">
        <f>HYPERLINK("http://digipan.lumentumllc.com/apps/getLink/index.php?t=PropLink&amp;p=5247085","PL")</f>
        <v>PL</v>
      </c>
      <c r="B293" s="1" t="str">
        <f>HYPERLINK("http://digipan.lumentumllc.com/apps/getLink/index.php?t=TaxLink&amp;p=5247085","TL")</f>
        <v>TL</v>
      </c>
      <c r="C293" s="1" t="str">
        <f>HYPERLINK("http://digipan.lumentumllc.com/apps/getMap/index.php?p=5247085","Map")</f>
        <v>Map</v>
      </c>
      <c r="E293" t="s">
        <v>177</v>
      </c>
      <c r="F293" t="s">
        <v>178</v>
      </c>
      <c r="L293" t="s">
        <v>4496</v>
      </c>
      <c r="N293" t="s">
        <v>4496</v>
      </c>
      <c r="O293" t="s">
        <v>4496</v>
      </c>
      <c r="P293" t="s">
        <v>4497</v>
      </c>
      <c r="Q293" t="s">
        <v>4496</v>
      </c>
      <c r="V293">
        <v>337</v>
      </c>
      <c r="W293">
        <v>2</v>
      </c>
      <c r="X293">
        <v>2017</v>
      </c>
      <c r="Y293">
        <v>2018</v>
      </c>
      <c r="Z293">
        <v>1684.13</v>
      </c>
      <c r="AB293" t="s">
        <v>181</v>
      </c>
      <c r="AC293" t="s">
        <v>182</v>
      </c>
      <c r="AD293" t="s">
        <v>183</v>
      </c>
      <c r="AE293">
        <v>1</v>
      </c>
      <c r="AF293">
        <v>7</v>
      </c>
      <c r="AG293" t="s">
        <v>418</v>
      </c>
      <c r="AH293">
        <v>86</v>
      </c>
      <c r="AI293">
        <v>1479.21</v>
      </c>
      <c r="AJ293">
        <v>73.959999999999994</v>
      </c>
      <c r="AK293">
        <v>1553.17</v>
      </c>
      <c r="AL293">
        <v>132074</v>
      </c>
      <c r="AM293">
        <v>24552</v>
      </c>
      <c r="AN293">
        <v>107522</v>
      </c>
      <c r="AO293">
        <v>1343</v>
      </c>
      <c r="AP293">
        <v>2016</v>
      </c>
      <c r="AQ293">
        <v>1.28</v>
      </c>
      <c r="AR293">
        <v>1.18</v>
      </c>
      <c r="AS293" t="s">
        <v>4498</v>
      </c>
      <c r="AT293" t="s">
        <v>420</v>
      </c>
      <c r="AU293" t="s">
        <v>177</v>
      </c>
      <c r="AV293" t="s">
        <v>421</v>
      </c>
      <c r="AW293" t="s">
        <v>182</v>
      </c>
      <c r="AX293">
        <v>50</v>
      </c>
      <c r="AY293" t="s">
        <v>218</v>
      </c>
      <c r="AZ293" t="s">
        <v>589</v>
      </c>
      <c r="BA293" t="s">
        <v>590</v>
      </c>
      <c r="BB293" t="s">
        <v>191</v>
      </c>
      <c r="BC293" t="s">
        <v>182</v>
      </c>
      <c r="BD293" t="s">
        <v>182</v>
      </c>
      <c r="BE293" t="s">
        <v>3525</v>
      </c>
      <c r="BF293">
        <v>2</v>
      </c>
      <c r="BG293">
        <v>2</v>
      </c>
      <c r="BH293">
        <v>1995</v>
      </c>
      <c r="BI293" t="s">
        <v>4499</v>
      </c>
      <c r="BJ293" t="s">
        <v>194</v>
      </c>
      <c r="BK293" t="s">
        <v>195</v>
      </c>
      <c r="BL293" t="s">
        <v>199</v>
      </c>
      <c r="BM293" t="s">
        <v>358</v>
      </c>
      <c r="BN293" t="s">
        <v>182</v>
      </c>
      <c r="BO293" t="s">
        <v>4500</v>
      </c>
      <c r="BP293" t="s">
        <v>1696</v>
      </c>
      <c r="BS293" t="s">
        <v>4501</v>
      </c>
      <c r="BT293" t="s">
        <v>198</v>
      </c>
      <c r="BU293" t="s">
        <v>182</v>
      </c>
      <c r="BV293" t="s">
        <v>198</v>
      </c>
      <c r="BW293" t="s">
        <v>198</v>
      </c>
      <c r="BX293" t="s">
        <v>199</v>
      </c>
      <c r="BY293" t="s">
        <v>198</v>
      </c>
      <c r="BZ293" t="s">
        <v>199</v>
      </c>
      <c r="CA293" t="s">
        <v>199</v>
      </c>
      <c r="CB293" t="s">
        <v>4502</v>
      </c>
      <c r="CC293" t="s">
        <v>201</v>
      </c>
      <c r="CD293" t="s">
        <v>182</v>
      </c>
      <c r="CE293" t="s">
        <v>4503</v>
      </c>
      <c r="CF293" t="s">
        <v>425</v>
      </c>
      <c r="CG293" t="s">
        <v>177</v>
      </c>
      <c r="CH293" t="s">
        <v>421</v>
      </c>
      <c r="CI293" t="s">
        <v>4504</v>
      </c>
      <c r="CJ293" t="s">
        <v>3030</v>
      </c>
      <c r="CK293" t="s">
        <v>232</v>
      </c>
      <c r="CL293" t="s">
        <v>233</v>
      </c>
      <c r="CM293" t="s">
        <v>4505</v>
      </c>
      <c r="CN293" t="s">
        <v>235</v>
      </c>
      <c r="CO293" t="s">
        <v>183</v>
      </c>
      <c r="CP293" t="s">
        <v>266</v>
      </c>
      <c r="CS293" t="s">
        <v>198</v>
      </c>
      <c r="CT293" t="s">
        <v>2925</v>
      </c>
      <c r="CU293" t="s">
        <v>292</v>
      </c>
      <c r="CV293" t="s">
        <v>293</v>
      </c>
      <c r="CW293" t="s">
        <v>4506</v>
      </c>
      <c r="CX293" t="s">
        <v>235</v>
      </c>
      <c r="CY293" t="s">
        <v>183</v>
      </c>
      <c r="CZ293" t="s">
        <v>211</v>
      </c>
      <c r="DA293" t="s">
        <v>298</v>
      </c>
      <c r="DC293" t="s">
        <v>4507</v>
      </c>
      <c r="DD293" t="s">
        <v>4376</v>
      </c>
      <c r="DE293" t="s">
        <v>267</v>
      </c>
      <c r="DF293" t="s">
        <v>268</v>
      </c>
      <c r="DG293" t="s">
        <v>4508</v>
      </c>
      <c r="DH293" t="s">
        <v>235</v>
      </c>
      <c r="DI293" t="s">
        <v>183</v>
      </c>
      <c r="DJ293" t="s">
        <v>211</v>
      </c>
      <c r="DK293" t="s">
        <v>345</v>
      </c>
      <c r="DM293" t="s">
        <v>4509</v>
      </c>
      <c r="DN293" t="s">
        <v>4215</v>
      </c>
      <c r="DO293" t="s">
        <v>273</v>
      </c>
      <c r="DP293" t="s">
        <v>274</v>
      </c>
      <c r="DQ293" t="s">
        <v>4510</v>
      </c>
      <c r="DR293" t="s">
        <v>235</v>
      </c>
      <c r="DS293" t="s">
        <v>183</v>
      </c>
      <c r="DT293" t="s">
        <v>211</v>
      </c>
      <c r="DU293" t="s">
        <v>345</v>
      </c>
      <c r="DW293" t="s">
        <v>1613</v>
      </c>
      <c r="DX293" t="s">
        <v>3030</v>
      </c>
      <c r="DY293" t="s">
        <v>302</v>
      </c>
      <c r="DZ293" t="s">
        <v>303</v>
      </c>
      <c r="EA293" t="s">
        <v>4511</v>
      </c>
      <c r="EB293" t="s">
        <v>235</v>
      </c>
      <c r="EC293" t="s">
        <v>183</v>
      </c>
      <c r="ED293" t="s">
        <v>211</v>
      </c>
      <c r="EE293" t="s">
        <v>345</v>
      </c>
      <c r="EG293" t="s">
        <v>4512</v>
      </c>
      <c r="EH293" t="s">
        <v>4513</v>
      </c>
      <c r="EI293" t="s">
        <v>238</v>
      </c>
      <c r="EJ293" t="s">
        <v>239</v>
      </c>
      <c r="EK293" t="s">
        <v>4514</v>
      </c>
      <c r="EL293" t="s">
        <v>1341</v>
      </c>
      <c r="EM293" t="s">
        <v>183</v>
      </c>
      <c r="EN293" t="s">
        <v>211</v>
      </c>
      <c r="EO293" t="s">
        <v>345</v>
      </c>
      <c r="EQ293" t="s">
        <v>3657</v>
      </c>
      <c r="ER293" t="s">
        <v>4515</v>
      </c>
      <c r="ES293" t="s">
        <v>346</v>
      </c>
      <c r="ET293" t="s">
        <v>347</v>
      </c>
      <c r="EU293" t="s">
        <v>4516</v>
      </c>
      <c r="EV293" t="s">
        <v>235</v>
      </c>
      <c r="EW293" t="s">
        <v>183</v>
      </c>
      <c r="EX293" t="s">
        <v>211</v>
      </c>
      <c r="EY293" t="s">
        <v>345</v>
      </c>
      <c r="FA293" t="s">
        <v>4517</v>
      </c>
      <c r="FB293" t="s">
        <v>4518</v>
      </c>
      <c r="FC293" t="s">
        <v>207</v>
      </c>
      <c r="FD293" t="s">
        <v>208</v>
      </c>
      <c r="FE293" t="s">
        <v>4519</v>
      </c>
      <c r="FF293" t="s">
        <v>2515</v>
      </c>
      <c r="FG293" t="s">
        <v>183</v>
      </c>
      <c r="FH293" t="s">
        <v>211</v>
      </c>
      <c r="FI293" t="s">
        <v>345</v>
      </c>
      <c r="FK293" t="s">
        <v>4520</v>
      </c>
      <c r="FU293" t="s">
        <v>198</v>
      </c>
    </row>
    <row r="294" spans="1:177">
      <c r="A294" s="1" t="str">
        <f>HYPERLINK("http://digipan.lumentumllc.com/apps/getLink/index.php?t=PropLink&amp;p=5247089","PL")</f>
        <v>PL</v>
      </c>
      <c r="B294" s="1" t="str">
        <f>HYPERLINK("http://digipan.lumentumllc.com/apps/getLink/index.php?t=TaxLink&amp;p=5247089","TL")</f>
        <v>TL</v>
      </c>
      <c r="C294" s="1" t="str">
        <f>HYPERLINK("http://digipan.lumentumllc.com/apps/getMap/index.php?p=5247089","Map")</f>
        <v>Map</v>
      </c>
      <c r="E294" t="s">
        <v>177</v>
      </c>
      <c r="F294" t="s">
        <v>178</v>
      </c>
      <c r="L294" t="s">
        <v>4521</v>
      </c>
      <c r="N294" t="s">
        <v>4521</v>
      </c>
      <c r="O294" t="s">
        <v>4521</v>
      </c>
      <c r="P294" t="s">
        <v>4522</v>
      </c>
      <c r="Q294" t="s">
        <v>4521</v>
      </c>
      <c r="V294">
        <v>338</v>
      </c>
      <c r="W294">
        <v>2</v>
      </c>
      <c r="X294">
        <v>2017</v>
      </c>
      <c r="Y294">
        <v>2018</v>
      </c>
      <c r="Z294">
        <v>381.18</v>
      </c>
      <c r="AB294" t="s">
        <v>181</v>
      </c>
      <c r="AC294" t="s">
        <v>202</v>
      </c>
      <c r="AD294" t="s">
        <v>183</v>
      </c>
      <c r="AE294">
        <v>1</v>
      </c>
      <c r="AF294">
        <v>5</v>
      </c>
      <c r="AG294" t="s">
        <v>322</v>
      </c>
      <c r="AH294">
        <v>83</v>
      </c>
      <c r="AI294">
        <v>324.56</v>
      </c>
      <c r="AJ294">
        <v>16.23</v>
      </c>
      <c r="AK294">
        <v>340.79</v>
      </c>
      <c r="AL294">
        <v>23413</v>
      </c>
      <c r="AM294">
        <v>15000</v>
      </c>
      <c r="AN294">
        <v>8413</v>
      </c>
      <c r="AO294">
        <v>275</v>
      </c>
      <c r="AP294">
        <v>2016</v>
      </c>
      <c r="AQ294">
        <v>1.63</v>
      </c>
      <c r="AR294">
        <v>1.46</v>
      </c>
      <c r="AS294" t="s">
        <v>4523</v>
      </c>
      <c r="AT294" t="s">
        <v>420</v>
      </c>
      <c r="AU294" t="s">
        <v>177</v>
      </c>
      <c r="AV294" t="s">
        <v>421</v>
      </c>
      <c r="AW294" t="s">
        <v>182</v>
      </c>
      <c r="AX294">
        <v>0</v>
      </c>
      <c r="AY294" t="s">
        <v>312</v>
      </c>
      <c r="AZ294" t="s">
        <v>199</v>
      </c>
      <c r="BA294" t="s">
        <v>313</v>
      </c>
      <c r="BB294" t="s">
        <v>191</v>
      </c>
      <c r="BC294" t="s">
        <v>182</v>
      </c>
      <c r="BD294" t="s">
        <v>182</v>
      </c>
      <c r="BE294" t="s">
        <v>383</v>
      </c>
      <c r="BF294">
        <v>0</v>
      </c>
      <c r="BG294">
        <v>0</v>
      </c>
      <c r="BH294">
        <v>0</v>
      </c>
      <c r="BI294" t="s">
        <v>199</v>
      </c>
      <c r="BJ294" t="s">
        <v>248</v>
      </c>
      <c r="BL294" t="s">
        <v>199</v>
      </c>
      <c r="BM294" t="s">
        <v>1041</v>
      </c>
      <c r="BN294" t="s">
        <v>182</v>
      </c>
      <c r="BO294" t="s">
        <v>198</v>
      </c>
      <c r="BP294" t="s">
        <v>198</v>
      </c>
      <c r="BQ294" t="s">
        <v>198</v>
      </c>
      <c r="BR294" t="s">
        <v>198</v>
      </c>
      <c r="BS294" t="s">
        <v>198</v>
      </c>
      <c r="BT294" t="s">
        <v>198</v>
      </c>
      <c r="BU294" t="s">
        <v>182</v>
      </c>
      <c r="BV294" t="s">
        <v>198</v>
      </c>
      <c r="BW294" t="s">
        <v>198</v>
      </c>
      <c r="BX294" t="s">
        <v>199</v>
      </c>
      <c r="BY294" t="s">
        <v>198</v>
      </c>
      <c r="BZ294" t="s">
        <v>199</v>
      </c>
      <c r="CA294" t="s">
        <v>199</v>
      </c>
      <c r="CB294" t="s">
        <v>4524</v>
      </c>
      <c r="CC294" t="s">
        <v>201</v>
      </c>
      <c r="CD294" t="s">
        <v>182</v>
      </c>
      <c r="CE294" t="s">
        <v>4525</v>
      </c>
      <c r="CF294" t="s">
        <v>4526</v>
      </c>
      <c r="CG294" t="s">
        <v>177</v>
      </c>
      <c r="CH294" t="s">
        <v>4527</v>
      </c>
      <c r="CI294" t="s">
        <v>2399</v>
      </c>
      <c r="CJ294" t="s">
        <v>3082</v>
      </c>
      <c r="CK294" t="s">
        <v>232</v>
      </c>
      <c r="CL294" t="s">
        <v>233</v>
      </c>
      <c r="CM294" t="s">
        <v>4528</v>
      </c>
      <c r="CN294" t="s">
        <v>235</v>
      </c>
      <c r="CO294" t="s">
        <v>183</v>
      </c>
      <c r="CP294" t="s">
        <v>266</v>
      </c>
      <c r="CS294" t="s">
        <v>198</v>
      </c>
      <c r="CT294" t="s">
        <v>2925</v>
      </c>
      <c r="CU294" t="s">
        <v>267</v>
      </c>
      <c r="CV294" t="s">
        <v>268</v>
      </c>
      <c r="CW294" t="s">
        <v>4529</v>
      </c>
      <c r="CX294" t="s">
        <v>400</v>
      </c>
      <c r="CY294" t="s">
        <v>183</v>
      </c>
      <c r="CZ294" t="s">
        <v>211</v>
      </c>
      <c r="DA294" t="s">
        <v>264</v>
      </c>
      <c r="DB294" t="s">
        <v>271</v>
      </c>
      <c r="DC294" t="s">
        <v>1917</v>
      </c>
      <c r="DD294" t="s">
        <v>2905</v>
      </c>
      <c r="DE294" t="s">
        <v>273</v>
      </c>
      <c r="DF294" t="s">
        <v>274</v>
      </c>
      <c r="DG294" t="s">
        <v>4530</v>
      </c>
      <c r="DH294" t="s">
        <v>341</v>
      </c>
      <c r="DI294" t="s">
        <v>183</v>
      </c>
      <c r="DJ294" t="s">
        <v>211</v>
      </c>
      <c r="DK294" t="s">
        <v>471</v>
      </c>
      <c r="DL294" t="s">
        <v>271</v>
      </c>
      <c r="DM294" t="s">
        <v>1917</v>
      </c>
      <c r="DN294" t="s">
        <v>3082</v>
      </c>
      <c r="DO294" t="s">
        <v>302</v>
      </c>
      <c r="DP294" t="s">
        <v>303</v>
      </c>
      <c r="DQ294" t="s">
        <v>4531</v>
      </c>
      <c r="DR294" t="s">
        <v>295</v>
      </c>
      <c r="DS294" t="s">
        <v>183</v>
      </c>
      <c r="DT294" t="s">
        <v>211</v>
      </c>
      <c r="DV294" t="s">
        <v>271</v>
      </c>
      <c r="DW294" t="s">
        <v>198</v>
      </c>
      <c r="DX294" t="s">
        <v>2540</v>
      </c>
      <c r="DY294" t="s">
        <v>238</v>
      </c>
      <c r="DZ294" t="s">
        <v>239</v>
      </c>
      <c r="EA294" t="s">
        <v>4532</v>
      </c>
      <c r="EB294" t="s">
        <v>278</v>
      </c>
      <c r="EC294" t="s">
        <v>183</v>
      </c>
      <c r="ED294" t="s">
        <v>211</v>
      </c>
      <c r="EE294" t="s">
        <v>1067</v>
      </c>
      <c r="EG294" t="s">
        <v>4533</v>
      </c>
      <c r="EH294" t="s">
        <v>4534</v>
      </c>
      <c r="EI294" t="s">
        <v>346</v>
      </c>
      <c r="EJ294" t="s">
        <v>347</v>
      </c>
      <c r="EK294" t="s">
        <v>4535</v>
      </c>
      <c r="EL294" t="s">
        <v>576</v>
      </c>
      <c r="EM294" t="s">
        <v>183</v>
      </c>
      <c r="EN294" t="s">
        <v>211</v>
      </c>
      <c r="EO294" t="s">
        <v>345</v>
      </c>
      <c r="EQ294" t="s">
        <v>2201</v>
      </c>
      <c r="FA294" t="s">
        <v>198</v>
      </c>
      <c r="FK294" t="s">
        <v>198</v>
      </c>
      <c r="FU294" t="s">
        <v>198</v>
      </c>
    </row>
    <row r="295" spans="1:177">
      <c r="A295" s="1" t="str">
        <f>HYPERLINK("http://digipan.lumentumllc.com/apps/getLink/index.php?t=PropLink&amp;p=15753847","PL")</f>
        <v>PL</v>
      </c>
      <c r="B295" s="1" t="str">
        <f>HYPERLINK("http://digipan.lumentumllc.com/apps/getLink/index.php?t=TaxLink&amp;p=15753847","TL")</f>
        <v>TL</v>
      </c>
      <c r="C295" s="1" t="str">
        <f>HYPERLINK("http://digipan.lumentumllc.com/apps/getMap/index.php?p=15753847","Map")</f>
        <v>Map</v>
      </c>
      <c r="E295" t="s">
        <v>177</v>
      </c>
      <c r="F295" t="s">
        <v>178</v>
      </c>
      <c r="L295" t="s">
        <v>4536</v>
      </c>
      <c r="N295" t="s">
        <v>4536</v>
      </c>
      <c r="O295" t="s">
        <v>4536</v>
      </c>
      <c r="Q295" t="s">
        <v>4536</v>
      </c>
      <c r="V295">
        <v>340</v>
      </c>
      <c r="W295">
        <v>2</v>
      </c>
      <c r="X295">
        <v>2017</v>
      </c>
      <c r="Y295">
        <v>2018</v>
      </c>
      <c r="Z295">
        <v>394.96</v>
      </c>
      <c r="AG295" t="s">
        <v>184</v>
      </c>
      <c r="AH295">
        <v>0</v>
      </c>
      <c r="AK295">
        <v>0</v>
      </c>
      <c r="AL295">
        <v>23609</v>
      </c>
      <c r="AM295">
        <v>15000</v>
      </c>
      <c r="AN295">
        <v>8609</v>
      </c>
      <c r="AO295">
        <v>310</v>
      </c>
      <c r="AP295">
        <v>2016</v>
      </c>
      <c r="AQ295">
        <v>1.67</v>
      </c>
      <c r="AS295" t="s">
        <v>4537</v>
      </c>
      <c r="AT295" t="s">
        <v>420</v>
      </c>
      <c r="AU295" t="s">
        <v>177</v>
      </c>
      <c r="AV295" t="s">
        <v>421</v>
      </c>
      <c r="AW295" t="s">
        <v>182</v>
      </c>
      <c r="AX295">
        <v>2</v>
      </c>
      <c r="AY295" t="s">
        <v>188</v>
      </c>
      <c r="AZ295" t="s">
        <v>189</v>
      </c>
      <c r="BA295" t="s">
        <v>190</v>
      </c>
      <c r="BB295" t="s">
        <v>191</v>
      </c>
      <c r="BC295" t="s">
        <v>182</v>
      </c>
      <c r="BD295" t="s">
        <v>182</v>
      </c>
      <c r="BE295" t="s">
        <v>383</v>
      </c>
      <c r="BF295">
        <v>1</v>
      </c>
      <c r="BG295">
        <v>1</v>
      </c>
      <c r="BH295">
        <v>1985</v>
      </c>
      <c r="BI295" t="s">
        <v>2385</v>
      </c>
      <c r="BJ295" t="s">
        <v>194</v>
      </c>
      <c r="BK295" t="s">
        <v>195</v>
      </c>
      <c r="BL295" t="s">
        <v>199</v>
      </c>
      <c r="BM295" t="s">
        <v>368</v>
      </c>
      <c r="BN295" t="s">
        <v>182</v>
      </c>
      <c r="BO295" t="s">
        <v>198</v>
      </c>
      <c r="BP295" t="s">
        <v>198</v>
      </c>
      <c r="BQ295" t="s">
        <v>198</v>
      </c>
      <c r="BR295" t="s">
        <v>198</v>
      </c>
      <c r="BS295" t="s">
        <v>198</v>
      </c>
      <c r="BT295" t="s">
        <v>198</v>
      </c>
      <c r="BU295" t="s">
        <v>182</v>
      </c>
      <c r="BV295" t="s">
        <v>198</v>
      </c>
      <c r="BW295" t="s">
        <v>198</v>
      </c>
      <c r="BX295" t="s">
        <v>199</v>
      </c>
      <c r="BY295" t="s">
        <v>198</v>
      </c>
      <c r="BZ295" t="s">
        <v>199</v>
      </c>
      <c r="CA295" t="s">
        <v>199</v>
      </c>
      <c r="CB295" t="s">
        <v>4538</v>
      </c>
      <c r="CC295" t="s">
        <v>201</v>
      </c>
      <c r="CD295" t="s">
        <v>182</v>
      </c>
      <c r="CE295" t="s">
        <v>4539</v>
      </c>
      <c r="CF295" t="s">
        <v>425</v>
      </c>
      <c r="CG295" t="s">
        <v>177</v>
      </c>
      <c r="CH295" t="s">
        <v>421</v>
      </c>
      <c r="CI295" t="s">
        <v>4540</v>
      </c>
      <c r="CS295" t="s">
        <v>198</v>
      </c>
      <c r="DC295" t="s">
        <v>198</v>
      </c>
      <c r="DM295" t="s">
        <v>198</v>
      </c>
      <c r="DW295" t="s">
        <v>198</v>
      </c>
      <c r="EG295" t="s">
        <v>198</v>
      </c>
      <c r="EQ295" t="s">
        <v>198</v>
      </c>
      <c r="FA295" t="s">
        <v>198</v>
      </c>
      <c r="FK295" t="s">
        <v>198</v>
      </c>
      <c r="FU295" t="s">
        <v>198</v>
      </c>
    </row>
    <row r="296" spans="1:177">
      <c r="A296" s="1" t="str">
        <f>HYPERLINK("http://digipan.lumentumllc.com/apps/getLink/index.php?t=PropLink&amp;p=5247090","PL")</f>
        <v>PL</v>
      </c>
      <c r="B296" s="1" t="str">
        <f>HYPERLINK("http://digipan.lumentumllc.com/apps/getLink/index.php?t=TaxLink&amp;p=5247090","TL")</f>
        <v>TL</v>
      </c>
      <c r="C296" s="1" t="str">
        <f>HYPERLINK("http://digipan.lumentumllc.com/apps/getMap/index.php?p=5247090","Map")</f>
        <v>Map</v>
      </c>
      <c r="E296" t="s">
        <v>177</v>
      </c>
      <c r="F296" t="s">
        <v>178</v>
      </c>
      <c r="L296" t="s">
        <v>4541</v>
      </c>
      <c r="N296" t="s">
        <v>4541</v>
      </c>
      <c r="O296" t="s">
        <v>4541</v>
      </c>
      <c r="P296" t="s">
        <v>4542</v>
      </c>
      <c r="Q296" t="s">
        <v>4541</v>
      </c>
      <c r="V296">
        <v>341</v>
      </c>
      <c r="W296">
        <v>2</v>
      </c>
      <c r="X296">
        <v>2017</v>
      </c>
      <c r="Y296">
        <v>2018</v>
      </c>
      <c r="Z296">
        <v>464.11</v>
      </c>
      <c r="AB296" t="s">
        <v>181</v>
      </c>
      <c r="AC296" t="s">
        <v>182</v>
      </c>
      <c r="AD296" t="s">
        <v>183</v>
      </c>
      <c r="AE296">
        <v>1</v>
      </c>
      <c r="AF296">
        <v>6</v>
      </c>
      <c r="AG296" t="s">
        <v>418</v>
      </c>
      <c r="AH296">
        <v>86</v>
      </c>
      <c r="AI296">
        <v>390.06</v>
      </c>
      <c r="AJ296">
        <v>25.35</v>
      </c>
      <c r="AK296">
        <v>415.41</v>
      </c>
      <c r="AL296">
        <v>29417</v>
      </c>
      <c r="AM296">
        <v>15000</v>
      </c>
      <c r="AN296">
        <v>14417</v>
      </c>
      <c r="AO296">
        <v>336</v>
      </c>
      <c r="AP296">
        <v>2016</v>
      </c>
      <c r="AQ296">
        <v>1.58</v>
      </c>
      <c r="AR296">
        <v>1.41</v>
      </c>
      <c r="AS296" t="s">
        <v>4543</v>
      </c>
      <c r="AT296" t="s">
        <v>420</v>
      </c>
      <c r="AU296" t="s">
        <v>177</v>
      </c>
      <c r="AV296" t="s">
        <v>421</v>
      </c>
      <c r="AW296" t="s">
        <v>182</v>
      </c>
      <c r="AX296">
        <v>2</v>
      </c>
      <c r="AY296" t="s">
        <v>188</v>
      </c>
      <c r="AZ296" t="s">
        <v>189</v>
      </c>
      <c r="BA296" t="s">
        <v>190</v>
      </c>
      <c r="BB296" t="s">
        <v>191</v>
      </c>
      <c r="BC296" t="s">
        <v>182</v>
      </c>
      <c r="BD296" t="s">
        <v>182</v>
      </c>
      <c r="BE296" t="s">
        <v>383</v>
      </c>
      <c r="BF296">
        <v>1</v>
      </c>
      <c r="BG296">
        <v>1</v>
      </c>
      <c r="BH296">
        <v>1994</v>
      </c>
      <c r="BI296" t="s">
        <v>2209</v>
      </c>
      <c r="BJ296" t="s">
        <v>194</v>
      </c>
      <c r="BK296" t="s">
        <v>195</v>
      </c>
      <c r="BL296" t="s">
        <v>199</v>
      </c>
      <c r="BM296" t="s">
        <v>368</v>
      </c>
      <c r="BN296" t="s">
        <v>182</v>
      </c>
      <c r="BO296" t="s">
        <v>4544</v>
      </c>
      <c r="BP296" t="s">
        <v>2542</v>
      </c>
      <c r="BS296" t="s">
        <v>4545</v>
      </c>
      <c r="BT296" t="s">
        <v>198</v>
      </c>
      <c r="BU296" t="s">
        <v>182</v>
      </c>
      <c r="BV296" t="s">
        <v>198</v>
      </c>
      <c r="BW296" t="s">
        <v>198</v>
      </c>
      <c r="BX296" t="s">
        <v>199</v>
      </c>
      <c r="BY296" t="s">
        <v>198</v>
      </c>
      <c r="BZ296" t="s">
        <v>199</v>
      </c>
      <c r="CA296" t="s">
        <v>199</v>
      </c>
      <c r="CB296" t="s">
        <v>4502</v>
      </c>
      <c r="CC296" t="s">
        <v>201</v>
      </c>
      <c r="CD296" t="s">
        <v>182</v>
      </c>
      <c r="CE296" t="s">
        <v>4503</v>
      </c>
      <c r="CF296" t="s">
        <v>425</v>
      </c>
      <c r="CG296" t="s">
        <v>177</v>
      </c>
      <c r="CH296" t="s">
        <v>421</v>
      </c>
      <c r="CI296" t="s">
        <v>4546</v>
      </c>
      <c r="CJ296" t="s">
        <v>4547</v>
      </c>
      <c r="CK296" t="s">
        <v>232</v>
      </c>
      <c r="CL296" t="s">
        <v>233</v>
      </c>
      <c r="CM296" t="s">
        <v>4548</v>
      </c>
      <c r="CN296" t="s">
        <v>688</v>
      </c>
      <c r="CO296" t="s">
        <v>183</v>
      </c>
      <c r="CP296" t="s">
        <v>266</v>
      </c>
      <c r="CS296" t="s">
        <v>198</v>
      </c>
      <c r="CT296" t="s">
        <v>2954</v>
      </c>
      <c r="CU296" t="s">
        <v>292</v>
      </c>
      <c r="CV296" t="s">
        <v>293</v>
      </c>
      <c r="CW296" t="s">
        <v>4549</v>
      </c>
      <c r="CX296" t="s">
        <v>295</v>
      </c>
      <c r="CY296" t="s">
        <v>183</v>
      </c>
      <c r="CZ296" t="s">
        <v>211</v>
      </c>
      <c r="DA296" t="s">
        <v>345</v>
      </c>
      <c r="DC296" t="s">
        <v>4550</v>
      </c>
      <c r="DD296" t="s">
        <v>4128</v>
      </c>
      <c r="DE296" t="s">
        <v>267</v>
      </c>
      <c r="DF296" t="s">
        <v>268</v>
      </c>
      <c r="DG296" t="s">
        <v>4551</v>
      </c>
      <c r="DH296" t="s">
        <v>511</v>
      </c>
      <c r="DI296" t="s">
        <v>183</v>
      </c>
      <c r="DJ296" t="s">
        <v>211</v>
      </c>
      <c r="DK296" t="s">
        <v>345</v>
      </c>
      <c r="DM296" t="s">
        <v>4509</v>
      </c>
      <c r="DN296" t="s">
        <v>3099</v>
      </c>
      <c r="DO296" t="s">
        <v>273</v>
      </c>
      <c r="DP296" t="s">
        <v>274</v>
      </c>
      <c r="DQ296" t="s">
        <v>4552</v>
      </c>
      <c r="DR296" t="s">
        <v>341</v>
      </c>
      <c r="DS296" t="s">
        <v>183</v>
      </c>
      <c r="DT296" t="s">
        <v>211</v>
      </c>
      <c r="DU296" t="s">
        <v>345</v>
      </c>
      <c r="DW296" t="s">
        <v>1613</v>
      </c>
      <c r="DX296" t="s">
        <v>4547</v>
      </c>
      <c r="DY296" t="s">
        <v>302</v>
      </c>
      <c r="DZ296" t="s">
        <v>303</v>
      </c>
      <c r="EA296" t="s">
        <v>4553</v>
      </c>
      <c r="EB296" t="s">
        <v>305</v>
      </c>
      <c r="EC296" t="s">
        <v>183</v>
      </c>
      <c r="ED296" t="s">
        <v>211</v>
      </c>
      <c r="EE296" t="s">
        <v>345</v>
      </c>
      <c r="EG296" t="s">
        <v>4512</v>
      </c>
      <c r="EH296" t="s">
        <v>4554</v>
      </c>
      <c r="EI296" t="s">
        <v>238</v>
      </c>
      <c r="EJ296" t="s">
        <v>239</v>
      </c>
      <c r="EK296" t="s">
        <v>4555</v>
      </c>
      <c r="EL296" t="s">
        <v>440</v>
      </c>
      <c r="EM296" t="s">
        <v>183</v>
      </c>
      <c r="EN296" t="s">
        <v>211</v>
      </c>
      <c r="EO296" t="s">
        <v>345</v>
      </c>
      <c r="EQ296" t="s">
        <v>3657</v>
      </c>
      <c r="ER296" t="s">
        <v>4556</v>
      </c>
      <c r="ES296" t="s">
        <v>346</v>
      </c>
      <c r="ET296" t="s">
        <v>347</v>
      </c>
      <c r="EU296" t="s">
        <v>4557</v>
      </c>
      <c r="EV296" t="s">
        <v>391</v>
      </c>
      <c r="EW296" t="s">
        <v>183</v>
      </c>
      <c r="EX296" t="s">
        <v>211</v>
      </c>
      <c r="EY296" t="s">
        <v>345</v>
      </c>
      <c r="FA296" t="s">
        <v>4517</v>
      </c>
      <c r="FK296" t="s">
        <v>198</v>
      </c>
      <c r="FU296" t="s">
        <v>198</v>
      </c>
    </row>
    <row r="297" spans="1:177">
      <c r="A297" s="1" t="str">
        <f>HYPERLINK("http://digipan.lumentumllc.com/apps/getLink/index.php?t=PropLink&amp;p=15753850","PL")</f>
        <v>PL</v>
      </c>
      <c r="B297" s="1" t="str">
        <f>HYPERLINK("http://digipan.lumentumllc.com/apps/getLink/index.php?t=TaxLink&amp;p=15753850","TL")</f>
        <v>TL</v>
      </c>
      <c r="C297" s="1" t="str">
        <f>HYPERLINK("http://digipan.lumentumllc.com/apps/getMap/index.php?p=15753850","Map")</f>
        <v>Map</v>
      </c>
      <c r="E297" t="s">
        <v>177</v>
      </c>
      <c r="F297" t="s">
        <v>178</v>
      </c>
      <c r="L297" t="s">
        <v>4558</v>
      </c>
      <c r="N297" t="s">
        <v>4558</v>
      </c>
      <c r="O297" t="s">
        <v>4558</v>
      </c>
      <c r="Q297" t="s">
        <v>4558</v>
      </c>
      <c r="V297">
        <v>342</v>
      </c>
      <c r="W297">
        <v>2</v>
      </c>
      <c r="X297">
        <v>2017</v>
      </c>
      <c r="Y297">
        <v>2018</v>
      </c>
      <c r="Z297">
        <v>1344.52</v>
      </c>
      <c r="AB297" t="s">
        <v>181</v>
      </c>
      <c r="AC297" t="s">
        <v>182</v>
      </c>
      <c r="AD297" t="s">
        <v>183</v>
      </c>
      <c r="AE297">
        <v>0</v>
      </c>
      <c r="AF297">
        <v>1</v>
      </c>
      <c r="AG297" t="s">
        <v>821</v>
      </c>
      <c r="AH297">
        <v>100</v>
      </c>
      <c r="AK297">
        <v>0</v>
      </c>
      <c r="AL297">
        <v>80165</v>
      </c>
      <c r="AM297">
        <v>15000</v>
      </c>
      <c r="AN297">
        <v>65165</v>
      </c>
      <c r="AO297">
        <v>899</v>
      </c>
      <c r="AP297">
        <v>2016</v>
      </c>
      <c r="AQ297">
        <v>1.68</v>
      </c>
      <c r="AS297" t="s">
        <v>4559</v>
      </c>
      <c r="AT297" t="s">
        <v>420</v>
      </c>
      <c r="AU297" t="s">
        <v>177</v>
      </c>
      <c r="AV297" t="s">
        <v>421</v>
      </c>
      <c r="AW297" t="s">
        <v>182</v>
      </c>
      <c r="AX297">
        <v>2</v>
      </c>
      <c r="AY297" t="s">
        <v>188</v>
      </c>
      <c r="AZ297" t="s">
        <v>189</v>
      </c>
      <c r="BA297" t="s">
        <v>190</v>
      </c>
      <c r="BB297" t="s">
        <v>191</v>
      </c>
      <c r="BC297" t="s">
        <v>182</v>
      </c>
      <c r="BD297" t="s">
        <v>182</v>
      </c>
      <c r="BE297" t="s">
        <v>383</v>
      </c>
      <c r="BF297">
        <v>1</v>
      </c>
      <c r="BG297">
        <v>1</v>
      </c>
      <c r="BH297">
        <v>2001</v>
      </c>
      <c r="BI297" t="s">
        <v>4560</v>
      </c>
      <c r="BJ297" t="s">
        <v>396</v>
      </c>
      <c r="BK297" t="s">
        <v>840</v>
      </c>
      <c r="BL297" t="s">
        <v>4561</v>
      </c>
      <c r="BM297" t="s">
        <v>232</v>
      </c>
      <c r="BN297" t="s">
        <v>182</v>
      </c>
      <c r="BO297" t="s">
        <v>4562</v>
      </c>
      <c r="BP297" t="s">
        <v>4563</v>
      </c>
      <c r="BQ297" t="s">
        <v>562</v>
      </c>
      <c r="BS297" t="s">
        <v>198</v>
      </c>
      <c r="BT297" t="s">
        <v>4564</v>
      </c>
      <c r="BU297" t="s">
        <v>182</v>
      </c>
      <c r="BV297" t="s">
        <v>198</v>
      </c>
      <c r="BW297" t="s">
        <v>198</v>
      </c>
      <c r="BX297" t="s">
        <v>199</v>
      </c>
      <c r="BY297" t="s">
        <v>198</v>
      </c>
      <c r="BZ297" t="s">
        <v>199</v>
      </c>
      <c r="CA297" t="s">
        <v>199</v>
      </c>
      <c r="CB297" t="s">
        <v>4565</v>
      </c>
      <c r="CC297" t="s">
        <v>201</v>
      </c>
      <c r="CD297" t="s">
        <v>202</v>
      </c>
      <c r="CE297" t="s">
        <v>4566</v>
      </c>
      <c r="CF297" t="s">
        <v>4567</v>
      </c>
      <c r="CG297" t="s">
        <v>1602</v>
      </c>
      <c r="CH297" t="s">
        <v>4568</v>
      </c>
      <c r="CI297" t="s">
        <v>1127</v>
      </c>
      <c r="CJ297" t="s">
        <v>4569</v>
      </c>
      <c r="CK297" t="s">
        <v>232</v>
      </c>
      <c r="CL297" t="s">
        <v>233</v>
      </c>
      <c r="CM297" t="s">
        <v>4570</v>
      </c>
      <c r="CN297" t="s">
        <v>235</v>
      </c>
      <c r="CO297" t="s">
        <v>183</v>
      </c>
      <c r="CP297" t="s">
        <v>211</v>
      </c>
      <c r="CQ297" t="s">
        <v>206</v>
      </c>
      <c r="CS297" t="s">
        <v>4571</v>
      </c>
      <c r="DC297" t="s">
        <v>198</v>
      </c>
      <c r="DM297" t="s">
        <v>198</v>
      </c>
      <c r="DW297" t="s">
        <v>198</v>
      </c>
      <c r="EG297" t="s">
        <v>198</v>
      </c>
      <c r="EQ297" t="s">
        <v>198</v>
      </c>
      <c r="FA297" t="s">
        <v>198</v>
      </c>
      <c r="FK297" t="s">
        <v>198</v>
      </c>
      <c r="FU297" t="s">
        <v>198</v>
      </c>
    </row>
    <row r="298" spans="1:177">
      <c r="A298" s="1" t="str">
        <f>HYPERLINK("http://digipan.lumentumllc.com/apps/getLink/index.php?t=PropLink&amp;p=5247093","PL")</f>
        <v>PL</v>
      </c>
      <c r="B298" s="1" t="str">
        <f>HYPERLINK("http://digipan.lumentumllc.com/apps/getLink/index.php?t=TaxLink&amp;p=5247093","TL")</f>
        <v>TL</v>
      </c>
      <c r="C298" s="1" t="str">
        <f>HYPERLINK("http://digipan.lumentumllc.com/apps/getMap/index.php?p=5247093","Map")</f>
        <v>Map</v>
      </c>
      <c r="E298" t="s">
        <v>177</v>
      </c>
      <c r="F298" t="s">
        <v>178</v>
      </c>
      <c r="L298" t="s">
        <v>4572</v>
      </c>
      <c r="N298" t="s">
        <v>4572</v>
      </c>
      <c r="O298" t="s">
        <v>4572</v>
      </c>
      <c r="P298" t="s">
        <v>4573</v>
      </c>
      <c r="Q298" t="s">
        <v>4572</v>
      </c>
      <c r="V298">
        <v>343</v>
      </c>
      <c r="W298">
        <v>2</v>
      </c>
      <c r="X298">
        <v>2017</v>
      </c>
      <c r="Y298">
        <v>2018</v>
      </c>
      <c r="Z298">
        <v>382.08</v>
      </c>
      <c r="AB298" t="s">
        <v>181</v>
      </c>
      <c r="AC298" t="s">
        <v>182</v>
      </c>
      <c r="AD298" t="s">
        <v>183</v>
      </c>
      <c r="AE298">
        <v>0</v>
      </c>
      <c r="AF298">
        <v>7</v>
      </c>
      <c r="AG298" t="s">
        <v>528</v>
      </c>
      <c r="AH298">
        <v>100</v>
      </c>
      <c r="AK298">
        <v>0</v>
      </c>
      <c r="AL298">
        <v>22814</v>
      </c>
      <c r="AM298">
        <v>15000</v>
      </c>
      <c r="AN298">
        <v>7814</v>
      </c>
      <c r="AO298">
        <v>292</v>
      </c>
      <c r="AP298">
        <v>2016</v>
      </c>
      <c r="AQ298">
        <v>1.67</v>
      </c>
      <c r="AS298" t="s">
        <v>4574</v>
      </c>
      <c r="AT298" t="s">
        <v>420</v>
      </c>
      <c r="AU298" t="s">
        <v>177</v>
      </c>
      <c r="AV298" t="s">
        <v>421</v>
      </c>
      <c r="AW298" t="s">
        <v>182</v>
      </c>
      <c r="AX298">
        <v>2</v>
      </c>
      <c r="AY298" t="s">
        <v>188</v>
      </c>
      <c r="AZ298" t="s">
        <v>189</v>
      </c>
      <c r="BA298" t="s">
        <v>190</v>
      </c>
      <c r="BB298" t="s">
        <v>191</v>
      </c>
      <c r="BC298" t="s">
        <v>182</v>
      </c>
      <c r="BD298" t="s">
        <v>182</v>
      </c>
      <c r="BE298" t="s">
        <v>383</v>
      </c>
      <c r="BF298">
        <v>1</v>
      </c>
      <c r="BG298">
        <v>1</v>
      </c>
      <c r="BH298">
        <v>1983</v>
      </c>
      <c r="BI298" t="s">
        <v>1202</v>
      </c>
      <c r="BJ298" t="s">
        <v>194</v>
      </c>
      <c r="BK298" t="s">
        <v>195</v>
      </c>
      <c r="BL298" t="s">
        <v>2419</v>
      </c>
      <c r="BM298" t="s">
        <v>1825</v>
      </c>
      <c r="BN298" t="s">
        <v>182</v>
      </c>
      <c r="BO298" t="s">
        <v>198</v>
      </c>
      <c r="BP298" t="s">
        <v>198</v>
      </c>
      <c r="BQ298" t="s">
        <v>198</v>
      </c>
      <c r="BR298" t="s">
        <v>198</v>
      </c>
      <c r="BS298" t="s">
        <v>198</v>
      </c>
      <c r="BT298" t="s">
        <v>198</v>
      </c>
      <c r="BU298" t="s">
        <v>182</v>
      </c>
      <c r="BV298" t="s">
        <v>198</v>
      </c>
      <c r="BW298" t="s">
        <v>198</v>
      </c>
      <c r="BX298" t="s">
        <v>199</v>
      </c>
      <c r="BY298" t="s">
        <v>198</v>
      </c>
      <c r="BZ298" t="s">
        <v>199</v>
      </c>
      <c r="CA298" t="s">
        <v>199</v>
      </c>
      <c r="CB298" t="s">
        <v>4575</v>
      </c>
      <c r="CC298" t="s">
        <v>201</v>
      </c>
      <c r="CD298" t="s">
        <v>182</v>
      </c>
      <c r="CE298" t="s">
        <v>4576</v>
      </c>
      <c r="CF298" t="s">
        <v>425</v>
      </c>
      <c r="CG298" t="s">
        <v>177</v>
      </c>
      <c r="CH298" t="s">
        <v>421</v>
      </c>
      <c r="CI298" t="s">
        <v>4577</v>
      </c>
      <c r="CJ298" t="s">
        <v>4196</v>
      </c>
      <c r="CK298" t="s">
        <v>292</v>
      </c>
      <c r="CL298" t="s">
        <v>293</v>
      </c>
      <c r="CM298" t="s">
        <v>4578</v>
      </c>
      <c r="CN298" t="s">
        <v>333</v>
      </c>
      <c r="CO298" t="s">
        <v>183</v>
      </c>
      <c r="CP298" t="s">
        <v>211</v>
      </c>
      <c r="CQ298" t="s">
        <v>342</v>
      </c>
      <c r="CS298" t="s">
        <v>785</v>
      </c>
      <c r="CT298" t="s">
        <v>2954</v>
      </c>
      <c r="CU298" t="s">
        <v>267</v>
      </c>
      <c r="CV298" t="s">
        <v>268</v>
      </c>
      <c r="CW298" t="s">
        <v>4579</v>
      </c>
      <c r="CX298" t="s">
        <v>927</v>
      </c>
      <c r="CY298" t="s">
        <v>183</v>
      </c>
      <c r="CZ298" t="s">
        <v>211</v>
      </c>
      <c r="DA298" t="s">
        <v>298</v>
      </c>
      <c r="DC298" t="s">
        <v>459</v>
      </c>
      <c r="DD298" t="s">
        <v>4288</v>
      </c>
      <c r="DE298" t="s">
        <v>273</v>
      </c>
      <c r="DF298" t="s">
        <v>274</v>
      </c>
      <c r="DG298" t="s">
        <v>4580</v>
      </c>
      <c r="DH298" t="s">
        <v>341</v>
      </c>
      <c r="DI298" t="s">
        <v>183</v>
      </c>
      <c r="DJ298" t="s">
        <v>211</v>
      </c>
      <c r="DK298" t="s">
        <v>298</v>
      </c>
      <c r="DM298" t="s">
        <v>3275</v>
      </c>
      <c r="DN298" t="s">
        <v>4569</v>
      </c>
      <c r="DO298" t="s">
        <v>302</v>
      </c>
      <c r="DP298" t="s">
        <v>303</v>
      </c>
      <c r="DQ298" t="s">
        <v>4581</v>
      </c>
      <c r="DR298" t="s">
        <v>305</v>
      </c>
      <c r="DS298" t="s">
        <v>183</v>
      </c>
      <c r="DT298" t="s">
        <v>211</v>
      </c>
      <c r="DU298" t="s">
        <v>298</v>
      </c>
      <c r="DW298" t="s">
        <v>437</v>
      </c>
      <c r="DX298" t="s">
        <v>2604</v>
      </c>
      <c r="DY298" t="s">
        <v>238</v>
      </c>
      <c r="DZ298" t="s">
        <v>239</v>
      </c>
      <c r="EA298" t="s">
        <v>4582</v>
      </c>
      <c r="EB298" t="s">
        <v>440</v>
      </c>
      <c r="EC298" t="s">
        <v>183</v>
      </c>
      <c r="ED298" t="s">
        <v>211</v>
      </c>
      <c r="EE298" t="s">
        <v>345</v>
      </c>
      <c r="EG298" t="s">
        <v>2676</v>
      </c>
      <c r="EH298" t="s">
        <v>4583</v>
      </c>
      <c r="EI298" t="s">
        <v>346</v>
      </c>
      <c r="EJ298" t="s">
        <v>347</v>
      </c>
      <c r="EK298" t="s">
        <v>4584</v>
      </c>
      <c r="EL298" t="s">
        <v>391</v>
      </c>
      <c r="EM298" t="s">
        <v>183</v>
      </c>
      <c r="EN298" t="s">
        <v>211</v>
      </c>
      <c r="EO298" t="s">
        <v>298</v>
      </c>
      <c r="EQ298" t="s">
        <v>443</v>
      </c>
      <c r="ER298" t="s">
        <v>4471</v>
      </c>
      <c r="ES298" t="s">
        <v>207</v>
      </c>
      <c r="ET298" t="s">
        <v>208</v>
      </c>
      <c r="EU298" t="s">
        <v>4585</v>
      </c>
      <c r="EV298" t="s">
        <v>210</v>
      </c>
      <c r="EW298" t="s">
        <v>183</v>
      </c>
      <c r="EX298" t="s">
        <v>211</v>
      </c>
      <c r="EY298" t="s">
        <v>298</v>
      </c>
      <c r="FA298" t="s">
        <v>1324</v>
      </c>
      <c r="FK298" t="s">
        <v>198</v>
      </c>
      <c r="FU298" t="s">
        <v>198</v>
      </c>
    </row>
    <row r="299" spans="1:177">
      <c r="A299" s="1" t="str">
        <f>HYPERLINK("http://digipan.lumentumllc.com/apps/getLink/index.php?t=PropLink&amp;p=5247095","PL")</f>
        <v>PL</v>
      </c>
      <c r="B299" s="1" t="str">
        <f>HYPERLINK("http://digipan.lumentumllc.com/apps/getLink/index.php?t=TaxLink&amp;p=5247095","TL")</f>
        <v>TL</v>
      </c>
      <c r="C299" s="1" t="str">
        <f>HYPERLINK("http://digipan.lumentumllc.com/apps/getMap/index.php?p=5247095","Map")</f>
        <v>Map</v>
      </c>
      <c r="E299" t="s">
        <v>177</v>
      </c>
      <c r="F299" t="s">
        <v>178</v>
      </c>
      <c r="L299" t="s">
        <v>4586</v>
      </c>
      <c r="N299" t="s">
        <v>4586</v>
      </c>
      <c r="O299" t="s">
        <v>4586</v>
      </c>
      <c r="P299" t="s">
        <v>4587</v>
      </c>
      <c r="Q299" t="s">
        <v>4586</v>
      </c>
      <c r="V299">
        <v>344</v>
      </c>
      <c r="W299">
        <v>2</v>
      </c>
      <c r="X299">
        <v>2017</v>
      </c>
      <c r="Y299">
        <v>2018</v>
      </c>
      <c r="Z299">
        <v>295.32</v>
      </c>
      <c r="AB299" t="s">
        <v>181</v>
      </c>
      <c r="AC299" t="s">
        <v>182</v>
      </c>
      <c r="AD299" t="s">
        <v>183</v>
      </c>
      <c r="AE299">
        <v>7</v>
      </c>
      <c r="AF299">
        <v>0</v>
      </c>
      <c r="AG299" t="s">
        <v>1038</v>
      </c>
      <c r="AH299">
        <v>0</v>
      </c>
      <c r="AI299">
        <v>1816.34</v>
      </c>
      <c r="AJ299">
        <v>1266.57</v>
      </c>
      <c r="AK299">
        <v>3082.91</v>
      </c>
      <c r="AL299">
        <v>17250</v>
      </c>
      <c r="AM299">
        <v>17250</v>
      </c>
      <c r="AN299">
        <v>0</v>
      </c>
      <c r="AO299">
        <v>212</v>
      </c>
      <c r="AP299">
        <v>2016</v>
      </c>
      <c r="AQ299">
        <v>1.71</v>
      </c>
      <c r="AR299">
        <v>17.87</v>
      </c>
      <c r="AS299" t="s">
        <v>4588</v>
      </c>
      <c r="AT299" t="s">
        <v>420</v>
      </c>
      <c r="AU299" t="s">
        <v>177</v>
      </c>
      <c r="AV299" t="s">
        <v>421</v>
      </c>
      <c r="AW299" t="s">
        <v>182</v>
      </c>
      <c r="AX299">
        <v>0</v>
      </c>
      <c r="AY299" t="s">
        <v>312</v>
      </c>
      <c r="AZ299" t="s">
        <v>199</v>
      </c>
      <c r="BA299" t="s">
        <v>313</v>
      </c>
      <c r="BB299" t="s">
        <v>191</v>
      </c>
      <c r="BC299" t="s">
        <v>182</v>
      </c>
      <c r="BD299" t="s">
        <v>182</v>
      </c>
      <c r="BE299" t="s">
        <v>882</v>
      </c>
      <c r="BF299">
        <v>0</v>
      </c>
      <c r="BG299">
        <v>0</v>
      </c>
      <c r="BH299">
        <v>0</v>
      </c>
      <c r="BI299" t="s">
        <v>199</v>
      </c>
      <c r="BJ299" t="s">
        <v>396</v>
      </c>
      <c r="BL299" t="s">
        <v>3749</v>
      </c>
      <c r="BM299" t="s">
        <v>559</v>
      </c>
      <c r="BN299" t="s">
        <v>182</v>
      </c>
      <c r="BO299" t="s">
        <v>198</v>
      </c>
      <c r="BP299" t="s">
        <v>198</v>
      </c>
      <c r="BQ299" t="s">
        <v>198</v>
      </c>
      <c r="BR299" t="s">
        <v>198</v>
      </c>
      <c r="BS299" t="s">
        <v>198</v>
      </c>
      <c r="BT299" t="s">
        <v>198</v>
      </c>
      <c r="BU299" t="s">
        <v>182</v>
      </c>
      <c r="BV299" t="s">
        <v>198</v>
      </c>
      <c r="BW299" t="s">
        <v>198</v>
      </c>
      <c r="BX299" t="s">
        <v>199</v>
      </c>
      <c r="BY299" t="s">
        <v>198</v>
      </c>
      <c r="BZ299" t="s">
        <v>199</v>
      </c>
      <c r="CA299" t="s">
        <v>199</v>
      </c>
      <c r="CB299" t="s">
        <v>4589</v>
      </c>
      <c r="CC299" t="s">
        <v>201</v>
      </c>
      <c r="CD299" t="s">
        <v>182</v>
      </c>
      <c r="CE299" t="s">
        <v>4590</v>
      </c>
      <c r="CF299" t="s">
        <v>413</v>
      </c>
      <c r="CG299" t="s">
        <v>177</v>
      </c>
      <c r="CH299" t="s">
        <v>4155</v>
      </c>
      <c r="CI299" t="s">
        <v>4099</v>
      </c>
      <c r="CJ299" t="s">
        <v>3327</v>
      </c>
      <c r="CK299" t="s">
        <v>232</v>
      </c>
      <c r="CL299" t="s">
        <v>233</v>
      </c>
      <c r="CM299" t="s">
        <v>4591</v>
      </c>
      <c r="CN299" t="s">
        <v>482</v>
      </c>
      <c r="CO299" t="s">
        <v>183</v>
      </c>
      <c r="CP299" t="s">
        <v>266</v>
      </c>
      <c r="CS299" t="s">
        <v>198</v>
      </c>
      <c r="CT299" t="s">
        <v>4157</v>
      </c>
      <c r="CU299" t="s">
        <v>292</v>
      </c>
      <c r="CV299" t="s">
        <v>293</v>
      </c>
      <c r="CW299" t="s">
        <v>4592</v>
      </c>
      <c r="CX299" t="s">
        <v>482</v>
      </c>
      <c r="CY299" t="s">
        <v>183</v>
      </c>
      <c r="CZ299" t="s">
        <v>266</v>
      </c>
      <c r="DC299" t="s">
        <v>198</v>
      </c>
      <c r="DD299" t="s">
        <v>4196</v>
      </c>
      <c r="DE299" t="s">
        <v>267</v>
      </c>
      <c r="DF299" t="s">
        <v>268</v>
      </c>
      <c r="DG299" t="s">
        <v>4593</v>
      </c>
      <c r="DH299" t="s">
        <v>482</v>
      </c>
      <c r="DI299" t="s">
        <v>183</v>
      </c>
      <c r="DJ299" t="s">
        <v>266</v>
      </c>
      <c r="DM299" t="s">
        <v>198</v>
      </c>
      <c r="DN299" t="s">
        <v>4351</v>
      </c>
      <c r="DO299" t="s">
        <v>273</v>
      </c>
      <c r="DP299" t="s">
        <v>274</v>
      </c>
      <c r="DQ299" t="s">
        <v>4594</v>
      </c>
      <c r="DR299" t="s">
        <v>4595</v>
      </c>
      <c r="DS299" t="s">
        <v>183</v>
      </c>
      <c r="DT299" t="s">
        <v>266</v>
      </c>
      <c r="DW299" t="s">
        <v>198</v>
      </c>
      <c r="DX299" t="s">
        <v>3327</v>
      </c>
      <c r="DY299" t="s">
        <v>302</v>
      </c>
      <c r="DZ299" t="s">
        <v>303</v>
      </c>
      <c r="EA299" t="s">
        <v>4596</v>
      </c>
      <c r="EB299" t="s">
        <v>1615</v>
      </c>
      <c r="EC299" t="s">
        <v>183</v>
      </c>
      <c r="ED299" t="s">
        <v>266</v>
      </c>
      <c r="EG299" t="s">
        <v>198</v>
      </c>
      <c r="EH299" t="s">
        <v>4597</v>
      </c>
      <c r="EI299" t="s">
        <v>238</v>
      </c>
      <c r="EJ299" t="s">
        <v>239</v>
      </c>
      <c r="EK299" t="s">
        <v>4598</v>
      </c>
      <c r="EL299" t="s">
        <v>389</v>
      </c>
      <c r="EM299" t="s">
        <v>183</v>
      </c>
      <c r="EN299" t="s">
        <v>266</v>
      </c>
      <c r="EQ299" t="s">
        <v>198</v>
      </c>
      <c r="ER299" t="s">
        <v>4599</v>
      </c>
      <c r="ES299" t="s">
        <v>346</v>
      </c>
      <c r="ET299" t="s">
        <v>347</v>
      </c>
      <c r="EU299" t="s">
        <v>4600</v>
      </c>
      <c r="EV299" t="s">
        <v>4595</v>
      </c>
      <c r="EW299" t="s">
        <v>183</v>
      </c>
      <c r="EX299" t="s">
        <v>266</v>
      </c>
      <c r="FA299" t="s">
        <v>198</v>
      </c>
      <c r="FK299" t="s">
        <v>198</v>
      </c>
      <c r="FU299" t="s">
        <v>198</v>
      </c>
    </row>
    <row r="300" spans="1:177">
      <c r="A300" s="1" t="str">
        <f>HYPERLINK("http://digipan.lumentumllc.com/apps/getLink/index.php?t=PropLink&amp;p=5247096","PL")</f>
        <v>PL</v>
      </c>
      <c r="B300" s="1" t="str">
        <f>HYPERLINK("http://digipan.lumentumllc.com/apps/getLink/index.php?t=TaxLink&amp;p=5247096","TL")</f>
        <v>TL</v>
      </c>
      <c r="C300" s="1" t="str">
        <f>HYPERLINK("http://digipan.lumentumllc.com/apps/getMap/index.php?p=5247096","Map")</f>
        <v>Map</v>
      </c>
      <c r="E300" t="s">
        <v>177</v>
      </c>
      <c r="F300" t="s">
        <v>178</v>
      </c>
      <c r="L300" t="s">
        <v>4601</v>
      </c>
      <c r="N300" t="s">
        <v>4601</v>
      </c>
      <c r="O300" t="s">
        <v>4601</v>
      </c>
      <c r="P300" t="s">
        <v>4602</v>
      </c>
      <c r="Q300" t="s">
        <v>4601</v>
      </c>
      <c r="V300">
        <v>345</v>
      </c>
      <c r="W300">
        <v>2</v>
      </c>
      <c r="X300">
        <v>2017</v>
      </c>
      <c r="Y300">
        <v>2018</v>
      </c>
      <c r="Z300">
        <v>279.29000000000002</v>
      </c>
      <c r="AB300" t="s">
        <v>181</v>
      </c>
      <c r="AC300" t="s">
        <v>202</v>
      </c>
      <c r="AD300" t="s">
        <v>183</v>
      </c>
      <c r="AE300">
        <v>0</v>
      </c>
      <c r="AF300">
        <v>7</v>
      </c>
      <c r="AG300" t="s">
        <v>528</v>
      </c>
      <c r="AH300">
        <v>100</v>
      </c>
      <c r="AK300">
        <v>0</v>
      </c>
      <c r="AL300">
        <v>16200</v>
      </c>
      <c r="AM300">
        <v>16200</v>
      </c>
      <c r="AN300">
        <v>0</v>
      </c>
      <c r="AO300">
        <v>199</v>
      </c>
      <c r="AP300">
        <v>2016</v>
      </c>
      <c r="AQ300">
        <v>1.72</v>
      </c>
      <c r="AS300" t="s">
        <v>4603</v>
      </c>
      <c r="AT300" t="s">
        <v>420</v>
      </c>
      <c r="AU300" t="s">
        <v>177</v>
      </c>
      <c r="AV300" t="s">
        <v>421</v>
      </c>
      <c r="AW300" t="s">
        <v>182</v>
      </c>
      <c r="AX300">
        <v>0</v>
      </c>
      <c r="AY300" t="s">
        <v>312</v>
      </c>
      <c r="AZ300" t="s">
        <v>199</v>
      </c>
      <c r="BA300" t="s">
        <v>313</v>
      </c>
      <c r="BB300" t="s">
        <v>191</v>
      </c>
      <c r="BC300" t="s">
        <v>182</v>
      </c>
      <c r="BD300" t="s">
        <v>182</v>
      </c>
      <c r="BE300" t="s">
        <v>4604</v>
      </c>
      <c r="BF300">
        <v>0</v>
      </c>
      <c r="BG300">
        <v>0</v>
      </c>
      <c r="BH300">
        <v>0</v>
      </c>
      <c r="BI300" t="s">
        <v>199</v>
      </c>
      <c r="BJ300" t="s">
        <v>396</v>
      </c>
      <c r="BL300" t="s">
        <v>3749</v>
      </c>
      <c r="BM300" t="s">
        <v>559</v>
      </c>
      <c r="BN300" t="s">
        <v>182</v>
      </c>
      <c r="BO300" t="s">
        <v>198</v>
      </c>
      <c r="BP300" t="s">
        <v>198</v>
      </c>
      <c r="BQ300" t="s">
        <v>198</v>
      </c>
      <c r="BR300" t="s">
        <v>198</v>
      </c>
      <c r="BS300" t="s">
        <v>198</v>
      </c>
      <c r="BT300" t="s">
        <v>198</v>
      </c>
      <c r="BU300" t="s">
        <v>182</v>
      </c>
      <c r="BV300" t="s">
        <v>198</v>
      </c>
      <c r="BW300" t="s">
        <v>198</v>
      </c>
      <c r="BX300" t="s">
        <v>199</v>
      </c>
      <c r="BY300" t="s">
        <v>198</v>
      </c>
      <c r="BZ300" t="s">
        <v>199</v>
      </c>
      <c r="CA300" t="s">
        <v>199</v>
      </c>
      <c r="CB300" t="s">
        <v>4589</v>
      </c>
      <c r="CC300" t="s">
        <v>201</v>
      </c>
      <c r="CD300" t="s">
        <v>202</v>
      </c>
      <c r="CE300" t="s">
        <v>4590</v>
      </c>
      <c r="CF300" t="s">
        <v>413</v>
      </c>
      <c r="CG300" t="s">
        <v>177</v>
      </c>
      <c r="CH300" t="s">
        <v>4155</v>
      </c>
      <c r="CI300" t="s">
        <v>2981</v>
      </c>
      <c r="CJ300" t="s">
        <v>4605</v>
      </c>
      <c r="CK300" t="s">
        <v>292</v>
      </c>
      <c r="CL300" t="s">
        <v>293</v>
      </c>
      <c r="CM300" t="s">
        <v>4606</v>
      </c>
      <c r="CN300" t="s">
        <v>333</v>
      </c>
      <c r="CO300" t="s">
        <v>183</v>
      </c>
      <c r="CP300" t="s">
        <v>211</v>
      </c>
      <c r="CR300" t="s">
        <v>271</v>
      </c>
      <c r="CS300" t="s">
        <v>198</v>
      </c>
      <c r="CT300" t="s">
        <v>4157</v>
      </c>
      <c r="CU300" t="s">
        <v>267</v>
      </c>
      <c r="CV300" t="s">
        <v>268</v>
      </c>
      <c r="CW300" t="s">
        <v>4607</v>
      </c>
      <c r="CX300" t="s">
        <v>1164</v>
      </c>
      <c r="CY300" t="s">
        <v>183</v>
      </c>
      <c r="CZ300" t="s">
        <v>211</v>
      </c>
      <c r="DA300" t="s">
        <v>427</v>
      </c>
      <c r="DB300" t="s">
        <v>271</v>
      </c>
      <c r="DC300" t="s">
        <v>2946</v>
      </c>
      <c r="DD300" t="s">
        <v>2953</v>
      </c>
      <c r="DE300" t="s">
        <v>273</v>
      </c>
      <c r="DF300" t="s">
        <v>274</v>
      </c>
      <c r="DG300" t="s">
        <v>4608</v>
      </c>
      <c r="DH300" t="s">
        <v>341</v>
      </c>
      <c r="DI300" t="s">
        <v>183</v>
      </c>
      <c r="DJ300" t="s">
        <v>211</v>
      </c>
      <c r="DL300" t="s">
        <v>271</v>
      </c>
      <c r="DM300" t="s">
        <v>198</v>
      </c>
      <c r="DN300" t="s">
        <v>3344</v>
      </c>
      <c r="DO300" t="s">
        <v>302</v>
      </c>
      <c r="DP300" t="s">
        <v>303</v>
      </c>
      <c r="DQ300" t="s">
        <v>4609</v>
      </c>
      <c r="DR300" t="s">
        <v>615</v>
      </c>
      <c r="DS300" t="s">
        <v>183</v>
      </c>
      <c r="DT300" t="s">
        <v>211</v>
      </c>
      <c r="DU300" t="s">
        <v>250</v>
      </c>
      <c r="DV300" t="s">
        <v>271</v>
      </c>
      <c r="DW300" t="s">
        <v>2950</v>
      </c>
      <c r="DX300" t="s">
        <v>2582</v>
      </c>
      <c r="DY300" t="s">
        <v>238</v>
      </c>
      <c r="DZ300" t="s">
        <v>239</v>
      </c>
      <c r="EA300" t="s">
        <v>4610</v>
      </c>
      <c r="EB300" t="s">
        <v>389</v>
      </c>
      <c r="EC300" t="s">
        <v>183</v>
      </c>
      <c r="ED300" t="s">
        <v>211</v>
      </c>
      <c r="EE300" t="s">
        <v>487</v>
      </c>
      <c r="EF300" t="s">
        <v>271</v>
      </c>
      <c r="EG300" t="s">
        <v>2950</v>
      </c>
      <c r="EH300" t="s">
        <v>4611</v>
      </c>
      <c r="EI300" t="s">
        <v>346</v>
      </c>
      <c r="EJ300" t="s">
        <v>347</v>
      </c>
      <c r="EK300" t="s">
        <v>4600</v>
      </c>
      <c r="EL300" t="s">
        <v>615</v>
      </c>
      <c r="EM300" t="s">
        <v>183</v>
      </c>
      <c r="EN300" t="s">
        <v>211</v>
      </c>
      <c r="EP300" t="s">
        <v>271</v>
      </c>
      <c r="EQ300" t="s">
        <v>198</v>
      </c>
      <c r="ER300" t="s">
        <v>4515</v>
      </c>
      <c r="ES300" t="s">
        <v>207</v>
      </c>
      <c r="ET300" t="s">
        <v>208</v>
      </c>
      <c r="EU300" t="s">
        <v>4612</v>
      </c>
      <c r="EV300" t="s">
        <v>473</v>
      </c>
      <c r="EW300" t="s">
        <v>183</v>
      </c>
      <c r="EX300" t="s">
        <v>211</v>
      </c>
      <c r="EY300" t="s">
        <v>963</v>
      </c>
      <c r="EZ300" t="s">
        <v>271</v>
      </c>
      <c r="FA300" t="s">
        <v>2950</v>
      </c>
      <c r="FK300" t="s">
        <v>198</v>
      </c>
      <c r="FU300" t="s">
        <v>198</v>
      </c>
    </row>
    <row r="301" spans="1:177">
      <c r="A301" s="1" t="str">
        <f>HYPERLINK("http://digipan.lumentumllc.com/apps/getLink/index.php?t=PropLink&amp;p=5247097","PL")</f>
        <v>PL</v>
      </c>
      <c r="B301" s="1" t="str">
        <f>HYPERLINK("http://digipan.lumentumllc.com/apps/getLink/index.php?t=TaxLink&amp;p=5247097","TL")</f>
        <v>TL</v>
      </c>
      <c r="C301" s="1" t="str">
        <f>HYPERLINK("http://digipan.lumentumllc.com/apps/getMap/index.php?p=5247097","Map")</f>
        <v>Map</v>
      </c>
      <c r="E301" t="s">
        <v>177</v>
      </c>
      <c r="F301" t="s">
        <v>178</v>
      </c>
      <c r="L301" t="s">
        <v>4613</v>
      </c>
      <c r="N301" t="s">
        <v>4613</v>
      </c>
      <c r="O301" t="s">
        <v>4613</v>
      </c>
      <c r="P301" t="s">
        <v>4614</v>
      </c>
      <c r="Q301" t="s">
        <v>4613</v>
      </c>
      <c r="V301">
        <v>346</v>
      </c>
      <c r="W301">
        <v>2</v>
      </c>
      <c r="X301">
        <v>2017</v>
      </c>
      <c r="Y301">
        <v>2018</v>
      </c>
      <c r="Z301">
        <v>427.6</v>
      </c>
      <c r="AB301" t="s">
        <v>181</v>
      </c>
      <c r="AC301" t="s">
        <v>182</v>
      </c>
      <c r="AD301" t="s">
        <v>1037</v>
      </c>
      <c r="AE301">
        <v>0</v>
      </c>
      <c r="AF301">
        <v>6</v>
      </c>
      <c r="AG301" t="s">
        <v>528</v>
      </c>
      <c r="AH301">
        <v>100</v>
      </c>
      <c r="AK301">
        <v>0</v>
      </c>
      <c r="AL301">
        <v>24737</v>
      </c>
      <c r="AM301">
        <v>17100</v>
      </c>
      <c r="AN301">
        <v>7637</v>
      </c>
      <c r="AO301">
        <v>130</v>
      </c>
      <c r="AP301">
        <v>2016</v>
      </c>
      <c r="AQ301">
        <v>1.73</v>
      </c>
      <c r="AS301" t="s">
        <v>4615</v>
      </c>
      <c r="AT301" t="s">
        <v>420</v>
      </c>
      <c r="AU301" t="s">
        <v>177</v>
      </c>
      <c r="AV301" t="s">
        <v>421</v>
      </c>
      <c r="AW301" t="s">
        <v>182</v>
      </c>
      <c r="AX301">
        <v>2</v>
      </c>
      <c r="AY301" t="s">
        <v>188</v>
      </c>
      <c r="AZ301" t="s">
        <v>189</v>
      </c>
      <c r="BA301" t="s">
        <v>190</v>
      </c>
      <c r="BB301" t="s">
        <v>191</v>
      </c>
      <c r="BC301" t="s">
        <v>182</v>
      </c>
      <c r="BD301" t="s">
        <v>182</v>
      </c>
      <c r="BE301" t="s">
        <v>2393</v>
      </c>
      <c r="BF301">
        <v>1</v>
      </c>
      <c r="BG301">
        <v>0</v>
      </c>
      <c r="BH301">
        <v>1996</v>
      </c>
      <c r="BI301" t="s">
        <v>199</v>
      </c>
      <c r="BJ301" t="s">
        <v>248</v>
      </c>
      <c r="BK301" t="s">
        <v>2350</v>
      </c>
      <c r="BL301" t="s">
        <v>4616</v>
      </c>
      <c r="BM301" t="s">
        <v>533</v>
      </c>
      <c r="BN301" t="s">
        <v>182</v>
      </c>
      <c r="BO301" t="s">
        <v>4617</v>
      </c>
      <c r="BP301" t="s">
        <v>4618</v>
      </c>
      <c r="BQ301" t="s">
        <v>562</v>
      </c>
      <c r="BR301" t="s">
        <v>563</v>
      </c>
      <c r="BS301" t="s">
        <v>198</v>
      </c>
      <c r="BT301" t="s">
        <v>4619</v>
      </c>
      <c r="BU301" t="s">
        <v>182</v>
      </c>
      <c r="BV301" t="s">
        <v>198</v>
      </c>
      <c r="BW301" t="s">
        <v>198</v>
      </c>
      <c r="BX301" t="s">
        <v>199</v>
      </c>
      <c r="BY301" t="s">
        <v>198</v>
      </c>
      <c r="BZ301" t="s">
        <v>199</v>
      </c>
      <c r="CA301" t="s">
        <v>199</v>
      </c>
      <c r="CB301" t="s">
        <v>4620</v>
      </c>
      <c r="CC301" t="s">
        <v>201</v>
      </c>
      <c r="CD301" t="s">
        <v>202</v>
      </c>
      <c r="CE301" t="s">
        <v>4621</v>
      </c>
      <c r="CF301" t="s">
        <v>425</v>
      </c>
      <c r="CG301" t="s">
        <v>177</v>
      </c>
      <c r="CH301" t="s">
        <v>421</v>
      </c>
      <c r="CI301" t="s">
        <v>4622</v>
      </c>
      <c r="CJ301" t="s">
        <v>3344</v>
      </c>
      <c r="CK301" t="s">
        <v>232</v>
      </c>
      <c r="CL301" t="s">
        <v>233</v>
      </c>
      <c r="CM301" t="s">
        <v>4623</v>
      </c>
      <c r="CN301" t="s">
        <v>482</v>
      </c>
      <c r="CO301" t="s">
        <v>5</v>
      </c>
      <c r="CP301" t="s">
        <v>211</v>
      </c>
      <c r="CQ301" t="s">
        <v>199</v>
      </c>
      <c r="CS301" t="s">
        <v>3403</v>
      </c>
      <c r="CT301" t="s">
        <v>4605</v>
      </c>
      <c r="CU301" t="s">
        <v>267</v>
      </c>
      <c r="CV301" t="s">
        <v>268</v>
      </c>
      <c r="CW301" t="s">
        <v>4624</v>
      </c>
      <c r="CX301" t="s">
        <v>235</v>
      </c>
      <c r="CY301" t="s">
        <v>183</v>
      </c>
      <c r="CZ301" t="s">
        <v>211</v>
      </c>
      <c r="DA301" t="s">
        <v>290</v>
      </c>
      <c r="DC301" t="s">
        <v>4625</v>
      </c>
      <c r="DD301" t="s">
        <v>4626</v>
      </c>
      <c r="DE301" t="s">
        <v>273</v>
      </c>
      <c r="DF301" t="s">
        <v>274</v>
      </c>
      <c r="DG301" t="s">
        <v>4627</v>
      </c>
      <c r="DH301" t="s">
        <v>235</v>
      </c>
      <c r="DI301" t="s">
        <v>183</v>
      </c>
      <c r="DJ301" t="s">
        <v>211</v>
      </c>
      <c r="DK301" t="s">
        <v>523</v>
      </c>
      <c r="DM301" t="s">
        <v>4625</v>
      </c>
      <c r="DN301" t="s">
        <v>4628</v>
      </c>
      <c r="DO301" t="s">
        <v>302</v>
      </c>
      <c r="DP301" t="s">
        <v>303</v>
      </c>
      <c r="DQ301" t="s">
        <v>4629</v>
      </c>
      <c r="DR301" t="s">
        <v>235</v>
      </c>
      <c r="DS301" t="s">
        <v>183</v>
      </c>
      <c r="DT301" t="s">
        <v>211</v>
      </c>
      <c r="DU301" t="s">
        <v>298</v>
      </c>
      <c r="DW301" t="s">
        <v>3024</v>
      </c>
      <c r="DX301" t="s">
        <v>1598</v>
      </c>
      <c r="DY301" t="s">
        <v>238</v>
      </c>
      <c r="DZ301" t="s">
        <v>239</v>
      </c>
      <c r="EA301" t="s">
        <v>4630</v>
      </c>
      <c r="EB301" t="s">
        <v>278</v>
      </c>
      <c r="EC301" t="s">
        <v>183</v>
      </c>
      <c r="ED301" t="s">
        <v>211</v>
      </c>
      <c r="EE301" t="s">
        <v>329</v>
      </c>
      <c r="EG301" t="s">
        <v>4631</v>
      </c>
      <c r="EH301" t="s">
        <v>4632</v>
      </c>
      <c r="EI301" t="s">
        <v>346</v>
      </c>
      <c r="EJ301" t="s">
        <v>347</v>
      </c>
      <c r="EK301" t="s">
        <v>4633</v>
      </c>
      <c r="EL301" t="s">
        <v>247</v>
      </c>
      <c r="EM301" t="s">
        <v>183</v>
      </c>
      <c r="EN301" t="s">
        <v>211</v>
      </c>
      <c r="EO301" t="s">
        <v>427</v>
      </c>
      <c r="EQ301" t="s">
        <v>4634</v>
      </c>
      <c r="FA301" t="s">
        <v>198</v>
      </c>
      <c r="FK301" t="s">
        <v>198</v>
      </c>
      <c r="FU301" t="s">
        <v>198</v>
      </c>
    </row>
    <row r="302" spans="1:177">
      <c r="A302" s="1" t="str">
        <f>HYPERLINK("http://digipan.lumentumllc.com/apps/getLink/index.php?t=PropLink&amp;p=5247098","PL")</f>
        <v>PL</v>
      </c>
      <c r="B302" s="1" t="str">
        <f>HYPERLINK("http://digipan.lumentumllc.com/apps/getLink/index.php?t=TaxLink&amp;p=5247098","TL")</f>
        <v>TL</v>
      </c>
      <c r="C302" s="1" t="str">
        <f>HYPERLINK("http://digipan.lumentumllc.com/apps/getMap/index.php?p=5247098","Map")</f>
        <v>Map</v>
      </c>
      <c r="E302" t="s">
        <v>177</v>
      </c>
      <c r="F302" t="s">
        <v>178</v>
      </c>
      <c r="L302" t="s">
        <v>4635</v>
      </c>
      <c r="N302" t="s">
        <v>4635</v>
      </c>
      <c r="O302" t="s">
        <v>4635</v>
      </c>
      <c r="P302" t="s">
        <v>4636</v>
      </c>
      <c r="Q302" t="s">
        <v>4635</v>
      </c>
      <c r="V302">
        <v>347</v>
      </c>
      <c r="W302">
        <v>2</v>
      </c>
      <c r="X302">
        <v>2017</v>
      </c>
      <c r="Y302">
        <v>2018</v>
      </c>
      <c r="Z302">
        <v>293.02</v>
      </c>
      <c r="AB302" t="s">
        <v>181</v>
      </c>
      <c r="AC302" t="s">
        <v>202</v>
      </c>
      <c r="AD302" t="s">
        <v>183</v>
      </c>
      <c r="AE302">
        <v>0</v>
      </c>
      <c r="AF302">
        <v>7</v>
      </c>
      <c r="AG302" t="s">
        <v>528</v>
      </c>
      <c r="AH302">
        <v>100</v>
      </c>
      <c r="AK302">
        <v>0</v>
      </c>
      <c r="AL302">
        <v>17100</v>
      </c>
      <c r="AM302">
        <v>17100</v>
      </c>
      <c r="AN302">
        <v>0</v>
      </c>
      <c r="AO302">
        <v>210</v>
      </c>
      <c r="AP302">
        <v>2016</v>
      </c>
      <c r="AQ302">
        <v>1.71</v>
      </c>
      <c r="AS302" t="s">
        <v>3888</v>
      </c>
      <c r="AT302" t="s">
        <v>420</v>
      </c>
      <c r="AU302" t="s">
        <v>177</v>
      </c>
      <c r="AV302" t="s">
        <v>421</v>
      </c>
      <c r="AW302" t="s">
        <v>182</v>
      </c>
      <c r="AX302">
        <v>0</v>
      </c>
      <c r="AY302" t="s">
        <v>312</v>
      </c>
      <c r="AZ302" t="s">
        <v>199</v>
      </c>
      <c r="BA302" t="s">
        <v>313</v>
      </c>
      <c r="BB302" t="s">
        <v>191</v>
      </c>
      <c r="BC302" t="s">
        <v>182</v>
      </c>
      <c r="BD302" t="s">
        <v>182</v>
      </c>
      <c r="BE302" t="s">
        <v>2393</v>
      </c>
      <c r="BF302">
        <v>0</v>
      </c>
      <c r="BG302">
        <v>0</v>
      </c>
      <c r="BH302">
        <v>0</v>
      </c>
      <c r="BI302" t="s">
        <v>199</v>
      </c>
      <c r="BJ302" t="s">
        <v>315</v>
      </c>
      <c r="BL302" t="s">
        <v>3749</v>
      </c>
      <c r="BM302" t="s">
        <v>559</v>
      </c>
      <c r="BN302" t="s">
        <v>182</v>
      </c>
      <c r="BO302" t="s">
        <v>4637</v>
      </c>
      <c r="BP302" t="s">
        <v>4638</v>
      </c>
      <c r="BS302" t="s">
        <v>4639</v>
      </c>
      <c r="BT302" t="s">
        <v>198</v>
      </c>
      <c r="BU302" t="s">
        <v>182</v>
      </c>
      <c r="BV302" t="s">
        <v>198</v>
      </c>
      <c r="BW302" t="s">
        <v>198</v>
      </c>
      <c r="BX302" t="s">
        <v>199</v>
      </c>
      <c r="BY302" t="s">
        <v>198</v>
      </c>
      <c r="BZ302" t="s">
        <v>199</v>
      </c>
      <c r="CA302" t="s">
        <v>199</v>
      </c>
      <c r="CB302" t="s">
        <v>4589</v>
      </c>
      <c r="CC302" t="s">
        <v>201</v>
      </c>
      <c r="CD302" t="s">
        <v>202</v>
      </c>
      <c r="CE302" t="s">
        <v>4590</v>
      </c>
      <c r="CF302" t="s">
        <v>413</v>
      </c>
      <c r="CG302" t="s">
        <v>177</v>
      </c>
      <c r="CH302" t="s">
        <v>4155</v>
      </c>
      <c r="CI302" t="s">
        <v>4114</v>
      </c>
      <c r="CJ302" t="s">
        <v>4192</v>
      </c>
      <c r="CK302" t="s">
        <v>292</v>
      </c>
      <c r="CL302" t="s">
        <v>293</v>
      </c>
      <c r="CM302" t="s">
        <v>4640</v>
      </c>
      <c r="CN302" t="s">
        <v>333</v>
      </c>
      <c r="CO302" t="s">
        <v>183</v>
      </c>
      <c r="CP302" t="s">
        <v>211</v>
      </c>
      <c r="CR302" t="s">
        <v>271</v>
      </c>
      <c r="CS302" t="s">
        <v>198</v>
      </c>
      <c r="CT302" t="s">
        <v>4192</v>
      </c>
      <c r="CU302" t="s">
        <v>267</v>
      </c>
      <c r="CV302" t="s">
        <v>268</v>
      </c>
      <c r="CW302" t="s">
        <v>4641</v>
      </c>
      <c r="CX302" t="s">
        <v>1164</v>
      </c>
      <c r="CY302" t="s">
        <v>183</v>
      </c>
      <c r="CZ302" t="s">
        <v>211</v>
      </c>
      <c r="DA302" t="s">
        <v>427</v>
      </c>
      <c r="DB302" t="s">
        <v>271</v>
      </c>
      <c r="DC302" t="s">
        <v>2946</v>
      </c>
      <c r="DD302" t="s">
        <v>4345</v>
      </c>
      <c r="DE302" t="s">
        <v>273</v>
      </c>
      <c r="DF302" t="s">
        <v>274</v>
      </c>
      <c r="DG302" t="s">
        <v>4594</v>
      </c>
      <c r="DH302" t="s">
        <v>402</v>
      </c>
      <c r="DI302" t="s">
        <v>183</v>
      </c>
      <c r="DJ302" t="s">
        <v>211</v>
      </c>
      <c r="DL302" t="s">
        <v>271</v>
      </c>
      <c r="DM302" t="s">
        <v>198</v>
      </c>
      <c r="DN302" t="s">
        <v>4642</v>
      </c>
      <c r="DO302" t="s">
        <v>302</v>
      </c>
      <c r="DP302" t="s">
        <v>303</v>
      </c>
      <c r="DQ302" t="s">
        <v>4596</v>
      </c>
      <c r="DR302" t="s">
        <v>1615</v>
      </c>
      <c r="DS302" t="s">
        <v>183</v>
      </c>
      <c r="DT302" t="s">
        <v>211</v>
      </c>
      <c r="DU302" t="s">
        <v>250</v>
      </c>
      <c r="DV302" t="s">
        <v>271</v>
      </c>
      <c r="DW302" t="s">
        <v>2950</v>
      </c>
      <c r="DX302" t="s">
        <v>3957</v>
      </c>
      <c r="DY302" t="s">
        <v>238</v>
      </c>
      <c r="DZ302" t="s">
        <v>239</v>
      </c>
      <c r="EA302" t="s">
        <v>4598</v>
      </c>
      <c r="EB302" t="s">
        <v>389</v>
      </c>
      <c r="EC302" t="s">
        <v>183</v>
      </c>
      <c r="ED302" t="s">
        <v>211</v>
      </c>
      <c r="EE302" t="s">
        <v>487</v>
      </c>
      <c r="EF302" t="s">
        <v>271</v>
      </c>
      <c r="EG302" t="s">
        <v>2950</v>
      </c>
      <c r="EH302" t="s">
        <v>4643</v>
      </c>
      <c r="EI302" t="s">
        <v>346</v>
      </c>
      <c r="EJ302" t="s">
        <v>347</v>
      </c>
      <c r="EK302" t="s">
        <v>4600</v>
      </c>
      <c r="EL302" t="s">
        <v>615</v>
      </c>
      <c r="EM302" t="s">
        <v>183</v>
      </c>
      <c r="EN302" t="s">
        <v>211</v>
      </c>
      <c r="EP302" t="s">
        <v>271</v>
      </c>
      <c r="EQ302" t="s">
        <v>198</v>
      </c>
      <c r="ER302" t="s">
        <v>4644</v>
      </c>
      <c r="ES302" t="s">
        <v>207</v>
      </c>
      <c r="ET302" t="s">
        <v>208</v>
      </c>
      <c r="EU302" t="s">
        <v>4612</v>
      </c>
      <c r="EV302" t="s">
        <v>473</v>
      </c>
      <c r="EW302" t="s">
        <v>183</v>
      </c>
      <c r="EX302" t="s">
        <v>211</v>
      </c>
      <c r="EY302" t="s">
        <v>963</v>
      </c>
      <c r="EZ302" t="s">
        <v>271</v>
      </c>
      <c r="FA302" t="s">
        <v>2950</v>
      </c>
      <c r="FK302" t="s">
        <v>198</v>
      </c>
      <c r="FU302" t="s">
        <v>198</v>
      </c>
    </row>
    <row r="303" spans="1:177">
      <c r="A303" s="1" t="str">
        <f>HYPERLINK("http://digipan.lumentumllc.com/apps/getLink/index.php?t=PropLink&amp;p=5247099","PL")</f>
        <v>PL</v>
      </c>
      <c r="B303" s="1" t="str">
        <f>HYPERLINK("http://digipan.lumentumllc.com/apps/getLink/index.php?t=TaxLink&amp;p=5247099","TL")</f>
        <v>TL</v>
      </c>
      <c r="C303" s="1" t="str">
        <f>HYPERLINK("http://digipan.lumentumllc.com/apps/getMap/index.php?p=5247099","Map")</f>
        <v>Map</v>
      </c>
      <c r="E303" t="s">
        <v>177</v>
      </c>
      <c r="F303" t="s">
        <v>178</v>
      </c>
      <c r="L303" t="s">
        <v>4645</v>
      </c>
      <c r="N303" t="s">
        <v>4645</v>
      </c>
      <c r="O303" t="s">
        <v>4645</v>
      </c>
      <c r="P303" t="s">
        <v>4646</v>
      </c>
      <c r="Q303" t="s">
        <v>4645</v>
      </c>
      <c r="V303">
        <v>348</v>
      </c>
      <c r="W303">
        <v>2</v>
      </c>
      <c r="X303">
        <v>2017</v>
      </c>
      <c r="Y303">
        <v>2018</v>
      </c>
      <c r="Z303">
        <v>277</v>
      </c>
      <c r="AB303" t="s">
        <v>181</v>
      </c>
      <c r="AC303" t="s">
        <v>202</v>
      </c>
      <c r="AD303" t="s">
        <v>183</v>
      </c>
      <c r="AE303">
        <v>0</v>
      </c>
      <c r="AF303">
        <v>7</v>
      </c>
      <c r="AG303" t="s">
        <v>528</v>
      </c>
      <c r="AH303">
        <v>100</v>
      </c>
      <c r="AK303">
        <v>0</v>
      </c>
      <c r="AL303">
        <v>16050</v>
      </c>
      <c r="AM303">
        <v>16050</v>
      </c>
      <c r="AN303">
        <v>0</v>
      </c>
      <c r="AO303">
        <v>197</v>
      </c>
      <c r="AP303">
        <v>2016</v>
      </c>
      <c r="AQ303">
        <v>1.73</v>
      </c>
      <c r="AS303" t="s">
        <v>3888</v>
      </c>
      <c r="AT303" t="s">
        <v>420</v>
      </c>
      <c r="AU303" t="s">
        <v>177</v>
      </c>
      <c r="AV303" t="s">
        <v>421</v>
      </c>
      <c r="AW303" t="s">
        <v>182</v>
      </c>
      <c r="AX303">
        <v>0</v>
      </c>
      <c r="AY303" t="s">
        <v>312</v>
      </c>
      <c r="AZ303" t="s">
        <v>199</v>
      </c>
      <c r="BA303" t="s">
        <v>313</v>
      </c>
      <c r="BB303" t="s">
        <v>191</v>
      </c>
      <c r="BC303" t="s">
        <v>182</v>
      </c>
      <c r="BD303" t="s">
        <v>182</v>
      </c>
      <c r="BE303" t="s">
        <v>3783</v>
      </c>
      <c r="BF303">
        <v>0</v>
      </c>
      <c r="BG303">
        <v>0</v>
      </c>
      <c r="BH303">
        <v>0</v>
      </c>
      <c r="BI303" t="s">
        <v>199</v>
      </c>
      <c r="BJ303" t="s">
        <v>315</v>
      </c>
      <c r="BL303" t="s">
        <v>4647</v>
      </c>
      <c r="BM303" t="s">
        <v>207</v>
      </c>
      <c r="BN303" t="s">
        <v>182</v>
      </c>
      <c r="BO303" t="s">
        <v>198</v>
      </c>
      <c r="BP303" t="s">
        <v>198</v>
      </c>
      <c r="BQ303" t="s">
        <v>198</v>
      </c>
      <c r="BR303" t="s">
        <v>198</v>
      </c>
      <c r="BS303" t="s">
        <v>198</v>
      </c>
      <c r="BT303" t="s">
        <v>198</v>
      </c>
      <c r="BU303" t="s">
        <v>182</v>
      </c>
      <c r="BV303" t="s">
        <v>198</v>
      </c>
      <c r="BW303" t="s">
        <v>198</v>
      </c>
      <c r="BX303" t="s">
        <v>199</v>
      </c>
      <c r="BY303" t="s">
        <v>198</v>
      </c>
      <c r="BZ303" t="s">
        <v>199</v>
      </c>
      <c r="CA303" t="s">
        <v>199</v>
      </c>
      <c r="CB303" t="s">
        <v>4589</v>
      </c>
      <c r="CC303" t="s">
        <v>201</v>
      </c>
      <c r="CD303" t="s">
        <v>202</v>
      </c>
      <c r="CE303" t="s">
        <v>4590</v>
      </c>
      <c r="CF303" t="s">
        <v>413</v>
      </c>
      <c r="CG303" t="s">
        <v>177</v>
      </c>
      <c r="CH303" t="s">
        <v>4155</v>
      </c>
      <c r="CI303" t="s">
        <v>2915</v>
      </c>
      <c r="CJ303" t="s">
        <v>4215</v>
      </c>
      <c r="CK303" t="s">
        <v>292</v>
      </c>
      <c r="CL303" t="s">
        <v>293</v>
      </c>
      <c r="CM303" t="s">
        <v>4648</v>
      </c>
      <c r="CN303" t="s">
        <v>333</v>
      </c>
      <c r="CO303" t="s">
        <v>183</v>
      </c>
      <c r="CP303" t="s">
        <v>211</v>
      </c>
      <c r="CR303" t="s">
        <v>271</v>
      </c>
      <c r="CS303" t="s">
        <v>198</v>
      </c>
      <c r="CT303" t="s">
        <v>4215</v>
      </c>
      <c r="CU303" t="s">
        <v>267</v>
      </c>
      <c r="CV303" t="s">
        <v>268</v>
      </c>
      <c r="CW303" t="s">
        <v>4649</v>
      </c>
      <c r="CX303" t="s">
        <v>1164</v>
      </c>
      <c r="CY303" t="s">
        <v>183</v>
      </c>
      <c r="CZ303" t="s">
        <v>211</v>
      </c>
      <c r="DA303" t="s">
        <v>427</v>
      </c>
      <c r="DB303" t="s">
        <v>271</v>
      </c>
      <c r="DC303" t="s">
        <v>2946</v>
      </c>
      <c r="DD303" t="s">
        <v>4371</v>
      </c>
      <c r="DE303" t="s">
        <v>273</v>
      </c>
      <c r="DF303" t="s">
        <v>274</v>
      </c>
      <c r="DG303" t="s">
        <v>4650</v>
      </c>
      <c r="DH303" t="s">
        <v>402</v>
      </c>
      <c r="DI303" t="s">
        <v>183</v>
      </c>
      <c r="DJ303" t="s">
        <v>211</v>
      </c>
      <c r="DL303" t="s">
        <v>271</v>
      </c>
      <c r="DM303" t="s">
        <v>198</v>
      </c>
      <c r="DN303" t="s">
        <v>3436</v>
      </c>
      <c r="DO303" t="s">
        <v>302</v>
      </c>
      <c r="DP303" t="s">
        <v>303</v>
      </c>
      <c r="DQ303" t="s">
        <v>4651</v>
      </c>
      <c r="DR303" t="s">
        <v>440</v>
      </c>
      <c r="DS303" t="s">
        <v>183</v>
      </c>
      <c r="DT303" t="s">
        <v>211</v>
      </c>
      <c r="DU303" t="s">
        <v>250</v>
      </c>
      <c r="DV303" t="s">
        <v>271</v>
      </c>
      <c r="DW303" t="s">
        <v>2950</v>
      </c>
      <c r="DX303" t="s">
        <v>1003</v>
      </c>
      <c r="DY303" t="s">
        <v>238</v>
      </c>
      <c r="DZ303" t="s">
        <v>239</v>
      </c>
      <c r="EA303" t="s">
        <v>4652</v>
      </c>
      <c r="EB303" t="s">
        <v>389</v>
      </c>
      <c r="EC303" t="s">
        <v>183</v>
      </c>
      <c r="ED303" t="s">
        <v>211</v>
      </c>
      <c r="EE303" t="s">
        <v>487</v>
      </c>
      <c r="EF303" t="s">
        <v>271</v>
      </c>
      <c r="EG303" t="s">
        <v>2950</v>
      </c>
      <c r="EH303" t="s">
        <v>4653</v>
      </c>
      <c r="EI303" t="s">
        <v>346</v>
      </c>
      <c r="EJ303" t="s">
        <v>347</v>
      </c>
      <c r="EK303" t="s">
        <v>1075</v>
      </c>
      <c r="EL303" t="s">
        <v>615</v>
      </c>
      <c r="EM303" t="s">
        <v>183</v>
      </c>
      <c r="EN303" t="s">
        <v>211</v>
      </c>
      <c r="EP303" t="s">
        <v>271</v>
      </c>
      <c r="EQ303" t="s">
        <v>198</v>
      </c>
      <c r="ER303" t="s">
        <v>4654</v>
      </c>
      <c r="ES303" t="s">
        <v>207</v>
      </c>
      <c r="ET303" t="s">
        <v>208</v>
      </c>
      <c r="EU303" t="s">
        <v>4655</v>
      </c>
      <c r="EV303" t="s">
        <v>473</v>
      </c>
      <c r="EW303" t="s">
        <v>183</v>
      </c>
      <c r="EX303" t="s">
        <v>211</v>
      </c>
      <c r="EY303" t="s">
        <v>337</v>
      </c>
      <c r="FA303" t="s">
        <v>4656</v>
      </c>
      <c r="FK303" t="s">
        <v>198</v>
      </c>
      <c r="FU303" t="s">
        <v>198</v>
      </c>
    </row>
    <row r="304" spans="1:177">
      <c r="A304" s="1" t="str">
        <f>HYPERLINK("http://digipan.lumentumllc.com/apps/getLink/index.php?t=PropLink&amp;p=5247100","PL")</f>
        <v>PL</v>
      </c>
      <c r="B304" s="1" t="str">
        <f>HYPERLINK("http://digipan.lumentumllc.com/apps/getLink/index.php?t=TaxLink&amp;p=5247100","TL")</f>
        <v>TL</v>
      </c>
      <c r="C304" s="1" t="str">
        <f>HYPERLINK("http://digipan.lumentumllc.com/apps/getMap/index.php?p=5247100","Map")</f>
        <v>Map</v>
      </c>
      <c r="E304" t="s">
        <v>177</v>
      </c>
      <c r="F304" t="s">
        <v>178</v>
      </c>
      <c r="L304" t="s">
        <v>4657</v>
      </c>
      <c r="N304" t="s">
        <v>4657</v>
      </c>
      <c r="O304" t="s">
        <v>4657</v>
      </c>
      <c r="P304" t="s">
        <v>4658</v>
      </c>
      <c r="Q304" t="s">
        <v>4657</v>
      </c>
      <c r="V304">
        <v>349</v>
      </c>
      <c r="W304">
        <v>2</v>
      </c>
      <c r="X304">
        <v>2017</v>
      </c>
      <c r="Y304">
        <v>2018</v>
      </c>
      <c r="Z304">
        <v>277</v>
      </c>
      <c r="AB304" t="s">
        <v>181</v>
      </c>
      <c r="AC304" t="s">
        <v>202</v>
      </c>
      <c r="AD304" t="s">
        <v>183</v>
      </c>
      <c r="AE304">
        <v>0</v>
      </c>
      <c r="AF304">
        <v>7</v>
      </c>
      <c r="AG304" t="s">
        <v>528</v>
      </c>
      <c r="AH304">
        <v>100</v>
      </c>
      <c r="AK304">
        <v>0</v>
      </c>
      <c r="AL304">
        <v>16050</v>
      </c>
      <c r="AM304">
        <v>16050</v>
      </c>
      <c r="AN304">
        <v>0</v>
      </c>
      <c r="AO304">
        <v>197</v>
      </c>
      <c r="AP304">
        <v>2016</v>
      </c>
      <c r="AQ304">
        <v>1.73</v>
      </c>
      <c r="AS304" t="s">
        <v>3888</v>
      </c>
      <c r="AT304" t="s">
        <v>420</v>
      </c>
      <c r="AU304" t="s">
        <v>177</v>
      </c>
      <c r="AV304" t="s">
        <v>421</v>
      </c>
      <c r="AW304" t="s">
        <v>182</v>
      </c>
      <c r="AX304">
        <v>0</v>
      </c>
      <c r="AY304" t="s">
        <v>312</v>
      </c>
      <c r="AZ304" t="s">
        <v>199</v>
      </c>
      <c r="BA304" t="s">
        <v>313</v>
      </c>
      <c r="BB304" t="s">
        <v>191</v>
      </c>
      <c r="BC304" t="s">
        <v>182</v>
      </c>
      <c r="BD304" t="s">
        <v>182</v>
      </c>
      <c r="BE304" t="s">
        <v>3783</v>
      </c>
      <c r="BF304">
        <v>0</v>
      </c>
      <c r="BG304">
        <v>0</v>
      </c>
      <c r="BH304">
        <v>0</v>
      </c>
      <c r="BI304" t="s">
        <v>199</v>
      </c>
      <c r="BJ304" t="s">
        <v>315</v>
      </c>
      <c r="BL304" t="s">
        <v>3749</v>
      </c>
      <c r="BM304" t="s">
        <v>559</v>
      </c>
      <c r="BN304" t="s">
        <v>182</v>
      </c>
      <c r="BO304" t="s">
        <v>4637</v>
      </c>
      <c r="BP304" t="s">
        <v>4638</v>
      </c>
      <c r="BS304" t="s">
        <v>4639</v>
      </c>
      <c r="BT304" t="s">
        <v>198</v>
      </c>
      <c r="BU304" t="s">
        <v>182</v>
      </c>
      <c r="BV304" t="s">
        <v>198</v>
      </c>
      <c r="BW304" t="s">
        <v>198</v>
      </c>
      <c r="BX304" t="s">
        <v>199</v>
      </c>
      <c r="BY304" t="s">
        <v>198</v>
      </c>
      <c r="BZ304" t="s">
        <v>199</v>
      </c>
      <c r="CA304" t="s">
        <v>199</v>
      </c>
      <c r="CB304" t="s">
        <v>4589</v>
      </c>
      <c r="CC304" t="s">
        <v>201</v>
      </c>
      <c r="CD304" t="s">
        <v>202</v>
      </c>
      <c r="CE304" t="s">
        <v>4590</v>
      </c>
      <c r="CF304" t="s">
        <v>413</v>
      </c>
      <c r="CG304" t="s">
        <v>177</v>
      </c>
      <c r="CH304" t="s">
        <v>4155</v>
      </c>
      <c r="CI304" t="s">
        <v>4659</v>
      </c>
      <c r="CJ304" t="s">
        <v>4660</v>
      </c>
      <c r="CK304" t="s">
        <v>292</v>
      </c>
      <c r="CL304" t="s">
        <v>293</v>
      </c>
      <c r="CM304" t="s">
        <v>4648</v>
      </c>
      <c r="CN304" t="s">
        <v>333</v>
      </c>
      <c r="CO304" t="s">
        <v>183</v>
      </c>
      <c r="CP304" t="s">
        <v>211</v>
      </c>
      <c r="CR304" t="s">
        <v>271</v>
      </c>
      <c r="CS304" t="s">
        <v>198</v>
      </c>
      <c r="CT304" t="s">
        <v>4660</v>
      </c>
      <c r="CU304" t="s">
        <v>267</v>
      </c>
      <c r="CV304" t="s">
        <v>268</v>
      </c>
      <c r="CW304" t="s">
        <v>4649</v>
      </c>
      <c r="CX304" t="s">
        <v>1164</v>
      </c>
      <c r="CY304" t="s">
        <v>183</v>
      </c>
      <c r="CZ304" t="s">
        <v>211</v>
      </c>
      <c r="DA304" t="s">
        <v>427</v>
      </c>
      <c r="DB304" t="s">
        <v>271</v>
      </c>
      <c r="DC304" t="s">
        <v>2946</v>
      </c>
      <c r="DD304" t="s">
        <v>4661</v>
      </c>
      <c r="DE304" t="s">
        <v>273</v>
      </c>
      <c r="DF304" t="s">
        <v>274</v>
      </c>
      <c r="DG304" t="s">
        <v>4650</v>
      </c>
      <c r="DH304" t="s">
        <v>402</v>
      </c>
      <c r="DI304" t="s">
        <v>183</v>
      </c>
      <c r="DJ304" t="s">
        <v>211</v>
      </c>
      <c r="DL304" t="s">
        <v>271</v>
      </c>
      <c r="DM304" t="s">
        <v>198</v>
      </c>
      <c r="DN304" t="s">
        <v>3164</v>
      </c>
      <c r="DO304" t="s">
        <v>302</v>
      </c>
      <c r="DP304" t="s">
        <v>303</v>
      </c>
      <c r="DQ304" t="s">
        <v>4651</v>
      </c>
      <c r="DR304" t="s">
        <v>1491</v>
      </c>
      <c r="DS304" t="s">
        <v>183</v>
      </c>
      <c r="DT304" t="s">
        <v>211</v>
      </c>
      <c r="DU304" t="s">
        <v>250</v>
      </c>
      <c r="DV304" t="s">
        <v>271</v>
      </c>
      <c r="DW304" t="s">
        <v>2950</v>
      </c>
      <c r="DX304" t="s">
        <v>1742</v>
      </c>
      <c r="DY304" t="s">
        <v>238</v>
      </c>
      <c r="DZ304" t="s">
        <v>239</v>
      </c>
      <c r="EA304" t="s">
        <v>4652</v>
      </c>
      <c r="EB304" t="s">
        <v>389</v>
      </c>
      <c r="EC304" t="s">
        <v>183</v>
      </c>
      <c r="ED304" t="s">
        <v>211</v>
      </c>
      <c r="EE304" t="s">
        <v>487</v>
      </c>
      <c r="EF304" t="s">
        <v>271</v>
      </c>
      <c r="EG304" t="s">
        <v>2950</v>
      </c>
      <c r="EH304" t="s">
        <v>4662</v>
      </c>
      <c r="EI304" t="s">
        <v>346</v>
      </c>
      <c r="EJ304" t="s">
        <v>347</v>
      </c>
      <c r="EK304" t="s">
        <v>1075</v>
      </c>
      <c r="EL304" t="s">
        <v>615</v>
      </c>
      <c r="EM304" t="s">
        <v>183</v>
      </c>
      <c r="EN304" t="s">
        <v>211</v>
      </c>
      <c r="EP304" t="s">
        <v>271</v>
      </c>
      <c r="EQ304" t="s">
        <v>198</v>
      </c>
      <c r="ER304" t="s">
        <v>4534</v>
      </c>
      <c r="ES304" t="s">
        <v>207</v>
      </c>
      <c r="ET304" t="s">
        <v>208</v>
      </c>
      <c r="EU304" t="s">
        <v>4655</v>
      </c>
      <c r="EV304" t="s">
        <v>473</v>
      </c>
      <c r="EW304" t="s">
        <v>183</v>
      </c>
      <c r="EX304" t="s">
        <v>211</v>
      </c>
      <c r="EY304" t="s">
        <v>963</v>
      </c>
      <c r="EZ304" t="s">
        <v>271</v>
      </c>
      <c r="FA304" t="s">
        <v>2950</v>
      </c>
      <c r="FK304" t="s">
        <v>198</v>
      </c>
      <c r="FU304" t="s">
        <v>198</v>
      </c>
    </row>
    <row r="305" spans="1:177">
      <c r="A305" s="1" t="str">
        <f>HYPERLINK("http://digipan.lumentumllc.com/apps/getLink/index.php?t=PropLink&amp;p=5247101","PL")</f>
        <v>PL</v>
      </c>
      <c r="B305" s="1" t="str">
        <f>HYPERLINK("http://digipan.lumentumllc.com/apps/getLink/index.php?t=TaxLink&amp;p=5247101","TL")</f>
        <v>TL</v>
      </c>
      <c r="C305" s="1" t="str">
        <f>HYPERLINK("http://digipan.lumentumllc.com/apps/getMap/index.php?p=5247101","Map")</f>
        <v>Map</v>
      </c>
      <c r="E305" t="s">
        <v>177</v>
      </c>
      <c r="F305" t="s">
        <v>178</v>
      </c>
      <c r="L305" t="s">
        <v>4663</v>
      </c>
      <c r="N305" t="s">
        <v>4663</v>
      </c>
      <c r="O305" t="s">
        <v>4663</v>
      </c>
      <c r="P305" t="s">
        <v>4664</v>
      </c>
      <c r="Q305" t="s">
        <v>4663</v>
      </c>
      <c r="V305">
        <v>350</v>
      </c>
      <c r="W305">
        <v>2</v>
      </c>
      <c r="X305">
        <v>2017</v>
      </c>
      <c r="Y305">
        <v>2018</v>
      </c>
      <c r="Z305">
        <v>580.49</v>
      </c>
      <c r="AB305" t="s">
        <v>181</v>
      </c>
      <c r="AC305" t="s">
        <v>202</v>
      </c>
      <c r="AD305" t="s">
        <v>183</v>
      </c>
      <c r="AE305">
        <v>0</v>
      </c>
      <c r="AF305">
        <v>4</v>
      </c>
      <c r="AG305" t="s">
        <v>744</v>
      </c>
      <c r="AH305">
        <v>100</v>
      </c>
      <c r="AK305">
        <v>0</v>
      </c>
      <c r="AL305">
        <v>80284</v>
      </c>
      <c r="AM305">
        <v>27360</v>
      </c>
      <c r="AN305">
        <v>52924</v>
      </c>
      <c r="AO305">
        <v>507</v>
      </c>
      <c r="AP305">
        <v>2016</v>
      </c>
      <c r="AQ305">
        <v>0.72</v>
      </c>
      <c r="AS305" t="s">
        <v>4665</v>
      </c>
      <c r="AT305" t="s">
        <v>420</v>
      </c>
      <c r="AU305" t="s">
        <v>177</v>
      </c>
      <c r="AV305" t="s">
        <v>421</v>
      </c>
      <c r="AW305" t="s">
        <v>202</v>
      </c>
      <c r="AX305">
        <v>2</v>
      </c>
      <c r="AY305" t="s">
        <v>188</v>
      </c>
      <c r="AZ305" t="s">
        <v>189</v>
      </c>
      <c r="BA305" t="s">
        <v>190</v>
      </c>
      <c r="BB305" t="s">
        <v>191</v>
      </c>
      <c r="BC305" t="s">
        <v>182</v>
      </c>
      <c r="BD305" t="s">
        <v>182</v>
      </c>
      <c r="BE305" t="s">
        <v>4666</v>
      </c>
      <c r="BF305">
        <v>1</v>
      </c>
      <c r="BG305">
        <v>1</v>
      </c>
      <c r="BH305">
        <v>1998</v>
      </c>
      <c r="BI305" t="s">
        <v>4667</v>
      </c>
      <c r="BJ305" t="s">
        <v>194</v>
      </c>
      <c r="BK305" t="s">
        <v>195</v>
      </c>
      <c r="BL305" t="s">
        <v>199</v>
      </c>
      <c r="BM305" t="s">
        <v>368</v>
      </c>
      <c r="BN305" t="s">
        <v>182</v>
      </c>
      <c r="BO305" t="s">
        <v>198</v>
      </c>
      <c r="BP305" t="s">
        <v>198</v>
      </c>
      <c r="BQ305" t="s">
        <v>198</v>
      </c>
      <c r="BR305" t="s">
        <v>198</v>
      </c>
      <c r="BS305" t="s">
        <v>198</v>
      </c>
      <c r="BT305" t="s">
        <v>198</v>
      </c>
      <c r="BU305" t="s">
        <v>182</v>
      </c>
      <c r="BV305" t="s">
        <v>198</v>
      </c>
      <c r="BW305" t="s">
        <v>198</v>
      </c>
      <c r="BX305" t="s">
        <v>199</v>
      </c>
      <c r="BY305" t="s">
        <v>198</v>
      </c>
      <c r="BZ305" t="s">
        <v>199</v>
      </c>
      <c r="CA305" t="s">
        <v>199</v>
      </c>
      <c r="CB305" t="s">
        <v>4668</v>
      </c>
      <c r="CC305" t="s">
        <v>201</v>
      </c>
      <c r="CD305" t="s">
        <v>182</v>
      </c>
      <c r="CE305" t="s">
        <v>4669</v>
      </c>
      <c r="CF305" t="s">
        <v>425</v>
      </c>
      <c r="CG305" t="s">
        <v>177</v>
      </c>
      <c r="CH305" t="s">
        <v>421</v>
      </c>
      <c r="CI305" t="s">
        <v>4670</v>
      </c>
      <c r="CJ305" t="s">
        <v>4399</v>
      </c>
      <c r="CK305" t="s">
        <v>273</v>
      </c>
      <c r="CL305" t="s">
        <v>274</v>
      </c>
      <c r="CM305" t="s">
        <v>4671</v>
      </c>
      <c r="CN305" t="s">
        <v>235</v>
      </c>
      <c r="CO305" t="s">
        <v>183</v>
      </c>
      <c r="CP305" t="s">
        <v>211</v>
      </c>
      <c r="CQ305" t="s">
        <v>270</v>
      </c>
      <c r="CS305" t="s">
        <v>4672</v>
      </c>
      <c r="CT305" t="s">
        <v>3469</v>
      </c>
      <c r="CU305" t="s">
        <v>302</v>
      </c>
      <c r="CV305" t="s">
        <v>303</v>
      </c>
      <c r="CW305" t="s">
        <v>4673</v>
      </c>
      <c r="CX305" t="s">
        <v>235</v>
      </c>
      <c r="CY305" t="s">
        <v>183</v>
      </c>
      <c r="CZ305" t="s">
        <v>211</v>
      </c>
      <c r="DA305" t="s">
        <v>250</v>
      </c>
      <c r="DB305" t="s">
        <v>271</v>
      </c>
      <c r="DC305" t="s">
        <v>2950</v>
      </c>
      <c r="DD305" t="s">
        <v>930</v>
      </c>
      <c r="DE305" t="s">
        <v>238</v>
      </c>
      <c r="DF305" t="s">
        <v>239</v>
      </c>
      <c r="DG305" t="s">
        <v>4674</v>
      </c>
      <c r="DH305" t="s">
        <v>278</v>
      </c>
      <c r="DI305" t="s">
        <v>183</v>
      </c>
      <c r="DJ305" t="s">
        <v>211</v>
      </c>
      <c r="DK305" t="s">
        <v>487</v>
      </c>
      <c r="DL305" t="s">
        <v>271</v>
      </c>
      <c r="DM305" t="s">
        <v>2950</v>
      </c>
      <c r="DN305" t="s">
        <v>4675</v>
      </c>
      <c r="DO305" t="s">
        <v>346</v>
      </c>
      <c r="DP305" t="s">
        <v>347</v>
      </c>
      <c r="DQ305" t="s">
        <v>4676</v>
      </c>
      <c r="DR305" t="s">
        <v>469</v>
      </c>
      <c r="DS305" t="s">
        <v>183</v>
      </c>
      <c r="DT305" t="s">
        <v>211</v>
      </c>
      <c r="DV305" t="s">
        <v>271</v>
      </c>
      <c r="DW305" t="s">
        <v>198</v>
      </c>
      <c r="EG305" t="s">
        <v>198</v>
      </c>
      <c r="EQ305" t="s">
        <v>198</v>
      </c>
      <c r="FA305" t="s">
        <v>198</v>
      </c>
      <c r="FK305" t="s">
        <v>198</v>
      </c>
      <c r="FU305" t="s">
        <v>198</v>
      </c>
    </row>
    <row r="306" spans="1:177">
      <c r="A306" s="1" t="str">
        <f>HYPERLINK("http://digipan.lumentumllc.com/apps/getLink/index.php?t=PropLink&amp;p=6886801","PL")</f>
        <v>PL</v>
      </c>
      <c r="B306" s="1" t="str">
        <f>HYPERLINK("http://digipan.lumentumllc.com/apps/getLink/index.php?t=TaxLink&amp;p=6886801","TL")</f>
        <v>TL</v>
      </c>
      <c r="C306" s="1" t="str">
        <f>HYPERLINK("http://digipan.lumentumllc.com/apps/getMap/index.php?p=6886801","Map")</f>
        <v>Map</v>
      </c>
      <c r="E306" t="s">
        <v>177</v>
      </c>
      <c r="F306" t="s">
        <v>178</v>
      </c>
      <c r="L306" t="s">
        <v>4677</v>
      </c>
      <c r="N306" t="s">
        <v>4677</v>
      </c>
      <c r="O306" t="s">
        <v>4677</v>
      </c>
      <c r="P306" t="s">
        <v>4678</v>
      </c>
      <c r="Q306" t="s">
        <v>4677</v>
      </c>
      <c r="V306">
        <v>351</v>
      </c>
      <c r="W306">
        <v>2</v>
      </c>
      <c r="X306">
        <v>2017</v>
      </c>
      <c r="Y306">
        <v>2018</v>
      </c>
      <c r="Z306">
        <v>594.13</v>
      </c>
      <c r="AB306" t="s">
        <v>181</v>
      </c>
      <c r="AC306" t="s">
        <v>182</v>
      </c>
      <c r="AD306" t="s">
        <v>183</v>
      </c>
      <c r="AE306">
        <v>0</v>
      </c>
      <c r="AF306">
        <v>3</v>
      </c>
      <c r="AG306" t="s">
        <v>381</v>
      </c>
      <c r="AH306">
        <v>100</v>
      </c>
      <c r="AK306">
        <v>0</v>
      </c>
      <c r="AL306">
        <v>98638</v>
      </c>
      <c r="AM306">
        <v>30400</v>
      </c>
      <c r="AN306">
        <v>68238</v>
      </c>
      <c r="AO306">
        <v>519</v>
      </c>
      <c r="AP306">
        <v>2016</v>
      </c>
      <c r="AQ306">
        <v>0.6</v>
      </c>
      <c r="AS306" t="s">
        <v>4679</v>
      </c>
      <c r="AT306" t="s">
        <v>3747</v>
      </c>
      <c r="AU306" t="s">
        <v>177</v>
      </c>
      <c r="AV306" t="s">
        <v>1030</v>
      </c>
      <c r="AW306" t="s">
        <v>202</v>
      </c>
      <c r="AX306">
        <v>2</v>
      </c>
      <c r="AY306" t="s">
        <v>188</v>
      </c>
      <c r="AZ306" t="s">
        <v>189</v>
      </c>
      <c r="BA306" t="s">
        <v>190</v>
      </c>
      <c r="BB306" t="s">
        <v>191</v>
      </c>
      <c r="BC306" t="s">
        <v>182</v>
      </c>
      <c r="BD306" t="s">
        <v>182</v>
      </c>
      <c r="BE306" t="s">
        <v>331</v>
      </c>
      <c r="BF306">
        <v>1</v>
      </c>
      <c r="BG306">
        <v>1</v>
      </c>
      <c r="BH306">
        <v>2001</v>
      </c>
      <c r="BI306" t="s">
        <v>1414</v>
      </c>
      <c r="BJ306" t="s">
        <v>248</v>
      </c>
      <c r="BK306" t="s">
        <v>195</v>
      </c>
      <c r="BL306" t="s">
        <v>4680</v>
      </c>
      <c r="BM306" t="s">
        <v>267</v>
      </c>
      <c r="BN306" t="s">
        <v>182</v>
      </c>
      <c r="BO306" t="s">
        <v>560</v>
      </c>
      <c r="BP306" t="s">
        <v>4681</v>
      </c>
      <c r="BQ306" t="s">
        <v>562</v>
      </c>
      <c r="BR306" t="s">
        <v>4682</v>
      </c>
      <c r="BS306" t="s">
        <v>198</v>
      </c>
      <c r="BT306" t="s">
        <v>4683</v>
      </c>
      <c r="BU306" t="s">
        <v>182</v>
      </c>
      <c r="BV306" t="s">
        <v>198</v>
      </c>
      <c r="BW306" t="s">
        <v>198</v>
      </c>
      <c r="BX306" t="s">
        <v>199</v>
      </c>
      <c r="BY306" t="s">
        <v>198</v>
      </c>
      <c r="BZ306" t="s">
        <v>199</v>
      </c>
      <c r="CA306" t="s">
        <v>199</v>
      </c>
      <c r="CB306" t="s">
        <v>4684</v>
      </c>
      <c r="CC306" t="s">
        <v>201</v>
      </c>
      <c r="CD306" t="s">
        <v>182</v>
      </c>
      <c r="CE306" t="s">
        <v>4685</v>
      </c>
      <c r="CF306" t="s">
        <v>1029</v>
      </c>
      <c r="CG306" t="s">
        <v>177</v>
      </c>
      <c r="CH306" t="s">
        <v>1030</v>
      </c>
      <c r="CI306" t="s">
        <v>4686</v>
      </c>
      <c r="CJ306" t="s">
        <v>4642</v>
      </c>
      <c r="CK306" t="s">
        <v>232</v>
      </c>
      <c r="CL306" t="s">
        <v>233</v>
      </c>
      <c r="CM306" t="s">
        <v>4687</v>
      </c>
      <c r="CN306" t="s">
        <v>235</v>
      </c>
      <c r="CO306" t="s">
        <v>183</v>
      </c>
      <c r="CP306" t="s">
        <v>211</v>
      </c>
      <c r="CQ306" t="s">
        <v>296</v>
      </c>
      <c r="CS306" t="s">
        <v>1467</v>
      </c>
      <c r="CT306" t="s">
        <v>3099</v>
      </c>
      <c r="CU306" t="s">
        <v>292</v>
      </c>
      <c r="CV306" t="s">
        <v>293</v>
      </c>
      <c r="CW306" t="s">
        <v>2003</v>
      </c>
      <c r="CX306" t="s">
        <v>235</v>
      </c>
      <c r="CY306" t="s">
        <v>183</v>
      </c>
      <c r="CZ306" t="s">
        <v>211</v>
      </c>
      <c r="DA306" t="s">
        <v>206</v>
      </c>
      <c r="DC306" t="s">
        <v>4688</v>
      </c>
      <c r="DD306" t="s">
        <v>3099</v>
      </c>
      <c r="DE306" t="s">
        <v>267</v>
      </c>
      <c r="DF306" t="s">
        <v>268</v>
      </c>
      <c r="DG306" t="s">
        <v>4689</v>
      </c>
      <c r="DH306" t="s">
        <v>235</v>
      </c>
      <c r="DI306" t="s">
        <v>183</v>
      </c>
      <c r="DJ306" t="s">
        <v>211</v>
      </c>
      <c r="DK306" t="s">
        <v>199</v>
      </c>
      <c r="DM306" t="s">
        <v>3445</v>
      </c>
      <c r="DW306" t="s">
        <v>198</v>
      </c>
      <c r="EG306" t="s">
        <v>198</v>
      </c>
      <c r="EQ306" t="s">
        <v>198</v>
      </c>
      <c r="FA306" t="s">
        <v>198</v>
      </c>
      <c r="FK306" t="s">
        <v>198</v>
      </c>
      <c r="FU306" t="s">
        <v>198</v>
      </c>
    </row>
    <row r="307" spans="1:177">
      <c r="A307" s="1" t="str">
        <f>HYPERLINK("http://digipan.lumentumllc.com/apps/getLink/index.php?t=PropLink&amp;p=5244885","PL")</f>
        <v>PL</v>
      </c>
      <c r="B307" s="1" t="str">
        <f>HYPERLINK("http://digipan.lumentumllc.com/apps/getLink/index.php?t=TaxLink&amp;p=5244885","TL")</f>
        <v>TL</v>
      </c>
      <c r="C307" s="1" t="str">
        <f>HYPERLINK("http://digipan.lumentumllc.com/apps/getMap/index.php?p=5244885","Map")</f>
        <v>Map</v>
      </c>
      <c r="E307" t="s">
        <v>177</v>
      </c>
      <c r="F307" t="s">
        <v>178</v>
      </c>
      <c r="L307" t="s">
        <v>4690</v>
      </c>
      <c r="N307" t="s">
        <v>4690</v>
      </c>
      <c r="O307" t="s">
        <v>4690</v>
      </c>
      <c r="P307" t="s">
        <v>4691</v>
      </c>
      <c r="Q307" t="s">
        <v>4690</v>
      </c>
      <c r="V307">
        <v>354</v>
      </c>
      <c r="W307">
        <v>2</v>
      </c>
      <c r="X307">
        <v>2017</v>
      </c>
      <c r="Y307">
        <v>2018</v>
      </c>
      <c r="Z307">
        <v>1226.6600000000001</v>
      </c>
      <c r="AB307" t="s">
        <v>181</v>
      </c>
      <c r="AC307" t="s">
        <v>182</v>
      </c>
      <c r="AD307" t="s">
        <v>183</v>
      </c>
      <c r="AE307">
        <v>1</v>
      </c>
      <c r="AF307">
        <v>3</v>
      </c>
      <c r="AG307" t="s">
        <v>257</v>
      </c>
      <c r="AH307">
        <v>75</v>
      </c>
      <c r="AI307">
        <v>1221.9000000000001</v>
      </c>
      <c r="AJ307">
        <v>61.1</v>
      </c>
      <c r="AK307">
        <v>1283</v>
      </c>
      <c r="AL307">
        <v>72967</v>
      </c>
      <c r="AM307">
        <v>60720</v>
      </c>
      <c r="AN307">
        <v>12247</v>
      </c>
      <c r="AO307">
        <v>1105</v>
      </c>
      <c r="AP307">
        <v>2016</v>
      </c>
      <c r="AQ307">
        <v>1.68</v>
      </c>
      <c r="AR307">
        <v>1.76</v>
      </c>
      <c r="AS307" t="s">
        <v>4692</v>
      </c>
      <c r="AT307" t="s">
        <v>420</v>
      </c>
      <c r="AU307" t="s">
        <v>177</v>
      </c>
      <c r="AV307" t="s">
        <v>421</v>
      </c>
      <c r="AW307" t="s">
        <v>182</v>
      </c>
      <c r="AX307">
        <v>2</v>
      </c>
      <c r="AY307" t="s">
        <v>188</v>
      </c>
      <c r="AZ307" t="s">
        <v>189</v>
      </c>
      <c r="BA307" t="s">
        <v>190</v>
      </c>
      <c r="BB307" t="s">
        <v>191</v>
      </c>
      <c r="BC307" t="s">
        <v>182</v>
      </c>
      <c r="BD307" t="s">
        <v>182</v>
      </c>
      <c r="BE307" t="s">
        <v>4693</v>
      </c>
      <c r="BF307">
        <v>1</v>
      </c>
      <c r="BG307">
        <v>1</v>
      </c>
      <c r="BH307">
        <v>1979</v>
      </c>
      <c r="BI307" t="s">
        <v>4694</v>
      </c>
      <c r="BJ307" t="s">
        <v>194</v>
      </c>
      <c r="BK307" t="s">
        <v>195</v>
      </c>
      <c r="BL307" t="s">
        <v>578</v>
      </c>
      <c r="BM307" t="s">
        <v>286</v>
      </c>
      <c r="BN307" t="s">
        <v>182</v>
      </c>
      <c r="BO307" t="s">
        <v>4695</v>
      </c>
      <c r="BP307" t="s">
        <v>1110</v>
      </c>
      <c r="BR307" t="s">
        <v>1723</v>
      </c>
      <c r="BS307" t="s">
        <v>4696</v>
      </c>
      <c r="BT307" t="s">
        <v>4697</v>
      </c>
      <c r="BU307" t="s">
        <v>182</v>
      </c>
      <c r="BV307" t="s">
        <v>198</v>
      </c>
      <c r="BW307" t="s">
        <v>198</v>
      </c>
      <c r="BX307" t="s">
        <v>199</v>
      </c>
      <c r="BY307" t="s">
        <v>198</v>
      </c>
      <c r="BZ307" t="s">
        <v>199</v>
      </c>
      <c r="CA307" t="s">
        <v>199</v>
      </c>
      <c r="CB307" t="s">
        <v>4698</v>
      </c>
      <c r="CC307" t="s">
        <v>201</v>
      </c>
      <c r="CD307" t="s">
        <v>182</v>
      </c>
      <c r="CE307" t="s">
        <v>4699</v>
      </c>
      <c r="CF307" t="s">
        <v>413</v>
      </c>
      <c r="CG307" t="s">
        <v>177</v>
      </c>
      <c r="CH307" t="s">
        <v>804</v>
      </c>
      <c r="CI307" t="s">
        <v>4700</v>
      </c>
      <c r="CJ307" t="s">
        <v>3469</v>
      </c>
      <c r="CK307" t="s">
        <v>232</v>
      </c>
      <c r="CL307" t="s">
        <v>233</v>
      </c>
      <c r="CM307" t="s">
        <v>4701</v>
      </c>
      <c r="CN307" t="s">
        <v>235</v>
      </c>
      <c r="CO307" t="s">
        <v>183</v>
      </c>
      <c r="CP307" t="s">
        <v>266</v>
      </c>
      <c r="CS307" t="s">
        <v>198</v>
      </c>
      <c r="CT307" t="s">
        <v>3167</v>
      </c>
      <c r="CU307" t="s">
        <v>273</v>
      </c>
      <c r="CV307" t="s">
        <v>274</v>
      </c>
      <c r="CW307" t="s">
        <v>4702</v>
      </c>
      <c r="CX307" t="s">
        <v>235</v>
      </c>
      <c r="CY307" t="s">
        <v>183</v>
      </c>
      <c r="CZ307" t="s">
        <v>211</v>
      </c>
      <c r="DA307" t="s">
        <v>199</v>
      </c>
      <c r="DC307" t="s">
        <v>4703</v>
      </c>
      <c r="DD307" t="s">
        <v>4704</v>
      </c>
      <c r="DE307" t="s">
        <v>238</v>
      </c>
      <c r="DF307" t="s">
        <v>239</v>
      </c>
      <c r="DG307" t="s">
        <v>4705</v>
      </c>
      <c r="DH307" t="s">
        <v>278</v>
      </c>
      <c r="DI307" t="s">
        <v>183</v>
      </c>
      <c r="DJ307" t="s">
        <v>211</v>
      </c>
      <c r="DK307" t="s">
        <v>427</v>
      </c>
      <c r="DM307" t="s">
        <v>4706</v>
      </c>
      <c r="DN307" t="s">
        <v>4707</v>
      </c>
      <c r="DO307" t="s">
        <v>346</v>
      </c>
      <c r="DP307" t="s">
        <v>347</v>
      </c>
      <c r="DQ307" t="s">
        <v>4708</v>
      </c>
      <c r="DR307" t="s">
        <v>247</v>
      </c>
      <c r="DS307" t="s">
        <v>183</v>
      </c>
      <c r="DT307" t="s">
        <v>211</v>
      </c>
      <c r="DU307" t="s">
        <v>298</v>
      </c>
      <c r="DW307" t="s">
        <v>878</v>
      </c>
      <c r="EG307" t="s">
        <v>198</v>
      </c>
      <c r="EQ307" t="s">
        <v>198</v>
      </c>
      <c r="FA307" t="s">
        <v>198</v>
      </c>
      <c r="FK307" t="s">
        <v>198</v>
      </c>
      <c r="FU307" t="s">
        <v>198</v>
      </c>
    </row>
    <row r="308" spans="1:177">
      <c r="A308" s="1" t="str">
        <f>HYPERLINK("http://digipan.lumentumllc.com/apps/getLink/index.php?t=PropLink&amp;p=15738759","PL")</f>
        <v>PL</v>
      </c>
      <c r="B308" s="1" t="str">
        <f>HYPERLINK("http://digipan.lumentumllc.com/apps/getLink/index.php?t=TaxLink&amp;p=15738759","TL")</f>
        <v>TL</v>
      </c>
      <c r="C308" s="1" t="str">
        <f>HYPERLINK("http://digipan.lumentumllc.com/apps/getMap/index.php?p=15738759","Map")</f>
        <v>Map</v>
      </c>
      <c r="E308" t="s">
        <v>177</v>
      </c>
      <c r="F308" t="s">
        <v>178</v>
      </c>
      <c r="L308" t="s">
        <v>4709</v>
      </c>
      <c r="N308" t="s">
        <v>4709</v>
      </c>
      <c r="O308" t="s">
        <v>4709</v>
      </c>
      <c r="Q308" t="s">
        <v>4709</v>
      </c>
      <c r="V308">
        <v>355</v>
      </c>
      <c r="W308">
        <v>2</v>
      </c>
      <c r="X308">
        <v>2017</v>
      </c>
      <c r="Y308">
        <v>2018</v>
      </c>
      <c r="Z308">
        <v>999.48</v>
      </c>
      <c r="AG308" t="s">
        <v>184</v>
      </c>
      <c r="AH308">
        <v>0</v>
      </c>
      <c r="AK308">
        <v>0</v>
      </c>
      <c r="AL308">
        <v>105836</v>
      </c>
      <c r="AM308">
        <v>45720</v>
      </c>
      <c r="AN308">
        <v>60116</v>
      </c>
      <c r="AO308">
        <v>0</v>
      </c>
      <c r="AP308">
        <v>0</v>
      </c>
      <c r="AQ308">
        <v>0.94</v>
      </c>
      <c r="AS308" t="s">
        <v>4710</v>
      </c>
      <c r="AT308" t="s">
        <v>420</v>
      </c>
      <c r="AU308" t="s">
        <v>177</v>
      </c>
      <c r="AV308" t="s">
        <v>421</v>
      </c>
      <c r="AW308" t="s">
        <v>202</v>
      </c>
      <c r="AX308">
        <v>1</v>
      </c>
      <c r="AY308" t="s">
        <v>188</v>
      </c>
      <c r="AZ308" t="s">
        <v>206</v>
      </c>
      <c r="BA308" t="s">
        <v>355</v>
      </c>
      <c r="BB308" t="s">
        <v>191</v>
      </c>
      <c r="BC308" t="s">
        <v>182</v>
      </c>
      <c r="BD308" t="s">
        <v>2072</v>
      </c>
      <c r="BE308" t="s">
        <v>1000</v>
      </c>
      <c r="BF308">
        <v>1</v>
      </c>
      <c r="BG308">
        <v>1</v>
      </c>
      <c r="BH308">
        <v>1956</v>
      </c>
      <c r="BI308" t="s">
        <v>4711</v>
      </c>
      <c r="BJ308" t="s">
        <v>194</v>
      </c>
      <c r="BK308" t="s">
        <v>195</v>
      </c>
      <c r="BL308" t="s">
        <v>4712</v>
      </c>
      <c r="BM308" t="s">
        <v>286</v>
      </c>
      <c r="BN308" t="s">
        <v>182</v>
      </c>
      <c r="BO308" t="s">
        <v>4713</v>
      </c>
      <c r="BP308" t="s">
        <v>4714</v>
      </c>
      <c r="BQ308" t="s">
        <v>800</v>
      </c>
      <c r="BR308" t="s">
        <v>4715</v>
      </c>
      <c r="BS308" t="s">
        <v>198</v>
      </c>
      <c r="BT308" t="s">
        <v>4716</v>
      </c>
      <c r="BU308" t="s">
        <v>182</v>
      </c>
      <c r="BV308" t="s">
        <v>198</v>
      </c>
      <c r="BW308" t="s">
        <v>198</v>
      </c>
      <c r="BX308" t="s">
        <v>199</v>
      </c>
      <c r="BY308" t="s">
        <v>198</v>
      </c>
      <c r="BZ308" t="s">
        <v>199</v>
      </c>
      <c r="CA308" t="s">
        <v>199</v>
      </c>
      <c r="CB308" t="s">
        <v>4717</v>
      </c>
      <c r="CC308" t="s">
        <v>201</v>
      </c>
      <c r="CD308" t="s">
        <v>202</v>
      </c>
      <c r="CE308" t="s">
        <v>4718</v>
      </c>
      <c r="CF308" t="s">
        <v>425</v>
      </c>
      <c r="CG308" t="s">
        <v>177</v>
      </c>
      <c r="CH308" t="s">
        <v>421</v>
      </c>
      <c r="CI308" t="s">
        <v>2607</v>
      </c>
      <c r="CS308" t="s">
        <v>198</v>
      </c>
      <c r="DC308" t="s">
        <v>198</v>
      </c>
      <c r="DM308" t="s">
        <v>198</v>
      </c>
      <c r="DW308" t="s">
        <v>198</v>
      </c>
      <c r="EG308" t="s">
        <v>198</v>
      </c>
      <c r="EQ308" t="s">
        <v>198</v>
      </c>
      <c r="FA308" t="s">
        <v>198</v>
      </c>
      <c r="FK308" t="s">
        <v>198</v>
      </c>
      <c r="FU308" t="s">
        <v>198</v>
      </c>
    </row>
    <row r="309" spans="1:177">
      <c r="A309" s="1" t="str">
        <f>HYPERLINK("http://digipan.lumentumllc.com/apps/getLink/index.php?t=PropLink&amp;p=5244887","PL")</f>
        <v>PL</v>
      </c>
      <c r="B309" s="1" t="str">
        <f>HYPERLINK("http://digipan.lumentumllc.com/apps/getLink/index.php?t=TaxLink&amp;p=5244887","TL")</f>
        <v>TL</v>
      </c>
      <c r="C309" s="1" t="str">
        <f>HYPERLINK("http://digipan.lumentumllc.com/apps/getMap/index.php?p=5244887","Map")</f>
        <v>Map</v>
      </c>
      <c r="E309" t="s">
        <v>177</v>
      </c>
      <c r="F309" t="s">
        <v>178</v>
      </c>
      <c r="L309" t="s">
        <v>4719</v>
      </c>
      <c r="N309" t="s">
        <v>4719</v>
      </c>
      <c r="O309" t="s">
        <v>4719</v>
      </c>
      <c r="P309" t="s">
        <v>4720</v>
      </c>
      <c r="Q309" t="s">
        <v>4719</v>
      </c>
      <c r="V309">
        <v>356</v>
      </c>
      <c r="W309">
        <v>2</v>
      </c>
      <c r="X309">
        <v>2017</v>
      </c>
      <c r="Y309">
        <v>2018</v>
      </c>
      <c r="Z309">
        <v>451.84</v>
      </c>
      <c r="AB309" t="s">
        <v>181</v>
      </c>
      <c r="AC309" t="s">
        <v>182</v>
      </c>
      <c r="AD309" t="s">
        <v>183</v>
      </c>
      <c r="AE309">
        <v>1</v>
      </c>
      <c r="AF309">
        <v>7</v>
      </c>
      <c r="AG309" t="s">
        <v>418</v>
      </c>
      <c r="AH309">
        <v>86</v>
      </c>
      <c r="AI309">
        <v>409.65</v>
      </c>
      <c r="AJ309">
        <v>20.48</v>
      </c>
      <c r="AK309">
        <v>430.13</v>
      </c>
      <c r="AL309">
        <v>57302</v>
      </c>
      <c r="AM309">
        <v>30480</v>
      </c>
      <c r="AN309">
        <v>26822</v>
      </c>
      <c r="AO309">
        <v>354</v>
      </c>
      <c r="AP309">
        <v>2016</v>
      </c>
      <c r="AQ309">
        <v>0.79</v>
      </c>
      <c r="AR309">
        <v>0.75</v>
      </c>
      <c r="AS309" t="s">
        <v>4721</v>
      </c>
      <c r="AT309" t="s">
        <v>420</v>
      </c>
      <c r="AU309" t="s">
        <v>177</v>
      </c>
      <c r="AV309" t="s">
        <v>421</v>
      </c>
      <c r="AW309" t="s">
        <v>202</v>
      </c>
      <c r="AX309">
        <v>1</v>
      </c>
      <c r="AY309" t="s">
        <v>188</v>
      </c>
      <c r="AZ309" t="s">
        <v>206</v>
      </c>
      <c r="BA309" t="s">
        <v>355</v>
      </c>
      <c r="BB309" t="s">
        <v>191</v>
      </c>
      <c r="BC309" t="s">
        <v>182</v>
      </c>
      <c r="BD309" t="s">
        <v>182</v>
      </c>
      <c r="BE309" t="s">
        <v>4722</v>
      </c>
      <c r="BF309">
        <v>1</v>
      </c>
      <c r="BG309">
        <v>1</v>
      </c>
      <c r="BH309">
        <v>1989</v>
      </c>
      <c r="BI309" t="s">
        <v>4723</v>
      </c>
      <c r="BJ309" t="s">
        <v>194</v>
      </c>
      <c r="BK309" t="s">
        <v>195</v>
      </c>
      <c r="BL309" t="s">
        <v>1331</v>
      </c>
      <c r="BM309" t="s">
        <v>4724</v>
      </c>
      <c r="BN309" t="s">
        <v>182</v>
      </c>
      <c r="BO309" t="s">
        <v>198</v>
      </c>
      <c r="BP309" t="s">
        <v>198</v>
      </c>
      <c r="BQ309" t="s">
        <v>198</v>
      </c>
      <c r="BR309" t="s">
        <v>198</v>
      </c>
      <c r="BS309" t="s">
        <v>198</v>
      </c>
      <c r="BT309" t="s">
        <v>198</v>
      </c>
      <c r="BU309" t="s">
        <v>182</v>
      </c>
      <c r="BV309" t="s">
        <v>198</v>
      </c>
      <c r="BW309" t="s">
        <v>198</v>
      </c>
      <c r="BX309" t="s">
        <v>199</v>
      </c>
      <c r="BY309" t="s">
        <v>198</v>
      </c>
      <c r="BZ309" t="s">
        <v>199</v>
      </c>
      <c r="CA309" t="s">
        <v>199</v>
      </c>
      <c r="CB309" t="s">
        <v>4725</v>
      </c>
      <c r="CC309" t="s">
        <v>201</v>
      </c>
      <c r="CD309" t="s">
        <v>182</v>
      </c>
      <c r="CE309" t="s">
        <v>4726</v>
      </c>
      <c r="CF309" t="s">
        <v>425</v>
      </c>
      <c r="CG309" t="s">
        <v>177</v>
      </c>
      <c r="CH309" t="s">
        <v>421</v>
      </c>
      <c r="CI309" t="s">
        <v>1127</v>
      </c>
      <c r="CJ309" t="s">
        <v>4727</v>
      </c>
      <c r="CK309" t="s">
        <v>232</v>
      </c>
      <c r="CL309" t="s">
        <v>233</v>
      </c>
      <c r="CM309" t="s">
        <v>4728</v>
      </c>
      <c r="CN309" t="s">
        <v>235</v>
      </c>
      <c r="CO309" t="s">
        <v>183</v>
      </c>
      <c r="CP309" t="s">
        <v>266</v>
      </c>
      <c r="CS309" t="s">
        <v>198</v>
      </c>
      <c r="CT309" t="s">
        <v>2953</v>
      </c>
      <c r="CU309" t="s">
        <v>292</v>
      </c>
      <c r="CV309" t="s">
        <v>293</v>
      </c>
      <c r="CW309" t="s">
        <v>4729</v>
      </c>
      <c r="CX309" t="s">
        <v>235</v>
      </c>
      <c r="CY309" t="s">
        <v>183</v>
      </c>
      <c r="CZ309" t="s">
        <v>211</v>
      </c>
      <c r="DA309" t="s">
        <v>487</v>
      </c>
      <c r="DC309" t="s">
        <v>4730</v>
      </c>
      <c r="DD309" t="s">
        <v>2953</v>
      </c>
      <c r="DE309" t="s">
        <v>267</v>
      </c>
      <c r="DF309" t="s">
        <v>268</v>
      </c>
      <c r="DG309" t="s">
        <v>4731</v>
      </c>
      <c r="DH309" t="s">
        <v>235</v>
      </c>
      <c r="DI309" t="s">
        <v>183</v>
      </c>
      <c r="DJ309" t="s">
        <v>211</v>
      </c>
      <c r="DK309" t="s">
        <v>270</v>
      </c>
      <c r="DM309" t="s">
        <v>4732</v>
      </c>
      <c r="DN309" t="s">
        <v>3030</v>
      </c>
      <c r="DO309" t="s">
        <v>273</v>
      </c>
      <c r="DP309" t="s">
        <v>274</v>
      </c>
      <c r="DQ309" t="s">
        <v>4733</v>
      </c>
      <c r="DR309" t="s">
        <v>235</v>
      </c>
      <c r="DS309" t="s">
        <v>183</v>
      </c>
      <c r="DT309" t="s">
        <v>211</v>
      </c>
      <c r="DU309" t="s">
        <v>306</v>
      </c>
      <c r="DW309" t="s">
        <v>4734</v>
      </c>
      <c r="DX309" t="s">
        <v>3296</v>
      </c>
      <c r="DY309" t="s">
        <v>302</v>
      </c>
      <c r="DZ309" t="s">
        <v>303</v>
      </c>
      <c r="EA309" t="s">
        <v>4735</v>
      </c>
      <c r="EB309" t="s">
        <v>235</v>
      </c>
      <c r="EC309" t="s">
        <v>183</v>
      </c>
      <c r="ED309" t="s">
        <v>211</v>
      </c>
      <c r="EE309" t="s">
        <v>189</v>
      </c>
      <c r="EG309" t="s">
        <v>1864</v>
      </c>
      <c r="EH309" t="s">
        <v>4736</v>
      </c>
      <c r="EI309" t="s">
        <v>238</v>
      </c>
      <c r="EJ309" t="s">
        <v>239</v>
      </c>
      <c r="EK309" t="s">
        <v>4737</v>
      </c>
      <c r="EL309" t="s">
        <v>235</v>
      </c>
      <c r="EM309" t="s">
        <v>183</v>
      </c>
      <c r="EN309" t="s">
        <v>211</v>
      </c>
      <c r="EO309" t="s">
        <v>460</v>
      </c>
      <c r="EQ309" t="s">
        <v>1864</v>
      </c>
      <c r="ER309" t="s">
        <v>4738</v>
      </c>
      <c r="ES309" t="s">
        <v>346</v>
      </c>
      <c r="ET309" t="s">
        <v>347</v>
      </c>
      <c r="EU309" t="s">
        <v>4739</v>
      </c>
      <c r="EV309" t="s">
        <v>1966</v>
      </c>
      <c r="EW309" t="s">
        <v>183</v>
      </c>
      <c r="EX309" t="s">
        <v>211</v>
      </c>
      <c r="EY309" t="s">
        <v>250</v>
      </c>
      <c r="FA309" t="s">
        <v>4740</v>
      </c>
      <c r="FB309" t="s">
        <v>4653</v>
      </c>
      <c r="FC309" t="s">
        <v>207</v>
      </c>
      <c r="FD309" t="s">
        <v>208</v>
      </c>
      <c r="FE309" t="s">
        <v>4741</v>
      </c>
      <c r="FF309" t="s">
        <v>469</v>
      </c>
      <c r="FG309" t="s">
        <v>183</v>
      </c>
      <c r="FH309" t="s">
        <v>211</v>
      </c>
      <c r="FI309" t="s">
        <v>487</v>
      </c>
      <c r="FK309" t="s">
        <v>4740</v>
      </c>
      <c r="FU309" t="s">
        <v>198</v>
      </c>
    </row>
    <row r="310" spans="1:177">
      <c r="A310" s="1" t="str">
        <f>HYPERLINK("http://digipan.lumentumllc.com/apps/getLink/index.php?t=PropLink&amp;p=15739501","PL")</f>
        <v>PL</v>
      </c>
      <c r="B310" s="1" t="str">
        <f>HYPERLINK("http://digipan.lumentumllc.com/apps/getLink/index.php?t=TaxLink&amp;p=15739501","TL")</f>
        <v>TL</v>
      </c>
      <c r="C310" s="1" t="str">
        <f>HYPERLINK("http://digipan.lumentumllc.com/apps/getMap/index.php?p=15739501","Map")</f>
        <v>Map</v>
      </c>
      <c r="E310" t="s">
        <v>177</v>
      </c>
      <c r="F310" t="s">
        <v>178</v>
      </c>
      <c r="L310" t="s">
        <v>4742</v>
      </c>
      <c r="N310" t="s">
        <v>4742</v>
      </c>
      <c r="O310" t="s">
        <v>4742</v>
      </c>
      <c r="Q310" t="s">
        <v>4742</v>
      </c>
      <c r="V310">
        <v>357</v>
      </c>
      <c r="W310">
        <v>2</v>
      </c>
      <c r="X310">
        <v>2017</v>
      </c>
      <c r="Y310">
        <v>2018</v>
      </c>
      <c r="Z310">
        <v>718.84</v>
      </c>
      <c r="AG310" t="s">
        <v>184</v>
      </c>
      <c r="AH310">
        <v>0</v>
      </c>
      <c r="AK310">
        <v>0</v>
      </c>
      <c r="AL310">
        <v>81419</v>
      </c>
      <c r="AM310">
        <v>12187</v>
      </c>
      <c r="AN310">
        <v>69232</v>
      </c>
      <c r="AO310">
        <v>621</v>
      </c>
      <c r="AP310">
        <v>2016</v>
      </c>
      <c r="AQ310">
        <v>0.88</v>
      </c>
      <c r="AS310" t="s">
        <v>4743</v>
      </c>
      <c r="AT310" t="s">
        <v>420</v>
      </c>
      <c r="AU310" t="s">
        <v>177</v>
      </c>
      <c r="AV310" t="s">
        <v>421</v>
      </c>
      <c r="AW310" t="s">
        <v>202</v>
      </c>
      <c r="AX310">
        <v>1</v>
      </c>
      <c r="AY310" t="s">
        <v>188</v>
      </c>
      <c r="AZ310" t="s">
        <v>206</v>
      </c>
      <c r="BA310" t="s">
        <v>355</v>
      </c>
      <c r="BB310" t="s">
        <v>191</v>
      </c>
      <c r="BC310" t="s">
        <v>182</v>
      </c>
      <c r="BD310" t="s">
        <v>182</v>
      </c>
      <c r="BE310" t="s">
        <v>4744</v>
      </c>
      <c r="BF310">
        <v>1</v>
      </c>
      <c r="BG310">
        <v>1</v>
      </c>
      <c r="BH310">
        <v>1986</v>
      </c>
      <c r="BI310" t="s">
        <v>4745</v>
      </c>
      <c r="BJ310" t="s">
        <v>315</v>
      </c>
      <c r="BK310" t="s">
        <v>195</v>
      </c>
      <c r="BL310" t="s">
        <v>1753</v>
      </c>
      <c r="BM310" t="s">
        <v>292</v>
      </c>
      <c r="BN310" t="s">
        <v>182</v>
      </c>
      <c r="BO310" t="s">
        <v>4746</v>
      </c>
      <c r="BP310" t="s">
        <v>4747</v>
      </c>
      <c r="BQ310" t="s">
        <v>1520</v>
      </c>
      <c r="BR310" t="s">
        <v>563</v>
      </c>
      <c r="BS310" t="s">
        <v>198</v>
      </c>
      <c r="BT310" t="s">
        <v>4748</v>
      </c>
      <c r="BU310" t="s">
        <v>182</v>
      </c>
      <c r="BV310" t="s">
        <v>198</v>
      </c>
      <c r="BW310" t="s">
        <v>198</v>
      </c>
      <c r="BX310" t="s">
        <v>199</v>
      </c>
      <c r="BY310" t="s">
        <v>198</v>
      </c>
      <c r="BZ310" t="s">
        <v>199</v>
      </c>
      <c r="CA310" t="s">
        <v>199</v>
      </c>
      <c r="CB310" t="s">
        <v>4749</v>
      </c>
      <c r="CC310" t="s">
        <v>201</v>
      </c>
      <c r="CD310" t="s">
        <v>182</v>
      </c>
      <c r="CE310" t="s">
        <v>4750</v>
      </c>
      <c r="CF310" t="s">
        <v>425</v>
      </c>
      <c r="CG310" t="s">
        <v>177</v>
      </c>
      <c r="CH310" t="s">
        <v>421</v>
      </c>
      <c r="CI310" t="s">
        <v>4751</v>
      </c>
      <c r="CS310" t="s">
        <v>198</v>
      </c>
      <c r="DC310" t="s">
        <v>198</v>
      </c>
      <c r="DM310" t="s">
        <v>198</v>
      </c>
      <c r="DW310" t="s">
        <v>198</v>
      </c>
      <c r="EG310" t="s">
        <v>198</v>
      </c>
      <c r="EQ310" t="s">
        <v>198</v>
      </c>
      <c r="FA310" t="s">
        <v>198</v>
      </c>
      <c r="FK310" t="s">
        <v>198</v>
      </c>
      <c r="FU310" t="s">
        <v>198</v>
      </c>
    </row>
    <row r="311" spans="1:177">
      <c r="A311" s="1" t="str">
        <f>HYPERLINK("http://digipan.lumentumllc.com/apps/getLink/index.php?t=PropLink&amp;p=5245019","PL")</f>
        <v>PL</v>
      </c>
      <c r="B311" s="1" t="str">
        <f>HYPERLINK("http://digipan.lumentumllc.com/apps/getLink/index.php?t=TaxLink&amp;p=5245019","TL")</f>
        <v>TL</v>
      </c>
      <c r="C311" s="1" t="str">
        <f>HYPERLINK("http://digipan.lumentumllc.com/apps/getMap/index.php?p=5245019","Map")</f>
        <v>Map</v>
      </c>
      <c r="E311" t="s">
        <v>177</v>
      </c>
      <c r="F311" t="s">
        <v>178</v>
      </c>
      <c r="L311" t="s">
        <v>4752</v>
      </c>
      <c r="N311" t="s">
        <v>4752</v>
      </c>
      <c r="O311" t="s">
        <v>4752</v>
      </c>
      <c r="P311" t="s">
        <v>4753</v>
      </c>
      <c r="Q311" t="s">
        <v>4752</v>
      </c>
      <c r="V311">
        <v>358</v>
      </c>
      <c r="W311">
        <v>2</v>
      </c>
      <c r="X311">
        <v>2017</v>
      </c>
      <c r="Y311">
        <v>2018</v>
      </c>
      <c r="Z311">
        <v>3095.13</v>
      </c>
      <c r="AB311" t="s">
        <v>181</v>
      </c>
      <c r="AC311" t="s">
        <v>182</v>
      </c>
      <c r="AD311" t="s">
        <v>183</v>
      </c>
      <c r="AE311">
        <v>1</v>
      </c>
      <c r="AF311">
        <v>7</v>
      </c>
      <c r="AG311" t="s">
        <v>418</v>
      </c>
      <c r="AH311">
        <v>86</v>
      </c>
      <c r="AI311">
        <v>2992</v>
      </c>
      <c r="AJ311">
        <v>149.6</v>
      </c>
      <c r="AK311">
        <v>3141.6</v>
      </c>
      <c r="AL311">
        <v>234249</v>
      </c>
      <c r="AM311">
        <v>79785</v>
      </c>
      <c r="AN311">
        <v>154464</v>
      </c>
      <c r="AO311">
        <v>2742</v>
      </c>
      <c r="AP311">
        <v>2016</v>
      </c>
      <c r="AQ311">
        <v>1.32</v>
      </c>
      <c r="AR311">
        <v>1.34</v>
      </c>
      <c r="AS311" t="s">
        <v>4754</v>
      </c>
      <c r="AT311" t="s">
        <v>420</v>
      </c>
      <c r="AU311" t="s">
        <v>177</v>
      </c>
      <c r="AV311" t="s">
        <v>421</v>
      </c>
      <c r="AW311" t="s">
        <v>202</v>
      </c>
      <c r="AX311">
        <v>1</v>
      </c>
      <c r="AY311" t="s">
        <v>188</v>
      </c>
      <c r="AZ311" t="s">
        <v>206</v>
      </c>
      <c r="BA311" t="s">
        <v>355</v>
      </c>
      <c r="BB311" t="s">
        <v>191</v>
      </c>
      <c r="BC311" t="s">
        <v>182</v>
      </c>
      <c r="BD311" t="s">
        <v>182</v>
      </c>
      <c r="BE311" t="s">
        <v>4755</v>
      </c>
      <c r="BF311">
        <v>3</v>
      </c>
      <c r="BG311">
        <v>3</v>
      </c>
      <c r="BH311">
        <v>1958</v>
      </c>
      <c r="BI311" t="s">
        <v>4756</v>
      </c>
      <c r="BJ311" t="s">
        <v>194</v>
      </c>
      <c r="BK311" t="s">
        <v>195</v>
      </c>
      <c r="BL311" t="s">
        <v>199</v>
      </c>
      <c r="BM311" t="s">
        <v>2582</v>
      </c>
      <c r="BN311" t="s">
        <v>182</v>
      </c>
      <c r="BO311" t="s">
        <v>198</v>
      </c>
      <c r="BP311" t="s">
        <v>198</v>
      </c>
      <c r="BQ311" t="s">
        <v>198</v>
      </c>
      <c r="BR311" t="s">
        <v>198</v>
      </c>
      <c r="BS311" t="s">
        <v>198</v>
      </c>
      <c r="BT311" t="s">
        <v>198</v>
      </c>
      <c r="BU311" t="s">
        <v>182</v>
      </c>
      <c r="BV311" t="s">
        <v>198</v>
      </c>
      <c r="BW311" t="s">
        <v>198</v>
      </c>
      <c r="BX311" t="s">
        <v>199</v>
      </c>
      <c r="BY311" t="s">
        <v>198</v>
      </c>
      <c r="BZ311" t="s">
        <v>199</v>
      </c>
      <c r="CA311" t="s">
        <v>199</v>
      </c>
      <c r="CB311" t="s">
        <v>4757</v>
      </c>
      <c r="CC311" t="s">
        <v>201</v>
      </c>
      <c r="CD311" t="s">
        <v>202</v>
      </c>
      <c r="CE311" t="s">
        <v>4758</v>
      </c>
      <c r="CF311" t="s">
        <v>425</v>
      </c>
      <c r="CG311" t="s">
        <v>177</v>
      </c>
      <c r="CH311" t="s">
        <v>421</v>
      </c>
      <c r="CI311" t="s">
        <v>4759</v>
      </c>
      <c r="CJ311" t="s">
        <v>4760</v>
      </c>
      <c r="CK311" t="s">
        <v>232</v>
      </c>
      <c r="CL311" t="s">
        <v>233</v>
      </c>
      <c r="CM311" t="s">
        <v>4761</v>
      </c>
      <c r="CN311" t="s">
        <v>235</v>
      </c>
      <c r="CO311" t="s">
        <v>183</v>
      </c>
      <c r="CP311" t="s">
        <v>266</v>
      </c>
      <c r="CS311" t="s">
        <v>198</v>
      </c>
      <c r="CT311" t="s">
        <v>4626</v>
      </c>
      <c r="CU311" t="s">
        <v>292</v>
      </c>
      <c r="CV311" t="s">
        <v>293</v>
      </c>
      <c r="CW311" t="s">
        <v>4762</v>
      </c>
      <c r="CX311" t="s">
        <v>235</v>
      </c>
      <c r="CY311" t="s">
        <v>183</v>
      </c>
      <c r="CZ311" t="s">
        <v>211</v>
      </c>
      <c r="DA311" t="s">
        <v>298</v>
      </c>
      <c r="DC311" t="s">
        <v>1066</v>
      </c>
      <c r="DD311" t="s">
        <v>4371</v>
      </c>
      <c r="DE311" t="s">
        <v>267</v>
      </c>
      <c r="DF311" t="s">
        <v>268</v>
      </c>
      <c r="DG311" t="s">
        <v>4763</v>
      </c>
      <c r="DH311" t="s">
        <v>235</v>
      </c>
      <c r="DI311" t="s">
        <v>183</v>
      </c>
      <c r="DJ311" t="s">
        <v>211</v>
      </c>
      <c r="DK311" t="s">
        <v>298</v>
      </c>
      <c r="DM311" t="s">
        <v>2096</v>
      </c>
      <c r="DN311" t="s">
        <v>4764</v>
      </c>
      <c r="DO311" t="s">
        <v>273</v>
      </c>
      <c r="DP311" t="s">
        <v>274</v>
      </c>
      <c r="DQ311" t="s">
        <v>4765</v>
      </c>
      <c r="DR311" t="s">
        <v>235</v>
      </c>
      <c r="DS311" t="s">
        <v>183</v>
      </c>
      <c r="DT311" t="s">
        <v>211</v>
      </c>
      <c r="DU311" t="s">
        <v>298</v>
      </c>
      <c r="DW311" t="s">
        <v>462</v>
      </c>
      <c r="DX311" t="s">
        <v>3504</v>
      </c>
      <c r="DY311" t="s">
        <v>302</v>
      </c>
      <c r="DZ311" t="s">
        <v>303</v>
      </c>
      <c r="EA311" t="s">
        <v>4766</v>
      </c>
      <c r="EB311" t="s">
        <v>235</v>
      </c>
      <c r="EC311" t="s">
        <v>183</v>
      </c>
      <c r="ED311" t="s">
        <v>211</v>
      </c>
      <c r="EE311" t="s">
        <v>298</v>
      </c>
      <c r="EG311" t="s">
        <v>437</v>
      </c>
      <c r="EH311" t="s">
        <v>4767</v>
      </c>
      <c r="EI311" t="s">
        <v>238</v>
      </c>
      <c r="EJ311" t="s">
        <v>239</v>
      </c>
      <c r="EK311" t="s">
        <v>4768</v>
      </c>
      <c r="EL311" t="s">
        <v>235</v>
      </c>
      <c r="EM311" t="s">
        <v>183</v>
      </c>
      <c r="EN311" t="s">
        <v>211</v>
      </c>
      <c r="EO311" t="s">
        <v>298</v>
      </c>
      <c r="EQ311" t="s">
        <v>467</v>
      </c>
      <c r="ER311" t="s">
        <v>4769</v>
      </c>
      <c r="ES311" t="s">
        <v>346</v>
      </c>
      <c r="ET311" t="s">
        <v>347</v>
      </c>
      <c r="EU311" t="s">
        <v>4770</v>
      </c>
      <c r="EV311" t="s">
        <v>235</v>
      </c>
      <c r="EW311" t="s">
        <v>183</v>
      </c>
      <c r="EX311" t="s">
        <v>211</v>
      </c>
      <c r="EY311" t="s">
        <v>298</v>
      </c>
      <c r="FA311" t="s">
        <v>470</v>
      </c>
      <c r="FB311" t="s">
        <v>4662</v>
      </c>
      <c r="FC311" t="s">
        <v>207</v>
      </c>
      <c r="FD311" t="s">
        <v>208</v>
      </c>
      <c r="FE311" t="s">
        <v>4771</v>
      </c>
      <c r="FF311" t="s">
        <v>235</v>
      </c>
      <c r="FG311" t="s">
        <v>183</v>
      </c>
      <c r="FH311" t="s">
        <v>211</v>
      </c>
      <c r="FI311" t="s">
        <v>298</v>
      </c>
      <c r="FK311" t="s">
        <v>4772</v>
      </c>
      <c r="FU311" t="s">
        <v>198</v>
      </c>
    </row>
    <row r="312" spans="1:177">
      <c r="A312" s="1" t="str">
        <f>HYPERLINK("http://digipan.lumentumllc.com/apps/getLink/index.php?t=PropLink&amp;p=5245020","PL")</f>
        <v>PL</v>
      </c>
      <c r="B312" s="1" t="str">
        <f>HYPERLINK("http://digipan.lumentumllc.com/apps/getLink/index.php?t=TaxLink&amp;p=5245020","TL")</f>
        <v>TL</v>
      </c>
      <c r="C312" s="1" t="str">
        <f>HYPERLINK("http://digipan.lumentumllc.com/apps/getMap/index.php?p=5245020","Map")</f>
        <v>Map</v>
      </c>
      <c r="E312" t="s">
        <v>177</v>
      </c>
      <c r="F312" t="s">
        <v>178</v>
      </c>
      <c r="L312" t="s">
        <v>4773</v>
      </c>
      <c r="N312" t="s">
        <v>4773</v>
      </c>
      <c r="O312" t="s">
        <v>4773</v>
      </c>
      <c r="P312" t="s">
        <v>4774</v>
      </c>
      <c r="Q312" t="s">
        <v>4773</v>
      </c>
      <c r="V312">
        <v>359</v>
      </c>
      <c r="W312">
        <v>2</v>
      </c>
      <c r="X312">
        <v>2017</v>
      </c>
      <c r="Y312">
        <v>2018</v>
      </c>
      <c r="Z312">
        <v>1278.1099999999999</v>
      </c>
      <c r="AB312" t="s">
        <v>181</v>
      </c>
      <c r="AC312" t="s">
        <v>182</v>
      </c>
      <c r="AD312" t="s">
        <v>183</v>
      </c>
      <c r="AE312">
        <v>1</v>
      </c>
      <c r="AF312">
        <v>7</v>
      </c>
      <c r="AG312" t="s">
        <v>418</v>
      </c>
      <c r="AH312">
        <v>86</v>
      </c>
      <c r="AI312">
        <v>1243.6400000000001</v>
      </c>
      <c r="AJ312">
        <v>62.18</v>
      </c>
      <c r="AK312">
        <v>1305.82</v>
      </c>
      <c r="AL312">
        <v>76109</v>
      </c>
      <c r="AM312">
        <v>15000</v>
      </c>
      <c r="AN312">
        <v>61109</v>
      </c>
      <c r="AO312">
        <v>1125</v>
      </c>
      <c r="AP312">
        <v>2016</v>
      </c>
      <c r="AQ312">
        <v>1.68</v>
      </c>
      <c r="AR312">
        <v>1.72</v>
      </c>
      <c r="AS312" t="s">
        <v>4775</v>
      </c>
      <c r="AT312" t="s">
        <v>420</v>
      </c>
      <c r="AU312" t="s">
        <v>177</v>
      </c>
      <c r="AV312" t="s">
        <v>421</v>
      </c>
      <c r="AW312" t="s">
        <v>182</v>
      </c>
      <c r="AX312">
        <v>1</v>
      </c>
      <c r="AY312" t="s">
        <v>188</v>
      </c>
      <c r="AZ312" t="s">
        <v>206</v>
      </c>
      <c r="BA312" t="s">
        <v>355</v>
      </c>
      <c r="BB312" t="s">
        <v>191</v>
      </c>
      <c r="BC312" t="s">
        <v>182</v>
      </c>
      <c r="BD312" t="s">
        <v>182</v>
      </c>
      <c r="BE312" t="s">
        <v>383</v>
      </c>
      <c r="BF312">
        <v>1</v>
      </c>
      <c r="BG312">
        <v>1</v>
      </c>
      <c r="BH312">
        <v>1980</v>
      </c>
      <c r="BI312" t="s">
        <v>4776</v>
      </c>
      <c r="BJ312" t="s">
        <v>194</v>
      </c>
      <c r="BK312" t="s">
        <v>195</v>
      </c>
      <c r="BL312" t="s">
        <v>4647</v>
      </c>
      <c r="BM312" t="s">
        <v>1598</v>
      </c>
      <c r="BN312" t="s">
        <v>182</v>
      </c>
      <c r="BO312" t="s">
        <v>198</v>
      </c>
      <c r="BP312" t="s">
        <v>198</v>
      </c>
      <c r="BQ312" t="s">
        <v>198</v>
      </c>
      <c r="BR312" t="s">
        <v>198</v>
      </c>
      <c r="BS312" t="s">
        <v>198</v>
      </c>
      <c r="BT312" t="s">
        <v>198</v>
      </c>
      <c r="BU312" t="s">
        <v>182</v>
      </c>
      <c r="BV312" t="s">
        <v>198</v>
      </c>
      <c r="BW312" t="s">
        <v>198</v>
      </c>
      <c r="BX312" t="s">
        <v>199</v>
      </c>
      <c r="BY312" t="s">
        <v>198</v>
      </c>
      <c r="BZ312" t="s">
        <v>199</v>
      </c>
      <c r="CA312" t="s">
        <v>199</v>
      </c>
      <c r="CB312" t="s">
        <v>4777</v>
      </c>
      <c r="CC312" t="s">
        <v>201</v>
      </c>
      <c r="CD312" t="s">
        <v>202</v>
      </c>
      <c r="CE312" t="s">
        <v>2321</v>
      </c>
      <c r="CF312" t="s">
        <v>1029</v>
      </c>
      <c r="CG312" t="s">
        <v>177</v>
      </c>
      <c r="CH312" t="s">
        <v>1030</v>
      </c>
      <c r="CI312" t="s">
        <v>4778</v>
      </c>
      <c r="CJ312" t="s">
        <v>4779</v>
      </c>
      <c r="CK312" t="s">
        <v>232</v>
      </c>
      <c r="CL312" t="s">
        <v>233</v>
      </c>
      <c r="CM312" t="s">
        <v>4780</v>
      </c>
      <c r="CN312" t="s">
        <v>235</v>
      </c>
      <c r="CO312" t="s">
        <v>183</v>
      </c>
      <c r="CP312" t="s">
        <v>266</v>
      </c>
      <c r="CS312" t="s">
        <v>198</v>
      </c>
      <c r="CT312" t="s">
        <v>4345</v>
      </c>
      <c r="CU312" t="s">
        <v>292</v>
      </c>
      <c r="CV312" t="s">
        <v>293</v>
      </c>
      <c r="CW312" t="s">
        <v>4781</v>
      </c>
      <c r="CX312" t="s">
        <v>235</v>
      </c>
      <c r="CY312" t="s">
        <v>183</v>
      </c>
      <c r="CZ312" t="s">
        <v>211</v>
      </c>
      <c r="DA312" t="s">
        <v>250</v>
      </c>
      <c r="DC312" t="s">
        <v>4782</v>
      </c>
      <c r="DD312" t="s">
        <v>4661</v>
      </c>
      <c r="DE312" t="s">
        <v>267</v>
      </c>
      <c r="DF312" t="s">
        <v>268</v>
      </c>
      <c r="DG312" t="s">
        <v>4783</v>
      </c>
      <c r="DH312" t="s">
        <v>235</v>
      </c>
      <c r="DI312" t="s">
        <v>183</v>
      </c>
      <c r="DJ312" t="s">
        <v>211</v>
      </c>
      <c r="DK312" t="s">
        <v>487</v>
      </c>
      <c r="DM312" t="s">
        <v>4782</v>
      </c>
      <c r="DN312" t="s">
        <v>4784</v>
      </c>
      <c r="DO312" t="s">
        <v>273</v>
      </c>
      <c r="DP312" t="s">
        <v>274</v>
      </c>
      <c r="DQ312" t="s">
        <v>4785</v>
      </c>
      <c r="DR312" t="s">
        <v>235</v>
      </c>
      <c r="DS312" t="s">
        <v>183</v>
      </c>
      <c r="DT312" t="s">
        <v>211</v>
      </c>
      <c r="DU312" t="s">
        <v>296</v>
      </c>
      <c r="DW312" t="s">
        <v>4786</v>
      </c>
      <c r="DX312" t="s">
        <v>3522</v>
      </c>
      <c r="DY312" t="s">
        <v>302</v>
      </c>
      <c r="DZ312" t="s">
        <v>303</v>
      </c>
      <c r="EA312" t="s">
        <v>4787</v>
      </c>
      <c r="EB312" t="s">
        <v>235</v>
      </c>
      <c r="EC312" t="s">
        <v>183</v>
      </c>
      <c r="ED312" t="s">
        <v>211</v>
      </c>
      <c r="EE312" t="s">
        <v>444</v>
      </c>
      <c r="EG312" t="s">
        <v>4786</v>
      </c>
      <c r="EH312" t="s">
        <v>4788</v>
      </c>
      <c r="EI312" t="s">
        <v>238</v>
      </c>
      <c r="EJ312" t="s">
        <v>239</v>
      </c>
      <c r="EK312" t="s">
        <v>4789</v>
      </c>
      <c r="EL312" t="s">
        <v>688</v>
      </c>
      <c r="EM312" t="s">
        <v>183</v>
      </c>
      <c r="EN312" t="s">
        <v>211</v>
      </c>
      <c r="EO312" t="s">
        <v>635</v>
      </c>
      <c r="EQ312" t="s">
        <v>4786</v>
      </c>
      <c r="ER312" t="s">
        <v>4790</v>
      </c>
      <c r="ES312" t="s">
        <v>346</v>
      </c>
      <c r="ET312" t="s">
        <v>347</v>
      </c>
      <c r="EU312" t="s">
        <v>4791</v>
      </c>
      <c r="EV312" t="s">
        <v>927</v>
      </c>
      <c r="EW312" t="s">
        <v>183</v>
      </c>
      <c r="EX312" t="s">
        <v>211</v>
      </c>
      <c r="EY312" t="s">
        <v>487</v>
      </c>
      <c r="FA312" t="s">
        <v>2040</v>
      </c>
      <c r="FB312" t="s">
        <v>4675</v>
      </c>
      <c r="FC312" t="s">
        <v>207</v>
      </c>
      <c r="FD312" t="s">
        <v>208</v>
      </c>
      <c r="FE312" t="s">
        <v>4792</v>
      </c>
      <c r="FF312" t="s">
        <v>469</v>
      </c>
      <c r="FG312" t="s">
        <v>183</v>
      </c>
      <c r="FH312" t="s">
        <v>211</v>
      </c>
      <c r="FI312" t="s">
        <v>616</v>
      </c>
      <c r="FK312" t="s">
        <v>2040</v>
      </c>
      <c r="FU312" t="s">
        <v>198</v>
      </c>
    </row>
    <row r="313" spans="1:177">
      <c r="A313" s="1" t="str">
        <f>HYPERLINK("http://digipan.lumentumllc.com/apps/getLink/index.php?t=PropLink&amp;p=5245064","PL")</f>
        <v>PL</v>
      </c>
      <c r="B313" s="1" t="str">
        <f>HYPERLINK("http://digipan.lumentumllc.com/apps/getLink/index.php?t=TaxLink&amp;p=5245064","TL")</f>
        <v>TL</v>
      </c>
      <c r="C313" s="1" t="str">
        <f>HYPERLINK("http://digipan.lumentumllc.com/apps/getMap/index.php?p=5245064","Map")</f>
        <v>Map</v>
      </c>
      <c r="E313" t="s">
        <v>177</v>
      </c>
      <c r="F313" t="s">
        <v>178</v>
      </c>
      <c r="L313" t="s">
        <v>4793</v>
      </c>
      <c r="N313" t="s">
        <v>4793</v>
      </c>
      <c r="O313" t="s">
        <v>4793</v>
      </c>
      <c r="P313" t="s">
        <v>4794</v>
      </c>
      <c r="Q313" t="s">
        <v>4793</v>
      </c>
      <c r="V313">
        <v>361</v>
      </c>
      <c r="W313">
        <v>2</v>
      </c>
      <c r="X313">
        <v>2017</v>
      </c>
      <c r="Y313">
        <v>2018</v>
      </c>
      <c r="Z313">
        <v>563.27</v>
      </c>
      <c r="AB313" t="s">
        <v>181</v>
      </c>
      <c r="AC313" t="s">
        <v>202</v>
      </c>
      <c r="AD313" t="s">
        <v>183</v>
      </c>
      <c r="AE313">
        <v>0</v>
      </c>
      <c r="AF313">
        <v>4</v>
      </c>
      <c r="AG313" t="s">
        <v>381</v>
      </c>
      <c r="AH313">
        <v>100</v>
      </c>
      <c r="AK313">
        <v>0</v>
      </c>
      <c r="AL313">
        <v>35643</v>
      </c>
      <c r="AM313">
        <v>20400</v>
      </c>
      <c r="AN313">
        <v>15243</v>
      </c>
      <c r="AO313">
        <v>418</v>
      </c>
      <c r="AP313">
        <v>2016</v>
      </c>
      <c r="AQ313">
        <v>1.58</v>
      </c>
      <c r="AS313" t="s">
        <v>4795</v>
      </c>
      <c r="AT313" t="s">
        <v>420</v>
      </c>
      <c r="AU313" t="s">
        <v>177</v>
      </c>
      <c r="AV313" t="s">
        <v>421</v>
      </c>
      <c r="AW313" t="s">
        <v>182</v>
      </c>
      <c r="AX313">
        <v>0</v>
      </c>
      <c r="AY313" t="s">
        <v>312</v>
      </c>
      <c r="AZ313" t="s">
        <v>199</v>
      </c>
      <c r="BA313" t="s">
        <v>313</v>
      </c>
      <c r="BB313" t="s">
        <v>191</v>
      </c>
      <c r="BC313" t="s">
        <v>182</v>
      </c>
      <c r="BD313" t="s">
        <v>182</v>
      </c>
      <c r="BE313" t="s">
        <v>365</v>
      </c>
      <c r="BF313">
        <v>1</v>
      </c>
      <c r="BG313">
        <v>0</v>
      </c>
      <c r="BH313">
        <v>0</v>
      </c>
      <c r="BI313" t="s">
        <v>199</v>
      </c>
      <c r="BJ313" t="s">
        <v>248</v>
      </c>
      <c r="BL313" t="s">
        <v>199</v>
      </c>
      <c r="BM313" t="s">
        <v>1332</v>
      </c>
      <c r="BN313" t="s">
        <v>182</v>
      </c>
      <c r="BO313" t="s">
        <v>198</v>
      </c>
      <c r="BP313" t="s">
        <v>198</v>
      </c>
      <c r="BQ313" t="s">
        <v>198</v>
      </c>
      <c r="BR313" t="s">
        <v>198</v>
      </c>
      <c r="BS313" t="s">
        <v>198</v>
      </c>
      <c r="BT313" t="s">
        <v>198</v>
      </c>
      <c r="BU313" t="s">
        <v>182</v>
      </c>
      <c r="BV313" t="s">
        <v>198</v>
      </c>
      <c r="BW313" t="s">
        <v>198</v>
      </c>
      <c r="BX313" t="s">
        <v>199</v>
      </c>
      <c r="BY313" t="s">
        <v>198</v>
      </c>
      <c r="BZ313" t="s">
        <v>199</v>
      </c>
      <c r="CA313" t="s">
        <v>199</v>
      </c>
      <c r="CB313" t="s">
        <v>4796</v>
      </c>
      <c r="CC313" t="s">
        <v>201</v>
      </c>
      <c r="CD313" t="s">
        <v>182</v>
      </c>
      <c r="CE313" t="s">
        <v>4797</v>
      </c>
      <c r="CF313" t="s">
        <v>425</v>
      </c>
      <c r="CG313" t="s">
        <v>177</v>
      </c>
      <c r="CH313" t="s">
        <v>421</v>
      </c>
      <c r="CI313" t="s">
        <v>4798</v>
      </c>
      <c r="CJ313" t="s">
        <v>4399</v>
      </c>
      <c r="CK313" t="s">
        <v>292</v>
      </c>
      <c r="CL313" t="s">
        <v>293</v>
      </c>
      <c r="CM313" t="s">
        <v>4799</v>
      </c>
      <c r="CN313" t="s">
        <v>295</v>
      </c>
      <c r="CO313" t="s">
        <v>183</v>
      </c>
      <c r="CP313" t="s">
        <v>211</v>
      </c>
      <c r="CQ313" t="s">
        <v>270</v>
      </c>
      <c r="CR313" t="s">
        <v>271</v>
      </c>
      <c r="CS313" t="s">
        <v>4800</v>
      </c>
      <c r="CT313" t="s">
        <v>2997</v>
      </c>
      <c r="CU313" t="s">
        <v>267</v>
      </c>
      <c r="CV313" t="s">
        <v>268</v>
      </c>
      <c r="CW313" t="s">
        <v>4801</v>
      </c>
      <c r="CX313" t="s">
        <v>331</v>
      </c>
      <c r="CY313" t="s">
        <v>183</v>
      </c>
      <c r="CZ313" t="s">
        <v>211</v>
      </c>
      <c r="DB313" t="s">
        <v>271</v>
      </c>
      <c r="DC313" t="s">
        <v>198</v>
      </c>
      <c r="DD313" t="s">
        <v>4802</v>
      </c>
      <c r="DE313" t="s">
        <v>346</v>
      </c>
      <c r="DF313" t="s">
        <v>347</v>
      </c>
      <c r="DG313" t="s">
        <v>4803</v>
      </c>
      <c r="DH313" t="s">
        <v>576</v>
      </c>
      <c r="DI313" t="s">
        <v>183</v>
      </c>
      <c r="DJ313" t="s">
        <v>211</v>
      </c>
      <c r="DK313" t="s">
        <v>345</v>
      </c>
      <c r="DM313" t="s">
        <v>4804</v>
      </c>
      <c r="DN313" t="s">
        <v>4805</v>
      </c>
      <c r="DO313" t="s">
        <v>207</v>
      </c>
      <c r="DP313" t="s">
        <v>208</v>
      </c>
      <c r="DQ313" t="s">
        <v>4806</v>
      </c>
      <c r="DR313" t="s">
        <v>473</v>
      </c>
      <c r="DS313" t="s">
        <v>183</v>
      </c>
      <c r="DT313" t="s">
        <v>211</v>
      </c>
      <c r="DU313" t="s">
        <v>296</v>
      </c>
      <c r="DW313" t="s">
        <v>4807</v>
      </c>
      <c r="EG313" t="s">
        <v>198</v>
      </c>
      <c r="EQ313" t="s">
        <v>198</v>
      </c>
      <c r="FA313" t="s">
        <v>198</v>
      </c>
      <c r="FK313" t="s">
        <v>198</v>
      </c>
      <c r="FU313" t="s">
        <v>198</v>
      </c>
    </row>
    <row r="314" spans="1:177">
      <c r="A314" s="1" t="str">
        <f>HYPERLINK("http://digipan.lumentumllc.com/apps/getLink/index.php?t=PropLink&amp;p=15740580","PL")</f>
        <v>PL</v>
      </c>
      <c r="B314" s="1" t="str">
        <f>HYPERLINK("http://digipan.lumentumllc.com/apps/getLink/index.php?t=TaxLink&amp;p=15740580","TL")</f>
        <v>TL</v>
      </c>
      <c r="C314" s="1" t="str">
        <f>HYPERLINK("http://digipan.lumentumllc.com/apps/getMap/index.php?p=15740580","Map")</f>
        <v>Map</v>
      </c>
      <c r="E314" t="s">
        <v>177</v>
      </c>
      <c r="F314" t="s">
        <v>178</v>
      </c>
      <c r="L314" t="s">
        <v>4808</v>
      </c>
      <c r="N314" t="s">
        <v>4808</v>
      </c>
      <c r="O314" t="s">
        <v>4808</v>
      </c>
      <c r="Q314" t="s">
        <v>4808</v>
      </c>
      <c r="V314">
        <v>362</v>
      </c>
      <c r="W314">
        <v>2</v>
      </c>
      <c r="X314">
        <v>2017</v>
      </c>
      <c r="Y314">
        <v>2018</v>
      </c>
      <c r="Z314">
        <v>1180.98</v>
      </c>
      <c r="AG314" t="s">
        <v>184</v>
      </c>
      <c r="AH314">
        <v>0</v>
      </c>
      <c r="AK314">
        <v>0</v>
      </c>
      <c r="AL314">
        <v>70177</v>
      </c>
      <c r="AM314">
        <v>31280</v>
      </c>
      <c r="AN314">
        <v>38897</v>
      </c>
      <c r="AO314">
        <v>1070</v>
      </c>
      <c r="AP314">
        <v>2016</v>
      </c>
      <c r="AQ314">
        <v>1.68</v>
      </c>
      <c r="AS314" t="s">
        <v>4809</v>
      </c>
      <c r="AT314" t="s">
        <v>420</v>
      </c>
      <c r="AU314" t="s">
        <v>177</v>
      </c>
      <c r="AV314" t="s">
        <v>421</v>
      </c>
      <c r="AW314" t="s">
        <v>182</v>
      </c>
      <c r="AX314">
        <v>1</v>
      </c>
      <c r="AY314" t="s">
        <v>188</v>
      </c>
      <c r="AZ314" t="s">
        <v>206</v>
      </c>
      <c r="BA314" t="s">
        <v>355</v>
      </c>
      <c r="BB314" t="s">
        <v>191</v>
      </c>
      <c r="BC314" t="s">
        <v>182</v>
      </c>
      <c r="BD314" t="s">
        <v>182</v>
      </c>
      <c r="BE314" t="s">
        <v>4810</v>
      </c>
      <c r="BF314">
        <v>1</v>
      </c>
      <c r="BG314">
        <v>1</v>
      </c>
      <c r="BH314">
        <v>2006</v>
      </c>
      <c r="BI314" t="s">
        <v>4811</v>
      </c>
      <c r="BJ314" t="s">
        <v>396</v>
      </c>
      <c r="BK314" t="s">
        <v>195</v>
      </c>
      <c r="BL314" t="s">
        <v>4812</v>
      </c>
      <c r="BM314" t="s">
        <v>232</v>
      </c>
      <c r="BN314" t="s">
        <v>182</v>
      </c>
      <c r="BO314" t="s">
        <v>4813</v>
      </c>
      <c r="BP314" t="s">
        <v>4814</v>
      </c>
      <c r="BQ314" t="s">
        <v>562</v>
      </c>
      <c r="BR314" t="s">
        <v>1857</v>
      </c>
      <c r="BS314" t="s">
        <v>198</v>
      </c>
      <c r="BT314" t="s">
        <v>4815</v>
      </c>
      <c r="BU314" t="s">
        <v>182</v>
      </c>
      <c r="BV314" t="s">
        <v>198</v>
      </c>
      <c r="BW314" t="s">
        <v>198</v>
      </c>
      <c r="BX314" t="s">
        <v>199</v>
      </c>
      <c r="BY314" t="s">
        <v>198</v>
      </c>
      <c r="BZ314" t="s">
        <v>199</v>
      </c>
      <c r="CA314" t="s">
        <v>199</v>
      </c>
      <c r="CB314" t="s">
        <v>4816</v>
      </c>
      <c r="CC314" t="s">
        <v>201</v>
      </c>
      <c r="CD314" t="s">
        <v>202</v>
      </c>
      <c r="CE314" t="s">
        <v>4817</v>
      </c>
      <c r="CF314" t="s">
        <v>425</v>
      </c>
      <c r="CG314" t="s">
        <v>177</v>
      </c>
      <c r="CH314" t="s">
        <v>421</v>
      </c>
      <c r="CI314" t="s">
        <v>4798</v>
      </c>
      <c r="CS314" t="s">
        <v>198</v>
      </c>
      <c r="DC314" t="s">
        <v>198</v>
      </c>
      <c r="DM314" t="s">
        <v>198</v>
      </c>
      <c r="DW314" t="s">
        <v>198</v>
      </c>
      <c r="EG314" t="s">
        <v>198</v>
      </c>
      <c r="EQ314" t="s">
        <v>198</v>
      </c>
      <c r="FA314" t="s">
        <v>198</v>
      </c>
      <c r="FK314" t="s">
        <v>198</v>
      </c>
      <c r="FU314" t="s">
        <v>198</v>
      </c>
    </row>
    <row r="315" spans="1:177">
      <c r="A315" s="1" t="str">
        <f>HYPERLINK("http://digipan.lumentumllc.com/apps/getLink/index.php?t=PropLink&amp;p=5245066","PL")</f>
        <v>PL</v>
      </c>
      <c r="B315" s="1" t="str">
        <f>HYPERLINK("http://digipan.lumentumllc.com/apps/getLink/index.php?t=TaxLink&amp;p=5245066","TL")</f>
        <v>TL</v>
      </c>
      <c r="C315" s="1" t="str">
        <f>HYPERLINK("http://digipan.lumentumllc.com/apps/getMap/index.php?p=5245066","Map")</f>
        <v>Map</v>
      </c>
      <c r="E315" t="s">
        <v>177</v>
      </c>
      <c r="F315" t="s">
        <v>178</v>
      </c>
      <c r="L315" t="s">
        <v>4818</v>
      </c>
      <c r="N315" t="s">
        <v>4818</v>
      </c>
      <c r="O315" t="s">
        <v>4818</v>
      </c>
      <c r="P315" t="s">
        <v>4819</v>
      </c>
      <c r="Q315" t="s">
        <v>4818</v>
      </c>
      <c r="V315">
        <v>363</v>
      </c>
      <c r="W315">
        <v>2</v>
      </c>
      <c r="X315">
        <v>2017</v>
      </c>
      <c r="Y315">
        <v>2018</v>
      </c>
      <c r="Z315">
        <v>1233.8900000000001</v>
      </c>
      <c r="AB315" t="s">
        <v>181</v>
      </c>
      <c r="AC315" t="s">
        <v>202</v>
      </c>
      <c r="AD315" t="s">
        <v>183</v>
      </c>
      <c r="AE315">
        <v>2</v>
      </c>
      <c r="AF315">
        <v>4</v>
      </c>
      <c r="AG315" t="s">
        <v>282</v>
      </c>
      <c r="AH315">
        <v>67</v>
      </c>
      <c r="AI315">
        <v>2436.17</v>
      </c>
      <c r="AJ315">
        <v>121.81</v>
      </c>
      <c r="AK315">
        <v>2557.98</v>
      </c>
      <c r="AL315">
        <v>123183</v>
      </c>
      <c r="AM315">
        <v>47280</v>
      </c>
      <c r="AN315">
        <v>75903</v>
      </c>
      <c r="AO315">
        <v>1094</v>
      </c>
      <c r="AP315">
        <v>2016</v>
      </c>
      <c r="AQ315">
        <v>1</v>
      </c>
      <c r="AR315">
        <v>2.08</v>
      </c>
      <c r="AS315" t="s">
        <v>4820</v>
      </c>
      <c r="AT315" t="s">
        <v>420</v>
      </c>
      <c r="AU315" t="s">
        <v>177</v>
      </c>
      <c r="AV315" t="s">
        <v>421</v>
      </c>
      <c r="AW315" t="s">
        <v>202</v>
      </c>
      <c r="AX315">
        <v>1</v>
      </c>
      <c r="AY315" t="s">
        <v>188</v>
      </c>
      <c r="AZ315" t="s">
        <v>206</v>
      </c>
      <c r="BA315" t="s">
        <v>355</v>
      </c>
      <c r="BB315" t="s">
        <v>191</v>
      </c>
      <c r="BC315" t="s">
        <v>182</v>
      </c>
      <c r="BD315" t="s">
        <v>182</v>
      </c>
      <c r="BE315" t="s">
        <v>4821</v>
      </c>
      <c r="BF315">
        <v>1</v>
      </c>
      <c r="BG315">
        <v>1</v>
      </c>
      <c r="BH315">
        <v>1963</v>
      </c>
      <c r="BI315" t="s">
        <v>4822</v>
      </c>
      <c r="BJ315" t="s">
        <v>194</v>
      </c>
      <c r="BK315" t="s">
        <v>195</v>
      </c>
      <c r="BL315" t="s">
        <v>1002</v>
      </c>
      <c r="BM315" t="s">
        <v>3957</v>
      </c>
      <c r="BN315" t="s">
        <v>182</v>
      </c>
      <c r="BO315" t="s">
        <v>198</v>
      </c>
      <c r="BP315" t="s">
        <v>198</v>
      </c>
      <c r="BQ315" t="s">
        <v>198</v>
      </c>
      <c r="BR315" t="s">
        <v>198</v>
      </c>
      <c r="BS315" t="s">
        <v>198</v>
      </c>
      <c r="BT315" t="s">
        <v>198</v>
      </c>
      <c r="BU315" t="s">
        <v>182</v>
      </c>
      <c r="BV315" t="s">
        <v>198</v>
      </c>
      <c r="BW315" t="s">
        <v>198</v>
      </c>
      <c r="BX315" t="s">
        <v>199</v>
      </c>
      <c r="BY315" t="s">
        <v>198</v>
      </c>
      <c r="BZ315" t="s">
        <v>199</v>
      </c>
      <c r="CA315" t="s">
        <v>199</v>
      </c>
      <c r="CB315" t="s">
        <v>4823</v>
      </c>
      <c r="CC315" t="s">
        <v>201</v>
      </c>
      <c r="CD315" t="s">
        <v>182</v>
      </c>
      <c r="CE315" t="s">
        <v>4824</v>
      </c>
      <c r="CF315" t="s">
        <v>425</v>
      </c>
      <c r="CG315" t="s">
        <v>177</v>
      </c>
      <c r="CH315" t="s">
        <v>421</v>
      </c>
      <c r="CI315" t="s">
        <v>2240</v>
      </c>
      <c r="CJ315" t="s">
        <v>3389</v>
      </c>
      <c r="CK315" t="s">
        <v>232</v>
      </c>
      <c r="CL315" t="s">
        <v>233</v>
      </c>
      <c r="CM315" t="s">
        <v>4825</v>
      </c>
      <c r="CN315" t="s">
        <v>235</v>
      </c>
      <c r="CO315" t="s">
        <v>183</v>
      </c>
      <c r="CP315" t="s">
        <v>266</v>
      </c>
      <c r="CS315" t="s">
        <v>198</v>
      </c>
      <c r="CT315" t="s">
        <v>4422</v>
      </c>
      <c r="CU315" t="s">
        <v>292</v>
      </c>
      <c r="CV315" t="s">
        <v>293</v>
      </c>
      <c r="CW315" t="s">
        <v>4826</v>
      </c>
      <c r="CX315" t="s">
        <v>235</v>
      </c>
      <c r="CY315" t="s">
        <v>183</v>
      </c>
      <c r="CZ315" t="s">
        <v>266</v>
      </c>
      <c r="DC315" t="s">
        <v>198</v>
      </c>
      <c r="DD315" t="s">
        <v>4827</v>
      </c>
      <c r="DE315" t="s">
        <v>267</v>
      </c>
      <c r="DF315" t="s">
        <v>268</v>
      </c>
      <c r="DG315" t="s">
        <v>4828</v>
      </c>
      <c r="DH315" t="s">
        <v>235</v>
      </c>
      <c r="DI315" t="s">
        <v>183</v>
      </c>
      <c r="DJ315" t="s">
        <v>211</v>
      </c>
      <c r="DK315" t="s">
        <v>296</v>
      </c>
      <c r="DM315" t="s">
        <v>4829</v>
      </c>
      <c r="DN315" t="s">
        <v>4830</v>
      </c>
      <c r="DO315" t="s">
        <v>302</v>
      </c>
      <c r="DP315" t="s">
        <v>303</v>
      </c>
      <c r="DQ315" t="s">
        <v>4831</v>
      </c>
      <c r="DR315" t="s">
        <v>235</v>
      </c>
      <c r="DS315" t="s">
        <v>183</v>
      </c>
      <c r="DT315" t="s">
        <v>211</v>
      </c>
      <c r="DU315" t="s">
        <v>339</v>
      </c>
      <c r="DV315" t="s">
        <v>271</v>
      </c>
      <c r="DW315" t="s">
        <v>4832</v>
      </c>
      <c r="DX315" t="s">
        <v>4833</v>
      </c>
      <c r="DY315" t="s">
        <v>238</v>
      </c>
      <c r="DZ315" t="s">
        <v>239</v>
      </c>
      <c r="EA315" t="s">
        <v>4834</v>
      </c>
      <c r="EB315" t="s">
        <v>235</v>
      </c>
      <c r="EC315" t="s">
        <v>183</v>
      </c>
      <c r="ED315" t="s">
        <v>211</v>
      </c>
      <c r="EE315" t="s">
        <v>493</v>
      </c>
      <c r="EF315" t="s">
        <v>271</v>
      </c>
      <c r="EG315" t="s">
        <v>4832</v>
      </c>
      <c r="EH315" t="s">
        <v>4835</v>
      </c>
      <c r="EI315" t="s">
        <v>346</v>
      </c>
      <c r="EJ315" t="s">
        <v>347</v>
      </c>
      <c r="EK315" t="s">
        <v>4836</v>
      </c>
      <c r="EL315" t="s">
        <v>235</v>
      </c>
      <c r="EM315" t="s">
        <v>183</v>
      </c>
      <c r="EN315" t="s">
        <v>211</v>
      </c>
      <c r="EP315" t="s">
        <v>271</v>
      </c>
      <c r="EQ315" t="s">
        <v>198</v>
      </c>
      <c r="FA315" t="s">
        <v>198</v>
      </c>
      <c r="FK315" t="s">
        <v>198</v>
      </c>
      <c r="FU315" t="s">
        <v>198</v>
      </c>
    </row>
    <row r="316" spans="1:177">
      <c r="A316" s="1" t="str">
        <f>HYPERLINK("http://digipan.lumentumllc.com/apps/getLink/index.php?t=PropLink&amp;p=5245217","PL")</f>
        <v>PL</v>
      </c>
      <c r="B316" s="1" t="str">
        <f>HYPERLINK("http://digipan.lumentumllc.com/apps/getLink/index.php?t=TaxLink&amp;p=5245217","TL")</f>
        <v>TL</v>
      </c>
      <c r="C316" s="1" t="str">
        <f>HYPERLINK("http://digipan.lumentumllc.com/apps/getMap/index.php?p=5245217","Map")</f>
        <v>Map</v>
      </c>
      <c r="E316" t="s">
        <v>177</v>
      </c>
      <c r="F316" t="s">
        <v>178</v>
      </c>
      <c r="L316" t="s">
        <v>4837</v>
      </c>
      <c r="N316" t="s">
        <v>4837</v>
      </c>
      <c r="O316" t="s">
        <v>4837</v>
      </c>
      <c r="P316" t="s">
        <v>4838</v>
      </c>
      <c r="Q316" t="s">
        <v>4837</v>
      </c>
      <c r="V316">
        <v>364</v>
      </c>
      <c r="W316">
        <v>2</v>
      </c>
      <c r="X316">
        <v>2017</v>
      </c>
      <c r="Y316">
        <v>2018</v>
      </c>
      <c r="Z316">
        <v>2302.7800000000002</v>
      </c>
      <c r="AB316" t="s">
        <v>181</v>
      </c>
      <c r="AC316" t="s">
        <v>182</v>
      </c>
      <c r="AD316" t="s">
        <v>183</v>
      </c>
      <c r="AE316">
        <v>1</v>
      </c>
      <c r="AF316">
        <v>6</v>
      </c>
      <c r="AG316" t="s">
        <v>322</v>
      </c>
      <c r="AH316">
        <v>83</v>
      </c>
      <c r="AI316">
        <v>671.14</v>
      </c>
      <c r="AJ316">
        <v>33.56</v>
      </c>
      <c r="AK316">
        <v>704.7</v>
      </c>
      <c r="AL316">
        <v>177798</v>
      </c>
      <c r="AM316">
        <v>38800</v>
      </c>
      <c r="AN316">
        <v>138998</v>
      </c>
      <c r="AO316">
        <v>596</v>
      </c>
      <c r="AP316">
        <v>2016</v>
      </c>
      <c r="AQ316">
        <v>1.3</v>
      </c>
      <c r="AR316">
        <v>0.4</v>
      </c>
      <c r="AS316" t="s">
        <v>4839</v>
      </c>
      <c r="AT316" t="s">
        <v>420</v>
      </c>
      <c r="AU316" t="s">
        <v>177</v>
      </c>
      <c r="AV316" t="s">
        <v>421</v>
      </c>
      <c r="AW316" t="s">
        <v>202</v>
      </c>
      <c r="AX316">
        <v>1</v>
      </c>
      <c r="AY316" t="s">
        <v>188</v>
      </c>
      <c r="AZ316" t="s">
        <v>206</v>
      </c>
      <c r="BA316" t="s">
        <v>355</v>
      </c>
      <c r="BB316" t="s">
        <v>191</v>
      </c>
      <c r="BC316" t="s">
        <v>182</v>
      </c>
      <c r="BD316" t="s">
        <v>182</v>
      </c>
      <c r="BE316" t="s">
        <v>4840</v>
      </c>
      <c r="BF316">
        <v>1</v>
      </c>
      <c r="BG316">
        <v>1</v>
      </c>
      <c r="BH316">
        <v>2016</v>
      </c>
      <c r="BI316" t="s">
        <v>346</v>
      </c>
      <c r="BJ316" t="s">
        <v>315</v>
      </c>
      <c r="BK316" t="s">
        <v>195</v>
      </c>
      <c r="BL316" t="s">
        <v>199</v>
      </c>
      <c r="BM316" t="s">
        <v>368</v>
      </c>
      <c r="BN316" t="s">
        <v>182</v>
      </c>
      <c r="BO316" t="s">
        <v>198</v>
      </c>
      <c r="BP316" t="s">
        <v>198</v>
      </c>
      <c r="BQ316" t="s">
        <v>198</v>
      </c>
      <c r="BR316" t="s">
        <v>198</v>
      </c>
      <c r="BS316" t="s">
        <v>198</v>
      </c>
      <c r="BT316" t="s">
        <v>198</v>
      </c>
      <c r="BU316" t="s">
        <v>182</v>
      </c>
      <c r="BV316" t="s">
        <v>198</v>
      </c>
      <c r="BW316" t="s">
        <v>198</v>
      </c>
      <c r="BX316" t="s">
        <v>199</v>
      </c>
      <c r="BY316" t="s">
        <v>198</v>
      </c>
      <c r="BZ316" t="s">
        <v>199</v>
      </c>
      <c r="CA316" t="s">
        <v>199</v>
      </c>
      <c r="CB316" t="s">
        <v>4841</v>
      </c>
      <c r="CC316" t="s">
        <v>201</v>
      </c>
      <c r="CD316" t="s">
        <v>182</v>
      </c>
      <c r="CE316" t="s">
        <v>4842</v>
      </c>
      <c r="CF316" t="s">
        <v>425</v>
      </c>
      <c r="CG316" t="s">
        <v>177</v>
      </c>
      <c r="CH316" t="s">
        <v>421</v>
      </c>
      <c r="CI316" t="s">
        <v>4843</v>
      </c>
      <c r="CJ316" t="s">
        <v>3504</v>
      </c>
      <c r="CK316" t="s">
        <v>232</v>
      </c>
      <c r="CL316" t="s">
        <v>233</v>
      </c>
      <c r="CM316" t="s">
        <v>4844</v>
      </c>
      <c r="CN316" t="s">
        <v>305</v>
      </c>
      <c r="CO316" t="s">
        <v>183</v>
      </c>
      <c r="CP316" t="s">
        <v>266</v>
      </c>
      <c r="CS316" t="s">
        <v>198</v>
      </c>
      <c r="CT316" t="s">
        <v>2997</v>
      </c>
      <c r="CU316" t="s">
        <v>292</v>
      </c>
      <c r="CV316" t="s">
        <v>293</v>
      </c>
      <c r="CW316" t="s">
        <v>4845</v>
      </c>
      <c r="CX316" t="s">
        <v>295</v>
      </c>
      <c r="CY316" t="s">
        <v>183</v>
      </c>
      <c r="CZ316" t="s">
        <v>211</v>
      </c>
      <c r="DA316" t="s">
        <v>298</v>
      </c>
      <c r="DC316" t="s">
        <v>457</v>
      </c>
      <c r="DD316" t="s">
        <v>4547</v>
      </c>
      <c r="DE316" t="s">
        <v>273</v>
      </c>
      <c r="DF316" t="s">
        <v>274</v>
      </c>
      <c r="DG316" t="s">
        <v>4846</v>
      </c>
      <c r="DH316" t="s">
        <v>796</v>
      </c>
      <c r="DI316" t="s">
        <v>183</v>
      </c>
      <c r="DJ316" t="s">
        <v>211</v>
      </c>
      <c r="DK316" t="s">
        <v>290</v>
      </c>
      <c r="DM316" t="s">
        <v>4847</v>
      </c>
      <c r="DN316" t="s">
        <v>4848</v>
      </c>
      <c r="DO316" t="s">
        <v>302</v>
      </c>
      <c r="DP316" t="s">
        <v>303</v>
      </c>
      <c r="DQ316" t="s">
        <v>4849</v>
      </c>
      <c r="DR316" t="s">
        <v>440</v>
      </c>
      <c r="DS316" t="s">
        <v>183</v>
      </c>
      <c r="DT316" t="s">
        <v>211</v>
      </c>
      <c r="DU316" t="s">
        <v>523</v>
      </c>
      <c r="DW316" t="s">
        <v>4847</v>
      </c>
      <c r="DX316" t="s">
        <v>4850</v>
      </c>
      <c r="DY316" t="s">
        <v>238</v>
      </c>
      <c r="DZ316" t="s">
        <v>239</v>
      </c>
      <c r="EA316" t="s">
        <v>4851</v>
      </c>
      <c r="EB316" t="s">
        <v>278</v>
      </c>
      <c r="EC316" t="s">
        <v>183</v>
      </c>
      <c r="ED316" t="s">
        <v>211</v>
      </c>
      <c r="EE316" t="s">
        <v>298</v>
      </c>
      <c r="EG316" t="s">
        <v>467</v>
      </c>
      <c r="EH316" t="s">
        <v>4852</v>
      </c>
      <c r="EI316" t="s">
        <v>346</v>
      </c>
      <c r="EJ316" t="s">
        <v>347</v>
      </c>
      <c r="EK316" t="s">
        <v>4853</v>
      </c>
      <c r="EL316" t="s">
        <v>615</v>
      </c>
      <c r="EM316" t="s">
        <v>183</v>
      </c>
      <c r="EN316" t="s">
        <v>211</v>
      </c>
      <c r="EO316" t="s">
        <v>298</v>
      </c>
      <c r="EQ316" t="s">
        <v>3166</v>
      </c>
      <c r="ER316" t="s">
        <v>4854</v>
      </c>
      <c r="ES316" t="s">
        <v>207</v>
      </c>
      <c r="ET316" t="s">
        <v>208</v>
      </c>
      <c r="EU316" t="s">
        <v>4855</v>
      </c>
      <c r="EV316" t="s">
        <v>314</v>
      </c>
      <c r="EW316" t="s">
        <v>183</v>
      </c>
      <c r="EX316" t="s">
        <v>211</v>
      </c>
      <c r="EY316" t="s">
        <v>298</v>
      </c>
      <c r="FA316" t="s">
        <v>4856</v>
      </c>
      <c r="FK316" t="s">
        <v>198</v>
      </c>
      <c r="FU316" t="s">
        <v>198</v>
      </c>
    </row>
    <row r="317" spans="1:177">
      <c r="A317" s="1" t="str">
        <f>HYPERLINK("http://digipan.lumentumllc.com/apps/getLink/index.php?t=PropLink&amp;p=5246256","PL")</f>
        <v>PL</v>
      </c>
      <c r="B317" s="1" t="str">
        <f>HYPERLINK("http://digipan.lumentumllc.com/apps/getLink/index.php?t=TaxLink&amp;p=5246256","TL")</f>
        <v>TL</v>
      </c>
      <c r="C317" s="1" t="str">
        <f>HYPERLINK("http://digipan.lumentumllc.com/apps/getMap/index.php?p=5246256","Map")</f>
        <v>Map</v>
      </c>
      <c r="E317" t="s">
        <v>177</v>
      </c>
      <c r="F317" t="s">
        <v>178</v>
      </c>
      <c r="L317" t="s">
        <v>4857</v>
      </c>
      <c r="N317" t="s">
        <v>4857</v>
      </c>
      <c r="O317" t="s">
        <v>4857</v>
      </c>
      <c r="P317" t="s">
        <v>4858</v>
      </c>
      <c r="Q317" t="s">
        <v>4857</v>
      </c>
      <c r="V317">
        <v>366</v>
      </c>
      <c r="W317">
        <v>2</v>
      </c>
      <c r="X317">
        <v>2017</v>
      </c>
      <c r="Y317">
        <v>2018</v>
      </c>
      <c r="Z317">
        <v>1134.69</v>
      </c>
      <c r="AB317" t="s">
        <v>181</v>
      </c>
      <c r="AC317" t="s">
        <v>182</v>
      </c>
      <c r="AD317" t="s">
        <v>183</v>
      </c>
      <c r="AE317">
        <v>0</v>
      </c>
      <c r="AF317">
        <v>7</v>
      </c>
      <c r="AG317" t="s">
        <v>1059</v>
      </c>
      <c r="AH317">
        <v>100</v>
      </c>
      <c r="AK317">
        <v>0</v>
      </c>
      <c r="AL317">
        <v>67349</v>
      </c>
      <c r="AM317">
        <v>31200</v>
      </c>
      <c r="AN317">
        <v>36149</v>
      </c>
      <c r="AO317">
        <v>1040</v>
      </c>
      <c r="AP317">
        <v>2016</v>
      </c>
      <c r="AQ317">
        <v>1.68</v>
      </c>
      <c r="AS317" t="s">
        <v>4859</v>
      </c>
      <c r="AT317" t="s">
        <v>420</v>
      </c>
      <c r="AU317" t="s">
        <v>177</v>
      </c>
      <c r="AV317" t="s">
        <v>421</v>
      </c>
      <c r="AW317" t="s">
        <v>182</v>
      </c>
      <c r="AX317">
        <v>1</v>
      </c>
      <c r="AY317" t="s">
        <v>188</v>
      </c>
      <c r="AZ317" t="s">
        <v>206</v>
      </c>
      <c r="BA317" t="s">
        <v>355</v>
      </c>
      <c r="BB317" t="s">
        <v>191</v>
      </c>
      <c r="BC317" t="s">
        <v>182</v>
      </c>
      <c r="BD317" t="s">
        <v>182</v>
      </c>
      <c r="BE317" t="s">
        <v>4860</v>
      </c>
      <c r="BF317">
        <v>1</v>
      </c>
      <c r="BG317">
        <v>1</v>
      </c>
      <c r="BH317">
        <v>1947</v>
      </c>
      <c r="BI317" t="s">
        <v>4861</v>
      </c>
      <c r="BJ317" t="s">
        <v>194</v>
      </c>
      <c r="BK317" t="s">
        <v>195</v>
      </c>
      <c r="BL317" t="s">
        <v>199</v>
      </c>
      <c r="BM317" t="s">
        <v>292</v>
      </c>
      <c r="BN317" t="s">
        <v>182</v>
      </c>
      <c r="BO317" t="s">
        <v>3842</v>
      </c>
      <c r="BP317" t="s">
        <v>4862</v>
      </c>
      <c r="BS317" t="s">
        <v>4863</v>
      </c>
      <c r="BT317" t="s">
        <v>198</v>
      </c>
      <c r="BU317" t="s">
        <v>182</v>
      </c>
      <c r="BV317" t="s">
        <v>198</v>
      </c>
      <c r="BW317" t="s">
        <v>198</v>
      </c>
      <c r="BX317" t="s">
        <v>199</v>
      </c>
      <c r="BY317" t="s">
        <v>198</v>
      </c>
      <c r="BZ317" t="s">
        <v>199</v>
      </c>
      <c r="CA317" t="s">
        <v>199</v>
      </c>
      <c r="CB317" t="s">
        <v>4864</v>
      </c>
      <c r="CC317" t="s">
        <v>201</v>
      </c>
      <c r="CD317" t="s">
        <v>182</v>
      </c>
      <c r="CE317" t="s">
        <v>4865</v>
      </c>
      <c r="CF317" t="s">
        <v>425</v>
      </c>
      <c r="CG317" t="s">
        <v>177</v>
      </c>
      <c r="CH317" t="s">
        <v>421</v>
      </c>
      <c r="CI317" t="s">
        <v>4866</v>
      </c>
      <c r="CJ317" t="s">
        <v>4830</v>
      </c>
      <c r="CK317" t="s">
        <v>232</v>
      </c>
      <c r="CL317" t="s">
        <v>233</v>
      </c>
      <c r="CM317" t="s">
        <v>4867</v>
      </c>
      <c r="CN317" t="s">
        <v>235</v>
      </c>
      <c r="CO317" t="s">
        <v>183</v>
      </c>
      <c r="CP317" t="s">
        <v>211</v>
      </c>
      <c r="CQ317" t="s">
        <v>290</v>
      </c>
      <c r="CS317" t="s">
        <v>4868</v>
      </c>
      <c r="CT317" t="s">
        <v>3167</v>
      </c>
      <c r="CU317" t="s">
        <v>292</v>
      </c>
      <c r="CV317" t="s">
        <v>293</v>
      </c>
      <c r="CW317" t="s">
        <v>4869</v>
      </c>
      <c r="CX317" t="s">
        <v>235</v>
      </c>
      <c r="CY317" t="s">
        <v>183</v>
      </c>
      <c r="CZ317" t="s">
        <v>211</v>
      </c>
      <c r="DA317" t="s">
        <v>329</v>
      </c>
      <c r="DC317" t="s">
        <v>2670</v>
      </c>
      <c r="DD317" t="s">
        <v>3030</v>
      </c>
      <c r="DE317" t="s">
        <v>267</v>
      </c>
      <c r="DF317" t="s">
        <v>268</v>
      </c>
      <c r="DG317" t="s">
        <v>4870</v>
      </c>
      <c r="DH317" t="s">
        <v>235</v>
      </c>
      <c r="DI317" t="s">
        <v>183</v>
      </c>
      <c r="DJ317" t="s">
        <v>211</v>
      </c>
      <c r="DK317" t="s">
        <v>270</v>
      </c>
      <c r="DM317" t="s">
        <v>4871</v>
      </c>
      <c r="DN317" t="s">
        <v>3327</v>
      </c>
      <c r="DO317" t="s">
        <v>273</v>
      </c>
      <c r="DP317" t="s">
        <v>274</v>
      </c>
      <c r="DQ317" t="s">
        <v>4872</v>
      </c>
      <c r="DR317" t="s">
        <v>235</v>
      </c>
      <c r="DS317" t="s">
        <v>183</v>
      </c>
      <c r="DT317" t="s">
        <v>211</v>
      </c>
      <c r="DU317" t="s">
        <v>212</v>
      </c>
      <c r="DW317" t="s">
        <v>4873</v>
      </c>
      <c r="DX317" t="s">
        <v>4874</v>
      </c>
      <c r="DY317" t="s">
        <v>302</v>
      </c>
      <c r="DZ317" t="s">
        <v>303</v>
      </c>
      <c r="EA317" t="s">
        <v>4875</v>
      </c>
      <c r="EB317" t="s">
        <v>235</v>
      </c>
      <c r="EC317" t="s">
        <v>183</v>
      </c>
      <c r="ED317" t="s">
        <v>211</v>
      </c>
      <c r="EE317" t="s">
        <v>487</v>
      </c>
      <c r="EG317" t="s">
        <v>4876</v>
      </c>
      <c r="EH317" t="s">
        <v>4877</v>
      </c>
      <c r="EI317" t="s">
        <v>238</v>
      </c>
      <c r="EJ317" t="s">
        <v>239</v>
      </c>
      <c r="EK317" t="s">
        <v>4878</v>
      </c>
      <c r="EL317" t="s">
        <v>247</v>
      </c>
      <c r="EM317" t="s">
        <v>183</v>
      </c>
      <c r="EN317" t="s">
        <v>211</v>
      </c>
      <c r="EO317" t="s">
        <v>298</v>
      </c>
      <c r="EQ317" t="s">
        <v>3501</v>
      </c>
      <c r="ER317" t="s">
        <v>4879</v>
      </c>
      <c r="ES317" t="s">
        <v>346</v>
      </c>
      <c r="ET317" t="s">
        <v>347</v>
      </c>
      <c r="EU317" t="s">
        <v>4880</v>
      </c>
      <c r="EV317" t="s">
        <v>235</v>
      </c>
      <c r="EW317" t="s">
        <v>183</v>
      </c>
      <c r="EX317" t="s">
        <v>211</v>
      </c>
      <c r="EY317" t="s">
        <v>298</v>
      </c>
      <c r="FA317" t="s">
        <v>3166</v>
      </c>
      <c r="FK317" t="s">
        <v>198</v>
      </c>
      <c r="FU317" t="s">
        <v>198</v>
      </c>
    </row>
    <row r="318" spans="1:177">
      <c r="A318" s="1" t="str">
        <f>HYPERLINK("http://digipan.lumentumllc.com/apps/getLink/index.php?t=PropLink&amp;p=5246789","PL")</f>
        <v>PL</v>
      </c>
      <c r="B318" s="1" t="str">
        <f>HYPERLINK("http://digipan.lumentumllc.com/apps/getLink/index.php?t=TaxLink&amp;p=5246789","TL")</f>
        <v>TL</v>
      </c>
      <c r="C318" s="1" t="str">
        <f>HYPERLINK("http://digipan.lumentumllc.com/apps/getMap/index.php?p=5246789","Map")</f>
        <v>Map</v>
      </c>
      <c r="E318" t="s">
        <v>177</v>
      </c>
      <c r="F318" t="s">
        <v>178</v>
      </c>
      <c r="L318" t="s">
        <v>4881</v>
      </c>
      <c r="N318" t="s">
        <v>4881</v>
      </c>
      <c r="O318" t="s">
        <v>4881</v>
      </c>
      <c r="P318" t="s">
        <v>4882</v>
      </c>
      <c r="Q318" t="s">
        <v>4881</v>
      </c>
      <c r="V318">
        <v>367</v>
      </c>
      <c r="W318">
        <v>2</v>
      </c>
      <c r="X318">
        <v>2017</v>
      </c>
      <c r="Y318">
        <v>2018</v>
      </c>
      <c r="Z318">
        <v>841.29</v>
      </c>
      <c r="AB318" t="s">
        <v>181</v>
      </c>
      <c r="AC318" t="s">
        <v>182</v>
      </c>
      <c r="AD318" t="s">
        <v>183</v>
      </c>
      <c r="AE318">
        <v>1</v>
      </c>
      <c r="AF318">
        <v>5</v>
      </c>
      <c r="AG318" t="s">
        <v>322</v>
      </c>
      <c r="AH318">
        <v>83</v>
      </c>
      <c r="AI318">
        <v>778.11</v>
      </c>
      <c r="AJ318">
        <v>38.909999999999997</v>
      </c>
      <c r="AK318">
        <v>817.02</v>
      </c>
      <c r="AL318">
        <v>49429</v>
      </c>
      <c r="AM318">
        <v>22500</v>
      </c>
      <c r="AN318">
        <v>26929</v>
      </c>
      <c r="AO318">
        <v>695</v>
      </c>
      <c r="AP318">
        <v>2016</v>
      </c>
      <c r="AQ318">
        <v>1.7</v>
      </c>
      <c r="AR318">
        <v>1.65</v>
      </c>
      <c r="AS318" t="s">
        <v>4883</v>
      </c>
      <c r="AT318" t="s">
        <v>420</v>
      </c>
      <c r="AU318" t="s">
        <v>177</v>
      </c>
      <c r="AV318" t="s">
        <v>421</v>
      </c>
      <c r="AW318" t="s">
        <v>182</v>
      </c>
      <c r="AX318">
        <v>1</v>
      </c>
      <c r="AY318" t="s">
        <v>188</v>
      </c>
      <c r="AZ318" t="s">
        <v>206</v>
      </c>
      <c r="BA318" t="s">
        <v>355</v>
      </c>
      <c r="BB318" t="s">
        <v>191</v>
      </c>
      <c r="BC318" t="s">
        <v>182</v>
      </c>
      <c r="BD318" t="s">
        <v>182</v>
      </c>
      <c r="BE318" t="s">
        <v>2589</v>
      </c>
      <c r="BF318">
        <v>1</v>
      </c>
      <c r="BG318">
        <v>1</v>
      </c>
      <c r="BH318">
        <v>1945</v>
      </c>
      <c r="BI318" t="s">
        <v>1938</v>
      </c>
      <c r="BJ318" t="s">
        <v>194</v>
      </c>
      <c r="BK318" t="s">
        <v>195</v>
      </c>
      <c r="BL318" t="s">
        <v>199</v>
      </c>
      <c r="BM318" t="s">
        <v>679</v>
      </c>
      <c r="BN318" t="s">
        <v>182</v>
      </c>
      <c r="BO318" t="s">
        <v>198</v>
      </c>
      <c r="BP318" t="s">
        <v>198</v>
      </c>
      <c r="BQ318" t="s">
        <v>198</v>
      </c>
      <c r="BR318" t="s">
        <v>198</v>
      </c>
      <c r="BS318" t="s">
        <v>198</v>
      </c>
      <c r="BT318" t="s">
        <v>198</v>
      </c>
      <c r="BU318" t="s">
        <v>182</v>
      </c>
      <c r="BV318" t="s">
        <v>198</v>
      </c>
      <c r="BW318" t="s">
        <v>198</v>
      </c>
      <c r="BX318" t="s">
        <v>199</v>
      </c>
      <c r="BY318" t="s">
        <v>198</v>
      </c>
      <c r="BZ318" t="s">
        <v>199</v>
      </c>
      <c r="CA318" t="s">
        <v>199</v>
      </c>
      <c r="CB318" t="s">
        <v>4884</v>
      </c>
      <c r="CC318" t="s">
        <v>201</v>
      </c>
      <c r="CD318" t="s">
        <v>202</v>
      </c>
      <c r="CE318" t="s">
        <v>4885</v>
      </c>
      <c r="CF318" t="s">
        <v>425</v>
      </c>
      <c r="CG318" t="s">
        <v>177</v>
      </c>
      <c r="CH318" t="s">
        <v>421</v>
      </c>
      <c r="CI318" t="s">
        <v>4886</v>
      </c>
      <c r="CJ318" t="s">
        <v>4848</v>
      </c>
      <c r="CK318" t="s">
        <v>232</v>
      </c>
      <c r="CL318" t="s">
        <v>233</v>
      </c>
      <c r="CM318" t="s">
        <v>4887</v>
      </c>
      <c r="CN318" t="s">
        <v>235</v>
      </c>
      <c r="CO318" t="s">
        <v>183</v>
      </c>
      <c r="CP318" t="s">
        <v>266</v>
      </c>
      <c r="CS318" t="s">
        <v>198</v>
      </c>
      <c r="CT318" t="s">
        <v>3030</v>
      </c>
      <c r="CU318" t="s">
        <v>292</v>
      </c>
      <c r="CV318" t="s">
        <v>293</v>
      </c>
      <c r="CW318" t="s">
        <v>4888</v>
      </c>
      <c r="CX318" t="s">
        <v>235</v>
      </c>
      <c r="CY318" t="s">
        <v>183</v>
      </c>
      <c r="CZ318" t="s">
        <v>211</v>
      </c>
      <c r="DA318" t="s">
        <v>298</v>
      </c>
      <c r="DC318" t="s">
        <v>1235</v>
      </c>
      <c r="DD318" t="s">
        <v>3060</v>
      </c>
      <c r="DE318" t="s">
        <v>267</v>
      </c>
      <c r="DF318" t="s">
        <v>268</v>
      </c>
      <c r="DG318" t="s">
        <v>4889</v>
      </c>
      <c r="DH318" t="s">
        <v>235</v>
      </c>
      <c r="DI318" t="s">
        <v>183</v>
      </c>
      <c r="DJ318" t="s">
        <v>211</v>
      </c>
      <c r="DK318" t="s">
        <v>523</v>
      </c>
      <c r="DM318" t="s">
        <v>4890</v>
      </c>
      <c r="DN318" t="s">
        <v>3469</v>
      </c>
      <c r="DO318" t="s">
        <v>273</v>
      </c>
      <c r="DP318" t="s">
        <v>274</v>
      </c>
      <c r="DQ318" t="s">
        <v>4891</v>
      </c>
      <c r="DR318" t="s">
        <v>235</v>
      </c>
      <c r="DS318" t="s">
        <v>183</v>
      </c>
      <c r="DT318" t="s">
        <v>211</v>
      </c>
      <c r="DU318" t="s">
        <v>212</v>
      </c>
      <c r="DW318" t="s">
        <v>4892</v>
      </c>
      <c r="DX318" t="s">
        <v>3544</v>
      </c>
      <c r="DY318" t="s">
        <v>302</v>
      </c>
      <c r="DZ318" t="s">
        <v>303</v>
      </c>
      <c r="EA318" t="s">
        <v>4893</v>
      </c>
      <c r="EB318" t="s">
        <v>436</v>
      </c>
      <c r="EC318" t="s">
        <v>183</v>
      </c>
      <c r="ED318" t="s">
        <v>211</v>
      </c>
      <c r="EE318" t="s">
        <v>270</v>
      </c>
      <c r="EG318" t="s">
        <v>4894</v>
      </c>
      <c r="EH318" t="s">
        <v>4895</v>
      </c>
      <c r="EI318" t="s">
        <v>238</v>
      </c>
      <c r="EJ318" t="s">
        <v>239</v>
      </c>
      <c r="EK318" t="s">
        <v>4896</v>
      </c>
      <c r="EL318" t="s">
        <v>305</v>
      </c>
      <c r="EM318" t="s">
        <v>183</v>
      </c>
      <c r="EN318" t="s">
        <v>211</v>
      </c>
      <c r="EO318" t="s">
        <v>342</v>
      </c>
      <c r="EQ318" t="s">
        <v>4897</v>
      </c>
      <c r="FA318" t="s">
        <v>198</v>
      </c>
      <c r="FK318" t="s">
        <v>198</v>
      </c>
      <c r="FU318" t="s">
        <v>198</v>
      </c>
    </row>
    <row r="319" spans="1:177">
      <c r="A319" s="1" t="str">
        <f>HYPERLINK("http://digipan.lumentumllc.com/apps/getLink/index.php?t=PropLink&amp;p=15752860","PL")</f>
        <v>PL</v>
      </c>
      <c r="B319" s="1" t="str">
        <f>HYPERLINK("http://digipan.lumentumllc.com/apps/getLink/index.php?t=TaxLink&amp;p=15752860","TL")</f>
        <v>TL</v>
      </c>
      <c r="C319" s="1" t="str">
        <f>HYPERLINK("http://digipan.lumentumllc.com/apps/getMap/index.php?p=15752860","Map")</f>
        <v>Map</v>
      </c>
      <c r="E319" t="s">
        <v>177</v>
      </c>
      <c r="F319" t="s">
        <v>178</v>
      </c>
      <c r="L319" t="s">
        <v>4898</v>
      </c>
      <c r="N319" t="s">
        <v>4898</v>
      </c>
      <c r="O319" t="s">
        <v>4898</v>
      </c>
      <c r="Q319" t="s">
        <v>4898</v>
      </c>
      <c r="V319">
        <v>368</v>
      </c>
      <c r="W319">
        <v>2</v>
      </c>
      <c r="X319">
        <v>2017</v>
      </c>
      <c r="Y319">
        <v>2018</v>
      </c>
      <c r="Z319">
        <v>488.42</v>
      </c>
      <c r="AG319" t="s">
        <v>184</v>
      </c>
      <c r="AH319">
        <v>0</v>
      </c>
      <c r="AK319">
        <v>0</v>
      </c>
      <c r="AL319">
        <v>27878</v>
      </c>
      <c r="AM319">
        <v>15000</v>
      </c>
      <c r="AN319">
        <v>12878</v>
      </c>
      <c r="AO319">
        <v>434</v>
      </c>
      <c r="AP319">
        <v>2016</v>
      </c>
      <c r="AQ319">
        <v>1.75</v>
      </c>
      <c r="AS319" t="s">
        <v>4899</v>
      </c>
      <c r="AT319" t="s">
        <v>420</v>
      </c>
      <c r="AU319" t="s">
        <v>177</v>
      </c>
      <c r="AV319" t="s">
        <v>421</v>
      </c>
      <c r="AW319" t="s">
        <v>182</v>
      </c>
      <c r="AX319">
        <v>2</v>
      </c>
      <c r="AY319" t="s">
        <v>188</v>
      </c>
      <c r="AZ319" t="s">
        <v>189</v>
      </c>
      <c r="BA319" t="s">
        <v>190</v>
      </c>
      <c r="BB319" t="s">
        <v>191</v>
      </c>
      <c r="BC319" t="s">
        <v>182</v>
      </c>
      <c r="BD319" t="s">
        <v>182</v>
      </c>
      <c r="BE319" t="s">
        <v>383</v>
      </c>
      <c r="BF319">
        <v>1</v>
      </c>
      <c r="BG319">
        <v>1</v>
      </c>
      <c r="BH319">
        <v>1978</v>
      </c>
      <c r="BI319" t="s">
        <v>861</v>
      </c>
      <c r="BJ319" t="s">
        <v>194</v>
      </c>
      <c r="BK319" t="s">
        <v>195</v>
      </c>
      <c r="BL319" t="s">
        <v>4647</v>
      </c>
      <c r="BM319" t="s">
        <v>292</v>
      </c>
      <c r="BN319" t="s">
        <v>182</v>
      </c>
      <c r="BO319" t="s">
        <v>198</v>
      </c>
      <c r="BP319" t="s">
        <v>198</v>
      </c>
      <c r="BQ319" t="s">
        <v>198</v>
      </c>
      <c r="BR319" t="s">
        <v>198</v>
      </c>
      <c r="BS319" t="s">
        <v>198</v>
      </c>
      <c r="BT319" t="s">
        <v>198</v>
      </c>
      <c r="BU319" t="s">
        <v>182</v>
      </c>
      <c r="BV319" t="s">
        <v>198</v>
      </c>
      <c r="BW319" t="s">
        <v>198</v>
      </c>
      <c r="BX319" t="s">
        <v>199</v>
      </c>
      <c r="BY319" t="s">
        <v>198</v>
      </c>
      <c r="BZ319" t="s">
        <v>199</v>
      </c>
      <c r="CA319" t="s">
        <v>199</v>
      </c>
      <c r="CB319" t="s">
        <v>4900</v>
      </c>
      <c r="CC319" t="s">
        <v>201</v>
      </c>
      <c r="CD319" t="s">
        <v>202</v>
      </c>
      <c r="CE319" t="s">
        <v>4901</v>
      </c>
      <c r="CF319" t="s">
        <v>413</v>
      </c>
      <c r="CG319" t="s">
        <v>177</v>
      </c>
      <c r="CH319" t="s">
        <v>421</v>
      </c>
      <c r="CI319" t="s">
        <v>4902</v>
      </c>
      <c r="CS319" t="s">
        <v>198</v>
      </c>
      <c r="DC319" t="s">
        <v>198</v>
      </c>
      <c r="DM319" t="s">
        <v>198</v>
      </c>
      <c r="DW319" t="s">
        <v>198</v>
      </c>
      <c r="EG319" t="s">
        <v>198</v>
      </c>
      <c r="EQ319" t="s">
        <v>198</v>
      </c>
      <c r="FA319" t="s">
        <v>198</v>
      </c>
      <c r="FK319" t="s">
        <v>198</v>
      </c>
      <c r="FU319" t="s">
        <v>198</v>
      </c>
    </row>
    <row r="320" spans="1:177">
      <c r="A320" s="1" t="str">
        <f>HYPERLINK("http://digipan.lumentumllc.com/apps/getLink/index.php?t=PropLink&amp;p=6594282","PL")</f>
        <v>PL</v>
      </c>
      <c r="B320" s="1" t="str">
        <f>HYPERLINK("http://digipan.lumentumllc.com/apps/getLink/index.php?t=TaxLink&amp;p=6594282","TL")</f>
        <v>TL</v>
      </c>
      <c r="C320" s="1" t="str">
        <f>HYPERLINK("http://digipan.lumentumllc.com/apps/getMap/index.php?p=6594282","Map")</f>
        <v>Map</v>
      </c>
      <c r="E320" t="s">
        <v>177</v>
      </c>
      <c r="F320" t="s">
        <v>178</v>
      </c>
      <c r="L320" t="s">
        <v>4903</v>
      </c>
      <c r="N320" t="s">
        <v>4903</v>
      </c>
      <c r="O320" t="s">
        <v>4903</v>
      </c>
      <c r="P320" t="s">
        <v>4904</v>
      </c>
      <c r="Q320" t="s">
        <v>4903</v>
      </c>
      <c r="V320">
        <v>369</v>
      </c>
      <c r="W320">
        <v>2</v>
      </c>
      <c r="X320">
        <v>2017</v>
      </c>
      <c r="Y320">
        <v>2018</v>
      </c>
      <c r="Z320">
        <v>2500.25</v>
      </c>
      <c r="AB320" t="s">
        <v>181</v>
      </c>
      <c r="AC320" t="s">
        <v>182</v>
      </c>
      <c r="AD320" t="s">
        <v>183</v>
      </c>
      <c r="AE320">
        <v>1</v>
      </c>
      <c r="AF320">
        <v>2</v>
      </c>
      <c r="AG320" t="s">
        <v>363</v>
      </c>
      <c r="AH320">
        <v>67</v>
      </c>
      <c r="AI320">
        <v>3106.02</v>
      </c>
      <c r="AJ320">
        <v>155.30000000000001</v>
      </c>
      <c r="AK320">
        <v>3261.32</v>
      </c>
      <c r="AL320">
        <v>189858</v>
      </c>
      <c r="AM320">
        <v>15900</v>
      </c>
      <c r="AN320">
        <v>173958</v>
      </c>
      <c r="AO320">
        <v>2847</v>
      </c>
      <c r="AP320">
        <v>2016</v>
      </c>
      <c r="AQ320">
        <v>1.32</v>
      </c>
      <c r="AR320">
        <v>1.72</v>
      </c>
      <c r="AS320" t="s">
        <v>4905</v>
      </c>
      <c r="AT320" t="s">
        <v>420</v>
      </c>
      <c r="AU320" t="s">
        <v>177</v>
      </c>
      <c r="AV320" t="s">
        <v>421</v>
      </c>
      <c r="AW320" t="s">
        <v>202</v>
      </c>
      <c r="AX320">
        <v>1</v>
      </c>
      <c r="AY320" t="s">
        <v>188</v>
      </c>
      <c r="AZ320" t="s">
        <v>206</v>
      </c>
      <c r="BA320" t="s">
        <v>355</v>
      </c>
      <c r="BB320" t="s">
        <v>191</v>
      </c>
      <c r="BC320" t="s">
        <v>182</v>
      </c>
      <c r="BD320" t="s">
        <v>182</v>
      </c>
      <c r="BE320" t="s">
        <v>4906</v>
      </c>
      <c r="BF320">
        <v>2</v>
      </c>
      <c r="BG320">
        <v>2</v>
      </c>
      <c r="BH320">
        <v>1968</v>
      </c>
      <c r="BI320" t="s">
        <v>4907</v>
      </c>
      <c r="BJ320" t="s">
        <v>194</v>
      </c>
      <c r="BK320" t="s">
        <v>195</v>
      </c>
      <c r="BL320" t="s">
        <v>199</v>
      </c>
      <c r="BM320" t="s">
        <v>292</v>
      </c>
      <c r="BN320" t="s">
        <v>182</v>
      </c>
      <c r="BO320" t="s">
        <v>198</v>
      </c>
      <c r="BP320" t="s">
        <v>198</v>
      </c>
      <c r="BQ320" t="s">
        <v>198</v>
      </c>
      <c r="BR320" t="s">
        <v>198</v>
      </c>
      <c r="BS320" t="s">
        <v>198</v>
      </c>
      <c r="BT320" t="s">
        <v>198</v>
      </c>
      <c r="BU320" t="s">
        <v>182</v>
      </c>
      <c r="BV320" t="s">
        <v>198</v>
      </c>
      <c r="BW320" t="s">
        <v>198</v>
      </c>
      <c r="BX320" t="s">
        <v>199</v>
      </c>
      <c r="BY320" t="s">
        <v>198</v>
      </c>
      <c r="BZ320" t="s">
        <v>199</v>
      </c>
      <c r="CA320" t="s">
        <v>199</v>
      </c>
      <c r="CB320" t="s">
        <v>4908</v>
      </c>
      <c r="CC320" t="s">
        <v>201</v>
      </c>
      <c r="CD320" t="s">
        <v>182</v>
      </c>
      <c r="CE320" t="s">
        <v>4909</v>
      </c>
      <c r="CF320" t="s">
        <v>425</v>
      </c>
      <c r="CG320" t="s">
        <v>177</v>
      </c>
      <c r="CH320" t="s">
        <v>421</v>
      </c>
      <c r="CI320" t="s">
        <v>4910</v>
      </c>
      <c r="CJ320" t="s">
        <v>4911</v>
      </c>
      <c r="CK320" t="s">
        <v>232</v>
      </c>
      <c r="CL320" t="s">
        <v>233</v>
      </c>
      <c r="CM320" t="s">
        <v>4912</v>
      </c>
      <c r="CN320" t="s">
        <v>235</v>
      </c>
      <c r="CO320" t="s">
        <v>183</v>
      </c>
      <c r="CP320" t="s">
        <v>266</v>
      </c>
      <c r="CS320" t="s">
        <v>198</v>
      </c>
      <c r="CT320" t="s">
        <v>4764</v>
      </c>
      <c r="CU320" t="s">
        <v>292</v>
      </c>
      <c r="CV320" t="s">
        <v>293</v>
      </c>
      <c r="CW320" t="s">
        <v>4913</v>
      </c>
      <c r="CX320" t="s">
        <v>235</v>
      </c>
      <c r="CY320" t="s">
        <v>183</v>
      </c>
      <c r="CZ320" t="s">
        <v>211</v>
      </c>
      <c r="DA320" t="s">
        <v>298</v>
      </c>
      <c r="DC320" t="s">
        <v>4914</v>
      </c>
      <c r="DD320" t="s">
        <v>4727</v>
      </c>
      <c r="DE320" t="s">
        <v>273</v>
      </c>
      <c r="DF320" t="s">
        <v>274</v>
      </c>
      <c r="DG320" t="s">
        <v>4915</v>
      </c>
      <c r="DH320" t="s">
        <v>235</v>
      </c>
      <c r="DI320" t="s">
        <v>183</v>
      </c>
      <c r="DJ320" t="s">
        <v>211</v>
      </c>
      <c r="DK320" t="s">
        <v>270</v>
      </c>
      <c r="DM320" t="s">
        <v>4916</v>
      </c>
      <c r="DW320" t="s">
        <v>198</v>
      </c>
      <c r="EG320" t="s">
        <v>198</v>
      </c>
      <c r="EQ320" t="s">
        <v>198</v>
      </c>
      <c r="FA320" t="s">
        <v>198</v>
      </c>
      <c r="FK320" t="s">
        <v>198</v>
      </c>
      <c r="FU320" t="s">
        <v>198</v>
      </c>
    </row>
    <row r="321" spans="1:177">
      <c r="A321" s="1" t="str">
        <f>HYPERLINK("http://digipan.lumentumllc.com/apps/getLink/index.php?t=PropLink&amp;p=6594283","PL")</f>
        <v>PL</v>
      </c>
      <c r="B321" s="1" t="str">
        <f>HYPERLINK("http://digipan.lumentumllc.com/apps/getLink/index.php?t=TaxLink&amp;p=6594283","TL")</f>
        <v>TL</v>
      </c>
      <c r="C321" s="1" t="str">
        <f>HYPERLINK("http://digipan.lumentumllc.com/apps/getMap/index.php?p=6594283","Map")</f>
        <v>Map</v>
      </c>
      <c r="E321" t="s">
        <v>177</v>
      </c>
      <c r="F321" t="s">
        <v>178</v>
      </c>
      <c r="L321" t="s">
        <v>4917</v>
      </c>
      <c r="N321" t="s">
        <v>4917</v>
      </c>
      <c r="O321" t="s">
        <v>4917</v>
      </c>
      <c r="P321" t="s">
        <v>4918</v>
      </c>
      <c r="Q321" t="s">
        <v>4917</v>
      </c>
      <c r="V321">
        <v>370</v>
      </c>
      <c r="W321">
        <v>2</v>
      </c>
      <c r="X321">
        <v>2017</v>
      </c>
      <c r="Y321">
        <v>2018</v>
      </c>
      <c r="Z321">
        <v>517.69000000000005</v>
      </c>
      <c r="AB321" t="s">
        <v>181</v>
      </c>
      <c r="AC321" t="s">
        <v>182</v>
      </c>
      <c r="AD321" t="s">
        <v>183</v>
      </c>
      <c r="AE321">
        <v>1</v>
      </c>
      <c r="AF321">
        <v>2</v>
      </c>
      <c r="AG321" t="s">
        <v>363</v>
      </c>
      <c r="AH321">
        <v>67</v>
      </c>
      <c r="AI321">
        <v>500.66</v>
      </c>
      <c r="AJ321">
        <v>25.03</v>
      </c>
      <c r="AK321">
        <v>525.69000000000005</v>
      </c>
      <c r="AL321">
        <v>29665</v>
      </c>
      <c r="AM321">
        <v>18480</v>
      </c>
      <c r="AN321">
        <v>11185</v>
      </c>
      <c r="AO321">
        <v>438</v>
      </c>
      <c r="AP321">
        <v>2016</v>
      </c>
      <c r="AQ321">
        <v>1.75</v>
      </c>
      <c r="AR321">
        <v>1.77</v>
      </c>
      <c r="AS321" t="s">
        <v>4919</v>
      </c>
      <c r="AT321" t="s">
        <v>420</v>
      </c>
      <c r="AU321" t="s">
        <v>177</v>
      </c>
      <c r="AV321" t="s">
        <v>421</v>
      </c>
      <c r="AW321" t="s">
        <v>182</v>
      </c>
      <c r="AX321">
        <v>17</v>
      </c>
      <c r="AY321" t="s">
        <v>3641</v>
      </c>
      <c r="AZ321" t="s">
        <v>471</v>
      </c>
      <c r="BA321" t="s">
        <v>4920</v>
      </c>
      <c r="BB321" t="s">
        <v>191</v>
      </c>
      <c r="BC321" t="s">
        <v>182</v>
      </c>
      <c r="BD321" t="s">
        <v>182</v>
      </c>
      <c r="BE321" t="s">
        <v>4906</v>
      </c>
      <c r="BF321">
        <v>1</v>
      </c>
      <c r="BG321">
        <v>0</v>
      </c>
      <c r="BH321">
        <v>1979</v>
      </c>
      <c r="BI321" t="s">
        <v>4556</v>
      </c>
      <c r="BJ321" t="s">
        <v>194</v>
      </c>
      <c r="BK321" t="s">
        <v>195</v>
      </c>
      <c r="BL321" t="s">
        <v>199</v>
      </c>
      <c r="BM321" t="s">
        <v>292</v>
      </c>
      <c r="BN321" t="s">
        <v>182</v>
      </c>
      <c r="BO321" t="s">
        <v>198</v>
      </c>
      <c r="BP321" t="s">
        <v>198</v>
      </c>
      <c r="BQ321" t="s">
        <v>198</v>
      </c>
      <c r="BR321" t="s">
        <v>198</v>
      </c>
      <c r="BS321" t="s">
        <v>198</v>
      </c>
      <c r="BT321" t="s">
        <v>198</v>
      </c>
      <c r="BU321" t="s">
        <v>182</v>
      </c>
      <c r="BV321" t="s">
        <v>198</v>
      </c>
      <c r="BW321" t="s">
        <v>198</v>
      </c>
      <c r="BX321" t="s">
        <v>199</v>
      </c>
      <c r="BY321" t="s">
        <v>198</v>
      </c>
      <c r="BZ321" t="s">
        <v>199</v>
      </c>
      <c r="CA321" t="s">
        <v>199</v>
      </c>
      <c r="CB321" t="s">
        <v>4908</v>
      </c>
      <c r="CC321" t="s">
        <v>201</v>
      </c>
      <c r="CD321" t="s">
        <v>182</v>
      </c>
      <c r="CE321" t="s">
        <v>4909</v>
      </c>
      <c r="CF321" t="s">
        <v>425</v>
      </c>
      <c r="CG321" t="s">
        <v>177</v>
      </c>
      <c r="CH321" t="s">
        <v>421</v>
      </c>
      <c r="CI321" t="s">
        <v>4921</v>
      </c>
      <c r="CJ321" t="s">
        <v>4922</v>
      </c>
      <c r="CK321" t="s">
        <v>232</v>
      </c>
      <c r="CL321" t="s">
        <v>233</v>
      </c>
      <c r="CM321" t="s">
        <v>4923</v>
      </c>
      <c r="CN321" t="s">
        <v>235</v>
      </c>
      <c r="CO321" t="s">
        <v>183</v>
      </c>
      <c r="CP321" t="s">
        <v>266</v>
      </c>
      <c r="CS321" t="s">
        <v>198</v>
      </c>
      <c r="CT321" t="s">
        <v>4784</v>
      </c>
      <c r="CU321" t="s">
        <v>292</v>
      </c>
      <c r="CV321" t="s">
        <v>293</v>
      </c>
      <c r="CW321" t="s">
        <v>4924</v>
      </c>
      <c r="CX321" t="s">
        <v>295</v>
      </c>
      <c r="CY321" t="s">
        <v>183</v>
      </c>
      <c r="CZ321" t="s">
        <v>211</v>
      </c>
      <c r="DA321" t="s">
        <v>298</v>
      </c>
      <c r="DC321" t="s">
        <v>4914</v>
      </c>
      <c r="DD321" t="s">
        <v>3224</v>
      </c>
      <c r="DE321" t="s">
        <v>273</v>
      </c>
      <c r="DF321" t="s">
        <v>274</v>
      </c>
      <c r="DG321" t="s">
        <v>4925</v>
      </c>
      <c r="DH321" t="s">
        <v>514</v>
      </c>
      <c r="DI321" t="s">
        <v>183</v>
      </c>
      <c r="DJ321" t="s">
        <v>211</v>
      </c>
      <c r="DK321" t="s">
        <v>270</v>
      </c>
      <c r="DM321" t="s">
        <v>4916</v>
      </c>
      <c r="DW321" t="s">
        <v>198</v>
      </c>
      <c r="EG321" t="s">
        <v>198</v>
      </c>
      <c r="EQ321" t="s">
        <v>198</v>
      </c>
      <c r="FA321" t="s">
        <v>198</v>
      </c>
      <c r="FK321" t="s">
        <v>198</v>
      </c>
      <c r="FU321" t="s">
        <v>198</v>
      </c>
    </row>
    <row r="322" spans="1:177">
      <c r="A322" s="1" t="str">
        <f>HYPERLINK("http://digipan.lumentumllc.com/apps/getLink/index.php?t=PropLink&amp;p=4637326","PL")</f>
        <v>PL</v>
      </c>
      <c r="B322" s="1" t="str">
        <f>HYPERLINK("http://digipan.lumentumllc.com/apps/getLink/index.php?t=TaxLink&amp;p=4637326","TL")</f>
        <v>TL</v>
      </c>
      <c r="C322" s="1" t="str">
        <f>HYPERLINK("http://digipan.lumentumllc.com/apps/getMap/index.php?p=4637326","Map")</f>
        <v>Map</v>
      </c>
      <c r="E322" t="s">
        <v>177</v>
      </c>
      <c r="F322" t="s">
        <v>178</v>
      </c>
      <c r="L322" t="s">
        <v>4926</v>
      </c>
      <c r="N322" t="s">
        <v>4926</v>
      </c>
      <c r="O322" t="s">
        <v>4926</v>
      </c>
      <c r="P322" t="s">
        <v>4927</v>
      </c>
      <c r="Q322" t="s">
        <v>4926</v>
      </c>
      <c r="V322">
        <v>371</v>
      </c>
      <c r="W322">
        <v>2</v>
      </c>
      <c r="X322">
        <v>2017</v>
      </c>
      <c r="Y322">
        <v>2018</v>
      </c>
      <c r="Z322">
        <v>1046.3499999999999</v>
      </c>
      <c r="AB322" t="s">
        <v>181</v>
      </c>
      <c r="AC322" t="s">
        <v>182</v>
      </c>
      <c r="AD322" t="s">
        <v>183</v>
      </c>
      <c r="AE322">
        <v>0</v>
      </c>
      <c r="AF322">
        <v>3</v>
      </c>
      <c r="AG322" t="s">
        <v>381</v>
      </c>
      <c r="AH322">
        <v>100</v>
      </c>
      <c r="AK322">
        <v>0</v>
      </c>
      <c r="AL322">
        <v>61954</v>
      </c>
      <c r="AM322">
        <v>40000</v>
      </c>
      <c r="AN322">
        <v>21954</v>
      </c>
      <c r="AO322">
        <v>913</v>
      </c>
      <c r="AP322">
        <v>2016</v>
      </c>
      <c r="AQ322">
        <v>1.69</v>
      </c>
      <c r="AS322" t="s">
        <v>4928</v>
      </c>
      <c r="AT322" t="s">
        <v>3747</v>
      </c>
      <c r="AU322" t="s">
        <v>177</v>
      </c>
      <c r="AV322" t="s">
        <v>1030</v>
      </c>
      <c r="AW322" t="s">
        <v>182</v>
      </c>
      <c r="AX322">
        <v>2</v>
      </c>
      <c r="AY322" t="s">
        <v>188</v>
      </c>
      <c r="AZ322" t="s">
        <v>189</v>
      </c>
      <c r="BA322" t="s">
        <v>190</v>
      </c>
      <c r="BB322" t="s">
        <v>191</v>
      </c>
      <c r="BC322" t="s">
        <v>182</v>
      </c>
      <c r="BD322" t="s">
        <v>182</v>
      </c>
      <c r="BE322" t="s">
        <v>247</v>
      </c>
      <c r="BF322">
        <v>1</v>
      </c>
      <c r="BG322">
        <v>1</v>
      </c>
      <c r="BH322">
        <v>1995</v>
      </c>
      <c r="BI322" t="s">
        <v>2209</v>
      </c>
      <c r="BJ322" t="s">
        <v>194</v>
      </c>
      <c r="BK322" t="s">
        <v>195</v>
      </c>
      <c r="BL322" t="s">
        <v>797</v>
      </c>
      <c r="BM322" t="s">
        <v>232</v>
      </c>
      <c r="BN322" t="s">
        <v>182</v>
      </c>
      <c r="BO322" t="s">
        <v>4929</v>
      </c>
      <c r="BP322" t="s">
        <v>2212</v>
      </c>
      <c r="BQ322" t="s">
        <v>226</v>
      </c>
      <c r="BR322" t="s">
        <v>227</v>
      </c>
      <c r="BS322" t="s">
        <v>198</v>
      </c>
      <c r="BT322" t="s">
        <v>4930</v>
      </c>
      <c r="BU322" t="s">
        <v>182</v>
      </c>
      <c r="BV322" t="s">
        <v>198</v>
      </c>
      <c r="BW322" t="s">
        <v>198</v>
      </c>
      <c r="BX322" t="s">
        <v>199</v>
      </c>
      <c r="BY322" t="s">
        <v>198</v>
      </c>
      <c r="BZ322" t="s">
        <v>199</v>
      </c>
      <c r="CA322" t="s">
        <v>199</v>
      </c>
      <c r="CB322" t="s">
        <v>4931</v>
      </c>
      <c r="CC322" t="s">
        <v>201</v>
      </c>
      <c r="CD322" t="s">
        <v>202</v>
      </c>
      <c r="CE322" t="s">
        <v>4932</v>
      </c>
      <c r="CF322" t="s">
        <v>2333</v>
      </c>
      <c r="CG322" t="s">
        <v>177</v>
      </c>
      <c r="CH322" t="s">
        <v>2334</v>
      </c>
      <c r="CI322" t="s">
        <v>1745</v>
      </c>
      <c r="CJ322" t="s">
        <v>4933</v>
      </c>
      <c r="CK322" t="s">
        <v>267</v>
      </c>
      <c r="CL322" t="s">
        <v>268</v>
      </c>
      <c r="CM322" t="s">
        <v>4934</v>
      </c>
      <c r="CN322" t="s">
        <v>331</v>
      </c>
      <c r="CO322" t="s">
        <v>183</v>
      </c>
      <c r="CP322" t="s">
        <v>211</v>
      </c>
      <c r="CQ322" t="s">
        <v>290</v>
      </c>
      <c r="CS322" t="s">
        <v>1344</v>
      </c>
      <c r="CT322" t="s">
        <v>4779</v>
      </c>
      <c r="CU322" t="s">
        <v>273</v>
      </c>
      <c r="CV322" t="s">
        <v>274</v>
      </c>
      <c r="CW322" t="s">
        <v>4935</v>
      </c>
      <c r="CX322" t="s">
        <v>514</v>
      </c>
      <c r="CY322" t="s">
        <v>183</v>
      </c>
      <c r="CZ322" t="s">
        <v>211</v>
      </c>
      <c r="DA322" t="s">
        <v>523</v>
      </c>
      <c r="DC322" t="s">
        <v>1344</v>
      </c>
      <c r="DD322" t="s">
        <v>4936</v>
      </c>
      <c r="DE322" t="s">
        <v>302</v>
      </c>
      <c r="DF322" t="s">
        <v>303</v>
      </c>
      <c r="DG322" t="s">
        <v>4937</v>
      </c>
      <c r="DH322" t="s">
        <v>235</v>
      </c>
      <c r="DI322" t="s">
        <v>183</v>
      </c>
      <c r="DJ322" t="s">
        <v>211</v>
      </c>
      <c r="DK322" t="s">
        <v>806</v>
      </c>
      <c r="DM322" t="s">
        <v>1344</v>
      </c>
      <c r="DW322" t="s">
        <v>198</v>
      </c>
      <c r="EG322" t="s">
        <v>198</v>
      </c>
      <c r="EQ322" t="s">
        <v>198</v>
      </c>
      <c r="FA322" t="s">
        <v>198</v>
      </c>
      <c r="FK322" t="s">
        <v>198</v>
      </c>
      <c r="FU322" t="s">
        <v>198</v>
      </c>
    </row>
    <row r="323" spans="1:177">
      <c r="A323" s="1" t="str">
        <f>HYPERLINK("http://digipan.lumentumllc.com/apps/getLink/index.php?t=PropLink&amp;p=6461751","PL")</f>
        <v>PL</v>
      </c>
      <c r="B323" s="1" t="str">
        <f>HYPERLINK("http://digipan.lumentumllc.com/apps/getLink/index.php?t=TaxLink&amp;p=6461751","TL")</f>
        <v>TL</v>
      </c>
      <c r="C323" s="1" t="str">
        <f>HYPERLINK("http://digipan.lumentumllc.com/apps/getMap/index.php?p=6461751","Map")</f>
        <v>Map</v>
      </c>
      <c r="E323" t="s">
        <v>177</v>
      </c>
      <c r="F323" t="s">
        <v>178</v>
      </c>
      <c r="L323" t="s">
        <v>4938</v>
      </c>
      <c r="N323" t="s">
        <v>4938</v>
      </c>
      <c r="O323" t="s">
        <v>4938</v>
      </c>
      <c r="P323" t="s">
        <v>4939</v>
      </c>
      <c r="Q323" t="s">
        <v>4938</v>
      </c>
      <c r="V323">
        <v>372</v>
      </c>
      <c r="W323">
        <v>2</v>
      </c>
      <c r="X323">
        <v>2017</v>
      </c>
      <c r="Y323">
        <v>2018</v>
      </c>
      <c r="Z323">
        <v>494.16</v>
      </c>
      <c r="AB323" t="s">
        <v>181</v>
      </c>
      <c r="AC323" t="s">
        <v>182</v>
      </c>
      <c r="AD323" t="s">
        <v>183</v>
      </c>
      <c r="AE323">
        <v>1</v>
      </c>
      <c r="AF323">
        <v>3</v>
      </c>
      <c r="AG323" t="s">
        <v>257</v>
      </c>
      <c r="AH323">
        <v>75</v>
      </c>
      <c r="AI323">
        <v>407.86</v>
      </c>
      <c r="AJ323">
        <v>20.39</v>
      </c>
      <c r="AK323">
        <v>428.25</v>
      </c>
      <c r="AL323">
        <v>32100</v>
      </c>
      <c r="AM323">
        <v>15000</v>
      </c>
      <c r="AN323">
        <v>17100</v>
      </c>
      <c r="AO323">
        <v>352</v>
      </c>
      <c r="AP323">
        <v>2016</v>
      </c>
      <c r="AQ323">
        <v>1.54</v>
      </c>
      <c r="AR323">
        <v>1.33</v>
      </c>
      <c r="AS323" t="s">
        <v>4940</v>
      </c>
      <c r="AT323" t="s">
        <v>3747</v>
      </c>
      <c r="AU323" t="s">
        <v>177</v>
      </c>
      <c r="AV323" t="s">
        <v>1030</v>
      </c>
      <c r="AW323" t="s">
        <v>182</v>
      </c>
      <c r="AX323">
        <v>2</v>
      </c>
      <c r="AY323" t="s">
        <v>188</v>
      </c>
      <c r="AZ323" t="s">
        <v>189</v>
      </c>
      <c r="BA323" t="s">
        <v>190</v>
      </c>
      <c r="BB323" t="s">
        <v>191</v>
      </c>
      <c r="BC323" t="s">
        <v>182</v>
      </c>
      <c r="BD323" t="s">
        <v>182</v>
      </c>
      <c r="BE323" t="s">
        <v>383</v>
      </c>
      <c r="BF323">
        <v>1</v>
      </c>
      <c r="BG323">
        <v>1</v>
      </c>
      <c r="BH323">
        <v>1993</v>
      </c>
      <c r="BI323" t="s">
        <v>4941</v>
      </c>
      <c r="BJ323" t="s">
        <v>194</v>
      </c>
      <c r="BK323" t="s">
        <v>195</v>
      </c>
      <c r="BL323" t="s">
        <v>199</v>
      </c>
      <c r="BM323" t="s">
        <v>238</v>
      </c>
      <c r="BN323" t="s">
        <v>182</v>
      </c>
      <c r="BO323" t="s">
        <v>198</v>
      </c>
      <c r="BP323" t="s">
        <v>198</v>
      </c>
      <c r="BQ323" t="s">
        <v>198</v>
      </c>
      <c r="BR323" t="s">
        <v>198</v>
      </c>
      <c r="BS323" t="s">
        <v>198</v>
      </c>
      <c r="BT323" t="s">
        <v>198</v>
      </c>
      <c r="BU323" t="s">
        <v>182</v>
      </c>
      <c r="BV323" t="s">
        <v>198</v>
      </c>
      <c r="BW323" t="s">
        <v>198</v>
      </c>
      <c r="BX323" t="s">
        <v>199</v>
      </c>
      <c r="BY323" t="s">
        <v>198</v>
      </c>
      <c r="BZ323" t="s">
        <v>199</v>
      </c>
      <c r="CA323" t="s">
        <v>199</v>
      </c>
      <c r="CB323" t="s">
        <v>4942</v>
      </c>
      <c r="CC323" t="s">
        <v>201</v>
      </c>
      <c r="CD323" t="s">
        <v>182</v>
      </c>
      <c r="CE323" t="s">
        <v>4943</v>
      </c>
      <c r="CF323" t="s">
        <v>1029</v>
      </c>
      <c r="CG323" t="s">
        <v>177</v>
      </c>
      <c r="CH323" t="s">
        <v>1030</v>
      </c>
      <c r="CI323" t="s">
        <v>4944</v>
      </c>
      <c r="CJ323" t="s">
        <v>4874</v>
      </c>
      <c r="CK323" t="s">
        <v>232</v>
      </c>
      <c r="CL323" t="s">
        <v>233</v>
      </c>
      <c r="CM323" t="s">
        <v>4945</v>
      </c>
      <c r="CN323" t="s">
        <v>305</v>
      </c>
      <c r="CO323" t="s">
        <v>183</v>
      </c>
      <c r="CP323" t="s">
        <v>266</v>
      </c>
      <c r="CS323" t="s">
        <v>198</v>
      </c>
      <c r="CT323" t="s">
        <v>3060</v>
      </c>
      <c r="CU323" t="s">
        <v>292</v>
      </c>
      <c r="CV323" t="s">
        <v>293</v>
      </c>
      <c r="CW323" t="s">
        <v>4946</v>
      </c>
      <c r="CX323" t="s">
        <v>295</v>
      </c>
      <c r="CY323" t="s">
        <v>183</v>
      </c>
      <c r="CZ323" t="s">
        <v>211</v>
      </c>
      <c r="DA323" t="s">
        <v>298</v>
      </c>
      <c r="DC323" t="s">
        <v>4023</v>
      </c>
      <c r="DD323" t="s">
        <v>3296</v>
      </c>
      <c r="DE323" t="s">
        <v>273</v>
      </c>
      <c r="DF323" t="s">
        <v>274</v>
      </c>
      <c r="DG323" t="s">
        <v>4947</v>
      </c>
      <c r="DH323" t="s">
        <v>235</v>
      </c>
      <c r="DI323" t="s">
        <v>183</v>
      </c>
      <c r="DJ323" t="s">
        <v>211</v>
      </c>
      <c r="DK323" t="s">
        <v>270</v>
      </c>
      <c r="DM323" t="s">
        <v>1447</v>
      </c>
      <c r="DN323" t="s">
        <v>4948</v>
      </c>
      <c r="DO323" t="s">
        <v>302</v>
      </c>
      <c r="DP323" t="s">
        <v>303</v>
      </c>
      <c r="DQ323" t="s">
        <v>4949</v>
      </c>
      <c r="DR323" t="s">
        <v>305</v>
      </c>
      <c r="DS323" t="s">
        <v>183</v>
      </c>
      <c r="DT323" t="s">
        <v>211</v>
      </c>
      <c r="DU323" t="s">
        <v>342</v>
      </c>
      <c r="DW323" t="s">
        <v>4408</v>
      </c>
      <c r="EG323" t="s">
        <v>198</v>
      </c>
      <c r="EQ323" t="s">
        <v>198</v>
      </c>
      <c r="FA323" t="s">
        <v>198</v>
      </c>
      <c r="FK323" t="s">
        <v>198</v>
      </c>
      <c r="FU323" t="s">
        <v>198</v>
      </c>
    </row>
    <row r="324" spans="1:177">
      <c r="A324" s="1" t="str">
        <f>HYPERLINK("http://digipan.lumentumllc.com/apps/getLink/index.php?t=PropLink&amp;p=6594116","PL")</f>
        <v>PL</v>
      </c>
      <c r="B324" s="1" t="str">
        <f>HYPERLINK("http://digipan.lumentumllc.com/apps/getLink/index.php?t=TaxLink&amp;p=6594116","TL")</f>
        <v>TL</v>
      </c>
      <c r="C324" s="1" t="str">
        <f>HYPERLINK("http://digipan.lumentumllc.com/apps/getMap/index.php?p=6594116","Map")</f>
        <v>Map</v>
      </c>
      <c r="E324" t="s">
        <v>177</v>
      </c>
      <c r="F324" t="s">
        <v>178</v>
      </c>
      <c r="L324" t="s">
        <v>4950</v>
      </c>
      <c r="N324" t="s">
        <v>4950</v>
      </c>
      <c r="O324" t="s">
        <v>4950</v>
      </c>
      <c r="P324" t="s">
        <v>4951</v>
      </c>
      <c r="Q324" t="s">
        <v>4950</v>
      </c>
      <c r="V324">
        <v>373</v>
      </c>
      <c r="W324">
        <v>2</v>
      </c>
      <c r="X324">
        <v>2017</v>
      </c>
      <c r="Y324">
        <v>2018</v>
      </c>
      <c r="Z324">
        <v>1100.03</v>
      </c>
      <c r="AB324" t="s">
        <v>181</v>
      </c>
      <c r="AC324" t="s">
        <v>182</v>
      </c>
      <c r="AD324" t="s">
        <v>183</v>
      </c>
      <c r="AE324">
        <v>0</v>
      </c>
      <c r="AF324">
        <v>1</v>
      </c>
      <c r="AG324" t="s">
        <v>821</v>
      </c>
      <c r="AH324">
        <v>100</v>
      </c>
      <c r="AK324">
        <v>0</v>
      </c>
      <c r="AL324">
        <v>65232</v>
      </c>
      <c r="AM324">
        <v>26960</v>
      </c>
      <c r="AN324">
        <v>38272</v>
      </c>
      <c r="AO324">
        <v>1007</v>
      </c>
      <c r="AP324">
        <v>2016</v>
      </c>
      <c r="AQ324">
        <v>1.69</v>
      </c>
      <c r="AS324" t="s">
        <v>4952</v>
      </c>
      <c r="AT324" t="s">
        <v>3747</v>
      </c>
      <c r="AU324" t="s">
        <v>177</v>
      </c>
      <c r="AV324" t="s">
        <v>1030</v>
      </c>
      <c r="AW324" t="s">
        <v>182</v>
      </c>
      <c r="AX324">
        <v>1</v>
      </c>
      <c r="AY324" t="s">
        <v>188</v>
      </c>
      <c r="AZ324" t="s">
        <v>206</v>
      </c>
      <c r="BA324" t="s">
        <v>355</v>
      </c>
      <c r="BB324" t="s">
        <v>191</v>
      </c>
      <c r="BC324" t="s">
        <v>182</v>
      </c>
      <c r="BD324" t="s">
        <v>182</v>
      </c>
      <c r="BE324" t="s">
        <v>4953</v>
      </c>
      <c r="BF324">
        <v>2</v>
      </c>
      <c r="BG324">
        <v>2</v>
      </c>
      <c r="BH324">
        <v>1950</v>
      </c>
      <c r="BI324" t="s">
        <v>4954</v>
      </c>
      <c r="BJ324" t="s">
        <v>315</v>
      </c>
      <c r="BK324" t="s">
        <v>195</v>
      </c>
      <c r="BL324" t="s">
        <v>199</v>
      </c>
      <c r="BM324" t="s">
        <v>207</v>
      </c>
      <c r="BN324" t="s">
        <v>182</v>
      </c>
      <c r="BO324" t="s">
        <v>198</v>
      </c>
      <c r="BP324" t="s">
        <v>198</v>
      </c>
      <c r="BQ324" t="s">
        <v>198</v>
      </c>
      <c r="BR324" t="s">
        <v>198</v>
      </c>
      <c r="BS324" t="s">
        <v>198</v>
      </c>
      <c r="BT324" t="s">
        <v>198</v>
      </c>
      <c r="BU324" t="s">
        <v>182</v>
      </c>
      <c r="BV324" t="s">
        <v>198</v>
      </c>
      <c r="BW324" t="s">
        <v>198</v>
      </c>
      <c r="BX324" t="s">
        <v>199</v>
      </c>
      <c r="BY324" t="s">
        <v>198</v>
      </c>
      <c r="BZ324" t="s">
        <v>199</v>
      </c>
      <c r="CA324" t="s">
        <v>199</v>
      </c>
      <c r="CB324" t="s">
        <v>4955</v>
      </c>
      <c r="CC324" t="s">
        <v>201</v>
      </c>
      <c r="CD324" t="s">
        <v>202</v>
      </c>
      <c r="CE324" t="s">
        <v>4956</v>
      </c>
      <c r="CF324" t="s">
        <v>1029</v>
      </c>
      <c r="CG324" t="s">
        <v>177</v>
      </c>
      <c r="CH324" t="s">
        <v>1030</v>
      </c>
      <c r="CI324" t="s">
        <v>4957</v>
      </c>
      <c r="CJ324" t="s">
        <v>4958</v>
      </c>
      <c r="CK324" t="s">
        <v>273</v>
      </c>
      <c r="CL324" t="s">
        <v>274</v>
      </c>
      <c r="CM324" t="s">
        <v>4959</v>
      </c>
      <c r="CN324" t="s">
        <v>235</v>
      </c>
      <c r="CO324" t="s">
        <v>183</v>
      </c>
      <c r="CP324" t="s">
        <v>211</v>
      </c>
      <c r="CQ324" t="s">
        <v>199</v>
      </c>
      <c r="CS324" t="s">
        <v>4960</v>
      </c>
      <c r="DC324" t="s">
        <v>198</v>
      </c>
      <c r="DM324" t="s">
        <v>198</v>
      </c>
      <c r="DW324" t="s">
        <v>198</v>
      </c>
      <c r="EG324" t="s">
        <v>198</v>
      </c>
      <c r="EQ324" t="s">
        <v>198</v>
      </c>
      <c r="FA324" t="s">
        <v>198</v>
      </c>
      <c r="FK324" t="s">
        <v>198</v>
      </c>
      <c r="FU324" t="s">
        <v>198</v>
      </c>
    </row>
    <row r="325" spans="1:177">
      <c r="A325" s="1" t="str">
        <f>HYPERLINK("http://digipan.lumentumllc.com/apps/getLink/index.php?t=PropLink&amp;p=4637327","PL")</f>
        <v>PL</v>
      </c>
      <c r="B325" s="1" t="str">
        <f>HYPERLINK("http://digipan.lumentumllc.com/apps/getLink/index.php?t=TaxLink&amp;p=4637327","TL")</f>
        <v>TL</v>
      </c>
      <c r="C325" s="1" t="str">
        <f>HYPERLINK("http://digipan.lumentumllc.com/apps/getMap/index.php?p=4637327","Map")</f>
        <v>Map</v>
      </c>
      <c r="E325" t="s">
        <v>177</v>
      </c>
      <c r="F325" t="s">
        <v>178</v>
      </c>
      <c r="L325" t="s">
        <v>4961</v>
      </c>
      <c r="N325" t="s">
        <v>4961</v>
      </c>
      <c r="O325" t="s">
        <v>4961</v>
      </c>
      <c r="P325" t="s">
        <v>4962</v>
      </c>
      <c r="Q325" t="s">
        <v>4961</v>
      </c>
      <c r="V325">
        <v>374</v>
      </c>
      <c r="W325">
        <v>2</v>
      </c>
      <c r="X325">
        <v>2017</v>
      </c>
      <c r="Y325">
        <v>2018</v>
      </c>
      <c r="Z325">
        <v>1429.75</v>
      </c>
      <c r="AB325" t="s">
        <v>181</v>
      </c>
      <c r="AC325" t="s">
        <v>182</v>
      </c>
      <c r="AD325" t="s">
        <v>183</v>
      </c>
      <c r="AE325">
        <v>0</v>
      </c>
      <c r="AF325">
        <v>2</v>
      </c>
      <c r="AG325" t="s">
        <v>216</v>
      </c>
      <c r="AH325">
        <v>100</v>
      </c>
      <c r="AK325">
        <v>0</v>
      </c>
      <c r="AL325">
        <v>124475</v>
      </c>
      <c r="AM325">
        <v>30000</v>
      </c>
      <c r="AN325">
        <v>94475</v>
      </c>
      <c r="AO325">
        <v>1337</v>
      </c>
      <c r="AP325">
        <v>2016</v>
      </c>
      <c r="AQ325">
        <v>1.1499999999999999</v>
      </c>
      <c r="AS325" t="s">
        <v>4963</v>
      </c>
      <c r="AT325" t="s">
        <v>3747</v>
      </c>
      <c r="AU325" t="s">
        <v>177</v>
      </c>
      <c r="AV325" t="s">
        <v>1030</v>
      </c>
      <c r="AW325" t="s">
        <v>202</v>
      </c>
      <c r="AX325">
        <v>2</v>
      </c>
      <c r="AY325" t="s">
        <v>188</v>
      </c>
      <c r="AZ325" t="s">
        <v>189</v>
      </c>
      <c r="BA325" t="s">
        <v>190</v>
      </c>
      <c r="BB325" t="s">
        <v>191</v>
      </c>
      <c r="BC325" t="s">
        <v>182</v>
      </c>
      <c r="BD325" t="s">
        <v>182</v>
      </c>
      <c r="BE325" t="s">
        <v>838</v>
      </c>
      <c r="BF325">
        <v>1</v>
      </c>
      <c r="BG325">
        <v>1</v>
      </c>
      <c r="BH325">
        <v>2015</v>
      </c>
      <c r="BI325" t="s">
        <v>4667</v>
      </c>
      <c r="BJ325" t="s">
        <v>194</v>
      </c>
      <c r="BK325" t="s">
        <v>195</v>
      </c>
      <c r="BL325" t="s">
        <v>2395</v>
      </c>
      <c r="BM325" t="s">
        <v>292</v>
      </c>
      <c r="BN325" t="s">
        <v>182</v>
      </c>
      <c r="BO325" t="s">
        <v>198</v>
      </c>
      <c r="BP325" t="s">
        <v>198</v>
      </c>
      <c r="BQ325" t="s">
        <v>198</v>
      </c>
      <c r="BR325" t="s">
        <v>198</v>
      </c>
      <c r="BS325" t="s">
        <v>198</v>
      </c>
      <c r="BT325" t="s">
        <v>198</v>
      </c>
      <c r="BU325" t="s">
        <v>182</v>
      </c>
      <c r="BV325" t="s">
        <v>198</v>
      </c>
      <c r="BW325" t="s">
        <v>198</v>
      </c>
      <c r="BX325" t="s">
        <v>199</v>
      </c>
      <c r="BY325" t="s">
        <v>198</v>
      </c>
      <c r="BZ325" t="s">
        <v>199</v>
      </c>
      <c r="CA325" t="s">
        <v>199</v>
      </c>
      <c r="CB325" t="s">
        <v>4964</v>
      </c>
      <c r="CC325" t="s">
        <v>201</v>
      </c>
      <c r="CD325" t="s">
        <v>202</v>
      </c>
      <c r="CE325" t="s">
        <v>4965</v>
      </c>
      <c r="CF325" t="s">
        <v>1029</v>
      </c>
      <c r="CG325" t="s">
        <v>177</v>
      </c>
      <c r="CH325" t="s">
        <v>1030</v>
      </c>
      <c r="CI325" t="s">
        <v>4966</v>
      </c>
      <c r="CJ325" t="s">
        <v>3504</v>
      </c>
      <c r="CK325" t="s">
        <v>273</v>
      </c>
      <c r="CL325" t="s">
        <v>274</v>
      </c>
      <c r="CM325" t="s">
        <v>2002</v>
      </c>
      <c r="CN325" t="s">
        <v>1180</v>
      </c>
      <c r="CO325" t="s">
        <v>183</v>
      </c>
      <c r="CP325" t="s">
        <v>211</v>
      </c>
      <c r="CQ325" t="s">
        <v>212</v>
      </c>
      <c r="CS325" t="s">
        <v>4967</v>
      </c>
      <c r="CT325" t="s">
        <v>3636</v>
      </c>
      <c r="CU325" t="s">
        <v>302</v>
      </c>
      <c r="CV325" t="s">
        <v>303</v>
      </c>
      <c r="CW325" t="s">
        <v>4968</v>
      </c>
      <c r="CX325" t="s">
        <v>235</v>
      </c>
      <c r="CY325" t="s">
        <v>183</v>
      </c>
      <c r="CZ325" t="s">
        <v>211</v>
      </c>
      <c r="DA325" t="s">
        <v>334</v>
      </c>
      <c r="DC325" t="s">
        <v>4967</v>
      </c>
      <c r="DM325" t="s">
        <v>198</v>
      </c>
      <c r="DW325" t="s">
        <v>198</v>
      </c>
      <c r="EG325" t="s">
        <v>198</v>
      </c>
      <c r="EQ325" t="s">
        <v>198</v>
      </c>
      <c r="FA325" t="s">
        <v>198</v>
      </c>
      <c r="FK325" t="s">
        <v>198</v>
      </c>
      <c r="FU325" t="s">
        <v>198</v>
      </c>
    </row>
    <row r="326" spans="1:177">
      <c r="A326" s="1" t="str">
        <f>HYPERLINK("http://digipan.lumentumllc.com/apps/getLink/index.php?t=PropLink&amp;p=5245534","PL")</f>
        <v>PL</v>
      </c>
      <c r="B326" s="1" t="str">
        <f>HYPERLINK("http://digipan.lumentumllc.com/apps/getLink/index.php?t=TaxLink&amp;p=5245534","TL")</f>
        <v>TL</v>
      </c>
      <c r="C326" s="1" t="str">
        <f>HYPERLINK("http://digipan.lumentumllc.com/apps/getMap/index.php?p=5245534","Map")</f>
        <v>Map</v>
      </c>
      <c r="E326" t="s">
        <v>177</v>
      </c>
      <c r="F326" t="s">
        <v>178</v>
      </c>
      <c r="L326" t="s">
        <v>4969</v>
      </c>
      <c r="N326" t="s">
        <v>4969</v>
      </c>
      <c r="O326" t="s">
        <v>4969</v>
      </c>
      <c r="P326" t="s">
        <v>4970</v>
      </c>
      <c r="Q326" t="s">
        <v>4969</v>
      </c>
      <c r="V326">
        <v>378</v>
      </c>
      <c r="W326">
        <v>2</v>
      </c>
      <c r="X326">
        <v>2017</v>
      </c>
      <c r="Y326">
        <v>2018</v>
      </c>
      <c r="Z326">
        <v>446.31</v>
      </c>
      <c r="AB326" t="s">
        <v>181</v>
      </c>
      <c r="AC326" t="s">
        <v>182</v>
      </c>
      <c r="AD326" t="s">
        <v>183</v>
      </c>
      <c r="AE326">
        <v>1</v>
      </c>
      <c r="AF326">
        <v>7</v>
      </c>
      <c r="AG326" t="s">
        <v>418</v>
      </c>
      <c r="AH326">
        <v>86</v>
      </c>
      <c r="AI326">
        <v>436.32</v>
      </c>
      <c r="AJ326">
        <v>21.82</v>
      </c>
      <c r="AK326">
        <v>458.14</v>
      </c>
      <c r="AL326">
        <v>63779</v>
      </c>
      <c r="AM326">
        <v>20910</v>
      </c>
      <c r="AN326">
        <v>42869</v>
      </c>
      <c r="AO326">
        <v>378</v>
      </c>
      <c r="AP326">
        <v>2016</v>
      </c>
      <c r="AQ326">
        <v>0.7</v>
      </c>
      <c r="AR326">
        <v>0.72</v>
      </c>
      <c r="AS326" t="s">
        <v>4971</v>
      </c>
      <c r="AT326" t="s">
        <v>3747</v>
      </c>
      <c r="AU326" t="s">
        <v>177</v>
      </c>
      <c r="AV326" t="s">
        <v>1030</v>
      </c>
      <c r="AW326" t="s">
        <v>202</v>
      </c>
      <c r="AX326">
        <v>2</v>
      </c>
      <c r="AY326" t="s">
        <v>188</v>
      </c>
      <c r="AZ326" t="s">
        <v>189</v>
      </c>
      <c r="BA326" t="s">
        <v>190</v>
      </c>
      <c r="BB326" t="s">
        <v>191</v>
      </c>
      <c r="BC326" t="s">
        <v>182</v>
      </c>
      <c r="BD326" t="s">
        <v>182</v>
      </c>
      <c r="BE326" t="s">
        <v>4972</v>
      </c>
      <c r="BF326">
        <v>1</v>
      </c>
      <c r="BG326">
        <v>1</v>
      </c>
      <c r="BH326">
        <v>1996</v>
      </c>
      <c r="BI326" t="s">
        <v>450</v>
      </c>
      <c r="BJ326" t="s">
        <v>194</v>
      </c>
      <c r="BK326" t="s">
        <v>195</v>
      </c>
      <c r="BL326" t="s">
        <v>1144</v>
      </c>
      <c r="BM326" t="s">
        <v>4973</v>
      </c>
      <c r="BN326" t="s">
        <v>182</v>
      </c>
      <c r="BO326" t="s">
        <v>3842</v>
      </c>
      <c r="BP326" t="s">
        <v>4974</v>
      </c>
      <c r="BS326" t="s">
        <v>4975</v>
      </c>
      <c r="BT326" t="s">
        <v>198</v>
      </c>
      <c r="BU326" t="s">
        <v>182</v>
      </c>
      <c r="BV326" t="s">
        <v>198</v>
      </c>
      <c r="BW326" t="s">
        <v>198</v>
      </c>
      <c r="BX326" t="s">
        <v>199</v>
      </c>
      <c r="BY326" t="s">
        <v>198</v>
      </c>
      <c r="BZ326" t="s">
        <v>199</v>
      </c>
      <c r="CA326" t="s">
        <v>199</v>
      </c>
      <c r="CB326" t="s">
        <v>4976</v>
      </c>
      <c r="CC326" t="s">
        <v>201</v>
      </c>
      <c r="CD326" t="s">
        <v>182</v>
      </c>
      <c r="CE326" t="s">
        <v>4977</v>
      </c>
      <c r="CF326" t="s">
        <v>1029</v>
      </c>
      <c r="CG326" t="s">
        <v>177</v>
      </c>
      <c r="CH326" t="s">
        <v>1030</v>
      </c>
      <c r="CI326" t="s">
        <v>4978</v>
      </c>
      <c r="CJ326" t="s">
        <v>3544</v>
      </c>
      <c r="CK326" t="s">
        <v>232</v>
      </c>
      <c r="CL326" t="s">
        <v>233</v>
      </c>
      <c r="CM326" t="s">
        <v>4979</v>
      </c>
      <c r="CN326" t="s">
        <v>235</v>
      </c>
      <c r="CO326" t="s">
        <v>183</v>
      </c>
      <c r="CP326" t="s">
        <v>266</v>
      </c>
      <c r="CS326" t="s">
        <v>198</v>
      </c>
      <c r="CT326" t="s">
        <v>4628</v>
      </c>
      <c r="CU326" t="s">
        <v>292</v>
      </c>
      <c r="CV326" t="s">
        <v>293</v>
      </c>
      <c r="CW326" t="s">
        <v>4980</v>
      </c>
      <c r="CX326" t="s">
        <v>235</v>
      </c>
      <c r="CY326" t="s">
        <v>183</v>
      </c>
      <c r="CZ326" t="s">
        <v>211</v>
      </c>
      <c r="DA326" t="s">
        <v>270</v>
      </c>
      <c r="DC326" t="s">
        <v>4800</v>
      </c>
      <c r="DD326" t="s">
        <v>3436</v>
      </c>
      <c r="DE326" t="s">
        <v>267</v>
      </c>
      <c r="DF326" t="s">
        <v>268</v>
      </c>
      <c r="DG326" t="s">
        <v>4981</v>
      </c>
      <c r="DH326" t="s">
        <v>235</v>
      </c>
      <c r="DI326" t="s">
        <v>183</v>
      </c>
      <c r="DJ326" t="s">
        <v>211</v>
      </c>
      <c r="DK326" t="s">
        <v>270</v>
      </c>
      <c r="DM326" t="s">
        <v>4982</v>
      </c>
      <c r="DN326" t="s">
        <v>4848</v>
      </c>
      <c r="DO326" t="s">
        <v>273</v>
      </c>
      <c r="DP326" t="s">
        <v>274</v>
      </c>
      <c r="DQ326" t="s">
        <v>4983</v>
      </c>
      <c r="DR326" t="s">
        <v>838</v>
      </c>
      <c r="DS326" t="s">
        <v>183</v>
      </c>
      <c r="DT326" t="s">
        <v>211</v>
      </c>
      <c r="DU326" t="s">
        <v>270</v>
      </c>
      <c r="DW326" t="s">
        <v>4984</v>
      </c>
      <c r="DX326" t="s">
        <v>3690</v>
      </c>
      <c r="DY326" t="s">
        <v>302</v>
      </c>
      <c r="DZ326" t="s">
        <v>303</v>
      </c>
      <c r="EA326" t="s">
        <v>4985</v>
      </c>
      <c r="EB326" t="s">
        <v>436</v>
      </c>
      <c r="EC326" t="s">
        <v>183</v>
      </c>
      <c r="ED326" t="s">
        <v>211</v>
      </c>
      <c r="EE326" t="s">
        <v>212</v>
      </c>
      <c r="EG326" t="s">
        <v>4986</v>
      </c>
      <c r="EH326" t="s">
        <v>4987</v>
      </c>
      <c r="EI326" t="s">
        <v>238</v>
      </c>
      <c r="EJ326" t="s">
        <v>239</v>
      </c>
      <c r="EK326" t="s">
        <v>4988</v>
      </c>
      <c r="EL326" t="s">
        <v>440</v>
      </c>
      <c r="EM326" t="s">
        <v>183</v>
      </c>
      <c r="EN326" t="s">
        <v>211</v>
      </c>
      <c r="EO326" t="s">
        <v>298</v>
      </c>
      <c r="EQ326" t="s">
        <v>3501</v>
      </c>
      <c r="ER326" t="s">
        <v>4989</v>
      </c>
      <c r="ES326" t="s">
        <v>346</v>
      </c>
      <c r="ET326" t="s">
        <v>347</v>
      </c>
      <c r="EU326" t="s">
        <v>4990</v>
      </c>
      <c r="EV326" t="s">
        <v>469</v>
      </c>
      <c r="EW326" t="s">
        <v>183</v>
      </c>
      <c r="EX326" t="s">
        <v>211</v>
      </c>
      <c r="EY326" t="s">
        <v>298</v>
      </c>
      <c r="FA326" t="s">
        <v>4631</v>
      </c>
      <c r="FB326" t="s">
        <v>4835</v>
      </c>
      <c r="FC326" t="s">
        <v>207</v>
      </c>
      <c r="FD326" t="s">
        <v>208</v>
      </c>
      <c r="FE326" t="s">
        <v>4991</v>
      </c>
      <c r="FF326" t="s">
        <v>576</v>
      </c>
      <c r="FG326" t="s">
        <v>183</v>
      </c>
      <c r="FH326" t="s">
        <v>211</v>
      </c>
      <c r="FI326" t="s">
        <v>298</v>
      </c>
      <c r="FK326" t="s">
        <v>1324</v>
      </c>
      <c r="FU326" t="s">
        <v>198</v>
      </c>
    </row>
    <row r="327" spans="1:177">
      <c r="A327" s="1" t="str">
        <f>HYPERLINK("http://digipan.lumentumllc.com/apps/getLink/index.php?t=PropLink&amp;p=15744033","PL")</f>
        <v>PL</v>
      </c>
      <c r="B327" s="1" t="str">
        <f>HYPERLINK("http://digipan.lumentumllc.com/apps/getLink/index.php?t=TaxLink&amp;p=15744033","TL")</f>
        <v>TL</v>
      </c>
      <c r="C327" s="1" t="str">
        <f>HYPERLINK("http://digipan.lumentumllc.com/apps/getMap/index.php?p=15744033","Map")</f>
        <v>Map</v>
      </c>
      <c r="E327" t="s">
        <v>177</v>
      </c>
      <c r="F327" t="s">
        <v>178</v>
      </c>
      <c r="L327" t="s">
        <v>4992</v>
      </c>
      <c r="N327" t="s">
        <v>4992</v>
      </c>
      <c r="O327" t="s">
        <v>4992</v>
      </c>
      <c r="Q327" t="s">
        <v>4992</v>
      </c>
      <c r="V327">
        <v>379</v>
      </c>
      <c r="W327">
        <v>2</v>
      </c>
      <c r="X327">
        <v>2017</v>
      </c>
      <c r="Y327">
        <v>2018</v>
      </c>
      <c r="Z327">
        <v>361.22</v>
      </c>
      <c r="AB327" t="s">
        <v>181</v>
      </c>
      <c r="AC327" t="s">
        <v>182</v>
      </c>
      <c r="AD327" t="s">
        <v>183</v>
      </c>
      <c r="AE327">
        <v>1</v>
      </c>
      <c r="AF327">
        <v>0</v>
      </c>
      <c r="AG327" t="s">
        <v>1200</v>
      </c>
      <c r="AH327">
        <v>0</v>
      </c>
      <c r="AI327">
        <v>345.42</v>
      </c>
      <c r="AJ327">
        <v>17.27</v>
      </c>
      <c r="AK327">
        <v>362.69</v>
      </c>
      <c r="AL327">
        <v>59454</v>
      </c>
      <c r="AM327">
        <v>15000</v>
      </c>
      <c r="AN327">
        <v>44454</v>
      </c>
      <c r="AO327">
        <v>294</v>
      </c>
      <c r="AP327">
        <v>2016</v>
      </c>
      <c r="AQ327">
        <v>0.61</v>
      </c>
      <c r="AR327">
        <v>0.61</v>
      </c>
      <c r="AS327" t="s">
        <v>4993</v>
      </c>
      <c r="AT327" t="s">
        <v>3747</v>
      </c>
      <c r="AU327" t="s">
        <v>177</v>
      </c>
      <c r="AV327" t="s">
        <v>1030</v>
      </c>
      <c r="AW327" t="s">
        <v>202</v>
      </c>
      <c r="AX327">
        <v>2</v>
      </c>
      <c r="AY327" t="s">
        <v>188</v>
      </c>
      <c r="AZ327" t="s">
        <v>189</v>
      </c>
      <c r="BA327" t="s">
        <v>190</v>
      </c>
      <c r="BB327" t="s">
        <v>191</v>
      </c>
      <c r="BC327" t="s">
        <v>182</v>
      </c>
      <c r="BD327" t="s">
        <v>182</v>
      </c>
      <c r="BE327" t="s">
        <v>383</v>
      </c>
      <c r="BF327">
        <v>1</v>
      </c>
      <c r="BG327">
        <v>1</v>
      </c>
      <c r="BH327">
        <v>2001</v>
      </c>
      <c r="BI327" t="s">
        <v>2716</v>
      </c>
      <c r="BJ327" t="s">
        <v>194</v>
      </c>
      <c r="BK327" t="s">
        <v>195</v>
      </c>
      <c r="BL327" t="s">
        <v>4994</v>
      </c>
      <c r="BM327" t="s">
        <v>368</v>
      </c>
      <c r="BN327" t="s">
        <v>182</v>
      </c>
      <c r="BO327" t="s">
        <v>4995</v>
      </c>
      <c r="BP327" t="s">
        <v>4996</v>
      </c>
      <c r="BQ327" t="s">
        <v>2227</v>
      </c>
      <c r="BR327" t="s">
        <v>1857</v>
      </c>
      <c r="BS327" t="s">
        <v>198</v>
      </c>
      <c r="BT327" t="s">
        <v>228</v>
      </c>
      <c r="BU327" t="s">
        <v>182</v>
      </c>
      <c r="BV327" t="s">
        <v>198</v>
      </c>
      <c r="BW327" t="s">
        <v>198</v>
      </c>
      <c r="BX327" t="s">
        <v>199</v>
      </c>
      <c r="BY327" t="s">
        <v>198</v>
      </c>
      <c r="BZ327" t="s">
        <v>199</v>
      </c>
      <c r="CA327" t="s">
        <v>199</v>
      </c>
      <c r="CB327" t="s">
        <v>4997</v>
      </c>
      <c r="CC327" t="s">
        <v>201</v>
      </c>
      <c r="CD327" t="s">
        <v>182</v>
      </c>
      <c r="CE327" t="s">
        <v>4998</v>
      </c>
      <c r="CF327" t="s">
        <v>1029</v>
      </c>
      <c r="CG327" t="s">
        <v>177</v>
      </c>
      <c r="CH327" t="s">
        <v>1030</v>
      </c>
      <c r="CI327" t="s">
        <v>4999</v>
      </c>
      <c r="CJ327" t="s">
        <v>3573</v>
      </c>
      <c r="CK327" t="s">
        <v>232</v>
      </c>
      <c r="CL327" t="s">
        <v>233</v>
      </c>
      <c r="CM327" t="s">
        <v>5000</v>
      </c>
      <c r="CN327" t="s">
        <v>235</v>
      </c>
      <c r="CO327" t="s">
        <v>183</v>
      </c>
      <c r="CP327" t="s">
        <v>266</v>
      </c>
      <c r="CS327" t="s">
        <v>198</v>
      </c>
      <c r="DC327" t="s">
        <v>198</v>
      </c>
      <c r="DM327" t="s">
        <v>198</v>
      </c>
      <c r="DW327" t="s">
        <v>198</v>
      </c>
      <c r="EG327" t="s">
        <v>198</v>
      </c>
      <c r="EQ327" t="s">
        <v>198</v>
      </c>
      <c r="FA327" t="s">
        <v>198</v>
      </c>
      <c r="FK327" t="s">
        <v>198</v>
      </c>
      <c r="FU327" t="s">
        <v>198</v>
      </c>
    </row>
    <row r="328" spans="1:177">
      <c r="A328" s="1" t="str">
        <f>HYPERLINK("http://digipan.lumentumllc.com/apps/getLink/index.php?t=PropLink&amp;p=4637508","PL")</f>
        <v>PL</v>
      </c>
      <c r="B328" s="1" t="str">
        <f>HYPERLINK("http://digipan.lumentumllc.com/apps/getLink/index.php?t=TaxLink&amp;p=4637508","TL")</f>
        <v>TL</v>
      </c>
      <c r="C328" s="1" t="str">
        <f>HYPERLINK("http://digipan.lumentumllc.com/apps/getMap/index.php?p=4637508","Map")</f>
        <v>Map</v>
      </c>
      <c r="E328" t="s">
        <v>177</v>
      </c>
      <c r="F328" t="s">
        <v>178</v>
      </c>
      <c r="L328" t="s">
        <v>5001</v>
      </c>
      <c r="N328" t="s">
        <v>5001</v>
      </c>
      <c r="O328" t="s">
        <v>5001</v>
      </c>
      <c r="P328" t="s">
        <v>5002</v>
      </c>
      <c r="Q328" t="s">
        <v>5001</v>
      </c>
      <c r="V328">
        <v>381</v>
      </c>
      <c r="W328">
        <v>2</v>
      </c>
      <c r="X328">
        <v>2017</v>
      </c>
      <c r="Y328">
        <v>2018</v>
      </c>
      <c r="Z328">
        <v>1212.18</v>
      </c>
      <c r="AB328" t="s">
        <v>181</v>
      </c>
      <c r="AC328" t="s">
        <v>182</v>
      </c>
      <c r="AD328" t="s">
        <v>183</v>
      </c>
      <c r="AE328">
        <v>0</v>
      </c>
      <c r="AF328">
        <v>3</v>
      </c>
      <c r="AG328" t="s">
        <v>381</v>
      </c>
      <c r="AH328">
        <v>100</v>
      </c>
      <c r="AK328">
        <v>0</v>
      </c>
      <c r="AL328">
        <v>78110</v>
      </c>
      <c r="AM328">
        <v>15000</v>
      </c>
      <c r="AN328">
        <v>63110</v>
      </c>
      <c r="AO328">
        <v>941</v>
      </c>
      <c r="AP328">
        <v>2016</v>
      </c>
      <c r="AQ328">
        <v>1.55</v>
      </c>
      <c r="AS328" t="s">
        <v>5003</v>
      </c>
      <c r="AT328" t="s">
        <v>3747</v>
      </c>
      <c r="AU328" t="s">
        <v>177</v>
      </c>
      <c r="AV328" t="s">
        <v>1030</v>
      </c>
      <c r="AW328" t="s">
        <v>182</v>
      </c>
      <c r="AX328">
        <v>2</v>
      </c>
      <c r="AY328" t="s">
        <v>188</v>
      </c>
      <c r="AZ328" t="s">
        <v>189</v>
      </c>
      <c r="BA328" t="s">
        <v>190</v>
      </c>
      <c r="BB328" t="s">
        <v>191</v>
      </c>
      <c r="BC328" t="s">
        <v>182</v>
      </c>
      <c r="BD328" t="s">
        <v>182</v>
      </c>
      <c r="BE328" t="s">
        <v>383</v>
      </c>
      <c r="BF328">
        <v>1</v>
      </c>
      <c r="BG328">
        <v>1</v>
      </c>
      <c r="BH328">
        <v>1997</v>
      </c>
      <c r="BI328" t="s">
        <v>883</v>
      </c>
      <c r="BJ328" t="s">
        <v>194</v>
      </c>
      <c r="BK328" t="s">
        <v>195</v>
      </c>
      <c r="BL328" t="s">
        <v>3526</v>
      </c>
      <c r="BM328" t="s">
        <v>559</v>
      </c>
      <c r="BN328" t="s">
        <v>182</v>
      </c>
      <c r="BO328" t="s">
        <v>5004</v>
      </c>
      <c r="BP328" t="s">
        <v>4747</v>
      </c>
      <c r="BQ328" t="s">
        <v>2227</v>
      </c>
      <c r="BS328" t="s">
        <v>198</v>
      </c>
      <c r="BT328" t="s">
        <v>5005</v>
      </c>
      <c r="BU328" t="s">
        <v>182</v>
      </c>
      <c r="BV328" t="s">
        <v>198</v>
      </c>
      <c r="BW328" t="s">
        <v>198</v>
      </c>
      <c r="BX328" t="s">
        <v>199</v>
      </c>
      <c r="BY328" t="s">
        <v>198</v>
      </c>
      <c r="BZ328" t="s">
        <v>199</v>
      </c>
      <c r="CA328" t="s">
        <v>199</v>
      </c>
      <c r="CB328" t="s">
        <v>5006</v>
      </c>
      <c r="CC328" t="s">
        <v>201</v>
      </c>
      <c r="CD328" t="s">
        <v>202</v>
      </c>
      <c r="CE328" t="s">
        <v>5007</v>
      </c>
      <c r="CF328" t="s">
        <v>1029</v>
      </c>
      <c r="CG328" t="s">
        <v>177</v>
      </c>
      <c r="CH328" t="s">
        <v>1030</v>
      </c>
      <c r="CI328" t="s">
        <v>4045</v>
      </c>
      <c r="CJ328" t="s">
        <v>5008</v>
      </c>
      <c r="CK328" t="s">
        <v>232</v>
      </c>
      <c r="CL328" t="s">
        <v>233</v>
      </c>
      <c r="CM328" t="s">
        <v>5009</v>
      </c>
      <c r="CN328" t="s">
        <v>235</v>
      </c>
      <c r="CO328" t="s">
        <v>183</v>
      </c>
      <c r="CP328" t="s">
        <v>211</v>
      </c>
      <c r="CQ328" t="s">
        <v>206</v>
      </c>
      <c r="CS328" t="s">
        <v>4571</v>
      </c>
      <c r="CT328" t="s">
        <v>3469</v>
      </c>
      <c r="CU328" t="s">
        <v>267</v>
      </c>
      <c r="CV328" t="s">
        <v>268</v>
      </c>
      <c r="CW328" t="s">
        <v>5010</v>
      </c>
      <c r="CX328" t="s">
        <v>235</v>
      </c>
      <c r="CY328" t="s">
        <v>183</v>
      </c>
      <c r="CZ328" t="s">
        <v>211</v>
      </c>
      <c r="DA328" t="s">
        <v>270</v>
      </c>
      <c r="DC328" t="s">
        <v>4871</v>
      </c>
      <c r="DD328" t="s">
        <v>5011</v>
      </c>
      <c r="DE328" t="s">
        <v>302</v>
      </c>
      <c r="DF328" t="s">
        <v>303</v>
      </c>
      <c r="DG328" t="s">
        <v>5012</v>
      </c>
      <c r="DH328" t="s">
        <v>235</v>
      </c>
      <c r="DI328" t="s">
        <v>183</v>
      </c>
      <c r="DJ328" t="s">
        <v>211</v>
      </c>
      <c r="DK328" t="s">
        <v>250</v>
      </c>
      <c r="DM328" t="s">
        <v>5013</v>
      </c>
      <c r="DW328" t="s">
        <v>198</v>
      </c>
      <c r="EG328" t="s">
        <v>198</v>
      </c>
      <c r="EQ328" t="s">
        <v>198</v>
      </c>
      <c r="FA328" t="s">
        <v>198</v>
      </c>
      <c r="FK328" t="s">
        <v>198</v>
      </c>
      <c r="FU328" t="s">
        <v>198</v>
      </c>
    </row>
    <row r="329" spans="1:177">
      <c r="A329" s="1" t="str">
        <f>HYPERLINK("http://digipan.lumentumllc.com/apps/getLink/index.php?t=PropLink&amp;p=4637537","PL")</f>
        <v>PL</v>
      </c>
      <c r="B329" s="1" t="str">
        <f>HYPERLINK("http://digipan.lumentumllc.com/apps/getLink/index.php?t=TaxLink&amp;p=4637537","TL")</f>
        <v>TL</v>
      </c>
      <c r="C329" s="1" t="str">
        <f>HYPERLINK("http://digipan.lumentumllc.com/apps/getMap/index.php?p=4637537","Map")</f>
        <v>Map</v>
      </c>
      <c r="E329" t="s">
        <v>177</v>
      </c>
      <c r="F329" t="s">
        <v>178</v>
      </c>
      <c r="L329" t="s">
        <v>5014</v>
      </c>
      <c r="N329" t="s">
        <v>5014</v>
      </c>
      <c r="O329" t="s">
        <v>5014</v>
      </c>
      <c r="P329" t="s">
        <v>5015</v>
      </c>
      <c r="Q329" t="s">
        <v>5014</v>
      </c>
      <c r="V329">
        <v>383</v>
      </c>
      <c r="W329">
        <v>2</v>
      </c>
      <c r="X329">
        <v>2017</v>
      </c>
      <c r="Y329">
        <v>2018</v>
      </c>
      <c r="Z329">
        <v>1045.31</v>
      </c>
      <c r="AB329" t="s">
        <v>181</v>
      </c>
      <c r="AC329" t="s">
        <v>182</v>
      </c>
      <c r="AD329" t="s">
        <v>183</v>
      </c>
      <c r="AE329">
        <v>1</v>
      </c>
      <c r="AF329">
        <v>3</v>
      </c>
      <c r="AG329" t="s">
        <v>257</v>
      </c>
      <c r="AH329">
        <v>75</v>
      </c>
      <c r="AI329">
        <v>1022.65</v>
      </c>
      <c r="AJ329">
        <v>51.13</v>
      </c>
      <c r="AK329">
        <v>1073.78</v>
      </c>
      <c r="AL329">
        <v>127724</v>
      </c>
      <c r="AM329">
        <v>27000</v>
      </c>
      <c r="AN329">
        <v>100724</v>
      </c>
      <c r="AO329">
        <v>921</v>
      </c>
      <c r="AP329">
        <v>2016</v>
      </c>
      <c r="AQ329">
        <v>0.82</v>
      </c>
      <c r="AR329">
        <v>0.84</v>
      </c>
      <c r="AS329" t="s">
        <v>5016</v>
      </c>
      <c r="AT329" t="s">
        <v>3747</v>
      </c>
      <c r="AU329" t="s">
        <v>177</v>
      </c>
      <c r="AV329" t="s">
        <v>1030</v>
      </c>
      <c r="AW329" t="s">
        <v>202</v>
      </c>
      <c r="AX329">
        <v>1</v>
      </c>
      <c r="AY329" t="s">
        <v>188</v>
      </c>
      <c r="AZ329" t="s">
        <v>206</v>
      </c>
      <c r="BA329" t="s">
        <v>355</v>
      </c>
      <c r="BB329" t="s">
        <v>191</v>
      </c>
      <c r="BC329" t="s">
        <v>182</v>
      </c>
      <c r="BD329" t="s">
        <v>182</v>
      </c>
      <c r="BE329" t="s">
        <v>514</v>
      </c>
      <c r="BF329">
        <v>1</v>
      </c>
      <c r="BG329">
        <v>1</v>
      </c>
      <c r="BH329">
        <v>1981</v>
      </c>
      <c r="BI329" t="s">
        <v>5017</v>
      </c>
      <c r="BJ329" t="s">
        <v>194</v>
      </c>
      <c r="BK329" t="s">
        <v>195</v>
      </c>
      <c r="BL329" t="s">
        <v>199</v>
      </c>
      <c r="BM329" t="s">
        <v>1003</v>
      </c>
      <c r="BN329" t="s">
        <v>182</v>
      </c>
      <c r="BO329" t="s">
        <v>198</v>
      </c>
      <c r="BP329" t="s">
        <v>198</v>
      </c>
      <c r="BQ329" t="s">
        <v>198</v>
      </c>
      <c r="BR329" t="s">
        <v>198</v>
      </c>
      <c r="BS329" t="s">
        <v>198</v>
      </c>
      <c r="BT329" t="s">
        <v>198</v>
      </c>
      <c r="BU329" t="s">
        <v>182</v>
      </c>
      <c r="BV329" t="s">
        <v>198</v>
      </c>
      <c r="BW329" t="s">
        <v>198</v>
      </c>
      <c r="BX329" t="s">
        <v>199</v>
      </c>
      <c r="BY329" t="s">
        <v>198</v>
      </c>
      <c r="BZ329" t="s">
        <v>199</v>
      </c>
      <c r="CA329" t="s">
        <v>199</v>
      </c>
      <c r="CB329" t="s">
        <v>5018</v>
      </c>
      <c r="CC329" t="s">
        <v>201</v>
      </c>
      <c r="CD329" t="s">
        <v>182</v>
      </c>
      <c r="CE329" t="s">
        <v>5019</v>
      </c>
      <c r="CF329" t="s">
        <v>1029</v>
      </c>
      <c r="CG329" t="s">
        <v>177</v>
      </c>
      <c r="CH329" t="s">
        <v>1030</v>
      </c>
      <c r="CI329" t="s">
        <v>5020</v>
      </c>
      <c r="CJ329" t="s">
        <v>4948</v>
      </c>
      <c r="CK329" t="s">
        <v>232</v>
      </c>
      <c r="CL329" t="s">
        <v>233</v>
      </c>
      <c r="CM329" t="s">
        <v>5021</v>
      </c>
      <c r="CN329" t="s">
        <v>235</v>
      </c>
      <c r="CO329" t="s">
        <v>183</v>
      </c>
      <c r="CP329" t="s">
        <v>266</v>
      </c>
      <c r="CS329" t="s">
        <v>198</v>
      </c>
      <c r="CT329" t="s">
        <v>3469</v>
      </c>
      <c r="CU329" t="s">
        <v>292</v>
      </c>
      <c r="CV329" t="s">
        <v>293</v>
      </c>
      <c r="CW329" t="s">
        <v>5022</v>
      </c>
      <c r="CX329" t="s">
        <v>235</v>
      </c>
      <c r="CY329" t="s">
        <v>183</v>
      </c>
      <c r="CZ329" t="s">
        <v>211</v>
      </c>
      <c r="DA329" t="s">
        <v>342</v>
      </c>
      <c r="DC329" t="s">
        <v>542</v>
      </c>
      <c r="DD329" t="s">
        <v>3224</v>
      </c>
      <c r="DE329" t="s">
        <v>267</v>
      </c>
      <c r="DF329" t="s">
        <v>268</v>
      </c>
      <c r="DG329" t="s">
        <v>5023</v>
      </c>
      <c r="DH329" t="s">
        <v>235</v>
      </c>
      <c r="DI329" t="s">
        <v>183</v>
      </c>
      <c r="DJ329" t="s">
        <v>211</v>
      </c>
      <c r="DK329" t="s">
        <v>345</v>
      </c>
      <c r="DM329" t="s">
        <v>2198</v>
      </c>
      <c r="DN329" t="s">
        <v>5024</v>
      </c>
      <c r="DO329" t="s">
        <v>302</v>
      </c>
      <c r="DP329" t="s">
        <v>303</v>
      </c>
      <c r="DQ329" t="s">
        <v>5025</v>
      </c>
      <c r="DR329" t="s">
        <v>235</v>
      </c>
      <c r="DS329" t="s">
        <v>183</v>
      </c>
      <c r="DT329" t="s">
        <v>211</v>
      </c>
      <c r="DU329" t="s">
        <v>270</v>
      </c>
      <c r="DW329" t="s">
        <v>5026</v>
      </c>
      <c r="EG329" t="s">
        <v>198</v>
      </c>
      <c r="EQ329" t="s">
        <v>198</v>
      </c>
      <c r="FA329" t="s">
        <v>198</v>
      </c>
      <c r="FK329" t="s">
        <v>198</v>
      </c>
      <c r="FU329" t="s">
        <v>198</v>
      </c>
    </row>
    <row r="330" spans="1:177">
      <c r="A330" s="1" t="str">
        <f>HYPERLINK("http://digipan.lumentumllc.com/apps/getLink/index.php?t=PropLink&amp;p=7112396","PL")</f>
        <v>PL</v>
      </c>
      <c r="B330" s="1" t="str">
        <f>HYPERLINK("http://digipan.lumentumllc.com/apps/getLink/index.php?t=TaxLink&amp;p=7112396","TL")</f>
        <v>TL</v>
      </c>
      <c r="C330" s="1" t="str">
        <f>HYPERLINK("http://digipan.lumentumllc.com/apps/getMap/index.php?p=7112396","Map")</f>
        <v>Map</v>
      </c>
      <c r="E330" t="s">
        <v>177</v>
      </c>
      <c r="F330" t="s">
        <v>178</v>
      </c>
      <c r="L330" t="s">
        <v>5027</v>
      </c>
      <c r="N330" t="s">
        <v>5027</v>
      </c>
      <c r="O330" t="s">
        <v>5027</v>
      </c>
      <c r="P330" t="s">
        <v>5028</v>
      </c>
      <c r="Q330" t="s">
        <v>5027</v>
      </c>
      <c r="V330">
        <v>384</v>
      </c>
      <c r="W330">
        <v>2</v>
      </c>
      <c r="X330">
        <v>2017</v>
      </c>
      <c r="Y330">
        <v>2018</v>
      </c>
      <c r="Z330">
        <v>1332.32</v>
      </c>
      <c r="AB330" t="s">
        <v>181</v>
      </c>
      <c r="AC330" t="s">
        <v>182</v>
      </c>
      <c r="AD330" t="s">
        <v>183</v>
      </c>
      <c r="AE330">
        <v>0</v>
      </c>
      <c r="AF330">
        <v>2</v>
      </c>
      <c r="AG330" t="s">
        <v>216</v>
      </c>
      <c r="AH330">
        <v>100</v>
      </c>
      <c r="AK330">
        <v>0</v>
      </c>
      <c r="AL330">
        <v>77321</v>
      </c>
      <c r="AM330">
        <v>20400</v>
      </c>
      <c r="AN330">
        <v>56921</v>
      </c>
      <c r="AO330">
        <v>3144</v>
      </c>
      <c r="AP330">
        <v>2016</v>
      </c>
      <c r="AQ330">
        <v>1.72</v>
      </c>
      <c r="AS330" t="s">
        <v>5029</v>
      </c>
      <c r="AT330" t="s">
        <v>3747</v>
      </c>
      <c r="AU330" t="s">
        <v>177</v>
      </c>
      <c r="AV330" t="s">
        <v>1030</v>
      </c>
      <c r="AW330" t="s">
        <v>182</v>
      </c>
      <c r="AX330">
        <v>1</v>
      </c>
      <c r="AY330" t="s">
        <v>188</v>
      </c>
      <c r="AZ330" t="s">
        <v>206</v>
      </c>
      <c r="BA330" t="s">
        <v>355</v>
      </c>
      <c r="BB330" t="s">
        <v>191</v>
      </c>
      <c r="BC330" t="s">
        <v>182</v>
      </c>
      <c r="BD330" t="s">
        <v>1528</v>
      </c>
      <c r="BE330" t="s">
        <v>5030</v>
      </c>
      <c r="BF330">
        <v>1</v>
      </c>
      <c r="BG330">
        <v>1</v>
      </c>
      <c r="BH330">
        <v>1948</v>
      </c>
      <c r="BI330" t="s">
        <v>5031</v>
      </c>
      <c r="BJ330" t="s">
        <v>194</v>
      </c>
      <c r="BK330" t="s">
        <v>840</v>
      </c>
      <c r="BL330" t="s">
        <v>5032</v>
      </c>
      <c r="BM330" t="s">
        <v>197</v>
      </c>
      <c r="BN330" t="s">
        <v>182</v>
      </c>
      <c r="BO330" t="s">
        <v>198</v>
      </c>
      <c r="BP330" t="s">
        <v>198</v>
      </c>
      <c r="BQ330" t="s">
        <v>198</v>
      </c>
      <c r="BR330" t="s">
        <v>198</v>
      </c>
      <c r="BS330" t="s">
        <v>198</v>
      </c>
      <c r="BT330" t="s">
        <v>198</v>
      </c>
      <c r="BU330" t="s">
        <v>182</v>
      </c>
      <c r="BV330" t="s">
        <v>198</v>
      </c>
      <c r="BW330" t="s">
        <v>198</v>
      </c>
      <c r="BX330" t="s">
        <v>199</v>
      </c>
      <c r="BY330" t="s">
        <v>198</v>
      </c>
      <c r="BZ330" t="s">
        <v>199</v>
      </c>
      <c r="CA330" t="s">
        <v>199</v>
      </c>
      <c r="CB330" t="s">
        <v>5033</v>
      </c>
      <c r="CC330" t="s">
        <v>201</v>
      </c>
      <c r="CD330" t="s">
        <v>202</v>
      </c>
      <c r="CE330" t="s">
        <v>5034</v>
      </c>
      <c r="CF330" t="s">
        <v>1029</v>
      </c>
      <c r="CG330" t="s">
        <v>177</v>
      </c>
      <c r="CH330" t="s">
        <v>1030</v>
      </c>
      <c r="CI330" t="s">
        <v>5035</v>
      </c>
      <c r="CJ330" t="s">
        <v>5036</v>
      </c>
      <c r="CK330" t="s">
        <v>232</v>
      </c>
      <c r="CL330" t="s">
        <v>233</v>
      </c>
      <c r="CM330" t="s">
        <v>5037</v>
      </c>
      <c r="CN330" t="s">
        <v>235</v>
      </c>
      <c r="CO330" t="s">
        <v>183</v>
      </c>
      <c r="CP330" t="s">
        <v>211</v>
      </c>
      <c r="CQ330" t="s">
        <v>199</v>
      </c>
      <c r="CS330" t="s">
        <v>2774</v>
      </c>
      <c r="CT330" t="s">
        <v>4727</v>
      </c>
      <c r="CU330" t="s">
        <v>292</v>
      </c>
      <c r="CV330" t="s">
        <v>293</v>
      </c>
      <c r="CW330" t="s">
        <v>5038</v>
      </c>
      <c r="CX330" t="s">
        <v>235</v>
      </c>
      <c r="CY330" t="s">
        <v>183</v>
      </c>
      <c r="CZ330" t="s">
        <v>211</v>
      </c>
      <c r="DA330" t="s">
        <v>199</v>
      </c>
      <c r="DC330" t="s">
        <v>5039</v>
      </c>
      <c r="DM330" t="s">
        <v>198</v>
      </c>
      <c r="DW330" t="s">
        <v>198</v>
      </c>
      <c r="EG330" t="s">
        <v>198</v>
      </c>
      <c r="EQ330" t="s">
        <v>198</v>
      </c>
      <c r="FA330" t="s">
        <v>198</v>
      </c>
      <c r="FK330" t="s">
        <v>198</v>
      </c>
      <c r="FU330" t="s">
        <v>198</v>
      </c>
    </row>
    <row r="331" spans="1:177">
      <c r="A331" s="1" t="str">
        <f>HYPERLINK("http://digipan.lumentumllc.com/apps/getLink/index.php?t=PropLink&amp;p=6886691","PL")</f>
        <v>PL</v>
      </c>
      <c r="B331" s="1" t="str">
        <f>HYPERLINK("http://digipan.lumentumllc.com/apps/getLink/index.php?t=TaxLink&amp;p=6886691","TL")</f>
        <v>TL</v>
      </c>
      <c r="C331" s="1" t="str">
        <f>HYPERLINK("http://digipan.lumentumllc.com/apps/getMap/index.php?p=6886691","Map")</f>
        <v>Map</v>
      </c>
      <c r="E331" t="s">
        <v>177</v>
      </c>
      <c r="F331" t="s">
        <v>178</v>
      </c>
      <c r="L331" t="s">
        <v>5040</v>
      </c>
      <c r="N331" t="s">
        <v>5040</v>
      </c>
      <c r="O331" t="s">
        <v>5040</v>
      </c>
      <c r="P331" t="s">
        <v>5041</v>
      </c>
      <c r="Q331" t="s">
        <v>5040</v>
      </c>
      <c r="V331">
        <v>385</v>
      </c>
      <c r="W331">
        <v>2</v>
      </c>
      <c r="X331">
        <v>2017</v>
      </c>
      <c r="Y331">
        <v>2018</v>
      </c>
      <c r="Z331">
        <v>466.42</v>
      </c>
      <c r="AB331" t="s">
        <v>181</v>
      </c>
      <c r="AC331" t="s">
        <v>182</v>
      </c>
      <c r="AD331" t="s">
        <v>183</v>
      </c>
      <c r="AE331">
        <v>1</v>
      </c>
      <c r="AF331">
        <v>2</v>
      </c>
      <c r="AG331" t="s">
        <v>363</v>
      </c>
      <c r="AH331">
        <v>67</v>
      </c>
      <c r="AI331">
        <v>425.71</v>
      </c>
      <c r="AJ331">
        <v>21.29</v>
      </c>
      <c r="AK331">
        <v>447</v>
      </c>
      <c r="AL331">
        <v>29570</v>
      </c>
      <c r="AM331">
        <v>15000</v>
      </c>
      <c r="AN331">
        <v>14570</v>
      </c>
      <c r="AO331">
        <v>369</v>
      </c>
      <c r="AP331">
        <v>2016</v>
      </c>
      <c r="AQ331">
        <v>1.58</v>
      </c>
      <c r="AR331">
        <v>1.51</v>
      </c>
      <c r="AS331" t="s">
        <v>5042</v>
      </c>
      <c r="AT331" t="s">
        <v>3747</v>
      </c>
      <c r="AU331" t="s">
        <v>177</v>
      </c>
      <c r="AV331" t="s">
        <v>1030</v>
      </c>
      <c r="AW331" t="s">
        <v>182</v>
      </c>
      <c r="AX331">
        <v>2</v>
      </c>
      <c r="AY331" t="s">
        <v>188</v>
      </c>
      <c r="AZ331" t="s">
        <v>189</v>
      </c>
      <c r="BA331" t="s">
        <v>190</v>
      </c>
      <c r="BB331" t="s">
        <v>191</v>
      </c>
      <c r="BC331" t="s">
        <v>182</v>
      </c>
      <c r="BD331" t="s">
        <v>182</v>
      </c>
      <c r="BE331" t="s">
        <v>383</v>
      </c>
      <c r="BF331">
        <v>1</v>
      </c>
      <c r="BG331">
        <v>1</v>
      </c>
      <c r="BH331">
        <v>1973</v>
      </c>
      <c r="BI331" t="s">
        <v>5043</v>
      </c>
      <c r="BJ331" t="s">
        <v>194</v>
      </c>
      <c r="BL331" t="s">
        <v>4009</v>
      </c>
      <c r="BM331" t="s">
        <v>273</v>
      </c>
      <c r="BN331" t="s">
        <v>182</v>
      </c>
      <c r="BO331" t="s">
        <v>198</v>
      </c>
      <c r="BP331" t="s">
        <v>198</v>
      </c>
      <c r="BQ331" t="s">
        <v>198</v>
      </c>
      <c r="BR331" t="s">
        <v>198</v>
      </c>
      <c r="BS331" t="s">
        <v>198</v>
      </c>
      <c r="BT331" t="s">
        <v>198</v>
      </c>
      <c r="BU331" t="s">
        <v>182</v>
      </c>
      <c r="BV331" t="s">
        <v>198</v>
      </c>
      <c r="BW331" t="s">
        <v>198</v>
      </c>
      <c r="BX331" t="s">
        <v>199</v>
      </c>
      <c r="BY331" t="s">
        <v>198</v>
      </c>
      <c r="BZ331" t="s">
        <v>199</v>
      </c>
      <c r="CA331" t="s">
        <v>199</v>
      </c>
      <c r="CB331" t="s">
        <v>5044</v>
      </c>
      <c r="CC331" t="s">
        <v>201</v>
      </c>
      <c r="CD331" t="s">
        <v>182</v>
      </c>
      <c r="CE331" t="s">
        <v>5019</v>
      </c>
      <c r="CF331" t="s">
        <v>1029</v>
      </c>
      <c r="CG331" t="s">
        <v>177</v>
      </c>
      <c r="CH331" t="s">
        <v>1030</v>
      </c>
      <c r="CI331" t="s">
        <v>5045</v>
      </c>
      <c r="CJ331" t="s">
        <v>3636</v>
      </c>
      <c r="CK331" t="s">
        <v>232</v>
      </c>
      <c r="CL331" t="s">
        <v>233</v>
      </c>
      <c r="CM331" t="s">
        <v>5046</v>
      </c>
      <c r="CN331" t="s">
        <v>305</v>
      </c>
      <c r="CO331" t="s">
        <v>183</v>
      </c>
      <c r="CP331" t="s">
        <v>266</v>
      </c>
      <c r="CS331" t="s">
        <v>198</v>
      </c>
      <c r="CT331" t="s">
        <v>3224</v>
      </c>
      <c r="CU331" t="s">
        <v>292</v>
      </c>
      <c r="CV331" t="s">
        <v>293</v>
      </c>
      <c r="CW331" t="s">
        <v>5047</v>
      </c>
      <c r="CX331" t="s">
        <v>389</v>
      </c>
      <c r="CY331" t="s">
        <v>183</v>
      </c>
      <c r="CZ331" t="s">
        <v>211</v>
      </c>
      <c r="DA331" t="s">
        <v>337</v>
      </c>
      <c r="DC331" t="s">
        <v>540</v>
      </c>
      <c r="DD331" t="s">
        <v>4760</v>
      </c>
      <c r="DE331" t="s">
        <v>267</v>
      </c>
      <c r="DF331" t="s">
        <v>268</v>
      </c>
      <c r="DG331" t="s">
        <v>5048</v>
      </c>
      <c r="DH331" t="s">
        <v>389</v>
      </c>
      <c r="DI331" t="s">
        <v>183</v>
      </c>
      <c r="DJ331" t="s">
        <v>211</v>
      </c>
      <c r="DK331" t="s">
        <v>298</v>
      </c>
      <c r="DM331" t="s">
        <v>2096</v>
      </c>
      <c r="DW331" t="s">
        <v>198</v>
      </c>
      <c r="EG331" t="s">
        <v>198</v>
      </c>
      <c r="EQ331" t="s">
        <v>198</v>
      </c>
      <c r="FA331" t="s">
        <v>198</v>
      </c>
      <c r="FK331" t="s">
        <v>198</v>
      </c>
      <c r="FU331" t="s">
        <v>198</v>
      </c>
    </row>
    <row r="332" spans="1:177">
      <c r="A332" s="1" t="str">
        <f>HYPERLINK("http://digipan.lumentumllc.com/apps/getLink/index.php?t=PropLink&amp;p=7112397","PL")</f>
        <v>PL</v>
      </c>
      <c r="B332" s="1" t="str">
        <f>HYPERLINK("http://digipan.lumentumllc.com/apps/getLink/index.php?t=TaxLink&amp;p=7112397","TL")</f>
        <v>TL</v>
      </c>
      <c r="C332" s="1" t="str">
        <f>HYPERLINK("http://digipan.lumentumllc.com/apps/getMap/index.php?p=7112397","Map")</f>
        <v>Map</v>
      </c>
      <c r="E332" t="s">
        <v>177</v>
      </c>
      <c r="F332" t="s">
        <v>178</v>
      </c>
      <c r="L332" t="s">
        <v>5049</v>
      </c>
      <c r="N332" t="s">
        <v>5049</v>
      </c>
      <c r="O332" t="s">
        <v>5049</v>
      </c>
      <c r="P332" t="s">
        <v>5050</v>
      </c>
      <c r="Q332" t="s">
        <v>5049</v>
      </c>
      <c r="V332">
        <v>386</v>
      </c>
      <c r="W332">
        <v>2</v>
      </c>
      <c r="X332">
        <v>2017</v>
      </c>
      <c r="Y332">
        <v>2018</v>
      </c>
      <c r="Z332">
        <v>3014.93</v>
      </c>
      <c r="AB332" t="s">
        <v>181</v>
      </c>
      <c r="AC332" t="s">
        <v>182</v>
      </c>
      <c r="AD332" t="s">
        <v>183</v>
      </c>
      <c r="AE332">
        <v>0</v>
      </c>
      <c r="AF332">
        <v>2</v>
      </c>
      <c r="AG332" t="s">
        <v>216</v>
      </c>
      <c r="AH332">
        <v>100</v>
      </c>
      <c r="AK332">
        <v>0</v>
      </c>
      <c r="AL332">
        <v>178830</v>
      </c>
      <c r="AM332">
        <v>178830</v>
      </c>
      <c r="AN332">
        <v>0</v>
      </c>
      <c r="AO332">
        <v>3960</v>
      </c>
      <c r="AP332">
        <v>2016</v>
      </c>
      <c r="AQ332">
        <v>1.69</v>
      </c>
      <c r="AS332" t="s">
        <v>5051</v>
      </c>
      <c r="AT332" t="s">
        <v>3747</v>
      </c>
      <c r="AU332" t="s">
        <v>177</v>
      </c>
      <c r="AV332" t="s">
        <v>1030</v>
      </c>
      <c r="AW332" t="s">
        <v>182</v>
      </c>
      <c r="AX332">
        <v>99</v>
      </c>
      <c r="AY332" t="s">
        <v>1575</v>
      </c>
      <c r="AZ332" t="s">
        <v>2242</v>
      </c>
      <c r="BA332" t="s">
        <v>5052</v>
      </c>
      <c r="BB332" t="s">
        <v>191</v>
      </c>
      <c r="BC332" t="s">
        <v>182</v>
      </c>
      <c r="BD332" t="s">
        <v>1528</v>
      </c>
      <c r="BE332" t="s">
        <v>5053</v>
      </c>
      <c r="BF332">
        <v>0</v>
      </c>
      <c r="BG332">
        <v>0</v>
      </c>
      <c r="BH332">
        <v>0</v>
      </c>
      <c r="BI332" t="s">
        <v>199</v>
      </c>
      <c r="BJ332" t="s">
        <v>315</v>
      </c>
      <c r="BL332" t="s">
        <v>5054</v>
      </c>
      <c r="BM332" t="s">
        <v>197</v>
      </c>
      <c r="BN332" t="s">
        <v>182</v>
      </c>
      <c r="BO332" t="s">
        <v>5055</v>
      </c>
      <c r="BP332" t="s">
        <v>5056</v>
      </c>
      <c r="BQ332" t="s">
        <v>603</v>
      </c>
      <c r="BR332" t="s">
        <v>563</v>
      </c>
      <c r="BS332" t="s">
        <v>198</v>
      </c>
      <c r="BT332" t="s">
        <v>5057</v>
      </c>
      <c r="BU332" t="s">
        <v>182</v>
      </c>
      <c r="BV332" t="s">
        <v>198</v>
      </c>
      <c r="BW332" t="s">
        <v>198</v>
      </c>
      <c r="BX332" t="s">
        <v>199</v>
      </c>
      <c r="BY332" t="s">
        <v>198</v>
      </c>
      <c r="BZ332" t="s">
        <v>199</v>
      </c>
      <c r="CA332" t="s">
        <v>199</v>
      </c>
      <c r="CB332" t="s">
        <v>5058</v>
      </c>
      <c r="CC332" t="s">
        <v>201</v>
      </c>
      <c r="CD332" t="s">
        <v>202</v>
      </c>
      <c r="CE332" t="s">
        <v>5059</v>
      </c>
      <c r="CF332" t="s">
        <v>1029</v>
      </c>
      <c r="CG332" t="s">
        <v>177</v>
      </c>
      <c r="CH332" t="s">
        <v>1030</v>
      </c>
      <c r="CI332" t="s">
        <v>5060</v>
      </c>
      <c r="CJ332" t="s">
        <v>5061</v>
      </c>
      <c r="CK332" t="s">
        <v>232</v>
      </c>
      <c r="CL332" t="s">
        <v>233</v>
      </c>
      <c r="CM332" t="s">
        <v>5062</v>
      </c>
      <c r="CN332" t="s">
        <v>235</v>
      </c>
      <c r="CO332" t="s">
        <v>183</v>
      </c>
      <c r="CP332" t="s">
        <v>211</v>
      </c>
      <c r="CQ332" t="s">
        <v>199</v>
      </c>
      <c r="CS332" t="s">
        <v>2774</v>
      </c>
      <c r="CT332" t="s">
        <v>4760</v>
      </c>
      <c r="CU332" t="s">
        <v>292</v>
      </c>
      <c r="CV332" t="s">
        <v>293</v>
      </c>
      <c r="CW332" t="s">
        <v>5063</v>
      </c>
      <c r="CX332" t="s">
        <v>235</v>
      </c>
      <c r="CY332" t="s">
        <v>183</v>
      </c>
      <c r="CZ332" t="s">
        <v>211</v>
      </c>
      <c r="DA332" t="s">
        <v>427</v>
      </c>
      <c r="DC332" t="s">
        <v>5064</v>
      </c>
      <c r="DM332" t="s">
        <v>198</v>
      </c>
      <c r="DW332" t="s">
        <v>198</v>
      </c>
      <c r="EG332" t="s">
        <v>198</v>
      </c>
      <c r="EQ332" t="s">
        <v>198</v>
      </c>
      <c r="FA332" t="s">
        <v>198</v>
      </c>
      <c r="FK332" t="s">
        <v>198</v>
      </c>
      <c r="FU332" t="s">
        <v>198</v>
      </c>
    </row>
    <row r="333" spans="1:177">
      <c r="A333" s="1" t="str">
        <f>HYPERLINK("http://digipan.lumentumllc.com/apps/getLink/index.php?t=PropLink&amp;p=41029457","PL")</f>
        <v>PL</v>
      </c>
      <c r="B333" s="1" t="str">
        <f>HYPERLINK("http://digipan.lumentumllc.com/apps/getLink/index.php?t=TaxLink&amp;p=41029457","TL")</f>
        <v>TL</v>
      </c>
      <c r="C333" s="1" t="str">
        <f>HYPERLINK("","")</f>
        <v/>
      </c>
      <c r="E333" t="s">
        <v>177</v>
      </c>
      <c r="F333" t="s">
        <v>178</v>
      </c>
      <c r="L333" t="s">
        <v>5065</v>
      </c>
      <c r="N333" t="s">
        <v>5065</v>
      </c>
      <c r="O333" t="s">
        <v>5065</v>
      </c>
      <c r="Q333" t="s">
        <v>5065</v>
      </c>
      <c r="V333">
        <v>387</v>
      </c>
      <c r="W333">
        <v>2</v>
      </c>
      <c r="X333">
        <v>2017</v>
      </c>
      <c r="Y333">
        <v>2018</v>
      </c>
      <c r="Z333">
        <v>2242.3000000000002</v>
      </c>
      <c r="AG333" t="s">
        <v>184</v>
      </c>
      <c r="AH333">
        <v>0</v>
      </c>
      <c r="AK333">
        <v>0</v>
      </c>
      <c r="AL333">
        <v>127215</v>
      </c>
      <c r="AM333">
        <v>127215</v>
      </c>
      <c r="AN333">
        <v>0</v>
      </c>
      <c r="AQ333">
        <v>1.76</v>
      </c>
      <c r="AS333" t="s">
        <v>5051</v>
      </c>
      <c r="AT333" t="s">
        <v>3747</v>
      </c>
      <c r="AU333" t="s">
        <v>177</v>
      </c>
      <c r="AV333" t="s">
        <v>1030</v>
      </c>
      <c r="AW333" t="s">
        <v>182</v>
      </c>
      <c r="AX333">
        <v>99</v>
      </c>
      <c r="AY333" t="s">
        <v>1575</v>
      </c>
      <c r="AZ333" t="s">
        <v>2242</v>
      </c>
      <c r="BA333" t="s">
        <v>5052</v>
      </c>
      <c r="BB333" t="s">
        <v>191</v>
      </c>
      <c r="BC333" t="s">
        <v>202</v>
      </c>
      <c r="BD333" t="s">
        <v>2072</v>
      </c>
      <c r="BE333" t="s">
        <v>5066</v>
      </c>
      <c r="BI333" t="s">
        <v>199</v>
      </c>
      <c r="BL333" t="s">
        <v>5054</v>
      </c>
      <c r="BM333" t="s">
        <v>197</v>
      </c>
      <c r="BN333" t="s">
        <v>182</v>
      </c>
      <c r="BO333" t="s">
        <v>198</v>
      </c>
      <c r="BP333" t="s">
        <v>198</v>
      </c>
      <c r="BQ333" t="s">
        <v>198</v>
      </c>
      <c r="BR333" t="s">
        <v>198</v>
      </c>
      <c r="BS333" t="s">
        <v>198</v>
      </c>
      <c r="BT333" t="s">
        <v>198</v>
      </c>
      <c r="BU333" t="s">
        <v>182</v>
      </c>
      <c r="BV333" t="s">
        <v>198</v>
      </c>
      <c r="BW333" t="s">
        <v>198</v>
      </c>
      <c r="BX333" t="s">
        <v>199</v>
      </c>
      <c r="BY333" t="s">
        <v>198</v>
      </c>
      <c r="CB333" t="s">
        <v>5067</v>
      </c>
      <c r="CC333" t="s">
        <v>201</v>
      </c>
      <c r="CD333" t="s">
        <v>182</v>
      </c>
      <c r="CE333" t="s">
        <v>5068</v>
      </c>
      <c r="CF333" t="s">
        <v>1029</v>
      </c>
      <c r="CG333" t="s">
        <v>177</v>
      </c>
      <c r="CH333" t="s">
        <v>1030</v>
      </c>
      <c r="CI333" t="s">
        <v>5069</v>
      </c>
      <c r="CS333" t="s">
        <v>198</v>
      </c>
      <c r="DC333" t="s">
        <v>198</v>
      </c>
      <c r="DM333" t="s">
        <v>198</v>
      </c>
      <c r="DW333" t="s">
        <v>198</v>
      </c>
      <c r="EG333" t="s">
        <v>198</v>
      </c>
      <c r="EQ333" t="s">
        <v>198</v>
      </c>
      <c r="FA333" t="s">
        <v>198</v>
      </c>
      <c r="FK333" t="s">
        <v>198</v>
      </c>
      <c r="FU333" t="s">
        <v>198</v>
      </c>
    </row>
    <row r="334" spans="1:177">
      <c r="A334" s="1" t="str">
        <f>HYPERLINK("http://digipan.lumentumllc.com/apps/getLink/index.php?t=PropLink&amp;p=41029458","PL")</f>
        <v>PL</v>
      </c>
      <c r="B334" s="1" t="str">
        <f>HYPERLINK("http://digipan.lumentumllc.com/apps/getLink/index.php?t=TaxLink&amp;p=41029458","TL")</f>
        <v>TL</v>
      </c>
      <c r="C334" s="1" t="str">
        <f>HYPERLINK("","")</f>
        <v/>
      </c>
      <c r="E334" t="s">
        <v>177</v>
      </c>
      <c r="F334" t="s">
        <v>178</v>
      </c>
      <c r="L334" t="s">
        <v>5070</v>
      </c>
      <c r="N334" t="s">
        <v>5070</v>
      </c>
      <c r="O334" t="s">
        <v>5070</v>
      </c>
      <c r="Q334" t="s">
        <v>5070</v>
      </c>
      <c r="V334">
        <v>388</v>
      </c>
      <c r="W334">
        <v>2</v>
      </c>
      <c r="X334">
        <v>2017</v>
      </c>
      <c r="Y334">
        <v>2018</v>
      </c>
      <c r="Z334">
        <v>469.15</v>
      </c>
      <c r="AG334" t="s">
        <v>184</v>
      </c>
      <c r="AH334">
        <v>0</v>
      </c>
      <c r="AK334">
        <v>0</v>
      </c>
      <c r="AL334">
        <v>26700</v>
      </c>
      <c r="AM334">
        <v>26700</v>
      </c>
      <c r="AN334">
        <v>0</v>
      </c>
      <c r="AQ334">
        <v>1.76</v>
      </c>
      <c r="AS334" t="s">
        <v>5071</v>
      </c>
      <c r="AT334" t="s">
        <v>3747</v>
      </c>
      <c r="AU334" t="s">
        <v>177</v>
      </c>
      <c r="AV334" t="s">
        <v>1030</v>
      </c>
      <c r="AW334" t="s">
        <v>182</v>
      </c>
      <c r="AX334">
        <v>0</v>
      </c>
      <c r="AY334" t="s">
        <v>312</v>
      </c>
      <c r="AZ334" t="s">
        <v>199</v>
      </c>
      <c r="BA334" t="s">
        <v>313</v>
      </c>
      <c r="BB334" t="s">
        <v>191</v>
      </c>
      <c r="BC334" t="s">
        <v>202</v>
      </c>
      <c r="BD334" t="s">
        <v>1528</v>
      </c>
      <c r="BE334" t="s">
        <v>2974</v>
      </c>
      <c r="BI334" t="s">
        <v>199</v>
      </c>
      <c r="BN334" t="s">
        <v>182</v>
      </c>
      <c r="BO334" t="s">
        <v>198</v>
      </c>
      <c r="BP334" t="s">
        <v>198</v>
      </c>
      <c r="BQ334" t="s">
        <v>198</v>
      </c>
      <c r="BR334" t="s">
        <v>198</v>
      </c>
      <c r="BS334" t="s">
        <v>198</v>
      </c>
      <c r="BT334" t="s">
        <v>198</v>
      </c>
      <c r="BU334" t="s">
        <v>182</v>
      </c>
      <c r="BV334" t="s">
        <v>198</v>
      </c>
      <c r="BW334" t="s">
        <v>198</v>
      </c>
      <c r="BX334" t="s">
        <v>199</v>
      </c>
      <c r="BY334" t="s">
        <v>198</v>
      </c>
      <c r="CB334" t="s">
        <v>5072</v>
      </c>
      <c r="CC334" t="s">
        <v>201</v>
      </c>
      <c r="CD334" t="s">
        <v>182</v>
      </c>
      <c r="CE334" t="s">
        <v>2111</v>
      </c>
      <c r="CF334" t="s">
        <v>1029</v>
      </c>
      <c r="CG334" t="s">
        <v>177</v>
      </c>
      <c r="CH334" t="s">
        <v>1030</v>
      </c>
      <c r="CI334" t="s">
        <v>4495</v>
      </c>
      <c r="CS334" t="s">
        <v>198</v>
      </c>
      <c r="DC334" t="s">
        <v>198</v>
      </c>
      <c r="DM334" t="s">
        <v>198</v>
      </c>
      <c r="DW334" t="s">
        <v>198</v>
      </c>
      <c r="EG334" t="s">
        <v>198</v>
      </c>
      <c r="EQ334" t="s">
        <v>198</v>
      </c>
      <c r="FA334" t="s">
        <v>198</v>
      </c>
      <c r="FK334" t="s">
        <v>198</v>
      </c>
      <c r="FU334" t="s">
        <v>198</v>
      </c>
    </row>
    <row r="335" spans="1:177">
      <c r="A335" s="1" t="str">
        <f>HYPERLINK("http://digipan.lumentumllc.com/apps/getLink/index.php?t=PropLink&amp;p=6886692","PL")</f>
        <v>PL</v>
      </c>
      <c r="B335" s="1" t="str">
        <f>HYPERLINK("http://digipan.lumentumllc.com/apps/getLink/index.php?t=TaxLink&amp;p=6886692","TL")</f>
        <v>TL</v>
      </c>
      <c r="C335" s="1" t="str">
        <f>HYPERLINK("http://digipan.lumentumllc.com/apps/getMap/index.php?p=6886692","Map")</f>
        <v>Map</v>
      </c>
      <c r="E335" t="s">
        <v>177</v>
      </c>
      <c r="F335" t="s">
        <v>178</v>
      </c>
      <c r="L335" t="s">
        <v>5073</v>
      </c>
      <c r="N335" t="s">
        <v>5073</v>
      </c>
      <c r="O335" t="s">
        <v>5073</v>
      </c>
      <c r="P335" t="s">
        <v>5074</v>
      </c>
      <c r="Q335" t="s">
        <v>5073</v>
      </c>
      <c r="V335">
        <v>389</v>
      </c>
      <c r="W335">
        <v>2</v>
      </c>
      <c r="X335">
        <v>2017</v>
      </c>
      <c r="Y335">
        <v>2018</v>
      </c>
      <c r="Z335">
        <v>421</v>
      </c>
      <c r="AB335" t="s">
        <v>181</v>
      </c>
      <c r="AC335" t="s">
        <v>182</v>
      </c>
      <c r="AD335" t="s">
        <v>183</v>
      </c>
      <c r="AE335">
        <v>0</v>
      </c>
      <c r="AF335">
        <v>1</v>
      </c>
      <c r="AG335" t="s">
        <v>821</v>
      </c>
      <c r="AH335">
        <v>100</v>
      </c>
      <c r="AK335">
        <v>0</v>
      </c>
      <c r="AL335">
        <v>23760</v>
      </c>
      <c r="AM335">
        <v>23760</v>
      </c>
      <c r="AN335">
        <v>0</v>
      </c>
      <c r="AO335">
        <v>365</v>
      </c>
      <c r="AP335">
        <v>2016</v>
      </c>
      <c r="AQ335">
        <v>1.77</v>
      </c>
      <c r="AS335" t="s">
        <v>5051</v>
      </c>
      <c r="AT335" t="s">
        <v>3747</v>
      </c>
      <c r="AU335" t="s">
        <v>177</v>
      </c>
      <c r="AV335" t="s">
        <v>1030</v>
      </c>
      <c r="AW335" t="s">
        <v>182</v>
      </c>
      <c r="AX335">
        <v>0</v>
      </c>
      <c r="AY335" t="s">
        <v>312</v>
      </c>
      <c r="AZ335" t="s">
        <v>199</v>
      </c>
      <c r="BA335" t="s">
        <v>313</v>
      </c>
      <c r="BB335" t="s">
        <v>191</v>
      </c>
      <c r="BC335" t="s">
        <v>182</v>
      </c>
      <c r="BD335" t="s">
        <v>182</v>
      </c>
      <c r="BE335" t="s">
        <v>5075</v>
      </c>
      <c r="BF335">
        <v>0</v>
      </c>
      <c r="BG335">
        <v>0</v>
      </c>
      <c r="BH335">
        <v>0</v>
      </c>
      <c r="BI335" t="s">
        <v>199</v>
      </c>
      <c r="BJ335" t="s">
        <v>248</v>
      </c>
      <c r="BL335" t="s">
        <v>199</v>
      </c>
      <c r="BM335" t="s">
        <v>267</v>
      </c>
      <c r="BN335" t="s">
        <v>182</v>
      </c>
      <c r="BO335" t="s">
        <v>198</v>
      </c>
      <c r="BP335" t="s">
        <v>198</v>
      </c>
      <c r="BQ335" t="s">
        <v>198</v>
      </c>
      <c r="BR335" t="s">
        <v>198</v>
      </c>
      <c r="BS335" t="s">
        <v>198</v>
      </c>
      <c r="BT335" t="s">
        <v>198</v>
      </c>
      <c r="BU335" t="s">
        <v>182</v>
      </c>
      <c r="BV335" t="s">
        <v>198</v>
      </c>
      <c r="BW335" t="s">
        <v>198</v>
      </c>
      <c r="BX335" t="s">
        <v>199</v>
      </c>
      <c r="BY335" t="s">
        <v>198</v>
      </c>
      <c r="BZ335" t="s">
        <v>199</v>
      </c>
      <c r="CA335" t="s">
        <v>199</v>
      </c>
      <c r="CB335" t="s">
        <v>5076</v>
      </c>
      <c r="CC335" t="s">
        <v>201</v>
      </c>
      <c r="CD335" t="s">
        <v>202</v>
      </c>
      <c r="CE335" t="s">
        <v>5077</v>
      </c>
      <c r="CF335" t="s">
        <v>1029</v>
      </c>
      <c r="CG335" t="s">
        <v>177</v>
      </c>
      <c r="CH335" t="s">
        <v>1030</v>
      </c>
      <c r="CI335" t="s">
        <v>5078</v>
      </c>
      <c r="CJ335" t="s">
        <v>4779</v>
      </c>
      <c r="CK335" t="s">
        <v>267</v>
      </c>
      <c r="CL335" t="s">
        <v>268</v>
      </c>
      <c r="CM335" t="s">
        <v>5079</v>
      </c>
      <c r="CN335" t="s">
        <v>1164</v>
      </c>
      <c r="CO335" t="s">
        <v>183</v>
      </c>
      <c r="CP335" t="s">
        <v>211</v>
      </c>
      <c r="CQ335" t="s">
        <v>199</v>
      </c>
      <c r="CS335" t="s">
        <v>3445</v>
      </c>
      <c r="DC335" t="s">
        <v>198</v>
      </c>
      <c r="DM335" t="s">
        <v>198</v>
      </c>
      <c r="DW335" t="s">
        <v>198</v>
      </c>
      <c r="EG335" t="s">
        <v>198</v>
      </c>
      <c r="EQ335" t="s">
        <v>198</v>
      </c>
      <c r="FA335" t="s">
        <v>198</v>
      </c>
      <c r="FK335" t="s">
        <v>198</v>
      </c>
      <c r="FU335" t="s">
        <v>198</v>
      </c>
    </row>
    <row r="336" spans="1:177">
      <c r="A336" s="1" t="str">
        <f>HYPERLINK("http://digipan.lumentumllc.com/apps/getLink/index.php?t=PropLink&amp;p=5245795","PL")</f>
        <v>PL</v>
      </c>
      <c r="B336" s="1" t="str">
        <f>HYPERLINK("http://digipan.lumentumllc.com/apps/getLink/index.php?t=TaxLink&amp;p=5245795","TL")</f>
        <v>TL</v>
      </c>
      <c r="C336" s="1" t="str">
        <f>HYPERLINK("http://digipan.lumentumllc.com/apps/getMap/index.php?p=5245795","Map")</f>
        <v>Map</v>
      </c>
      <c r="E336" t="s">
        <v>177</v>
      </c>
      <c r="F336" t="s">
        <v>178</v>
      </c>
      <c r="L336" t="s">
        <v>5080</v>
      </c>
      <c r="N336" t="s">
        <v>5080</v>
      </c>
      <c r="O336" t="s">
        <v>5080</v>
      </c>
      <c r="P336" t="s">
        <v>5081</v>
      </c>
      <c r="Q336" t="s">
        <v>5080</v>
      </c>
      <c r="V336">
        <v>390</v>
      </c>
      <c r="W336">
        <v>2</v>
      </c>
      <c r="X336">
        <v>2017</v>
      </c>
      <c r="Y336">
        <v>2018</v>
      </c>
      <c r="Z336">
        <v>423.13</v>
      </c>
      <c r="AB336" t="s">
        <v>181</v>
      </c>
      <c r="AC336" t="s">
        <v>202</v>
      </c>
      <c r="AD336" t="s">
        <v>183</v>
      </c>
      <c r="AE336">
        <v>1</v>
      </c>
      <c r="AF336">
        <v>7</v>
      </c>
      <c r="AG336" t="s">
        <v>418</v>
      </c>
      <c r="AH336">
        <v>86</v>
      </c>
      <c r="AI336">
        <v>406.89</v>
      </c>
      <c r="AJ336">
        <v>20.34</v>
      </c>
      <c r="AK336">
        <v>427.23</v>
      </c>
      <c r="AL336">
        <v>61226</v>
      </c>
      <c r="AM336">
        <v>15450</v>
      </c>
      <c r="AN336">
        <v>45776</v>
      </c>
      <c r="AO336">
        <v>351</v>
      </c>
      <c r="AP336">
        <v>2016</v>
      </c>
      <c r="AQ336">
        <v>0.69</v>
      </c>
      <c r="AR336">
        <v>0.7</v>
      </c>
      <c r="AS336" t="s">
        <v>5082</v>
      </c>
      <c r="AT336" t="s">
        <v>3747</v>
      </c>
      <c r="AU336" t="s">
        <v>177</v>
      </c>
      <c r="AV336" t="s">
        <v>1030</v>
      </c>
      <c r="AW336" t="s">
        <v>202</v>
      </c>
      <c r="AX336">
        <v>2</v>
      </c>
      <c r="AY336" t="s">
        <v>188</v>
      </c>
      <c r="AZ336" t="s">
        <v>189</v>
      </c>
      <c r="BA336" t="s">
        <v>190</v>
      </c>
      <c r="BB336" t="s">
        <v>191</v>
      </c>
      <c r="BC336" t="s">
        <v>182</v>
      </c>
      <c r="BD336" t="s">
        <v>182</v>
      </c>
      <c r="BE336" t="s">
        <v>1385</v>
      </c>
      <c r="BF336">
        <v>1</v>
      </c>
      <c r="BG336">
        <v>1</v>
      </c>
      <c r="BH336">
        <v>2000</v>
      </c>
      <c r="BI336" t="s">
        <v>5083</v>
      </c>
      <c r="BJ336" t="s">
        <v>194</v>
      </c>
      <c r="BK336" t="s">
        <v>195</v>
      </c>
      <c r="BL336" t="s">
        <v>196</v>
      </c>
      <c r="BM336" t="s">
        <v>1332</v>
      </c>
      <c r="BN336" t="s">
        <v>182</v>
      </c>
      <c r="BO336" t="s">
        <v>4995</v>
      </c>
      <c r="BP336" t="s">
        <v>5084</v>
      </c>
      <c r="BQ336" t="s">
        <v>2227</v>
      </c>
      <c r="BR336" t="s">
        <v>1857</v>
      </c>
      <c r="BS336" t="s">
        <v>198</v>
      </c>
      <c r="BT336" t="s">
        <v>228</v>
      </c>
      <c r="BU336" t="s">
        <v>182</v>
      </c>
      <c r="BV336" t="s">
        <v>198</v>
      </c>
      <c r="BW336" t="s">
        <v>198</v>
      </c>
      <c r="BX336" t="s">
        <v>199</v>
      </c>
      <c r="BY336" t="s">
        <v>198</v>
      </c>
      <c r="BZ336" t="s">
        <v>199</v>
      </c>
      <c r="CA336" t="s">
        <v>199</v>
      </c>
      <c r="CB336" t="s">
        <v>5085</v>
      </c>
      <c r="CC336" t="s">
        <v>201</v>
      </c>
      <c r="CD336" t="s">
        <v>182</v>
      </c>
      <c r="CE336" t="s">
        <v>5086</v>
      </c>
      <c r="CF336" t="s">
        <v>1029</v>
      </c>
      <c r="CG336" t="s">
        <v>177</v>
      </c>
      <c r="CH336" t="s">
        <v>1030</v>
      </c>
      <c r="CI336" t="s">
        <v>5087</v>
      </c>
      <c r="CJ336" t="s">
        <v>5088</v>
      </c>
      <c r="CK336" t="s">
        <v>232</v>
      </c>
      <c r="CL336" t="s">
        <v>233</v>
      </c>
      <c r="CM336" t="s">
        <v>5089</v>
      </c>
      <c r="CN336" t="s">
        <v>235</v>
      </c>
      <c r="CO336" t="s">
        <v>183</v>
      </c>
      <c r="CP336" t="s">
        <v>266</v>
      </c>
      <c r="CS336" t="s">
        <v>198</v>
      </c>
      <c r="CT336" t="s">
        <v>4779</v>
      </c>
      <c r="CU336" t="s">
        <v>292</v>
      </c>
      <c r="CV336" t="s">
        <v>293</v>
      </c>
      <c r="CW336" t="s">
        <v>5090</v>
      </c>
      <c r="CX336" t="s">
        <v>235</v>
      </c>
      <c r="CY336" t="s">
        <v>183</v>
      </c>
      <c r="CZ336" t="s">
        <v>211</v>
      </c>
      <c r="DA336" t="s">
        <v>250</v>
      </c>
      <c r="DB336" t="s">
        <v>271</v>
      </c>
      <c r="DC336" t="s">
        <v>4374</v>
      </c>
      <c r="DD336" t="s">
        <v>3389</v>
      </c>
      <c r="DE336" t="s">
        <v>267</v>
      </c>
      <c r="DF336" t="s">
        <v>268</v>
      </c>
      <c r="DG336" t="s">
        <v>5091</v>
      </c>
      <c r="DH336" t="s">
        <v>235</v>
      </c>
      <c r="DI336" t="s">
        <v>183</v>
      </c>
      <c r="DJ336" t="s">
        <v>211</v>
      </c>
      <c r="DK336" t="s">
        <v>487</v>
      </c>
      <c r="DL336" t="s">
        <v>271</v>
      </c>
      <c r="DM336" t="s">
        <v>4374</v>
      </c>
      <c r="DN336" t="s">
        <v>4874</v>
      </c>
      <c r="DO336" t="s">
        <v>273</v>
      </c>
      <c r="DP336" t="s">
        <v>274</v>
      </c>
      <c r="DQ336" t="s">
        <v>5092</v>
      </c>
      <c r="DR336" t="s">
        <v>514</v>
      </c>
      <c r="DS336" t="s">
        <v>183</v>
      </c>
      <c r="DT336" t="s">
        <v>211</v>
      </c>
      <c r="DV336" t="s">
        <v>271</v>
      </c>
      <c r="DW336" t="s">
        <v>198</v>
      </c>
      <c r="DX336" t="s">
        <v>5093</v>
      </c>
      <c r="DY336" t="s">
        <v>302</v>
      </c>
      <c r="DZ336" t="s">
        <v>303</v>
      </c>
      <c r="EA336" t="s">
        <v>5094</v>
      </c>
      <c r="EB336" t="s">
        <v>436</v>
      </c>
      <c r="EC336" t="s">
        <v>183</v>
      </c>
      <c r="ED336" t="s">
        <v>211</v>
      </c>
      <c r="EE336" t="s">
        <v>345</v>
      </c>
      <c r="EG336" t="s">
        <v>3807</v>
      </c>
      <c r="EH336" t="s">
        <v>5095</v>
      </c>
      <c r="EI336" t="s">
        <v>238</v>
      </c>
      <c r="EJ336" t="s">
        <v>239</v>
      </c>
      <c r="EK336" t="s">
        <v>5096</v>
      </c>
      <c r="EL336" t="s">
        <v>278</v>
      </c>
      <c r="EM336" t="s">
        <v>183</v>
      </c>
      <c r="EN336" t="s">
        <v>211</v>
      </c>
      <c r="EO336" t="s">
        <v>298</v>
      </c>
      <c r="EQ336" t="s">
        <v>441</v>
      </c>
      <c r="ER336" t="s">
        <v>5097</v>
      </c>
      <c r="ES336" t="s">
        <v>346</v>
      </c>
      <c r="ET336" t="s">
        <v>347</v>
      </c>
      <c r="EU336" t="s">
        <v>5098</v>
      </c>
      <c r="EV336" t="s">
        <v>247</v>
      </c>
      <c r="EW336" t="s">
        <v>183</v>
      </c>
      <c r="EX336" t="s">
        <v>211</v>
      </c>
      <c r="EY336" t="s">
        <v>298</v>
      </c>
      <c r="FA336" t="s">
        <v>3166</v>
      </c>
      <c r="FB336" t="s">
        <v>5099</v>
      </c>
      <c r="FC336" t="s">
        <v>207</v>
      </c>
      <c r="FD336" t="s">
        <v>208</v>
      </c>
      <c r="FE336" t="s">
        <v>5100</v>
      </c>
      <c r="FF336" t="s">
        <v>576</v>
      </c>
      <c r="FG336" t="s">
        <v>183</v>
      </c>
      <c r="FH336" t="s">
        <v>211</v>
      </c>
      <c r="FI336" t="s">
        <v>298</v>
      </c>
      <c r="FK336" t="s">
        <v>5101</v>
      </c>
      <c r="FU336" t="s">
        <v>198</v>
      </c>
    </row>
    <row r="337" spans="1:177">
      <c r="A337" s="1" t="str">
        <f>HYPERLINK("http://digipan.lumentumllc.com/apps/getLink/index.php?t=PropLink&amp;p=5245797","PL")</f>
        <v>PL</v>
      </c>
      <c r="B337" s="1" t="str">
        <f>HYPERLINK("http://digipan.lumentumllc.com/apps/getLink/index.php?t=TaxLink&amp;p=5245797","TL")</f>
        <v>TL</v>
      </c>
      <c r="C337" s="1" t="str">
        <f>HYPERLINK("http://digipan.lumentumllc.com/apps/getMap/index.php?p=5245797","Map")</f>
        <v>Map</v>
      </c>
      <c r="E337" t="s">
        <v>177</v>
      </c>
      <c r="F337" t="s">
        <v>178</v>
      </c>
      <c r="L337" t="s">
        <v>5102</v>
      </c>
      <c r="N337" t="s">
        <v>5102</v>
      </c>
      <c r="O337" t="s">
        <v>5102</v>
      </c>
      <c r="P337" t="s">
        <v>5103</v>
      </c>
      <c r="Q337" t="s">
        <v>5102</v>
      </c>
      <c r="V337">
        <v>391</v>
      </c>
      <c r="W337">
        <v>2</v>
      </c>
      <c r="X337">
        <v>2017</v>
      </c>
      <c r="Y337">
        <v>2018</v>
      </c>
      <c r="Z337">
        <v>352.94</v>
      </c>
      <c r="AB337" t="s">
        <v>181</v>
      </c>
      <c r="AC337" t="s">
        <v>182</v>
      </c>
      <c r="AD337" t="s">
        <v>183</v>
      </c>
      <c r="AE337">
        <v>0</v>
      </c>
      <c r="AF337">
        <v>3</v>
      </c>
      <c r="AG337" t="s">
        <v>381</v>
      </c>
      <c r="AH337">
        <v>100</v>
      </c>
      <c r="AK337">
        <v>0</v>
      </c>
      <c r="AL337">
        <v>53377</v>
      </c>
      <c r="AM337">
        <v>15000</v>
      </c>
      <c r="AN337">
        <v>38377</v>
      </c>
      <c r="AO337">
        <v>287</v>
      </c>
      <c r="AP337">
        <v>2016</v>
      </c>
      <c r="AQ337">
        <v>0.66</v>
      </c>
      <c r="AS337" t="s">
        <v>5104</v>
      </c>
      <c r="AT337" t="s">
        <v>3747</v>
      </c>
      <c r="AU337" t="s">
        <v>177</v>
      </c>
      <c r="AV337" t="s">
        <v>1030</v>
      </c>
      <c r="AW337" t="s">
        <v>202</v>
      </c>
      <c r="AX337">
        <v>2</v>
      </c>
      <c r="AY337" t="s">
        <v>188</v>
      </c>
      <c r="AZ337" t="s">
        <v>189</v>
      </c>
      <c r="BA337" t="s">
        <v>190</v>
      </c>
      <c r="BB337" t="s">
        <v>191</v>
      </c>
      <c r="BC337" t="s">
        <v>182</v>
      </c>
      <c r="BD337" t="s">
        <v>182</v>
      </c>
      <c r="BE337" t="s">
        <v>383</v>
      </c>
      <c r="BF337">
        <v>1</v>
      </c>
      <c r="BG337">
        <v>1</v>
      </c>
      <c r="BH337">
        <v>1999</v>
      </c>
      <c r="BI337" t="s">
        <v>2716</v>
      </c>
      <c r="BJ337" t="s">
        <v>194</v>
      </c>
      <c r="BK337" t="s">
        <v>195</v>
      </c>
      <c r="BL337" t="s">
        <v>5105</v>
      </c>
      <c r="BM337" t="s">
        <v>501</v>
      </c>
      <c r="BN337" t="s">
        <v>182</v>
      </c>
      <c r="BO337" t="s">
        <v>3842</v>
      </c>
      <c r="BP337" t="s">
        <v>5106</v>
      </c>
      <c r="BS337" t="s">
        <v>5107</v>
      </c>
      <c r="BT337" t="s">
        <v>198</v>
      </c>
      <c r="BU337" t="s">
        <v>182</v>
      </c>
      <c r="BV337" t="s">
        <v>198</v>
      </c>
      <c r="BW337" t="s">
        <v>198</v>
      </c>
      <c r="BX337" t="s">
        <v>199</v>
      </c>
      <c r="BY337" t="s">
        <v>198</v>
      </c>
      <c r="BZ337" t="s">
        <v>199</v>
      </c>
      <c r="CA337" t="s">
        <v>199</v>
      </c>
      <c r="CB337" t="s">
        <v>5108</v>
      </c>
      <c r="CC337" t="s">
        <v>201</v>
      </c>
      <c r="CD337" t="s">
        <v>182</v>
      </c>
      <c r="CE337" t="s">
        <v>5109</v>
      </c>
      <c r="CF337" t="s">
        <v>1029</v>
      </c>
      <c r="CG337" t="s">
        <v>177</v>
      </c>
      <c r="CH337" t="s">
        <v>1030</v>
      </c>
      <c r="CI337" t="s">
        <v>3818</v>
      </c>
      <c r="CJ337" t="s">
        <v>3296</v>
      </c>
      <c r="CK337" t="s">
        <v>292</v>
      </c>
      <c r="CL337" t="s">
        <v>293</v>
      </c>
      <c r="CM337" t="s">
        <v>5110</v>
      </c>
      <c r="CN337" t="s">
        <v>235</v>
      </c>
      <c r="CO337" t="s">
        <v>183</v>
      </c>
      <c r="CP337" t="s">
        <v>211</v>
      </c>
      <c r="CQ337" t="s">
        <v>342</v>
      </c>
      <c r="CS337" t="s">
        <v>5111</v>
      </c>
      <c r="CT337" t="s">
        <v>5112</v>
      </c>
      <c r="CU337" t="s">
        <v>273</v>
      </c>
      <c r="CV337" t="s">
        <v>274</v>
      </c>
      <c r="CW337" t="s">
        <v>5113</v>
      </c>
      <c r="CX337" t="s">
        <v>235</v>
      </c>
      <c r="CY337" t="s">
        <v>183</v>
      </c>
      <c r="CZ337" t="s">
        <v>211</v>
      </c>
      <c r="DA337" t="s">
        <v>329</v>
      </c>
      <c r="DC337" t="s">
        <v>4379</v>
      </c>
      <c r="DD337" t="s">
        <v>5114</v>
      </c>
      <c r="DE337" t="s">
        <v>238</v>
      </c>
      <c r="DF337" t="s">
        <v>239</v>
      </c>
      <c r="DG337" t="s">
        <v>5115</v>
      </c>
      <c r="DH337" t="s">
        <v>440</v>
      </c>
      <c r="DI337" t="s">
        <v>183</v>
      </c>
      <c r="DJ337" t="s">
        <v>211</v>
      </c>
      <c r="DK337" t="s">
        <v>212</v>
      </c>
      <c r="DM337" t="s">
        <v>5116</v>
      </c>
      <c r="DW337" t="s">
        <v>198</v>
      </c>
      <c r="EG337" t="s">
        <v>198</v>
      </c>
      <c r="EQ337" t="s">
        <v>198</v>
      </c>
      <c r="FA337" t="s">
        <v>198</v>
      </c>
      <c r="FK337" t="s">
        <v>198</v>
      </c>
      <c r="FU337" t="s">
        <v>198</v>
      </c>
    </row>
    <row r="338" spans="1:177">
      <c r="A338" s="1" t="str">
        <f>HYPERLINK("http://digipan.lumentumllc.com/apps/getLink/index.php?t=PropLink&amp;p=15745714","PL")</f>
        <v>PL</v>
      </c>
      <c r="B338" s="1" t="str">
        <f>HYPERLINK("http://digipan.lumentumllc.com/apps/getLink/index.php?t=TaxLink&amp;p=15745714","TL")</f>
        <v>TL</v>
      </c>
      <c r="C338" s="1" t="str">
        <f>HYPERLINK("http://digipan.lumentumllc.com/apps/getMap/index.php?p=15745714","Map")</f>
        <v>Map</v>
      </c>
      <c r="E338" t="s">
        <v>177</v>
      </c>
      <c r="F338" t="s">
        <v>178</v>
      </c>
      <c r="L338" t="s">
        <v>5117</v>
      </c>
      <c r="N338" t="s">
        <v>5117</v>
      </c>
      <c r="O338" t="s">
        <v>5117</v>
      </c>
      <c r="Q338" t="s">
        <v>5117</v>
      </c>
      <c r="V338">
        <v>392</v>
      </c>
      <c r="W338">
        <v>2</v>
      </c>
      <c r="X338">
        <v>2017</v>
      </c>
      <c r="Y338">
        <v>2018</v>
      </c>
      <c r="Z338">
        <v>272.69</v>
      </c>
      <c r="AG338" t="s">
        <v>184</v>
      </c>
      <c r="AH338">
        <v>0</v>
      </c>
      <c r="AK338">
        <v>0</v>
      </c>
      <c r="AL338">
        <v>116946</v>
      </c>
      <c r="AM338">
        <v>34770</v>
      </c>
      <c r="AN338">
        <v>82176</v>
      </c>
      <c r="AO338">
        <v>237</v>
      </c>
      <c r="AP338">
        <v>2016</v>
      </c>
      <c r="AQ338">
        <v>0.23</v>
      </c>
      <c r="AS338" t="s">
        <v>5118</v>
      </c>
      <c r="AT338" t="s">
        <v>3747</v>
      </c>
      <c r="AU338" t="s">
        <v>177</v>
      </c>
      <c r="AV338" t="s">
        <v>1030</v>
      </c>
      <c r="AW338" t="s">
        <v>202</v>
      </c>
      <c r="AX338">
        <v>50</v>
      </c>
      <c r="AY338" t="s">
        <v>218</v>
      </c>
      <c r="AZ338" t="s">
        <v>589</v>
      </c>
      <c r="BA338" t="s">
        <v>590</v>
      </c>
      <c r="BB338" t="s">
        <v>191</v>
      </c>
      <c r="BC338" t="s">
        <v>182</v>
      </c>
      <c r="BD338" t="s">
        <v>182</v>
      </c>
      <c r="BE338" t="s">
        <v>2132</v>
      </c>
      <c r="BF338">
        <v>1</v>
      </c>
      <c r="BG338">
        <v>1</v>
      </c>
      <c r="BH338">
        <v>1985</v>
      </c>
      <c r="BI338" t="s">
        <v>5119</v>
      </c>
      <c r="BJ338" t="s">
        <v>315</v>
      </c>
      <c r="BK338" t="s">
        <v>195</v>
      </c>
      <c r="BL338" t="s">
        <v>199</v>
      </c>
      <c r="BM338" t="s">
        <v>207</v>
      </c>
      <c r="BN338" t="s">
        <v>182</v>
      </c>
      <c r="BO338" t="s">
        <v>198</v>
      </c>
      <c r="BP338" t="s">
        <v>198</v>
      </c>
      <c r="BQ338" t="s">
        <v>198</v>
      </c>
      <c r="BR338" t="s">
        <v>198</v>
      </c>
      <c r="BS338" t="s">
        <v>198</v>
      </c>
      <c r="BT338" t="s">
        <v>198</v>
      </c>
      <c r="BU338" t="s">
        <v>182</v>
      </c>
      <c r="BV338" t="s">
        <v>198</v>
      </c>
      <c r="BW338" t="s">
        <v>198</v>
      </c>
      <c r="BX338" t="s">
        <v>199</v>
      </c>
      <c r="BY338" t="s">
        <v>198</v>
      </c>
      <c r="BZ338" t="s">
        <v>199</v>
      </c>
      <c r="CA338" t="s">
        <v>199</v>
      </c>
      <c r="CB338" t="s">
        <v>5120</v>
      </c>
      <c r="CC338" t="s">
        <v>201</v>
      </c>
      <c r="CD338" t="s">
        <v>202</v>
      </c>
      <c r="CE338" t="s">
        <v>5121</v>
      </c>
      <c r="CF338" t="s">
        <v>1029</v>
      </c>
      <c r="CG338" t="s">
        <v>177</v>
      </c>
      <c r="CH338" t="s">
        <v>1030</v>
      </c>
      <c r="CI338" t="s">
        <v>5122</v>
      </c>
      <c r="CS338" t="s">
        <v>198</v>
      </c>
      <c r="DC338" t="s">
        <v>198</v>
      </c>
      <c r="DM338" t="s">
        <v>198</v>
      </c>
      <c r="DW338" t="s">
        <v>198</v>
      </c>
      <c r="EG338" t="s">
        <v>198</v>
      </c>
      <c r="EQ338" t="s">
        <v>198</v>
      </c>
      <c r="FA338" t="s">
        <v>198</v>
      </c>
      <c r="FK338" t="s">
        <v>198</v>
      </c>
      <c r="FU338" t="s">
        <v>198</v>
      </c>
    </row>
    <row r="339" spans="1:177">
      <c r="A339" s="1" t="str">
        <f>HYPERLINK("http://digipan.lumentumllc.com/apps/getLink/index.php?t=PropLink&amp;p=4637607","PL")</f>
        <v>PL</v>
      </c>
      <c r="B339" s="1" t="str">
        <f>HYPERLINK("http://digipan.lumentumllc.com/apps/getLink/index.php?t=TaxLink&amp;p=4637607","TL")</f>
        <v>TL</v>
      </c>
      <c r="C339" s="1" t="str">
        <f>HYPERLINK("http://digipan.lumentumllc.com/apps/getMap/index.php?p=4637607","Map")</f>
        <v>Map</v>
      </c>
      <c r="E339" t="s">
        <v>177</v>
      </c>
      <c r="F339" t="s">
        <v>178</v>
      </c>
      <c r="L339" t="s">
        <v>5123</v>
      </c>
      <c r="N339" t="s">
        <v>5123</v>
      </c>
      <c r="O339" t="s">
        <v>5123</v>
      </c>
      <c r="P339" t="s">
        <v>5124</v>
      </c>
      <c r="Q339" t="s">
        <v>5123</v>
      </c>
      <c r="V339">
        <v>393</v>
      </c>
      <c r="W339">
        <v>2</v>
      </c>
      <c r="X339">
        <v>2017</v>
      </c>
      <c r="Y339">
        <v>2018</v>
      </c>
      <c r="Z339">
        <v>640.85</v>
      </c>
      <c r="AB339" t="s">
        <v>181</v>
      </c>
      <c r="AC339" t="s">
        <v>202</v>
      </c>
      <c r="AD339" t="s">
        <v>183</v>
      </c>
      <c r="AE339">
        <v>1</v>
      </c>
      <c r="AF339">
        <v>6</v>
      </c>
      <c r="AG339" t="s">
        <v>322</v>
      </c>
      <c r="AH339">
        <v>83</v>
      </c>
      <c r="AI339">
        <v>520.66</v>
      </c>
      <c r="AJ339">
        <v>26.03</v>
      </c>
      <c r="AK339">
        <v>546.69000000000005</v>
      </c>
      <c r="AL339">
        <v>42985</v>
      </c>
      <c r="AM339">
        <v>15450</v>
      </c>
      <c r="AN339">
        <v>27535</v>
      </c>
      <c r="AO339">
        <v>456</v>
      </c>
      <c r="AP339">
        <v>2016</v>
      </c>
      <c r="AQ339">
        <v>1.49</v>
      </c>
      <c r="AR339">
        <v>1.27</v>
      </c>
      <c r="AS339" t="s">
        <v>5125</v>
      </c>
      <c r="AT339" t="s">
        <v>3747</v>
      </c>
      <c r="AU339" t="s">
        <v>177</v>
      </c>
      <c r="AV339" t="s">
        <v>1030</v>
      </c>
      <c r="AW339" t="s">
        <v>182</v>
      </c>
      <c r="AX339">
        <v>2</v>
      </c>
      <c r="AY339" t="s">
        <v>188</v>
      </c>
      <c r="AZ339" t="s">
        <v>189</v>
      </c>
      <c r="BA339" t="s">
        <v>190</v>
      </c>
      <c r="BB339" t="s">
        <v>191</v>
      </c>
      <c r="BC339" t="s">
        <v>182</v>
      </c>
      <c r="BD339" t="s">
        <v>182</v>
      </c>
      <c r="BE339" t="s">
        <v>1385</v>
      </c>
      <c r="BF339">
        <v>1</v>
      </c>
      <c r="BG339">
        <v>1</v>
      </c>
      <c r="BH339">
        <v>1989</v>
      </c>
      <c r="BI339" t="s">
        <v>5126</v>
      </c>
      <c r="BJ339" t="s">
        <v>194</v>
      </c>
      <c r="BK339" t="s">
        <v>195</v>
      </c>
      <c r="BL339" t="s">
        <v>199</v>
      </c>
      <c r="BM339" t="s">
        <v>207</v>
      </c>
      <c r="BN339" t="s">
        <v>182</v>
      </c>
      <c r="BO339" t="s">
        <v>198</v>
      </c>
      <c r="BP339" t="s">
        <v>198</v>
      </c>
      <c r="BQ339" t="s">
        <v>198</v>
      </c>
      <c r="BR339" t="s">
        <v>198</v>
      </c>
      <c r="BS339" t="s">
        <v>198</v>
      </c>
      <c r="BT339" t="s">
        <v>198</v>
      </c>
      <c r="BU339" t="s">
        <v>182</v>
      </c>
      <c r="BV339" t="s">
        <v>198</v>
      </c>
      <c r="BW339" t="s">
        <v>198</v>
      </c>
      <c r="BX339" t="s">
        <v>199</v>
      </c>
      <c r="BY339" t="s">
        <v>198</v>
      </c>
      <c r="BZ339" t="s">
        <v>199</v>
      </c>
      <c r="CA339" t="s">
        <v>199</v>
      </c>
      <c r="CB339" t="s">
        <v>5127</v>
      </c>
      <c r="CC339" t="s">
        <v>201</v>
      </c>
      <c r="CD339" t="s">
        <v>202</v>
      </c>
      <c r="CE339" t="s">
        <v>5128</v>
      </c>
      <c r="CF339" t="s">
        <v>1029</v>
      </c>
      <c r="CG339" t="s">
        <v>177</v>
      </c>
      <c r="CH339" t="s">
        <v>1030</v>
      </c>
      <c r="CI339" t="s">
        <v>5129</v>
      </c>
      <c r="CJ339" t="s">
        <v>5130</v>
      </c>
      <c r="CK339" t="s">
        <v>232</v>
      </c>
      <c r="CL339" t="s">
        <v>233</v>
      </c>
      <c r="CM339" t="s">
        <v>5131</v>
      </c>
      <c r="CN339" t="s">
        <v>235</v>
      </c>
      <c r="CO339" t="s">
        <v>183</v>
      </c>
      <c r="CP339" t="s">
        <v>266</v>
      </c>
      <c r="CS339" t="s">
        <v>198</v>
      </c>
      <c r="CT339" t="s">
        <v>3389</v>
      </c>
      <c r="CU339" t="s">
        <v>292</v>
      </c>
      <c r="CV339" t="s">
        <v>293</v>
      </c>
      <c r="CW339" t="s">
        <v>5132</v>
      </c>
      <c r="CX339" t="s">
        <v>295</v>
      </c>
      <c r="CY339" t="s">
        <v>183</v>
      </c>
      <c r="CZ339" t="s">
        <v>211</v>
      </c>
      <c r="DA339" t="s">
        <v>250</v>
      </c>
      <c r="DB339" t="s">
        <v>271</v>
      </c>
      <c r="DC339" t="s">
        <v>4374</v>
      </c>
      <c r="DD339" t="s">
        <v>3522</v>
      </c>
      <c r="DE339" t="s">
        <v>267</v>
      </c>
      <c r="DF339" t="s">
        <v>268</v>
      </c>
      <c r="DG339" t="s">
        <v>5133</v>
      </c>
      <c r="DH339" t="s">
        <v>927</v>
      </c>
      <c r="DI339" t="s">
        <v>183</v>
      </c>
      <c r="DJ339" t="s">
        <v>211</v>
      </c>
      <c r="DL339" t="s">
        <v>271</v>
      </c>
      <c r="DM339" t="s">
        <v>198</v>
      </c>
      <c r="DN339" t="s">
        <v>3544</v>
      </c>
      <c r="DO339" t="s">
        <v>273</v>
      </c>
      <c r="DP339" t="s">
        <v>274</v>
      </c>
      <c r="DQ339" t="s">
        <v>5134</v>
      </c>
      <c r="DR339" t="s">
        <v>3342</v>
      </c>
      <c r="DS339" t="s">
        <v>183</v>
      </c>
      <c r="DT339" t="s">
        <v>211</v>
      </c>
      <c r="DV339" t="s">
        <v>271</v>
      </c>
      <c r="DW339" t="s">
        <v>198</v>
      </c>
      <c r="DX339" t="s">
        <v>3810</v>
      </c>
      <c r="DY339" t="s">
        <v>302</v>
      </c>
      <c r="DZ339" t="s">
        <v>303</v>
      </c>
      <c r="EA339" t="s">
        <v>5135</v>
      </c>
      <c r="EB339" t="s">
        <v>305</v>
      </c>
      <c r="EC339" t="s">
        <v>183</v>
      </c>
      <c r="ED339" t="s">
        <v>211</v>
      </c>
      <c r="EE339" t="s">
        <v>966</v>
      </c>
      <c r="EG339" t="s">
        <v>5136</v>
      </c>
      <c r="EH339" t="s">
        <v>5137</v>
      </c>
      <c r="EI339" t="s">
        <v>238</v>
      </c>
      <c r="EJ339" t="s">
        <v>239</v>
      </c>
      <c r="EK339" t="s">
        <v>5138</v>
      </c>
      <c r="EL339" t="s">
        <v>440</v>
      </c>
      <c r="EM339" t="s">
        <v>183</v>
      </c>
      <c r="EN339" t="s">
        <v>211</v>
      </c>
      <c r="EO339" t="s">
        <v>1032</v>
      </c>
      <c r="EQ339" t="s">
        <v>5136</v>
      </c>
      <c r="ER339" t="s">
        <v>5139</v>
      </c>
      <c r="ES339" t="s">
        <v>207</v>
      </c>
      <c r="ET339" t="s">
        <v>208</v>
      </c>
      <c r="EU339" t="s">
        <v>5140</v>
      </c>
      <c r="EV339" t="s">
        <v>922</v>
      </c>
      <c r="EW339" t="s">
        <v>183</v>
      </c>
      <c r="EX339" t="s">
        <v>211</v>
      </c>
      <c r="EY339" t="s">
        <v>329</v>
      </c>
      <c r="EZ339" t="s">
        <v>271</v>
      </c>
      <c r="FA339" t="s">
        <v>5141</v>
      </c>
      <c r="FK339" t="s">
        <v>198</v>
      </c>
      <c r="FU339" t="s">
        <v>198</v>
      </c>
    </row>
    <row r="340" spans="1:177">
      <c r="A340" s="1" t="str">
        <f>HYPERLINK("http://digipan.lumentumllc.com/apps/getLink/index.php?t=PropLink&amp;p=5246034","PL")</f>
        <v>PL</v>
      </c>
      <c r="B340" s="1" t="str">
        <f>HYPERLINK("http://digipan.lumentumllc.com/apps/getLink/index.php?t=TaxLink&amp;p=5246034","TL")</f>
        <v>TL</v>
      </c>
      <c r="C340" s="1" t="str">
        <f>HYPERLINK("http://digipan.lumentumllc.com/apps/getMap/index.php?p=5246034","Map")</f>
        <v>Map</v>
      </c>
      <c r="E340" t="s">
        <v>177</v>
      </c>
      <c r="F340" t="s">
        <v>178</v>
      </c>
      <c r="L340" t="s">
        <v>5142</v>
      </c>
      <c r="N340" t="s">
        <v>5142</v>
      </c>
      <c r="O340" t="s">
        <v>5142</v>
      </c>
      <c r="P340" t="s">
        <v>5143</v>
      </c>
      <c r="Q340" t="s">
        <v>5142</v>
      </c>
      <c r="V340">
        <v>396</v>
      </c>
      <c r="W340">
        <v>2</v>
      </c>
      <c r="X340">
        <v>2017</v>
      </c>
      <c r="Y340">
        <v>2018</v>
      </c>
      <c r="Z340">
        <v>612.45000000000005</v>
      </c>
      <c r="AB340" t="s">
        <v>181</v>
      </c>
      <c r="AC340" t="s">
        <v>182</v>
      </c>
      <c r="AD340" t="s">
        <v>183</v>
      </c>
      <c r="AE340">
        <v>1</v>
      </c>
      <c r="AF340">
        <v>5</v>
      </c>
      <c r="AG340" t="s">
        <v>322</v>
      </c>
      <c r="AH340">
        <v>83</v>
      </c>
      <c r="AI340">
        <v>608.95000000000005</v>
      </c>
      <c r="AJ340">
        <v>30.45</v>
      </c>
      <c r="AK340">
        <v>639.4</v>
      </c>
      <c r="AL340">
        <v>83158</v>
      </c>
      <c r="AM340">
        <v>15300</v>
      </c>
      <c r="AN340">
        <v>67858</v>
      </c>
      <c r="AO340">
        <v>538</v>
      </c>
      <c r="AP340">
        <v>2016</v>
      </c>
      <c r="AQ340">
        <v>0.74</v>
      </c>
      <c r="AR340">
        <v>0.77</v>
      </c>
      <c r="AS340" t="s">
        <v>5144</v>
      </c>
      <c r="AT340" t="s">
        <v>3747</v>
      </c>
      <c r="AU340" t="s">
        <v>177</v>
      </c>
      <c r="AV340" t="s">
        <v>1030</v>
      </c>
      <c r="AW340" t="s">
        <v>202</v>
      </c>
      <c r="AX340">
        <v>1</v>
      </c>
      <c r="AY340" t="s">
        <v>188</v>
      </c>
      <c r="AZ340" t="s">
        <v>206</v>
      </c>
      <c r="BA340" t="s">
        <v>355</v>
      </c>
      <c r="BB340" t="s">
        <v>191</v>
      </c>
      <c r="BC340" t="s">
        <v>182</v>
      </c>
      <c r="BD340" t="s">
        <v>182</v>
      </c>
      <c r="BE340" t="s">
        <v>5145</v>
      </c>
      <c r="BF340">
        <v>2</v>
      </c>
      <c r="BG340">
        <v>2</v>
      </c>
      <c r="BH340">
        <v>1985</v>
      </c>
      <c r="BI340" t="s">
        <v>5146</v>
      </c>
      <c r="BJ340" t="s">
        <v>194</v>
      </c>
      <c r="BK340" t="s">
        <v>195</v>
      </c>
      <c r="BL340" t="s">
        <v>2939</v>
      </c>
      <c r="BM340" t="s">
        <v>4597</v>
      </c>
      <c r="BN340" t="s">
        <v>182</v>
      </c>
      <c r="BO340" t="s">
        <v>3184</v>
      </c>
      <c r="BP340" t="s">
        <v>5147</v>
      </c>
      <c r="BR340" t="s">
        <v>1461</v>
      </c>
      <c r="BS340" t="s">
        <v>5148</v>
      </c>
      <c r="BT340" t="s">
        <v>198</v>
      </c>
      <c r="BU340" t="s">
        <v>182</v>
      </c>
      <c r="BV340" t="s">
        <v>198</v>
      </c>
      <c r="BW340" t="s">
        <v>198</v>
      </c>
      <c r="BX340" t="s">
        <v>199</v>
      </c>
      <c r="BY340" t="s">
        <v>198</v>
      </c>
      <c r="BZ340" t="s">
        <v>199</v>
      </c>
      <c r="CA340" t="s">
        <v>199</v>
      </c>
      <c r="CB340" t="s">
        <v>5149</v>
      </c>
      <c r="CC340" t="s">
        <v>201</v>
      </c>
      <c r="CD340" t="s">
        <v>182</v>
      </c>
      <c r="CE340" t="s">
        <v>5150</v>
      </c>
      <c r="CF340" t="s">
        <v>1029</v>
      </c>
      <c r="CG340" t="s">
        <v>177</v>
      </c>
      <c r="CH340" t="s">
        <v>1030</v>
      </c>
      <c r="CI340" t="s">
        <v>5151</v>
      </c>
      <c r="CJ340" t="s">
        <v>5011</v>
      </c>
      <c r="CK340" t="s">
        <v>232</v>
      </c>
      <c r="CL340" t="s">
        <v>233</v>
      </c>
      <c r="CM340" t="s">
        <v>5152</v>
      </c>
      <c r="CN340" t="s">
        <v>235</v>
      </c>
      <c r="CO340" t="s">
        <v>183</v>
      </c>
      <c r="CP340" t="s">
        <v>266</v>
      </c>
      <c r="CS340" t="s">
        <v>198</v>
      </c>
      <c r="CT340" t="s">
        <v>3434</v>
      </c>
      <c r="CU340" t="s">
        <v>292</v>
      </c>
      <c r="CV340" t="s">
        <v>293</v>
      </c>
      <c r="CW340" t="s">
        <v>5153</v>
      </c>
      <c r="CX340" t="s">
        <v>235</v>
      </c>
      <c r="CY340" t="s">
        <v>183</v>
      </c>
      <c r="CZ340" t="s">
        <v>211</v>
      </c>
      <c r="DA340" t="s">
        <v>523</v>
      </c>
      <c r="DC340" t="s">
        <v>5154</v>
      </c>
      <c r="DD340" t="s">
        <v>4830</v>
      </c>
      <c r="DE340" t="s">
        <v>267</v>
      </c>
      <c r="DF340" t="s">
        <v>268</v>
      </c>
      <c r="DG340" t="s">
        <v>5155</v>
      </c>
      <c r="DH340" t="s">
        <v>235</v>
      </c>
      <c r="DI340" t="s">
        <v>183</v>
      </c>
      <c r="DJ340" t="s">
        <v>211</v>
      </c>
      <c r="DK340" t="s">
        <v>298</v>
      </c>
      <c r="DM340" t="s">
        <v>2670</v>
      </c>
      <c r="DN340" t="s">
        <v>5008</v>
      </c>
      <c r="DO340" t="s">
        <v>273</v>
      </c>
      <c r="DP340" t="s">
        <v>274</v>
      </c>
      <c r="DQ340" t="s">
        <v>5156</v>
      </c>
      <c r="DR340" t="s">
        <v>235</v>
      </c>
      <c r="DS340" t="s">
        <v>183</v>
      </c>
      <c r="DT340" t="s">
        <v>211</v>
      </c>
      <c r="DU340" t="s">
        <v>298</v>
      </c>
      <c r="DW340" t="s">
        <v>1645</v>
      </c>
      <c r="DX340" t="s">
        <v>5157</v>
      </c>
      <c r="DY340" t="s">
        <v>238</v>
      </c>
      <c r="DZ340" t="s">
        <v>239</v>
      </c>
      <c r="EA340" t="s">
        <v>5158</v>
      </c>
      <c r="EB340" t="s">
        <v>235</v>
      </c>
      <c r="EC340" t="s">
        <v>183</v>
      </c>
      <c r="ED340" t="s">
        <v>211</v>
      </c>
      <c r="EE340" t="s">
        <v>270</v>
      </c>
      <c r="EG340" t="s">
        <v>5159</v>
      </c>
      <c r="EH340" t="s">
        <v>5160</v>
      </c>
      <c r="EI340" t="s">
        <v>346</v>
      </c>
      <c r="EJ340" t="s">
        <v>347</v>
      </c>
      <c r="EK340" t="s">
        <v>5161</v>
      </c>
      <c r="EL340" t="s">
        <v>235</v>
      </c>
      <c r="EM340" t="s">
        <v>183</v>
      </c>
      <c r="EN340" t="s">
        <v>211</v>
      </c>
      <c r="EO340" t="s">
        <v>342</v>
      </c>
      <c r="EQ340" t="s">
        <v>1268</v>
      </c>
      <c r="FA340" t="s">
        <v>198</v>
      </c>
      <c r="FK340" t="s">
        <v>198</v>
      </c>
      <c r="FU340" t="s">
        <v>198</v>
      </c>
    </row>
    <row r="341" spans="1:177">
      <c r="A341" s="1" t="str">
        <f>HYPERLINK("http://digipan.lumentumllc.com/apps/getLink/index.php?t=PropLink&amp;p=5246037","PL")</f>
        <v>PL</v>
      </c>
      <c r="B341" s="1" t="str">
        <f>HYPERLINK("http://digipan.lumentumllc.com/apps/getLink/index.php?t=TaxLink&amp;p=5246037","TL")</f>
        <v>TL</v>
      </c>
      <c r="C341" s="1" t="str">
        <f>HYPERLINK("http://digipan.lumentumllc.com/apps/getMap/index.php?p=5246037","Map")</f>
        <v>Map</v>
      </c>
      <c r="E341" t="s">
        <v>177</v>
      </c>
      <c r="F341" t="s">
        <v>178</v>
      </c>
      <c r="L341" t="s">
        <v>5162</v>
      </c>
      <c r="N341" t="s">
        <v>5162</v>
      </c>
      <c r="O341" t="s">
        <v>5162</v>
      </c>
      <c r="P341" t="s">
        <v>5163</v>
      </c>
      <c r="Q341" t="s">
        <v>5162</v>
      </c>
      <c r="V341">
        <v>397</v>
      </c>
      <c r="W341">
        <v>2</v>
      </c>
      <c r="X341">
        <v>2017</v>
      </c>
      <c r="Y341">
        <v>2018</v>
      </c>
      <c r="Z341">
        <v>334.16</v>
      </c>
      <c r="AB341" t="s">
        <v>181</v>
      </c>
      <c r="AC341" t="s">
        <v>182</v>
      </c>
      <c r="AD341" t="s">
        <v>183</v>
      </c>
      <c r="AE341">
        <v>1</v>
      </c>
      <c r="AF341">
        <v>9</v>
      </c>
      <c r="AG341" t="s">
        <v>5164</v>
      </c>
      <c r="AH341">
        <v>89</v>
      </c>
      <c r="AI341">
        <v>318.55</v>
      </c>
      <c r="AJ341">
        <v>15.93</v>
      </c>
      <c r="AK341">
        <v>334.48</v>
      </c>
      <c r="AL341">
        <v>57133</v>
      </c>
      <c r="AM341">
        <v>15000</v>
      </c>
      <c r="AN341">
        <v>42133</v>
      </c>
      <c r="AO341">
        <v>270</v>
      </c>
      <c r="AP341">
        <v>2016</v>
      </c>
      <c r="AQ341">
        <v>0.57999999999999996</v>
      </c>
      <c r="AR341">
        <v>0.59</v>
      </c>
      <c r="AS341" t="s">
        <v>5165</v>
      </c>
      <c r="AT341" t="s">
        <v>3747</v>
      </c>
      <c r="AU341" t="s">
        <v>177</v>
      </c>
      <c r="AV341" t="s">
        <v>1030</v>
      </c>
      <c r="AW341" t="s">
        <v>202</v>
      </c>
      <c r="AX341">
        <v>2</v>
      </c>
      <c r="AY341" t="s">
        <v>188</v>
      </c>
      <c r="AZ341" t="s">
        <v>189</v>
      </c>
      <c r="BA341" t="s">
        <v>190</v>
      </c>
      <c r="BB341" t="s">
        <v>191</v>
      </c>
      <c r="BC341" t="s">
        <v>182</v>
      </c>
      <c r="BD341" t="s">
        <v>182</v>
      </c>
      <c r="BE341" t="s">
        <v>383</v>
      </c>
      <c r="BF341">
        <v>1</v>
      </c>
      <c r="BG341">
        <v>1</v>
      </c>
      <c r="BH341">
        <v>1996</v>
      </c>
      <c r="BI341" t="s">
        <v>450</v>
      </c>
      <c r="BJ341" t="s">
        <v>194</v>
      </c>
      <c r="BK341" t="s">
        <v>195</v>
      </c>
      <c r="BL341" t="s">
        <v>199</v>
      </c>
      <c r="BM341" t="s">
        <v>1156</v>
      </c>
      <c r="BN341" t="s">
        <v>182</v>
      </c>
      <c r="BO341" t="s">
        <v>198</v>
      </c>
      <c r="BP341" t="s">
        <v>198</v>
      </c>
      <c r="BQ341" t="s">
        <v>198</v>
      </c>
      <c r="BR341" t="s">
        <v>198</v>
      </c>
      <c r="BS341" t="s">
        <v>198</v>
      </c>
      <c r="BT341" t="s">
        <v>198</v>
      </c>
      <c r="BU341" t="s">
        <v>182</v>
      </c>
      <c r="BV341" t="s">
        <v>198</v>
      </c>
      <c r="BW341" t="s">
        <v>198</v>
      </c>
      <c r="BX341" t="s">
        <v>199</v>
      </c>
      <c r="BY341" t="s">
        <v>198</v>
      </c>
      <c r="BZ341" t="s">
        <v>199</v>
      </c>
      <c r="CA341" t="s">
        <v>199</v>
      </c>
      <c r="CB341" t="s">
        <v>5166</v>
      </c>
      <c r="CC341" t="s">
        <v>201</v>
      </c>
      <c r="CD341" t="s">
        <v>182</v>
      </c>
      <c r="CE341" t="s">
        <v>5167</v>
      </c>
      <c r="CF341" t="s">
        <v>1029</v>
      </c>
      <c r="CG341" t="s">
        <v>177</v>
      </c>
      <c r="CH341" t="s">
        <v>1030</v>
      </c>
      <c r="CI341" t="s">
        <v>5168</v>
      </c>
      <c r="CJ341" t="s">
        <v>5169</v>
      </c>
      <c r="CK341" t="s">
        <v>232</v>
      </c>
      <c r="CL341" t="s">
        <v>233</v>
      </c>
      <c r="CM341" t="s">
        <v>5170</v>
      </c>
      <c r="CN341" t="s">
        <v>235</v>
      </c>
      <c r="CO341" t="s">
        <v>183</v>
      </c>
      <c r="CP341" t="s">
        <v>266</v>
      </c>
      <c r="CS341" t="s">
        <v>198</v>
      </c>
      <c r="CT341" t="s">
        <v>3467</v>
      </c>
      <c r="CU341" t="s">
        <v>292</v>
      </c>
      <c r="CV341" t="s">
        <v>293</v>
      </c>
      <c r="CW341" t="s">
        <v>5171</v>
      </c>
      <c r="CX341" t="s">
        <v>235</v>
      </c>
      <c r="CY341" t="s">
        <v>183</v>
      </c>
      <c r="CZ341" t="s">
        <v>211</v>
      </c>
      <c r="DA341" t="s">
        <v>298</v>
      </c>
      <c r="DC341" t="s">
        <v>457</v>
      </c>
      <c r="DD341" t="s">
        <v>4848</v>
      </c>
      <c r="DE341" t="s">
        <v>267</v>
      </c>
      <c r="DF341" t="s">
        <v>268</v>
      </c>
      <c r="DG341" t="s">
        <v>5172</v>
      </c>
      <c r="DH341" t="s">
        <v>235</v>
      </c>
      <c r="DI341" t="s">
        <v>183</v>
      </c>
      <c r="DJ341" t="s">
        <v>211</v>
      </c>
      <c r="DK341" t="s">
        <v>298</v>
      </c>
      <c r="DM341" t="s">
        <v>459</v>
      </c>
      <c r="DN341" t="s">
        <v>4936</v>
      </c>
      <c r="DO341" t="s">
        <v>273</v>
      </c>
      <c r="DP341" t="s">
        <v>274</v>
      </c>
      <c r="DQ341" t="s">
        <v>5173</v>
      </c>
      <c r="DR341" t="s">
        <v>838</v>
      </c>
      <c r="DS341" t="s">
        <v>183</v>
      </c>
      <c r="DT341" t="s">
        <v>211</v>
      </c>
      <c r="DU341" t="s">
        <v>298</v>
      </c>
      <c r="DW341" t="s">
        <v>462</v>
      </c>
      <c r="DX341" t="s">
        <v>5174</v>
      </c>
      <c r="DY341" t="s">
        <v>302</v>
      </c>
      <c r="DZ341" t="s">
        <v>303</v>
      </c>
      <c r="EA341" t="s">
        <v>5175</v>
      </c>
      <c r="EB341" t="s">
        <v>436</v>
      </c>
      <c r="EC341" t="s">
        <v>183</v>
      </c>
      <c r="ED341" t="s">
        <v>211</v>
      </c>
      <c r="EE341" t="s">
        <v>298</v>
      </c>
      <c r="EG341" t="s">
        <v>2359</v>
      </c>
      <c r="EH341" t="s">
        <v>2762</v>
      </c>
      <c r="EI341" t="s">
        <v>238</v>
      </c>
      <c r="EJ341" t="s">
        <v>239</v>
      </c>
      <c r="EK341" t="s">
        <v>5176</v>
      </c>
      <c r="EL341" t="s">
        <v>482</v>
      </c>
      <c r="EM341" t="s">
        <v>183</v>
      </c>
      <c r="EN341" t="s">
        <v>211</v>
      </c>
      <c r="EO341" t="s">
        <v>298</v>
      </c>
      <c r="EQ341" t="s">
        <v>1815</v>
      </c>
      <c r="ER341" t="s">
        <v>5177</v>
      </c>
      <c r="ES341" t="s">
        <v>346</v>
      </c>
      <c r="ET341" t="s">
        <v>347</v>
      </c>
      <c r="EU341" t="s">
        <v>5178</v>
      </c>
      <c r="EV341" t="s">
        <v>469</v>
      </c>
      <c r="EW341" t="s">
        <v>183</v>
      </c>
      <c r="EX341" t="s">
        <v>211</v>
      </c>
      <c r="EY341" t="s">
        <v>345</v>
      </c>
      <c r="FA341" t="s">
        <v>5179</v>
      </c>
      <c r="FB341" t="s">
        <v>5180</v>
      </c>
      <c r="FC341" t="s">
        <v>207</v>
      </c>
      <c r="FD341" t="s">
        <v>208</v>
      </c>
      <c r="FE341" t="s">
        <v>5181</v>
      </c>
      <c r="FF341" t="s">
        <v>3395</v>
      </c>
      <c r="FG341" t="s">
        <v>183</v>
      </c>
      <c r="FH341" t="s">
        <v>211</v>
      </c>
      <c r="FI341" t="s">
        <v>298</v>
      </c>
      <c r="FK341" t="s">
        <v>5101</v>
      </c>
      <c r="FL341" t="s">
        <v>5182</v>
      </c>
      <c r="FM341" t="s">
        <v>679</v>
      </c>
      <c r="FN341" t="s">
        <v>347</v>
      </c>
      <c r="FO341" t="s">
        <v>5183</v>
      </c>
      <c r="FP341" t="s">
        <v>576</v>
      </c>
      <c r="FQ341" t="s">
        <v>183</v>
      </c>
      <c r="FR341" t="s">
        <v>211</v>
      </c>
      <c r="FS341" t="s">
        <v>298</v>
      </c>
      <c r="FU341" t="s">
        <v>878</v>
      </c>
    </row>
    <row r="342" spans="1:177">
      <c r="A342" s="1" t="str">
        <f>HYPERLINK("http://digipan.lumentumllc.com/apps/getLink/index.php?t=PropLink&amp;p=5246038","PL")</f>
        <v>PL</v>
      </c>
      <c r="B342" s="1" t="str">
        <f>HYPERLINK("http://digipan.lumentumllc.com/apps/getLink/index.php?t=TaxLink&amp;p=5246038","TL")</f>
        <v>TL</v>
      </c>
      <c r="C342" s="1" t="str">
        <f>HYPERLINK("http://digipan.lumentumllc.com/apps/getMap/index.php?p=5246038","Map")</f>
        <v>Map</v>
      </c>
      <c r="E342" t="s">
        <v>177</v>
      </c>
      <c r="F342" t="s">
        <v>178</v>
      </c>
      <c r="L342" t="s">
        <v>5184</v>
      </c>
      <c r="N342" t="s">
        <v>5184</v>
      </c>
      <c r="O342" t="s">
        <v>5184</v>
      </c>
      <c r="P342" t="s">
        <v>5185</v>
      </c>
      <c r="Q342" t="s">
        <v>5184</v>
      </c>
      <c r="V342">
        <v>398</v>
      </c>
      <c r="W342">
        <v>2</v>
      </c>
      <c r="X342">
        <v>2017</v>
      </c>
      <c r="Y342">
        <v>2018</v>
      </c>
      <c r="Z342">
        <v>994.66</v>
      </c>
      <c r="AB342" t="s">
        <v>181</v>
      </c>
      <c r="AC342" t="s">
        <v>202</v>
      </c>
      <c r="AD342" t="s">
        <v>183</v>
      </c>
      <c r="AE342">
        <v>0</v>
      </c>
      <c r="AF342">
        <v>8</v>
      </c>
      <c r="AG342" t="s">
        <v>1059</v>
      </c>
      <c r="AH342">
        <v>100</v>
      </c>
      <c r="AK342">
        <v>0</v>
      </c>
      <c r="AL342">
        <v>108358</v>
      </c>
      <c r="AM342">
        <v>15000</v>
      </c>
      <c r="AN342">
        <v>93358</v>
      </c>
      <c r="AO342">
        <v>874</v>
      </c>
      <c r="AP342">
        <v>2016</v>
      </c>
      <c r="AQ342">
        <v>0.92</v>
      </c>
      <c r="AS342" t="s">
        <v>5186</v>
      </c>
      <c r="AT342" t="s">
        <v>3747</v>
      </c>
      <c r="AU342" t="s">
        <v>177</v>
      </c>
      <c r="AV342" t="s">
        <v>1030</v>
      </c>
      <c r="AW342" t="s">
        <v>202</v>
      </c>
      <c r="AX342">
        <v>1</v>
      </c>
      <c r="AY342" t="s">
        <v>188</v>
      </c>
      <c r="AZ342" t="s">
        <v>206</v>
      </c>
      <c r="BA342" t="s">
        <v>355</v>
      </c>
      <c r="BB342" t="s">
        <v>191</v>
      </c>
      <c r="BC342" t="s">
        <v>182</v>
      </c>
      <c r="BD342" t="s">
        <v>182</v>
      </c>
      <c r="BE342" t="s">
        <v>383</v>
      </c>
      <c r="BF342">
        <v>1</v>
      </c>
      <c r="BG342">
        <v>1</v>
      </c>
      <c r="BH342">
        <v>2001</v>
      </c>
      <c r="BI342" t="s">
        <v>5187</v>
      </c>
      <c r="BJ342" t="s">
        <v>194</v>
      </c>
      <c r="BK342" t="s">
        <v>195</v>
      </c>
      <c r="BL342" t="s">
        <v>199</v>
      </c>
      <c r="BM342" t="s">
        <v>410</v>
      </c>
      <c r="BN342" t="s">
        <v>182</v>
      </c>
      <c r="BO342" t="s">
        <v>5188</v>
      </c>
      <c r="BP342" t="s">
        <v>5189</v>
      </c>
      <c r="BS342" t="s">
        <v>5190</v>
      </c>
      <c r="BT342" t="s">
        <v>198</v>
      </c>
      <c r="BU342" t="s">
        <v>182</v>
      </c>
      <c r="BV342" t="s">
        <v>198</v>
      </c>
      <c r="BW342" t="s">
        <v>198</v>
      </c>
      <c r="BX342" t="s">
        <v>199</v>
      </c>
      <c r="BY342" t="s">
        <v>198</v>
      </c>
      <c r="BZ342" t="s">
        <v>199</v>
      </c>
      <c r="CA342" t="s">
        <v>199</v>
      </c>
      <c r="CB342" t="s">
        <v>5191</v>
      </c>
      <c r="CC342" t="s">
        <v>201</v>
      </c>
      <c r="CD342" t="s">
        <v>182</v>
      </c>
      <c r="CE342" t="s">
        <v>5192</v>
      </c>
      <c r="CF342" t="s">
        <v>1029</v>
      </c>
      <c r="CG342" t="s">
        <v>177</v>
      </c>
      <c r="CH342" t="s">
        <v>1030</v>
      </c>
      <c r="CI342" t="s">
        <v>1700</v>
      </c>
      <c r="CJ342" t="s">
        <v>5024</v>
      </c>
      <c r="CK342" t="s">
        <v>232</v>
      </c>
      <c r="CL342" t="s">
        <v>233</v>
      </c>
      <c r="CM342" t="s">
        <v>5193</v>
      </c>
      <c r="CN342" t="s">
        <v>235</v>
      </c>
      <c r="CO342" t="s">
        <v>183</v>
      </c>
      <c r="CP342" t="s">
        <v>211</v>
      </c>
      <c r="CQ342" t="s">
        <v>296</v>
      </c>
      <c r="CS342" t="s">
        <v>5194</v>
      </c>
      <c r="CT342" t="s">
        <v>4830</v>
      </c>
      <c r="CU342" t="s">
        <v>292</v>
      </c>
      <c r="CV342" t="s">
        <v>293</v>
      </c>
      <c r="CW342" t="s">
        <v>4246</v>
      </c>
      <c r="CX342" t="s">
        <v>235</v>
      </c>
      <c r="CY342" t="s">
        <v>183</v>
      </c>
      <c r="CZ342" t="s">
        <v>211</v>
      </c>
      <c r="DA342" t="s">
        <v>290</v>
      </c>
      <c r="DC342" t="s">
        <v>5195</v>
      </c>
      <c r="DD342" t="s">
        <v>4911</v>
      </c>
      <c r="DE342" t="s">
        <v>267</v>
      </c>
      <c r="DF342" t="s">
        <v>268</v>
      </c>
      <c r="DG342" t="s">
        <v>5196</v>
      </c>
      <c r="DH342" t="s">
        <v>235</v>
      </c>
      <c r="DI342" t="s">
        <v>183</v>
      </c>
      <c r="DJ342" t="s">
        <v>211</v>
      </c>
      <c r="DK342" t="s">
        <v>290</v>
      </c>
      <c r="DM342" t="s">
        <v>5197</v>
      </c>
      <c r="DN342" t="s">
        <v>4948</v>
      </c>
      <c r="DO342" t="s">
        <v>273</v>
      </c>
      <c r="DP342" t="s">
        <v>274</v>
      </c>
      <c r="DQ342" t="s">
        <v>5198</v>
      </c>
      <c r="DR342" t="s">
        <v>235</v>
      </c>
      <c r="DS342" t="s">
        <v>183</v>
      </c>
      <c r="DT342" t="s">
        <v>211</v>
      </c>
      <c r="DU342" t="s">
        <v>296</v>
      </c>
      <c r="DV342" t="s">
        <v>271</v>
      </c>
      <c r="DW342" t="s">
        <v>5199</v>
      </c>
      <c r="DX342" t="s">
        <v>5200</v>
      </c>
      <c r="DY342" t="s">
        <v>302</v>
      </c>
      <c r="DZ342" t="s">
        <v>303</v>
      </c>
      <c r="EA342" t="s">
        <v>5201</v>
      </c>
      <c r="EB342" t="s">
        <v>235</v>
      </c>
      <c r="EC342" t="s">
        <v>183</v>
      </c>
      <c r="ED342" t="s">
        <v>211</v>
      </c>
      <c r="EE342" t="s">
        <v>444</v>
      </c>
      <c r="EF342" t="s">
        <v>271</v>
      </c>
      <c r="EG342" t="s">
        <v>5199</v>
      </c>
      <c r="EH342" t="s">
        <v>5202</v>
      </c>
      <c r="EI342" t="s">
        <v>238</v>
      </c>
      <c r="EJ342" t="s">
        <v>239</v>
      </c>
      <c r="EK342" t="s">
        <v>5203</v>
      </c>
      <c r="EL342" t="s">
        <v>235</v>
      </c>
      <c r="EM342" t="s">
        <v>183</v>
      </c>
      <c r="EN342" t="s">
        <v>211</v>
      </c>
      <c r="EP342" t="s">
        <v>271</v>
      </c>
      <c r="EQ342" t="s">
        <v>198</v>
      </c>
      <c r="ER342" t="s">
        <v>5204</v>
      </c>
      <c r="ES342" t="s">
        <v>346</v>
      </c>
      <c r="ET342" t="s">
        <v>347</v>
      </c>
      <c r="EU342" t="s">
        <v>5205</v>
      </c>
      <c r="EV342" t="s">
        <v>235</v>
      </c>
      <c r="EW342" t="s">
        <v>183</v>
      </c>
      <c r="EX342" t="s">
        <v>211</v>
      </c>
      <c r="EY342" t="s">
        <v>298</v>
      </c>
      <c r="FA342" t="s">
        <v>1622</v>
      </c>
      <c r="FB342" t="s">
        <v>5206</v>
      </c>
      <c r="FC342" t="s">
        <v>207</v>
      </c>
      <c r="FD342" t="s">
        <v>208</v>
      </c>
      <c r="FE342" t="s">
        <v>5207</v>
      </c>
      <c r="FF342" t="s">
        <v>235</v>
      </c>
      <c r="FG342" t="s">
        <v>183</v>
      </c>
      <c r="FH342" t="s">
        <v>211</v>
      </c>
      <c r="FI342" t="s">
        <v>298</v>
      </c>
      <c r="FK342" t="s">
        <v>5208</v>
      </c>
      <c r="FU342" t="s">
        <v>198</v>
      </c>
    </row>
    <row r="343" spans="1:177">
      <c r="A343" s="1" t="str">
        <f>HYPERLINK("http://digipan.lumentumllc.com/apps/getLink/index.php?t=PropLink&amp;p=5246495","PL")</f>
        <v>PL</v>
      </c>
      <c r="B343" s="1" t="str">
        <f>HYPERLINK("http://digipan.lumentumllc.com/apps/getLink/index.php?t=TaxLink&amp;p=5246495","TL")</f>
        <v>TL</v>
      </c>
      <c r="C343" s="1" t="str">
        <f>HYPERLINK("http://digipan.lumentumllc.com/apps/getMap/index.php?p=5246495","Map")</f>
        <v>Map</v>
      </c>
      <c r="E343" t="s">
        <v>177</v>
      </c>
      <c r="F343" t="s">
        <v>178</v>
      </c>
      <c r="L343" t="s">
        <v>5209</v>
      </c>
      <c r="N343" t="s">
        <v>5209</v>
      </c>
      <c r="O343" t="s">
        <v>5209</v>
      </c>
      <c r="P343" t="s">
        <v>5210</v>
      </c>
      <c r="Q343" t="s">
        <v>5209</v>
      </c>
      <c r="V343">
        <v>400</v>
      </c>
      <c r="W343">
        <v>2</v>
      </c>
      <c r="X343">
        <v>2017</v>
      </c>
      <c r="Y343">
        <v>2018</v>
      </c>
      <c r="Z343">
        <v>372.22</v>
      </c>
      <c r="AB343" t="s">
        <v>181</v>
      </c>
      <c r="AC343" t="s">
        <v>182</v>
      </c>
      <c r="AD343" t="s">
        <v>183</v>
      </c>
      <c r="AE343">
        <v>0</v>
      </c>
      <c r="AF343">
        <v>2</v>
      </c>
      <c r="AG343" t="s">
        <v>821</v>
      </c>
      <c r="AH343">
        <v>100</v>
      </c>
      <c r="AK343">
        <v>0</v>
      </c>
      <c r="AL343">
        <v>22800</v>
      </c>
      <c r="AM343">
        <v>22800</v>
      </c>
      <c r="AN343">
        <v>0</v>
      </c>
      <c r="AO343">
        <v>273</v>
      </c>
      <c r="AP343">
        <v>2016</v>
      </c>
      <c r="AQ343">
        <v>1.63</v>
      </c>
      <c r="AS343" t="s">
        <v>5211</v>
      </c>
      <c r="AT343" t="s">
        <v>3747</v>
      </c>
      <c r="AU343" t="s">
        <v>177</v>
      </c>
      <c r="AV343" t="s">
        <v>1030</v>
      </c>
      <c r="AW343" t="s">
        <v>182</v>
      </c>
      <c r="AX343">
        <v>0</v>
      </c>
      <c r="AY343" t="s">
        <v>312</v>
      </c>
      <c r="AZ343" t="s">
        <v>199</v>
      </c>
      <c r="BA343" t="s">
        <v>313</v>
      </c>
      <c r="BB343" t="s">
        <v>191</v>
      </c>
      <c r="BC343" t="s">
        <v>182</v>
      </c>
      <c r="BD343" t="s">
        <v>182</v>
      </c>
      <c r="BE343" t="s">
        <v>5212</v>
      </c>
      <c r="BF343">
        <v>0</v>
      </c>
      <c r="BG343">
        <v>0</v>
      </c>
      <c r="BH343">
        <v>0</v>
      </c>
      <c r="BI343" t="s">
        <v>199</v>
      </c>
      <c r="BJ343" t="s">
        <v>315</v>
      </c>
      <c r="BL343" t="s">
        <v>199</v>
      </c>
      <c r="BM343" t="s">
        <v>679</v>
      </c>
      <c r="BN343" t="s">
        <v>182</v>
      </c>
      <c r="BO343" t="s">
        <v>198</v>
      </c>
      <c r="BP343" t="s">
        <v>198</v>
      </c>
      <c r="BQ343" t="s">
        <v>198</v>
      </c>
      <c r="BR343" t="s">
        <v>198</v>
      </c>
      <c r="BS343" t="s">
        <v>198</v>
      </c>
      <c r="BT343" t="s">
        <v>198</v>
      </c>
      <c r="BU343" t="s">
        <v>182</v>
      </c>
      <c r="BV343" t="s">
        <v>198</v>
      </c>
      <c r="BW343" t="s">
        <v>198</v>
      </c>
      <c r="BX343" t="s">
        <v>199</v>
      </c>
      <c r="BY343" t="s">
        <v>198</v>
      </c>
      <c r="BZ343" t="s">
        <v>199</v>
      </c>
      <c r="CA343" t="s">
        <v>199</v>
      </c>
      <c r="CB343" t="s">
        <v>5213</v>
      </c>
      <c r="CC343" t="s">
        <v>201</v>
      </c>
      <c r="CD343" t="s">
        <v>182</v>
      </c>
      <c r="CE343" t="s">
        <v>5214</v>
      </c>
      <c r="CF343" t="s">
        <v>5215</v>
      </c>
      <c r="CG343" t="s">
        <v>177</v>
      </c>
      <c r="CH343" t="s">
        <v>5216</v>
      </c>
      <c r="CI343" t="s">
        <v>5217</v>
      </c>
      <c r="CJ343" t="s">
        <v>5218</v>
      </c>
      <c r="CK343" t="s">
        <v>346</v>
      </c>
      <c r="CL343" t="s">
        <v>347</v>
      </c>
      <c r="CM343" t="s">
        <v>5219</v>
      </c>
      <c r="CN343" t="s">
        <v>615</v>
      </c>
      <c r="CO343" t="s">
        <v>183</v>
      </c>
      <c r="CP343" t="s">
        <v>211</v>
      </c>
      <c r="CQ343" t="s">
        <v>296</v>
      </c>
      <c r="CS343" t="s">
        <v>5220</v>
      </c>
      <c r="CT343" t="s">
        <v>5221</v>
      </c>
      <c r="CU343" t="s">
        <v>207</v>
      </c>
      <c r="CV343" t="s">
        <v>208</v>
      </c>
      <c r="CW343" t="s">
        <v>5222</v>
      </c>
      <c r="CX343" t="s">
        <v>469</v>
      </c>
      <c r="CY343" t="s">
        <v>183</v>
      </c>
      <c r="CZ343" t="s">
        <v>211</v>
      </c>
      <c r="DA343" t="s">
        <v>199</v>
      </c>
      <c r="DC343" t="s">
        <v>5223</v>
      </c>
      <c r="DM343" t="s">
        <v>198</v>
      </c>
      <c r="DW343" t="s">
        <v>198</v>
      </c>
      <c r="EG343" t="s">
        <v>198</v>
      </c>
      <c r="EQ343" t="s">
        <v>198</v>
      </c>
      <c r="FA343" t="s">
        <v>198</v>
      </c>
      <c r="FK343" t="s">
        <v>198</v>
      </c>
      <c r="FU343" t="s">
        <v>198</v>
      </c>
    </row>
    <row r="344" spans="1:177">
      <c r="A344" s="1" t="str">
        <f>HYPERLINK("http://digipan.lumentumllc.com/apps/getLink/index.php?t=PropLink&amp;p=5246537","PL")</f>
        <v>PL</v>
      </c>
      <c r="B344" s="1" t="str">
        <f>HYPERLINK("http://digipan.lumentumllc.com/apps/getLink/index.php?t=TaxLink&amp;p=5246537","TL")</f>
        <v>TL</v>
      </c>
      <c r="C344" s="1" t="str">
        <f>HYPERLINK("http://digipan.lumentumllc.com/apps/getMap/index.php?p=5246537","Map")</f>
        <v>Map</v>
      </c>
      <c r="E344" t="s">
        <v>177</v>
      </c>
      <c r="F344" t="s">
        <v>178</v>
      </c>
      <c r="L344" t="s">
        <v>5224</v>
      </c>
      <c r="N344" t="s">
        <v>5224</v>
      </c>
      <c r="O344" t="s">
        <v>5224</v>
      </c>
      <c r="P344" t="s">
        <v>5225</v>
      </c>
      <c r="Q344" t="s">
        <v>5224</v>
      </c>
      <c r="V344">
        <v>401</v>
      </c>
      <c r="W344">
        <v>2</v>
      </c>
      <c r="X344">
        <v>2017</v>
      </c>
      <c r="Y344">
        <v>2018</v>
      </c>
      <c r="Z344">
        <v>471.28</v>
      </c>
      <c r="AB344" t="s">
        <v>181</v>
      </c>
      <c r="AC344" t="s">
        <v>182</v>
      </c>
      <c r="AD344" t="s">
        <v>183</v>
      </c>
      <c r="AE344">
        <v>2</v>
      </c>
      <c r="AF344">
        <v>5</v>
      </c>
      <c r="AG344" t="s">
        <v>282</v>
      </c>
      <c r="AH344">
        <v>67</v>
      </c>
      <c r="AI344">
        <v>950.68</v>
      </c>
      <c r="AJ344">
        <v>155.13999999999999</v>
      </c>
      <c r="AK344">
        <v>1105.82</v>
      </c>
      <c r="AL344">
        <v>26829</v>
      </c>
      <c r="AM344">
        <v>25980</v>
      </c>
      <c r="AN344">
        <v>849</v>
      </c>
      <c r="AO344">
        <v>412</v>
      </c>
      <c r="AP344">
        <v>2016</v>
      </c>
      <c r="AQ344">
        <v>1.76</v>
      </c>
      <c r="AR344">
        <v>4.12</v>
      </c>
      <c r="AS344" t="s">
        <v>5226</v>
      </c>
      <c r="AT344" t="s">
        <v>3747</v>
      </c>
      <c r="AU344" t="s">
        <v>177</v>
      </c>
      <c r="AV344" t="s">
        <v>1030</v>
      </c>
      <c r="AW344" t="s">
        <v>182</v>
      </c>
      <c r="AX344">
        <v>0</v>
      </c>
      <c r="AY344" t="s">
        <v>312</v>
      </c>
      <c r="AZ344" t="s">
        <v>199</v>
      </c>
      <c r="BA344" t="s">
        <v>313</v>
      </c>
      <c r="BB344" t="s">
        <v>191</v>
      </c>
      <c r="BC344" t="s">
        <v>182</v>
      </c>
      <c r="BD344" t="s">
        <v>182</v>
      </c>
      <c r="BE344" t="s">
        <v>5227</v>
      </c>
      <c r="BF344">
        <v>0</v>
      </c>
      <c r="BG344">
        <v>0</v>
      </c>
      <c r="BH344">
        <v>0</v>
      </c>
      <c r="BI344" t="s">
        <v>199</v>
      </c>
      <c r="BJ344" t="s">
        <v>248</v>
      </c>
      <c r="BL344" t="s">
        <v>199</v>
      </c>
      <c r="BM344" t="s">
        <v>267</v>
      </c>
      <c r="BN344" t="s">
        <v>182</v>
      </c>
      <c r="BO344" t="s">
        <v>198</v>
      </c>
      <c r="BP344" t="s">
        <v>198</v>
      </c>
      <c r="BQ344" t="s">
        <v>198</v>
      </c>
      <c r="BR344" t="s">
        <v>198</v>
      </c>
      <c r="BS344" t="s">
        <v>198</v>
      </c>
      <c r="BT344" t="s">
        <v>198</v>
      </c>
      <c r="BU344" t="s">
        <v>182</v>
      </c>
      <c r="BV344" t="s">
        <v>198</v>
      </c>
      <c r="BW344" t="s">
        <v>198</v>
      </c>
      <c r="BX344" t="s">
        <v>199</v>
      </c>
      <c r="BY344" t="s">
        <v>198</v>
      </c>
      <c r="BZ344" t="s">
        <v>199</v>
      </c>
      <c r="CA344" t="s">
        <v>199</v>
      </c>
      <c r="CB344" t="s">
        <v>5228</v>
      </c>
      <c r="CC344" t="s">
        <v>201</v>
      </c>
      <c r="CD344" t="s">
        <v>182</v>
      </c>
      <c r="CE344" t="s">
        <v>5229</v>
      </c>
      <c r="CF344" t="s">
        <v>1029</v>
      </c>
      <c r="CG344" t="s">
        <v>177</v>
      </c>
      <c r="CH344" t="s">
        <v>1030</v>
      </c>
      <c r="CI344" t="s">
        <v>5230</v>
      </c>
      <c r="CJ344" t="s">
        <v>5231</v>
      </c>
      <c r="CK344" t="s">
        <v>232</v>
      </c>
      <c r="CL344" t="s">
        <v>233</v>
      </c>
      <c r="CM344" t="s">
        <v>5232</v>
      </c>
      <c r="CN344" t="s">
        <v>331</v>
      </c>
      <c r="CO344" t="s">
        <v>183</v>
      </c>
      <c r="CP344" t="s">
        <v>266</v>
      </c>
      <c r="CS344" t="s">
        <v>198</v>
      </c>
      <c r="CT344" t="s">
        <v>4911</v>
      </c>
      <c r="CU344" t="s">
        <v>292</v>
      </c>
      <c r="CV344" t="s">
        <v>293</v>
      </c>
      <c r="CW344" t="s">
        <v>5233</v>
      </c>
      <c r="CX344" t="s">
        <v>473</v>
      </c>
      <c r="CY344" t="s">
        <v>183</v>
      </c>
      <c r="CZ344" t="s">
        <v>266</v>
      </c>
      <c r="DC344" t="s">
        <v>198</v>
      </c>
      <c r="DD344" t="s">
        <v>5112</v>
      </c>
      <c r="DE344" t="s">
        <v>267</v>
      </c>
      <c r="DF344" t="s">
        <v>268</v>
      </c>
      <c r="DG344" t="s">
        <v>5234</v>
      </c>
      <c r="DH344" t="s">
        <v>331</v>
      </c>
      <c r="DI344" t="s">
        <v>183</v>
      </c>
      <c r="DJ344" t="s">
        <v>211</v>
      </c>
      <c r="DK344" t="s">
        <v>298</v>
      </c>
      <c r="DM344" t="s">
        <v>2096</v>
      </c>
      <c r="DN344" t="s">
        <v>5235</v>
      </c>
      <c r="DO344" t="s">
        <v>302</v>
      </c>
      <c r="DP344" t="s">
        <v>303</v>
      </c>
      <c r="DQ344" t="s">
        <v>5236</v>
      </c>
      <c r="DR344" t="s">
        <v>331</v>
      </c>
      <c r="DS344" t="s">
        <v>183</v>
      </c>
      <c r="DT344" t="s">
        <v>211</v>
      </c>
      <c r="DU344" t="s">
        <v>339</v>
      </c>
      <c r="DW344" t="s">
        <v>5237</v>
      </c>
      <c r="DX344" t="s">
        <v>5238</v>
      </c>
      <c r="DY344" t="s">
        <v>238</v>
      </c>
      <c r="DZ344" t="s">
        <v>239</v>
      </c>
      <c r="EA344" t="s">
        <v>5239</v>
      </c>
      <c r="EB344" t="s">
        <v>440</v>
      </c>
      <c r="EC344" t="s">
        <v>183</v>
      </c>
      <c r="ED344" t="s">
        <v>211</v>
      </c>
      <c r="EE344" t="s">
        <v>493</v>
      </c>
      <c r="EG344" t="s">
        <v>5237</v>
      </c>
      <c r="EH344" t="s">
        <v>5240</v>
      </c>
      <c r="EI344" t="s">
        <v>346</v>
      </c>
      <c r="EJ344" t="s">
        <v>347</v>
      </c>
      <c r="EK344" t="s">
        <v>5241</v>
      </c>
      <c r="EL344" t="s">
        <v>341</v>
      </c>
      <c r="EM344" t="s">
        <v>183</v>
      </c>
      <c r="EN344" t="s">
        <v>211</v>
      </c>
      <c r="EO344" t="s">
        <v>250</v>
      </c>
      <c r="EQ344" t="s">
        <v>5242</v>
      </c>
      <c r="ER344" t="s">
        <v>5243</v>
      </c>
      <c r="ES344" t="s">
        <v>207</v>
      </c>
      <c r="ET344" t="s">
        <v>208</v>
      </c>
      <c r="EU344" t="s">
        <v>5244</v>
      </c>
      <c r="EV344" t="s">
        <v>576</v>
      </c>
      <c r="EW344" t="s">
        <v>183</v>
      </c>
      <c r="EX344" t="s">
        <v>211</v>
      </c>
      <c r="EY344" t="s">
        <v>487</v>
      </c>
      <c r="FA344" t="s">
        <v>5242</v>
      </c>
      <c r="FK344" t="s">
        <v>198</v>
      </c>
      <c r="FU344" t="s">
        <v>198</v>
      </c>
    </row>
    <row r="345" spans="1:177">
      <c r="A345" s="1" t="str">
        <f>HYPERLINK("http://digipan.lumentumllc.com/apps/getLink/index.php?t=PropLink&amp;p=5246540","PL")</f>
        <v>PL</v>
      </c>
      <c r="B345" s="1" t="str">
        <f>HYPERLINK("http://digipan.lumentumllc.com/apps/getLink/index.php?t=TaxLink&amp;p=5246540","TL")</f>
        <v>TL</v>
      </c>
      <c r="C345" s="1" t="str">
        <f>HYPERLINK("http://digipan.lumentumllc.com/apps/getMap/index.php?p=5246540","Map")</f>
        <v>Map</v>
      </c>
      <c r="E345" t="s">
        <v>177</v>
      </c>
      <c r="F345" t="s">
        <v>178</v>
      </c>
      <c r="L345" t="s">
        <v>5245</v>
      </c>
      <c r="N345" t="s">
        <v>5245</v>
      </c>
      <c r="O345" t="s">
        <v>5245</v>
      </c>
      <c r="P345" t="s">
        <v>5246</v>
      </c>
      <c r="Q345" t="s">
        <v>5245</v>
      </c>
      <c r="V345">
        <v>402</v>
      </c>
      <c r="W345">
        <v>2</v>
      </c>
      <c r="X345">
        <v>2017</v>
      </c>
      <c r="Y345">
        <v>2018</v>
      </c>
      <c r="Z345">
        <v>1426.37</v>
      </c>
      <c r="AB345" t="s">
        <v>181</v>
      </c>
      <c r="AC345" t="s">
        <v>202</v>
      </c>
      <c r="AD345" t="s">
        <v>183</v>
      </c>
      <c r="AE345">
        <v>0</v>
      </c>
      <c r="AF345">
        <v>5</v>
      </c>
      <c r="AG345" t="s">
        <v>744</v>
      </c>
      <c r="AH345">
        <v>100</v>
      </c>
      <c r="AK345">
        <v>0</v>
      </c>
      <c r="AL345">
        <v>88268</v>
      </c>
      <c r="AM345">
        <v>43050</v>
      </c>
      <c r="AN345">
        <v>45218</v>
      </c>
      <c r="AO345">
        <v>1159</v>
      </c>
      <c r="AP345">
        <v>2016</v>
      </c>
      <c r="AQ345">
        <v>1.62</v>
      </c>
      <c r="AS345" t="s">
        <v>5247</v>
      </c>
      <c r="AT345" t="s">
        <v>3747</v>
      </c>
      <c r="AU345" t="s">
        <v>177</v>
      </c>
      <c r="AV345" t="s">
        <v>1030</v>
      </c>
      <c r="AW345" t="s">
        <v>182</v>
      </c>
      <c r="AX345">
        <v>2</v>
      </c>
      <c r="AY345" t="s">
        <v>188</v>
      </c>
      <c r="AZ345" t="s">
        <v>189</v>
      </c>
      <c r="BA345" t="s">
        <v>190</v>
      </c>
      <c r="BB345" t="s">
        <v>191</v>
      </c>
      <c r="BC345" t="s">
        <v>182</v>
      </c>
      <c r="BD345" t="s">
        <v>5248</v>
      </c>
      <c r="BE345" t="s">
        <v>5249</v>
      </c>
      <c r="BF345">
        <v>1</v>
      </c>
      <c r="BG345">
        <v>1</v>
      </c>
      <c r="BH345">
        <v>1999</v>
      </c>
      <c r="BI345" t="s">
        <v>5250</v>
      </c>
      <c r="BJ345" t="s">
        <v>194</v>
      </c>
      <c r="BK345" t="s">
        <v>195</v>
      </c>
      <c r="BL345" t="s">
        <v>199</v>
      </c>
      <c r="BM345" t="s">
        <v>273</v>
      </c>
      <c r="BN345" t="s">
        <v>182</v>
      </c>
      <c r="BO345" t="s">
        <v>198</v>
      </c>
      <c r="BP345" t="s">
        <v>198</v>
      </c>
      <c r="BQ345" t="s">
        <v>198</v>
      </c>
      <c r="BR345" t="s">
        <v>198</v>
      </c>
      <c r="BS345" t="s">
        <v>198</v>
      </c>
      <c r="BT345" t="s">
        <v>198</v>
      </c>
      <c r="BU345" t="s">
        <v>182</v>
      </c>
      <c r="BV345" t="s">
        <v>198</v>
      </c>
      <c r="BW345" t="s">
        <v>198</v>
      </c>
      <c r="BX345" t="s">
        <v>199</v>
      </c>
      <c r="BY345" t="s">
        <v>198</v>
      </c>
      <c r="BZ345" t="s">
        <v>199</v>
      </c>
      <c r="CA345" t="s">
        <v>199</v>
      </c>
      <c r="CB345" t="s">
        <v>5251</v>
      </c>
      <c r="CC345" t="s">
        <v>201</v>
      </c>
      <c r="CD345" t="s">
        <v>182</v>
      </c>
      <c r="CE345" t="s">
        <v>5252</v>
      </c>
      <c r="CF345" t="s">
        <v>1029</v>
      </c>
      <c r="CG345" t="s">
        <v>177</v>
      </c>
      <c r="CH345" t="s">
        <v>1030</v>
      </c>
      <c r="CI345" t="s">
        <v>5253</v>
      </c>
      <c r="CJ345" t="s">
        <v>3520</v>
      </c>
      <c r="CK345" t="s">
        <v>267</v>
      </c>
      <c r="CL345" t="s">
        <v>268</v>
      </c>
      <c r="CM345" t="s">
        <v>5254</v>
      </c>
      <c r="CN345" t="s">
        <v>235</v>
      </c>
      <c r="CO345" t="s">
        <v>183</v>
      </c>
      <c r="CP345" t="s">
        <v>211</v>
      </c>
      <c r="CQ345" t="s">
        <v>264</v>
      </c>
      <c r="CS345" t="s">
        <v>5255</v>
      </c>
      <c r="CT345" t="s">
        <v>3943</v>
      </c>
      <c r="CU345" t="s">
        <v>302</v>
      </c>
      <c r="CV345" t="s">
        <v>303</v>
      </c>
      <c r="CW345" t="s">
        <v>5256</v>
      </c>
      <c r="CX345" t="s">
        <v>2499</v>
      </c>
      <c r="CY345" t="s">
        <v>183</v>
      </c>
      <c r="CZ345" t="s">
        <v>211</v>
      </c>
      <c r="DA345" t="s">
        <v>199</v>
      </c>
      <c r="DB345" t="s">
        <v>271</v>
      </c>
      <c r="DC345" t="s">
        <v>5257</v>
      </c>
      <c r="DD345" t="s">
        <v>5258</v>
      </c>
      <c r="DE345" t="s">
        <v>238</v>
      </c>
      <c r="DF345" t="s">
        <v>239</v>
      </c>
      <c r="DG345" t="s">
        <v>5259</v>
      </c>
      <c r="DH345" t="s">
        <v>333</v>
      </c>
      <c r="DI345" t="s">
        <v>183</v>
      </c>
      <c r="DJ345" t="s">
        <v>211</v>
      </c>
      <c r="DK345" t="s">
        <v>427</v>
      </c>
      <c r="DL345" t="s">
        <v>271</v>
      </c>
      <c r="DM345" t="s">
        <v>5257</v>
      </c>
      <c r="DN345" t="s">
        <v>5260</v>
      </c>
      <c r="DO345" t="s">
        <v>346</v>
      </c>
      <c r="DP345" t="s">
        <v>347</v>
      </c>
      <c r="DQ345" t="s">
        <v>5261</v>
      </c>
      <c r="DR345" t="s">
        <v>1551</v>
      </c>
      <c r="DS345" t="s">
        <v>183</v>
      </c>
      <c r="DT345" t="s">
        <v>211</v>
      </c>
      <c r="DV345" t="s">
        <v>271</v>
      </c>
      <c r="DW345" t="s">
        <v>198</v>
      </c>
      <c r="DX345" t="s">
        <v>5262</v>
      </c>
      <c r="DY345" t="s">
        <v>207</v>
      </c>
      <c r="DZ345" t="s">
        <v>208</v>
      </c>
      <c r="EA345" t="s">
        <v>5263</v>
      </c>
      <c r="EB345" t="s">
        <v>576</v>
      </c>
      <c r="EC345" t="s">
        <v>183</v>
      </c>
      <c r="ED345" t="s">
        <v>211</v>
      </c>
      <c r="EE345" t="s">
        <v>655</v>
      </c>
      <c r="EF345" t="s">
        <v>271</v>
      </c>
      <c r="EG345" t="s">
        <v>5257</v>
      </c>
      <c r="EQ345" t="s">
        <v>198</v>
      </c>
      <c r="FA345" t="s">
        <v>198</v>
      </c>
      <c r="FK345" t="s">
        <v>198</v>
      </c>
      <c r="FU345" t="s">
        <v>198</v>
      </c>
    </row>
    <row r="346" spans="1:177">
      <c r="A346" s="1" t="str">
        <f>HYPERLINK("http://digipan.lumentumllc.com/apps/getLink/index.php?t=PropLink&amp;p=6594229","PL")</f>
        <v>PL</v>
      </c>
      <c r="B346" s="1" t="str">
        <f>HYPERLINK("http://digipan.lumentumllc.com/apps/getLink/index.php?t=TaxLink&amp;p=6594229","TL")</f>
        <v>TL</v>
      </c>
      <c r="C346" s="1" t="str">
        <f>HYPERLINK("http://digipan.lumentumllc.com/apps/getMap/index.php?p=6594229","Map")</f>
        <v>Map</v>
      </c>
      <c r="E346" t="s">
        <v>177</v>
      </c>
      <c r="F346" t="s">
        <v>178</v>
      </c>
      <c r="L346" t="s">
        <v>5264</v>
      </c>
      <c r="N346" t="s">
        <v>5264</v>
      </c>
      <c r="O346" t="s">
        <v>5264</v>
      </c>
      <c r="P346" t="s">
        <v>5265</v>
      </c>
      <c r="Q346" t="s">
        <v>5264</v>
      </c>
      <c r="V346">
        <v>403</v>
      </c>
      <c r="W346">
        <v>2</v>
      </c>
      <c r="X346">
        <v>2017</v>
      </c>
      <c r="Y346">
        <v>2018</v>
      </c>
      <c r="Z346">
        <v>795.88</v>
      </c>
      <c r="AB346" t="s">
        <v>181</v>
      </c>
      <c r="AC346" t="s">
        <v>182</v>
      </c>
      <c r="AD346" t="s">
        <v>183</v>
      </c>
      <c r="AE346">
        <v>0</v>
      </c>
      <c r="AF346">
        <v>4</v>
      </c>
      <c r="AG346" t="s">
        <v>744</v>
      </c>
      <c r="AH346">
        <v>100</v>
      </c>
      <c r="AK346">
        <v>0</v>
      </c>
      <c r="AL346">
        <v>46656</v>
      </c>
      <c r="AM346">
        <v>46656</v>
      </c>
      <c r="AN346">
        <v>0</v>
      </c>
      <c r="AO346">
        <v>716</v>
      </c>
      <c r="AP346">
        <v>2016</v>
      </c>
      <c r="AQ346">
        <v>1.71</v>
      </c>
      <c r="AS346" t="s">
        <v>5266</v>
      </c>
      <c r="AT346" t="s">
        <v>3747</v>
      </c>
      <c r="AU346" t="s">
        <v>177</v>
      </c>
      <c r="AV346" t="s">
        <v>1030</v>
      </c>
      <c r="AW346" t="s">
        <v>182</v>
      </c>
      <c r="AX346">
        <v>0</v>
      </c>
      <c r="AY346" t="s">
        <v>312</v>
      </c>
      <c r="AZ346" t="s">
        <v>199</v>
      </c>
      <c r="BA346" t="s">
        <v>313</v>
      </c>
      <c r="BB346" t="s">
        <v>191</v>
      </c>
      <c r="BC346" t="s">
        <v>182</v>
      </c>
      <c r="BD346" t="s">
        <v>182</v>
      </c>
      <c r="BE346" t="s">
        <v>5267</v>
      </c>
      <c r="BF346">
        <v>0</v>
      </c>
      <c r="BG346">
        <v>0</v>
      </c>
      <c r="BH346">
        <v>0</v>
      </c>
      <c r="BI346" t="s">
        <v>199</v>
      </c>
      <c r="BJ346" t="s">
        <v>315</v>
      </c>
      <c r="BL346" t="s">
        <v>199</v>
      </c>
      <c r="BM346" t="s">
        <v>410</v>
      </c>
      <c r="BN346" t="s">
        <v>182</v>
      </c>
      <c r="BO346" t="s">
        <v>198</v>
      </c>
      <c r="BP346" t="s">
        <v>198</v>
      </c>
      <c r="BQ346" t="s">
        <v>198</v>
      </c>
      <c r="BR346" t="s">
        <v>198</v>
      </c>
      <c r="BS346" t="s">
        <v>198</v>
      </c>
      <c r="BT346" t="s">
        <v>198</v>
      </c>
      <c r="BU346" t="s">
        <v>182</v>
      </c>
      <c r="BV346" t="s">
        <v>198</v>
      </c>
      <c r="BW346" t="s">
        <v>198</v>
      </c>
      <c r="BX346" t="s">
        <v>199</v>
      </c>
      <c r="BY346" t="s">
        <v>198</v>
      </c>
      <c r="BZ346" t="s">
        <v>199</v>
      </c>
      <c r="CA346" t="s">
        <v>199</v>
      </c>
      <c r="CB346" t="s">
        <v>5268</v>
      </c>
      <c r="CC346" t="s">
        <v>201</v>
      </c>
      <c r="CD346" t="s">
        <v>182</v>
      </c>
      <c r="CE346" t="s">
        <v>5269</v>
      </c>
      <c r="CF346" t="s">
        <v>1029</v>
      </c>
      <c r="CG346" t="s">
        <v>177</v>
      </c>
      <c r="CH346" t="s">
        <v>1030</v>
      </c>
      <c r="CI346" t="s">
        <v>5270</v>
      </c>
      <c r="CJ346" t="s">
        <v>5271</v>
      </c>
      <c r="CK346" t="s">
        <v>232</v>
      </c>
      <c r="CL346" t="s">
        <v>233</v>
      </c>
      <c r="CM346" t="s">
        <v>5272</v>
      </c>
      <c r="CN346" t="s">
        <v>305</v>
      </c>
      <c r="CO346" t="s">
        <v>183</v>
      </c>
      <c r="CP346" t="s">
        <v>211</v>
      </c>
      <c r="CQ346" t="s">
        <v>290</v>
      </c>
      <c r="CS346" t="s">
        <v>1445</v>
      </c>
      <c r="CT346" t="s">
        <v>4874</v>
      </c>
      <c r="CU346" t="s">
        <v>292</v>
      </c>
      <c r="CV346" t="s">
        <v>293</v>
      </c>
      <c r="CW346" t="s">
        <v>5273</v>
      </c>
      <c r="CX346" t="s">
        <v>235</v>
      </c>
      <c r="CY346" t="s">
        <v>183</v>
      </c>
      <c r="CZ346" t="s">
        <v>211</v>
      </c>
      <c r="DA346" t="s">
        <v>523</v>
      </c>
      <c r="DC346" t="s">
        <v>1445</v>
      </c>
      <c r="DD346" t="s">
        <v>3573</v>
      </c>
      <c r="DE346" t="s">
        <v>267</v>
      </c>
      <c r="DF346" t="s">
        <v>268</v>
      </c>
      <c r="DG346" t="s">
        <v>5274</v>
      </c>
      <c r="DH346" t="s">
        <v>235</v>
      </c>
      <c r="DI346" t="s">
        <v>183</v>
      </c>
      <c r="DJ346" t="s">
        <v>211</v>
      </c>
      <c r="DK346" t="s">
        <v>206</v>
      </c>
      <c r="DM346" t="s">
        <v>5275</v>
      </c>
      <c r="DN346" t="s">
        <v>3690</v>
      </c>
      <c r="DO346" t="s">
        <v>273</v>
      </c>
      <c r="DP346" t="s">
        <v>274</v>
      </c>
      <c r="DQ346" t="s">
        <v>5276</v>
      </c>
      <c r="DR346" t="s">
        <v>235</v>
      </c>
      <c r="DS346" t="s">
        <v>183</v>
      </c>
      <c r="DT346" t="s">
        <v>211</v>
      </c>
      <c r="DU346" t="s">
        <v>264</v>
      </c>
      <c r="DW346" t="s">
        <v>5277</v>
      </c>
      <c r="EG346" t="s">
        <v>198</v>
      </c>
      <c r="EQ346" t="s">
        <v>198</v>
      </c>
      <c r="FA346" t="s">
        <v>198</v>
      </c>
      <c r="FK346" t="s">
        <v>198</v>
      </c>
      <c r="FU346" t="s">
        <v>198</v>
      </c>
    </row>
    <row r="347" spans="1:177">
      <c r="A347" s="1" t="str">
        <f>HYPERLINK("http://digipan.lumentumllc.com/apps/getLink/index.php?t=PropLink&amp;p=4637800","PL")</f>
        <v>PL</v>
      </c>
      <c r="B347" s="1" t="str">
        <f>HYPERLINK("http://digipan.lumentumllc.com/apps/getLink/index.php?t=TaxLink&amp;p=4637800","TL")</f>
        <v>TL</v>
      </c>
      <c r="C347" s="1" t="str">
        <f>HYPERLINK("http://digipan.lumentumllc.com/apps/getMap/index.php?p=4637800","Map")</f>
        <v>Map</v>
      </c>
      <c r="E347" t="s">
        <v>177</v>
      </c>
      <c r="F347" t="s">
        <v>178</v>
      </c>
      <c r="L347" t="s">
        <v>5278</v>
      </c>
      <c r="N347" t="s">
        <v>5278</v>
      </c>
      <c r="O347" t="s">
        <v>5278</v>
      </c>
      <c r="P347" t="s">
        <v>5279</v>
      </c>
      <c r="Q347" t="s">
        <v>5278</v>
      </c>
      <c r="V347">
        <v>404</v>
      </c>
      <c r="W347">
        <v>2</v>
      </c>
      <c r="X347">
        <v>2017</v>
      </c>
      <c r="Y347">
        <v>2018</v>
      </c>
      <c r="Z347">
        <v>540.58000000000004</v>
      </c>
      <c r="AB347" t="s">
        <v>181</v>
      </c>
      <c r="AC347" t="s">
        <v>182</v>
      </c>
      <c r="AD347" t="s">
        <v>183</v>
      </c>
      <c r="AE347">
        <v>1</v>
      </c>
      <c r="AF347">
        <v>4</v>
      </c>
      <c r="AG347" t="s">
        <v>257</v>
      </c>
      <c r="AH347">
        <v>75</v>
      </c>
      <c r="AI347">
        <v>534.6</v>
      </c>
      <c r="AJ347">
        <v>26.73</v>
      </c>
      <c r="AK347">
        <v>561.33000000000004</v>
      </c>
      <c r="AL347">
        <v>71807</v>
      </c>
      <c r="AM347">
        <v>30480</v>
      </c>
      <c r="AN347">
        <v>41327</v>
      </c>
      <c r="AO347">
        <v>469</v>
      </c>
      <c r="AP347">
        <v>2016</v>
      </c>
      <c r="AQ347">
        <v>0.75</v>
      </c>
      <c r="AR347">
        <v>0.78</v>
      </c>
      <c r="AS347" t="s">
        <v>5280</v>
      </c>
      <c r="AT347" t="s">
        <v>3747</v>
      </c>
      <c r="AU347" t="s">
        <v>177</v>
      </c>
      <c r="AV347" t="s">
        <v>1030</v>
      </c>
      <c r="AW347" t="s">
        <v>202</v>
      </c>
      <c r="AX347">
        <v>2</v>
      </c>
      <c r="AY347" t="s">
        <v>188</v>
      </c>
      <c r="AZ347" t="s">
        <v>189</v>
      </c>
      <c r="BA347" t="s">
        <v>190</v>
      </c>
      <c r="BB347" t="s">
        <v>191</v>
      </c>
      <c r="BC347" t="s">
        <v>182</v>
      </c>
      <c r="BD347" t="s">
        <v>182</v>
      </c>
      <c r="BE347" t="s">
        <v>5281</v>
      </c>
      <c r="BF347">
        <v>1</v>
      </c>
      <c r="BG347">
        <v>1</v>
      </c>
      <c r="BH347">
        <v>2000</v>
      </c>
      <c r="BI347" t="s">
        <v>5282</v>
      </c>
      <c r="BJ347" t="s">
        <v>194</v>
      </c>
      <c r="BK347" t="s">
        <v>195</v>
      </c>
      <c r="BL347" t="s">
        <v>5283</v>
      </c>
      <c r="BM347" t="s">
        <v>501</v>
      </c>
      <c r="BN347" t="s">
        <v>182</v>
      </c>
      <c r="BO347" t="s">
        <v>198</v>
      </c>
      <c r="BP347" t="s">
        <v>198</v>
      </c>
      <c r="BQ347" t="s">
        <v>198</v>
      </c>
      <c r="BR347" t="s">
        <v>198</v>
      </c>
      <c r="BS347" t="s">
        <v>198</v>
      </c>
      <c r="BT347" t="s">
        <v>198</v>
      </c>
      <c r="BU347" t="s">
        <v>182</v>
      </c>
      <c r="BV347" t="s">
        <v>198</v>
      </c>
      <c r="BW347" t="s">
        <v>198</v>
      </c>
      <c r="BX347" t="s">
        <v>199</v>
      </c>
      <c r="BY347" t="s">
        <v>198</v>
      </c>
      <c r="BZ347" t="s">
        <v>199</v>
      </c>
      <c r="CA347" t="s">
        <v>199</v>
      </c>
      <c r="CB347" t="s">
        <v>5284</v>
      </c>
      <c r="CC347" t="s">
        <v>201</v>
      </c>
      <c r="CD347" t="s">
        <v>182</v>
      </c>
      <c r="CE347" t="s">
        <v>5285</v>
      </c>
      <c r="CF347" t="s">
        <v>1029</v>
      </c>
      <c r="CG347" t="s">
        <v>177</v>
      </c>
      <c r="CH347" t="s">
        <v>1030</v>
      </c>
      <c r="CI347" t="s">
        <v>5286</v>
      </c>
      <c r="CJ347" t="s">
        <v>3854</v>
      </c>
      <c r="CK347" t="s">
        <v>232</v>
      </c>
      <c r="CL347" t="s">
        <v>233</v>
      </c>
      <c r="CM347" t="s">
        <v>5287</v>
      </c>
      <c r="CN347" t="s">
        <v>235</v>
      </c>
      <c r="CO347" t="s">
        <v>183</v>
      </c>
      <c r="CP347" t="s">
        <v>266</v>
      </c>
      <c r="CS347" t="s">
        <v>198</v>
      </c>
      <c r="CT347" t="s">
        <v>5288</v>
      </c>
      <c r="CU347" t="s">
        <v>267</v>
      </c>
      <c r="CV347" t="s">
        <v>268</v>
      </c>
      <c r="CW347" t="s">
        <v>5289</v>
      </c>
      <c r="CX347" t="s">
        <v>235</v>
      </c>
      <c r="CY347" t="s">
        <v>183</v>
      </c>
      <c r="CZ347" t="s">
        <v>211</v>
      </c>
      <c r="DA347" t="s">
        <v>298</v>
      </c>
      <c r="DC347" t="s">
        <v>1582</v>
      </c>
      <c r="DD347" t="s">
        <v>4298</v>
      </c>
      <c r="DE347" t="s">
        <v>302</v>
      </c>
      <c r="DF347" t="s">
        <v>303</v>
      </c>
      <c r="DG347" t="s">
        <v>5290</v>
      </c>
      <c r="DH347" t="s">
        <v>436</v>
      </c>
      <c r="DI347" t="s">
        <v>183</v>
      </c>
      <c r="DJ347" t="s">
        <v>211</v>
      </c>
      <c r="DK347" t="s">
        <v>270</v>
      </c>
      <c r="DM347" t="s">
        <v>5291</v>
      </c>
      <c r="DN347" t="s">
        <v>5292</v>
      </c>
      <c r="DO347" t="s">
        <v>238</v>
      </c>
      <c r="DP347" t="s">
        <v>239</v>
      </c>
      <c r="DQ347" t="s">
        <v>5293</v>
      </c>
      <c r="DR347" t="s">
        <v>1341</v>
      </c>
      <c r="DS347" t="s">
        <v>183</v>
      </c>
      <c r="DT347" t="s">
        <v>211</v>
      </c>
      <c r="DU347" t="s">
        <v>270</v>
      </c>
      <c r="DW347" t="s">
        <v>5294</v>
      </c>
      <c r="DX347" t="s">
        <v>5295</v>
      </c>
      <c r="DY347" t="s">
        <v>207</v>
      </c>
      <c r="DZ347" t="s">
        <v>208</v>
      </c>
      <c r="EA347" t="s">
        <v>5296</v>
      </c>
      <c r="EB347" t="s">
        <v>576</v>
      </c>
      <c r="EC347" t="s">
        <v>183</v>
      </c>
      <c r="ED347" t="s">
        <v>211</v>
      </c>
      <c r="EE347" t="s">
        <v>270</v>
      </c>
      <c r="EG347" t="s">
        <v>5297</v>
      </c>
      <c r="EQ347" t="s">
        <v>198</v>
      </c>
      <c r="FA347" t="s">
        <v>198</v>
      </c>
      <c r="FK347" t="s">
        <v>198</v>
      </c>
      <c r="FU347" t="s">
        <v>198</v>
      </c>
    </row>
    <row r="348" spans="1:177">
      <c r="A348" s="1" t="str">
        <f>HYPERLINK("http://digipan.lumentumllc.com/apps/getLink/index.php?t=PropLink&amp;p=15749141","PL")</f>
        <v>PL</v>
      </c>
      <c r="B348" s="1" t="str">
        <f>HYPERLINK("http://digipan.lumentumllc.com/apps/getLink/index.php?t=TaxLink&amp;p=15749141","TL")</f>
        <v>TL</v>
      </c>
      <c r="C348" s="1" t="str">
        <f>HYPERLINK("http://digipan.lumentumllc.com/apps/getMap/index.php?p=15749141","Map")</f>
        <v>Map</v>
      </c>
      <c r="E348" t="s">
        <v>177</v>
      </c>
      <c r="F348" t="s">
        <v>178</v>
      </c>
      <c r="L348" t="s">
        <v>5298</v>
      </c>
      <c r="N348" t="s">
        <v>5298</v>
      </c>
      <c r="O348" t="s">
        <v>5298</v>
      </c>
      <c r="Q348" t="s">
        <v>5298</v>
      </c>
      <c r="V348">
        <v>405</v>
      </c>
      <c r="W348">
        <v>2</v>
      </c>
      <c r="X348">
        <v>2017</v>
      </c>
      <c r="Y348">
        <v>2018</v>
      </c>
      <c r="Z348">
        <v>228.64</v>
      </c>
      <c r="AG348" t="s">
        <v>184</v>
      </c>
      <c r="AH348">
        <v>0</v>
      </c>
      <c r="AK348">
        <v>0</v>
      </c>
      <c r="AL348">
        <v>166705</v>
      </c>
      <c r="AM348">
        <v>12012</v>
      </c>
      <c r="AN348">
        <v>154693</v>
      </c>
      <c r="AO348">
        <v>167</v>
      </c>
      <c r="AP348">
        <v>2016</v>
      </c>
      <c r="AQ348">
        <v>0.14000000000000001</v>
      </c>
      <c r="AS348" t="s">
        <v>5211</v>
      </c>
      <c r="AT348" t="s">
        <v>3747</v>
      </c>
      <c r="AU348" t="s">
        <v>177</v>
      </c>
      <c r="AV348" t="s">
        <v>1030</v>
      </c>
      <c r="AW348" t="s">
        <v>182</v>
      </c>
      <c r="AX348">
        <v>56</v>
      </c>
      <c r="AY348" t="s">
        <v>218</v>
      </c>
      <c r="AZ348" t="s">
        <v>219</v>
      </c>
      <c r="BA348" t="s">
        <v>220</v>
      </c>
      <c r="BB348" t="s">
        <v>191</v>
      </c>
      <c r="BC348" t="s">
        <v>182</v>
      </c>
      <c r="BD348" t="s">
        <v>182</v>
      </c>
      <c r="BE348" t="s">
        <v>5299</v>
      </c>
      <c r="BF348">
        <v>0</v>
      </c>
      <c r="BG348">
        <v>0</v>
      </c>
      <c r="BH348">
        <v>0</v>
      </c>
      <c r="BI348" t="s">
        <v>199</v>
      </c>
      <c r="BJ348" t="s">
        <v>315</v>
      </c>
      <c r="BL348" t="s">
        <v>841</v>
      </c>
      <c r="BM348" t="s">
        <v>286</v>
      </c>
      <c r="BN348" t="s">
        <v>182</v>
      </c>
      <c r="BO348" t="s">
        <v>5300</v>
      </c>
      <c r="BP348" t="s">
        <v>5301</v>
      </c>
      <c r="BQ348" t="s">
        <v>226</v>
      </c>
      <c r="BR348" t="s">
        <v>227</v>
      </c>
      <c r="BS348" t="s">
        <v>198</v>
      </c>
      <c r="BT348" t="s">
        <v>5302</v>
      </c>
      <c r="BU348" t="s">
        <v>182</v>
      </c>
      <c r="BV348" t="s">
        <v>198</v>
      </c>
      <c r="BW348" t="s">
        <v>198</v>
      </c>
      <c r="BX348" t="s">
        <v>199</v>
      </c>
      <c r="BY348" t="s">
        <v>198</v>
      </c>
      <c r="BZ348" t="s">
        <v>199</v>
      </c>
      <c r="CA348" t="s">
        <v>199</v>
      </c>
      <c r="CB348" t="s">
        <v>5303</v>
      </c>
      <c r="CC348" t="s">
        <v>201</v>
      </c>
      <c r="CD348" t="s">
        <v>202</v>
      </c>
      <c r="CE348" t="s">
        <v>5304</v>
      </c>
      <c r="CF348" t="s">
        <v>5305</v>
      </c>
      <c r="CG348" t="s">
        <v>1602</v>
      </c>
      <c r="CH348" t="s">
        <v>5306</v>
      </c>
      <c r="CI348" t="s">
        <v>1700</v>
      </c>
      <c r="CS348" t="s">
        <v>198</v>
      </c>
      <c r="DC348" t="s">
        <v>198</v>
      </c>
      <c r="DM348" t="s">
        <v>198</v>
      </c>
      <c r="DW348" t="s">
        <v>198</v>
      </c>
      <c r="EG348" t="s">
        <v>198</v>
      </c>
      <c r="EQ348" t="s">
        <v>198</v>
      </c>
      <c r="FA348" t="s">
        <v>198</v>
      </c>
      <c r="FK348" t="s">
        <v>198</v>
      </c>
      <c r="FU348" t="s">
        <v>198</v>
      </c>
    </row>
    <row r="349" spans="1:177">
      <c r="A349" s="1" t="str">
        <f>HYPERLINK("http://digipan.lumentumllc.com/apps/getLink/index.php?t=PropLink&amp;p=5246546","PL")</f>
        <v>PL</v>
      </c>
      <c r="B349" s="1" t="str">
        <f>HYPERLINK("http://digipan.lumentumllc.com/apps/getLink/index.php?t=TaxLink&amp;p=5246546","TL")</f>
        <v>TL</v>
      </c>
      <c r="C349" s="1" t="str">
        <f>HYPERLINK("http://digipan.lumentumllc.com/apps/getMap/index.php?p=5246546","Map")</f>
        <v>Map</v>
      </c>
      <c r="E349" t="s">
        <v>177</v>
      </c>
      <c r="F349" t="s">
        <v>178</v>
      </c>
      <c r="L349" t="s">
        <v>5307</v>
      </c>
      <c r="N349" t="s">
        <v>5307</v>
      </c>
      <c r="O349" t="s">
        <v>5307</v>
      </c>
      <c r="P349" t="s">
        <v>5308</v>
      </c>
      <c r="Q349" t="s">
        <v>5307</v>
      </c>
      <c r="V349">
        <v>406</v>
      </c>
      <c r="W349">
        <v>2</v>
      </c>
      <c r="X349">
        <v>2017</v>
      </c>
      <c r="Y349">
        <v>2018</v>
      </c>
      <c r="Z349">
        <v>228.47</v>
      </c>
      <c r="AB349" t="s">
        <v>181</v>
      </c>
      <c r="AC349" t="s">
        <v>182</v>
      </c>
      <c r="AD349" t="s">
        <v>183</v>
      </c>
      <c r="AE349">
        <v>0</v>
      </c>
      <c r="AF349">
        <v>7</v>
      </c>
      <c r="AG349" t="s">
        <v>528</v>
      </c>
      <c r="AH349">
        <v>100</v>
      </c>
      <c r="AK349">
        <v>0</v>
      </c>
      <c r="AL349">
        <v>12000</v>
      </c>
      <c r="AM349">
        <v>12000</v>
      </c>
      <c r="AN349">
        <v>0</v>
      </c>
      <c r="AO349">
        <v>184</v>
      </c>
      <c r="AP349">
        <v>2016</v>
      </c>
      <c r="AQ349">
        <v>1.9</v>
      </c>
      <c r="AS349" t="s">
        <v>5211</v>
      </c>
      <c r="AT349" t="s">
        <v>3747</v>
      </c>
      <c r="AU349" t="s">
        <v>177</v>
      </c>
      <c r="AV349" t="s">
        <v>1030</v>
      </c>
      <c r="AW349" t="s">
        <v>182</v>
      </c>
      <c r="AX349">
        <v>0</v>
      </c>
      <c r="AY349" t="s">
        <v>312</v>
      </c>
      <c r="AZ349" t="s">
        <v>199</v>
      </c>
      <c r="BA349" t="s">
        <v>313</v>
      </c>
      <c r="BB349" t="s">
        <v>191</v>
      </c>
      <c r="BC349" t="s">
        <v>182</v>
      </c>
      <c r="BD349" t="s">
        <v>182</v>
      </c>
      <c r="BE349" t="s">
        <v>365</v>
      </c>
      <c r="BF349">
        <v>0</v>
      </c>
      <c r="BG349">
        <v>0</v>
      </c>
      <c r="BH349">
        <v>0</v>
      </c>
      <c r="BI349" t="s">
        <v>199</v>
      </c>
      <c r="BJ349" t="s">
        <v>315</v>
      </c>
      <c r="BL349" t="s">
        <v>199</v>
      </c>
      <c r="BM349" t="s">
        <v>945</v>
      </c>
      <c r="BN349" t="s">
        <v>182</v>
      </c>
      <c r="BO349" t="s">
        <v>198</v>
      </c>
      <c r="BP349" t="s">
        <v>198</v>
      </c>
      <c r="BQ349" t="s">
        <v>198</v>
      </c>
      <c r="BR349" t="s">
        <v>198</v>
      </c>
      <c r="BS349" t="s">
        <v>198</v>
      </c>
      <c r="BT349" t="s">
        <v>198</v>
      </c>
      <c r="BU349" t="s">
        <v>182</v>
      </c>
      <c r="BV349" t="s">
        <v>198</v>
      </c>
      <c r="BW349" t="s">
        <v>198</v>
      </c>
      <c r="BX349" t="s">
        <v>199</v>
      </c>
      <c r="BY349" t="s">
        <v>198</v>
      </c>
      <c r="BZ349" t="s">
        <v>199</v>
      </c>
      <c r="CA349" t="s">
        <v>199</v>
      </c>
      <c r="CB349" t="s">
        <v>5309</v>
      </c>
      <c r="CC349" t="s">
        <v>201</v>
      </c>
      <c r="CD349" t="s">
        <v>182</v>
      </c>
      <c r="CE349" t="s">
        <v>5310</v>
      </c>
      <c r="CF349" t="s">
        <v>1029</v>
      </c>
      <c r="CG349" t="s">
        <v>177</v>
      </c>
      <c r="CH349" t="s">
        <v>1030</v>
      </c>
      <c r="CI349" t="s">
        <v>5311</v>
      </c>
      <c r="CJ349" t="s">
        <v>3810</v>
      </c>
      <c r="CK349" t="s">
        <v>232</v>
      </c>
      <c r="CL349" t="s">
        <v>233</v>
      </c>
      <c r="CM349" t="s">
        <v>1195</v>
      </c>
      <c r="CN349" t="s">
        <v>331</v>
      </c>
      <c r="CO349" t="s">
        <v>183</v>
      </c>
      <c r="CP349" t="s">
        <v>211</v>
      </c>
      <c r="CQ349" t="s">
        <v>296</v>
      </c>
      <c r="CS349" t="s">
        <v>5312</v>
      </c>
      <c r="CT349" t="s">
        <v>3520</v>
      </c>
      <c r="CU349" t="s">
        <v>292</v>
      </c>
      <c r="CV349" t="s">
        <v>293</v>
      </c>
      <c r="CW349" t="s">
        <v>3080</v>
      </c>
      <c r="CX349" t="s">
        <v>235</v>
      </c>
      <c r="CY349" t="s">
        <v>183</v>
      </c>
      <c r="CZ349" t="s">
        <v>211</v>
      </c>
      <c r="DA349" t="s">
        <v>444</v>
      </c>
      <c r="DC349" t="s">
        <v>5312</v>
      </c>
      <c r="DD349" t="s">
        <v>5011</v>
      </c>
      <c r="DE349" t="s">
        <v>273</v>
      </c>
      <c r="DF349" t="s">
        <v>274</v>
      </c>
      <c r="DG349" t="s">
        <v>1179</v>
      </c>
      <c r="DH349" t="s">
        <v>402</v>
      </c>
      <c r="DI349" t="s">
        <v>183</v>
      </c>
      <c r="DJ349" t="s">
        <v>211</v>
      </c>
      <c r="DK349" t="s">
        <v>270</v>
      </c>
      <c r="DM349" t="s">
        <v>5313</v>
      </c>
      <c r="DN349" t="s">
        <v>4136</v>
      </c>
      <c r="DO349" t="s">
        <v>302</v>
      </c>
      <c r="DP349" t="s">
        <v>303</v>
      </c>
      <c r="DQ349" t="s">
        <v>5314</v>
      </c>
      <c r="DR349" t="s">
        <v>440</v>
      </c>
      <c r="DS349" t="s">
        <v>183</v>
      </c>
      <c r="DT349" t="s">
        <v>211</v>
      </c>
      <c r="DU349" t="s">
        <v>270</v>
      </c>
      <c r="DW349" t="s">
        <v>5315</v>
      </c>
      <c r="DX349" t="s">
        <v>5316</v>
      </c>
      <c r="DY349" t="s">
        <v>238</v>
      </c>
      <c r="DZ349" t="s">
        <v>239</v>
      </c>
      <c r="EA349" t="s">
        <v>5317</v>
      </c>
      <c r="EB349" t="s">
        <v>440</v>
      </c>
      <c r="EC349" t="s">
        <v>183</v>
      </c>
      <c r="ED349" t="s">
        <v>211</v>
      </c>
      <c r="EE349" t="s">
        <v>189</v>
      </c>
      <c r="EG349" t="s">
        <v>5318</v>
      </c>
      <c r="EH349" t="s">
        <v>5319</v>
      </c>
      <c r="EI349" t="s">
        <v>346</v>
      </c>
      <c r="EJ349" t="s">
        <v>347</v>
      </c>
      <c r="EK349" t="s">
        <v>5320</v>
      </c>
      <c r="EL349" t="s">
        <v>469</v>
      </c>
      <c r="EM349" t="s">
        <v>183</v>
      </c>
      <c r="EN349" t="s">
        <v>211</v>
      </c>
      <c r="EO349" t="s">
        <v>460</v>
      </c>
      <c r="EQ349" t="s">
        <v>5318</v>
      </c>
      <c r="ER349" t="s">
        <v>5321</v>
      </c>
      <c r="ES349" t="s">
        <v>207</v>
      </c>
      <c r="ET349" t="s">
        <v>208</v>
      </c>
      <c r="EU349" t="s">
        <v>5322</v>
      </c>
      <c r="EV349" t="s">
        <v>576</v>
      </c>
      <c r="EW349" t="s">
        <v>183</v>
      </c>
      <c r="EX349" t="s">
        <v>211</v>
      </c>
      <c r="EY349" t="s">
        <v>290</v>
      </c>
      <c r="FA349" t="s">
        <v>5323</v>
      </c>
      <c r="FK349" t="s">
        <v>198</v>
      </c>
      <c r="FU349" t="s">
        <v>198</v>
      </c>
    </row>
    <row r="350" spans="1:177">
      <c r="A350" s="1" t="str">
        <f>HYPERLINK("http://digipan.lumentumllc.com/apps/getLink/index.php?t=PropLink&amp;p=6594232","PL")</f>
        <v>PL</v>
      </c>
      <c r="B350" s="1" t="str">
        <f>HYPERLINK("http://digipan.lumentumllc.com/apps/getLink/index.php?t=TaxLink&amp;p=6594232","TL")</f>
        <v>TL</v>
      </c>
      <c r="C350" s="1" t="str">
        <f>HYPERLINK("http://digipan.lumentumllc.com/apps/getMap/index.php?p=6594232","Map")</f>
        <v>Map</v>
      </c>
      <c r="E350" t="s">
        <v>177</v>
      </c>
      <c r="F350" t="s">
        <v>178</v>
      </c>
      <c r="L350" t="s">
        <v>5324</v>
      </c>
      <c r="N350" t="s">
        <v>5324</v>
      </c>
      <c r="O350" t="s">
        <v>5324</v>
      </c>
      <c r="P350" t="s">
        <v>5325</v>
      </c>
      <c r="Q350" t="s">
        <v>5324</v>
      </c>
      <c r="V350">
        <v>407</v>
      </c>
      <c r="W350">
        <v>2</v>
      </c>
      <c r="X350">
        <v>2017</v>
      </c>
      <c r="Y350">
        <v>2018</v>
      </c>
      <c r="Z350">
        <v>153.35</v>
      </c>
      <c r="AB350" t="s">
        <v>181</v>
      </c>
      <c r="AC350" t="s">
        <v>182</v>
      </c>
      <c r="AD350" t="s">
        <v>183</v>
      </c>
      <c r="AE350">
        <v>2</v>
      </c>
      <c r="AF350">
        <v>1</v>
      </c>
      <c r="AG350" t="s">
        <v>2087</v>
      </c>
      <c r="AH350">
        <v>33</v>
      </c>
      <c r="AI350">
        <v>257.83</v>
      </c>
      <c r="AJ350">
        <v>52.38</v>
      </c>
      <c r="AK350">
        <v>310.20999999999998</v>
      </c>
      <c r="AL350">
        <v>7950</v>
      </c>
      <c r="AM350">
        <v>7950</v>
      </c>
      <c r="AN350">
        <v>0</v>
      </c>
      <c r="AO350">
        <v>98</v>
      </c>
      <c r="AP350">
        <v>2016</v>
      </c>
      <c r="AQ350">
        <v>1.93</v>
      </c>
      <c r="AR350">
        <v>3.9</v>
      </c>
      <c r="AS350" t="s">
        <v>5211</v>
      </c>
      <c r="AT350" t="s">
        <v>3747</v>
      </c>
      <c r="AU350" t="s">
        <v>177</v>
      </c>
      <c r="AV350" t="s">
        <v>1030</v>
      </c>
      <c r="AW350" t="s">
        <v>182</v>
      </c>
      <c r="AX350">
        <v>0</v>
      </c>
      <c r="AY350" t="s">
        <v>312</v>
      </c>
      <c r="AZ350" t="s">
        <v>199</v>
      </c>
      <c r="BA350" t="s">
        <v>313</v>
      </c>
      <c r="BB350" t="s">
        <v>191</v>
      </c>
      <c r="BC350" t="s">
        <v>182</v>
      </c>
      <c r="BD350" t="s">
        <v>182</v>
      </c>
      <c r="BE350" t="s">
        <v>4906</v>
      </c>
      <c r="BF350">
        <v>0</v>
      </c>
      <c r="BG350">
        <v>0</v>
      </c>
      <c r="BH350">
        <v>0</v>
      </c>
      <c r="BI350" t="s">
        <v>199</v>
      </c>
      <c r="BJ350" t="s">
        <v>315</v>
      </c>
      <c r="BL350" t="s">
        <v>199</v>
      </c>
      <c r="BM350" t="s">
        <v>533</v>
      </c>
      <c r="BN350" t="s">
        <v>182</v>
      </c>
      <c r="BO350" t="s">
        <v>5326</v>
      </c>
      <c r="BP350" t="s">
        <v>5327</v>
      </c>
      <c r="BQ350" t="s">
        <v>1285</v>
      </c>
      <c r="BR350" t="s">
        <v>563</v>
      </c>
      <c r="BS350" t="s">
        <v>198</v>
      </c>
      <c r="BT350" t="s">
        <v>5328</v>
      </c>
      <c r="BU350" t="s">
        <v>182</v>
      </c>
      <c r="BV350" t="s">
        <v>198</v>
      </c>
      <c r="BW350" t="s">
        <v>198</v>
      </c>
      <c r="BX350" t="s">
        <v>199</v>
      </c>
      <c r="BY350" t="s">
        <v>198</v>
      </c>
      <c r="BZ350" t="s">
        <v>199</v>
      </c>
      <c r="CA350" t="s">
        <v>199</v>
      </c>
      <c r="CB350" t="s">
        <v>5329</v>
      </c>
      <c r="CC350" t="s">
        <v>201</v>
      </c>
      <c r="CD350" t="s">
        <v>182</v>
      </c>
      <c r="CE350" t="s">
        <v>5330</v>
      </c>
      <c r="CF350" t="s">
        <v>5331</v>
      </c>
      <c r="CG350" t="s">
        <v>177</v>
      </c>
      <c r="CH350" t="s">
        <v>5332</v>
      </c>
      <c r="CI350" t="s">
        <v>5333</v>
      </c>
      <c r="CJ350" t="s">
        <v>5334</v>
      </c>
      <c r="CK350" t="s">
        <v>232</v>
      </c>
      <c r="CL350" t="s">
        <v>233</v>
      </c>
      <c r="CM350" t="s">
        <v>5335</v>
      </c>
      <c r="CN350" t="s">
        <v>341</v>
      </c>
      <c r="CO350" t="s">
        <v>183</v>
      </c>
      <c r="CP350" t="s">
        <v>266</v>
      </c>
      <c r="CS350" t="s">
        <v>198</v>
      </c>
      <c r="CT350" t="s">
        <v>3736</v>
      </c>
      <c r="CU350" t="s">
        <v>292</v>
      </c>
      <c r="CV350" t="s">
        <v>293</v>
      </c>
      <c r="CW350" t="s">
        <v>5336</v>
      </c>
      <c r="CX350" t="s">
        <v>389</v>
      </c>
      <c r="CY350" t="s">
        <v>183</v>
      </c>
      <c r="CZ350" t="s">
        <v>266</v>
      </c>
      <c r="DC350" t="s">
        <v>198</v>
      </c>
      <c r="DD350" t="s">
        <v>5093</v>
      </c>
      <c r="DE350" t="s">
        <v>273</v>
      </c>
      <c r="DF350" t="s">
        <v>274</v>
      </c>
      <c r="DG350" t="s">
        <v>5337</v>
      </c>
      <c r="DH350" t="s">
        <v>387</v>
      </c>
      <c r="DI350" t="s">
        <v>183</v>
      </c>
      <c r="DJ350" t="s">
        <v>211</v>
      </c>
      <c r="DK350" t="s">
        <v>199</v>
      </c>
      <c r="DM350" t="s">
        <v>5338</v>
      </c>
      <c r="DW350" t="s">
        <v>198</v>
      </c>
      <c r="EG350" t="s">
        <v>198</v>
      </c>
      <c r="EQ350" t="s">
        <v>198</v>
      </c>
      <c r="FA350" t="s">
        <v>198</v>
      </c>
      <c r="FK350" t="s">
        <v>198</v>
      </c>
      <c r="FU350" t="s">
        <v>198</v>
      </c>
    </row>
    <row r="351" spans="1:177">
      <c r="A351" s="1" t="str">
        <f>HYPERLINK("http://digipan.lumentumllc.com/apps/getLink/index.php?t=PropLink&amp;p=6594233","PL")</f>
        <v>PL</v>
      </c>
      <c r="B351" s="1" t="str">
        <f>HYPERLINK("http://digipan.lumentumllc.com/apps/getLink/index.php?t=TaxLink&amp;p=6594233","TL")</f>
        <v>TL</v>
      </c>
      <c r="C351" s="1" t="str">
        <f>HYPERLINK("http://digipan.lumentumllc.com/apps/getMap/index.php?p=6594233","Map")</f>
        <v>Map</v>
      </c>
      <c r="E351" t="s">
        <v>177</v>
      </c>
      <c r="F351" t="s">
        <v>178</v>
      </c>
      <c r="L351" t="s">
        <v>5339</v>
      </c>
      <c r="N351" t="s">
        <v>5339</v>
      </c>
      <c r="O351" t="s">
        <v>5339</v>
      </c>
      <c r="P351" t="s">
        <v>5340</v>
      </c>
      <c r="Q351" t="s">
        <v>5339</v>
      </c>
      <c r="V351">
        <v>408</v>
      </c>
      <c r="W351">
        <v>2</v>
      </c>
      <c r="X351">
        <v>2017</v>
      </c>
      <c r="Y351">
        <v>2018</v>
      </c>
      <c r="Z351">
        <v>44.03</v>
      </c>
      <c r="AB351" t="s">
        <v>181</v>
      </c>
      <c r="AC351" t="s">
        <v>182</v>
      </c>
      <c r="AD351" t="s">
        <v>1037</v>
      </c>
      <c r="AE351">
        <v>0</v>
      </c>
      <c r="AF351">
        <v>3</v>
      </c>
      <c r="AG351" t="s">
        <v>381</v>
      </c>
      <c r="AH351">
        <v>100</v>
      </c>
      <c r="AK351">
        <v>0</v>
      </c>
      <c r="AL351">
        <v>735</v>
      </c>
      <c r="AM351">
        <v>735</v>
      </c>
      <c r="AN351">
        <v>0</v>
      </c>
      <c r="AO351">
        <v>11</v>
      </c>
      <c r="AP351">
        <v>2016</v>
      </c>
      <c r="AQ351">
        <v>5.99</v>
      </c>
      <c r="AS351" t="s">
        <v>5211</v>
      </c>
      <c r="AT351" t="s">
        <v>3747</v>
      </c>
      <c r="AU351" t="s">
        <v>177</v>
      </c>
      <c r="AV351" t="s">
        <v>1030</v>
      </c>
      <c r="AW351" t="s">
        <v>182</v>
      </c>
      <c r="AX351">
        <v>0</v>
      </c>
      <c r="AY351" t="s">
        <v>312</v>
      </c>
      <c r="AZ351" t="s">
        <v>199</v>
      </c>
      <c r="BA351" t="s">
        <v>313</v>
      </c>
      <c r="BB351" t="s">
        <v>191</v>
      </c>
      <c r="BC351" t="s">
        <v>182</v>
      </c>
      <c r="BD351" t="s">
        <v>182</v>
      </c>
      <c r="BE351" t="s">
        <v>5341</v>
      </c>
      <c r="BF351">
        <v>0</v>
      </c>
      <c r="BG351">
        <v>0</v>
      </c>
      <c r="BH351">
        <v>0</v>
      </c>
      <c r="BI351" t="s">
        <v>199</v>
      </c>
      <c r="BJ351" t="s">
        <v>315</v>
      </c>
      <c r="BL351" t="s">
        <v>199</v>
      </c>
      <c r="BM351" t="s">
        <v>1779</v>
      </c>
      <c r="BN351" t="s">
        <v>182</v>
      </c>
      <c r="BO351" t="s">
        <v>198</v>
      </c>
      <c r="BP351" t="s">
        <v>198</v>
      </c>
      <c r="BQ351" t="s">
        <v>198</v>
      </c>
      <c r="BR351" t="s">
        <v>198</v>
      </c>
      <c r="BS351" t="s">
        <v>198</v>
      </c>
      <c r="BT351" t="s">
        <v>198</v>
      </c>
      <c r="BU351" t="s">
        <v>182</v>
      </c>
      <c r="BV351" t="s">
        <v>198</v>
      </c>
      <c r="BW351" t="s">
        <v>198</v>
      </c>
      <c r="BX351" t="s">
        <v>199</v>
      </c>
      <c r="BY351" t="s">
        <v>198</v>
      </c>
      <c r="BZ351" t="s">
        <v>199</v>
      </c>
      <c r="CA351" t="s">
        <v>199</v>
      </c>
      <c r="CB351" t="s">
        <v>5268</v>
      </c>
      <c r="CC351" t="s">
        <v>201</v>
      </c>
      <c r="CD351" t="s">
        <v>182</v>
      </c>
      <c r="CE351" t="s">
        <v>5269</v>
      </c>
      <c r="CF351" t="s">
        <v>1029</v>
      </c>
      <c r="CG351" t="s">
        <v>177</v>
      </c>
      <c r="CH351" t="s">
        <v>1030</v>
      </c>
      <c r="CI351" t="s">
        <v>5342</v>
      </c>
      <c r="CJ351" t="s">
        <v>5343</v>
      </c>
      <c r="CK351" t="s">
        <v>232</v>
      </c>
      <c r="CL351" t="s">
        <v>233</v>
      </c>
      <c r="CM351" t="s">
        <v>5344</v>
      </c>
      <c r="CN351" t="s">
        <v>2515</v>
      </c>
      <c r="CO351" t="s">
        <v>183</v>
      </c>
      <c r="CP351" t="s">
        <v>211</v>
      </c>
      <c r="CQ351" t="s">
        <v>290</v>
      </c>
      <c r="CS351" t="s">
        <v>1445</v>
      </c>
      <c r="CT351" t="s">
        <v>5036</v>
      </c>
      <c r="CU351" t="s">
        <v>267</v>
      </c>
      <c r="CV351" t="s">
        <v>268</v>
      </c>
      <c r="CW351" t="s">
        <v>5345</v>
      </c>
      <c r="CX351" t="s">
        <v>486</v>
      </c>
      <c r="CY351" t="s">
        <v>183</v>
      </c>
      <c r="CZ351" t="s">
        <v>211</v>
      </c>
      <c r="DA351" t="s">
        <v>206</v>
      </c>
      <c r="DC351" t="s">
        <v>5275</v>
      </c>
      <c r="DD351" t="s">
        <v>3827</v>
      </c>
      <c r="DE351" t="s">
        <v>273</v>
      </c>
      <c r="DF351" t="s">
        <v>274</v>
      </c>
      <c r="DG351" t="s">
        <v>5346</v>
      </c>
      <c r="DH351" t="s">
        <v>482</v>
      </c>
      <c r="DI351" t="s">
        <v>5</v>
      </c>
      <c r="DJ351" t="s">
        <v>211</v>
      </c>
      <c r="DK351" t="s">
        <v>264</v>
      </c>
      <c r="DM351" t="s">
        <v>5277</v>
      </c>
      <c r="DW351" t="s">
        <v>198</v>
      </c>
      <c r="EG351" t="s">
        <v>198</v>
      </c>
      <c r="EQ351" t="s">
        <v>198</v>
      </c>
      <c r="FA351" t="s">
        <v>198</v>
      </c>
      <c r="FK351" t="s">
        <v>198</v>
      </c>
      <c r="FU351" t="s">
        <v>198</v>
      </c>
    </row>
    <row r="352" spans="1:177">
      <c r="A352" s="1" t="str">
        <f>HYPERLINK("http://digipan.lumentumllc.com/apps/getLink/index.php?t=PropLink&amp;p=5246622","PL")</f>
        <v>PL</v>
      </c>
      <c r="B352" s="1" t="str">
        <f>HYPERLINK("http://digipan.lumentumllc.com/apps/getLink/index.php?t=TaxLink&amp;p=5246622","TL")</f>
        <v>TL</v>
      </c>
      <c r="C352" s="1" t="str">
        <f>HYPERLINK("http://digipan.lumentumllc.com/apps/getMap/index.php?p=5246622","Map")</f>
        <v>Map</v>
      </c>
      <c r="E352" t="s">
        <v>177</v>
      </c>
      <c r="F352" t="s">
        <v>178</v>
      </c>
      <c r="L352" t="s">
        <v>5347</v>
      </c>
      <c r="N352" t="s">
        <v>5347</v>
      </c>
      <c r="O352" t="s">
        <v>5347</v>
      </c>
      <c r="P352" t="s">
        <v>5348</v>
      </c>
      <c r="Q352" t="s">
        <v>5347</v>
      </c>
      <c r="V352">
        <v>410</v>
      </c>
      <c r="W352">
        <v>2</v>
      </c>
      <c r="X352">
        <v>2017</v>
      </c>
      <c r="Y352">
        <v>2018</v>
      </c>
      <c r="Z352">
        <v>1242.6300000000001</v>
      </c>
      <c r="AB352" t="s">
        <v>181</v>
      </c>
      <c r="AC352" t="s">
        <v>182</v>
      </c>
      <c r="AD352" t="s">
        <v>183</v>
      </c>
      <c r="AE352">
        <v>0</v>
      </c>
      <c r="AF352">
        <v>6</v>
      </c>
      <c r="AG352" t="s">
        <v>528</v>
      </c>
      <c r="AH352">
        <v>100</v>
      </c>
      <c r="AK352">
        <v>0</v>
      </c>
      <c r="AL352">
        <v>73942</v>
      </c>
      <c r="AM352">
        <v>57180</v>
      </c>
      <c r="AN352">
        <v>16762</v>
      </c>
      <c r="AO352">
        <v>1107</v>
      </c>
      <c r="AP352">
        <v>2016</v>
      </c>
      <c r="AQ352">
        <v>1.68</v>
      </c>
      <c r="AS352" t="s">
        <v>5349</v>
      </c>
      <c r="AT352" t="s">
        <v>3747</v>
      </c>
      <c r="AU352" t="s">
        <v>177</v>
      </c>
      <c r="AV352" t="s">
        <v>1030</v>
      </c>
      <c r="AW352" t="s">
        <v>182</v>
      </c>
      <c r="AX352">
        <v>0</v>
      </c>
      <c r="AY352" t="s">
        <v>312</v>
      </c>
      <c r="AZ352" t="s">
        <v>199</v>
      </c>
      <c r="BA352" t="s">
        <v>313</v>
      </c>
      <c r="BB352" t="s">
        <v>191</v>
      </c>
      <c r="BC352" t="s">
        <v>182</v>
      </c>
      <c r="BD352" t="s">
        <v>182</v>
      </c>
      <c r="BE352" t="s">
        <v>5350</v>
      </c>
      <c r="BF352">
        <v>0</v>
      </c>
      <c r="BG352">
        <v>0</v>
      </c>
      <c r="BH352">
        <v>0</v>
      </c>
      <c r="BI352" t="s">
        <v>199</v>
      </c>
      <c r="BJ352" t="s">
        <v>248</v>
      </c>
      <c r="BL352" t="s">
        <v>5351</v>
      </c>
      <c r="BM352" t="s">
        <v>273</v>
      </c>
      <c r="BN352" t="s">
        <v>182</v>
      </c>
      <c r="BO352" t="s">
        <v>198</v>
      </c>
      <c r="BP352" t="s">
        <v>198</v>
      </c>
      <c r="BQ352" t="s">
        <v>198</v>
      </c>
      <c r="BR352" t="s">
        <v>198</v>
      </c>
      <c r="BS352" t="s">
        <v>198</v>
      </c>
      <c r="BT352" t="s">
        <v>198</v>
      </c>
      <c r="BU352" t="s">
        <v>182</v>
      </c>
      <c r="BV352" t="s">
        <v>198</v>
      </c>
      <c r="BW352" t="s">
        <v>198</v>
      </c>
      <c r="BX352" t="s">
        <v>199</v>
      </c>
      <c r="BY352" t="s">
        <v>198</v>
      </c>
      <c r="BZ352" t="s">
        <v>199</v>
      </c>
      <c r="CA352" t="s">
        <v>199</v>
      </c>
      <c r="CB352" t="s">
        <v>5352</v>
      </c>
      <c r="CC352" t="s">
        <v>201</v>
      </c>
      <c r="CD352" t="s">
        <v>202</v>
      </c>
      <c r="CE352" t="s">
        <v>5353</v>
      </c>
      <c r="CF352" t="s">
        <v>1029</v>
      </c>
      <c r="CG352" t="s">
        <v>177</v>
      </c>
      <c r="CH352" t="s">
        <v>1030</v>
      </c>
      <c r="CI352" t="s">
        <v>5354</v>
      </c>
      <c r="CJ352" t="s">
        <v>5008</v>
      </c>
      <c r="CK352" t="s">
        <v>292</v>
      </c>
      <c r="CL352" t="s">
        <v>293</v>
      </c>
      <c r="CM352" t="s">
        <v>5355</v>
      </c>
      <c r="CN352" t="s">
        <v>235</v>
      </c>
      <c r="CO352" t="s">
        <v>183</v>
      </c>
      <c r="CP352" t="s">
        <v>211</v>
      </c>
      <c r="CQ352" t="s">
        <v>339</v>
      </c>
      <c r="CS352" t="s">
        <v>5356</v>
      </c>
      <c r="CT352" t="s">
        <v>5088</v>
      </c>
      <c r="CU352" t="s">
        <v>267</v>
      </c>
      <c r="CV352" t="s">
        <v>268</v>
      </c>
      <c r="CW352" t="s">
        <v>5357</v>
      </c>
      <c r="CX352" t="s">
        <v>331</v>
      </c>
      <c r="CY352" t="s">
        <v>183</v>
      </c>
      <c r="CZ352" t="s">
        <v>211</v>
      </c>
      <c r="DA352" t="s">
        <v>189</v>
      </c>
      <c r="DC352" t="s">
        <v>5358</v>
      </c>
      <c r="DD352" t="s">
        <v>5271</v>
      </c>
      <c r="DE352" t="s">
        <v>273</v>
      </c>
      <c r="DF352" t="s">
        <v>274</v>
      </c>
      <c r="DG352" t="s">
        <v>5359</v>
      </c>
      <c r="DH352" t="s">
        <v>511</v>
      </c>
      <c r="DI352" t="s">
        <v>183</v>
      </c>
      <c r="DJ352" t="s">
        <v>211</v>
      </c>
      <c r="DK352" t="s">
        <v>460</v>
      </c>
      <c r="DM352" t="s">
        <v>5358</v>
      </c>
      <c r="DN352" t="s">
        <v>5360</v>
      </c>
      <c r="DO352" t="s">
        <v>302</v>
      </c>
      <c r="DP352" t="s">
        <v>303</v>
      </c>
      <c r="DQ352" t="s">
        <v>5361</v>
      </c>
      <c r="DR352" t="s">
        <v>511</v>
      </c>
      <c r="DS352" t="s">
        <v>183</v>
      </c>
      <c r="DT352" t="s">
        <v>211</v>
      </c>
      <c r="DU352" t="s">
        <v>337</v>
      </c>
      <c r="DW352" t="s">
        <v>1486</v>
      </c>
      <c r="DX352" t="s">
        <v>5362</v>
      </c>
      <c r="DY352" t="s">
        <v>238</v>
      </c>
      <c r="DZ352" t="s">
        <v>239</v>
      </c>
      <c r="EA352" t="s">
        <v>5363</v>
      </c>
      <c r="EB352" t="s">
        <v>331</v>
      </c>
      <c r="EC352" t="s">
        <v>183</v>
      </c>
      <c r="ED352" t="s">
        <v>211</v>
      </c>
      <c r="EE352" t="s">
        <v>345</v>
      </c>
      <c r="EG352" t="s">
        <v>1097</v>
      </c>
      <c r="EH352" t="s">
        <v>5364</v>
      </c>
      <c r="EI352" t="s">
        <v>346</v>
      </c>
      <c r="EJ352" t="s">
        <v>347</v>
      </c>
      <c r="EK352" t="s">
        <v>5365</v>
      </c>
      <c r="EL352" t="s">
        <v>235</v>
      </c>
      <c r="EM352" t="s">
        <v>183</v>
      </c>
      <c r="EN352" t="s">
        <v>211</v>
      </c>
      <c r="EO352" t="s">
        <v>345</v>
      </c>
      <c r="EQ352" t="s">
        <v>5179</v>
      </c>
      <c r="FA352" t="s">
        <v>198</v>
      </c>
      <c r="FK352" t="s">
        <v>198</v>
      </c>
      <c r="FU352" t="s">
        <v>198</v>
      </c>
    </row>
    <row r="353" spans="1:177">
      <c r="A353" s="1" t="str">
        <f>HYPERLINK("http://digipan.lumentumllc.com/apps/getLink/index.php?t=PropLink&amp;p=4637815","PL")</f>
        <v>PL</v>
      </c>
      <c r="B353" s="1" t="str">
        <f>HYPERLINK("http://digipan.lumentumllc.com/apps/getLink/index.php?t=TaxLink&amp;p=4637815","TL")</f>
        <v>TL</v>
      </c>
      <c r="C353" s="1" t="str">
        <f>HYPERLINK("http://digipan.lumentumllc.com/apps/getMap/index.php?p=4637815","Map")</f>
        <v>Map</v>
      </c>
      <c r="E353" t="s">
        <v>177</v>
      </c>
      <c r="F353" t="s">
        <v>178</v>
      </c>
      <c r="L353" t="s">
        <v>5366</v>
      </c>
      <c r="N353" t="s">
        <v>5366</v>
      </c>
      <c r="O353" t="s">
        <v>5366</v>
      </c>
      <c r="P353" t="s">
        <v>5367</v>
      </c>
      <c r="Q353" t="s">
        <v>5366</v>
      </c>
      <c r="V353">
        <v>411</v>
      </c>
      <c r="W353">
        <v>2</v>
      </c>
      <c r="X353">
        <v>2017</v>
      </c>
      <c r="Y353">
        <v>2018</v>
      </c>
      <c r="Z353">
        <v>1111.22</v>
      </c>
      <c r="AB353" t="s">
        <v>181</v>
      </c>
      <c r="AC353" t="s">
        <v>182</v>
      </c>
      <c r="AD353" t="s">
        <v>183</v>
      </c>
      <c r="AE353">
        <v>0</v>
      </c>
      <c r="AF353">
        <v>3</v>
      </c>
      <c r="AG353" t="s">
        <v>381</v>
      </c>
      <c r="AH353">
        <v>100</v>
      </c>
      <c r="AK353">
        <v>0</v>
      </c>
      <c r="AL353">
        <v>111457</v>
      </c>
      <c r="AM353">
        <v>12937</v>
      </c>
      <c r="AN353">
        <v>98520</v>
      </c>
      <c r="AO353">
        <v>981</v>
      </c>
      <c r="AP353">
        <v>2016</v>
      </c>
      <c r="AQ353">
        <v>1</v>
      </c>
      <c r="AS353" t="s">
        <v>5368</v>
      </c>
      <c r="AT353" t="s">
        <v>3747</v>
      </c>
      <c r="AU353" t="s">
        <v>177</v>
      </c>
      <c r="AV353" t="s">
        <v>1030</v>
      </c>
      <c r="AW353" t="s">
        <v>202</v>
      </c>
      <c r="AX353">
        <v>1</v>
      </c>
      <c r="AY353" t="s">
        <v>188</v>
      </c>
      <c r="AZ353" t="s">
        <v>206</v>
      </c>
      <c r="BA353" t="s">
        <v>355</v>
      </c>
      <c r="BB353" t="s">
        <v>191</v>
      </c>
      <c r="BC353" t="s">
        <v>182</v>
      </c>
      <c r="BD353" t="s">
        <v>182</v>
      </c>
      <c r="BE353" t="s">
        <v>5369</v>
      </c>
      <c r="BF353">
        <v>1</v>
      </c>
      <c r="BG353">
        <v>1</v>
      </c>
      <c r="BH353">
        <v>1956</v>
      </c>
      <c r="BI353" t="s">
        <v>5370</v>
      </c>
      <c r="BJ353" t="s">
        <v>194</v>
      </c>
      <c r="BK353" t="s">
        <v>840</v>
      </c>
      <c r="BL353" t="s">
        <v>5371</v>
      </c>
      <c r="BM353" t="s">
        <v>533</v>
      </c>
      <c r="BN353" t="s">
        <v>182</v>
      </c>
      <c r="BO353" t="s">
        <v>5372</v>
      </c>
      <c r="BP353" t="s">
        <v>5373</v>
      </c>
      <c r="BR353" t="s">
        <v>1461</v>
      </c>
      <c r="BS353" t="s">
        <v>5374</v>
      </c>
      <c r="BT353" t="s">
        <v>198</v>
      </c>
      <c r="BU353" t="s">
        <v>182</v>
      </c>
      <c r="BV353" t="s">
        <v>198</v>
      </c>
      <c r="BW353" t="s">
        <v>198</v>
      </c>
      <c r="BX353" t="s">
        <v>199</v>
      </c>
      <c r="BY353" t="s">
        <v>198</v>
      </c>
      <c r="BZ353" t="s">
        <v>199</v>
      </c>
      <c r="CA353" t="s">
        <v>199</v>
      </c>
      <c r="CB353" t="s">
        <v>5375</v>
      </c>
      <c r="CC353" t="s">
        <v>201</v>
      </c>
      <c r="CD353" t="s">
        <v>182</v>
      </c>
      <c r="CE353" t="s">
        <v>5376</v>
      </c>
      <c r="CF353" t="s">
        <v>1029</v>
      </c>
      <c r="CG353" t="s">
        <v>177</v>
      </c>
      <c r="CH353" t="s">
        <v>1030</v>
      </c>
      <c r="CI353" t="s">
        <v>567</v>
      </c>
      <c r="CJ353" t="s">
        <v>3826</v>
      </c>
      <c r="CK353" t="s">
        <v>232</v>
      </c>
      <c r="CL353" t="s">
        <v>233</v>
      </c>
      <c r="CM353" t="s">
        <v>5377</v>
      </c>
      <c r="CN353" t="s">
        <v>235</v>
      </c>
      <c r="CO353" t="s">
        <v>183</v>
      </c>
      <c r="CP353" t="s">
        <v>211</v>
      </c>
      <c r="CQ353" t="s">
        <v>199</v>
      </c>
      <c r="CS353" t="s">
        <v>236</v>
      </c>
      <c r="CT353" t="s">
        <v>4948</v>
      </c>
      <c r="CU353" t="s">
        <v>292</v>
      </c>
      <c r="CV353" t="s">
        <v>293</v>
      </c>
      <c r="CW353" t="s">
        <v>5378</v>
      </c>
      <c r="CX353" t="s">
        <v>235</v>
      </c>
      <c r="CY353" t="s">
        <v>183</v>
      </c>
      <c r="CZ353" t="s">
        <v>211</v>
      </c>
      <c r="DA353" t="s">
        <v>189</v>
      </c>
      <c r="DC353" t="s">
        <v>3251</v>
      </c>
      <c r="DD353" t="s">
        <v>5379</v>
      </c>
      <c r="DE353" t="s">
        <v>267</v>
      </c>
      <c r="DF353" t="s">
        <v>268</v>
      </c>
      <c r="DG353" t="s">
        <v>5380</v>
      </c>
      <c r="DH353" t="s">
        <v>235</v>
      </c>
      <c r="DI353" t="s">
        <v>183</v>
      </c>
      <c r="DJ353" t="s">
        <v>211</v>
      </c>
      <c r="DK353" t="s">
        <v>189</v>
      </c>
      <c r="DM353" t="s">
        <v>3455</v>
      </c>
      <c r="DW353" t="s">
        <v>198</v>
      </c>
      <c r="EG353" t="s">
        <v>198</v>
      </c>
      <c r="EQ353" t="s">
        <v>198</v>
      </c>
      <c r="FA353" t="s">
        <v>198</v>
      </c>
      <c r="FK353" t="s">
        <v>198</v>
      </c>
      <c r="FU353" t="s">
        <v>198</v>
      </c>
    </row>
    <row r="354" spans="1:177">
      <c r="A354" s="1" t="str">
        <f>HYPERLINK("http://digipan.lumentumllc.com/apps/getLink/index.php?t=PropLink&amp;p=41029791","PL")</f>
        <v>PL</v>
      </c>
      <c r="B354" s="1" t="str">
        <f>HYPERLINK("http://digipan.lumentumllc.com/apps/getLink/index.php?t=TaxLink&amp;p=41029791","TL")</f>
        <v>TL</v>
      </c>
      <c r="C354" s="1" t="str">
        <f>HYPERLINK("","")</f>
        <v/>
      </c>
      <c r="E354" t="s">
        <v>177</v>
      </c>
      <c r="F354" t="s">
        <v>178</v>
      </c>
      <c r="L354" t="s">
        <v>5381</v>
      </c>
      <c r="N354" t="s">
        <v>5381</v>
      </c>
      <c r="O354" t="s">
        <v>5381</v>
      </c>
      <c r="Q354" t="s">
        <v>5381</v>
      </c>
      <c r="V354">
        <v>412</v>
      </c>
      <c r="W354">
        <v>2</v>
      </c>
      <c r="X354">
        <v>2017</v>
      </c>
      <c r="Y354">
        <v>2018</v>
      </c>
      <c r="Z354">
        <v>92.92</v>
      </c>
      <c r="AG354" t="s">
        <v>184</v>
      </c>
      <c r="AH354">
        <v>0</v>
      </c>
      <c r="AK354">
        <v>0</v>
      </c>
      <c r="AL354">
        <v>48540</v>
      </c>
      <c r="AM354">
        <v>3721</v>
      </c>
      <c r="AN354">
        <v>44819</v>
      </c>
      <c r="AQ354">
        <v>0.19</v>
      </c>
      <c r="AS354" t="s">
        <v>1718</v>
      </c>
      <c r="AT354" t="s">
        <v>3747</v>
      </c>
      <c r="AU354" t="s">
        <v>177</v>
      </c>
      <c r="AV354" t="s">
        <v>1030</v>
      </c>
      <c r="AW354" t="s">
        <v>182</v>
      </c>
      <c r="AX354">
        <v>55</v>
      </c>
      <c r="AY354" t="s">
        <v>218</v>
      </c>
      <c r="AZ354" t="s">
        <v>1682</v>
      </c>
      <c r="BA354" t="s">
        <v>1683</v>
      </c>
      <c r="BB354" t="s">
        <v>191</v>
      </c>
      <c r="BC354" t="s">
        <v>202</v>
      </c>
      <c r="BD354" t="s">
        <v>182</v>
      </c>
      <c r="BE354" t="s">
        <v>5382</v>
      </c>
      <c r="BI354" t="s">
        <v>199</v>
      </c>
      <c r="BN354" t="s">
        <v>182</v>
      </c>
      <c r="BO354" t="s">
        <v>198</v>
      </c>
      <c r="BP354" t="s">
        <v>198</v>
      </c>
      <c r="BQ354" t="s">
        <v>198</v>
      </c>
      <c r="BR354" t="s">
        <v>198</v>
      </c>
      <c r="BS354" t="s">
        <v>198</v>
      </c>
      <c r="BT354" t="s">
        <v>198</v>
      </c>
      <c r="BU354" t="s">
        <v>182</v>
      </c>
      <c r="BV354" t="s">
        <v>198</v>
      </c>
      <c r="BW354" t="s">
        <v>198</v>
      </c>
      <c r="BX354" t="s">
        <v>199</v>
      </c>
      <c r="BY354" t="s">
        <v>198</v>
      </c>
      <c r="CB354" t="s">
        <v>5352</v>
      </c>
      <c r="CC354" t="s">
        <v>201</v>
      </c>
      <c r="CD354" t="s">
        <v>182</v>
      </c>
      <c r="CE354" t="s">
        <v>5376</v>
      </c>
      <c r="CF354" t="s">
        <v>1029</v>
      </c>
      <c r="CG354" t="s">
        <v>177</v>
      </c>
      <c r="CH354" t="s">
        <v>1030</v>
      </c>
      <c r="CI354" t="s">
        <v>5383</v>
      </c>
      <c r="CS354" t="s">
        <v>198</v>
      </c>
      <c r="DC354" t="s">
        <v>198</v>
      </c>
      <c r="DM354" t="s">
        <v>198</v>
      </c>
      <c r="DW354" t="s">
        <v>198</v>
      </c>
      <c r="EG354" t="s">
        <v>198</v>
      </c>
      <c r="EQ354" t="s">
        <v>198</v>
      </c>
      <c r="FA354" t="s">
        <v>198</v>
      </c>
      <c r="FK354" t="s">
        <v>198</v>
      </c>
      <c r="FU354" t="s">
        <v>198</v>
      </c>
    </row>
    <row r="355" spans="1:177">
      <c r="A355" s="1" t="str">
        <f>HYPERLINK("http://digipan.lumentumllc.com/apps/getLink/index.php?t=PropLink&amp;p=15749392","PL")</f>
        <v>PL</v>
      </c>
      <c r="B355" s="1" t="str">
        <f>HYPERLINK("http://digipan.lumentumllc.com/apps/getLink/index.php?t=TaxLink&amp;p=15749392","TL")</f>
        <v>TL</v>
      </c>
      <c r="C355" s="1" t="str">
        <f>HYPERLINK("http://digipan.lumentumllc.com/apps/getMap/index.php?p=15749392","Map")</f>
        <v>Map</v>
      </c>
      <c r="E355" t="s">
        <v>177</v>
      </c>
      <c r="F355" t="s">
        <v>178</v>
      </c>
      <c r="L355" t="s">
        <v>5384</v>
      </c>
      <c r="N355" t="s">
        <v>5384</v>
      </c>
      <c r="O355" t="s">
        <v>5384</v>
      </c>
      <c r="Q355" t="s">
        <v>5384</v>
      </c>
      <c r="V355">
        <v>413</v>
      </c>
      <c r="W355">
        <v>2</v>
      </c>
      <c r="X355">
        <v>2017</v>
      </c>
      <c r="Y355">
        <v>2018</v>
      </c>
      <c r="Z355">
        <v>372.73</v>
      </c>
      <c r="AG355" t="s">
        <v>184</v>
      </c>
      <c r="AH355">
        <v>0</v>
      </c>
      <c r="AK355">
        <v>0</v>
      </c>
      <c r="AL355">
        <v>109172</v>
      </c>
      <c r="AM355">
        <v>15000</v>
      </c>
      <c r="AN355">
        <v>94172</v>
      </c>
      <c r="AO355">
        <v>0</v>
      </c>
      <c r="AP355">
        <v>0</v>
      </c>
      <c r="AQ355">
        <v>0.34</v>
      </c>
      <c r="AS355" t="s">
        <v>5385</v>
      </c>
      <c r="AT355" t="s">
        <v>3747</v>
      </c>
      <c r="AU355" t="s">
        <v>177</v>
      </c>
      <c r="AV355" t="s">
        <v>1030</v>
      </c>
      <c r="AW355" t="s">
        <v>202</v>
      </c>
      <c r="AX355">
        <v>1</v>
      </c>
      <c r="AY355" t="s">
        <v>188</v>
      </c>
      <c r="AZ355" t="s">
        <v>206</v>
      </c>
      <c r="BA355" t="s">
        <v>355</v>
      </c>
      <c r="BB355" t="s">
        <v>191</v>
      </c>
      <c r="BC355" t="s">
        <v>182</v>
      </c>
      <c r="BD355" t="s">
        <v>182</v>
      </c>
      <c r="BE355" t="s">
        <v>383</v>
      </c>
      <c r="BF355">
        <v>1</v>
      </c>
      <c r="BG355">
        <v>1</v>
      </c>
      <c r="BH355">
        <v>1994</v>
      </c>
      <c r="BI355" t="s">
        <v>5386</v>
      </c>
      <c r="BJ355" t="s">
        <v>194</v>
      </c>
      <c r="BK355" t="s">
        <v>195</v>
      </c>
      <c r="BL355" t="s">
        <v>199</v>
      </c>
      <c r="BM355" t="s">
        <v>267</v>
      </c>
      <c r="BN355" t="s">
        <v>182</v>
      </c>
      <c r="BO355" t="s">
        <v>5387</v>
      </c>
      <c r="BP355" t="s">
        <v>317</v>
      </c>
      <c r="BQ355" t="s">
        <v>800</v>
      </c>
      <c r="BS355" t="s">
        <v>198</v>
      </c>
      <c r="BT355" t="s">
        <v>228</v>
      </c>
      <c r="BU355" t="s">
        <v>182</v>
      </c>
      <c r="BV355" t="s">
        <v>198</v>
      </c>
      <c r="BW355" t="s">
        <v>198</v>
      </c>
      <c r="BX355" t="s">
        <v>199</v>
      </c>
      <c r="BY355" t="s">
        <v>198</v>
      </c>
      <c r="BZ355" t="s">
        <v>199</v>
      </c>
      <c r="CA355" t="s">
        <v>199</v>
      </c>
      <c r="CB355" t="s">
        <v>5388</v>
      </c>
      <c r="CC355" t="s">
        <v>201</v>
      </c>
      <c r="CD355" t="s">
        <v>202</v>
      </c>
      <c r="CE355" t="s">
        <v>5385</v>
      </c>
      <c r="CF355" t="s">
        <v>1029</v>
      </c>
      <c r="CG355" t="s">
        <v>177</v>
      </c>
      <c r="CH355" t="s">
        <v>1030</v>
      </c>
      <c r="CI355" t="s">
        <v>5389</v>
      </c>
      <c r="CS355" t="s">
        <v>198</v>
      </c>
      <c r="DC355" t="s">
        <v>198</v>
      </c>
      <c r="DM355" t="s">
        <v>198</v>
      </c>
      <c r="DW355" t="s">
        <v>198</v>
      </c>
      <c r="EG355" t="s">
        <v>198</v>
      </c>
      <c r="EQ355" t="s">
        <v>198</v>
      </c>
      <c r="FA355" t="s">
        <v>198</v>
      </c>
      <c r="FK355" t="s">
        <v>198</v>
      </c>
      <c r="FU355" t="s">
        <v>198</v>
      </c>
    </row>
    <row r="356" spans="1:177">
      <c r="A356" s="1" t="str">
        <f>HYPERLINK("http://digipan.lumentumllc.com/apps/getLink/index.php?t=PropLink&amp;p=6129131","PL")</f>
        <v>PL</v>
      </c>
      <c r="B356" s="1" t="str">
        <f>HYPERLINK("http://digipan.lumentumllc.com/apps/getLink/index.php?t=TaxLink&amp;p=6129131","TL")</f>
        <v>TL</v>
      </c>
      <c r="C356" s="1" t="str">
        <f>HYPERLINK("http://digipan.lumentumllc.com/apps/getMap/index.php?p=6129131","Map")</f>
        <v>Map</v>
      </c>
      <c r="E356" t="s">
        <v>177</v>
      </c>
      <c r="F356" t="s">
        <v>178</v>
      </c>
      <c r="L356" t="s">
        <v>5390</v>
      </c>
      <c r="N356" t="s">
        <v>5390</v>
      </c>
      <c r="O356" t="s">
        <v>5390</v>
      </c>
      <c r="P356" t="s">
        <v>5391</v>
      </c>
      <c r="Q356" t="s">
        <v>5390</v>
      </c>
      <c r="V356">
        <v>414</v>
      </c>
      <c r="W356">
        <v>2</v>
      </c>
      <c r="X356">
        <v>2017</v>
      </c>
      <c r="Y356">
        <v>2018</v>
      </c>
      <c r="Z356">
        <v>570.29</v>
      </c>
      <c r="AB356" t="s">
        <v>181</v>
      </c>
      <c r="AC356" t="s">
        <v>182</v>
      </c>
      <c r="AD356" t="s">
        <v>183</v>
      </c>
      <c r="AE356">
        <v>1</v>
      </c>
      <c r="AF356">
        <v>2</v>
      </c>
      <c r="AG356" t="s">
        <v>363</v>
      </c>
      <c r="AH356">
        <v>67</v>
      </c>
      <c r="AI356">
        <v>564.58000000000004</v>
      </c>
      <c r="AJ356">
        <v>28.23</v>
      </c>
      <c r="AK356">
        <v>592.80999999999995</v>
      </c>
      <c r="AL356">
        <v>82136</v>
      </c>
      <c r="AM356">
        <v>15000</v>
      </c>
      <c r="AN356">
        <v>67136</v>
      </c>
      <c r="AO356">
        <v>497</v>
      </c>
      <c r="AP356">
        <v>2016</v>
      </c>
      <c r="AQ356">
        <v>0.69</v>
      </c>
      <c r="AR356">
        <v>0.72</v>
      </c>
      <c r="AS356" t="s">
        <v>5392</v>
      </c>
      <c r="AT356" t="s">
        <v>3747</v>
      </c>
      <c r="AU356" t="s">
        <v>177</v>
      </c>
      <c r="AV356" t="s">
        <v>1030</v>
      </c>
      <c r="AW356" t="s">
        <v>202</v>
      </c>
      <c r="AX356">
        <v>2</v>
      </c>
      <c r="AY356" t="s">
        <v>188</v>
      </c>
      <c r="AZ356" t="s">
        <v>189</v>
      </c>
      <c r="BA356" t="s">
        <v>190</v>
      </c>
      <c r="BB356" t="s">
        <v>191</v>
      </c>
      <c r="BC356" t="s">
        <v>182</v>
      </c>
      <c r="BD356" t="s">
        <v>182</v>
      </c>
      <c r="BE356" t="s">
        <v>383</v>
      </c>
      <c r="BF356">
        <v>1</v>
      </c>
      <c r="BG356">
        <v>1</v>
      </c>
      <c r="BH356">
        <v>2000</v>
      </c>
      <c r="BI356" t="s">
        <v>5393</v>
      </c>
      <c r="BJ356" t="s">
        <v>194</v>
      </c>
      <c r="BK356" t="s">
        <v>195</v>
      </c>
      <c r="BL356" t="s">
        <v>199</v>
      </c>
      <c r="BM356" t="s">
        <v>238</v>
      </c>
      <c r="BN356" t="s">
        <v>182</v>
      </c>
      <c r="BO356" t="s">
        <v>198</v>
      </c>
      <c r="BP356" t="s">
        <v>198</v>
      </c>
      <c r="BQ356" t="s">
        <v>198</v>
      </c>
      <c r="BR356" t="s">
        <v>198</v>
      </c>
      <c r="BS356" t="s">
        <v>198</v>
      </c>
      <c r="BT356" t="s">
        <v>198</v>
      </c>
      <c r="BU356" t="s">
        <v>182</v>
      </c>
      <c r="BV356" t="s">
        <v>198</v>
      </c>
      <c r="BW356" t="s">
        <v>198</v>
      </c>
      <c r="BX356" t="s">
        <v>199</v>
      </c>
      <c r="BY356" t="s">
        <v>198</v>
      </c>
      <c r="BZ356" t="s">
        <v>199</v>
      </c>
      <c r="CA356" t="s">
        <v>199</v>
      </c>
      <c r="CB356" t="s">
        <v>5394</v>
      </c>
      <c r="CC356" t="s">
        <v>201</v>
      </c>
      <c r="CD356" t="s">
        <v>182</v>
      </c>
      <c r="CE356" t="s">
        <v>5395</v>
      </c>
      <c r="CF356" t="s">
        <v>1029</v>
      </c>
      <c r="CG356" t="s">
        <v>177</v>
      </c>
      <c r="CH356" t="s">
        <v>1030</v>
      </c>
      <c r="CI356" t="s">
        <v>5396</v>
      </c>
      <c r="CJ356" t="s">
        <v>5174</v>
      </c>
      <c r="CK356" t="s">
        <v>232</v>
      </c>
      <c r="CL356" t="s">
        <v>233</v>
      </c>
      <c r="CM356" t="s">
        <v>5397</v>
      </c>
      <c r="CN356" t="s">
        <v>235</v>
      </c>
      <c r="CO356" t="s">
        <v>183</v>
      </c>
      <c r="CP356" t="s">
        <v>266</v>
      </c>
      <c r="CS356" t="s">
        <v>198</v>
      </c>
      <c r="CT356" t="s">
        <v>5088</v>
      </c>
      <c r="CU356" t="s">
        <v>292</v>
      </c>
      <c r="CV356" t="s">
        <v>293</v>
      </c>
      <c r="CW356" t="s">
        <v>5398</v>
      </c>
      <c r="CX356" t="s">
        <v>235</v>
      </c>
      <c r="CY356" t="s">
        <v>183</v>
      </c>
      <c r="CZ356" t="s">
        <v>211</v>
      </c>
      <c r="DA356" t="s">
        <v>427</v>
      </c>
      <c r="DC356" t="s">
        <v>1008</v>
      </c>
      <c r="DD356" t="s">
        <v>5399</v>
      </c>
      <c r="DE356" t="s">
        <v>238</v>
      </c>
      <c r="DF356" t="s">
        <v>239</v>
      </c>
      <c r="DG356" t="s">
        <v>5400</v>
      </c>
      <c r="DH356" t="s">
        <v>440</v>
      </c>
      <c r="DI356" t="s">
        <v>183</v>
      </c>
      <c r="DJ356" t="s">
        <v>211</v>
      </c>
      <c r="DK356" t="s">
        <v>298</v>
      </c>
      <c r="DM356" t="s">
        <v>1133</v>
      </c>
      <c r="DW356" t="s">
        <v>198</v>
      </c>
      <c r="EG356" t="s">
        <v>198</v>
      </c>
      <c r="EQ356" t="s">
        <v>198</v>
      </c>
      <c r="FA356" t="s">
        <v>198</v>
      </c>
      <c r="FK356" t="s">
        <v>198</v>
      </c>
      <c r="FU356" t="s">
        <v>198</v>
      </c>
    </row>
    <row r="357" spans="1:177">
      <c r="A357" s="1" t="str">
        <f>HYPERLINK("http://digipan.lumentumllc.com/apps/getLink/index.php?t=PropLink&amp;p=6886761","PL")</f>
        <v>PL</v>
      </c>
      <c r="B357" s="1" t="str">
        <f>HYPERLINK("http://digipan.lumentumllc.com/apps/getLink/index.php?t=TaxLink&amp;p=6886761","TL")</f>
        <v>TL</v>
      </c>
      <c r="C357" s="1" t="str">
        <f>HYPERLINK("http://digipan.lumentumllc.com/apps/getMap/index.php?p=6886761","Map")</f>
        <v>Map</v>
      </c>
      <c r="E357" t="s">
        <v>177</v>
      </c>
      <c r="F357" t="s">
        <v>178</v>
      </c>
      <c r="L357" t="s">
        <v>5401</v>
      </c>
      <c r="N357" t="s">
        <v>5401</v>
      </c>
      <c r="O357" t="s">
        <v>5401</v>
      </c>
      <c r="P357" t="s">
        <v>5402</v>
      </c>
      <c r="Q357" t="s">
        <v>5401</v>
      </c>
      <c r="V357">
        <v>415</v>
      </c>
      <c r="W357">
        <v>2</v>
      </c>
      <c r="X357">
        <v>2017</v>
      </c>
      <c r="Y357">
        <v>2018</v>
      </c>
      <c r="Z357">
        <v>1622.77</v>
      </c>
      <c r="AB357" t="s">
        <v>181</v>
      </c>
      <c r="AC357" t="s">
        <v>182</v>
      </c>
      <c r="AD357" t="s">
        <v>183</v>
      </c>
      <c r="AE357">
        <v>0</v>
      </c>
      <c r="AF357">
        <v>2</v>
      </c>
      <c r="AG357" t="s">
        <v>216</v>
      </c>
      <c r="AH357">
        <v>100</v>
      </c>
      <c r="AK357">
        <v>0</v>
      </c>
      <c r="AL357">
        <v>136264</v>
      </c>
      <c r="AM357">
        <v>15000</v>
      </c>
      <c r="AN357">
        <v>121264</v>
      </c>
      <c r="AO357">
        <v>1460</v>
      </c>
      <c r="AP357">
        <v>2016</v>
      </c>
      <c r="AQ357">
        <v>1.19</v>
      </c>
      <c r="AS357" t="s">
        <v>5403</v>
      </c>
      <c r="AT357" t="s">
        <v>3747</v>
      </c>
      <c r="AU357" t="s">
        <v>177</v>
      </c>
      <c r="AV357" t="s">
        <v>1030</v>
      </c>
      <c r="AW357" t="s">
        <v>202</v>
      </c>
      <c r="AX357">
        <v>1</v>
      </c>
      <c r="AY357" t="s">
        <v>188</v>
      </c>
      <c r="AZ357" t="s">
        <v>206</v>
      </c>
      <c r="BA357" t="s">
        <v>355</v>
      </c>
      <c r="BB357" t="s">
        <v>191</v>
      </c>
      <c r="BC357" t="s">
        <v>182</v>
      </c>
      <c r="BD357" t="s">
        <v>182</v>
      </c>
      <c r="BE357" t="s">
        <v>383</v>
      </c>
      <c r="BF357">
        <v>1</v>
      </c>
      <c r="BG357">
        <v>1</v>
      </c>
      <c r="BH357">
        <v>1999</v>
      </c>
      <c r="BI357" t="s">
        <v>5404</v>
      </c>
      <c r="BJ357" t="s">
        <v>194</v>
      </c>
      <c r="BK357" t="s">
        <v>195</v>
      </c>
      <c r="BL357" t="s">
        <v>5405</v>
      </c>
      <c r="BM357" t="s">
        <v>292</v>
      </c>
      <c r="BN357" t="s">
        <v>182</v>
      </c>
      <c r="BO357" t="s">
        <v>5406</v>
      </c>
      <c r="BP357" t="s">
        <v>5407</v>
      </c>
      <c r="BQ357" t="s">
        <v>1285</v>
      </c>
      <c r="BR357" t="s">
        <v>563</v>
      </c>
      <c r="BS357" t="s">
        <v>198</v>
      </c>
      <c r="BT357" t="s">
        <v>274</v>
      </c>
      <c r="BU357" t="s">
        <v>182</v>
      </c>
      <c r="BV357" t="s">
        <v>198</v>
      </c>
      <c r="BW357" t="s">
        <v>198</v>
      </c>
      <c r="BX357" t="s">
        <v>199</v>
      </c>
      <c r="BY357" t="s">
        <v>198</v>
      </c>
      <c r="BZ357" t="s">
        <v>199</v>
      </c>
      <c r="CA357" t="s">
        <v>199</v>
      </c>
      <c r="CB357" t="s">
        <v>5408</v>
      </c>
      <c r="CC357" t="s">
        <v>201</v>
      </c>
      <c r="CD357" t="s">
        <v>182</v>
      </c>
      <c r="CE357" t="s">
        <v>5409</v>
      </c>
      <c r="CF357" t="s">
        <v>1029</v>
      </c>
      <c r="CG357" t="s">
        <v>177</v>
      </c>
      <c r="CH357" t="s">
        <v>1030</v>
      </c>
      <c r="CI357" t="s">
        <v>5410</v>
      </c>
      <c r="CJ357" t="s">
        <v>3658</v>
      </c>
      <c r="CK357" t="s">
        <v>292</v>
      </c>
      <c r="CL357" t="s">
        <v>293</v>
      </c>
      <c r="CM357" t="s">
        <v>5411</v>
      </c>
      <c r="CN357" t="s">
        <v>235</v>
      </c>
      <c r="CO357" t="s">
        <v>183</v>
      </c>
      <c r="CP357" t="s">
        <v>211</v>
      </c>
      <c r="CQ357" t="s">
        <v>329</v>
      </c>
      <c r="CS357" t="s">
        <v>2096</v>
      </c>
      <c r="CT357" t="s">
        <v>3690</v>
      </c>
      <c r="CU357" t="s">
        <v>267</v>
      </c>
      <c r="CV357" t="s">
        <v>268</v>
      </c>
      <c r="CW357" t="s">
        <v>5412</v>
      </c>
      <c r="CX357" t="s">
        <v>235</v>
      </c>
      <c r="CY357" t="s">
        <v>183</v>
      </c>
      <c r="CZ357" t="s">
        <v>211</v>
      </c>
      <c r="DA357" t="s">
        <v>199</v>
      </c>
      <c r="DC357" t="s">
        <v>5413</v>
      </c>
      <c r="DM357" t="s">
        <v>198</v>
      </c>
      <c r="DW357" t="s">
        <v>198</v>
      </c>
      <c r="EG357" t="s">
        <v>198</v>
      </c>
      <c r="EQ357" t="s">
        <v>198</v>
      </c>
      <c r="FA357" t="s">
        <v>198</v>
      </c>
      <c r="FK357" t="s">
        <v>198</v>
      </c>
      <c r="FU357" t="s">
        <v>198</v>
      </c>
    </row>
    <row r="358" spans="1:177">
      <c r="A358" s="1" t="str">
        <f>HYPERLINK("http://digipan.lumentumllc.com/apps/getLink/index.php?t=PropLink&amp;p=5246677","PL")</f>
        <v>PL</v>
      </c>
      <c r="B358" s="1" t="str">
        <f>HYPERLINK("http://digipan.lumentumllc.com/apps/getLink/index.php?t=TaxLink&amp;p=5246677","TL")</f>
        <v>TL</v>
      </c>
      <c r="C358" s="1" t="str">
        <f>HYPERLINK("http://digipan.lumentumllc.com/apps/getMap/index.php?p=5246677","Map")</f>
        <v>Map</v>
      </c>
      <c r="E358" t="s">
        <v>177</v>
      </c>
      <c r="F358" t="s">
        <v>178</v>
      </c>
      <c r="L358" t="s">
        <v>5414</v>
      </c>
      <c r="N358" t="s">
        <v>5414</v>
      </c>
      <c r="O358" t="s">
        <v>5414</v>
      </c>
      <c r="P358" t="s">
        <v>5415</v>
      </c>
      <c r="Q358" t="s">
        <v>5414</v>
      </c>
      <c r="V358">
        <v>417</v>
      </c>
      <c r="W358">
        <v>2</v>
      </c>
      <c r="X358">
        <v>2017</v>
      </c>
      <c r="Y358">
        <v>2018</v>
      </c>
      <c r="Z358">
        <v>37.89</v>
      </c>
      <c r="AB358" t="s">
        <v>181</v>
      </c>
      <c r="AC358" t="s">
        <v>182</v>
      </c>
      <c r="AD358" t="s">
        <v>1037</v>
      </c>
      <c r="AE358">
        <v>7</v>
      </c>
      <c r="AF358">
        <v>0</v>
      </c>
      <c r="AG358" t="s">
        <v>1038</v>
      </c>
      <c r="AH358">
        <v>0</v>
      </c>
      <c r="AI358">
        <v>335.44</v>
      </c>
      <c r="AJ358">
        <v>231.2</v>
      </c>
      <c r="AK358">
        <v>566.64</v>
      </c>
      <c r="AL358">
        <v>360</v>
      </c>
      <c r="AM358">
        <v>360</v>
      </c>
      <c r="AN358">
        <v>0</v>
      </c>
      <c r="AO358">
        <v>22</v>
      </c>
      <c r="AP358">
        <v>2016</v>
      </c>
      <c r="AQ358">
        <v>10.53</v>
      </c>
      <c r="AR358">
        <v>157.4</v>
      </c>
      <c r="AS358" t="s">
        <v>1718</v>
      </c>
      <c r="AT358" t="s">
        <v>3747</v>
      </c>
      <c r="AU358" t="s">
        <v>177</v>
      </c>
      <c r="AV358" t="s">
        <v>1030</v>
      </c>
      <c r="AW358" t="s">
        <v>182</v>
      </c>
      <c r="AX358">
        <v>0</v>
      </c>
      <c r="AY358" t="s">
        <v>312</v>
      </c>
      <c r="AZ358" t="s">
        <v>199</v>
      </c>
      <c r="BA358" t="s">
        <v>313</v>
      </c>
      <c r="BB358" t="s">
        <v>191</v>
      </c>
      <c r="BC358" t="s">
        <v>182</v>
      </c>
      <c r="BD358" t="s">
        <v>182</v>
      </c>
      <c r="BE358" t="s">
        <v>3907</v>
      </c>
      <c r="BF358">
        <v>0</v>
      </c>
      <c r="BG358">
        <v>0</v>
      </c>
      <c r="BH358">
        <v>0</v>
      </c>
      <c r="BI358" t="s">
        <v>199</v>
      </c>
      <c r="BJ358" t="s">
        <v>315</v>
      </c>
      <c r="BL358" t="s">
        <v>199</v>
      </c>
      <c r="BM358" t="s">
        <v>358</v>
      </c>
      <c r="BN358" t="s">
        <v>182</v>
      </c>
      <c r="BO358" t="s">
        <v>198</v>
      </c>
      <c r="BP358" t="s">
        <v>198</v>
      </c>
      <c r="BQ358" t="s">
        <v>198</v>
      </c>
      <c r="BR358" t="s">
        <v>198</v>
      </c>
      <c r="BS358" t="s">
        <v>198</v>
      </c>
      <c r="BT358" t="s">
        <v>198</v>
      </c>
      <c r="BU358" t="s">
        <v>182</v>
      </c>
      <c r="BV358" t="s">
        <v>198</v>
      </c>
      <c r="BW358" t="s">
        <v>198</v>
      </c>
      <c r="BX358" t="s">
        <v>199</v>
      </c>
      <c r="BY358" t="s">
        <v>198</v>
      </c>
      <c r="BZ358" t="s">
        <v>199</v>
      </c>
      <c r="CA358" t="s">
        <v>199</v>
      </c>
      <c r="CB358" t="s">
        <v>563</v>
      </c>
      <c r="CC358" t="s">
        <v>201</v>
      </c>
      <c r="CD358" t="s">
        <v>202</v>
      </c>
      <c r="CE358" t="s">
        <v>5416</v>
      </c>
      <c r="CF358" t="s">
        <v>204</v>
      </c>
      <c r="CG358" t="s">
        <v>177</v>
      </c>
      <c r="CH358" t="s">
        <v>187</v>
      </c>
      <c r="CI358" t="s">
        <v>563</v>
      </c>
      <c r="CJ358" t="s">
        <v>5417</v>
      </c>
      <c r="CK358" t="s">
        <v>232</v>
      </c>
      <c r="CL358" t="s">
        <v>233</v>
      </c>
      <c r="CM358" t="s">
        <v>5418</v>
      </c>
      <c r="CN358" t="s">
        <v>482</v>
      </c>
      <c r="CO358" t="s">
        <v>5</v>
      </c>
      <c r="CP358" t="s">
        <v>266</v>
      </c>
      <c r="CS358" t="s">
        <v>198</v>
      </c>
      <c r="CT358" t="s">
        <v>5130</v>
      </c>
      <c r="CU358" t="s">
        <v>292</v>
      </c>
      <c r="CV358" t="s">
        <v>293</v>
      </c>
      <c r="CW358" t="s">
        <v>5419</v>
      </c>
      <c r="CX358" t="s">
        <v>482</v>
      </c>
      <c r="CY358" t="s">
        <v>5</v>
      </c>
      <c r="CZ358" t="s">
        <v>266</v>
      </c>
      <c r="DC358" t="s">
        <v>198</v>
      </c>
      <c r="DD358" t="s">
        <v>5011</v>
      </c>
      <c r="DE358" t="s">
        <v>267</v>
      </c>
      <c r="DF358" t="s">
        <v>268</v>
      </c>
      <c r="DG358" t="s">
        <v>5420</v>
      </c>
      <c r="DH358" t="s">
        <v>482</v>
      </c>
      <c r="DI358" t="s">
        <v>5</v>
      </c>
      <c r="DJ358" t="s">
        <v>266</v>
      </c>
      <c r="DM358" t="s">
        <v>198</v>
      </c>
      <c r="DN358" t="s">
        <v>5334</v>
      </c>
      <c r="DO358" t="s">
        <v>273</v>
      </c>
      <c r="DP358" t="s">
        <v>274</v>
      </c>
      <c r="DQ358" t="s">
        <v>5421</v>
      </c>
      <c r="DR358" t="s">
        <v>482</v>
      </c>
      <c r="DS358" t="s">
        <v>183</v>
      </c>
      <c r="DT358" t="s">
        <v>266</v>
      </c>
      <c r="DW358" t="s">
        <v>198</v>
      </c>
      <c r="DX358" t="s">
        <v>5422</v>
      </c>
      <c r="DY358" t="s">
        <v>302</v>
      </c>
      <c r="DZ358" t="s">
        <v>303</v>
      </c>
      <c r="EA358" t="s">
        <v>5423</v>
      </c>
      <c r="EB358" t="s">
        <v>1052</v>
      </c>
      <c r="EC358" t="s">
        <v>183</v>
      </c>
      <c r="ED358" t="s">
        <v>266</v>
      </c>
      <c r="EG358" t="s">
        <v>198</v>
      </c>
      <c r="EH358" t="s">
        <v>5424</v>
      </c>
      <c r="EI358" t="s">
        <v>238</v>
      </c>
      <c r="EJ358" t="s">
        <v>239</v>
      </c>
      <c r="EK358" t="s">
        <v>5425</v>
      </c>
      <c r="EL358" t="s">
        <v>333</v>
      </c>
      <c r="EM358" t="s">
        <v>183</v>
      </c>
      <c r="EN358" t="s">
        <v>266</v>
      </c>
      <c r="EQ358" t="s">
        <v>198</v>
      </c>
      <c r="ER358" t="s">
        <v>5426</v>
      </c>
      <c r="ES358" t="s">
        <v>346</v>
      </c>
      <c r="ET358" t="s">
        <v>347</v>
      </c>
      <c r="EU358" t="s">
        <v>5427</v>
      </c>
      <c r="EV358" t="s">
        <v>482</v>
      </c>
      <c r="EW358" t="s">
        <v>183</v>
      </c>
      <c r="EX358" t="s">
        <v>266</v>
      </c>
      <c r="FA358" t="s">
        <v>198</v>
      </c>
      <c r="FK358" t="s">
        <v>198</v>
      </c>
      <c r="FU358" t="s">
        <v>198</v>
      </c>
    </row>
    <row r="359" spans="1:177">
      <c r="A359" s="1" t="str">
        <f>HYPERLINK("http://digipan.lumentumllc.com/apps/getLink/index.php?t=PropLink&amp;p=6594245","PL")</f>
        <v>PL</v>
      </c>
      <c r="B359" s="1" t="str">
        <f>HYPERLINK("http://digipan.lumentumllc.com/apps/getLink/index.php?t=TaxLink&amp;p=6594245","TL")</f>
        <v>TL</v>
      </c>
      <c r="C359" s="1" t="str">
        <f>HYPERLINK("http://digipan.lumentumllc.com/apps/getMap/index.php?p=6594245","Map")</f>
        <v>Map</v>
      </c>
      <c r="E359" t="s">
        <v>177</v>
      </c>
      <c r="F359" t="s">
        <v>178</v>
      </c>
      <c r="L359" t="s">
        <v>5428</v>
      </c>
      <c r="N359" t="s">
        <v>5428</v>
      </c>
      <c r="O359" t="s">
        <v>5428</v>
      </c>
      <c r="P359" t="s">
        <v>5429</v>
      </c>
      <c r="Q359" t="s">
        <v>5428</v>
      </c>
      <c r="V359">
        <v>418</v>
      </c>
      <c r="W359">
        <v>2</v>
      </c>
      <c r="X359">
        <v>2017</v>
      </c>
      <c r="Y359">
        <v>2018</v>
      </c>
      <c r="Z359">
        <v>1849.14</v>
      </c>
      <c r="AB359" t="s">
        <v>181</v>
      </c>
      <c r="AC359" t="s">
        <v>182</v>
      </c>
      <c r="AD359" t="s">
        <v>183</v>
      </c>
      <c r="AE359">
        <v>1</v>
      </c>
      <c r="AF359">
        <v>3</v>
      </c>
      <c r="AG359" t="s">
        <v>257</v>
      </c>
      <c r="AH359">
        <v>75</v>
      </c>
      <c r="AI359">
        <v>1821.16</v>
      </c>
      <c r="AJ359">
        <v>91.06</v>
      </c>
      <c r="AK359">
        <v>1912.22</v>
      </c>
      <c r="AL359">
        <v>150160</v>
      </c>
      <c r="AM359">
        <v>24480</v>
      </c>
      <c r="AN359">
        <v>125680</v>
      </c>
      <c r="AO359">
        <v>1659</v>
      </c>
      <c r="AP359">
        <v>2016</v>
      </c>
      <c r="AQ359">
        <v>1.23</v>
      </c>
      <c r="AR359">
        <v>1.27</v>
      </c>
      <c r="AS359" t="s">
        <v>5430</v>
      </c>
      <c r="AT359" t="s">
        <v>3747</v>
      </c>
      <c r="AU359" t="s">
        <v>177</v>
      </c>
      <c r="AV359" t="s">
        <v>1030</v>
      </c>
      <c r="AW359" t="s">
        <v>202</v>
      </c>
      <c r="AX359">
        <v>1</v>
      </c>
      <c r="AY359" t="s">
        <v>188</v>
      </c>
      <c r="AZ359" t="s">
        <v>206</v>
      </c>
      <c r="BA359" t="s">
        <v>355</v>
      </c>
      <c r="BB359" t="s">
        <v>191</v>
      </c>
      <c r="BC359" t="s">
        <v>182</v>
      </c>
      <c r="BD359" t="s">
        <v>182</v>
      </c>
      <c r="BE359" t="s">
        <v>5431</v>
      </c>
      <c r="BF359">
        <v>2</v>
      </c>
      <c r="BG359">
        <v>2</v>
      </c>
      <c r="BH359">
        <v>1960</v>
      </c>
      <c r="BI359" t="s">
        <v>5432</v>
      </c>
      <c r="BJ359" t="s">
        <v>194</v>
      </c>
      <c r="BK359" t="s">
        <v>195</v>
      </c>
      <c r="BL359" t="s">
        <v>5433</v>
      </c>
      <c r="BM359" t="s">
        <v>207</v>
      </c>
      <c r="BN359" t="s">
        <v>182</v>
      </c>
      <c r="BO359" t="s">
        <v>5434</v>
      </c>
      <c r="BP359" t="s">
        <v>5435</v>
      </c>
      <c r="BS359" t="s">
        <v>5436</v>
      </c>
      <c r="BT359" t="s">
        <v>198</v>
      </c>
      <c r="BU359" t="s">
        <v>182</v>
      </c>
      <c r="BV359" t="s">
        <v>198</v>
      </c>
      <c r="BW359" t="s">
        <v>198</v>
      </c>
      <c r="BX359" t="s">
        <v>199</v>
      </c>
      <c r="BY359" t="s">
        <v>198</v>
      </c>
      <c r="BZ359" t="s">
        <v>199</v>
      </c>
      <c r="CA359" t="s">
        <v>199</v>
      </c>
      <c r="CB359" t="s">
        <v>5437</v>
      </c>
      <c r="CC359" t="s">
        <v>201</v>
      </c>
      <c r="CD359" t="s">
        <v>182</v>
      </c>
      <c r="CE359" t="s">
        <v>5438</v>
      </c>
      <c r="CF359" t="s">
        <v>1029</v>
      </c>
      <c r="CG359" t="s">
        <v>177</v>
      </c>
      <c r="CH359" t="s">
        <v>1030</v>
      </c>
      <c r="CI359" t="s">
        <v>5439</v>
      </c>
      <c r="CJ359" t="s">
        <v>3872</v>
      </c>
      <c r="CK359" t="s">
        <v>232</v>
      </c>
      <c r="CL359" t="s">
        <v>233</v>
      </c>
      <c r="CM359" t="s">
        <v>5440</v>
      </c>
      <c r="CN359" t="s">
        <v>235</v>
      </c>
      <c r="CO359" t="s">
        <v>183</v>
      </c>
      <c r="CP359" t="s">
        <v>266</v>
      </c>
      <c r="CS359" t="s">
        <v>198</v>
      </c>
      <c r="CT359" t="s">
        <v>5441</v>
      </c>
      <c r="CU359" t="s">
        <v>292</v>
      </c>
      <c r="CV359" t="s">
        <v>293</v>
      </c>
      <c r="CW359" t="s">
        <v>5442</v>
      </c>
      <c r="CX359" t="s">
        <v>235</v>
      </c>
      <c r="CY359" t="s">
        <v>183</v>
      </c>
      <c r="CZ359" t="s">
        <v>211</v>
      </c>
      <c r="DA359" t="s">
        <v>337</v>
      </c>
      <c r="DC359" t="s">
        <v>5443</v>
      </c>
      <c r="DD359" t="s">
        <v>5169</v>
      </c>
      <c r="DE359" t="s">
        <v>267</v>
      </c>
      <c r="DF359" t="s">
        <v>268</v>
      </c>
      <c r="DG359" t="s">
        <v>5444</v>
      </c>
      <c r="DH359" t="s">
        <v>235</v>
      </c>
      <c r="DI359" t="s">
        <v>183</v>
      </c>
      <c r="DJ359" t="s">
        <v>211</v>
      </c>
      <c r="DK359" t="s">
        <v>306</v>
      </c>
      <c r="DM359" t="s">
        <v>4688</v>
      </c>
      <c r="DN359" t="s">
        <v>5343</v>
      </c>
      <c r="DO359" t="s">
        <v>273</v>
      </c>
      <c r="DP359" t="s">
        <v>274</v>
      </c>
      <c r="DQ359" t="s">
        <v>5445</v>
      </c>
      <c r="DR359" t="s">
        <v>235</v>
      </c>
      <c r="DS359" t="s">
        <v>183</v>
      </c>
      <c r="DT359" t="s">
        <v>211</v>
      </c>
      <c r="DU359" t="s">
        <v>342</v>
      </c>
      <c r="DW359" t="s">
        <v>2598</v>
      </c>
      <c r="EG359" t="s">
        <v>198</v>
      </c>
      <c r="EQ359" t="s">
        <v>198</v>
      </c>
      <c r="FA359" t="s">
        <v>198</v>
      </c>
      <c r="FK359" t="s">
        <v>198</v>
      </c>
      <c r="FU359" t="s">
        <v>198</v>
      </c>
    </row>
    <row r="360" spans="1:177">
      <c r="A360" s="1" t="str">
        <f>HYPERLINK("http://digipan.lumentumllc.com/apps/getLink/index.php?t=PropLink&amp;p=41029862","PL")</f>
        <v>PL</v>
      </c>
      <c r="B360" s="1" t="str">
        <f>HYPERLINK("http://digipan.lumentumllc.com/apps/getLink/index.php?t=TaxLink&amp;p=41029862","TL")</f>
        <v>TL</v>
      </c>
      <c r="C360" s="1" t="str">
        <f>HYPERLINK("","")</f>
        <v/>
      </c>
      <c r="E360" t="s">
        <v>177</v>
      </c>
      <c r="F360" t="s">
        <v>178</v>
      </c>
      <c r="L360" t="s">
        <v>5446</v>
      </c>
      <c r="N360" t="s">
        <v>5446</v>
      </c>
      <c r="O360" t="s">
        <v>5446</v>
      </c>
      <c r="Q360" t="s">
        <v>5446</v>
      </c>
      <c r="V360">
        <v>419</v>
      </c>
      <c r="W360">
        <v>2</v>
      </c>
      <c r="X360">
        <v>2017</v>
      </c>
      <c r="Y360">
        <v>2018</v>
      </c>
      <c r="Z360">
        <v>41.79</v>
      </c>
      <c r="AG360" t="s">
        <v>184</v>
      </c>
      <c r="AH360">
        <v>0</v>
      </c>
      <c r="AK360">
        <v>0</v>
      </c>
      <c r="AL360">
        <v>598</v>
      </c>
      <c r="AM360">
        <v>598</v>
      </c>
      <c r="AN360">
        <v>0</v>
      </c>
      <c r="AQ360">
        <v>6.99</v>
      </c>
      <c r="AS360" t="s">
        <v>1718</v>
      </c>
      <c r="AT360" t="s">
        <v>3747</v>
      </c>
      <c r="AU360" t="s">
        <v>177</v>
      </c>
      <c r="AV360" t="s">
        <v>1030</v>
      </c>
      <c r="AW360" t="s">
        <v>182</v>
      </c>
      <c r="AX360">
        <v>0</v>
      </c>
      <c r="AY360" t="s">
        <v>312</v>
      </c>
      <c r="AZ360" t="s">
        <v>199</v>
      </c>
      <c r="BA360" t="s">
        <v>313</v>
      </c>
      <c r="BB360" t="s">
        <v>191</v>
      </c>
      <c r="BC360" t="s">
        <v>202</v>
      </c>
      <c r="BD360" t="s">
        <v>182</v>
      </c>
      <c r="BE360" t="s">
        <v>3930</v>
      </c>
      <c r="BI360" t="s">
        <v>199</v>
      </c>
      <c r="BN360" t="s">
        <v>182</v>
      </c>
      <c r="BO360" t="s">
        <v>198</v>
      </c>
      <c r="BP360" t="s">
        <v>198</v>
      </c>
      <c r="BQ360" t="s">
        <v>198</v>
      </c>
      <c r="BR360" t="s">
        <v>198</v>
      </c>
      <c r="BS360" t="s">
        <v>198</v>
      </c>
      <c r="BT360" t="s">
        <v>198</v>
      </c>
      <c r="BU360" t="s">
        <v>182</v>
      </c>
      <c r="BV360" t="s">
        <v>198</v>
      </c>
      <c r="BW360" t="s">
        <v>198</v>
      </c>
      <c r="BX360" t="s">
        <v>199</v>
      </c>
      <c r="BY360" t="s">
        <v>198</v>
      </c>
      <c r="CB360" t="s">
        <v>5447</v>
      </c>
      <c r="CC360" t="s">
        <v>1407</v>
      </c>
      <c r="CD360" t="s">
        <v>182</v>
      </c>
      <c r="CE360" t="s">
        <v>5448</v>
      </c>
      <c r="CF360" t="s">
        <v>5449</v>
      </c>
      <c r="CG360" t="s">
        <v>5450</v>
      </c>
      <c r="CH360" t="s">
        <v>5451</v>
      </c>
      <c r="CI360" t="s">
        <v>5452</v>
      </c>
      <c r="CS360" t="s">
        <v>198</v>
      </c>
      <c r="DC360" t="s">
        <v>198</v>
      </c>
      <c r="DM360" t="s">
        <v>198</v>
      </c>
      <c r="DW360" t="s">
        <v>198</v>
      </c>
      <c r="EG360" t="s">
        <v>198</v>
      </c>
      <c r="EQ360" t="s">
        <v>198</v>
      </c>
      <c r="FA360" t="s">
        <v>198</v>
      </c>
      <c r="FK360" t="s">
        <v>198</v>
      </c>
      <c r="FU360" t="s">
        <v>198</v>
      </c>
    </row>
    <row r="361" spans="1:177">
      <c r="A361" s="1" t="str">
        <f>HYPERLINK("http://digipan.lumentumllc.com/apps/getLink/index.php?t=PropLink&amp;p=6129160","PL")</f>
        <v>PL</v>
      </c>
      <c r="B361" s="1" t="str">
        <f>HYPERLINK("http://digipan.lumentumllc.com/apps/getLink/index.php?t=TaxLink&amp;p=6129160","TL")</f>
        <v>TL</v>
      </c>
      <c r="C361" s="1" t="str">
        <f>HYPERLINK("http://digipan.lumentumllc.com/apps/getMap/index.php?p=6129160","Map")</f>
        <v>Map</v>
      </c>
      <c r="E361" t="s">
        <v>177</v>
      </c>
      <c r="F361" t="s">
        <v>178</v>
      </c>
      <c r="L361" t="s">
        <v>5453</v>
      </c>
      <c r="N361" t="s">
        <v>5453</v>
      </c>
      <c r="O361" t="s">
        <v>5453</v>
      </c>
      <c r="P361" t="s">
        <v>5454</v>
      </c>
      <c r="Q361" t="s">
        <v>5453</v>
      </c>
      <c r="V361">
        <v>420</v>
      </c>
      <c r="W361">
        <v>2</v>
      </c>
      <c r="X361">
        <v>2017</v>
      </c>
      <c r="Y361">
        <v>2018</v>
      </c>
      <c r="Z361">
        <v>3789.93</v>
      </c>
      <c r="AB361" t="s">
        <v>181</v>
      </c>
      <c r="AC361" t="s">
        <v>182</v>
      </c>
      <c r="AD361" t="s">
        <v>183</v>
      </c>
      <c r="AE361">
        <v>1</v>
      </c>
      <c r="AF361">
        <v>3</v>
      </c>
      <c r="AG361" t="s">
        <v>257</v>
      </c>
      <c r="AH361">
        <v>75</v>
      </c>
      <c r="AI361">
        <v>3768.69</v>
      </c>
      <c r="AJ361">
        <v>188.43</v>
      </c>
      <c r="AK361">
        <v>3957.12</v>
      </c>
      <c r="AL361">
        <v>302301</v>
      </c>
      <c r="AM361">
        <v>35200</v>
      </c>
      <c r="AN361">
        <v>267101</v>
      </c>
      <c r="AO361">
        <v>3460</v>
      </c>
      <c r="AP361">
        <v>2016</v>
      </c>
      <c r="AQ361">
        <v>1.25</v>
      </c>
      <c r="AR361">
        <v>1.31</v>
      </c>
      <c r="AS361" t="s">
        <v>5455</v>
      </c>
      <c r="AT361" t="s">
        <v>3747</v>
      </c>
      <c r="AU361" t="s">
        <v>177</v>
      </c>
      <c r="AV361" t="s">
        <v>1030</v>
      </c>
      <c r="AW361" t="s">
        <v>202</v>
      </c>
      <c r="AX361">
        <v>1</v>
      </c>
      <c r="AY361" t="s">
        <v>188</v>
      </c>
      <c r="AZ361" t="s">
        <v>206</v>
      </c>
      <c r="BA361" t="s">
        <v>355</v>
      </c>
      <c r="BB361" t="s">
        <v>191</v>
      </c>
      <c r="BC361" t="s">
        <v>182</v>
      </c>
      <c r="BD361" t="s">
        <v>182</v>
      </c>
      <c r="BE361" t="s">
        <v>5456</v>
      </c>
      <c r="BF361">
        <v>2</v>
      </c>
      <c r="BG361">
        <v>2</v>
      </c>
      <c r="BH361">
        <v>1991</v>
      </c>
      <c r="BI361" t="s">
        <v>5457</v>
      </c>
      <c r="BJ361" t="s">
        <v>194</v>
      </c>
      <c r="BK361" t="s">
        <v>195</v>
      </c>
      <c r="BL361" t="s">
        <v>199</v>
      </c>
      <c r="BM361" t="s">
        <v>286</v>
      </c>
      <c r="BN361" t="s">
        <v>182</v>
      </c>
      <c r="BO361" t="s">
        <v>5458</v>
      </c>
      <c r="BP361" t="s">
        <v>5459</v>
      </c>
      <c r="BQ361" t="s">
        <v>5460</v>
      </c>
      <c r="BS361" t="s">
        <v>5461</v>
      </c>
      <c r="BT361" t="s">
        <v>198</v>
      </c>
      <c r="BU361" t="s">
        <v>182</v>
      </c>
      <c r="BV361" t="s">
        <v>198</v>
      </c>
      <c r="BW361" t="s">
        <v>198</v>
      </c>
      <c r="BX361" t="s">
        <v>199</v>
      </c>
      <c r="BY361" t="s">
        <v>198</v>
      </c>
      <c r="BZ361" t="s">
        <v>199</v>
      </c>
      <c r="CA361" t="s">
        <v>199</v>
      </c>
      <c r="CB361" t="s">
        <v>3771</v>
      </c>
      <c r="CC361" t="s">
        <v>201</v>
      </c>
      <c r="CD361" t="s">
        <v>182</v>
      </c>
      <c r="CE361" t="s">
        <v>5462</v>
      </c>
      <c r="CF361" t="s">
        <v>1029</v>
      </c>
      <c r="CG361" t="s">
        <v>177</v>
      </c>
      <c r="CH361" t="s">
        <v>1030</v>
      </c>
      <c r="CI361" t="s">
        <v>2240</v>
      </c>
      <c r="CJ361" t="s">
        <v>4034</v>
      </c>
      <c r="CK361" t="s">
        <v>232</v>
      </c>
      <c r="CL361" t="s">
        <v>233</v>
      </c>
      <c r="CM361" t="s">
        <v>5463</v>
      </c>
      <c r="CN361" t="s">
        <v>235</v>
      </c>
      <c r="CO361" t="s">
        <v>183</v>
      </c>
      <c r="CP361" t="s">
        <v>266</v>
      </c>
      <c r="CS361" t="s">
        <v>198</v>
      </c>
      <c r="CT361" t="s">
        <v>3763</v>
      </c>
      <c r="CU361" t="s">
        <v>267</v>
      </c>
      <c r="CV361" t="s">
        <v>268</v>
      </c>
      <c r="CW361" t="s">
        <v>5464</v>
      </c>
      <c r="CX361" t="s">
        <v>235</v>
      </c>
      <c r="CY361" t="s">
        <v>183</v>
      </c>
      <c r="CZ361" t="s">
        <v>211</v>
      </c>
      <c r="DA361" t="s">
        <v>250</v>
      </c>
      <c r="DC361" t="s">
        <v>5465</v>
      </c>
      <c r="DD361" t="s">
        <v>5174</v>
      </c>
      <c r="DE361" t="s">
        <v>273</v>
      </c>
      <c r="DF361" t="s">
        <v>274</v>
      </c>
      <c r="DG361" t="s">
        <v>5466</v>
      </c>
      <c r="DH361" t="s">
        <v>235</v>
      </c>
      <c r="DI361" t="s">
        <v>183</v>
      </c>
      <c r="DJ361" t="s">
        <v>211</v>
      </c>
      <c r="DK361" t="s">
        <v>487</v>
      </c>
      <c r="DM361" t="s">
        <v>5465</v>
      </c>
      <c r="DN361" t="s">
        <v>5467</v>
      </c>
      <c r="DO361" t="s">
        <v>238</v>
      </c>
      <c r="DP361" t="s">
        <v>239</v>
      </c>
      <c r="DQ361" t="s">
        <v>5468</v>
      </c>
      <c r="DR361" t="s">
        <v>235</v>
      </c>
      <c r="DS361" t="s">
        <v>183</v>
      </c>
      <c r="DT361" t="s">
        <v>211</v>
      </c>
      <c r="DU361" t="s">
        <v>290</v>
      </c>
      <c r="DW361" t="s">
        <v>5469</v>
      </c>
      <c r="EG361" t="s">
        <v>198</v>
      </c>
      <c r="EQ361" t="s">
        <v>198</v>
      </c>
      <c r="FA361" t="s">
        <v>198</v>
      </c>
      <c r="FK361" t="s">
        <v>198</v>
      </c>
      <c r="FU361" t="s">
        <v>198</v>
      </c>
    </row>
    <row r="362" spans="1:177">
      <c r="A362" s="1" t="str">
        <f>HYPERLINK("http://digipan.lumentumllc.com/apps/getLink/index.php?t=PropLink&amp;p=5247214","PL")</f>
        <v>PL</v>
      </c>
      <c r="B362" s="1" t="str">
        <f>HYPERLINK("http://digipan.lumentumllc.com/apps/getLink/index.php?t=TaxLink&amp;p=5247214","TL")</f>
        <v>TL</v>
      </c>
      <c r="C362" s="1" t="str">
        <f>HYPERLINK("http://digipan.lumentumllc.com/apps/getMap/index.php?p=5247214","Map")</f>
        <v>Map</v>
      </c>
      <c r="E362" t="s">
        <v>177</v>
      </c>
      <c r="F362" t="s">
        <v>178</v>
      </c>
      <c r="L362" t="s">
        <v>5470</v>
      </c>
      <c r="N362" t="s">
        <v>5470</v>
      </c>
      <c r="O362" t="s">
        <v>5470</v>
      </c>
      <c r="P362" t="s">
        <v>5471</v>
      </c>
      <c r="Q362" t="s">
        <v>5470</v>
      </c>
      <c r="V362">
        <v>421</v>
      </c>
      <c r="W362">
        <v>2</v>
      </c>
      <c r="X362">
        <v>2017</v>
      </c>
      <c r="Y362">
        <v>2018</v>
      </c>
      <c r="Z362">
        <v>381.71</v>
      </c>
      <c r="AB362" t="s">
        <v>181</v>
      </c>
      <c r="AC362" t="s">
        <v>182</v>
      </c>
      <c r="AD362" t="s">
        <v>183</v>
      </c>
      <c r="AE362">
        <v>1</v>
      </c>
      <c r="AF362">
        <v>7</v>
      </c>
      <c r="AG362" t="s">
        <v>418</v>
      </c>
      <c r="AH362">
        <v>86</v>
      </c>
      <c r="AI362">
        <v>356.69</v>
      </c>
      <c r="AJ362">
        <v>17.829999999999998</v>
      </c>
      <c r="AK362">
        <v>374.52</v>
      </c>
      <c r="AL362">
        <v>57273</v>
      </c>
      <c r="AM362">
        <v>40000</v>
      </c>
      <c r="AN362">
        <v>17273</v>
      </c>
      <c r="AO362">
        <v>305</v>
      </c>
      <c r="AP362">
        <v>2016</v>
      </c>
      <c r="AQ362">
        <v>0.67</v>
      </c>
      <c r="AR362">
        <v>0.65</v>
      </c>
      <c r="AS362" t="s">
        <v>5472</v>
      </c>
      <c r="AT362" t="s">
        <v>3747</v>
      </c>
      <c r="AU362" t="s">
        <v>177</v>
      </c>
      <c r="AV362" t="s">
        <v>1030</v>
      </c>
      <c r="AW362" t="s">
        <v>202</v>
      </c>
      <c r="AX362">
        <v>2</v>
      </c>
      <c r="AY362" t="s">
        <v>188</v>
      </c>
      <c r="AZ362" t="s">
        <v>189</v>
      </c>
      <c r="BA362" t="s">
        <v>190</v>
      </c>
      <c r="BB362" t="s">
        <v>191</v>
      </c>
      <c r="BC362" t="s">
        <v>182</v>
      </c>
      <c r="BD362" t="s">
        <v>182</v>
      </c>
      <c r="BE362" t="s">
        <v>247</v>
      </c>
      <c r="BF362">
        <v>1</v>
      </c>
      <c r="BG362">
        <v>1</v>
      </c>
      <c r="BH362">
        <v>1988</v>
      </c>
      <c r="BI362" t="s">
        <v>2209</v>
      </c>
      <c r="BJ362" t="s">
        <v>194</v>
      </c>
      <c r="BK362" t="s">
        <v>195</v>
      </c>
      <c r="BL362" t="s">
        <v>199</v>
      </c>
      <c r="BM362" t="s">
        <v>945</v>
      </c>
      <c r="BN362" t="s">
        <v>182</v>
      </c>
      <c r="BO362" t="s">
        <v>198</v>
      </c>
      <c r="BP362" t="s">
        <v>198</v>
      </c>
      <c r="BQ362" t="s">
        <v>198</v>
      </c>
      <c r="BR362" t="s">
        <v>198</v>
      </c>
      <c r="BS362" t="s">
        <v>198</v>
      </c>
      <c r="BT362" t="s">
        <v>198</v>
      </c>
      <c r="BU362" t="s">
        <v>182</v>
      </c>
      <c r="BV362" t="s">
        <v>198</v>
      </c>
      <c r="BW362" t="s">
        <v>198</v>
      </c>
      <c r="BX362" t="s">
        <v>199</v>
      </c>
      <c r="BY362" t="s">
        <v>198</v>
      </c>
      <c r="BZ362" t="s">
        <v>199</v>
      </c>
      <c r="CA362" t="s">
        <v>199</v>
      </c>
      <c r="CB362" t="s">
        <v>5473</v>
      </c>
      <c r="CC362" t="s">
        <v>201</v>
      </c>
      <c r="CD362" t="s">
        <v>182</v>
      </c>
      <c r="CE362" t="s">
        <v>5474</v>
      </c>
      <c r="CF362" t="s">
        <v>1029</v>
      </c>
      <c r="CG362" t="s">
        <v>177</v>
      </c>
      <c r="CH362" t="s">
        <v>1030</v>
      </c>
      <c r="CI362" t="s">
        <v>5475</v>
      </c>
      <c r="CJ362" t="s">
        <v>5476</v>
      </c>
      <c r="CK362" t="s">
        <v>232</v>
      </c>
      <c r="CL362" t="s">
        <v>233</v>
      </c>
      <c r="CM362" t="s">
        <v>5477</v>
      </c>
      <c r="CN362" t="s">
        <v>235</v>
      </c>
      <c r="CO362" t="s">
        <v>183</v>
      </c>
      <c r="CP362" t="s">
        <v>266</v>
      </c>
      <c r="CS362" t="s">
        <v>198</v>
      </c>
      <c r="CT362" t="s">
        <v>5478</v>
      </c>
      <c r="CU362" t="s">
        <v>292</v>
      </c>
      <c r="CV362" t="s">
        <v>293</v>
      </c>
      <c r="CW362" t="s">
        <v>5479</v>
      </c>
      <c r="CX362" t="s">
        <v>235</v>
      </c>
      <c r="CY362" t="s">
        <v>183</v>
      </c>
      <c r="CZ362" t="s">
        <v>211</v>
      </c>
      <c r="DA362" t="s">
        <v>345</v>
      </c>
      <c r="DC362" t="s">
        <v>5480</v>
      </c>
      <c r="DD362" t="s">
        <v>5231</v>
      </c>
      <c r="DE362" t="s">
        <v>267</v>
      </c>
      <c r="DF362" t="s">
        <v>268</v>
      </c>
      <c r="DG362" t="s">
        <v>5481</v>
      </c>
      <c r="DH362" t="s">
        <v>235</v>
      </c>
      <c r="DI362" t="s">
        <v>183</v>
      </c>
      <c r="DJ362" t="s">
        <v>211</v>
      </c>
      <c r="DK362" t="s">
        <v>334</v>
      </c>
      <c r="DM362" t="s">
        <v>5482</v>
      </c>
      <c r="DN362" t="s">
        <v>5200</v>
      </c>
      <c r="DO362" t="s">
        <v>273</v>
      </c>
      <c r="DP362" t="s">
        <v>274</v>
      </c>
      <c r="DQ362" t="s">
        <v>5483</v>
      </c>
      <c r="DR362" t="s">
        <v>514</v>
      </c>
      <c r="DS362" t="s">
        <v>183</v>
      </c>
      <c r="DT362" t="s">
        <v>211</v>
      </c>
      <c r="DU362" t="s">
        <v>298</v>
      </c>
      <c r="DW362" t="s">
        <v>5484</v>
      </c>
      <c r="DX362" t="s">
        <v>4461</v>
      </c>
      <c r="DY362" t="s">
        <v>302</v>
      </c>
      <c r="DZ362" t="s">
        <v>303</v>
      </c>
      <c r="EA362" t="s">
        <v>5485</v>
      </c>
      <c r="EB362" t="s">
        <v>796</v>
      </c>
      <c r="EC362" t="s">
        <v>183</v>
      </c>
      <c r="ED362" t="s">
        <v>211</v>
      </c>
      <c r="EE362" t="s">
        <v>298</v>
      </c>
      <c r="EG362" t="s">
        <v>4379</v>
      </c>
      <c r="EH362" t="s">
        <v>5486</v>
      </c>
      <c r="EI362" t="s">
        <v>238</v>
      </c>
      <c r="EJ362" t="s">
        <v>239</v>
      </c>
      <c r="EK362" t="s">
        <v>5487</v>
      </c>
      <c r="EL362" t="s">
        <v>278</v>
      </c>
      <c r="EM362" t="s">
        <v>183</v>
      </c>
      <c r="EN362" t="s">
        <v>211</v>
      </c>
      <c r="EO362" t="s">
        <v>298</v>
      </c>
      <c r="EQ362" t="s">
        <v>1619</v>
      </c>
      <c r="ER362" t="s">
        <v>5488</v>
      </c>
      <c r="ES362" t="s">
        <v>346</v>
      </c>
      <c r="ET362" t="s">
        <v>347</v>
      </c>
      <c r="EU362" t="s">
        <v>5489</v>
      </c>
      <c r="EV362" t="s">
        <v>1551</v>
      </c>
      <c r="EW362" t="s">
        <v>183</v>
      </c>
      <c r="EX362" t="s">
        <v>211</v>
      </c>
      <c r="EY362" t="s">
        <v>298</v>
      </c>
      <c r="FA362" t="s">
        <v>3166</v>
      </c>
      <c r="FB362" t="s">
        <v>5490</v>
      </c>
      <c r="FC362" t="s">
        <v>207</v>
      </c>
      <c r="FD362" t="s">
        <v>208</v>
      </c>
      <c r="FE362" t="s">
        <v>5491</v>
      </c>
      <c r="FF362" t="s">
        <v>576</v>
      </c>
      <c r="FG362" t="s">
        <v>183</v>
      </c>
      <c r="FH362" t="s">
        <v>211</v>
      </c>
      <c r="FI362" t="s">
        <v>298</v>
      </c>
      <c r="FK362" t="s">
        <v>5492</v>
      </c>
      <c r="FU362" t="s">
        <v>198</v>
      </c>
    </row>
    <row r="363" spans="1:177">
      <c r="A363" s="1" t="str">
        <f>HYPERLINK("http://digipan.lumentumllc.com/apps/getLink/index.php?t=PropLink&amp;p=15754615","PL")</f>
        <v>PL</v>
      </c>
      <c r="B363" s="1" t="str">
        <f>HYPERLINK("http://digipan.lumentumllc.com/apps/getLink/index.php?t=TaxLink&amp;p=15754615","TL")</f>
        <v>TL</v>
      </c>
      <c r="C363" s="1" t="str">
        <f>HYPERLINK("http://digipan.lumentumllc.com/apps/getMap/index.php?p=15754615","Map")</f>
        <v>Map</v>
      </c>
      <c r="E363" t="s">
        <v>177</v>
      </c>
      <c r="F363" t="s">
        <v>178</v>
      </c>
      <c r="L363" t="s">
        <v>5493</v>
      </c>
      <c r="N363" t="s">
        <v>5493</v>
      </c>
      <c r="O363" t="s">
        <v>5493</v>
      </c>
      <c r="Q363" t="s">
        <v>5493</v>
      </c>
      <c r="V363">
        <v>422</v>
      </c>
      <c r="W363">
        <v>2</v>
      </c>
      <c r="X363">
        <v>2017</v>
      </c>
      <c r="Y363">
        <v>2018</v>
      </c>
      <c r="Z363">
        <v>470.13</v>
      </c>
      <c r="AG363" t="s">
        <v>184</v>
      </c>
      <c r="AH363">
        <v>0</v>
      </c>
      <c r="AK363">
        <v>0</v>
      </c>
      <c r="AL363">
        <v>26760</v>
      </c>
      <c r="AM363">
        <v>26760</v>
      </c>
      <c r="AN363">
        <v>0</v>
      </c>
      <c r="AO363">
        <v>411</v>
      </c>
      <c r="AP363">
        <v>2016</v>
      </c>
      <c r="AQ363">
        <v>1.76</v>
      </c>
      <c r="AS363" t="s">
        <v>5494</v>
      </c>
      <c r="AT363" t="s">
        <v>3747</v>
      </c>
      <c r="AU363" t="s">
        <v>177</v>
      </c>
      <c r="AV363" t="s">
        <v>1030</v>
      </c>
      <c r="AW363" t="s">
        <v>182</v>
      </c>
      <c r="AX363">
        <v>0</v>
      </c>
      <c r="AY363" t="s">
        <v>312</v>
      </c>
      <c r="AZ363" t="s">
        <v>199</v>
      </c>
      <c r="BA363" t="s">
        <v>313</v>
      </c>
      <c r="BB363" t="s">
        <v>191</v>
      </c>
      <c r="BC363" t="s">
        <v>182</v>
      </c>
      <c r="BD363" t="s">
        <v>182</v>
      </c>
      <c r="BE363" t="s">
        <v>5495</v>
      </c>
      <c r="BF363">
        <v>0</v>
      </c>
      <c r="BG363">
        <v>0</v>
      </c>
      <c r="BH363">
        <v>0</v>
      </c>
      <c r="BI363" t="s">
        <v>199</v>
      </c>
      <c r="BJ363" t="s">
        <v>315</v>
      </c>
      <c r="BL363" t="s">
        <v>199</v>
      </c>
      <c r="BM363" t="s">
        <v>410</v>
      </c>
      <c r="BN363" t="s">
        <v>182</v>
      </c>
      <c r="BO363" t="s">
        <v>198</v>
      </c>
      <c r="BP363" t="s">
        <v>198</v>
      </c>
      <c r="BQ363" t="s">
        <v>198</v>
      </c>
      <c r="BR363" t="s">
        <v>198</v>
      </c>
      <c r="BS363" t="s">
        <v>198</v>
      </c>
      <c r="BT363" t="s">
        <v>198</v>
      </c>
      <c r="BU363" t="s">
        <v>182</v>
      </c>
      <c r="BV363" t="s">
        <v>198</v>
      </c>
      <c r="BW363" t="s">
        <v>198</v>
      </c>
      <c r="BX363" t="s">
        <v>199</v>
      </c>
      <c r="BY363" t="s">
        <v>198</v>
      </c>
      <c r="BZ363" t="s">
        <v>199</v>
      </c>
      <c r="CA363" t="s">
        <v>199</v>
      </c>
      <c r="CB363" t="s">
        <v>5496</v>
      </c>
      <c r="CC363" t="s">
        <v>201</v>
      </c>
      <c r="CD363" t="s">
        <v>182</v>
      </c>
      <c r="CE363" t="s">
        <v>5497</v>
      </c>
      <c r="CF363" t="s">
        <v>413</v>
      </c>
      <c r="CG363" t="s">
        <v>177</v>
      </c>
      <c r="CH363" t="s">
        <v>1289</v>
      </c>
      <c r="CI363" t="s">
        <v>5498</v>
      </c>
      <c r="CS363" t="s">
        <v>198</v>
      </c>
      <c r="DC363" t="s">
        <v>198</v>
      </c>
      <c r="DM363" t="s">
        <v>198</v>
      </c>
      <c r="DW363" t="s">
        <v>198</v>
      </c>
      <c r="EG363" t="s">
        <v>198</v>
      </c>
      <c r="EQ363" t="s">
        <v>198</v>
      </c>
      <c r="FA363" t="s">
        <v>198</v>
      </c>
      <c r="FK363" t="s">
        <v>198</v>
      </c>
      <c r="FU363" t="s">
        <v>198</v>
      </c>
    </row>
    <row r="364" spans="1:177">
      <c r="A364" s="1" t="str">
        <f>HYPERLINK("http://digipan.lumentumllc.com/apps/getLink/index.php?t=PropLink&amp;p=6129431","PL")</f>
        <v>PL</v>
      </c>
      <c r="B364" s="1" t="str">
        <f>HYPERLINK("http://digipan.lumentumllc.com/apps/getLink/index.php?t=TaxLink&amp;p=6129431","TL")</f>
        <v>TL</v>
      </c>
      <c r="C364" s="1" t="str">
        <f>HYPERLINK("http://digipan.lumentumllc.com/apps/getMap/index.php?p=6129431","Map")</f>
        <v>Map</v>
      </c>
      <c r="E364" t="s">
        <v>177</v>
      </c>
      <c r="F364" t="s">
        <v>178</v>
      </c>
      <c r="L364" t="s">
        <v>5499</v>
      </c>
      <c r="N364" t="s">
        <v>5499</v>
      </c>
      <c r="O364" t="s">
        <v>5499</v>
      </c>
      <c r="P364" t="s">
        <v>5500</v>
      </c>
      <c r="Q364" t="s">
        <v>5499</v>
      </c>
      <c r="V364">
        <v>423</v>
      </c>
      <c r="W364">
        <v>2</v>
      </c>
      <c r="X364">
        <v>2017</v>
      </c>
      <c r="Y364">
        <v>2018</v>
      </c>
      <c r="Z364">
        <v>1199.17</v>
      </c>
      <c r="AB364" t="s">
        <v>181</v>
      </c>
      <c r="AC364" t="s">
        <v>182</v>
      </c>
      <c r="AD364" t="s">
        <v>183</v>
      </c>
      <c r="AE364">
        <v>0</v>
      </c>
      <c r="AF364">
        <v>1</v>
      </c>
      <c r="AG364" t="s">
        <v>821</v>
      </c>
      <c r="AH364">
        <v>100</v>
      </c>
      <c r="AK364">
        <v>0</v>
      </c>
      <c r="AL364">
        <v>74366</v>
      </c>
      <c r="AM364">
        <v>29250</v>
      </c>
      <c r="AN364">
        <v>45116</v>
      </c>
      <c r="AO364">
        <v>962</v>
      </c>
      <c r="AP364">
        <v>2016</v>
      </c>
      <c r="AQ364">
        <v>1.61</v>
      </c>
      <c r="AS364" t="s">
        <v>5501</v>
      </c>
      <c r="AT364" t="s">
        <v>3747</v>
      </c>
      <c r="AU364" t="s">
        <v>177</v>
      </c>
      <c r="AV364" t="s">
        <v>1030</v>
      </c>
      <c r="AW364" t="s">
        <v>182</v>
      </c>
      <c r="AX364">
        <v>1</v>
      </c>
      <c r="AY364" t="s">
        <v>188</v>
      </c>
      <c r="AZ364" t="s">
        <v>206</v>
      </c>
      <c r="BA364" t="s">
        <v>355</v>
      </c>
      <c r="BB364" t="s">
        <v>191</v>
      </c>
      <c r="BC364" t="s">
        <v>182</v>
      </c>
      <c r="BD364" t="s">
        <v>182</v>
      </c>
      <c r="BE364" t="s">
        <v>5502</v>
      </c>
      <c r="BF364">
        <v>2</v>
      </c>
      <c r="BG364">
        <v>2</v>
      </c>
      <c r="BH364">
        <v>1952</v>
      </c>
      <c r="BI364" t="s">
        <v>5503</v>
      </c>
      <c r="BJ364" t="s">
        <v>194</v>
      </c>
      <c r="BK364" t="s">
        <v>195</v>
      </c>
      <c r="BL364" t="s">
        <v>5504</v>
      </c>
      <c r="BM364" t="s">
        <v>207</v>
      </c>
      <c r="BN364" t="s">
        <v>182</v>
      </c>
      <c r="BO364" t="s">
        <v>5505</v>
      </c>
      <c r="BP364" t="s">
        <v>5506</v>
      </c>
      <c r="BS364" t="s">
        <v>5507</v>
      </c>
      <c r="BT364" t="s">
        <v>198</v>
      </c>
      <c r="BU364" t="s">
        <v>182</v>
      </c>
      <c r="BV364" t="s">
        <v>198</v>
      </c>
      <c r="BW364" t="s">
        <v>198</v>
      </c>
      <c r="BX364" t="s">
        <v>199</v>
      </c>
      <c r="BY364" t="s">
        <v>198</v>
      </c>
      <c r="BZ364" t="s">
        <v>199</v>
      </c>
      <c r="CA364" t="s">
        <v>199</v>
      </c>
      <c r="CB364" t="s">
        <v>5508</v>
      </c>
      <c r="CC364" t="s">
        <v>201</v>
      </c>
      <c r="CD364" t="s">
        <v>182</v>
      </c>
      <c r="CE364" t="s">
        <v>5509</v>
      </c>
      <c r="CF364" t="s">
        <v>1029</v>
      </c>
      <c r="CG364" t="s">
        <v>177</v>
      </c>
      <c r="CH364" t="s">
        <v>1030</v>
      </c>
      <c r="CI364" t="s">
        <v>5510</v>
      </c>
      <c r="CJ364" t="s">
        <v>5235</v>
      </c>
      <c r="CK364" t="s">
        <v>232</v>
      </c>
      <c r="CL364" t="s">
        <v>233</v>
      </c>
      <c r="CM364" t="s">
        <v>5511</v>
      </c>
      <c r="CN364" t="s">
        <v>235</v>
      </c>
      <c r="CO364" t="s">
        <v>183</v>
      </c>
      <c r="CP364" t="s">
        <v>211</v>
      </c>
      <c r="CQ364" t="s">
        <v>206</v>
      </c>
      <c r="CS364" t="s">
        <v>5512</v>
      </c>
      <c r="DC364" t="s">
        <v>198</v>
      </c>
      <c r="DM364" t="s">
        <v>198</v>
      </c>
      <c r="DW364" t="s">
        <v>198</v>
      </c>
      <c r="EG364" t="s">
        <v>198</v>
      </c>
      <c r="EQ364" t="s">
        <v>198</v>
      </c>
      <c r="FA364" t="s">
        <v>198</v>
      </c>
      <c r="FK364" t="s">
        <v>198</v>
      </c>
      <c r="FU364" t="s">
        <v>198</v>
      </c>
    </row>
    <row r="365" spans="1:177">
      <c r="A365" s="1" t="str">
        <f>HYPERLINK("http://digipan.lumentumllc.com/apps/getLink/index.php?t=PropLink&amp;p=5247546","PL")</f>
        <v>PL</v>
      </c>
      <c r="B365" s="1" t="str">
        <f>HYPERLINK("http://digipan.lumentumllc.com/apps/getLink/index.php?t=TaxLink&amp;p=5247546","TL")</f>
        <v>TL</v>
      </c>
      <c r="C365" s="1" t="str">
        <f>HYPERLINK("http://digipan.lumentumllc.com/apps/getMap/index.php?p=5247546","Map")</f>
        <v>Map</v>
      </c>
      <c r="E365" t="s">
        <v>177</v>
      </c>
      <c r="F365" t="s">
        <v>178</v>
      </c>
      <c r="L365" t="s">
        <v>5513</v>
      </c>
      <c r="N365" t="s">
        <v>5513</v>
      </c>
      <c r="O365" t="s">
        <v>5513</v>
      </c>
      <c r="P365" t="s">
        <v>5514</v>
      </c>
      <c r="Q365" t="s">
        <v>5513</v>
      </c>
      <c r="V365">
        <v>424</v>
      </c>
      <c r="W365">
        <v>2</v>
      </c>
      <c r="X365">
        <v>2017</v>
      </c>
      <c r="Y365">
        <v>2018</v>
      </c>
      <c r="Z365">
        <v>1428.27</v>
      </c>
      <c r="AB365" t="s">
        <v>181</v>
      </c>
      <c r="AC365" t="s">
        <v>182</v>
      </c>
      <c r="AD365" t="s">
        <v>183</v>
      </c>
      <c r="AE365">
        <v>0</v>
      </c>
      <c r="AF365">
        <v>8</v>
      </c>
      <c r="AG365" t="s">
        <v>1059</v>
      </c>
      <c r="AH365">
        <v>100</v>
      </c>
      <c r="AK365">
        <v>0</v>
      </c>
      <c r="AL365">
        <v>93012</v>
      </c>
      <c r="AM365">
        <v>26466</v>
      </c>
      <c r="AN365">
        <v>66546</v>
      </c>
      <c r="AO365">
        <v>1107</v>
      </c>
      <c r="AP365">
        <v>2016</v>
      </c>
      <c r="AQ365">
        <v>1.54</v>
      </c>
      <c r="AS365" t="s">
        <v>5515</v>
      </c>
      <c r="AT365" t="s">
        <v>3747</v>
      </c>
      <c r="AU365" t="s">
        <v>177</v>
      </c>
      <c r="AV365" t="s">
        <v>1030</v>
      </c>
      <c r="AW365" t="s">
        <v>182</v>
      </c>
      <c r="AX365">
        <v>2</v>
      </c>
      <c r="AY365" t="s">
        <v>188</v>
      </c>
      <c r="AZ365" t="s">
        <v>189</v>
      </c>
      <c r="BA365" t="s">
        <v>190</v>
      </c>
      <c r="BB365" t="s">
        <v>191</v>
      </c>
      <c r="BC365" t="s">
        <v>182</v>
      </c>
      <c r="BD365" t="s">
        <v>182</v>
      </c>
      <c r="BE365" t="s">
        <v>5516</v>
      </c>
      <c r="BF365">
        <v>1</v>
      </c>
      <c r="BG365">
        <v>1</v>
      </c>
      <c r="BH365">
        <v>2001</v>
      </c>
      <c r="BI365" t="s">
        <v>883</v>
      </c>
      <c r="BJ365" t="s">
        <v>194</v>
      </c>
      <c r="BK365" t="s">
        <v>195</v>
      </c>
      <c r="BL365" t="s">
        <v>199</v>
      </c>
      <c r="BM365" t="s">
        <v>368</v>
      </c>
      <c r="BN365" t="s">
        <v>182</v>
      </c>
      <c r="BO365" t="s">
        <v>198</v>
      </c>
      <c r="BP365" t="s">
        <v>198</v>
      </c>
      <c r="BQ365" t="s">
        <v>198</v>
      </c>
      <c r="BR365" t="s">
        <v>198</v>
      </c>
      <c r="BS365" t="s">
        <v>198</v>
      </c>
      <c r="BT365" t="s">
        <v>198</v>
      </c>
      <c r="BU365" t="s">
        <v>182</v>
      </c>
      <c r="BV365" t="s">
        <v>198</v>
      </c>
      <c r="BW365" t="s">
        <v>198</v>
      </c>
      <c r="BX365" t="s">
        <v>199</v>
      </c>
      <c r="BY365" t="s">
        <v>198</v>
      </c>
      <c r="BZ365" t="s">
        <v>199</v>
      </c>
      <c r="CA365" t="s">
        <v>199</v>
      </c>
      <c r="CB365" t="s">
        <v>5517</v>
      </c>
      <c r="CC365" t="s">
        <v>201</v>
      </c>
      <c r="CD365" t="s">
        <v>202</v>
      </c>
      <c r="CE365" t="s">
        <v>5518</v>
      </c>
      <c r="CF365" t="s">
        <v>5519</v>
      </c>
      <c r="CG365" t="s">
        <v>5520</v>
      </c>
      <c r="CH365" t="s">
        <v>5521</v>
      </c>
      <c r="CI365" t="s">
        <v>5522</v>
      </c>
      <c r="CJ365" t="s">
        <v>3926</v>
      </c>
      <c r="CK365" t="s">
        <v>232</v>
      </c>
      <c r="CL365" t="s">
        <v>233</v>
      </c>
      <c r="CM365" t="s">
        <v>5523</v>
      </c>
      <c r="CN365" t="s">
        <v>235</v>
      </c>
      <c r="CO365" t="s">
        <v>183</v>
      </c>
      <c r="CP365" t="s">
        <v>211</v>
      </c>
      <c r="CQ365" t="s">
        <v>342</v>
      </c>
      <c r="CS365" t="s">
        <v>1264</v>
      </c>
      <c r="CT365" t="s">
        <v>5024</v>
      </c>
      <c r="CU365" t="s">
        <v>292</v>
      </c>
      <c r="CV365" t="s">
        <v>293</v>
      </c>
      <c r="CW365" t="s">
        <v>5524</v>
      </c>
      <c r="CX365" t="s">
        <v>235</v>
      </c>
      <c r="CY365" t="s">
        <v>183</v>
      </c>
      <c r="CZ365" t="s">
        <v>211</v>
      </c>
      <c r="DA365" t="s">
        <v>345</v>
      </c>
      <c r="DC365" t="s">
        <v>1264</v>
      </c>
      <c r="DD365" t="s">
        <v>5525</v>
      </c>
      <c r="DE365" t="s">
        <v>267</v>
      </c>
      <c r="DF365" t="s">
        <v>268</v>
      </c>
      <c r="DG365" t="s">
        <v>5526</v>
      </c>
      <c r="DH365" t="s">
        <v>235</v>
      </c>
      <c r="DI365" t="s">
        <v>183</v>
      </c>
      <c r="DJ365" t="s">
        <v>211</v>
      </c>
      <c r="DK365" t="s">
        <v>329</v>
      </c>
      <c r="DM365" t="s">
        <v>1432</v>
      </c>
      <c r="DN365" t="s">
        <v>3872</v>
      </c>
      <c r="DO365" t="s">
        <v>273</v>
      </c>
      <c r="DP365" t="s">
        <v>274</v>
      </c>
      <c r="DQ365" t="s">
        <v>5527</v>
      </c>
      <c r="DR365" t="s">
        <v>235</v>
      </c>
      <c r="DS365" t="s">
        <v>183</v>
      </c>
      <c r="DT365" t="s">
        <v>211</v>
      </c>
      <c r="DU365" t="s">
        <v>298</v>
      </c>
      <c r="DW365" t="s">
        <v>1432</v>
      </c>
      <c r="DX365" t="s">
        <v>5528</v>
      </c>
      <c r="DY365" t="s">
        <v>302</v>
      </c>
      <c r="DZ365" t="s">
        <v>303</v>
      </c>
      <c r="EA365" t="s">
        <v>5529</v>
      </c>
      <c r="EB365" t="s">
        <v>235</v>
      </c>
      <c r="EC365" t="s">
        <v>183</v>
      </c>
      <c r="ED365" t="s">
        <v>211</v>
      </c>
      <c r="EE365" t="s">
        <v>298</v>
      </c>
      <c r="EG365" t="s">
        <v>1616</v>
      </c>
      <c r="EH365" t="s">
        <v>5530</v>
      </c>
      <c r="EI365" t="s">
        <v>238</v>
      </c>
      <c r="EJ365" t="s">
        <v>239</v>
      </c>
      <c r="EK365" t="s">
        <v>5531</v>
      </c>
      <c r="EL365" t="s">
        <v>235</v>
      </c>
      <c r="EM365" t="s">
        <v>183</v>
      </c>
      <c r="EN365" t="s">
        <v>211</v>
      </c>
      <c r="EO365" t="s">
        <v>345</v>
      </c>
      <c r="EQ365" t="s">
        <v>2435</v>
      </c>
      <c r="ER365" t="s">
        <v>5532</v>
      </c>
      <c r="ES365" t="s">
        <v>346</v>
      </c>
      <c r="ET365" t="s">
        <v>347</v>
      </c>
      <c r="EU365" t="s">
        <v>5533</v>
      </c>
      <c r="EV365" t="s">
        <v>391</v>
      </c>
      <c r="EW365" t="s">
        <v>183</v>
      </c>
      <c r="EX365" t="s">
        <v>211</v>
      </c>
      <c r="EY365" t="s">
        <v>337</v>
      </c>
      <c r="FA365" t="s">
        <v>1352</v>
      </c>
      <c r="FB365" t="s">
        <v>5534</v>
      </c>
      <c r="FC365" t="s">
        <v>207</v>
      </c>
      <c r="FD365" t="s">
        <v>208</v>
      </c>
      <c r="FE365" t="s">
        <v>5535</v>
      </c>
      <c r="FF365" t="s">
        <v>1676</v>
      </c>
      <c r="FG365" t="s">
        <v>183</v>
      </c>
      <c r="FH365" t="s">
        <v>211</v>
      </c>
      <c r="FI365" t="s">
        <v>345</v>
      </c>
      <c r="FK365" t="s">
        <v>2516</v>
      </c>
      <c r="FU365" t="s">
        <v>198</v>
      </c>
    </row>
    <row r="366" spans="1:177">
      <c r="A366" s="1" t="str">
        <f>HYPERLINK("http://digipan.lumentumllc.com/apps/getLink/index.php?t=PropLink&amp;p=6594121","PL")</f>
        <v>PL</v>
      </c>
      <c r="B366" s="1" t="str">
        <f>HYPERLINK("http://digipan.lumentumllc.com/apps/getLink/index.php?t=TaxLink&amp;p=6594121","TL")</f>
        <v>TL</v>
      </c>
      <c r="C366" s="1" t="str">
        <f>HYPERLINK("http://digipan.lumentumllc.com/apps/getMap/index.php?p=6594121","Map")</f>
        <v>Map</v>
      </c>
      <c r="E366" t="s">
        <v>177</v>
      </c>
      <c r="F366" t="s">
        <v>178</v>
      </c>
      <c r="L366" t="s">
        <v>5536</v>
      </c>
      <c r="N366" t="s">
        <v>5536</v>
      </c>
      <c r="O366" t="s">
        <v>5536</v>
      </c>
      <c r="P366" t="s">
        <v>5537</v>
      </c>
      <c r="Q366" t="s">
        <v>5536</v>
      </c>
      <c r="V366">
        <v>425</v>
      </c>
      <c r="W366">
        <v>2</v>
      </c>
      <c r="X366">
        <v>2017</v>
      </c>
      <c r="Y366">
        <v>2018</v>
      </c>
      <c r="Z366">
        <v>1246.05</v>
      </c>
      <c r="AG366" t="s">
        <v>184</v>
      </c>
      <c r="AH366">
        <v>0</v>
      </c>
      <c r="AK366">
        <v>0</v>
      </c>
      <c r="AL366">
        <v>74151</v>
      </c>
      <c r="AM366">
        <v>14250</v>
      </c>
      <c r="AN366">
        <v>59901</v>
      </c>
      <c r="AO366">
        <v>1099</v>
      </c>
      <c r="AP366">
        <v>2016</v>
      </c>
      <c r="AQ366">
        <v>1.68</v>
      </c>
      <c r="AS366" t="s">
        <v>5538</v>
      </c>
      <c r="AT366" t="s">
        <v>186</v>
      </c>
      <c r="AU366" t="s">
        <v>177</v>
      </c>
      <c r="AV366" t="s">
        <v>187</v>
      </c>
      <c r="AW366" t="s">
        <v>182</v>
      </c>
      <c r="AX366">
        <v>1</v>
      </c>
      <c r="AY366" t="s">
        <v>188</v>
      </c>
      <c r="AZ366" t="s">
        <v>206</v>
      </c>
      <c r="BA366" t="s">
        <v>355</v>
      </c>
      <c r="BB366" t="s">
        <v>191</v>
      </c>
      <c r="BC366" t="s">
        <v>182</v>
      </c>
      <c r="BD366" t="s">
        <v>182</v>
      </c>
      <c r="BE366" t="s">
        <v>1869</v>
      </c>
      <c r="BF366">
        <v>1</v>
      </c>
      <c r="BG366">
        <v>1</v>
      </c>
      <c r="BH366">
        <v>1962</v>
      </c>
      <c r="BI366" t="s">
        <v>5539</v>
      </c>
      <c r="BJ366" t="s">
        <v>194</v>
      </c>
      <c r="BK366" t="s">
        <v>195</v>
      </c>
      <c r="BL366" t="s">
        <v>5540</v>
      </c>
      <c r="BM366" t="s">
        <v>207</v>
      </c>
      <c r="BN366" t="s">
        <v>182</v>
      </c>
      <c r="BO366" t="s">
        <v>2660</v>
      </c>
      <c r="BP366" t="s">
        <v>5541</v>
      </c>
      <c r="BS366" t="s">
        <v>5542</v>
      </c>
      <c r="BT366" t="s">
        <v>198</v>
      </c>
      <c r="BU366" t="s">
        <v>182</v>
      </c>
      <c r="BV366" t="s">
        <v>198</v>
      </c>
      <c r="BW366" t="s">
        <v>198</v>
      </c>
      <c r="BX366" t="s">
        <v>199</v>
      </c>
      <c r="BY366" t="s">
        <v>198</v>
      </c>
      <c r="BZ366" t="s">
        <v>199</v>
      </c>
      <c r="CA366" t="s">
        <v>199</v>
      </c>
      <c r="CB366" t="s">
        <v>5543</v>
      </c>
      <c r="CC366" t="s">
        <v>201</v>
      </c>
      <c r="CD366" t="s">
        <v>182</v>
      </c>
      <c r="CE366" t="s">
        <v>5544</v>
      </c>
      <c r="CF366" t="s">
        <v>204</v>
      </c>
      <c r="CG366" t="s">
        <v>177</v>
      </c>
      <c r="CH366" t="s">
        <v>187</v>
      </c>
      <c r="CI366" t="s">
        <v>5545</v>
      </c>
      <c r="CS366" t="s">
        <v>198</v>
      </c>
      <c r="DC366" t="s">
        <v>198</v>
      </c>
      <c r="DM366" t="s">
        <v>198</v>
      </c>
      <c r="DW366" t="s">
        <v>198</v>
      </c>
      <c r="EG366" t="s">
        <v>198</v>
      </c>
      <c r="EQ366" t="s">
        <v>198</v>
      </c>
      <c r="FA366" t="s">
        <v>198</v>
      </c>
      <c r="FK366" t="s">
        <v>198</v>
      </c>
      <c r="FU366" t="s">
        <v>198</v>
      </c>
    </row>
    <row r="367" spans="1:177">
      <c r="A367" s="1" t="str">
        <f>HYPERLINK("http://digipan.lumentumllc.com/apps/getLink/index.php?t=PropLink&amp;p=4637348","PL")</f>
        <v>PL</v>
      </c>
      <c r="B367" s="1" t="str">
        <f>HYPERLINK("http://digipan.lumentumllc.com/apps/getLink/index.php?t=TaxLink&amp;p=4637348","TL")</f>
        <v>TL</v>
      </c>
      <c r="C367" s="1" t="str">
        <f>HYPERLINK("http://digipan.lumentumllc.com/apps/getMap/index.php?p=4637348","Map")</f>
        <v>Map</v>
      </c>
      <c r="E367" t="s">
        <v>177</v>
      </c>
      <c r="F367" t="s">
        <v>178</v>
      </c>
      <c r="L367" t="s">
        <v>5546</v>
      </c>
      <c r="N367" t="s">
        <v>5546</v>
      </c>
      <c r="O367" t="s">
        <v>5546</v>
      </c>
      <c r="P367" t="s">
        <v>5547</v>
      </c>
      <c r="Q367" t="s">
        <v>5546</v>
      </c>
      <c r="V367">
        <v>426</v>
      </c>
      <c r="W367">
        <v>2</v>
      </c>
      <c r="X367">
        <v>2017</v>
      </c>
      <c r="Y367">
        <v>2018</v>
      </c>
      <c r="Z367">
        <v>1036.46</v>
      </c>
      <c r="AB367" t="s">
        <v>181</v>
      </c>
      <c r="AC367" t="s">
        <v>182</v>
      </c>
      <c r="AD367" t="s">
        <v>183</v>
      </c>
      <c r="AE367">
        <v>0</v>
      </c>
      <c r="AF367">
        <v>1</v>
      </c>
      <c r="AG367" t="s">
        <v>821</v>
      </c>
      <c r="AH367">
        <v>100</v>
      </c>
      <c r="AK367">
        <v>0</v>
      </c>
      <c r="AL367">
        <v>117888</v>
      </c>
      <c r="AM367">
        <v>24097</v>
      </c>
      <c r="AN367">
        <v>93791</v>
      </c>
      <c r="AO367">
        <v>913</v>
      </c>
      <c r="AP367">
        <v>2016</v>
      </c>
      <c r="AQ367">
        <v>0.88</v>
      </c>
      <c r="AS367" t="s">
        <v>5548</v>
      </c>
      <c r="AT367" t="s">
        <v>186</v>
      </c>
      <c r="AU367" t="s">
        <v>177</v>
      </c>
      <c r="AV367" t="s">
        <v>187</v>
      </c>
      <c r="AW367" t="s">
        <v>202</v>
      </c>
      <c r="AX367">
        <v>1</v>
      </c>
      <c r="AY367" t="s">
        <v>188</v>
      </c>
      <c r="AZ367" t="s">
        <v>206</v>
      </c>
      <c r="BA367" t="s">
        <v>355</v>
      </c>
      <c r="BB367" t="s">
        <v>191</v>
      </c>
      <c r="BC367" t="s">
        <v>182</v>
      </c>
      <c r="BD367" t="s">
        <v>182</v>
      </c>
      <c r="BE367" t="s">
        <v>5549</v>
      </c>
      <c r="BF367">
        <v>1</v>
      </c>
      <c r="BG367">
        <v>1</v>
      </c>
      <c r="BH367">
        <v>1985</v>
      </c>
      <c r="BI367" t="s">
        <v>5550</v>
      </c>
      <c r="BJ367" t="s">
        <v>194</v>
      </c>
      <c r="BK367" t="s">
        <v>195</v>
      </c>
      <c r="BL367" t="s">
        <v>2191</v>
      </c>
      <c r="BM367" t="s">
        <v>930</v>
      </c>
      <c r="BN367" t="s">
        <v>182</v>
      </c>
      <c r="BO367" t="s">
        <v>1710</v>
      </c>
      <c r="BP367" t="s">
        <v>5541</v>
      </c>
      <c r="BQ367" t="s">
        <v>603</v>
      </c>
      <c r="BR367" t="s">
        <v>563</v>
      </c>
      <c r="BS367" t="s">
        <v>198</v>
      </c>
      <c r="BT367" t="s">
        <v>5551</v>
      </c>
      <c r="BU367" t="s">
        <v>182</v>
      </c>
      <c r="BV367" t="s">
        <v>198</v>
      </c>
      <c r="BW367" t="s">
        <v>198</v>
      </c>
      <c r="BX367" t="s">
        <v>199</v>
      </c>
      <c r="BY367" t="s">
        <v>198</v>
      </c>
      <c r="BZ367" t="s">
        <v>199</v>
      </c>
      <c r="CA367" t="s">
        <v>199</v>
      </c>
      <c r="CB367" t="s">
        <v>5552</v>
      </c>
      <c r="CC367" t="s">
        <v>201</v>
      </c>
      <c r="CD367" t="s">
        <v>182</v>
      </c>
      <c r="CE367" t="s">
        <v>5553</v>
      </c>
      <c r="CF367" t="s">
        <v>204</v>
      </c>
      <c r="CG367" t="s">
        <v>177</v>
      </c>
      <c r="CH367" t="s">
        <v>187</v>
      </c>
      <c r="CI367" t="s">
        <v>5554</v>
      </c>
      <c r="CJ367" t="s">
        <v>3827</v>
      </c>
      <c r="CK367" t="s">
        <v>267</v>
      </c>
      <c r="CL367" t="s">
        <v>268</v>
      </c>
      <c r="CM367" t="s">
        <v>5555</v>
      </c>
      <c r="CN367" t="s">
        <v>235</v>
      </c>
      <c r="CO367" t="s">
        <v>183</v>
      </c>
      <c r="CP367" t="s">
        <v>211</v>
      </c>
      <c r="CQ367" t="s">
        <v>212</v>
      </c>
      <c r="CS367" t="s">
        <v>5556</v>
      </c>
      <c r="DC367" t="s">
        <v>198</v>
      </c>
      <c r="DM367" t="s">
        <v>198</v>
      </c>
      <c r="DW367" t="s">
        <v>198</v>
      </c>
      <c r="EG367" t="s">
        <v>198</v>
      </c>
      <c r="EQ367" t="s">
        <v>198</v>
      </c>
      <c r="FA367" t="s">
        <v>198</v>
      </c>
      <c r="FK367" t="s">
        <v>198</v>
      </c>
      <c r="FU367" t="s">
        <v>198</v>
      </c>
    </row>
    <row r="368" spans="1:177">
      <c r="A368" s="1" t="str">
        <f>HYPERLINK("http://digipan.lumentumllc.com/apps/getLink/index.php?t=PropLink&amp;p=15739671","PL")</f>
        <v>PL</v>
      </c>
      <c r="B368" s="1" t="str">
        <f>HYPERLINK("http://digipan.lumentumllc.com/apps/getLink/index.php?t=TaxLink&amp;p=15739671","TL")</f>
        <v>TL</v>
      </c>
      <c r="C368" s="1" t="str">
        <f>HYPERLINK("http://digipan.lumentumllc.com/apps/getMap/index.php?p=15739671","Map")</f>
        <v>Map</v>
      </c>
      <c r="E368" t="s">
        <v>177</v>
      </c>
      <c r="F368" t="s">
        <v>178</v>
      </c>
      <c r="L368" t="s">
        <v>5557</v>
      </c>
      <c r="N368" t="s">
        <v>5557</v>
      </c>
      <c r="O368" t="s">
        <v>5557</v>
      </c>
      <c r="Q368" t="s">
        <v>5557</v>
      </c>
      <c r="V368">
        <v>427</v>
      </c>
      <c r="W368">
        <v>2</v>
      </c>
      <c r="X368">
        <v>2017</v>
      </c>
      <c r="Y368">
        <v>2018</v>
      </c>
      <c r="Z368">
        <v>519.78</v>
      </c>
      <c r="AG368" t="s">
        <v>184</v>
      </c>
      <c r="AH368">
        <v>0</v>
      </c>
      <c r="AK368">
        <v>0</v>
      </c>
      <c r="AL368">
        <v>129725</v>
      </c>
      <c r="AM368">
        <v>34000</v>
      </c>
      <c r="AN368">
        <v>95725</v>
      </c>
      <c r="AO368">
        <v>0</v>
      </c>
      <c r="AP368">
        <v>0</v>
      </c>
      <c r="AQ368">
        <v>0.4</v>
      </c>
      <c r="AS368" t="s">
        <v>5558</v>
      </c>
      <c r="AT368" t="s">
        <v>186</v>
      </c>
      <c r="AU368" t="s">
        <v>177</v>
      </c>
      <c r="AV368" t="s">
        <v>187</v>
      </c>
      <c r="AW368" t="s">
        <v>182</v>
      </c>
      <c r="AX368">
        <v>1</v>
      </c>
      <c r="AY368" t="s">
        <v>188</v>
      </c>
      <c r="AZ368" t="s">
        <v>206</v>
      </c>
      <c r="BA368" t="s">
        <v>355</v>
      </c>
      <c r="BB368" t="s">
        <v>191</v>
      </c>
      <c r="BC368" t="s">
        <v>182</v>
      </c>
      <c r="BD368" t="s">
        <v>182</v>
      </c>
      <c r="BE368" t="s">
        <v>1341</v>
      </c>
      <c r="BF368">
        <v>2</v>
      </c>
      <c r="BG368">
        <v>1</v>
      </c>
      <c r="BH368">
        <v>1964</v>
      </c>
      <c r="BI368" t="s">
        <v>5559</v>
      </c>
      <c r="BJ368" t="s">
        <v>194</v>
      </c>
      <c r="BK368" t="s">
        <v>840</v>
      </c>
      <c r="BL368" t="s">
        <v>2075</v>
      </c>
      <c r="BM368" t="s">
        <v>273</v>
      </c>
      <c r="BN368" t="s">
        <v>182</v>
      </c>
      <c r="BO368" t="s">
        <v>3012</v>
      </c>
      <c r="BP368" t="s">
        <v>5560</v>
      </c>
      <c r="BQ368" t="s">
        <v>800</v>
      </c>
      <c r="BR368" t="s">
        <v>643</v>
      </c>
      <c r="BS368" t="s">
        <v>198</v>
      </c>
      <c r="BT368" t="s">
        <v>5561</v>
      </c>
      <c r="BU368" t="s">
        <v>182</v>
      </c>
      <c r="BV368" t="s">
        <v>198</v>
      </c>
      <c r="BW368" t="s">
        <v>198</v>
      </c>
      <c r="BX368" t="s">
        <v>199</v>
      </c>
      <c r="BY368" t="s">
        <v>198</v>
      </c>
      <c r="BZ368" t="s">
        <v>199</v>
      </c>
      <c r="CA368" t="s">
        <v>199</v>
      </c>
      <c r="CB368" t="s">
        <v>5562</v>
      </c>
      <c r="CC368" t="s">
        <v>201</v>
      </c>
      <c r="CD368" t="s">
        <v>182</v>
      </c>
      <c r="CE368" t="s">
        <v>5563</v>
      </c>
      <c r="CF368" t="s">
        <v>204</v>
      </c>
      <c r="CG368" t="s">
        <v>177</v>
      </c>
      <c r="CH368" t="s">
        <v>187</v>
      </c>
      <c r="CI368" t="s">
        <v>5564</v>
      </c>
      <c r="CS368" t="s">
        <v>198</v>
      </c>
      <c r="DC368" t="s">
        <v>198</v>
      </c>
      <c r="DM368" t="s">
        <v>198</v>
      </c>
      <c r="DW368" t="s">
        <v>198</v>
      </c>
      <c r="EG368" t="s">
        <v>198</v>
      </c>
      <c r="EQ368" t="s">
        <v>198</v>
      </c>
      <c r="FA368" t="s">
        <v>198</v>
      </c>
      <c r="FK368" t="s">
        <v>198</v>
      </c>
      <c r="FU368" t="s">
        <v>198</v>
      </c>
    </row>
    <row r="369" spans="1:177">
      <c r="A369" s="1" t="str">
        <f>HYPERLINK("http://digipan.lumentumllc.com/apps/getLink/index.php?t=PropLink&amp;p=4637349","PL")</f>
        <v>PL</v>
      </c>
      <c r="B369" s="1" t="str">
        <f>HYPERLINK("http://digipan.lumentumllc.com/apps/getLink/index.php?t=TaxLink&amp;p=4637349","TL")</f>
        <v>TL</v>
      </c>
      <c r="C369" s="1" t="str">
        <f>HYPERLINK("http://digipan.lumentumllc.com/apps/getMap/index.php?p=4637349","Map")</f>
        <v>Map</v>
      </c>
      <c r="E369" t="s">
        <v>177</v>
      </c>
      <c r="F369" t="s">
        <v>178</v>
      </c>
      <c r="L369" t="s">
        <v>5565</v>
      </c>
      <c r="N369" t="s">
        <v>5565</v>
      </c>
      <c r="O369" t="s">
        <v>5565</v>
      </c>
      <c r="P369" t="s">
        <v>5566</v>
      </c>
      <c r="Q369" t="s">
        <v>5565</v>
      </c>
      <c r="V369">
        <v>432</v>
      </c>
      <c r="W369">
        <v>2</v>
      </c>
      <c r="X369">
        <v>2017</v>
      </c>
      <c r="Y369">
        <v>2018</v>
      </c>
      <c r="Z369">
        <v>625.54</v>
      </c>
      <c r="AB369" t="s">
        <v>181</v>
      </c>
      <c r="AC369" t="s">
        <v>202</v>
      </c>
      <c r="AD369" t="s">
        <v>183</v>
      </c>
      <c r="AE369">
        <v>0</v>
      </c>
      <c r="AF369">
        <v>6</v>
      </c>
      <c r="AG369" t="s">
        <v>528</v>
      </c>
      <c r="AH369">
        <v>100</v>
      </c>
      <c r="AK369">
        <v>0</v>
      </c>
      <c r="AL369">
        <v>36252</v>
      </c>
      <c r="AM369">
        <v>10500</v>
      </c>
      <c r="AN369">
        <v>25752</v>
      </c>
      <c r="AO369">
        <v>843</v>
      </c>
      <c r="AP369">
        <v>2016</v>
      </c>
      <c r="AQ369">
        <v>1.73</v>
      </c>
      <c r="AS369" t="s">
        <v>5567</v>
      </c>
      <c r="AT369" t="s">
        <v>186</v>
      </c>
      <c r="AU369" t="s">
        <v>177</v>
      </c>
      <c r="AV369" t="s">
        <v>187</v>
      </c>
      <c r="AW369" t="s">
        <v>182</v>
      </c>
      <c r="AX369">
        <v>1</v>
      </c>
      <c r="AY369" t="s">
        <v>188</v>
      </c>
      <c r="AZ369" t="s">
        <v>206</v>
      </c>
      <c r="BA369" t="s">
        <v>355</v>
      </c>
      <c r="BB369" t="s">
        <v>191</v>
      </c>
      <c r="BC369" t="s">
        <v>182</v>
      </c>
      <c r="BD369" t="s">
        <v>182</v>
      </c>
      <c r="BE369" t="s">
        <v>383</v>
      </c>
      <c r="BF369">
        <v>1</v>
      </c>
      <c r="BG369">
        <v>1</v>
      </c>
      <c r="BH369">
        <v>1930</v>
      </c>
      <c r="BI369" t="s">
        <v>2028</v>
      </c>
      <c r="BJ369" t="s">
        <v>285</v>
      </c>
      <c r="BK369" t="s">
        <v>195</v>
      </c>
      <c r="BL369" t="s">
        <v>199</v>
      </c>
      <c r="BM369" t="s">
        <v>559</v>
      </c>
      <c r="BN369" t="s">
        <v>182</v>
      </c>
      <c r="BO369" t="s">
        <v>3184</v>
      </c>
      <c r="BP369" t="s">
        <v>5568</v>
      </c>
      <c r="BS369" t="s">
        <v>5569</v>
      </c>
      <c r="BT369" t="s">
        <v>198</v>
      </c>
      <c r="BU369" t="s">
        <v>182</v>
      </c>
      <c r="BV369" t="s">
        <v>198</v>
      </c>
      <c r="BW369" t="s">
        <v>198</v>
      </c>
      <c r="BX369" t="s">
        <v>199</v>
      </c>
      <c r="BY369" t="s">
        <v>198</v>
      </c>
      <c r="BZ369" t="s">
        <v>199</v>
      </c>
      <c r="CA369" t="s">
        <v>199</v>
      </c>
      <c r="CB369" t="s">
        <v>5570</v>
      </c>
      <c r="CC369" t="s">
        <v>201</v>
      </c>
      <c r="CD369" t="s">
        <v>182</v>
      </c>
      <c r="CE369" t="s">
        <v>5571</v>
      </c>
      <c r="CF369" t="s">
        <v>1029</v>
      </c>
      <c r="CG369" t="s">
        <v>177</v>
      </c>
      <c r="CH369" t="s">
        <v>1030</v>
      </c>
      <c r="CI369" t="s">
        <v>5572</v>
      </c>
      <c r="CJ369" t="s">
        <v>5573</v>
      </c>
      <c r="CK369" t="s">
        <v>232</v>
      </c>
      <c r="CL369" t="s">
        <v>233</v>
      </c>
      <c r="CM369" t="s">
        <v>5574</v>
      </c>
      <c r="CN369" t="s">
        <v>235</v>
      </c>
      <c r="CO369" t="s">
        <v>183</v>
      </c>
      <c r="CP369" t="s">
        <v>211</v>
      </c>
      <c r="CQ369" t="s">
        <v>342</v>
      </c>
      <c r="CS369" t="s">
        <v>5480</v>
      </c>
      <c r="CT369" t="s">
        <v>5525</v>
      </c>
      <c r="CU369" t="s">
        <v>292</v>
      </c>
      <c r="CV369" t="s">
        <v>293</v>
      </c>
      <c r="CW369" t="s">
        <v>5575</v>
      </c>
      <c r="CX369" t="s">
        <v>235</v>
      </c>
      <c r="CY369" t="s">
        <v>183</v>
      </c>
      <c r="CZ369" t="s">
        <v>211</v>
      </c>
      <c r="DA369" t="s">
        <v>250</v>
      </c>
      <c r="DB369" t="s">
        <v>271</v>
      </c>
      <c r="DC369" t="s">
        <v>4374</v>
      </c>
      <c r="DD369" t="s">
        <v>3810</v>
      </c>
      <c r="DE369" t="s">
        <v>267</v>
      </c>
      <c r="DF369" t="s">
        <v>268</v>
      </c>
      <c r="DG369" t="s">
        <v>5576</v>
      </c>
      <c r="DH369" t="s">
        <v>235</v>
      </c>
      <c r="DI369" t="s">
        <v>183</v>
      </c>
      <c r="DJ369" t="s">
        <v>211</v>
      </c>
      <c r="DK369" t="s">
        <v>487</v>
      </c>
      <c r="DL369" t="s">
        <v>271</v>
      </c>
      <c r="DM369" t="s">
        <v>4374</v>
      </c>
      <c r="DN369" t="s">
        <v>4138</v>
      </c>
      <c r="DO369" t="s">
        <v>273</v>
      </c>
      <c r="DP369" t="s">
        <v>274</v>
      </c>
      <c r="DQ369" t="s">
        <v>5577</v>
      </c>
      <c r="DR369" t="s">
        <v>514</v>
      </c>
      <c r="DS369" t="s">
        <v>183</v>
      </c>
      <c r="DT369" t="s">
        <v>211</v>
      </c>
      <c r="DV369" t="s">
        <v>271</v>
      </c>
      <c r="DW369" t="s">
        <v>198</v>
      </c>
      <c r="DX369" t="s">
        <v>5578</v>
      </c>
      <c r="DY369" t="s">
        <v>302</v>
      </c>
      <c r="DZ369" t="s">
        <v>303</v>
      </c>
      <c r="EA369" t="s">
        <v>5579</v>
      </c>
      <c r="EB369" t="s">
        <v>3342</v>
      </c>
      <c r="EC369" t="s">
        <v>183</v>
      </c>
      <c r="ED369" t="s">
        <v>211</v>
      </c>
      <c r="EE369" t="s">
        <v>345</v>
      </c>
      <c r="EG369" t="s">
        <v>5580</v>
      </c>
      <c r="EH369" t="s">
        <v>5581</v>
      </c>
      <c r="EI369" t="s">
        <v>238</v>
      </c>
      <c r="EJ369" t="s">
        <v>239</v>
      </c>
      <c r="EK369" t="s">
        <v>5582</v>
      </c>
      <c r="EL369" t="s">
        <v>235</v>
      </c>
      <c r="EM369" t="s">
        <v>183</v>
      </c>
      <c r="EN369" t="s">
        <v>211</v>
      </c>
      <c r="EO369" t="s">
        <v>345</v>
      </c>
      <c r="EQ369" t="s">
        <v>2753</v>
      </c>
      <c r="FA369" t="s">
        <v>198</v>
      </c>
      <c r="FK369" t="s">
        <v>198</v>
      </c>
      <c r="FU369" t="s">
        <v>198</v>
      </c>
    </row>
    <row r="370" spans="1:177">
      <c r="A370" s="1" t="str">
        <f>HYPERLINK("http://digipan.lumentumllc.com/apps/getLink/index.php?t=PropLink&amp;p=6594122","PL")</f>
        <v>PL</v>
      </c>
      <c r="B370" s="1" t="str">
        <f>HYPERLINK("http://digipan.lumentumllc.com/apps/getLink/index.php?t=TaxLink&amp;p=6594122","TL")</f>
        <v>TL</v>
      </c>
      <c r="C370" s="1" t="str">
        <f>HYPERLINK("http://digipan.lumentumllc.com/apps/getMap/index.php?p=6594122","Map")</f>
        <v>Map</v>
      </c>
      <c r="E370" t="s">
        <v>177</v>
      </c>
      <c r="F370" t="s">
        <v>178</v>
      </c>
      <c r="L370" t="s">
        <v>5583</v>
      </c>
      <c r="N370" t="s">
        <v>5583</v>
      </c>
      <c r="O370" t="s">
        <v>5583</v>
      </c>
      <c r="P370" t="s">
        <v>5584</v>
      </c>
      <c r="Q370" t="s">
        <v>5583</v>
      </c>
      <c r="V370">
        <v>434</v>
      </c>
      <c r="W370">
        <v>2</v>
      </c>
      <c r="X370">
        <v>2017</v>
      </c>
      <c r="Y370">
        <v>2018</v>
      </c>
      <c r="Z370">
        <v>1137.1600000000001</v>
      </c>
      <c r="AB370" t="s">
        <v>181</v>
      </c>
      <c r="AC370" t="s">
        <v>182</v>
      </c>
      <c r="AD370" t="s">
        <v>183</v>
      </c>
      <c r="AE370">
        <v>0</v>
      </c>
      <c r="AF370">
        <v>2</v>
      </c>
      <c r="AG370" t="s">
        <v>216</v>
      </c>
      <c r="AH370">
        <v>100</v>
      </c>
      <c r="AK370">
        <v>0</v>
      </c>
      <c r="AL370">
        <v>67500</v>
      </c>
      <c r="AM370">
        <v>60000</v>
      </c>
      <c r="AN370">
        <v>7500</v>
      </c>
      <c r="AO370">
        <v>141</v>
      </c>
      <c r="AP370">
        <v>2016</v>
      </c>
      <c r="AQ370">
        <v>1.68</v>
      </c>
      <c r="AS370" t="s">
        <v>5585</v>
      </c>
      <c r="AT370" t="s">
        <v>186</v>
      </c>
      <c r="AU370" t="s">
        <v>177</v>
      </c>
      <c r="AV370" t="s">
        <v>187</v>
      </c>
      <c r="AW370" t="s">
        <v>182</v>
      </c>
      <c r="AX370">
        <v>0</v>
      </c>
      <c r="AY370" t="s">
        <v>312</v>
      </c>
      <c r="AZ370" t="s">
        <v>199</v>
      </c>
      <c r="BA370" t="s">
        <v>313</v>
      </c>
      <c r="BB370" t="s">
        <v>191</v>
      </c>
      <c r="BC370" t="s">
        <v>182</v>
      </c>
      <c r="BD370" t="s">
        <v>182</v>
      </c>
      <c r="BE370" t="s">
        <v>576</v>
      </c>
      <c r="BF370">
        <v>1</v>
      </c>
      <c r="BG370">
        <v>0</v>
      </c>
      <c r="BH370">
        <v>0</v>
      </c>
      <c r="BI370" t="s">
        <v>199</v>
      </c>
      <c r="BJ370" t="s">
        <v>248</v>
      </c>
      <c r="BL370" t="s">
        <v>199</v>
      </c>
      <c r="BM370" t="s">
        <v>232</v>
      </c>
      <c r="BN370" t="s">
        <v>182</v>
      </c>
      <c r="BO370" t="s">
        <v>198</v>
      </c>
      <c r="BP370" t="s">
        <v>198</v>
      </c>
      <c r="BQ370" t="s">
        <v>198</v>
      </c>
      <c r="BR370" t="s">
        <v>198</v>
      </c>
      <c r="BS370" t="s">
        <v>198</v>
      </c>
      <c r="BT370" t="s">
        <v>198</v>
      </c>
      <c r="BU370" t="s">
        <v>182</v>
      </c>
      <c r="BV370" t="s">
        <v>198</v>
      </c>
      <c r="BW370" t="s">
        <v>198</v>
      </c>
      <c r="BX370" t="s">
        <v>199</v>
      </c>
      <c r="BY370" t="s">
        <v>198</v>
      </c>
      <c r="BZ370" t="s">
        <v>199</v>
      </c>
      <c r="CA370" t="s">
        <v>199</v>
      </c>
      <c r="CB370" t="s">
        <v>5586</v>
      </c>
      <c r="CC370" t="s">
        <v>201</v>
      </c>
      <c r="CD370" t="s">
        <v>202</v>
      </c>
      <c r="CE370" t="s">
        <v>5587</v>
      </c>
      <c r="CF370" t="s">
        <v>204</v>
      </c>
      <c r="CG370" t="s">
        <v>177</v>
      </c>
      <c r="CH370" t="s">
        <v>187</v>
      </c>
      <c r="CI370" t="s">
        <v>5588</v>
      </c>
      <c r="CJ370" t="s">
        <v>5334</v>
      </c>
      <c r="CK370" t="s">
        <v>267</v>
      </c>
      <c r="CL370" t="s">
        <v>268</v>
      </c>
      <c r="CM370" t="s">
        <v>5589</v>
      </c>
      <c r="CN370" t="s">
        <v>333</v>
      </c>
      <c r="CO370" t="s">
        <v>183</v>
      </c>
      <c r="CP370" t="s">
        <v>211</v>
      </c>
      <c r="CQ370" t="s">
        <v>329</v>
      </c>
      <c r="CS370" t="s">
        <v>462</v>
      </c>
      <c r="CT370" t="s">
        <v>5235</v>
      </c>
      <c r="CU370" t="s">
        <v>273</v>
      </c>
      <c r="CV370" t="s">
        <v>274</v>
      </c>
      <c r="CW370" t="s">
        <v>5590</v>
      </c>
      <c r="CX370" t="s">
        <v>331</v>
      </c>
      <c r="CY370" t="s">
        <v>183</v>
      </c>
      <c r="CZ370" t="s">
        <v>211</v>
      </c>
      <c r="DA370" t="s">
        <v>298</v>
      </c>
      <c r="DC370" t="s">
        <v>462</v>
      </c>
      <c r="DM370" t="s">
        <v>198</v>
      </c>
      <c r="DW370" t="s">
        <v>198</v>
      </c>
      <c r="EG370" t="s">
        <v>198</v>
      </c>
      <c r="EQ370" t="s">
        <v>198</v>
      </c>
      <c r="FA370" t="s">
        <v>198</v>
      </c>
      <c r="FK370" t="s">
        <v>198</v>
      </c>
      <c r="FU370" t="s">
        <v>198</v>
      </c>
    </row>
    <row r="371" spans="1:177">
      <c r="A371" s="1" t="str">
        <f>HYPERLINK("http://digipan.lumentumllc.com/apps/getLink/index.php?t=PropLink&amp;p=6886660","PL")</f>
        <v>PL</v>
      </c>
      <c r="B371" s="1" t="str">
        <f>HYPERLINK("http://digipan.lumentumllc.com/apps/getLink/index.php?t=TaxLink&amp;p=6886660","TL")</f>
        <v>TL</v>
      </c>
      <c r="C371" s="1" t="str">
        <f>HYPERLINK("http://digipan.lumentumllc.com/apps/getMap/index.php?p=6886660","Map")</f>
        <v>Map</v>
      </c>
      <c r="E371" t="s">
        <v>177</v>
      </c>
      <c r="F371" t="s">
        <v>178</v>
      </c>
      <c r="L371" t="s">
        <v>5591</v>
      </c>
      <c r="N371" t="s">
        <v>5591</v>
      </c>
      <c r="O371" t="s">
        <v>5591</v>
      </c>
      <c r="P371" t="s">
        <v>5592</v>
      </c>
      <c r="Q371" t="s">
        <v>5591</v>
      </c>
      <c r="V371">
        <v>435</v>
      </c>
      <c r="W371">
        <v>2</v>
      </c>
      <c r="X371">
        <v>2017</v>
      </c>
      <c r="Y371">
        <v>2018</v>
      </c>
      <c r="Z371">
        <v>1717.57</v>
      </c>
      <c r="AB371" t="s">
        <v>181</v>
      </c>
      <c r="AC371" t="s">
        <v>182</v>
      </c>
      <c r="AD371" t="s">
        <v>183</v>
      </c>
      <c r="AE371">
        <v>0</v>
      </c>
      <c r="AF371">
        <v>3</v>
      </c>
      <c r="AG371" t="s">
        <v>381</v>
      </c>
      <c r="AH371">
        <v>100</v>
      </c>
      <c r="AK371">
        <v>0</v>
      </c>
      <c r="AL371">
        <v>111600</v>
      </c>
      <c r="AM371">
        <v>111600</v>
      </c>
      <c r="AN371">
        <v>0</v>
      </c>
      <c r="AO371">
        <v>1586</v>
      </c>
      <c r="AP371">
        <v>2016</v>
      </c>
      <c r="AQ371">
        <v>1.54</v>
      </c>
      <c r="AS371" t="s">
        <v>5593</v>
      </c>
      <c r="AT371" t="s">
        <v>186</v>
      </c>
      <c r="AU371" t="s">
        <v>177</v>
      </c>
      <c r="AV371" t="s">
        <v>187</v>
      </c>
      <c r="AW371" t="s">
        <v>182</v>
      </c>
      <c r="AX371">
        <v>0</v>
      </c>
      <c r="AY371" t="s">
        <v>312</v>
      </c>
      <c r="AZ371" t="s">
        <v>199</v>
      </c>
      <c r="BA371" t="s">
        <v>313</v>
      </c>
      <c r="BB371" t="s">
        <v>191</v>
      </c>
      <c r="BC371" t="s">
        <v>182</v>
      </c>
      <c r="BD371" t="s">
        <v>182</v>
      </c>
      <c r="BE371" t="s">
        <v>5594</v>
      </c>
      <c r="BF371">
        <v>0</v>
      </c>
      <c r="BG371">
        <v>0</v>
      </c>
      <c r="BH371">
        <v>0</v>
      </c>
      <c r="BI371" t="s">
        <v>199</v>
      </c>
      <c r="BJ371" t="s">
        <v>315</v>
      </c>
      <c r="BL371" t="s">
        <v>199</v>
      </c>
      <c r="BM371" t="s">
        <v>207</v>
      </c>
      <c r="BN371" t="s">
        <v>182</v>
      </c>
      <c r="BO371" t="s">
        <v>198</v>
      </c>
      <c r="BP371" t="s">
        <v>198</v>
      </c>
      <c r="BQ371" t="s">
        <v>198</v>
      </c>
      <c r="BR371" t="s">
        <v>198</v>
      </c>
      <c r="BS371" t="s">
        <v>198</v>
      </c>
      <c r="BT371" t="s">
        <v>198</v>
      </c>
      <c r="BU371" t="s">
        <v>182</v>
      </c>
      <c r="BV371" t="s">
        <v>198</v>
      </c>
      <c r="BW371" t="s">
        <v>198</v>
      </c>
      <c r="BX371" t="s">
        <v>199</v>
      </c>
      <c r="BY371" t="s">
        <v>198</v>
      </c>
      <c r="BZ371" t="s">
        <v>199</v>
      </c>
      <c r="CA371" t="s">
        <v>199</v>
      </c>
      <c r="CB371" t="s">
        <v>5595</v>
      </c>
      <c r="CC371" t="s">
        <v>201</v>
      </c>
      <c r="CD371" t="s">
        <v>202</v>
      </c>
      <c r="CE371" t="s">
        <v>5596</v>
      </c>
      <c r="CF371" t="s">
        <v>5597</v>
      </c>
      <c r="CG371" t="s">
        <v>5598</v>
      </c>
      <c r="CH371" t="s">
        <v>5599</v>
      </c>
      <c r="CI371" t="s">
        <v>5600</v>
      </c>
      <c r="CJ371" t="s">
        <v>4298</v>
      </c>
      <c r="CK371" t="s">
        <v>232</v>
      </c>
      <c r="CL371" t="s">
        <v>233</v>
      </c>
      <c r="CM371" t="s">
        <v>5601</v>
      </c>
      <c r="CN371" t="s">
        <v>235</v>
      </c>
      <c r="CO371" t="s">
        <v>183</v>
      </c>
      <c r="CP371" t="s">
        <v>211</v>
      </c>
      <c r="CQ371" t="s">
        <v>206</v>
      </c>
      <c r="CS371" t="s">
        <v>5602</v>
      </c>
      <c r="CT371" t="s">
        <v>5271</v>
      </c>
      <c r="CU371" t="s">
        <v>292</v>
      </c>
      <c r="CV371" t="s">
        <v>293</v>
      </c>
      <c r="CW371" t="s">
        <v>5603</v>
      </c>
      <c r="CX371" t="s">
        <v>235</v>
      </c>
      <c r="CY371" t="s">
        <v>183</v>
      </c>
      <c r="CZ371" t="s">
        <v>211</v>
      </c>
      <c r="DA371" t="s">
        <v>306</v>
      </c>
      <c r="DC371" t="s">
        <v>5602</v>
      </c>
      <c r="DD371" t="s">
        <v>5343</v>
      </c>
      <c r="DE371" t="s">
        <v>267</v>
      </c>
      <c r="DF371" t="s">
        <v>268</v>
      </c>
      <c r="DG371" t="s">
        <v>5604</v>
      </c>
      <c r="DH371" t="s">
        <v>235</v>
      </c>
      <c r="DI371" t="s">
        <v>183</v>
      </c>
      <c r="DJ371" t="s">
        <v>211</v>
      </c>
      <c r="DK371" t="s">
        <v>808</v>
      </c>
      <c r="DM371" t="s">
        <v>5602</v>
      </c>
      <c r="DW371" t="s">
        <v>198</v>
      </c>
      <c r="EG371" t="s">
        <v>198</v>
      </c>
      <c r="EQ371" t="s">
        <v>198</v>
      </c>
      <c r="FA371" t="s">
        <v>198</v>
      </c>
      <c r="FK371" t="s">
        <v>198</v>
      </c>
      <c r="FU371" t="s">
        <v>198</v>
      </c>
    </row>
    <row r="372" spans="1:177">
      <c r="A372" s="1" t="str">
        <f>HYPERLINK("http://digipan.lumentumllc.com/apps/getLink/index.php?t=PropLink&amp;p=5245092","PL")</f>
        <v>PL</v>
      </c>
      <c r="B372" s="1" t="str">
        <f>HYPERLINK("http://digipan.lumentumllc.com/apps/getLink/index.php?t=TaxLink&amp;p=5245092","TL")</f>
        <v>TL</v>
      </c>
      <c r="C372" s="1" t="str">
        <f>HYPERLINK("http://digipan.lumentumllc.com/apps/getMap/index.php?p=5245092","Map")</f>
        <v>Map</v>
      </c>
      <c r="E372" t="s">
        <v>177</v>
      </c>
      <c r="F372" t="s">
        <v>178</v>
      </c>
      <c r="L372" t="s">
        <v>5605</v>
      </c>
      <c r="N372" t="s">
        <v>5605</v>
      </c>
      <c r="O372" t="s">
        <v>5605</v>
      </c>
      <c r="P372" t="s">
        <v>5606</v>
      </c>
      <c r="Q372" t="s">
        <v>5605</v>
      </c>
      <c r="V372">
        <v>436</v>
      </c>
      <c r="W372">
        <v>2</v>
      </c>
      <c r="X372">
        <v>2017</v>
      </c>
      <c r="Y372">
        <v>2018</v>
      </c>
      <c r="Z372">
        <v>212.9</v>
      </c>
      <c r="AB372" t="s">
        <v>181</v>
      </c>
      <c r="AC372" t="s">
        <v>182</v>
      </c>
      <c r="AD372" t="s">
        <v>1037</v>
      </c>
      <c r="AE372">
        <v>7</v>
      </c>
      <c r="AF372">
        <v>0</v>
      </c>
      <c r="AG372" t="s">
        <v>1038</v>
      </c>
      <c r="AH372">
        <v>0</v>
      </c>
      <c r="AI372">
        <v>1685.4</v>
      </c>
      <c r="AJ372">
        <v>961.59</v>
      </c>
      <c r="AK372">
        <v>2646.99</v>
      </c>
      <c r="AL372">
        <v>12450</v>
      </c>
      <c r="AM372">
        <v>9450</v>
      </c>
      <c r="AN372">
        <v>3000</v>
      </c>
      <c r="AO372">
        <v>139</v>
      </c>
      <c r="AP372">
        <v>2016</v>
      </c>
      <c r="AQ372">
        <v>1.71</v>
      </c>
      <c r="AR372">
        <v>21.26</v>
      </c>
      <c r="AS372" t="s">
        <v>5607</v>
      </c>
      <c r="AT372" t="s">
        <v>186</v>
      </c>
      <c r="AU372" t="s">
        <v>177</v>
      </c>
      <c r="AV372" t="s">
        <v>187</v>
      </c>
      <c r="AW372" t="s">
        <v>182</v>
      </c>
      <c r="AX372">
        <v>0</v>
      </c>
      <c r="AY372" t="s">
        <v>312</v>
      </c>
      <c r="AZ372" t="s">
        <v>199</v>
      </c>
      <c r="BA372" t="s">
        <v>313</v>
      </c>
      <c r="BB372" t="s">
        <v>191</v>
      </c>
      <c r="BC372" t="s">
        <v>182</v>
      </c>
      <c r="BD372" t="s">
        <v>182</v>
      </c>
      <c r="BE372" t="s">
        <v>5608</v>
      </c>
      <c r="BF372">
        <v>0</v>
      </c>
      <c r="BG372">
        <v>0</v>
      </c>
      <c r="BH372">
        <v>0</v>
      </c>
      <c r="BI372" t="s">
        <v>199</v>
      </c>
      <c r="BJ372" t="s">
        <v>315</v>
      </c>
      <c r="BL372" t="s">
        <v>199</v>
      </c>
      <c r="BM372" t="s">
        <v>1598</v>
      </c>
      <c r="BN372" t="s">
        <v>182</v>
      </c>
      <c r="BO372" t="s">
        <v>198</v>
      </c>
      <c r="BP372" t="s">
        <v>198</v>
      </c>
      <c r="BQ372" t="s">
        <v>198</v>
      </c>
      <c r="BR372" t="s">
        <v>198</v>
      </c>
      <c r="BS372" t="s">
        <v>198</v>
      </c>
      <c r="BT372" t="s">
        <v>198</v>
      </c>
      <c r="BU372" t="s">
        <v>182</v>
      </c>
      <c r="BV372" t="s">
        <v>198</v>
      </c>
      <c r="BW372" t="s">
        <v>198</v>
      </c>
      <c r="BX372" t="s">
        <v>199</v>
      </c>
      <c r="BY372" t="s">
        <v>198</v>
      </c>
      <c r="BZ372" t="s">
        <v>199</v>
      </c>
      <c r="CA372" t="s">
        <v>199</v>
      </c>
      <c r="CB372" t="s">
        <v>5609</v>
      </c>
      <c r="CC372" t="s">
        <v>201</v>
      </c>
      <c r="CD372" t="s">
        <v>182</v>
      </c>
      <c r="CE372" t="s">
        <v>5610</v>
      </c>
      <c r="CF372" t="s">
        <v>5611</v>
      </c>
      <c r="CG372" t="s">
        <v>1902</v>
      </c>
      <c r="CH372" t="s">
        <v>5612</v>
      </c>
      <c r="CI372" t="s">
        <v>5613</v>
      </c>
      <c r="CJ372" t="s">
        <v>5614</v>
      </c>
      <c r="CK372" t="s">
        <v>232</v>
      </c>
      <c r="CL372" t="s">
        <v>233</v>
      </c>
      <c r="CM372" t="s">
        <v>5615</v>
      </c>
      <c r="CN372" t="s">
        <v>482</v>
      </c>
      <c r="CO372" t="s">
        <v>5</v>
      </c>
      <c r="CP372" t="s">
        <v>266</v>
      </c>
      <c r="CS372" t="s">
        <v>198</v>
      </c>
      <c r="CT372" t="s">
        <v>5334</v>
      </c>
      <c r="CU372" t="s">
        <v>292</v>
      </c>
      <c r="CV372" t="s">
        <v>293</v>
      </c>
      <c r="CW372" t="s">
        <v>5616</v>
      </c>
      <c r="CX372" t="s">
        <v>482</v>
      </c>
      <c r="CY372" t="s">
        <v>5</v>
      </c>
      <c r="CZ372" t="s">
        <v>266</v>
      </c>
      <c r="DC372" t="s">
        <v>198</v>
      </c>
      <c r="DD372" t="s">
        <v>4034</v>
      </c>
      <c r="DE372" t="s">
        <v>267</v>
      </c>
      <c r="DF372" t="s">
        <v>268</v>
      </c>
      <c r="DG372" t="s">
        <v>5617</v>
      </c>
      <c r="DH372" t="s">
        <v>482</v>
      </c>
      <c r="DI372" t="s">
        <v>183</v>
      </c>
      <c r="DJ372" t="s">
        <v>266</v>
      </c>
      <c r="DM372" t="s">
        <v>198</v>
      </c>
      <c r="DN372" t="s">
        <v>3951</v>
      </c>
      <c r="DO372" t="s">
        <v>273</v>
      </c>
      <c r="DP372" t="s">
        <v>274</v>
      </c>
      <c r="DQ372" t="s">
        <v>5618</v>
      </c>
      <c r="DR372" t="s">
        <v>4595</v>
      </c>
      <c r="DS372" t="s">
        <v>183</v>
      </c>
      <c r="DT372" t="s">
        <v>266</v>
      </c>
      <c r="DW372" t="s">
        <v>198</v>
      </c>
      <c r="DX372" t="s">
        <v>5619</v>
      </c>
      <c r="DY372" t="s">
        <v>302</v>
      </c>
      <c r="DZ372" t="s">
        <v>303</v>
      </c>
      <c r="EA372" t="s">
        <v>5620</v>
      </c>
      <c r="EB372" t="s">
        <v>333</v>
      </c>
      <c r="EC372" t="s">
        <v>183</v>
      </c>
      <c r="ED372" t="s">
        <v>266</v>
      </c>
      <c r="EG372" t="s">
        <v>198</v>
      </c>
      <c r="EH372" t="s">
        <v>5621</v>
      </c>
      <c r="EI372" t="s">
        <v>238</v>
      </c>
      <c r="EJ372" t="s">
        <v>239</v>
      </c>
      <c r="EK372" t="s">
        <v>4598</v>
      </c>
      <c r="EL372" t="s">
        <v>922</v>
      </c>
      <c r="EM372" t="s">
        <v>183</v>
      </c>
      <c r="EN372" t="s">
        <v>266</v>
      </c>
      <c r="EQ372" t="s">
        <v>198</v>
      </c>
      <c r="ER372" t="s">
        <v>5622</v>
      </c>
      <c r="ES372" t="s">
        <v>346</v>
      </c>
      <c r="ET372" t="s">
        <v>347</v>
      </c>
      <c r="EU372" t="s">
        <v>5623</v>
      </c>
      <c r="EV372" t="s">
        <v>341</v>
      </c>
      <c r="EW372" t="s">
        <v>183</v>
      </c>
      <c r="EX372" t="s">
        <v>266</v>
      </c>
      <c r="FA372" t="s">
        <v>198</v>
      </c>
      <c r="FK372" t="s">
        <v>198</v>
      </c>
      <c r="FU372" t="s">
        <v>198</v>
      </c>
    </row>
    <row r="373" spans="1:177">
      <c r="A373" s="1" t="str">
        <f>HYPERLINK("http://digipan.lumentumllc.com/apps/getLink/index.php?t=PropLink&amp;p=5245095","PL")</f>
        <v>PL</v>
      </c>
      <c r="B373" s="1" t="str">
        <f>HYPERLINK("http://digipan.lumentumllc.com/apps/getLink/index.php?t=TaxLink&amp;p=5245095","TL")</f>
        <v>TL</v>
      </c>
      <c r="C373" s="1" t="str">
        <f>HYPERLINK("http://digipan.lumentumllc.com/apps/getMap/index.php?p=5245095","Map")</f>
        <v>Map</v>
      </c>
      <c r="E373" t="s">
        <v>177</v>
      </c>
      <c r="F373" t="s">
        <v>178</v>
      </c>
      <c r="L373" t="s">
        <v>5624</v>
      </c>
      <c r="N373" t="s">
        <v>5624</v>
      </c>
      <c r="O373" t="s">
        <v>5624</v>
      </c>
      <c r="P373" t="s">
        <v>5625</v>
      </c>
      <c r="Q373" t="s">
        <v>5624</v>
      </c>
      <c r="V373">
        <v>438</v>
      </c>
      <c r="W373">
        <v>2</v>
      </c>
      <c r="X373">
        <v>2017</v>
      </c>
      <c r="Y373">
        <v>2018</v>
      </c>
      <c r="Z373">
        <v>443.68</v>
      </c>
      <c r="AB373" t="s">
        <v>181</v>
      </c>
      <c r="AC373" t="s">
        <v>182</v>
      </c>
      <c r="AD373" t="s">
        <v>183</v>
      </c>
      <c r="AE373">
        <v>1</v>
      </c>
      <c r="AF373">
        <v>6</v>
      </c>
      <c r="AG373" t="s">
        <v>418</v>
      </c>
      <c r="AH373">
        <v>86</v>
      </c>
      <c r="AI373">
        <v>438.11</v>
      </c>
      <c r="AJ373">
        <v>21.91</v>
      </c>
      <c r="AK373">
        <v>460.02</v>
      </c>
      <c r="AL373">
        <v>60333</v>
      </c>
      <c r="AM373">
        <v>13725</v>
      </c>
      <c r="AN373">
        <v>46608</v>
      </c>
      <c r="AO373">
        <v>380</v>
      </c>
      <c r="AP373">
        <v>2016</v>
      </c>
      <c r="AQ373">
        <v>0.74</v>
      </c>
      <c r="AR373">
        <v>0.76</v>
      </c>
      <c r="AS373" t="s">
        <v>5626</v>
      </c>
      <c r="AT373" t="s">
        <v>186</v>
      </c>
      <c r="AU373" t="s">
        <v>177</v>
      </c>
      <c r="AV373" t="s">
        <v>187</v>
      </c>
      <c r="AW373" t="s">
        <v>202</v>
      </c>
      <c r="AX373">
        <v>1</v>
      </c>
      <c r="AY373" t="s">
        <v>188</v>
      </c>
      <c r="AZ373" t="s">
        <v>206</v>
      </c>
      <c r="BA373" t="s">
        <v>355</v>
      </c>
      <c r="BB373" t="s">
        <v>191</v>
      </c>
      <c r="BC373" t="s">
        <v>182</v>
      </c>
      <c r="BD373" t="s">
        <v>182</v>
      </c>
      <c r="BE373" t="s">
        <v>498</v>
      </c>
      <c r="BF373">
        <v>1</v>
      </c>
      <c r="BG373">
        <v>1</v>
      </c>
      <c r="BH373">
        <v>1920</v>
      </c>
      <c r="BI373" t="s">
        <v>5627</v>
      </c>
      <c r="BJ373" t="s">
        <v>194</v>
      </c>
      <c r="BK373" t="s">
        <v>195</v>
      </c>
      <c r="BL373" t="s">
        <v>5628</v>
      </c>
      <c r="BM373" t="s">
        <v>267</v>
      </c>
      <c r="BN373" t="s">
        <v>182</v>
      </c>
      <c r="BO373" t="s">
        <v>5629</v>
      </c>
      <c r="BP373" t="s">
        <v>5630</v>
      </c>
      <c r="BS373" t="s">
        <v>5631</v>
      </c>
      <c r="BT373" t="s">
        <v>198</v>
      </c>
      <c r="BU373" t="s">
        <v>182</v>
      </c>
      <c r="BV373" t="s">
        <v>198</v>
      </c>
      <c r="BW373" t="s">
        <v>198</v>
      </c>
      <c r="BX373" t="s">
        <v>199</v>
      </c>
      <c r="BY373" t="s">
        <v>198</v>
      </c>
      <c r="BZ373" t="s">
        <v>199</v>
      </c>
      <c r="CA373" t="s">
        <v>199</v>
      </c>
      <c r="CB373" t="s">
        <v>5632</v>
      </c>
      <c r="CC373" t="s">
        <v>201</v>
      </c>
      <c r="CD373" t="s">
        <v>202</v>
      </c>
      <c r="CE373" t="s">
        <v>5633</v>
      </c>
      <c r="CF373" t="s">
        <v>204</v>
      </c>
      <c r="CG373" t="s">
        <v>177</v>
      </c>
      <c r="CH373" t="s">
        <v>187</v>
      </c>
      <c r="CI373" t="s">
        <v>5634</v>
      </c>
      <c r="CJ373" t="s">
        <v>4168</v>
      </c>
      <c r="CK373" t="s">
        <v>232</v>
      </c>
      <c r="CL373" t="s">
        <v>233</v>
      </c>
      <c r="CM373" t="s">
        <v>5635</v>
      </c>
      <c r="CN373" t="s">
        <v>235</v>
      </c>
      <c r="CO373" t="s">
        <v>183</v>
      </c>
      <c r="CP373" t="s">
        <v>266</v>
      </c>
      <c r="CS373" t="s">
        <v>198</v>
      </c>
      <c r="CT373" t="s">
        <v>5343</v>
      </c>
      <c r="CU373" t="s">
        <v>292</v>
      </c>
      <c r="CV373" t="s">
        <v>293</v>
      </c>
      <c r="CW373" t="s">
        <v>5636</v>
      </c>
      <c r="CX373" t="s">
        <v>235</v>
      </c>
      <c r="CY373" t="s">
        <v>183</v>
      </c>
      <c r="CZ373" t="s">
        <v>211</v>
      </c>
      <c r="DA373" t="s">
        <v>298</v>
      </c>
      <c r="DC373" t="s">
        <v>4023</v>
      </c>
      <c r="DD373" t="s">
        <v>4138</v>
      </c>
      <c r="DE373" t="s">
        <v>267</v>
      </c>
      <c r="DF373" t="s">
        <v>268</v>
      </c>
      <c r="DG373" t="s">
        <v>5637</v>
      </c>
      <c r="DH373" t="s">
        <v>235</v>
      </c>
      <c r="DI373" t="s">
        <v>183</v>
      </c>
      <c r="DJ373" t="s">
        <v>211</v>
      </c>
      <c r="DK373" t="s">
        <v>298</v>
      </c>
      <c r="DM373" t="s">
        <v>2096</v>
      </c>
      <c r="DN373" t="s">
        <v>5638</v>
      </c>
      <c r="DO373" t="s">
        <v>273</v>
      </c>
      <c r="DP373" t="s">
        <v>274</v>
      </c>
      <c r="DQ373" t="s">
        <v>5639</v>
      </c>
      <c r="DR373" t="s">
        <v>235</v>
      </c>
      <c r="DS373" t="s">
        <v>183</v>
      </c>
      <c r="DT373" t="s">
        <v>211</v>
      </c>
      <c r="DU373" t="s">
        <v>298</v>
      </c>
      <c r="DW373" t="s">
        <v>1069</v>
      </c>
      <c r="DX373" t="s">
        <v>4599</v>
      </c>
      <c r="DY373" t="s">
        <v>302</v>
      </c>
      <c r="DZ373" t="s">
        <v>303</v>
      </c>
      <c r="EA373" t="s">
        <v>5640</v>
      </c>
      <c r="EB373" t="s">
        <v>235</v>
      </c>
      <c r="EC373" t="s">
        <v>183</v>
      </c>
      <c r="ED373" t="s">
        <v>211</v>
      </c>
      <c r="EE373" t="s">
        <v>298</v>
      </c>
      <c r="EG373" t="s">
        <v>2359</v>
      </c>
      <c r="EH373" t="s">
        <v>5641</v>
      </c>
      <c r="EI373" t="s">
        <v>238</v>
      </c>
      <c r="EJ373" t="s">
        <v>239</v>
      </c>
      <c r="EK373" t="s">
        <v>5642</v>
      </c>
      <c r="EL373" t="s">
        <v>440</v>
      </c>
      <c r="EM373" t="s">
        <v>183</v>
      </c>
      <c r="EN373" t="s">
        <v>211</v>
      </c>
      <c r="EO373" t="s">
        <v>264</v>
      </c>
      <c r="EQ373" t="s">
        <v>5643</v>
      </c>
      <c r="ER373" t="s">
        <v>5644</v>
      </c>
      <c r="ES373" t="s">
        <v>346</v>
      </c>
      <c r="ET373" t="s">
        <v>347</v>
      </c>
      <c r="EU373" t="s">
        <v>5645</v>
      </c>
      <c r="EV373" t="s">
        <v>235</v>
      </c>
      <c r="EW373" t="s">
        <v>183</v>
      </c>
      <c r="EX373" t="s">
        <v>211</v>
      </c>
      <c r="EY373" t="s">
        <v>471</v>
      </c>
      <c r="FA373" t="s">
        <v>5643</v>
      </c>
      <c r="FK373" t="s">
        <v>198</v>
      </c>
      <c r="FU373" t="s">
        <v>198</v>
      </c>
    </row>
    <row r="374" spans="1:177">
      <c r="A374" s="1" t="str">
        <f>HYPERLINK("http://digipan.lumentumllc.com/apps/getLink/index.php?t=PropLink&amp;p=6594134","PL")</f>
        <v>PL</v>
      </c>
      <c r="B374" s="1" t="str">
        <f>HYPERLINK("http://digipan.lumentumllc.com/apps/getLink/index.php?t=TaxLink&amp;p=6594134","TL")</f>
        <v>TL</v>
      </c>
      <c r="C374" s="1" t="str">
        <f>HYPERLINK("http://digipan.lumentumllc.com/apps/getMap/index.php?p=6594134","Map")</f>
        <v>Map</v>
      </c>
      <c r="E374" t="s">
        <v>177</v>
      </c>
      <c r="F374" t="s">
        <v>178</v>
      </c>
      <c r="L374" t="s">
        <v>5646</v>
      </c>
      <c r="N374" t="s">
        <v>5646</v>
      </c>
      <c r="O374" t="s">
        <v>5646</v>
      </c>
      <c r="P374" t="s">
        <v>5647</v>
      </c>
      <c r="Q374" t="s">
        <v>5646</v>
      </c>
      <c r="V374">
        <v>440</v>
      </c>
      <c r="W374">
        <v>2</v>
      </c>
      <c r="X374">
        <v>2017</v>
      </c>
      <c r="Y374">
        <v>2018</v>
      </c>
      <c r="Z374">
        <v>818.9</v>
      </c>
      <c r="AB374" t="s">
        <v>181</v>
      </c>
      <c r="AC374" t="s">
        <v>182</v>
      </c>
      <c r="AD374" t="s">
        <v>183</v>
      </c>
      <c r="AE374">
        <v>1</v>
      </c>
      <c r="AF374">
        <v>2</v>
      </c>
      <c r="AG374" t="s">
        <v>363</v>
      </c>
      <c r="AH374">
        <v>67</v>
      </c>
      <c r="AI374">
        <v>801.45</v>
      </c>
      <c r="AJ374">
        <v>40.07</v>
      </c>
      <c r="AK374">
        <v>841.52</v>
      </c>
      <c r="AL374">
        <v>105727</v>
      </c>
      <c r="AM374">
        <v>13125</v>
      </c>
      <c r="AN374">
        <v>92602</v>
      </c>
      <c r="AO374">
        <v>716</v>
      </c>
      <c r="AP374">
        <v>2016</v>
      </c>
      <c r="AQ374">
        <v>0.77</v>
      </c>
      <c r="AR374">
        <v>0.8</v>
      </c>
      <c r="AS374" t="s">
        <v>5648</v>
      </c>
      <c r="AT374" t="s">
        <v>186</v>
      </c>
      <c r="AU374" t="s">
        <v>177</v>
      </c>
      <c r="AV374" t="s">
        <v>187</v>
      </c>
      <c r="AW374" t="s">
        <v>202</v>
      </c>
      <c r="AX374">
        <v>1</v>
      </c>
      <c r="AY374" t="s">
        <v>188</v>
      </c>
      <c r="AZ374" t="s">
        <v>206</v>
      </c>
      <c r="BA374" t="s">
        <v>355</v>
      </c>
      <c r="BB374" t="s">
        <v>191</v>
      </c>
      <c r="BC374" t="s">
        <v>182</v>
      </c>
      <c r="BD374" t="s">
        <v>182</v>
      </c>
      <c r="BE374" t="s">
        <v>5649</v>
      </c>
      <c r="BF374">
        <v>1</v>
      </c>
      <c r="BG374">
        <v>1</v>
      </c>
      <c r="BH374">
        <v>1920</v>
      </c>
      <c r="BI374" t="s">
        <v>5650</v>
      </c>
      <c r="BJ374" t="s">
        <v>194</v>
      </c>
      <c r="BK374" t="s">
        <v>195</v>
      </c>
      <c r="BL374" t="s">
        <v>2891</v>
      </c>
      <c r="BM374" t="s">
        <v>346</v>
      </c>
      <c r="BN374" t="s">
        <v>182</v>
      </c>
      <c r="BO374" t="s">
        <v>5651</v>
      </c>
      <c r="BP374" t="s">
        <v>5652</v>
      </c>
      <c r="BQ374" t="s">
        <v>1896</v>
      </c>
      <c r="BR374" t="s">
        <v>563</v>
      </c>
      <c r="BS374" t="s">
        <v>198</v>
      </c>
      <c r="BT374" t="s">
        <v>5653</v>
      </c>
      <c r="BU374" t="s">
        <v>182</v>
      </c>
      <c r="BV374" t="s">
        <v>198</v>
      </c>
      <c r="BW374" t="s">
        <v>198</v>
      </c>
      <c r="BX374" t="s">
        <v>199</v>
      </c>
      <c r="BY374" t="s">
        <v>198</v>
      </c>
      <c r="BZ374" t="s">
        <v>199</v>
      </c>
      <c r="CA374" t="s">
        <v>199</v>
      </c>
      <c r="CB374" t="s">
        <v>5654</v>
      </c>
      <c r="CC374" t="s">
        <v>201</v>
      </c>
      <c r="CD374" t="s">
        <v>202</v>
      </c>
      <c r="CE374" t="s">
        <v>5655</v>
      </c>
      <c r="CF374" t="s">
        <v>204</v>
      </c>
      <c r="CG374" t="s">
        <v>177</v>
      </c>
      <c r="CH374" t="s">
        <v>187</v>
      </c>
      <c r="CI374" t="s">
        <v>2240</v>
      </c>
      <c r="CJ374" t="s">
        <v>5656</v>
      </c>
      <c r="CK374" t="s">
        <v>232</v>
      </c>
      <c r="CL374" t="s">
        <v>233</v>
      </c>
      <c r="CM374" t="s">
        <v>5657</v>
      </c>
      <c r="CN374" t="s">
        <v>235</v>
      </c>
      <c r="CO374" t="s">
        <v>183</v>
      </c>
      <c r="CP374" t="s">
        <v>266</v>
      </c>
      <c r="CS374" t="s">
        <v>198</v>
      </c>
      <c r="CT374" t="s">
        <v>5174</v>
      </c>
      <c r="CU374" t="s">
        <v>292</v>
      </c>
      <c r="CV374" t="s">
        <v>293</v>
      </c>
      <c r="CW374" t="s">
        <v>5658</v>
      </c>
      <c r="CX374" t="s">
        <v>235</v>
      </c>
      <c r="CY374" t="s">
        <v>183</v>
      </c>
      <c r="CZ374" t="s">
        <v>211</v>
      </c>
      <c r="DA374" t="s">
        <v>298</v>
      </c>
      <c r="DC374" t="s">
        <v>1641</v>
      </c>
      <c r="DD374" t="s">
        <v>3926</v>
      </c>
      <c r="DE374" t="s">
        <v>267</v>
      </c>
      <c r="DF374" t="s">
        <v>268</v>
      </c>
      <c r="DG374" t="s">
        <v>5659</v>
      </c>
      <c r="DH374" t="s">
        <v>235</v>
      </c>
      <c r="DI374" t="s">
        <v>183</v>
      </c>
      <c r="DJ374" t="s">
        <v>211</v>
      </c>
      <c r="DK374" t="s">
        <v>270</v>
      </c>
      <c r="DM374" t="s">
        <v>272</v>
      </c>
      <c r="DW374" t="s">
        <v>198</v>
      </c>
      <c r="EG374" t="s">
        <v>198</v>
      </c>
      <c r="EQ374" t="s">
        <v>198</v>
      </c>
      <c r="FA374" t="s">
        <v>198</v>
      </c>
      <c r="FK374" t="s">
        <v>198</v>
      </c>
      <c r="FU374" t="s">
        <v>198</v>
      </c>
    </row>
    <row r="375" spans="1:177">
      <c r="A375" s="1" t="str">
        <f>HYPERLINK("http://digipan.lumentumllc.com/apps/getLink/index.php?t=PropLink&amp;p=5245097","PL")</f>
        <v>PL</v>
      </c>
      <c r="B375" s="1" t="str">
        <f>HYPERLINK("http://digipan.lumentumllc.com/apps/getLink/index.php?t=TaxLink&amp;p=5245097","TL")</f>
        <v>TL</v>
      </c>
      <c r="C375" s="1" t="str">
        <f>HYPERLINK("http://digipan.lumentumllc.com/apps/getMap/index.php?p=5245097","Map")</f>
        <v>Map</v>
      </c>
      <c r="E375" t="s">
        <v>177</v>
      </c>
      <c r="F375" t="s">
        <v>178</v>
      </c>
      <c r="L375" t="s">
        <v>5660</v>
      </c>
      <c r="N375" t="s">
        <v>5660</v>
      </c>
      <c r="O375" t="s">
        <v>5660</v>
      </c>
      <c r="P375" t="s">
        <v>5661</v>
      </c>
      <c r="Q375" t="s">
        <v>5660</v>
      </c>
      <c r="V375">
        <v>441</v>
      </c>
      <c r="W375">
        <v>2</v>
      </c>
      <c r="X375">
        <v>2017</v>
      </c>
      <c r="Y375">
        <v>2018</v>
      </c>
      <c r="Z375">
        <v>7021.31</v>
      </c>
      <c r="AB375" t="s">
        <v>181</v>
      </c>
      <c r="AC375" t="s">
        <v>182</v>
      </c>
      <c r="AD375" t="s">
        <v>183</v>
      </c>
      <c r="AE375">
        <v>0</v>
      </c>
      <c r="AF375">
        <v>7</v>
      </c>
      <c r="AG375" t="s">
        <v>528</v>
      </c>
      <c r="AH375">
        <v>100</v>
      </c>
      <c r="AK375">
        <v>0</v>
      </c>
      <c r="AL375">
        <v>462758</v>
      </c>
      <c r="AM375">
        <v>104544</v>
      </c>
      <c r="AN375">
        <v>358214</v>
      </c>
      <c r="AO375">
        <v>7004</v>
      </c>
      <c r="AP375">
        <v>2016</v>
      </c>
      <c r="AQ375">
        <v>1.52</v>
      </c>
      <c r="AS375" t="s">
        <v>5662</v>
      </c>
      <c r="AT375" t="s">
        <v>186</v>
      </c>
      <c r="AU375" t="s">
        <v>177</v>
      </c>
      <c r="AV375" t="s">
        <v>187</v>
      </c>
      <c r="AW375" t="s">
        <v>182</v>
      </c>
      <c r="AX375">
        <v>41</v>
      </c>
      <c r="AY375" t="s">
        <v>5663</v>
      </c>
      <c r="AZ375" t="s">
        <v>1006</v>
      </c>
      <c r="BA375" t="s">
        <v>5664</v>
      </c>
      <c r="BB375" t="s">
        <v>191</v>
      </c>
      <c r="BC375" t="s">
        <v>182</v>
      </c>
      <c r="BD375" t="s">
        <v>182</v>
      </c>
      <c r="BE375" t="s">
        <v>5665</v>
      </c>
      <c r="BF375">
        <v>1</v>
      </c>
      <c r="BG375">
        <v>0</v>
      </c>
      <c r="BH375">
        <v>1998</v>
      </c>
      <c r="BI375" t="s">
        <v>5666</v>
      </c>
      <c r="BJ375" t="s">
        <v>194</v>
      </c>
      <c r="BK375" t="s">
        <v>3643</v>
      </c>
      <c r="BL375" t="s">
        <v>5667</v>
      </c>
      <c r="BM375" t="s">
        <v>533</v>
      </c>
      <c r="BN375" t="s">
        <v>182</v>
      </c>
      <c r="BO375" t="s">
        <v>5668</v>
      </c>
      <c r="BP375" t="s">
        <v>5669</v>
      </c>
      <c r="BQ375" t="s">
        <v>226</v>
      </c>
      <c r="BR375" t="s">
        <v>227</v>
      </c>
      <c r="BS375" t="s">
        <v>198</v>
      </c>
      <c r="BT375" t="s">
        <v>5670</v>
      </c>
      <c r="BU375" t="s">
        <v>182</v>
      </c>
      <c r="BV375" t="s">
        <v>198</v>
      </c>
      <c r="BW375" t="s">
        <v>198</v>
      </c>
      <c r="BX375" t="s">
        <v>199</v>
      </c>
      <c r="BY375" t="s">
        <v>198</v>
      </c>
      <c r="BZ375" t="s">
        <v>199</v>
      </c>
      <c r="CA375" t="s">
        <v>199</v>
      </c>
      <c r="CB375" t="s">
        <v>3456</v>
      </c>
      <c r="CC375" t="s">
        <v>201</v>
      </c>
      <c r="CD375" t="s">
        <v>182</v>
      </c>
      <c r="CE375" t="s">
        <v>1217</v>
      </c>
      <c r="CF375" t="s">
        <v>204</v>
      </c>
      <c r="CG375" t="s">
        <v>177</v>
      </c>
      <c r="CH375" t="s">
        <v>5671</v>
      </c>
      <c r="CI375" t="s">
        <v>5672</v>
      </c>
      <c r="CJ375" t="s">
        <v>5200</v>
      </c>
      <c r="CK375" t="s">
        <v>292</v>
      </c>
      <c r="CL375" t="s">
        <v>293</v>
      </c>
      <c r="CM375" t="s">
        <v>5673</v>
      </c>
      <c r="CN375" t="s">
        <v>235</v>
      </c>
      <c r="CO375" t="s">
        <v>183</v>
      </c>
      <c r="CP375" t="s">
        <v>211</v>
      </c>
      <c r="CQ375" t="s">
        <v>212</v>
      </c>
      <c r="CS375" t="s">
        <v>3460</v>
      </c>
      <c r="CT375" t="s">
        <v>3943</v>
      </c>
      <c r="CU375" t="s">
        <v>267</v>
      </c>
      <c r="CV375" t="s">
        <v>268</v>
      </c>
      <c r="CW375" t="s">
        <v>5674</v>
      </c>
      <c r="CX375" t="s">
        <v>235</v>
      </c>
      <c r="CY375" t="s">
        <v>183</v>
      </c>
      <c r="CZ375" t="s">
        <v>211</v>
      </c>
      <c r="DA375" t="s">
        <v>342</v>
      </c>
      <c r="DC375" t="s">
        <v>5675</v>
      </c>
      <c r="DD375" t="s">
        <v>4298</v>
      </c>
      <c r="DE375" t="s">
        <v>273</v>
      </c>
      <c r="DF375" t="s">
        <v>274</v>
      </c>
      <c r="DG375" t="s">
        <v>5676</v>
      </c>
      <c r="DH375" t="s">
        <v>235</v>
      </c>
      <c r="DI375" t="s">
        <v>183</v>
      </c>
      <c r="DJ375" t="s">
        <v>211</v>
      </c>
      <c r="DK375" t="s">
        <v>264</v>
      </c>
      <c r="DM375" t="s">
        <v>5677</v>
      </c>
      <c r="DN375" t="s">
        <v>4653</v>
      </c>
      <c r="DO375" t="s">
        <v>302</v>
      </c>
      <c r="DP375" t="s">
        <v>303</v>
      </c>
      <c r="DQ375" t="s">
        <v>5678</v>
      </c>
      <c r="DR375" t="s">
        <v>235</v>
      </c>
      <c r="DS375" t="s">
        <v>183</v>
      </c>
      <c r="DT375" t="s">
        <v>211</v>
      </c>
      <c r="DU375" t="s">
        <v>264</v>
      </c>
      <c r="DW375" t="s">
        <v>3027</v>
      </c>
      <c r="DX375" t="s">
        <v>5679</v>
      </c>
      <c r="DY375" t="s">
        <v>238</v>
      </c>
      <c r="DZ375" t="s">
        <v>239</v>
      </c>
      <c r="EA375" t="s">
        <v>5680</v>
      </c>
      <c r="EB375" t="s">
        <v>1586</v>
      </c>
      <c r="EC375" t="s">
        <v>183</v>
      </c>
      <c r="ED375" t="s">
        <v>211</v>
      </c>
      <c r="EE375" t="s">
        <v>296</v>
      </c>
      <c r="EG375" t="s">
        <v>613</v>
      </c>
      <c r="EH375" t="s">
        <v>5681</v>
      </c>
      <c r="EI375" t="s">
        <v>346</v>
      </c>
      <c r="EJ375" t="s">
        <v>347</v>
      </c>
      <c r="EK375" t="s">
        <v>5682</v>
      </c>
      <c r="EL375" t="s">
        <v>235</v>
      </c>
      <c r="EM375" t="s">
        <v>183</v>
      </c>
      <c r="EN375" t="s">
        <v>211</v>
      </c>
      <c r="EO375" t="s">
        <v>189</v>
      </c>
      <c r="EQ375" t="s">
        <v>5683</v>
      </c>
      <c r="ER375" t="s">
        <v>5684</v>
      </c>
      <c r="ES375" t="s">
        <v>207</v>
      </c>
      <c r="ET375" t="s">
        <v>208</v>
      </c>
      <c r="EU375" t="s">
        <v>5685</v>
      </c>
      <c r="EV375" t="s">
        <v>469</v>
      </c>
      <c r="EW375" t="s">
        <v>183</v>
      </c>
      <c r="EX375" t="s">
        <v>211</v>
      </c>
      <c r="EY375" t="s">
        <v>290</v>
      </c>
      <c r="FA375" t="s">
        <v>5686</v>
      </c>
      <c r="FK375" t="s">
        <v>198</v>
      </c>
      <c r="FU375" t="s">
        <v>198</v>
      </c>
    </row>
    <row r="376" spans="1:177">
      <c r="A376" s="1" t="str">
        <f>HYPERLINK("http://digipan.lumentumllc.com/apps/getLink/index.php?t=PropLink&amp;p=5245098","PL")</f>
        <v>PL</v>
      </c>
      <c r="B376" s="1" t="str">
        <f>HYPERLINK("http://digipan.lumentumllc.com/apps/getLink/index.php?t=TaxLink&amp;p=5245098","TL")</f>
        <v>TL</v>
      </c>
      <c r="C376" s="1" t="str">
        <f>HYPERLINK("http://digipan.lumentumllc.com/apps/getMap/index.php?p=5245098","Map")</f>
        <v>Map</v>
      </c>
      <c r="E376" t="s">
        <v>177</v>
      </c>
      <c r="F376" t="s">
        <v>178</v>
      </c>
      <c r="L376" t="s">
        <v>5687</v>
      </c>
      <c r="N376" t="s">
        <v>5687</v>
      </c>
      <c r="O376" t="s">
        <v>5687</v>
      </c>
      <c r="P376" t="s">
        <v>5688</v>
      </c>
      <c r="Q376" t="s">
        <v>5687</v>
      </c>
      <c r="V376">
        <v>442</v>
      </c>
      <c r="W376">
        <v>2</v>
      </c>
      <c r="X376">
        <v>2017</v>
      </c>
      <c r="Y376">
        <v>2018</v>
      </c>
      <c r="Z376">
        <v>207.57</v>
      </c>
      <c r="AB376" t="s">
        <v>181</v>
      </c>
      <c r="AC376" t="s">
        <v>182</v>
      </c>
      <c r="AD376" t="s">
        <v>183</v>
      </c>
      <c r="AE376">
        <v>0</v>
      </c>
      <c r="AF376">
        <v>7</v>
      </c>
      <c r="AG376" t="s">
        <v>528</v>
      </c>
      <c r="AH376">
        <v>100</v>
      </c>
      <c r="AK376">
        <v>0</v>
      </c>
      <c r="AL376">
        <v>12196</v>
      </c>
      <c r="AM376">
        <v>12196</v>
      </c>
      <c r="AN376">
        <v>0</v>
      </c>
      <c r="AO376">
        <v>158</v>
      </c>
      <c r="AP376">
        <v>2016</v>
      </c>
      <c r="AQ376">
        <v>1.7</v>
      </c>
      <c r="AS376" t="s">
        <v>3209</v>
      </c>
      <c r="AT376" t="s">
        <v>186</v>
      </c>
      <c r="AU376" t="s">
        <v>177</v>
      </c>
      <c r="AV376" t="s">
        <v>187</v>
      </c>
      <c r="AW376" t="s">
        <v>182</v>
      </c>
      <c r="AX376">
        <v>10</v>
      </c>
      <c r="AY376" t="s">
        <v>3211</v>
      </c>
      <c r="AZ376" t="s">
        <v>270</v>
      </c>
      <c r="BA376" t="s">
        <v>3212</v>
      </c>
      <c r="BB376" t="s">
        <v>191</v>
      </c>
      <c r="BC376" t="s">
        <v>182</v>
      </c>
      <c r="BD376" t="s">
        <v>182</v>
      </c>
      <c r="BE376" t="s">
        <v>5689</v>
      </c>
      <c r="BF376">
        <v>0</v>
      </c>
      <c r="BG376">
        <v>0</v>
      </c>
      <c r="BH376">
        <v>0</v>
      </c>
      <c r="BI376" t="s">
        <v>199</v>
      </c>
      <c r="BJ376" t="s">
        <v>315</v>
      </c>
      <c r="BL376" t="s">
        <v>1720</v>
      </c>
      <c r="BM376" t="s">
        <v>286</v>
      </c>
      <c r="BN376" t="s">
        <v>182</v>
      </c>
      <c r="BO376" t="s">
        <v>198</v>
      </c>
      <c r="BP376" t="s">
        <v>198</v>
      </c>
      <c r="BQ376" t="s">
        <v>198</v>
      </c>
      <c r="BR376" t="s">
        <v>198</v>
      </c>
      <c r="BS376" t="s">
        <v>198</v>
      </c>
      <c r="BT376" t="s">
        <v>198</v>
      </c>
      <c r="BU376" t="s">
        <v>182</v>
      </c>
      <c r="BV376" t="s">
        <v>198</v>
      </c>
      <c r="BW376" t="s">
        <v>198</v>
      </c>
      <c r="BX376" t="s">
        <v>199</v>
      </c>
      <c r="BY376" t="s">
        <v>198</v>
      </c>
      <c r="BZ376" t="s">
        <v>199</v>
      </c>
      <c r="CA376" t="s">
        <v>199</v>
      </c>
      <c r="CB376" t="s">
        <v>5690</v>
      </c>
      <c r="CC376" t="s">
        <v>201</v>
      </c>
      <c r="CD376" t="s">
        <v>182</v>
      </c>
      <c r="CE376" t="s">
        <v>5691</v>
      </c>
      <c r="CF376" t="s">
        <v>204</v>
      </c>
      <c r="CG376" t="s">
        <v>177</v>
      </c>
      <c r="CH376" t="s">
        <v>187</v>
      </c>
      <c r="CI376" t="s">
        <v>5692</v>
      </c>
      <c r="CJ376" t="s">
        <v>5417</v>
      </c>
      <c r="CK376" t="s">
        <v>292</v>
      </c>
      <c r="CL376" t="s">
        <v>293</v>
      </c>
      <c r="CM376" t="s">
        <v>5693</v>
      </c>
      <c r="CN376" t="s">
        <v>235</v>
      </c>
      <c r="CO376" t="s">
        <v>183</v>
      </c>
      <c r="CP376" t="s">
        <v>211</v>
      </c>
      <c r="CQ376" t="s">
        <v>212</v>
      </c>
      <c r="CS376" t="s">
        <v>3460</v>
      </c>
      <c r="CT376" t="s">
        <v>3951</v>
      </c>
      <c r="CU376" t="s">
        <v>267</v>
      </c>
      <c r="CV376" t="s">
        <v>268</v>
      </c>
      <c r="CW376" t="s">
        <v>5694</v>
      </c>
      <c r="CX376" t="s">
        <v>331</v>
      </c>
      <c r="CY376" t="s">
        <v>183</v>
      </c>
      <c r="CZ376" t="s">
        <v>211</v>
      </c>
      <c r="DA376" t="s">
        <v>342</v>
      </c>
      <c r="DC376" t="s">
        <v>5675</v>
      </c>
      <c r="DD376" t="s">
        <v>5695</v>
      </c>
      <c r="DE376" t="s">
        <v>273</v>
      </c>
      <c r="DF376" t="s">
        <v>274</v>
      </c>
      <c r="DG376" t="s">
        <v>5696</v>
      </c>
      <c r="DH376" t="s">
        <v>1491</v>
      </c>
      <c r="DI376" t="s">
        <v>183</v>
      </c>
      <c r="DJ376" t="s">
        <v>211</v>
      </c>
      <c r="DK376" t="s">
        <v>264</v>
      </c>
      <c r="DM376" t="s">
        <v>5677</v>
      </c>
      <c r="DN376" t="s">
        <v>4662</v>
      </c>
      <c r="DO376" t="s">
        <v>302</v>
      </c>
      <c r="DP376" t="s">
        <v>303</v>
      </c>
      <c r="DQ376" t="s">
        <v>5697</v>
      </c>
      <c r="DR376" t="s">
        <v>440</v>
      </c>
      <c r="DS376" t="s">
        <v>183</v>
      </c>
      <c r="DT376" t="s">
        <v>211</v>
      </c>
      <c r="DU376" t="s">
        <v>264</v>
      </c>
      <c r="DW376" t="s">
        <v>3027</v>
      </c>
      <c r="DX376" t="s">
        <v>5698</v>
      </c>
      <c r="DY376" t="s">
        <v>238</v>
      </c>
      <c r="DZ376" t="s">
        <v>239</v>
      </c>
      <c r="EA376" t="s">
        <v>5699</v>
      </c>
      <c r="EB376" t="s">
        <v>922</v>
      </c>
      <c r="EC376" t="s">
        <v>183</v>
      </c>
      <c r="ED376" t="s">
        <v>211</v>
      </c>
      <c r="EE376" t="s">
        <v>296</v>
      </c>
      <c r="EG376" t="s">
        <v>613</v>
      </c>
      <c r="EH376" t="s">
        <v>5700</v>
      </c>
      <c r="EI376" t="s">
        <v>346</v>
      </c>
      <c r="EJ376" t="s">
        <v>347</v>
      </c>
      <c r="EK376" t="s">
        <v>5701</v>
      </c>
      <c r="EL376" t="s">
        <v>615</v>
      </c>
      <c r="EM376" t="s">
        <v>183</v>
      </c>
      <c r="EN376" t="s">
        <v>211</v>
      </c>
      <c r="EO376" t="s">
        <v>189</v>
      </c>
      <c r="EQ376" t="s">
        <v>5683</v>
      </c>
      <c r="ER376" t="s">
        <v>5702</v>
      </c>
      <c r="ES376" t="s">
        <v>207</v>
      </c>
      <c r="ET376" t="s">
        <v>208</v>
      </c>
      <c r="EU376" t="s">
        <v>5703</v>
      </c>
      <c r="EV376" t="s">
        <v>576</v>
      </c>
      <c r="EW376" t="s">
        <v>183</v>
      </c>
      <c r="EX376" t="s">
        <v>211</v>
      </c>
      <c r="EY376" t="s">
        <v>290</v>
      </c>
      <c r="FA376" t="s">
        <v>5686</v>
      </c>
      <c r="FK376" t="s">
        <v>198</v>
      </c>
      <c r="FU376" t="s">
        <v>198</v>
      </c>
    </row>
    <row r="377" spans="1:177">
      <c r="A377" s="1" t="str">
        <f>HYPERLINK("http://digipan.lumentumllc.com/apps/getLink/index.php?t=PropLink&amp;p=5245099","PL")</f>
        <v>PL</v>
      </c>
      <c r="B377" s="1" t="str">
        <f>HYPERLINK("http://digipan.lumentumllc.com/apps/getLink/index.php?t=TaxLink&amp;p=5245099","TL")</f>
        <v>TL</v>
      </c>
      <c r="C377" s="1" t="str">
        <f>HYPERLINK("http://digipan.lumentumllc.com/apps/getMap/index.php?p=5245099","Map")</f>
        <v>Map</v>
      </c>
      <c r="E377" t="s">
        <v>177</v>
      </c>
      <c r="F377" t="s">
        <v>178</v>
      </c>
      <c r="L377" t="s">
        <v>5704</v>
      </c>
      <c r="N377" t="s">
        <v>5704</v>
      </c>
      <c r="O377" t="s">
        <v>5704</v>
      </c>
      <c r="P377" t="s">
        <v>5705</v>
      </c>
      <c r="Q377" t="s">
        <v>5704</v>
      </c>
      <c r="V377">
        <v>443</v>
      </c>
      <c r="W377">
        <v>2</v>
      </c>
      <c r="X377">
        <v>2017</v>
      </c>
      <c r="Y377">
        <v>2018</v>
      </c>
      <c r="Z377">
        <v>847.13</v>
      </c>
      <c r="AB377" t="s">
        <v>181</v>
      </c>
      <c r="AC377" t="s">
        <v>182</v>
      </c>
      <c r="AD377" t="s">
        <v>183</v>
      </c>
      <c r="AE377">
        <v>0</v>
      </c>
      <c r="AF377">
        <v>7</v>
      </c>
      <c r="AG377" t="s">
        <v>528</v>
      </c>
      <c r="AH377">
        <v>100</v>
      </c>
      <c r="AK377">
        <v>0</v>
      </c>
      <c r="AL377">
        <v>56628</v>
      </c>
      <c r="AM377">
        <v>56628</v>
      </c>
      <c r="AN377">
        <v>0</v>
      </c>
      <c r="AO377">
        <v>733</v>
      </c>
      <c r="AP377">
        <v>2016</v>
      </c>
      <c r="AQ377">
        <v>1.5</v>
      </c>
      <c r="AS377" t="s">
        <v>5706</v>
      </c>
      <c r="AT377" t="s">
        <v>186</v>
      </c>
      <c r="AU377" t="s">
        <v>177</v>
      </c>
      <c r="AV377" t="s">
        <v>187</v>
      </c>
      <c r="AW377" t="s">
        <v>182</v>
      </c>
      <c r="AX377">
        <v>10</v>
      </c>
      <c r="AY377" t="s">
        <v>3211</v>
      </c>
      <c r="AZ377" t="s">
        <v>270</v>
      </c>
      <c r="BA377" t="s">
        <v>3212</v>
      </c>
      <c r="BB377" t="s">
        <v>191</v>
      </c>
      <c r="BC377" t="s">
        <v>182</v>
      </c>
      <c r="BD377" t="s">
        <v>182</v>
      </c>
      <c r="BE377" t="s">
        <v>1495</v>
      </c>
      <c r="BF377">
        <v>0</v>
      </c>
      <c r="BG377">
        <v>0</v>
      </c>
      <c r="BH377">
        <v>0</v>
      </c>
      <c r="BI377" t="s">
        <v>199</v>
      </c>
      <c r="BJ377" t="s">
        <v>315</v>
      </c>
      <c r="BL377" t="s">
        <v>1310</v>
      </c>
      <c r="BM377" t="s">
        <v>368</v>
      </c>
      <c r="BN377" t="s">
        <v>182</v>
      </c>
      <c r="BO377" t="s">
        <v>198</v>
      </c>
      <c r="BP377" t="s">
        <v>198</v>
      </c>
      <c r="BQ377" t="s">
        <v>198</v>
      </c>
      <c r="BR377" t="s">
        <v>198</v>
      </c>
      <c r="BS377" t="s">
        <v>198</v>
      </c>
      <c r="BT377" t="s">
        <v>198</v>
      </c>
      <c r="BU377" t="s">
        <v>182</v>
      </c>
      <c r="BV377" t="s">
        <v>198</v>
      </c>
      <c r="BW377" t="s">
        <v>198</v>
      </c>
      <c r="BX377" t="s">
        <v>199</v>
      </c>
      <c r="BY377" t="s">
        <v>198</v>
      </c>
      <c r="BZ377" t="s">
        <v>199</v>
      </c>
      <c r="CA377" t="s">
        <v>199</v>
      </c>
      <c r="CB377" t="s">
        <v>5690</v>
      </c>
      <c r="CC377" t="s">
        <v>201</v>
      </c>
      <c r="CD377" t="s">
        <v>182</v>
      </c>
      <c r="CE377" t="s">
        <v>5691</v>
      </c>
      <c r="CF377" t="s">
        <v>204</v>
      </c>
      <c r="CG377" t="s">
        <v>177</v>
      </c>
      <c r="CH377" t="s">
        <v>187</v>
      </c>
      <c r="CI377" t="s">
        <v>5692</v>
      </c>
      <c r="CJ377" t="s">
        <v>3872</v>
      </c>
      <c r="CK377" t="s">
        <v>292</v>
      </c>
      <c r="CL377" t="s">
        <v>293</v>
      </c>
      <c r="CM377" t="s">
        <v>5707</v>
      </c>
      <c r="CN377" t="s">
        <v>235</v>
      </c>
      <c r="CO377" t="s">
        <v>183</v>
      </c>
      <c r="CP377" t="s">
        <v>211</v>
      </c>
      <c r="CQ377" t="s">
        <v>212</v>
      </c>
      <c r="CS377" t="s">
        <v>3460</v>
      </c>
      <c r="CT377" t="s">
        <v>5638</v>
      </c>
      <c r="CU377" t="s">
        <v>267</v>
      </c>
      <c r="CV377" t="s">
        <v>268</v>
      </c>
      <c r="CW377" t="s">
        <v>5708</v>
      </c>
      <c r="CX377" t="s">
        <v>235</v>
      </c>
      <c r="CY377" t="s">
        <v>183</v>
      </c>
      <c r="CZ377" t="s">
        <v>211</v>
      </c>
      <c r="DA377" t="s">
        <v>342</v>
      </c>
      <c r="DC377" t="s">
        <v>5675</v>
      </c>
      <c r="DD377" t="s">
        <v>4136</v>
      </c>
      <c r="DE377" t="s">
        <v>273</v>
      </c>
      <c r="DF377" t="s">
        <v>274</v>
      </c>
      <c r="DG377" t="s">
        <v>5709</v>
      </c>
      <c r="DH377" t="s">
        <v>235</v>
      </c>
      <c r="DI377" t="s">
        <v>183</v>
      </c>
      <c r="DJ377" t="s">
        <v>211</v>
      </c>
      <c r="DK377" t="s">
        <v>264</v>
      </c>
      <c r="DM377" t="s">
        <v>5677</v>
      </c>
      <c r="DN377" t="s">
        <v>4675</v>
      </c>
      <c r="DO377" t="s">
        <v>302</v>
      </c>
      <c r="DP377" t="s">
        <v>303</v>
      </c>
      <c r="DQ377" t="s">
        <v>5710</v>
      </c>
      <c r="DR377" t="s">
        <v>235</v>
      </c>
      <c r="DS377" t="s">
        <v>183</v>
      </c>
      <c r="DT377" t="s">
        <v>211</v>
      </c>
      <c r="DU377" t="s">
        <v>264</v>
      </c>
      <c r="DW377" t="s">
        <v>3027</v>
      </c>
      <c r="DX377" t="s">
        <v>5711</v>
      </c>
      <c r="DY377" t="s">
        <v>238</v>
      </c>
      <c r="DZ377" t="s">
        <v>239</v>
      </c>
      <c r="EA377" t="s">
        <v>5712</v>
      </c>
      <c r="EB377" t="s">
        <v>278</v>
      </c>
      <c r="EC377" t="s">
        <v>183</v>
      </c>
      <c r="ED377" t="s">
        <v>211</v>
      </c>
      <c r="EE377" t="s">
        <v>296</v>
      </c>
      <c r="EG377" t="s">
        <v>613</v>
      </c>
      <c r="EH377" t="s">
        <v>5713</v>
      </c>
      <c r="EI377" t="s">
        <v>346</v>
      </c>
      <c r="EJ377" t="s">
        <v>347</v>
      </c>
      <c r="EK377" t="s">
        <v>5714</v>
      </c>
      <c r="EL377" t="s">
        <v>1551</v>
      </c>
      <c r="EM377" t="s">
        <v>183</v>
      </c>
      <c r="EN377" t="s">
        <v>211</v>
      </c>
      <c r="EO377" t="s">
        <v>189</v>
      </c>
      <c r="EQ377" t="s">
        <v>5683</v>
      </c>
      <c r="ER377" t="s">
        <v>5715</v>
      </c>
      <c r="ES377" t="s">
        <v>207</v>
      </c>
      <c r="ET377" t="s">
        <v>208</v>
      </c>
      <c r="EU377" t="s">
        <v>5716</v>
      </c>
      <c r="EV377" t="s">
        <v>576</v>
      </c>
      <c r="EW377" t="s">
        <v>183</v>
      </c>
      <c r="EX377" t="s">
        <v>211</v>
      </c>
      <c r="EY377" t="s">
        <v>290</v>
      </c>
      <c r="FA377" t="s">
        <v>5686</v>
      </c>
      <c r="FK377" t="s">
        <v>198</v>
      </c>
      <c r="FU377" t="s">
        <v>198</v>
      </c>
    </row>
    <row r="378" spans="1:177">
      <c r="A378" s="1" t="str">
        <f>HYPERLINK("http://digipan.lumentumllc.com/apps/getLink/index.php?t=PropLink&amp;p=15741285","PL")</f>
        <v>PL</v>
      </c>
      <c r="B378" s="1" t="str">
        <f>HYPERLINK("http://digipan.lumentumllc.com/apps/getLink/index.php?t=TaxLink&amp;p=15741285","TL")</f>
        <v>TL</v>
      </c>
      <c r="C378" s="1" t="str">
        <f>HYPERLINK("http://digipan.lumentumllc.com/apps/getMap/index.php?p=15741285","Map")</f>
        <v>Map</v>
      </c>
      <c r="E378" t="s">
        <v>177</v>
      </c>
      <c r="F378" t="s">
        <v>178</v>
      </c>
      <c r="L378" t="s">
        <v>5717</v>
      </c>
      <c r="N378" t="s">
        <v>5717</v>
      </c>
      <c r="O378" t="s">
        <v>5717</v>
      </c>
      <c r="Q378" t="s">
        <v>5717</v>
      </c>
      <c r="V378">
        <v>444</v>
      </c>
      <c r="W378">
        <v>2</v>
      </c>
      <c r="X378">
        <v>2017</v>
      </c>
      <c r="Y378">
        <v>2018</v>
      </c>
      <c r="Z378">
        <v>2447.48</v>
      </c>
      <c r="AB378" t="s">
        <v>181</v>
      </c>
      <c r="AC378" t="s">
        <v>182</v>
      </c>
      <c r="AD378" t="s">
        <v>183</v>
      </c>
      <c r="AE378">
        <v>1</v>
      </c>
      <c r="AF378">
        <v>0</v>
      </c>
      <c r="AG378" t="s">
        <v>1200</v>
      </c>
      <c r="AH378">
        <v>0</v>
      </c>
      <c r="AI378">
        <v>2408.3200000000002</v>
      </c>
      <c r="AJ378">
        <v>120.42</v>
      </c>
      <c r="AK378">
        <v>2528.7399999999998</v>
      </c>
      <c r="AL378">
        <v>159929</v>
      </c>
      <c r="AM378">
        <v>38115</v>
      </c>
      <c r="AN378">
        <v>121814</v>
      </c>
      <c r="AO378">
        <v>2202</v>
      </c>
      <c r="AP378">
        <v>2016</v>
      </c>
      <c r="AQ378">
        <v>1.53</v>
      </c>
      <c r="AR378">
        <v>1.58</v>
      </c>
      <c r="AS378" t="s">
        <v>5718</v>
      </c>
      <c r="AT378" t="s">
        <v>186</v>
      </c>
      <c r="AU378" t="s">
        <v>177</v>
      </c>
      <c r="AV378" t="s">
        <v>187</v>
      </c>
      <c r="AW378" t="s">
        <v>182</v>
      </c>
      <c r="AX378">
        <v>1</v>
      </c>
      <c r="AY378" t="s">
        <v>188</v>
      </c>
      <c r="AZ378" t="s">
        <v>206</v>
      </c>
      <c r="BA378" t="s">
        <v>355</v>
      </c>
      <c r="BB378" t="s">
        <v>191</v>
      </c>
      <c r="BC378" t="s">
        <v>182</v>
      </c>
      <c r="BD378" t="s">
        <v>182</v>
      </c>
      <c r="BE378" t="s">
        <v>436</v>
      </c>
      <c r="BF378">
        <v>4</v>
      </c>
      <c r="BG378">
        <v>4</v>
      </c>
      <c r="BH378">
        <v>1920</v>
      </c>
      <c r="BI378" t="s">
        <v>5719</v>
      </c>
      <c r="BJ378" t="s">
        <v>194</v>
      </c>
      <c r="BK378" t="s">
        <v>195</v>
      </c>
      <c r="BL378" t="s">
        <v>199</v>
      </c>
      <c r="BM378" t="s">
        <v>292</v>
      </c>
      <c r="BN378" t="s">
        <v>182</v>
      </c>
      <c r="BO378" t="s">
        <v>198</v>
      </c>
      <c r="BP378" t="s">
        <v>198</v>
      </c>
      <c r="BQ378" t="s">
        <v>198</v>
      </c>
      <c r="BR378" t="s">
        <v>198</v>
      </c>
      <c r="BS378" t="s">
        <v>198</v>
      </c>
      <c r="BT378" t="s">
        <v>198</v>
      </c>
      <c r="BU378" t="s">
        <v>182</v>
      </c>
      <c r="BV378" t="s">
        <v>198</v>
      </c>
      <c r="BW378" t="s">
        <v>198</v>
      </c>
      <c r="BX378" t="s">
        <v>199</v>
      </c>
      <c r="BY378" t="s">
        <v>198</v>
      </c>
      <c r="BZ378" t="s">
        <v>199</v>
      </c>
      <c r="CA378" t="s">
        <v>199</v>
      </c>
      <c r="CB378" t="s">
        <v>5720</v>
      </c>
      <c r="CC378" t="s">
        <v>201</v>
      </c>
      <c r="CD378" t="s">
        <v>202</v>
      </c>
      <c r="CE378" t="s">
        <v>5721</v>
      </c>
      <c r="CF378" t="s">
        <v>204</v>
      </c>
      <c r="CG378" t="s">
        <v>177</v>
      </c>
      <c r="CH378" t="s">
        <v>187</v>
      </c>
      <c r="CI378" t="s">
        <v>5722</v>
      </c>
      <c r="CJ378" t="s">
        <v>4249</v>
      </c>
      <c r="CK378" t="s">
        <v>232</v>
      </c>
      <c r="CL378" t="s">
        <v>233</v>
      </c>
      <c r="CM378" t="s">
        <v>5723</v>
      </c>
      <c r="CN378" t="s">
        <v>235</v>
      </c>
      <c r="CO378" t="s">
        <v>183</v>
      </c>
      <c r="CP378" t="s">
        <v>266</v>
      </c>
      <c r="CS378" t="s">
        <v>198</v>
      </c>
      <c r="DC378" t="s">
        <v>198</v>
      </c>
      <c r="DM378" t="s">
        <v>198</v>
      </c>
      <c r="DW378" t="s">
        <v>198</v>
      </c>
      <c r="EG378" t="s">
        <v>198</v>
      </c>
      <c r="EQ378" t="s">
        <v>198</v>
      </c>
      <c r="FA378" t="s">
        <v>198</v>
      </c>
      <c r="FK378" t="s">
        <v>198</v>
      </c>
      <c r="FU378" t="s">
        <v>198</v>
      </c>
    </row>
    <row r="379" spans="1:177">
      <c r="A379" s="1" t="str">
        <f>HYPERLINK("http://digipan.lumentumllc.com/apps/getLink/index.php?t=PropLink&amp;p=5245101","PL")</f>
        <v>PL</v>
      </c>
      <c r="B379" s="1" t="str">
        <f>HYPERLINK("http://digipan.lumentumllc.com/apps/getLink/index.php?t=TaxLink&amp;p=5245101","TL")</f>
        <v>TL</v>
      </c>
      <c r="C379" s="1" t="str">
        <f>HYPERLINK("http://digipan.lumentumllc.com/apps/getMap/index.php?p=5245101","Map")</f>
        <v>Map</v>
      </c>
      <c r="E379" t="s">
        <v>177</v>
      </c>
      <c r="F379" t="s">
        <v>178</v>
      </c>
      <c r="L379" t="s">
        <v>5724</v>
      </c>
      <c r="N379" t="s">
        <v>5724</v>
      </c>
      <c r="O379" t="s">
        <v>5724</v>
      </c>
      <c r="P379" t="s">
        <v>5725</v>
      </c>
      <c r="Q379" t="s">
        <v>5724</v>
      </c>
      <c r="V379">
        <v>445</v>
      </c>
      <c r="W379">
        <v>2</v>
      </c>
      <c r="X379">
        <v>2017</v>
      </c>
      <c r="Y379">
        <v>2018</v>
      </c>
      <c r="Z379">
        <v>1942.57</v>
      </c>
      <c r="AB379" t="s">
        <v>181</v>
      </c>
      <c r="AC379" t="s">
        <v>182</v>
      </c>
      <c r="AD379" t="s">
        <v>183</v>
      </c>
      <c r="AE379">
        <v>0</v>
      </c>
      <c r="AF379">
        <v>1</v>
      </c>
      <c r="AG379" t="s">
        <v>821</v>
      </c>
      <c r="AH379">
        <v>100</v>
      </c>
      <c r="AK379">
        <v>0</v>
      </c>
      <c r="AL379">
        <v>126497</v>
      </c>
      <c r="AM379">
        <v>52729</v>
      </c>
      <c r="AN379">
        <v>73768</v>
      </c>
      <c r="AO379">
        <v>1842</v>
      </c>
      <c r="AP379">
        <v>2016</v>
      </c>
      <c r="AQ379">
        <v>1.54</v>
      </c>
      <c r="AS379" t="s">
        <v>5726</v>
      </c>
      <c r="AT379" t="s">
        <v>186</v>
      </c>
      <c r="AU379" t="s">
        <v>177</v>
      </c>
      <c r="AV379" t="s">
        <v>187</v>
      </c>
      <c r="AW379" t="s">
        <v>182</v>
      </c>
      <c r="AX379">
        <v>1</v>
      </c>
      <c r="AY379" t="s">
        <v>188</v>
      </c>
      <c r="AZ379" t="s">
        <v>206</v>
      </c>
      <c r="BA379" t="s">
        <v>355</v>
      </c>
      <c r="BB379" t="s">
        <v>191</v>
      </c>
      <c r="BC379" t="s">
        <v>182</v>
      </c>
      <c r="BD379" t="s">
        <v>182</v>
      </c>
      <c r="BE379" t="s">
        <v>5727</v>
      </c>
      <c r="BF379">
        <v>2</v>
      </c>
      <c r="BG379">
        <v>2</v>
      </c>
      <c r="BH379">
        <v>1930</v>
      </c>
      <c r="BI379" t="s">
        <v>5728</v>
      </c>
      <c r="BJ379" t="s">
        <v>194</v>
      </c>
      <c r="BK379" t="s">
        <v>195</v>
      </c>
      <c r="BL379" t="s">
        <v>199</v>
      </c>
      <c r="BM379" t="s">
        <v>302</v>
      </c>
      <c r="BN379" t="s">
        <v>182</v>
      </c>
      <c r="BO379" t="s">
        <v>198</v>
      </c>
      <c r="BP379" t="s">
        <v>198</v>
      </c>
      <c r="BQ379" t="s">
        <v>198</v>
      </c>
      <c r="BR379" t="s">
        <v>198</v>
      </c>
      <c r="BS379" t="s">
        <v>198</v>
      </c>
      <c r="BT379" t="s">
        <v>198</v>
      </c>
      <c r="BU379" t="s">
        <v>182</v>
      </c>
      <c r="BV379" t="s">
        <v>198</v>
      </c>
      <c r="BW379" t="s">
        <v>198</v>
      </c>
      <c r="BX379" t="s">
        <v>199</v>
      </c>
      <c r="BY379" t="s">
        <v>198</v>
      </c>
      <c r="BZ379" t="s">
        <v>199</v>
      </c>
      <c r="CA379" t="s">
        <v>199</v>
      </c>
      <c r="CB379" t="s">
        <v>5729</v>
      </c>
      <c r="CC379" t="s">
        <v>201</v>
      </c>
      <c r="CD379" t="s">
        <v>182</v>
      </c>
      <c r="CE379" t="s">
        <v>5730</v>
      </c>
      <c r="CF379" t="s">
        <v>204</v>
      </c>
      <c r="CG379" t="s">
        <v>177</v>
      </c>
      <c r="CH379" t="s">
        <v>187</v>
      </c>
      <c r="CI379" t="s">
        <v>5731</v>
      </c>
      <c r="CJ379" t="s">
        <v>5732</v>
      </c>
      <c r="CK379" t="s">
        <v>302</v>
      </c>
      <c r="CL379" t="s">
        <v>303</v>
      </c>
      <c r="CM379" t="s">
        <v>5733</v>
      </c>
      <c r="CN379" t="s">
        <v>235</v>
      </c>
      <c r="CO379" t="s">
        <v>183</v>
      </c>
      <c r="CP379" t="s">
        <v>211</v>
      </c>
      <c r="CQ379" t="s">
        <v>189</v>
      </c>
      <c r="CS379" t="s">
        <v>5734</v>
      </c>
      <c r="DC379" t="s">
        <v>198</v>
      </c>
      <c r="DM379" t="s">
        <v>198</v>
      </c>
      <c r="DW379" t="s">
        <v>198</v>
      </c>
      <c r="EG379" t="s">
        <v>198</v>
      </c>
      <c r="EQ379" t="s">
        <v>198</v>
      </c>
      <c r="FA379" t="s">
        <v>198</v>
      </c>
      <c r="FK379" t="s">
        <v>198</v>
      </c>
      <c r="FU379" t="s">
        <v>198</v>
      </c>
    </row>
    <row r="380" spans="1:177">
      <c r="A380" s="1" t="str">
        <f>HYPERLINK("http://digipan.lumentumllc.com/apps/getLink/index.php?t=PropLink&amp;p=5245102","PL")</f>
        <v>PL</v>
      </c>
      <c r="B380" s="1" t="str">
        <f>HYPERLINK("http://digipan.lumentumllc.com/apps/getLink/index.php?t=TaxLink&amp;p=5245102","TL")</f>
        <v>TL</v>
      </c>
      <c r="C380" s="1" t="str">
        <f>HYPERLINK("http://digipan.lumentumllc.com/apps/getMap/index.php?p=5245102","Map")</f>
        <v>Map</v>
      </c>
      <c r="E380" t="s">
        <v>177</v>
      </c>
      <c r="F380" t="s">
        <v>178</v>
      </c>
      <c r="L380" t="s">
        <v>5735</v>
      </c>
      <c r="N380" t="s">
        <v>5735</v>
      </c>
      <c r="O380" t="s">
        <v>5735</v>
      </c>
      <c r="P380" t="s">
        <v>5736</v>
      </c>
      <c r="Q380" t="s">
        <v>5735</v>
      </c>
      <c r="V380">
        <v>446</v>
      </c>
      <c r="W380">
        <v>2</v>
      </c>
      <c r="X380">
        <v>2017</v>
      </c>
      <c r="Y380">
        <v>2018</v>
      </c>
      <c r="Z380">
        <v>50.34</v>
      </c>
      <c r="AB380" t="s">
        <v>181</v>
      </c>
      <c r="AC380" t="s">
        <v>182</v>
      </c>
      <c r="AD380" t="s">
        <v>1037</v>
      </c>
      <c r="AE380">
        <v>7</v>
      </c>
      <c r="AF380">
        <v>0</v>
      </c>
      <c r="AG380" t="s">
        <v>1038</v>
      </c>
      <c r="AH380">
        <v>0</v>
      </c>
      <c r="AI380">
        <v>246.43</v>
      </c>
      <c r="AJ380">
        <v>158.86000000000001</v>
      </c>
      <c r="AK380">
        <v>405.29</v>
      </c>
      <c r="AL380">
        <v>1742</v>
      </c>
      <c r="AM380">
        <v>1742</v>
      </c>
      <c r="AN380">
        <v>0</v>
      </c>
      <c r="AO380">
        <v>17</v>
      </c>
      <c r="AP380">
        <v>2016</v>
      </c>
      <c r="AQ380">
        <v>2.89</v>
      </c>
      <c r="AR380">
        <v>23.27</v>
      </c>
      <c r="AS380" t="s">
        <v>3888</v>
      </c>
      <c r="AT380" t="s">
        <v>186</v>
      </c>
      <c r="AU380" t="s">
        <v>177</v>
      </c>
      <c r="AV380" t="s">
        <v>187</v>
      </c>
      <c r="AW380" t="s">
        <v>182</v>
      </c>
      <c r="AX380">
        <v>0</v>
      </c>
      <c r="AY380" t="s">
        <v>312</v>
      </c>
      <c r="AZ380" t="s">
        <v>199</v>
      </c>
      <c r="BA380" t="s">
        <v>313</v>
      </c>
      <c r="BB380" t="s">
        <v>191</v>
      </c>
      <c r="BC380" t="s">
        <v>182</v>
      </c>
      <c r="BD380" t="s">
        <v>182</v>
      </c>
      <c r="BE380" t="s">
        <v>5737</v>
      </c>
      <c r="BF380">
        <v>0</v>
      </c>
      <c r="BG380">
        <v>0</v>
      </c>
      <c r="BH380">
        <v>0</v>
      </c>
      <c r="BI380" t="s">
        <v>199</v>
      </c>
      <c r="BJ380" t="s">
        <v>315</v>
      </c>
      <c r="BL380" t="s">
        <v>5738</v>
      </c>
      <c r="BM380" t="s">
        <v>945</v>
      </c>
      <c r="BN380" t="s">
        <v>182</v>
      </c>
      <c r="BO380" t="s">
        <v>198</v>
      </c>
      <c r="BP380" t="s">
        <v>198</v>
      </c>
      <c r="BQ380" t="s">
        <v>198</v>
      </c>
      <c r="BR380" t="s">
        <v>198</v>
      </c>
      <c r="BS380" t="s">
        <v>198</v>
      </c>
      <c r="BT380" t="s">
        <v>198</v>
      </c>
      <c r="BU380" t="s">
        <v>182</v>
      </c>
      <c r="BV380" t="s">
        <v>198</v>
      </c>
      <c r="BW380" t="s">
        <v>198</v>
      </c>
      <c r="BX380" t="s">
        <v>199</v>
      </c>
      <c r="BY380" t="s">
        <v>198</v>
      </c>
      <c r="BZ380" t="s">
        <v>199</v>
      </c>
      <c r="CA380" t="s">
        <v>199</v>
      </c>
      <c r="CB380" t="s">
        <v>5739</v>
      </c>
      <c r="CC380" t="s">
        <v>201</v>
      </c>
      <c r="CD380" t="s">
        <v>182</v>
      </c>
      <c r="CE380" t="s">
        <v>5740</v>
      </c>
      <c r="CF380" t="s">
        <v>413</v>
      </c>
      <c r="CG380" t="s">
        <v>177</v>
      </c>
      <c r="CH380" t="s">
        <v>5741</v>
      </c>
      <c r="CI380" t="s">
        <v>5742</v>
      </c>
      <c r="CJ380" t="s">
        <v>4295</v>
      </c>
      <c r="CK380" t="s">
        <v>232</v>
      </c>
      <c r="CL380" t="s">
        <v>233</v>
      </c>
      <c r="CM380" t="s">
        <v>5743</v>
      </c>
      <c r="CN380" t="s">
        <v>482</v>
      </c>
      <c r="CO380" t="s">
        <v>5</v>
      </c>
      <c r="CP380" t="s">
        <v>266</v>
      </c>
      <c r="CS380" t="s">
        <v>198</v>
      </c>
      <c r="CT380" t="s">
        <v>4034</v>
      </c>
      <c r="CU380" t="s">
        <v>292</v>
      </c>
      <c r="CV380" t="s">
        <v>293</v>
      </c>
      <c r="CW380" t="s">
        <v>5744</v>
      </c>
      <c r="CX380" t="s">
        <v>482</v>
      </c>
      <c r="CY380" t="s">
        <v>5</v>
      </c>
      <c r="CZ380" t="s">
        <v>266</v>
      </c>
      <c r="DC380" t="s">
        <v>198</v>
      </c>
      <c r="DD380" t="s">
        <v>5573</v>
      </c>
      <c r="DE380" t="s">
        <v>267</v>
      </c>
      <c r="DF380" t="s">
        <v>268</v>
      </c>
      <c r="DG380" t="s">
        <v>5745</v>
      </c>
      <c r="DH380" t="s">
        <v>482</v>
      </c>
      <c r="DI380" t="s">
        <v>5</v>
      </c>
      <c r="DJ380" t="s">
        <v>266</v>
      </c>
      <c r="DM380" t="s">
        <v>198</v>
      </c>
      <c r="DN380" t="s">
        <v>5614</v>
      </c>
      <c r="DO380" t="s">
        <v>273</v>
      </c>
      <c r="DP380" t="s">
        <v>274</v>
      </c>
      <c r="DQ380" t="s">
        <v>5746</v>
      </c>
      <c r="DR380" t="s">
        <v>482</v>
      </c>
      <c r="DS380" t="s">
        <v>5</v>
      </c>
      <c r="DT380" t="s">
        <v>266</v>
      </c>
      <c r="DW380" t="s">
        <v>198</v>
      </c>
      <c r="DX380" t="s">
        <v>4805</v>
      </c>
      <c r="DY380" t="s">
        <v>302</v>
      </c>
      <c r="DZ380" t="s">
        <v>303</v>
      </c>
      <c r="EA380" t="s">
        <v>5747</v>
      </c>
      <c r="EB380" t="s">
        <v>1615</v>
      </c>
      <c r="EC380" t="s">
        <v>183</v>
      </c>
      <c r="ED380" t="s">
        <v>266</v>
      </c>
      <c r="EG380" t="s">
        <v>198</v>
      </c>
      <c r="EH380" t="s">
        <v>5748</v>
      </c>
      <c r="EI380" t="s">
        <v>238</v>
      </c>
      <c r="EJ380" t="s">
        <v>239</v>
      </c>
      <c r="EK380" t="s">
        <v>5749</v>
      </c>
      <c r="EL380" t="s">
        <v>482</v>
      </c>
      <c r="EM380" t="s">
        <v>183</v>
      </c>
      <c r="EN380" t="s">
        <v>266</v>
      </c>
      <c r="EQ380" t="s">
        <v>198</v>
      </c>
      <c r="ER380" t="s">
        <v>5750</v>
      </c>
      <c r="ES380" t="s">
        <v>346</v>
      </c>
      <c r="ET380" t="s">
        <v>347</v>
      </c>
      <c r="EU380" t="s">
        <v>5751</v>
      </c>
      <c r="EV380" t="s">
        <v>482</v>
      </c>
      <c r="EW380" t="s">
        <v>183</v>
      </c>
      <c r="EX380" t="s">
        <v>266</v>
      </c>
      <c r="FA380" t="s">
        <v>198</v>
      </c>
      <c r="FK380" t="s">
        <v>198</v>
      </c>
      <c r="FU380" t="s">
        <v>198</v>
      </c>
    </row>
    <row r="381" spans="1:177">
      <c r="A381" s="1" t="str">
        <f>HYPERLINK("http://digipan.lumentumllc.com/apps/getLink/index.php?t=PropLink&amp;p=15741287","PL")</f>
        <v>PL</v>
      </c>
      <c r="B381" s="1" t="str">
        <f>HYPERLINK("http://digipan.lumentumllc.com/apps/getLink/index.php?t=TaxLink&amp;p=15741287","TL")</f>
        <v>TL</v>
      </c>
      <c r="C381" s="1" t="str">
        <f>HYPERLINK("http://digipan.lumentumllc.com/apps/getMap/index.php?p=15741287","Map")</f>
        <v>Map</v>
      </c>
      <c r="E381" t="s">
        <v>177</v>
      </c>
      <c r="F381" t="s">
        <v>178</v>
      </c>
      <c r="L381" t="s">
        <v>5752</v>
      </c>
      <c r="N381" t="s">
        <v>5752</v>
      </c>
      <c r="O381" t="s">
        <v>5752</v>
      </c>
      <c r="Q381" t="s">
        <v>5752</v>
      </c>
      <c r="V381">
        <v>447</v>
      </c>
      <c r="W381">
        <v>2</v>
      </c>
      <c r="X381">
        <v>2017</v>
      </c>
      <c r="Y381">
        <v>2018</v>
      </c>
      <c r="Z381">
        <v>523.16999999999996</v>
      </c>
      <c r="AB381" t="s">
        <v>181</v>
      </c>
      <c r="AC381" t="s">
        <v>182</v>
      </c>
      <c r="AD381" t="s">
        <v>183</v>
      </c>
      <c r="AE381">
        <v>1</v>
      </c>
      <c r="AF381">
        <v>0</v>
      </c>
      <c r="AG381" t="s">
        <v>1200</v>
      </c>
      <c r="AH381">
        <v>0</v>
      </c>
      <c r="AI381">
        <v>525.07000000000005</v>
      </c>
      <c r="AJ381">
        <v>26.25</v>
      </c>
      <c r="AK381">
        <v>551.32000000000005</v>
      </c>
      <c r="AL381">
        <v>30000</v>
      </c>
      <c r="AM381">
        <v>30000</v>
      </c>
      <c r="AN381">
        <v>0</v>
      </c>
      <c r="AO381">
        <v>461</v>
      </c>
      <c r="AP381">
        <v>2016</v>
      </c>
      <c r="AQ381">
        <v>1.74</v>
      </c>
      <c r="AR381">
        <v>1.84</v>
      </c>
      <c r="AS381" t="s">
        <v>5753</v>
      </c>
      <c r="AT381" t="s">
        <v>186</v>
      </c>
      <c r="AU381" t="s">
        <v>177</v>
      </c>
      <c r="AV381" t="s">
        <v>187</v>
      </c>
      <c r="AW381" t="s">
        <v>182</v>
      </c>
      <c r="AX381">
        <v>0</v>
      </c>
      <c r="AY381" t="s">
        <v>312</v>
      </c>
      <c r="AZ381" t="s">
        <v>199</v>
      </c>
      <c r="BA381" t="s">
        <v>313</v>
      </c>
      <c r="BB381" t="s">
        <v>191</v>
      </c>
      <c r="BC381" t="s">
        <v>182</v>
      </c>
      <c r="BD381" t="s">
        <v>182</v>
      </c>
      <c r="BE381" t="s">
        <v>247</v>
      </c>
      <c r="BF381">
        <v>0</v>
      </c>
      <c r="BG381">
        <v>0</v>
      </c>
      <c r="BH381">
        <v>0</v>
      </c>
      <c r="BI381" t="s">
        <v>199</v>
      </c>
      <c r="BJ381" t="s">
        <v>396</v>
      </c>
      <c r="BL381" t="s">
        <v>2050</v>
      </c>
      <c r="BM381" t="s">
        <v>232</v>
      </c>
      <c r="BN381" t="s">
        <v>182</v>
      </c>
      <c r="BO381" t="s">
        <v>5754</v>
      </c>
      <c r="BP381" t="s">
        <v>5755</v>
      </c>
      <c r="BQ381" t="s">
        <v>226</v>
      </c>
      <c r="BR381" t="s">
        <v>227</v>
      </c>
      <c r="BS381" t="s">
        <v>198</v>
      </c>
      <c r="BT381" t="s">
        <v>5756</v>
      </c>
      <c r="BU381" t="s">
        <v>182</v>
      </c>
      <c r="BV381" t="s">
        <v>198</v>
      </c>
      <c r="BW381" t="s">
        <v>198</v>
      </c>
      <c r="BX381" t="s">
        <v>199</v>
      </c>
      <c r="BY381" t="s">
        <v>198</v>
      </c>
      <c r="BZ381" t="s">
        <v>199</v>
      </c>
      <c r="CA381" t="s">
        <v>199</v>
      </c>
      <c r="CB381" t="s">
        <v>5757</v>
      </c>
      <c r="CC381" t="s">
        <v>201</v>
      </c>
      <c r="CD381" t="s">
        <v>202</v>
      </c>
      <c r="CE381" t="s">
        <v>5758</v>
      </c>
      <c r="CF381" t="s">
        <v>204</v>
      </c>
      <c r="CG381" t="s">
        <v>177</v>
      </c>
      <c r="CH381" t="s">
        <v>187</v>
      </c>
      <c r="CI381" t="s">
        <v>5759</v>
      </c>
      <c r="CJ381" t="s">
        <v>5360</v>
      </c>
      <c r="CK381" t="s">
        <v>232</v>
      </c>
      <c r="CL381" t="s">
        <v>233</v>
      </c>
      <c r="CM381" t="s">
        <v>5760</v>
      </c>
      <c r="CN381" t="s">
        <v>235</v>
      </c>
      <c r="CO381" t="s">
        <v>183</v>
      </c>
      <c r="CP381" t="s">
        <v>266</v>
      </c>
      <c r="CS381" t="s">
        <v>198</v>
      </c>
      <c r="DC381" t="s">
        <v>198</v>
      </c>
      <c r="DM381" t="s">
        <v>198</v>
      </c>
      <c r="DW381" t="s">
        <v>198</v>
      </c>
      <c r="EG381" t="s">
        <v>198</v>
      </c>
      <c r="EQ381" t="s">
        <v>198</v>
      </c>
      <c r="FA381" t="s">
        <v>198</v>
      </c>
      <c r="FK381" t="s">
        <v>198</v>
      </c>
      <c r="FU381" t="s">
        <v>198</v>
      </c>
    </row>
    <row r="382" spans="1:177">
      <c r="A382" s="1" t="str">
        <f>HYPERLINK("http://digipan.lumentumllc.com/apps/getLink/index.php?t=PropLink&amp;p=5245103","PL")</f>
        <v>PL</v>
      </c>
      <c r="B382" s="1" t="str">
        <f>HYPERLINK("http://digipan.lumentumllc.com/apps/getLink/index.php?t=TaxLink&amp;p=5245103","TL")</f>
        <v>TL</v>
      </c>
      <c r="C382" s="1" t="str">
        <f>HYPERLINK("http://digipan.lumentumllc.com/apps/getMap/index.php?p=5245103","Map")</f>
        <v>Map</v>
      </c>
      <c r="E382" t="s">
        <v>177</v>
      </c>
      <c r="F382" t="s">
        <v>178</v>
      </c>
      <c r="L382" t="s">
        <v>5761</v>
      </c>
      <c r="N382" t="s">
        <v>5761</v>
      </c>
      <c r="O382" t="s">
        <v>5761</v>
      </c>
      <c r="P382" t="s">
        <v>5762</v>
      </c>
      <c r="Q382" t="s">
        <v>5761</v>
      </c>
      <c r="V382">
        <v>448</v>
      </c>
      <c r="W382">
        <v>2</v>
      </c>
      <c r="X382">
        <v>2017</v>
      </c>
      <c r="Y382">
        <v>2018</v>
      </c>
      <c r="Z382">
        <v>649.94000000000005</v>
      </c>
      <c r="AB382" t="s">
        <v>181</v>
      </c>
      <c r="AC382" t="s">
        <v>182</v>
      </c>
      <c r="AD382" t="s">
        <v>183</v>
      </c>
      <c r="AE382">
        <v>1</v>
      </c>
      <c r="AF382">
        <v>5</v>
      </c>
      <c r="AG382" t="s">
        <v>951</v>
      </c>
      <c r="AH382">
        <v>80</v>
      </c>
      <c r="AI382">
        <v>620.44000000000005</v>
      </c>
      <c r="AJ382">
        <v>31.02</v>
      </c>
      <c r="AK382">
        <v>651.46</v>
      </c>
      <c r="AL382">
        <v>41765</v>
      </c>
      <c r="AM382">
        <v>19500</v>
      </c>
      <c r="AN382">
        <v>22265</v>
      </c>
      <c r="AO382">
        <v>549</v>
      </c>
      <c r="AP382">
        <v>2016</v>
      </c>
      <c r="AQ382">
        <v>1.56</v>
      </c>
      <c r="AR382">
        <v>1.56</v>
      </c>
      <c r="AS382" t="s">
        <v>5763</v>
      </c>
      <c r="AT382" t="s">
        <v>186</v>
      </c>
      <c r="AU382" t="s">
        <v>177</v>
      </c>
      <c r="AV382" t="s">
        <v>187</v>
      </c>
      <c r="AW382" t="s">
        <v>182</v>
      </c>
      <c r="AX382">
        <v>1</v>
      </c>
      <c r="AY382" t="s">
        <v>188</v>
      </c>
      <c r="AZ382" t="s">
        <v>206</v>
      </c>
      <c r="BA382" t="s">
        <v>355</v>
      </c>
      <c r="BB382" t="s">
        <v>191</v>
      </c>
      <c r="BC382" t="s">
        <v>182</v>
      </c>
      <c r="BD382" t="s">
        <v>182</v>
      </c>
      <c r="BE382" t="s">
        <v>838</v>
      </c>
      <c r="BF382">
        <v>1</v>
      </c>
      <c r="BG382">
        <v>1</v>
      </c>
      <c r="BH382">
        <v>1961</v>
      </c>
      <c r="BI382" t="s">
        <v>5764</v>
      </c>
      <c r="BJ382" t="s">
        <v>285</v>
      </c>
      <c r="BK382" t="s">
        <v>195</v>
      </c>
      <c r="BL382" t="s">
        <v>199</v>
      </c>
      <c r="BM382" t="s">
        <v>1742</v>
      </c>
      <c r="BN382" t="s">
        <v>182</v>
      </c>
      <c r="BO382" t="s">
        <v>198</v>
      </c>
      <c r="BP382" t="s">
        <v>198</v>
      </c>
      <c r="BQ382" t="s">
        <v>198</v>
      </c>
      <c r="BR382" t="s">
        <v>198</v>
      </c>
      <c r="BS382" t="s">
        <v>198</v>
      </c>
      <c r="BT382" t="s">
        <v>198</v>
      </c>
      <c r="BU382" t="s">
        <v>182</v>
      </c>
      <c r="BV382" t="s">
        <v>198</v>
      </c>
      <c r="BW382" t="s">
        <v>198</v>
      </c>
      <c r="BX382" t="s">
        <v>199</v>
      </c>
      <c r="BY382" t="s">
        <v>198</v>
      </c>
      <c r="BZ382" t="s">
        <v>199</v>
      </c>
      <c r="CA382" t="s">
        <v>199</v>
      </c>
      <c r="CB382" t="s">
        <v>5765</v>
      </c>
      <c r="CC382" t="s">
        <v>201</v>
      </c>
      <c r="CD382" t="s">
        <v>202</v>
      </c>
      <c r="CE382" t="s">
        <v>5766</v>
      </c>
      <c r="CF382" t="s">
        <v>204</v>
      </c>
      <c r="CG382" t="s">
        <v>177</v>
      </c>
      <c r="CH382" t="s">
        <v>187</v>
      </c>
      <c r="CI382" t="s">
        <v>5767</v>
      </c>
      <c r="CJ382" t="s">
        <v>5768</v>
      </c>
      <c r="CK382" t="s">
        <v>232</v>
      </c>
      <c r="CL382" t="s">
        <v>233</v>
      </c>
      <c r="CM382" t="s">
        <v>5769</v>
      </c>
      <c r="CN382" t="s">
        <v>235</v>
      </c>
      <c r="CO382" t="s">
        <v>183</v>
      </c>
      <c r="CP382" t="s">
        <v>266</v>
      </c>
      <c r="CS382" t="s">
        <v>198</v>
      </c>
      <c r="CT382" t="s">
        <v>5476</v>
      </c>
      <c r="CU382" t="s">
        <v>292</v>
      </c>
      <c r="CV382" t="s">
        <v>293</v>
      </c>
      <c r="CW382" t="s">
        <v>5770</v>
      </c>
      <c r="CX382" t="s">
        <v>235</v>
      </c>
      <c r="CY382" t="s">
        <v>183</v>
      </c>
      <c r="CZ382" t="s">
        <v>211</v>
      </c>
      <c r="DA382" t="s">
        <v>298</v>
      </c>
      <c r="DC382" t="s">
        <v>5771</v>
      </c>
      <c r="DD382" t="s">
        <v>4298</v>
      </c>
      <c r="DE382" t="s">
        <v>267</v>
      </c>
      <c r="DF382" t="s">
        <v>268</v>
      </c>
      <c r="DG382" t="s">
        <v>5772</v>
      </c>
      <c r="DH382" t="s">
        <v>235</v>
      </c>
      <c r="DI382" t="s">
        <v>183</v>
      </c>
      <c r="DJ382" t="s">
        <v>211</v>
      </c>
      <c r="DK382" t="s">
        <v>427</v>
      </c>
      <c r="DM382" t="s">
        <v>5773</v>
      </c>
      <c r="DN382" t="s">
        <v>4168</v>
      </c>
      <c r="DO382" t="s">
        <v>273</v>
      </c>
      <c r="DP382" t="s">
        <v>274</v>
      </c>
      <c r="DQ382" t="s">
        <v>5774</v>
      </c>
      <c r="DR382" t="s">
        <v>235</v>
      </c>
      <c r="DS382" t="s">
        <v>183</v>
      </c>
      <c r="DT382" t="s">
        <v>211</v>
      </c>
      <c r="DU382" t="s">
        <v>342</v>
      </c>
      <c r="DW382" t="s">
        <v>4405</v>
      </c>
      <c r="DX382" t="s">
        <v>5775</v>
      </c>
      <c r="DY382" t="s">
        <v>346</v>
      </c>
      <c r="DZ382" t="s">
        <v>347</v>
      </c>
      <c r="EA382" t="s">
        <v>5776</v>
      </c>
      <c r="EB382" t="s">
        <v>469</v>
      </c>
      <c r="EC382" t="s">
        <v>183</v>
      </c>
      <c r="ED382" t="s">
        <v>211</v>
      </c>
      <c r="EE382" t="s">
        <v>270</v>
      </c>
      <c r="EG382" t="s">
        <v>5777</v>
      </c>
      <c r="EH382" t="s">
        <v>5622</v>
      </c>
      <c r="EI382" t="s">
        <v>207</v>
      </c>
      <c r="EJ382" t="s">
        <v>208</v>
      </c>
      <c r="EK382" t="s">
        <v>5778</v>
      </c>
      <c r="EL382" t="s">
        <v>576</v>
      </c>
      <c r="EM382" t="s">
        <v>183</v>
      </c>
      <c r="EN382" t="s">
        <v>211</v>
      </c>
      <c r="EO382" t="s">
        <v>270</v>
      </c>
      <c r="EQ382" t="s">
        <v>2681</v>
      </c>
      <c r="FA382" t="s">
        <v>198</v>
      </c>
      <c r="FK382" t="s">
        <v>198</v>
      </c>
      <c r="FU382" t="s">
        <v>198</v>
      </c>
    </row>
    <row r="383" spans="1:177">
      <c r="A383" s="1" t="str">
        <f>HYPERLINK("http://digipan.lumentumllc.com/apps/getLink/index.php?t=PropLink&amp;p=4637395","PL")</f>
        <v>PL</v>
      </c>
      <c r="B383" s="1" t="str">
        <f>HYPERLINK("http://digipan.lumentumllc.com/apps/getLink/index.php?t=TaxLink&amp;p=4637395","TL")</f>
        <v>TL</v>
      </c>
      <c r="C383" s="1" t="str">
        <f>HYPERLINK("http://digipan.lumentumllc.com/apps/getMap/index.php?p=4637395","Map")</f>
        <v>Map</v>
      </c>
      <c r="E383" t="s">
        <v>177</v>
      </c>
      <c r="F383" t="s">
        <v>178</v>
      </c>
      <c r="L383" t="s">
        <v>5779</v>
      </c>
      <c r="N383" t="s">
        <v>5779</v>
      </c>
      <c r="O383" t="s">
        <v>5779</v>
      </c>
      <c r="P383" t="s">
        <v>5780</v>
      </c>
      <c r="Q383" t="s">
        <v>5779</v>
      </c>
      <c r="V383">
        <v>449</v>
      </c>
      <c r="W383">
        <v>2</v>
      </c>
      <c r="X383">
        <v>2017</v>
      </c>
      <c r="Y383">
        <v>2018</v>
      </c>
      <c r="Z383">
        <v>509.88</v>
      </c>
      <c r="AB383" t="s">
        <v>181</v>
      </c>
      <c r="AC383" t="s">
        <v>182</v>
      </c>
      <c r="AD383" t="s">
        <v>1037</v>
      </c>
      <c r="AE383">
        <v>0</v>
      </c>
      <c r="AF383">
        <v>2</v>
      </c>
      <c r="AG383" t="s">
        <v>216</v>
      </c>
      <c r="AH383">
        <v>100</v>
      </c>
      <c r="AK383">
        <v>0</v>
      </c>
      <c r="AL383">
        <v>31640</v>
      </c>
      <c r="AM383">
        <v>19500</v>
      </c>
      <c r="AN383">
        <v>12140</v>
      </c>
      <c r="AO383">
        <v>452</v>
      </c>
      <c r="AP383">
        <v>2016</v>
      </c>
      <c r="AQ383">
        <v>1.61</v>
      </c>
      <c r="AS383" t="s">
        <v>5781</v>
      </c>
      <c r="AT383" t="s">
        <v>186</v>
      </c>
      <c r="AU383" t="s">
        <v>177</v>
      </c>
      <c r="AV383" t="s">
        <v>187</v>
      </c>
      <c r="AW383" t="s">
        <v>182</v>
      </c>
      <c r="AX383">
        <v>2</v>
      </c>
      <c r="AY383" t="s">
        <v>188</v>
      </c>
      <c r="AZ383" t="s">
        <v>189</v>
      </c>
      <c r="BA383" t="s">
        <v>190</v>
      </c>
      <c r="BB383" t="s">
        <v>191</v>
      </c>
      <c r="BC383" t="s">
        <v>182</v>
      </c>
      <c r="BD383" t="s">
        <v>182</v>
      </c>
      <c r="BE383" t="s">
        <v>838</v>
      </c>
      <c r="BF383">
        <v>1</v>
      </c>
      <c r="BG383">
        <v>1</v>
      </c>
      <c r="BH383">
        <v>1984</v>
      </c>
      <c r="BI383" t="s">
        <v>5782</v>
      </c>
      <c r="BJ383" t="s">
        <v>194</v>
      </c>
      <c r="BK383" t="s">
        <v>195</v>
      </c>
      <c r="BL383" t="s">
        <v>199</v>
      </c>
      <c r="BM383" t="s">
        <v>267</v>
      </c>
      <c r="BN383" t="s">
        <v>182</v>
      </c>
      <c r="BO383" t="s">
        <v>3012</v>
      </c>
      <c r="BP383" t="s">
        <v>5783</v>
      </c>
      <c r="BQ383" t="s">
        <v>5784</v>
      </c>
      <c r="BR383" t="s">
        <v>5785</v>
      </c>
      <c r="BS383" t="s">
        <v>5786</v>
      </c>
      <c r="BT383" t="s">
        <v>5787</v>
      </c>
      <c r="BU383" t="s">
        <v>182</v>
      </c>
      <c r="BV383" t="s">
        <v>198</v>
      </c>
      <c r="BW383" t="s">
        <v>198</v>
      </c>
      <c r="BX383" t="s">
        <v>199</v>
      </c>
      <c r="BY383" t="s">
        <v>198</v>
      </c>
      <c r="BZ383" t="s">
        <v>199</v>
      </c>
      <c r="CA383" t="s">
        <v>199</v>
      </c>
      <c r="CB383" t="s">
        <v>5788</v>
      </c>
      <c r="CC383" t="s">
        <v>201</v>
      </c>
      <c r="CD383" t="s">
        <v>202</v>
      </c>
      <c r="CE383" t="s">
        <v>5789</v>
      </c>
      <c r="CF383" t="s">
        <v>5790</v>
      </c>
      <c r="CG383" t="s">
        <v>5791</v>
      </c>
      <c r="CH383" t="s">
        <v>5792</v>
      </c>
      <c r="CI383" t="s">
        <v>5793</v>
      </c>
      <c r="CJ383" t="s">
        <v>4356</v>
      </c>
      <c r="CK383" t="s">
        <v>232</v>
      </c>
      <c r="CL383" t="s">
        <v>233</v>
      </c>
      <c r="CM383" t="s">
        <v>5794</v>
      </c>
      <c r="CN383" t="s">
        <v>235</v>
      </c>
      <c r="CO383" t="s">
        <v>183</v>
      </c>
      <c r="CP383" t="s">
        <v>211</v>
      </c>
      <c r="CQ383" t="s">
        <v>199</v>
      </c>
      <c r="CS383" t="s">
        <v>1008</v>
      </c>
      <c r="CT383" t="s">
        <v>5795</v>
      </c>
      <c r="CU383" t="s">
        <v>238</v>
      </c>
      <c r="CV383" t="s">
        <v>239</v>
      </c>
      <c r="CW383" t="s">
        <v>5796</v>
      </c>
      <c r="CX383" t="s">
        <v>482</v>
      </c>
      <c r="CY383" t="s">
        <v>5</v>
      </c>
      <c r="CZ383" t="s">
        <v>211</v>
      </c>
      <c r="DA383" t="s">
        <v>199</v>
      </c>
      <c r="DC383" t="s">
        <v>3572</v>
      </c>
      <c r="DM383" t="s">
        <v>198</v>
      </c>
      <c r="DW383" t="s">
        <v>198</v>
      </c>
      <c r="EG383" t="s">
        <v>198</v>
      </c>
      <c r="EQ383" t="s">
        <v>198</v>
      </c>
      <c r="FA383" t="s">
        <v>198</v>
      </c>
      <c r="FK383" t="s">
        <v>198</v>
      </c>
      <c r="FU383" t="s">
        <v>198</v>
      </c>
    </row>
    <row r="384" spans="1:177">
      <c r="A384" s="1" t="str">
        <f>HYPERLINK("http://digipan.lumentumllc.com/apps/getLink/index.php?t=PropLink&amp;p=5245104","PL")</f>
        <v>PL</v>
      </c>
      <c r="B384" s="1" t="str">
        <f>HYPERLINK("http://digipan.lumentumllc.com/apps/getLink/index.php?t=TaxLink&amp;p=5245104","TL")</f>
        <v>TL</v>
      </c>
      <c r="C384" s="1" t="str">
        <f>HYPERLINK("http://digipan.lumentumllc.com/apps/getMap/index.php?p=5245104","Map")</f>
        <v>Map</v>
      </c>
      <c r="E384" t="s">
        <v>177</v>
      </c>
      <c r="F384" t="s">
        <v>178</v>
      </c>
      <c r="L384" t="s">
        <v>5797</v>
      </c>
      <c r="N384" t="s">
        <v>5797</v>
      </c>
      <c r="O384" t="s">
        <v>5797</v>
      </c>
      <c r="P384" t="s">
        <v>5798</v>
      </c>
      <c r="Q384" t="s">
        <v>5797</v>
      </c>
      <c r="V384">
        <v>450</v>
      </c>
      <c r="W384">
        <v>2</v>
      </c>
      <c r="X384">
        <v>2017</v>
      </c>
      <c r="Y384">
        <v>2018</v>
      </c>
      <c r="Z384">
        <v>326.52999999999997</v>
      </c>
      <c r="AB384" t="s">
        <v>181</v>
      </c>
      <c r="AC384" t="s">
        <v>182</v>
      </c>
      <c r="AD384" t="s">
        <v>183</v>
      </c>
      <c r="AE384">
        <v>1</v>
      </c>
      <c r="AF384">
        <v>6</v>
      </c>
      <c r="AG384" t="s">
        <v>322</v>
      </c>
      <c r="AH384">
        <v>83</v>
      </c>
      <c r="AI384">
        <v>326.76</v>
      </c>
      <c r="AJ384">
        <v>16.34</v>
      </c>
      <c r="AK384">
        <v>343.1</v>
      </c>
      <c r="AL384">
        <v>19500</v>
      </c>
      <c r="AM384">
        <v>19500</v>
      </c>
      <c r="AN384">
        <v>0</v>
      </c>
      <c r="AO384">
        <v>277</v>
      </c>
      <c r="AP384">
        <v>2016</v>
      </c>
      <c r="AQ384">
        <v>1.67</v>
      </c>
      <c r="AR384">
        <v>1.76</v>
      </c>
      <c r="AS384" t="s">
        <v>5799</v>
      </c>
      <c r="AT384" t="s">
        <v>186</v>
      </c>
      <c r="AU384" t="s">
        <v>177</v>
      </c>
      <c r="AV384" t="s">
        <v>187</v>
      </c>
      <c r="AW384" t="s">
        <v>182</v>
      </c>
      <c r="AX384">
        <v>0</v>
      </c>
      <c r="AY384" t="s">
        <v>312</v>
      </c>
      <c r="AZ384" t="s">
        <v>199</v>
      </c>
      <c r="BA384" t="s">
        <v>313</v>
      </c>
      <c r="BB384" t="s">
        <v>191</v>
      </c>
      <c r="BC384" t="s">
        <v>182</v>
      </c>
      <c r="BD384" t="s">
        <v>182</v>
      </c>
      <c r="BE384" t="s">
        <v>838</v>
      </c>
      <c r="BF384">
        <v>0</v>
      </c>
      <c r="BG384">
        <v>0</v>
      </c>
      <c r="BH384">
        <v>0</v>
      </c>
      <c r="BI384" t="s">
        <v>199</v>
      </c>
      <c r="BJ384" t="s">
        <v>248</v>
      </c>
      <c r="BL384" t="s">
        <v>199</v>
      </c>
      <c r="BM384" t="s">
        <v>1825</v>
      </c>
      <c r="BN384" t="s">
        <v>182</v>
      </c>
      <c r="BO384" t="s">
        <v>198</v>
      </c>
      <c r="BP384" t="s">
        <v>198</v>
      </c>
      <c r="BQ384" t="s">
        <v>198</v>
      </c>
      <c r="BR384" t="s">
        <v>198</v>
      </c>
      <c r="BS384" t="s">
        <v>198</v>
      </c>
      <c r="BT384" t="s">
        <v>198</v>
      </c>
      <c r="BU384" t="s">
        <v>182</v>
      </c>
      <c r="BV384" t="s">
        <v>198</v>
      </c>
      <c r="BW384" t="s">
        <v>198</v>
      </c>
      <c r="BX384" t="s">
        <v>199</v>
      </c>
      <c r="BY384" t="s">
        <v>198</v>
      </c>
      <c r="BZ384" t="s">
        <v>199</v>
      </c>
      <c r="CA384" t="s">
        <v>199</v>
      </c>
      <c r="CB384" t="s">
        <v>5800</v>
      </c>
      <c r="CC384" t="s">
        <v>201</v>
      </c>
      <c r="CD384" t="s">
        <v>202</v>
      </c>
      <c r="CE384" t="s">
        <v>5766</v>
      </c>
      <c r="CF384" t="s">
        <v>204</v>
      </c>
      <c r="CG384" t="s">
        <v>177</v>
      </c>
      <c r="CH384" t="s">
        <v>187</v>
      </c>
      <c r="CI384" t="s">
        <v>5801</v>
      </c>
      <c r="CJ384" t="s">
        <v>5802</v>
      </c>
      <c r="CK384" t="s">
        <v>232</v>
      </c>
      <c r="CL384" t="s">
        <v>233</v>
      </c>
      <c r="CM384" t="s">
        <v>5803</v>
      </c>
      <c r="CN384" t="s">
        <v>331</v>
      </c>
      <c r="CO384" t="s">
        <v>183</v>
      </c>
      <c r="CP384" t="s">
        <v>266</v>
      </c>
      <c r="CS384" t="s">
        <v>198</v>
      </c>
      <c r="CT384" t="s">
        <v>4138</v>
      </c>
      <c r="CU384" t="s">
        <v>292</v>
      </c>
      <c r="CV384" t="s">
        <v>293</v>
      </c>
      <c r="CW384" t="s">
        <v>5804</v>
      </c>
      <c r="CX384" t="s">
        <v>333</v>
      </c>
      <c r="CY384" t="s">
        <v>183</v>
      </c>
      <c r="CZ384" t="s">
        <v>211</v>
      </c>
      <c r="DA384" t="s">
        <v>298</v>
      </c>
      <c r="DC384" t="s">
        <v>4023</v>
      </c>
      <c r="DD384" t="s">
        <v>5695</v>
      </c>
      <c r="DE384" t="s">
        <v>267</v>
      </c>
      <c r="DF384" t="s">
        <v>268</v>
      </c>
      <c r="DG384" t="s">
        <v>5805</v>
      </c>
      <c r="DH384" t="s">
        <v>331</v>
      </c>
      <c r="DI384" t="s">
        <v>183</v>
      </c>
      <c r="DJ384" t="s">
        <v>211</v>
      </c>
      <c r="DK384" t="s">
        <v>298</v>
      </c>
      <c r="DM384" t="s">
        <v>5806</v>
      </c>
      <c r="DN384" t="s">
        <v>5807</v>
      </c>
      <c r="DO384" t="s">
        <v>273</v>
      </c>
      <c r="DP384" t="s">
        <v>274</v>
      </c>
      <c r="DQ384" t="s">
        <v>5808</v>
      </c>
      <c r="DR384" t="s">
        <v>1551</v>
      </c>
      <c r="DS384" t="s">
        <v>183</v>
      </c>
      <c r="DT384" t="s">
        <v>211</v>
      </c>
      <c r="DU384" t="s">
        <v>427</v>
      </c>
      <c r="DW384" t="s">
        <v>5809</v>
      </c>
      <c r="DX384" t="s">
        <v>5810</v>
      </c>
      <c r="DY384" t="s">
        <v>238</v>
      </c>
      <c r="DZ384" t="s">
        <v>239</v>
      </c>
      <c r="EA384" t="s">
        <v>5811</v>
      </c>
      <c r="EB384" t="s">
        <v>922</v>
      </c>
      <c r="EC384" t="s">
        <v>183</v>
      </c>
      <c r="ED384" t="s">
        <v>211</v>
      </c>
      <c r="EE384" t="s">
        <v>329</v>
      </c>
      <c r="EG384" t="s">
        <v>5812</v>
      </c>
      <c r="EH384" t="s">
        <v>5813</v>
      </c>
      <c r="EI384" t="s">
        <v>346</v>
      </c>
      <c r="EJ384" t="s">
        <v>347</v>
      </c>
      <c r="EK384" t="s">
        <v>5814</v>
      </c>
      <c r="EL384" t="s">
        <v>615</v>
      </c>
      <c r="EM384" t="s">
        <v>183</v>
      </c>
      <c r="EN384" t="s">
        <v>211</v>
      </c>
      <c r="EO384" t="s">
        <v>298</v>
      </c>
      <c r="EQ384" t="s">
        <v>5812</v>
      </c>
      <c r="ER384" t="s">
        <v>5815</v>
      </c>
      <c r="ES384" t="s">
        <v>207</v>
      </c>
      <c r="ET384" t="s">
        <v>208</v>
      </c>
      <c r="EU384" t="s">
        <v>5816</v>
      </c>
      <c r="EV384" t="s">
        <v>576</v>
      </c>
      <c r="EW384" t="s">
        <v>183</v>
      </c>
      <c r="EX384" t="s">
        <v>211</v>
      </c>
      <c r="EY384" t="s">
        <v>525</v>
      </c>
      <c r="FA384" t="s">
        <v>5812</v>
      </c>
      <c r="FK384" t="s">
        <v>198</v>
      </c>
      <c r="FU384" t="s">
        <v>198</v>
      </c>
    </row>
    <row r="385" spans="1:177">
      <c r="A385" s="1" t="str">
        <f>HYPERLINK("http://digipan.lumentumllc.com/apps/getLink/index.php?t=PropLink&amp;p=5245105","PL")</f>
        <v>PL</v>
      </c>
      <c r="B385" s="1" t="str">
        <f>HYPERLINK("http://digipan.lumentumllc.com/apps/getLink/index.php?t=TaxLink&amp;p=5245105","TL")</f>
        <v>TL</v>
      </c>
      <c r="C385" s="1" t="str">
        <f>HYPERLINK("http://digipan.lumentumllc.com/apps/getMap/index.php?p=5245105","Map")</f>
        <v>Map</v>
      </c>
      <c r="E385" t="s">
        <v>177</v>
      </c>
      <c r="F385" t="s">
        <v>178</v>
      </c>
      <c r="L385" t="s">
        <v>5817</v>
      </c>
      <c r="N385" t="s">
        <v>5817</v>
      </c>
      <c r="O385" t="s">
        <v>5817</v>
      </c>
      <c r="P385" t="s">
        <v>5818</v>
      </c>
      <c r="Q385" t="s">
        <v>5817</v>
      </c>
      <c r="V385">
        <v>451</v>
      </c>
      <c r="W385">
        <v>2</v>
      </c>
      <c r="X385">
        <v>2017</v>
      </c>
      <c r="Y385">
        <v>2018</v>
      </c>
      <c r="Z385">
        <v>618.38</v>
      </c>
      <c r="AB385" t="s">
        <v>181</v>
      </c>
      <c r="AC385" t="s">
        <v>182</v>
      </c>
      <c r="AD385" t="s">
        <v>183</v>
      </c>
      <c r="AE385">
        <v>0</v>
      </c>
      <c r="AF385">
        <v>4</v>
      </c>
      <c r="AG385" t="s">
        <v>744</v>
      </c>
      <c r="AH385">
        <v>100</v>
      </c>
      <c r="AK385">
        <v>0</v>
      </c>
      <c r="AL385">
        <v>40400</v>
      </c>
      <c r="AM385">
        <v>40400</v>
      </c>
      <c r="AN385">
        <v>0</v>
      </c>
      <c r="AO385">
        <v>527</v>
      </c>
      <c r="AP385">
        <v>2016</v>
      </c>
      <c r="AQ385">
        <v>1.53</v>
      </c>
      <c r="AS385" t="s">
        <v>5819</v>
      </c>
      <c r="AT385" t="s">
        <v>186</v>
      </c>
      <c r="AU385" t="s">
        <v>177</v>
      </c>
      <c r="AV385" t="s">
        <v>187</v>
      </c>
      <c r="AW385" t="s">
        <v>182</v>
      </c>
      <c r="AX385">
        <v>0</v>
      </c>
      <c r="AY385" t="s">
        <v>312</v>
      </c>
      <c r="AZ385" t="s">
        <v>199</v>
      </c>
      <c r="BA385" t="s">
        <v>313</v>
      </c>
      <c r="BB385" t="s">
        <v>191</v>
      </c>
      <c r="BC385" t="s">
        <v>182</v>
      </c>
      <c r="BD385" t="s">
        <v>182</v>
      </c>
      <c r="BE385" t="s">
        <v>5820</v>
      </c>
      <c r="BF385">
        <v>0</v>
      </c>
      <c r="BG385">
        <v>0</v>
      </c>
      <c r="BH385">
        <v>0</v>
      </c>
      <c r="BI385" t="s">
        <v>199</v>
      </c>
      <c r="BJ385" t="s">
        <v>396</v>
      </c>
      <c r="BL385" t="s">
        <v>199</v>
      </c>
      <c r="BM385" t="s">
        <v>559</v>
      </c>
      <c r="BN385" t="s">
        <v>182</v>
      </c>
      <c r="BO385" t="s">
        <v>198</v>
      </c>
      <c r="BP385" t="s">
        <v>198</v>
      </c>
      <c r="BQ385" t="s">
        <v>198</v>
      </c>
      <c r="BR385" t="s">
        <v>198</v>
      </c>
      <c r="BS385" t="s">
        <v>198</v>
      </c>
      <c r="BT385" t="s">
        <v>198</v>
      </c>
      <c r="BU385" t="s">
        <v>182</v>
      </c>
      <c r="BV385" t="s">
        <v>198</v>
      </c>
      <c r="BW385" t="s">
        <v>198</v>
      </c>
      <c r="BX385" t="s">
        <v>199</v>
      </c>
      <c r="BY385" t="s">
        <v>198</v>
      </c>
      <c r="BZ385" t="s">
        <v>199</v>
      </c>
      <c r="CA385" t="s">
        <v>199</v>
      </c>
      <c r="CB385" t="s">
        <v>5821</v>
      </c>
      <c r="CC385" t="s">
        <v>201</v>
      </c>
      <c r="CD385" t="s">
        <v>182</v>
      </c>
      <c r="CE385" t="s">
        <v>5822</v>
      </c>
      <c r="CF385" t="s">
        <v>1029</v>
      </c>
      <c r="CG385" t="s">
        <v>177</v>
      </c>
      <c r="CH385" t="s">
        <v>1030</v>
      </c>
      <c r="CI385" t="s">
        <v>5823</v>
      </c>
      <c r="CJ385" t="s">
        <v>4409</v>
      </c>
      <c r="CK385" t="s">
        <v>232</v>
      </c>
      <c r="CL385" t="s">
        <v>233</v>
      </c>
      <c r="CM385" t="s">
        <v>5824</v>
      </c>
      <c r="CN385" t="s">
        <v>235</v>
      </c>
      <c r="CO385" t="s">
        <v>183</v>
      </c>
      <c r="CP385" t="s">
        <v>211</v>
      </c>
      <c r="CQ385" t="s">
        <v>206</v>
      </c>
      <c r="CS385" t="s">
        <v>4571</v>
      </c>
      <c r="CT385" t="s">
        <v>5614</v>
      </c>
      <c r="CU385" t="s">
        <v>267</v>
      </c>
      <c r="CV385" t="s">
        <v>268</v>
      </c>
      <c r="CW385" t="s">
        <v>5825</v>
      </c>
      <c r="CX385" t="s">
        <v>235</v>
      </c>
      <c r="CY385" t="s">
        <v>183</v>
      </c>
      <c r="CZ385" t="s">
        <v>211</v>
      </c>
      <c r="DA385" t="s">
        <v>270</v>
      </c>
      <c r="DC385" t="s">
        <v>4871</v>
      </c>
      <c r="DD385" t="s">
        <v>4854</v>
      </c>
      <c r="DE385" t="s">
        <v>302</v>
      </c>
      <c r="DF385" t="s">
        <v>303</v>
      </c>
      <c r="DG385" t="s">
        <v>5826</v>
      </c>
      <c r="DH385" t="s">
        <v>440</v>
      </c>
      <c r="DI385" t="s">
        <v>183</v>
      </c>
      <c r="DJ385" t="s">
        <v>211</v>
      </c>
      <c r="DK385" t="s">
        <v>250</v>
      </c>
      <c r="DM385" t="s">
        <v>5013</v>
      </c>
      <c r="DN385" t="s">
        <v>5827</v>
      </c>
      <c r="DO385" t="s">
        <v>346</v>
      </c>
      <c r="DP385" t="s">
        <v>347</v>
      </c>
      <c r="DQ385" t="s">
        <v>5828</v>
      </c>
      <c r="DR385" t="s">
        <v>440</v>
      </c>
      <c r="DS385" t="s">
        <v>183</v>
      </c>
      <c r="DT385" t="s">
        <v>211</v>
      </c>
      <c r="DU385" t="s">
        <v>212</v>
      </c>
      <c r="DW385" t="s">
        <v>5829</v>
      </c>
      <c r="EG385" t="s">
        <v>198</v>
      </c>
      <c r="EQ385" t="s">
        <v>198</v>
      </c>
      <c r="FA385" t="s">
        <v>198</v>
      </c>
      <c r="FK385" t="s">
        <v>198</v>
      </c>
      <c r="FU385" t="s">
        <v>198</v>
      </c>
    </row>
    <row r="386" spans="1:177">
      <c r="A386" s="1" t="str">
        <f>HYPERLINK("http://digipan.lumentumllc.com/apps/getLink/index.php?t=PropLink&amp;p=5245107","PL")</f>
        <v>PL</v>
      </c>
      <c r="B386" s="1" t="str">
        <f>HYPERLINK("http://digipan.lumentumllc.com/apps/getLink/index.php?t=TaxLink&amp;p=5245107","TL")</f>
        <v>TL</v>
      </c>
      <c r="C386" s="1" t="str">
        <f>HYPERLINK("http://digipan.lumentumllc.com/apps/getMap/index.php?p=5245107","Map")</f>
        <v>Map</v>
      </c>
      <c r="E386" t="s">
        <v>177</v>
      </c>
      <c r="F386" t="s">
        <v>178</v>
      </c>
      <c r="L386" t="s">
        <v>5830</v>
      </c>
      <c r="N386" t="s">
        <v>5830</v>
      </c>
      <c r="O386" t="s">
        <v>5830</v>
      </c>
      <c r="P386" t="s">
        <v>5831</v>
      </c>
      <c r="Q386" t="s">
        <v>5830</v>
      </c>
      <c r="V386">
        <v>452</v>
      </c>
      <c r="W386">
        <v>2</v>
      </c>
      <c r="X386">
        <v>2017</v>
      </c>
      <c r="Y386">
        <v>2018</v>
      </c>
      <c r="Z386">
        <v>343.88</v>
      </c>
      <c r="AB386" t="s">
        <v>181</v>
      </c>
      <c r="AC386" t="s">
        <v>202</v>
      </c>
      <c r="AD386" t="s">
        <v>1037</v>
      </c>
      <c r="AE386">
        <v>0</v>
      </c>
      <c r="AF386">
        <v>2</v>
      </c>
      <c r="AG386" t="s">
        <v>216</v>
      </c>
      <c r="AH386">
        <v>100</v>
      </c>
      <c r="AK386">
        <v>0</v>
      </c>
      <c r="AL386">
        <v>19500</v>
      </c>
      <c r="AM386">
        <v>12000</v>
      </c>
      <c r="AN386">
        <v>7500</v>
      </c>
      <c r="AO386">
        <v>261</v>
      </c>
      <c r="AP386">
        <v>2016</v>
      </c>
      <c r="AQ386">
        <v>1.76</v>
      </c>
      <c r="AS386" t="s">
        <v>5832</v>
      </c>
      <c r="AT386" t="s">
        <v>186</v>
      </c>
      <c r="AU386" t="s">
        <v>177</v>
      </c>
      <c r="AV386" t="s">
        <v>187</v>
      </c>
      <c r="AW386" t="s">
        <v>182</v>
      </c>
      <c r="AX386">
        <v>0</v>
      </c>
      <c r="AY386" t="s">
        <v>312</v>
      </c>
      <c r="AZ386" t="s">
        <v>199</v>
      </c>
      <c r="BA386" t="s">
        <v>313</v>
      </c>
      <c r="BB386" t="s">
        <v>191</v>
      </c>
      <c r="BC386" t="s">
        <v>182</v>
      </c>
      <c r="BD386" t="s">
        <v>182</v>
      </c>
      <c r="BE386" t="s">
        <v>3696</v>
      </c>
      <c r="BF386">
        <v>1</v>
      </c>
      <c r="BG386">
        <v>0</v>
      </c>
      <c r="BH386">
        <v>1992</v>
      </c>
      <c r="BI386" t="s">
        <v>199</v>
      </c>
      <c r="BJ386" t="s">
        <v>248</v>
      </c>
      <c r="BK386" t="s">
        <v>2350</v>
      </c>
      <c r="BL386" t="s">
        <v>199</v>
      </c>
      <c r="BM386" t="s">
        <v>1311</v>
      </c>
      <c r="BN386" t="s">
        <v>182</v>
      </c>
      <c r="BO386" t="s">
        <v>198</v>
      </c>
      <c r="BP386" t="s">
        <v>198</v>
      </c>
      <c r="BQ386" t="s">
        <v>198</v>
      </c>
      <c r="BR386" t="s">
        <v>198</v>
      </c>
      <c r="BS386" t="s">
        <v>198</v>
      </c>
      <c r="BT386" t="s">
        <v>198</v>
      </c>
      <c r="BU386" t="s">
        <v>182</v>
      </c>
      <c r="BV386" t="s">
        <v>198</v>
      </c>
      <c r="BW386" t="s">
        <v>198</v>
      </c>
      <c r="BX386" t="s">
        <v>199</v>
      </c>
      <c r="BY386" t="s">
        <v>198</v>
      </c>
      <c r="BZ386" t="s">
        <v>199</v>
      </c>
      <c r="CA386" t="s">
        <v>199</v>
      </c>
      <c r="CB386" t="s">
        <v>5833</v>
      </c>
      <c r="CC386" t="s">
        <v>201</v>
      </c>
      <c r="CD386" t="s">
        <v>202</v>
      </c>
      <c r="CE386" t="s">
        <v>5834</v>
      </c>
      <c r="CF386" t="s">
        <v>204</v>
      </c>
      <c r="CG386" t="s">
        <v>177</v>
      </c>
      <c r="CH386" t="s">
        <v>187</v>
      </c>
      <c r="CI386" t="s">
        <v>2915</v>
      </c>
      <c r="CJ386" t="s">
        <v>5835</v>
      </c>
      <c r="CK386" t="s">
        <v>238</v>
      </c>
      <c r="CL386" t="s">
        <v>239</v>
      </c>
      <c r="CM386" t="s">
        <v>5836</v>
      </c>
      <c r="CN386" t="s">
        <v>482</v>
      </c>
      <c r="CO386" t="s">
        <v>183</v>
      </c>
      <c r="CP386" t="s">
        <v>211</v>
      </c>
      <c r="CR386" t="s">
        <v>271</v>
      </c>
      <c r="CS386" t="s">
        <v>198</v>
      </c>
      <c r="CT386" t="s">
        <v>5837</v>
      </c>
      <c r="CU386" t="s">
        <v>346</v>
      </c>
      <c r="CV386" t="s">
        <v>347</v>
      </c>
      <c r="CW386" t="s">
        <v>5838</v>
      </c>
      <c r="CX386" t="s">
        <v>482</v>
      </c>
      <c r="CY386" t="s">
        <v>5</v>
      </c>
      <c r="CZ386" t="s">
        <v>211</v>
      </c>
      <c r="DA386" t="s">
        <v>199</v>
      </c>
      <c r="DC386" t="s">
        <v>5839</v>
      </c>
      <c r="DM386" t="s">
        <v>198</v>
      </c>
      <c r="DW386" t="s">
        <v>198</v>
      </c>
      <c r="EG386" t="s">
        <v>198</v>
      </c>
      <c r="EQ386" t="s">
        <v>198</v>
      </c>
      <c r="FA386" t="s">
        <v>198</v>
      </c>
      <c r="FK386" t="s">
        <v>198</v>
      </c>
      <c r="FU386" t="s">
        <v>198</v>
      </c>
    </row>
    <row r="387" spans="1:177">
      <c r="A387" s="1" t="str">
        <f>HYPERLINK("http://digipan.lumentumllc.com/apps/getLink/index.php?t=PropLink&amp;p=5245108","PL")</f>
        <v>PL</v>
      </c>
      <c r="B387" s="1" t="str">
        <f>HYPERLINK("http://digipan.lumentumllc.com/apps/getLink/index.php?t=TaxLink&amp;p=5245108","TL")</f>
        <v>TL</v>
      </c>
      <c r="C387" s="1" t="str">
        <f>HYPERLINK("http://digipan.lumentumllc.com/apps/getMap/index.php?p=5245108","Map")</f>
        <v>Map</v>
      </c>
      <c r="E387" t="s">
        <v>177</v>
      </c>
      <c r="F387" t="s">
        <v>178</v>
      </c>
      <c r="L387" t="s">
        <v>5840</v>
      </c>
      <c r="N387" t="s">
        <v>5840</v>
      </c>
      <c r="O387" t="s">
        <v>5840</v>
      </c>
      <c r="P387" t="s">
        <v>5841</v>
      </c>
      <c r="Q387" t="s">
        <v>5840</v>
      </c>
      <c r="V387">
        <v>453</v>
      </c>
      <c r="W387">
        <v>2</v>
      </c>
      <c r="X387">
        <v>2017</v>
      </c>
      <c r="Y387">
        <v>2018</v>
      </c>
      <c r="Z387">
        <v>864.62</v>
      </c>
      <c r="AB387" t="s">
        <v>181</v>
      </c>
      <c r="AC387" t="s">
        <v>202</v>
      </c>
      <c r="AD387" t="s">
        <v>183</v>
      </c>
      <c r="AE387">
        <v>1</v>
      </c>
      <c r="AF387">
        <v>6</v>
      </c>
      <c r="AG387" t="s">
        <v>322</v>
      </c>
      <c r="AH387">
        <v>83</v>
      </c>
      <c r="AI387">
        <v>845.96</v>
      </c>
      <c r="AJ387">
        <v>42.3</v>
      </c>
      <c r="AK387">
        <v>888.26</v>
      </c>
      <c r="AL387">
        <v>55127</v>
      </c>
      <c r="AM387">
        <v>13765</v>
      </c>
      <c r="AN387">
        <v>41362</v>
      </c>
      <c r="AO387">
        <v>757</v>
      </c>
      <c r="AP387">
        <v>2016</v>
      </c>
      <c r="AQ387">
        <v>1.57</v>
      </c>
      <c r="AR387">
        <v>1.61</v>
      </c>
      <c r="AS387" t="s">
        <v>5842</v>
      </c>
      <c r="AT387" t="s">
        <v>186</v>
      </c>
      <c r="AU387" t="s">
        <v>177</v>
      </c>
      <c r="AV387" t="s">
        <v>187</v>
      </c>
      <c r="AW387" t="s">
        <v>182</v>
      </c>
      <c r="AX387">
        <v>1</v>
      </c>
      <c r="AY387" t="s">
        <v>188</v>
      </c>
      <c r="AZ387" t="s">
        <v>206</v>
      </c>
      <c r="BA387" t="s">
        <v>355</v>
      </c>
      <c r="BB387" t="s">
        <v>191</v>
      </c>
      <c r="BC387" t="s">
        <v>182</v>
      </c>
      <c r="BD387" t="s">
        <v>182</v>
      </c>
      <c r="BE387" t="s">
        <v>5843</v>
      </c>
      <c r="BF387">
        <v>1</v>
      </c>
      <c r="BG387">
        <v>1</v>
      </c>
      <c r="BH387">
        <v>1959</v>
      </c>
      <c r="BI387" t="s">
        <v>5844</v>
      </c>
      <c r="BJ387" t="s">
        <v>194</v>
      </c>
      <c r="BK387" t="s">
        <v>195</v>
      </c>
      <c r="BL387" t="s">
        <v>199</v>
      </c>
      <c r="BM387" t="s">
        <v>358</v>
      </c>
      <c r="BN387" t="s">
        <v>182</v>
      </c>
      <c r="BO387" t="s">
        <v>198</v>
      </c>
      <c r="BP387" t="s">
        <v>198</v>
      </c>
      <c r="BQ387" t="s">
        <v>198</v>
      </c>
      <c r="BR387" t="s">
        <v>198</v>
      </c>
      <c r="BS387" t="s">
        <v>198</v>
      </c>
      <c r="BT387" t="s">
        <v>198</v>
      </c>
      <c r="BU387" t="s">
        <v>182</v>
      </c>
      <c r="BV387" t="s">
        <v>198</v>
      </c>
      <c r="BW387" t="s">
        <v>198</v>
      </c>
      <c r="BX387" t="s">
        <v>199</v>
      </c>
      <c r="BY387" t="s">
        <v>198</v>
      </c>
      <c r="BZ387" t="s">
        <v>199</v>
      </c>
      <c r="CA387" t="s">
        <v>199</v>
      </c>
      <c r="CB387" t="s">
        <v>5845</v>
      </c>
      <c r="CC387" t="s">
        <v>201</v>
      </c>
      <c r="CD387" t="s">
        <v>202</v>
      </c>
      <c r="CE387" t="s">
        <v>5846</v>
      </c>
      <c r="CF387" t="s">
        <v>1029</v>
      </c>
      <c r="CG387" t="s">
        <v>177</v>
      </c>
      <c r="CH387" t="s">
        <v>1030</v>
      </c>
      <c r="CI387" t="s">
        <v>5847</v>
      </c>
      <c r="CJ387" t="s">
        <v>4430</v>
      </c>
      <c r="CK387" t="s">
        <v>232</v>
      </c>
      <c r="CL387" t="s">
        <v>233</v>
      </c>
      <c r="CM387" t="s">
        <v>5848</v>
      </c>
      <c r="CN387" t="s">
        <v>235</v>
      </c>
      <c r="CO387" t="s">
        <v>183</v>
      </c>
      <c r="CP387" t="s">
        <v>266</v>
      </c>
      <c r="CS387" t="s">
        <v>198</v>
      </c>
      <c r="CT387" t="s">
        <v>5807</v>
      </c>
      <c r="CU387" t="s">
        <v>267</v>
      </c>
      <c r="CV387" t="s">
        <v>268</v>
      </c>
      <c r="CW387" t="s">
        <v>5849</v>
      </c>
      <c r="CX387" t="s">
        <v>235</v>
      </c>
      <c r="CY387" t="s">
        <v>183</v>
      </c>
      <c r="CZ387" t="s">
        <v>211</v>
      </c>
      <c r="DA387" t="s">
        <v>270</v>
      </c>
      <c r="DB387" t="s">
        <v>271</v>
      </c>
      <c r="DC387" t="s">
        <v>272</v>
      </c>
      <c r="DD387" t="s">
        <v>4249</v>
      </c>
      <c r="DE387" t="s">
        <v>273</v>
      </c>
      <c r="DF387" t="s">
        <v>274</v>
      </c>
      <c r="DG387" t="s">
        <v>5850</v>
      </c>
      <c r="DH387" t="s">
        <v>235</v>
      </c>
      <c r="DI387" t="s">
        <v>183</v>
      </c>
      <c r="DJ387" t="s">
        <v>211</v>
      </c>
      <c r="DL387" t="s">
        <v>271</v>
      </c>
      <c r="DM387" t="s">
        <v>198</v>
      </c>
      <c r="DN387" t="s">
        <v>5851</v>
      </c>
      <c r="DO387" t="s">
        <v>302</v>
      </c>
      <c r="DP387" t="s">
        <v>303</v>
      </c>
      <c r="DQ387" t="s">
        <v>5852</v>
      </c>
      <c r="DR387" t="s">
        <v>3342</v>
      </c>
      <c r="DS387" t="s">
        <v>183</v>
      </c>
      <c r="DT387" t="s">
        <v>211</v>
      </c>
      <c r="DU387" t="s">
        <v>345</v>
      </c>
      <c r="DW387" t="s">
        <v>3807</v>
      </c>
      <c r="DX387" t="s">
        <v>5853</v>
      </c>
      <c r="DY387" t="s">
        <v>238</v>
      </c>
      <c r="DZ387" t="s">
        <v>239</v>
      </c>
      <c r="EA387" t="s">
        <v>5854</v>
      </c>
      <c r="EB387" t="s">
        <v>922</v>
      </c>
      <c r="EC387" t="s">
        <v>183</v>
      </c>
      <c r="ED387" t="s">
        <v>211</v>
      </c>
      <c r="EE387" t="s">
        <v>250</v>
      </c>
      <c r="EF387" t="s">
        <v>271</v>
      </c>
      <c r="EG387" t="s">
        <v>5855</v>
      </c>
      <c r="EH387" t="s">
        <v>5856</v>
      </c>
      <c r="EI387" t="s">
        <v>346</v>
      </c>
      <c r="EJ387" t="s">
        <v>347</v>
      </c>
      <c r="EK387" t="s">
        <v>5857</v>
      </c>
      <c r="EL387" t="s">
        <v>469</v>
      </c>
      <c r="EM387" t="s">
        <v>183</v>
      </c>
      <c r="EN387" t="s">
        <v>211</v>
      </c>
      <c r="EO387" t="s">
        <v>487</v>
      </c>
      <c r="EP387" t="s">
        <v>271</v>
      </c>
      <c r="EQ387" t="s">
        <v>5855</v>
      </c>
      <c r="ER387" t="s">
        <v>5858</v>
      </c>
      <c r="ES387" t="s">
        <v>207</v>
      </c>
      <c r="ET387" t="s">
        <v>208</v>
      </c>
      <c r="EU387" t="s">
        <v>5859</v>
      </c>
      <c r="EV387" t="s">
        <v>576</v>
      </c>
      <c r="EW387" t="s">
        <v>183</v>
      </c>
      <c r="EX387" t="s">
        <v>211</v>
      </c>
      <c r="EZ387" t="s">
        <v>271</v>
      </c>
      <c r="FA387" t="s">
        <v>198</v>
      </c>
      <c r="FK387" t="s">
        <v>198</v>
      </c>
      <c r="FU387" t="s">
        <v>198</v>
      </c>
    </row>
    <row r="388" spans="1:177">
      <c r="A388" s="1" t="str">
        <f>HYPERLINK("http://digipan.lumentumllc.com/apps/getLink/index.php?t=PropLink&amp;p=5245111","PL")</f>
        <v>PL</v>
      </c>
      <c r="B388" s="1" t="str">
        <f>HYPERLINK("http://digipan.lumentumllc.com/apps/getLink/index.php?t=TaxLink&amp;p=5245111","TL")</f>
        <v>TL</v>
      </c>
      <c r="C388" s="1" t="str">
        <f>HYPERLINK("http://digipan.lumentumllc.com/apps/getMap/index.php?p=5245111","Map")</f>
        <v>Map</v>
      </c>
      <c r="E388" t="s">
        <v>177</v>
      </c>
      <c r="F388" t="s">
        <v>178</v>
      </c>
      <c r="L388" t="s">
        <v>5860</v>
      </c>
      <c r="N388" t="s">
        <v>5860</v>
      </c>
      <c r="O388" t="s">
        <v>5860</v>
      </c>
      <c r="P388" t="s">
        <v>5861</v>
      </c>
      <c r="Q388" t="s">
        <v>5860</v>
      </c>
      <c r="V388">
        <v>455</v>
      </c>
      <c r="W388">
        <v>2</v>
      </c>
      <c r="X388">
        <v>2017</v>
      </c>
      <c r="Y388">
        <v>2018</v>
      </c>
      <c r="Z388">
        <v>50.88</v>
      </c>
      <c r="AB388" t="s">
        <v>181</v>
      </c>
      <c r="AC388" t="s">
        <v>182</v>
      </c>
      <c r="AD388" t="s">
        <v>1037</v>
      </c>
      <c r="AE388">
        <v>7</v>
      </c>
      <c r="AF388">
        <v>0</v>
      </c>
      <c r="AG388" t="s">
        <v>1038</v>
      </c>
      <c r="AH388">
        <v>0</v>
      </c>
      <c r="AI388">
        <v>893.92</v>
      </c>
      <c r="AJ388">
        <v>678.22</v>
      </c>
      <c r="AK388">
        <v>1572.14</v>
      </c>
      <c r="AL388">
        <v>1250</v>
      </c>
      <c r="AM388">
        <v>1250</v>
      </c>
      <c r="AN388">
        <v>0</v>
      </c>
      <c r="AO388">
        <v>18</v>
      </c>
      <c r="AP388">
        <v>2016</v>
      </c>
      <c r="AQ388">
        <v>4.07</v>
      </c>
      <c r="AR388">
        <v>125.77</v>
      </c>
      <c r="AS388" t="s">
        <v>5862</v>
      </c>
      <c r="AT388" t="s">
        <v>186</v>
      </c>
      <c r="AU388" t="s">
        <v>177</v>
      </c>
      <c r="AV388" t="s">
        <v>187</v>
      </c>
      <c r="AW388" t="s">
        <v>182</v>
      </c>
      <c r="AX388">
        <v>0</v>
      </c>
      <c r="AY388" t="s">
        <v>312</v>
      </c>
      <c r="AZ388" t="s">
        <v>199</v>
      </c>
      <c r="BA388" t="s">
        <v>313</v>
      </c>
      <c r="BB388" t="s">
        <v>191</v>
      </c>
      <c r="BC388" t="s">
        <v>182</v>
      </c>
      <c r="BD388" t="s">
        <v>182</v>
      </c>
      <c r="BE388" t="s">
        <v>3930</v>
      </c>
      <c r="BF388">
        <v>0</v>
      </c>
      <c r="BG388">
        <v>0</v>
      </c>
      <c r="BH388">
        <v>0</v>
      </c>
      <c r="BI388" t="s">
        <v>199</v>
      </c>
      <c r="BJ388" t="s">
        <v>315</v>
      </c>
      <c r="BL388" t="s">
        <v>199</v>
      </c>
      <c r="BM388" t="s">
        <v>3644</v>
      </c>
      <c r="BN388" t="s">
        <v>182</v>
      </c>
      <c r="BO388" t="s">
        <v>198</v>
      </c>
      <c r="BP388" t="s">
        <v>198</v>
      </c>
      <c r="BQ388" t="s">
        <v>198</v>
      </c>
      <c r="BR388" t="s">
        <v>198</v>
      </c>
      <c r="BS388" t="s">
        <v>198</v>
      </c>
      <c r="BT388" t="s">
        <v>198</v>
      </c>
      <c r="BU388" t="s">
        <v>182</v>
      </c>
      <c r="BV388" t="s">
        <v>198</v>
      </c>
      <c r="BW388" t="s">
        <v>198</v>
      </c>
      <c r="BX388" t="s">
        <v>199</v>
      </c>
      <c r="BY388" t="s">
        <v>198</v>
      </c>
      <c r="BZ388" t="s">
        <v>199</v>
      </c>
      <c r="CA388" t="s">
        <v>199</v>
      </c>
      <c r="CB388" t="s">
        <v>5863</v>
      </c>
      <c r="CC388" t="s">
        <v>201</v>
      </c>
      <c r="CD388" t="s">
        <v>182</v>
      </c>
      <c r="CE388" t="s">
        <v>5864</v>
      </c>
      <c r="CF388" t="s">
        <v>5865</v>
      </c>
      <c r="CG388" t="s">
        <v>177</v>
      </c>
      <c r="CH388" t="s">
        <v>5866</v>
      </c>
      <c r="CI388" t="s">
        <v>5867</v>
      </c>
      <c r="CJ388" t="s">
        <v>5422</v>
      </c>
      <c r="CK388" t="s">
        <v>232</v>
      </c>
      <c r="CL388" t="s">
        <v>233</v>
      </c>
      <c r="CM388" t="s">
        <v>5868</v>
      </c>
      <c r="CN388" t="s">
        <v>482</v>
      </c>
      <c r="CO388" t="s">
        <v>5</v>
      </c>
      <c r="CP388" t="s">
        <v>266</v>
      </c>
      <c r="CS388" t="s">
        <v>198</v>
      </c>
      <c r="CT388" t="s">
        <v>3943</v>
      </c>
      <c r="CU388" t="s">
        <v>292</v>
      </c>
      <c r="CV388" t="s">
        <v>293</v>
      </c>
      <c r="CW388" t="s">
        <v>5869</v>
      </c>
      <c r="CX388" t="s">
        <v>482</v>
      </c>
      <c r="CY388" t="s">
        <v>5</v>
      </c>
      <c r="CZ388" t="s">
        <v>266</v>
      </c>
      <c r="DC388" t="s">
        <v>198</v>
      </c>
      <c r="DD388" t="s">
        <v>4295</v>
      </c>
      <c r="DE388" t="s">
        <v>267</v>
      </c>
      <c r="DF388" t="s">
        <v>268</v>
      </c>
      <c r="DG388" t="s">
        <v>5870</v>
      </c>
      <c r="DH388" t="s">
        <v>482</v>
      </c>
      <c r="DI388" t="s">
        <v>183</v>
      </c>
      <c r="DJ388" t="s">
        <v>266</v>
      </c>
      <c r="DM388" t="s">
        <v>198</v>
      </c>
      <c r="DN388" t="s">
        <v>5768</v>
      </c>
      <c r="DO388" t="s">
        <v>273</v>
      </c>
      <c r="DP388" t="s">
        <v>274</v>
      </c>
      <c r="DQ388" t="s">
        <v>5871</v>
      </c>
      <c r="DR388" t="s">
        <v>4595</v>
      </c>
      <c r="DS388" t="s">
        <v>183</v>
      </c>
      <c r="DT388" t="s">
        <v>266</v>
      </c>
      <c r="DW388" t="s">
        <v>198</v>
      </c>
      <c r="DX388" t="s">
        <v>4738</v>
      </c>
      <c r="DY388" t="s">
        <v>302</v>
      </c>
      <c r="DZ388" t="s">
        <v>303</v>
      </c>
      <c r="EA388" t="s">
        <v>5872</v>
      </c>
      <c r="EB388" t="s">
        <v>1615</v>
      </c>
      <c r="EC388" t="s">
        <v>183</v>
      </c>
      <c r="ED388" t="s">
        <v>266</v>
      </c>
      <c r="EG388" t="s">
        <v>198</v>
      </c>
      <c r="EH388" t="s">
        <v>5873</v>
      </c>
      <c r="EI388" t="s">
        <v>238</v>
      </c>
      <c r="EJ388" t="s">
        <v>239</v>
      </c>
      <c r="EK388" t="s">
        <v>5874</v>
      </c>
      <c r="EL388" t="s">
        <v>922</v>
      </c>
      <c r="EM388" t="s">
        <v>183</v>
      </c>
      <c r="EN388" t="s">
        <v>266</v>
      </c>
      <c r="EQ388" t="s">
        <v>198</v>
      </c>
      <c r="ER388" t="s">
        <v>5875</v>
      </c>
      <c r="ES388" t="s">
        <v>346</v>
      </c>
      <c r="ET388" t="s">
        <v>347</v>
      </c>
      <c r="EU388" t="s">
        <v>5876</v>
      </c>
      <c r="EV388" t="s">
        <v>482</v>
      </c>
      <c r="EW388" t="s">
        <v>183</v>
      </c>
      <c r="EX388" t="s">
        <v>266</v>
      </c>
      <c r="FA388" t="s">
        <v>198</v>
      </c>
      <c r="FK388" t="s">
        <v>198</v>
      </c>
      <c r="FU388" t="s">
        <v>198</v>
      </c>
    </row>
    <row r="389" spans="1:177">
      <c r="A389" s="1" t="str">
        <f>HYPERLINK("http://digipan.lumentumllc.com/apps/getLink/index.php?t=PropLink&amp;p=5245113","PL")</f>
        <v>PL</v>
      </c>
      <c r="B389" s="1" t="str">
        <f>HYPERLINK("http://digipan.lumentumllc.com/apps/getLink/index.php?t=TaxLink&amp;p=5245113","TL")</f>
        <v>TL</v>
      </c>
      <c r="C389" s="1" t="str">
        <f>HYPERLINK("http://digipan.lumentumllc.com/apps/getMap/index.php?p=5245113","Map")</f>
        <v>Map</v>
      </c>
      <c r="E389" t="s">
        <v>177</v>
      </c>
      <c r="F389" t="s">
        <v>178</v>
      </c>
      <c r="L389" t="s">
        <v>5877</v>
      </c>
      <c r="N389" t="s">
        <v>5877</v>
      </c>
      <c r="O389" t="s">
        <v>5877</v>
      </c>
      <c r="P389" t="s">
        <v>5878</v>
      </c>
      <c r="Q389" t="s">
        <v>5877</v>
      </c>
      <c r="V389">
        <v>456</v>
      </c>
      <c r="W389">
        <v>2</v>
      </c>
      <c r="X389">
        <v>2017</v>
      </c>
      <c r="Y389">
        <v>2018</v>
      </c>
      <c r="Z389">
        <v>297.17</v>
      </c>
      <c r="AB389" t="s">
        <v>181</v>
      </c>
      <c r="AC389" t="s">
        <v>182</v>
      </c>
      <c r="AD389" t="s">
        <v>183</v>
      </c>
      <c r="AE389">
        <v>1</v>
      </c>
      <c r="AF389">
        <v>6</v>
      </c>
      <c r="AG389" t="s">
        <v>418</v>
      </c>
      <c r="AH389">
        <v>86</v>
      </c>
      <c r="AI389">
        <v>293.57</v>
      </c>
      <c r="AJ389">
        <v>41.1</v>
      </c>
      <c r="AK389">
        <v>334.67</v>
      </c>
      <c r="AL389">
        <v>17556</v>
      </c>
      <c r="AM389">
        <v>13072</v>
      </c>
      <c r="AN389">
        <v>4484</v>
      </c>
      <c r="AO389">
        <v>246</v>
      </c>
      <c r="AP389">
        <v>2016</v>
      </c>
      <c r="AQ389">
        <v>1.69</v>
      </c>
      <c r="AR389">
        <v>1.91</v>
      </c>
      <c r="AS389" t="s">
        <v>5879</v>
      </c>
      <c r="AT389" t="s">
        <v>186</v>
      </c>
      <c r="AU389" t="s">
        <v>177</v>
      </c>
      <c r="AV389" t="s">
        <v>187</v>
      </c>
      <c r="AW389" t="s">
        <v>182</v>
      </c>
      <c r="AX389">
        <v>2</v>
      </c>
      <c r="AY389" t="s">
        <v>188</v>
      </c>
      <c r="AZ389" t="s">
        <v>189</v>
      </c>
      <c r="BA389" t="s">
        <v>190</v>
      </c>
      <c r="BB389" t="s">
        <v>191</v>
      </c>
      <c r="BC389" t="s">
        <v>182</v>
      </c>
      <c r="BD389" t="s">
        <v>182</v>
      </c>
      <c r="BE389" t="s">
        <v>5880</v>
      </c>
      <c r="BF389">
        <v>1</v>
      </c>
      <c r="BG389">
        <v>1</v>
      </c>
      <c r="BH389">
        <v>1969</v>
      </c>
      <c r="BI389" t="s">
        <v>193</v>
      </c>
      <c r="BJ389" t="s">
        <v>285</v>
      </c>
      <c r="BK389" t="s">
        <v>195</v>
      </c>
      <c r="BL389" t="s">
        <v>199</v>
      </c>
      <c r="BM389" t="s">
        <v>267</v>
      </c>
      <c r="BN389" t="s">
        <v>182</v>
      </c>
      <c r="BO389" t="s">
        <v>198</v>
      </c>
      <c r="BP389" t="s">
        <v>198</v>
      </c>
      <c r="BQ389" t="s">
        <v>198</v>
      </c>
      <c r="BR389" t="s">
        <v>198</v>
      </c>
      <c r="BS389" t="s">
        <v>198</v>
      </c>
      <c r="BT389" t="s">
        <v>198</v>
      </c>
      <c r="BU389" t="s">
        <v>182</v>
      </c>
      <c r="BV389" t="s">
        <v>198</v>
      </c>
      <c r="BW389" t="s">
        <v>198</v>
      </c>
      <c r="BX389" t="s">
        <v>199</v>
      </c>
      <c r="BY389" t="s">
        <v>198</v>
      </c>
      <c r="BZ389" t="s">
        <v>199</v>
      </c>
      <c r="CA389" t="s">
        <v>199</v>
      </c>
      <c r="CB389" t="s">
        <v>5881</v>
      </c>
      <c r="CC389" t="s">
        <v>201</v>
      </c>
      <c r="CD389" t="s">
        <v>202</v>
      </c>
      <c r="CE389" t="s">
        <v>5879</v>
      </c>
      <c r="CF389" t="s">
        <v>204</v>
      </c>
      <c r="CG389" t="s">
        <v>177</v>
      </c>
      <c r="CH389" t="s">
        <v>187</v>
      </c>
      <c r="CI389" t="s">
        <v>5882</v>
      </c>
      <c r="CJ389" t="s">
        <v>4461</v>
      </c>
      <c r="CK389" t="s">
        <v>232</v>
      </c>
      <c r="CL389" t="s">
        <v>233</v>
      </c>
      <c r="CM389" t="s">
        <v>5883</v>
      </c>
      <c r="CN389" t="s">
        <v>484</v>
      </c>
      <c r="CO389" t="s">
        <v>183</v>
      </c>
      <c r="CP389" t="s">
        <v>266</v>
      </c>
      <c r="CS389" t="s">
        <v>198</v>
      </c>
      <c r="CT389" t="s">
        <v>5573</v>
      </c>
      <c r="CU389" t="s">
        <v>292</v>
      </c>
      <c r="CV389" t="s">
        <v>293</v>
      </c>
      <c r="CW389" t="s">
        <v>5884</v>
      </c>
      <c r="CX389" t="s">
        <v>482</v>
      </c>
      <c r="CY389" t="s">
        <v>183</v>
      </c>
      <c r="CZ389" t="s">
        <v>211</v>
      </c>
      <c r="DA389" t="s">
        <v>345</v>
      </c>
      <c r="DC389" t="s">
        <v>1264</v>
      </c>
      <c r="DD389" t="s">
        <v>5768</v>
      </c>
      <c r="DE389" t="s">
        <v>267</v>
      </c>
      <c r="DF389" t="s">
        <v>268</v>
      </c>
      <c r="DG389" t="s">
        <v>5885</v>
      </c>
      <c r="DH389" t="s">
        <v>927</v>
      </c>
      <c r="DI389" t="s">
        <v>183</v>
      </c>
      <c r="DJ389" t="s">
        <v>211</v>
      </c>
      <c r="DK389" t="s">
        <v>345</v>
      </c>
      <c r="DM389" t="s">
        <v>4161</v>
      </c>
      <c r="DN389" t="s">
        <v>5802</v>
      </c>
      <c r="DO389" t="s">
        <v>273</v>
      </c>
      <c r="DP389" t="s">
        <v>274</v>
      </c>
      <c r="DQ389" t="s">
        <v>5886</v>
      </c>
      <c r="DR389" t="s">
        <v>235</v>
      </c>
      <c r="DS389" t="s">
        <v>183</v>
      </c>
      <c r="DT389" t="s">
        <v>211</v>
      </c>
      <c r="DU389" t="s">
        <v>865</v>
      </c>
      <c r="DW389" t="s">
        <v>4161</v>
      </c>
      <c r="DX389" t="s">
        <v>4769</v>
      </c>
      <c r="DY389" t="s">
        <v>302</v>
      </c>
      <c r="DZ389" t="s">
        <v>303</v>
      </c>
      <c r="EA389" t="s">
        <v>5887</v>
      </c>
      <c r="EB389" t="s">
        <v>440</v>
      </c>
      <c r="EC389" t="s">
        <v>183</v>
      </c>
      <c r="ED389" t="s">
        <v>211</v>
      </c>
      <c r="EE389" t="s">
        <v>342</v>
      </c>
      <c r="EG389" t="s">
        <v>5888</v>
      </c>
      <c r="EH389" t="s">
        <v>5889</v>
      </c>
      <c r="EI389" t="s">
        <v>238</v>
      </c>
      <c r="EJ389" t="s">
        <v>239</v>
      </c>
      <c r="EK389" t="s">
        <v>5890</v>
      </c>
      <c r="EL389" t="s">
        <v>295</v>
      </c>
      <c r="EM389" t="s">
        <v>183</v>
      </c>
      <c r="EN389" t="s">
        <v>211</v>
      </c>
      <c r="EO389" t="s">
        <v>345</v>
      </c>
      <c r="EQ389" t="s">
        <v>2676</v>
      </c>
      <c r="ER389" t="s">
        <v>5891</v>
      </c>
      <c r="ES389" t="s">
        <v>346</v>
      </c>
      <c r="ET389" t="s">
        <v>347</v>
      </c>
      <c r="EU389" t="s">
        <v>5892</v>
      </c>
      <c r="EV389" t="s">
        <v>469</v>
      </c>
      <c r="EW389" t="s">
        <v>183</v>
      </c>
      <c r="EX389" t="s">
        <v>211</v>
      </c>
      <c r="EY389" t="s">
        <v>342</v>
      </c>
      <c r="FA389" t="s">
        <v>5893</v>
      </c>
      <c r="FK389" t="s">
        <v>198</v>
      </c>
      <c r="FU389" t="s">
        <v>198</v>
      </c>
    </row>
    <row r="390" spans="1:177">
      <c r="A390" s="1" t="str">
        <f>HYPERLINK("http://digipan.lumentumllc.com/apps/getLink/index.php?t=PropLink&amp;p=6594135","PL")</f>
        <v>PL</v>
      </c>
      <c r="B390" s="1" t="str">
        <f>HYPERLINK("http://digipan.lumentumllc.com/apps/getLink/index.php?t=TaxLink&amp;p=6594135","TL")</f>
        <v>TL</v>
      </c>
      <c r="C390" s="1" t="str">
        <f>HYPERLINK("http://digipan.lumentumllc.com/apps/getMap/index.php?p=6594135","Map")</f>
        <v>Map</v>
      </c>
      <c r="E390" t="s">
        <v>177</v>
      </c>
      <c r="F390" t="s">
        <v>178</v>
      </c>
      <c r="L390" t="s">
        <v>5894</v>
      </c>
      <c r="N390" t="s">
        <v>5894</v>
      </c>
      <c r="O390" t="s">
        <v>5894</v>
      </c>
      <c r="P390" t="s">
        <v>5895</v>
      </c>
      <c r="Q390" t="s">
        <v>5894</v>
      </c>
      <c r="V390">
        <v>457</v>
      </c>
      <c r="W390">
        <v>2</v>
      </c>
      <c r="X390">
        <v>2017</v>
      </c>
      <c r="Y390">
        <v>2018</v>
      </c>
      <c r="Z390">
        <v>502</v>
      </c>
      <c r="AB390" t="s">
        <v>181</v>
      </c>
      <c r="AC390" t="s">
        <v>182</v>
      </c>
      <c r="AD390" t="s">
        <v>183</v>
      </c>
      <c r="AE390">
        <v>1</v>
      </c>
      <c r="AF390">
        <v>3</v>
      </c>
      <c r="AG390" t="s">
        <v>257</v>
      </c>
      <c r="AH390">
        <v>75</v>
      </c>
      <c r="AI390">
        <v>496.93</v>
      </c>
      <c r="AJ390">
        <v>24.85</v>
      </c>
      <c r="AK390">
        <v>521.78</v>
      </c>
      <c r="AL390">
        <v>74408</v>
      </c>
      <c r="AM390">
        <v>21750</v>
      </c>
      <c r="AN390">
        <v>52658</v>
      </c>
      <c r="AO390">
        <v>435</v>
      </c>
      <c r="AP390">
        <v>2016</v>
      </c>
      <c r="AQ390">
        <v>0.67</v>
      </c>
      <c r="AR390">
        <v>0.7</v>
      </c>
      <c r="AS390" t="s">
        <v>5896</v>
      </c>
      <c r="AT390" t="s">
        <v>186</v>
      </c>
      <c r="AU390" t="s">
        <v>177</v>
      </c>
      <c r="AV390" t="s">
        <v>187</v>
      </c>
      <c r="AW390" t="s">
        <v>202</v>
      </c>
      <c r="AX390">
        <v>1</v>
      </c>
      <c r="AY390" t="s">
        <v>188</v>
      </c>
      <c r="AZ390" t="s">
        <v>206</v>
      </c>
      <c r="BA390" t="s">
        <v>355</v>
      </c>
      <c r="BB390" t="s">
        <v>191</v>
      </c>
      <c r="BC390" t="s">
        <v>182</v>
      </c>
      <c r="BD390" t="s">
        <v>182</v>
      </c>
      <c r="BE390" t="s">
        <v>2938</v>
      </c>
      <c r="BF390">
        <v>1</v>
      </c>
      <c r="BG390">
        <v>1</v>
      </c>
      <c r="BH390">
        <v>1920</v>
      </c>
      <c r="BI390" t="s">
        <v>5897</v>
      </c>
      <c r="BJ390" t="s">
        <v>194</v>
      </c>
      <c r="BK390" t="s">
        <v>195</v>
      </c>
      <c r="BL390" t="s">
        <v>5898</v>
      </c>
      <c r="BM390" t="s">
        <v>679</v>
      </c>
      <c r="BN390" t="s">
        <v>182</v>
      </c>
      <c r="BO390" t="s">
        <v>5629</v>
      </c>
      <c r="BP390" t="s">
        <v>5899</v>
      </c>
      <c r="BQ390" t="s">
        <v>226</v>
      </c>
      <c r="BR390" t="s">
        <v>227</v>
      </c>
      <c r="BS390" t="s">
        <v>198</v>
      </c>
      <c r="BT390" t="s">
        <v>375</v>
      </c>
      <c r="BU390" t="s">
        <v>182</v>
      </c>
      <c r="BV390" t="s">
        <v>198</v>
      </c>
      <c r="BW390" t="s">
        <v>198</v>
      </c>
      <c r="BX390" t="s">
        <v>199</v>
      </c>
      <c r="BY390" t="s">
        <v>198</v>
      </c>
      <c r="BZ390" t="s">
        <v>199</v>
      </c>
      <c r="CA390" t="s">
        <v>199</v>
      </c>
      <c r="CB390" t="s">
        <v>5900</v>
      </c>
      <c r="CC390" t="s">
        <v>201</v>
      </c>
      <c r="CD390" t="s">
        <v>182</v>
      </c>
      <c r="CE390" t="s">
        <v>5901</v>
      </c>
      <c r="CF390" t="s">
        <v>204</v>
      </c>
      <c r="CG390" t="s">
        <v>177</v>
      </c>
      <c r="CH390" t="s">
        <v>187</v>
      </c>
      <c r="CI390" t="s">
        <v>5902</v>
      </c>
      <c r="CJ390" t="s">
        <v>5528</v>
      </c>
      <c r="CK390" t="s">
        <v>232</v>
      </c>
      <c r="CL390" t="s">
        <v>233</v>
      </c>
      <c r="CM390" t="s">
        <v>5903</v>
      </c>
      <c r="CN390" t="s">
        <v>235</v>
      </c>
      <c r="CO390" t="s">
        <v>183</v>
      </c>
      <c r="CP390" t="s">
        <v>266</v>
      </c>
      <c r="CS390" t="s">
        <v>198</v>
      </c>
      <c r="CT390" t="s">
        <v>4298</v>
      </c>
      <c r="CU390" t="s">
        <v>292</v>
      </c>
      <c r="CV390" t="s">
        <v>293</v>
      </c>
      <c r="CW390" t="s">
        <v>5904</v>
      </c>
      <c r="CX390" t="s">
        <v>235</v>
      </c>
      <c r="CY390" t="s">
        <v>183</v>
      </c>
      <c r="CZ390" t="s">
        <v>211</v>
      </c>
      <c r="DA390" t="s">
        <v>298</v>
      </c>
      <c r="DC390" t="s">
        <v>3703</v>
      </c>
      <c r="DD390" t="s">
        <v>5802</v>
      </c>
      <c r="DE390" t="s">
        <v>267</v>
      </c>
      <c r="DF390" t="s">
        <v>268</v>
      </c>
      <c r="DG390" t="s">
        <v>5905</v>
      </c>
      <c r="DH390" t="s">
        <v>235</v>
      </c>
      <c r="DI390" t="s">
        <v>183</v>
      </c>
      <c r="DJ390" t="s">
        <v>211</v>
      </c>
      <c r="DK390" t="s">
        <v>298</v>
      </c>
      <c r="DM390" t="s">
        <v>459</v>
      </c>
      <c r="DN390" t="s">
        <v>4409</v>
      </c>
      <c r="DO390" t="s">
        <v>273</v>
      </c>
      <c r="DP390" t="s">
        <v>274</v>
      </c>
      <c r="DQ390" t="s">
        <v>5906</v>
      </c>
      <c r="DR390" t="s">
        <v>235</v>
      </c>
      <c r="DS390" t="s">
        <v>183</v>
      </c>
      <c r="DT390" t="s">
        <v>211</v>
      </c>
      <c r="DU390" t="s">
        <v>298</v>
      </c>
      <c r="DW390" t="s">
        <v>5907</v>
      </c>
      <c r="EG390" t="s">
        <v>198</v>
      </c>
      <c r="EQ390" t="s">
        <v>198</v>
      </c>
      <c r="FA390" t="s">
        <v>198</v>
      </c>
      <c r="FK390" t="s">
        <v>198</v>
      </c>
      <c r="FU390" t="s">
        <v>198</v>
      </c>
    </row>
    <row r="391" spans="1:177">
      <c r="A391" s="1" t="str">
        <f>HYPERLINK("http://digipan.lumentumllc.com/apps/getLink/index.php?t=PropLink&amp;p=5245166","PL")</f>
        <v>PL</v>
      </c>
      <c r="B391" s="1" t="str">
        <f>HYPERLINK("http://digipan.lumentumllc.com/apps/getLink/index.php?t=TaxLink&amp;p=5245166","TL")</f>
        <v>TL</v>
      </c>
      <c r="C391" s="1" t="str">
        <f>HYPERLINK("http://digipan.lumentumllc.com/apps/getMap/index.php?p=5245166","Map")</f>
        <v>Map</v>
      </c>
      <c r="E391" t="s">
        <v>177</v>
      </c>
      <c r="F391" t="s">
        <v>178</v>
      </c>
      <c r="L391" t="s">
        <v>5908</v>
      </c>
      <c r="N391" t="s">
        <v>5908</v>
      </c>
      <c r="O391" t="s">
        <v>5908</v>
      </c>
      <c r="P391" t="s">
        <v>5909</v>
      </c>
      <c r="Q391" t="s">
        <v>5908</v>
      </c>
      <c r="V391">
        <v>458</v>
      </c>
      <c r="W391">
        <v>2</v>
      </c>
      <c r="X391">
        <v>2017</v>
      </c>
      <c r="Y391">
        <v>2018</v>
      </c>
      <c r="Z391">
        <v>932.82</v>
      </c>
      <c r="AB391" t="s">
        <v>181</v>
      </c>
      <c r="AC391" t="s">
        <v>182</v>
      </c>
      <c r="AD391" t="s">
        <v>183</v>
      </c>
      <c r="AE391">
        <v>1</v>
      </c>
      <c r="AF391">
        <v>7</v>
      </c>
      <c r="AG391" t="s">
        <v>418</v>
      </c>
      <c r="AH391">
        <v>86</v>
      </c>
      <c r="AI391">
        <v>911.08</v>
      </c>
      <c r="AJ391">
        <v>45.55</v>
      </c>
      <c r="AK391">
        <v>956.63</v>
      </c>
      <c r="AL391">
        <v>104832</v>
      </c>
      <c r="AM391">
        <v>48000</v>
      </c>
      <c r="AN391">
        <v>56832</v>
      </c>
      <c r="AO391">
        <v>817</v>
      </c>
      <c r="AP391">
        <v>2016</v>
      </c>
      <c r="AQ391">
        <v>0.89</v>
      </c>
      <c r="AR391">
        <v>0.91</v>
      </c>
      <c r="AS391" t="s">
        <v>5910</v>
      </c>
      <c r="AT391" t="s">
        <v>186</v>
      </c>
      <c r="AU391" t="s">
        <v>177</v>
      </c>
      <c r="AV391" t="s">
        <v>187</v>
      </c>
      <c r="AW391" t="s">
        <v>202</v>
      </c>
      <c r="AX391">
        <v>2</v>
      </c>
      <c r="AY391" t="s">
        <v>188</v>
      </c>
      <c r="AZ391" t="s">
        <v>189</v>
      </c>
      <c r="BA391" t="s">
        <v>190</v>
      </c>
      <c r="BB391" t="s">
        <v>191</v>
      </c>
      <c r="BC391" t="s">
        <v>182</v>
      </c>
      <c r="BD391" t="s">
        <v>182</v>
      </c>
      <c r="BE391" t="s">
        <v>576</v>
      </c>
      <c r="BF391">
        <v>1</v>
      </c>
      <c r="BG391">
        <v>1</v>
      </c>
      <c r="BH391">
        <v>1999</v>
      </c>
      <c r="BI391" t="s">
        <v>5911</v>
      </c>
      <c r="BJ391" t="s">
        <v>194</v>
      </c>
      <c r="BK391" t="s">
        <v>195</v>
      </c>
      <c r="BL391" t="s">
        <v>5912</v>
      </c>
      <c r="BM391" t="s">
        <v>501</v>
      </c>
      <c r="BN391" t="s">
        <v>182</v>
      </c>
      <c r="BO391" t="s">
        <v>198</v>
      </c>
      <c r="BP391" t="s">
        <v>198</v>
      </c>
      <c r="BQ391" t="s">
        <v>198</v>
      </c>
      <c r="BR391" t="s">
        <v>198</v>
      </c>
      <c r="BS391" t="s">
        <v>198</v>
      </c>
      <c r="BT391" t="s">
        <v>198</v>
      </c>
      <c r="BU391" t="s">
        <v>182</v>
      </c>
      <c r="BV391" t="s">
        <v>198</v>
      </c>
      <c r="BW391" t="s">
        <v>198</v>
      </c>
      <c r="BX391" t="s">
        <v>199</v>
      </c>
      <c r="BY391" t="s">
        <v>198</v>
      </c>
      <c r="BZ391" t="s">
        <v>199</v>
      </c>
      <c r="CA391" t="s">
        <v>199</v>
      </c>
      <c r="CB391" t="s">
        <v>5913</v>
      </c>
      <c r="CC391" t="s">
        <v>201</v>
      </c>
      <c r="CD391" t="s">
        <v>182</v>
      </c>
      <c r="CE391" t="s">
        <v>5914</v>
      </c>
      <c r="CF391" t="s">
        <v>204</v>
      </c>
      <c r="CG391" t="s">
        <v>177</v>
      </c>
      <c r="CH391" t="s">
        <v>187</v>
      </c>
      <c r="CI391" t="s">
        <v>5915</v>
      </c>
      <c r="CJ391" t="s">
        <v>4471</v>
      </c>
      <c r="CK391" t="s">
        <v>232</v>
      </c>
      <c r="CL391" t="s">
        <v>233</v>
      </c>
      <c r="CM391" t="s">
        <v>5916</v>
      </c>
      <c r="CN391" t="s">
        <v>235</v>
      </c>
      <c r="CO391" t="s">
        <v>183</v>
      </c>
      <c r="CP391" t="s">
        <v>266</v>
      </c>
      <c r="CS391" t="s">
        <v>198</v>
      </c>
      <c r="CT391" t="s">
        <v>5695</v>
      </c>
      <c r="CU391" t="s">
        <v>292</v>
      </c>
      <c r="CV391" t="s">
        <v>293</v>
      </c>
      <c r="CW391" t="s">
        <v>5917</v>
      </c>
      <c r="CX391" t="s">
        <v>235</v>
      </c>
      <c r="CY391" t="s">
        <v>183</v>
      </c>
      <c r="CZ391" t="s">
        <v>211</v>
      </c>
      <c r="DA391" t="s">
        <v>298</v>
      </c>
      <c r="DC391" t="s">
        <v>3482</v>
      </c>
      <c r="DD391" t="s">
        <v>4409</v>
      </c>
      <c r="DE391" t="s">
        <v>267</v>
      </c>
      <c r="DF391" t="s">
        <v>268</v>
      </c>
      <c r="DG391" t="s">
        <v>5918</v>
      </c>
      <c r="DH391" t="s">
        <v>235</v>
      </c>
      <c r="DI391" t="s">
        <v>183</v>
      </c>
      <c r="DJ391" t="s">
        <v>211</v>
      </c>
      <c r="DK391" t="s">
        <v>298</v>
      </c>
      <c r="DM391" t="s">
        <v>5919</v>
      </c>
      <c r="DN391" t="s">
        <v>4430</v>
      </c>
      <c r="DO391" t="s">
        <v>273</v>
      </c>
      <c r="DP391" t="s">
        <v>274</v>
      </c>
      <c r="DQ391" t="s">
        <v>5920</v>
      </c>
      <c r="DR391" t="s">
        <v>235</v>
      </c>
      <c r="DS391" t="s">
        <v>183</v>
      </c>
      <c r="DT391" t="s">
        <v>211</v>
      </c>
      <c r="DU391" t="s">
        <v>298</v>
      </c>
      <c r="DW391" t="s">
        <v>5484</v>
      </c>
      <c r="DX391" t="s">
        <v>4790</v>
      </c>
      <c r="DY391" t="s">
        <v>302</v>
      </c>
      <c r="DZ391" t="s">
        <v>303</v>
      </c>
      <c r="EA391" t="s">
        <v>5921</v>
      </c>
      <c r="EB391" t="s">
        <v>235</v>
      </c>
      <c r="EC391" t="s">
        <v>183</v>
      </c>
      <c r="ED391" t="s">
        <v>211</v>
      </c>
      <c r="EE391" t="s">
        <v>298</v>
      </c>
      <c r="EG391" t="s">
        <v>3499</v>
      </c>
      <c r="EH391" t="s">
        <v>5922</v>
      </c>
      <c r="EI391" t="s">
        <v>238</v>
      </c>
      <c r="EJ391" t="s">
        <v>239</v>
      </c>
      <c r="EK391" t="s">
        <v>5923</v>
      </c>
      <c r="EL391" t="s">
        <v>331</v>
      </c>
      <c r="EM391" t="s">
        <v>183</v>
      </c>
      <c r="EN391" t="s">
        <v>211</v>
      </c>
      <c r="EO391" t="s">
        <v>298</v>
      </c>
      <c r="EQ391" t="s">
        <v>467</v>
      </c>
      <c r="ER391" t="s">
        <v>5924</v>
      </c>
      <c r="ES391" t="s">
        <v>346</v>
      </c>
      <c r="ET391" t="s">
        <v>347</v>
      </c>
      <c r="EU391" t="s">
        <v>5925</v>
      </c>
      <c r="EV391" t="s">
        <v>247</v>
      </c>
      <c r="EW391" t="s">
        <v>183</v>
      </c>
      <c r="EX391" t="s">
        <v>211</v>
      </c>
      <c r="EY391" t="s">
        <v>298</v>
      </c>
      <c r="FA391" t="s">
        <v>3166</v>
      </c>
      <c r="FB391" t="s">
        <v>5926</v>
      </c>
      <c r="FC391" t="s">
        <v>207</v>
      </c>
      <c r="FD391" t="s">
        <v>208</v>
      </c>
      <c r="FE391" t="s">
        <v>5927</v>
      </c>
      <c r="FF391" t="s">
        <v>1676</v>
      </c>
      <c r="FG391" t="s">
        <v>183</v>
      </c>
      <c r="FH391" t="s">
        <v>211</v>
      </c>
      <c r="FI391" t="s">
        <v>298</v>
      </c>
      <c r="FK391" t="s">
        <v>2927</v>
      </c>
      <c r="FU391" t="s">
        <v>198</v>
      </c>
    </row>
    <row r="392" spans="1:177">
      <c r="A392" s="1" t="str">
        <f>HYPERLINK("http://digipan.lumentumllc.com/apps/getLink/index.php?t=PropLink&amp;p=7112374","PL")</f>
        <v>PL</v>
      </c>
      <c r="B392" s="1" t="str">
        <f>HYPERLINK("http://digipan.lumentumllc.com/apps/getLink/index.php?t=TaxLink&amp;p=7112374","TL")</f>
        <v>TL</v>
      </c>
      <c r="C392" s="1" t="str">
        <f>HYPERLINK("http://digipan.lumentumllc.com/apps/getMap/index.php?p=7112374","Map")</f>
        <v>Map</v>
      </c>
      <c r="E392" t="s">
        <v>177</v>
      </c>
      <c r="F392" t="s">
        <v>178</v>
      </c>
      <c r="L392" t="s">
        <v>5928</v>
      </c>
      <c r="N392" t="s">
        <v>5928</v>
      </c>
      <c r="O392" t="s">
        <v>5928</v>
      </c>
      <c r="P392" t="s">
        <v>5929</v>
      </c>
      <c r="Q392" t="s">
        <v>5928</v>
      </c>
      <c r="V392">
        <v>459</v>
      </c>
      <c r="W392">
        <v>2</v>
      </c>
      <c r="X392">
        <v>2017</v>
      </c>
      <c r="Y392">
        <v>2018</v>
      </c>
      <c r="Z392">
        <v>549.16999999999996</v>
      </c>
      <c r="AB392" t="s">
        <v>181</v>
      </c>
      <c r="AC392" t="s">
        <v>182</v>
      </c>
      <c r="AD392" t="s">
        <v>183</v>
      </c>
      <c r="AE392">
        <v>0</v>
      </c>
      <c r="AF392">
        <v>1</v>
      </c>
      <c r="AG392" t="s">
        <v>821</v>
      </c>
      <c r="AH392">
        <v>100</v>
      </c>
      <c r="AK392">
        <v>0</v>
      </c>
      <c r="AL392">
        <v>134684</v>
      </c>
      <c r="AM392">
        <v>18540</v>
      </c>
      <c r="AN392">
        <v>116144</v>
      </c>
      <c r="AO392">
        <v>476</v>
      </c>
      <c r="AP392">
        <v>2016</v>
      </c>
      <c r="AQ392">
        <v>0.41</v>
      </c>
      <c r="AS392" t="s">
        <v>5930</v>
      </c>
      <c r="AT392" t="s">
        <v>186</v>
      </c>
      <c r="AU392" t="s">
        <v>177</v>
      </c>
      <c r="AV392" t="s">
        <v>187</v>
      </c>
      <c r="AW392" t="s">
        <v>202</v>
      </c>
      <c r="AX392">
        <v>50</v>
      </c>
      <c r="AY392" t="s">
        <v>218</v>
      </c>
      <c r="AZ392" t="s">
        <v>589</v>
      </c>
      <c r="BA392" t="s">
        <v>590</v>
      </c>
      <c r="BB392" t="s">
        <v>191</v>
      </c>
      <c r="BC392" t="s">
        <v>182</v>
      </c>
      <c r="BD392" t="s">
        <v>182</v>
      </c>
      <c r="BE392" t="s">
        <v>576</v>
      </c>
      <c r="BF392">
        <v>1</v>
      </c>
      <c r="BG392">
        <v>1</v>
      </c>
      <c r="BH392">
        <v>1964</v>
      </c>
      <c r="BI392" t="s">
        <v>5931</v>
      </c>
      <c r="BJ392" t="s">
        <v>194</v>
      </c>
      <c r="BK392" t="s">
        <v>195</v>
      </c>
      <c r="BL392" t="s">
        <v>199</v>
      </c>
      <c r="BM392" t="s">
        <v>325</v>
      </c>
      <c r="BN392" t="s">
        <v>182</v>
      </c>
      <c r="BO392" t="s">
        <v>198</v>
      </c>
      <c r="BP392" t="s">
        <v>198</v>
      </c>
      <c r="BQ392" t="s">
        <v>198</v>
      </c>
      <c r="BR392" t="s">
        <v>198</v>
      </c>
      <c r="BS392" t="s">
        <v>198</v>
      </c>
      <c r="BT392" t="s">
        <v>198</v>
      </c>
      <c r="BU392" t="s">
        <v>182</v>
      </c>
      <c r="BV392" t="s">
        <v>198</v>
      </c>
      <c r="BW392" t="s">
        <v>198</v>
      </c>
      <c r="BX392" t="s">
        <v>199</v>
      </c>
      <c r="BY392" t="s">
        <v>198</v>
      </c>
      <c r="BZ392" t="s">
        <v>199</v>
      </c>
      <c r="CA392" t="s">
        <v>199</v>
      </c>
      <c r="CB392" t="s">
        <v>5932</v>
      </c>
      <c r="CC392" t="s">
        <v>201</v>
      </c>
      <c r="CD392" t="s">
        <v>182</v>
      </c>
      <c r="CE392" t="s">
        <v>3177</v>
      </c>
      <c r="CF392" t="s">
        <v>204</v>
      </c>
      <c r="CG392" t="s">
        <v>177</v>
      </c>
      <c r="CH392" t="s">
        <v>187</v>
      </c>
      <c r="CI392" t="s">
        <v>1189</v>
      </c>
      <c r="CJ392" t="s">
        <v>4136</v>
      </c>
      <c r="CK392" t="s">
        <v>292</v>
      </c>
      <c r="CL392" t="s">
        <v>293</v>
      </c>
      <c r="CM392" t="s">
        <v>5933</v>
      </c>
      <c r="CN392" t="s">
        <v>235</v>
      </c>
      <c r="CO392" t="s">
        <v>183</v>
      </c>
      <c r="CP392" t="s">
        <v>211</v>
      </c>
      <c r="CQ392" t="s">
        <v>298</v>
      </c>
      <c r="CS392" t="s">
        <v>5771</v>
      </c>
      <c r="DC392" t="s">
        <v>198</v>
      </c>
      <c r="DM392" t="s">
        <v>198</v>
      </c>
      <c r="DW392" t="s">
        <v>198</v>
      </c>
      <c r="EG392" t="s">
        <v>198</v>
      </c>
      <c r="EQ392" t="s">
        <v>198</v>
      </c>
      <c r="FA392" t="s">
        <v>198</v>
      </c>
      <c r="FK392" t="s">
        <v>198</v>
      </c>
      <c r="FU392" t="s">
        <v>198</v>
      </c>
    </row>
    <row r="393" spans="1:177">
      <c r="A393" s="1" t="str">
        <f>HYPERLINK("http://digipan.lumentumllc.com/apps/getLink/index.php?t=PropLink&amp;p=15741774","PL")</f>
        <v>PL</v>
      </c>
      <c r="B393" s="1" t="str">
        <f>HYPERLINK("http://digipan.lumentumllc.com/apps/getLink/index.php?t=TaxLink&amp;p=15741774","TL")</f>
        <v>TL</v>
      </c>
      <c r="C393" s="1" t="str">
        <f>HYPERLINK("http://digipan.lumentumllc.com/apps/getMap/index.php?p=15741774","Map")</f>
        <v>Map</v>
      </c>
      <c r="E393" t="s">
        <v>177</v>
      </c>
      <c r="F393" t="s">
        <v>178</v>
      </c>
      <c r="L393" t="s">
        <v>5934</v>
      </c>
      <c r="N393" t="s">
        <v>5934</v>
      </c>
      <c r="O393" t="s">
        <v>5934</v>
      </c>
      <c r="Q393" t="s">
        <v>5934</v>
      </c>
      <c r="V393">
        <v>460</v>
      </c>
      <c r="W393">
        <v>2</v>
      </c>
      <c r="X393">
        <v>2017</v>
      </c>
      <c r="Y393">
        <v>2018</v>
      </c>
      <c r="Z393">
        <v>555.91999999999996</v>
      </c>
      <c r="AG393" t="s">
        <v>184</v>
      </c>
      <c r="AH393">
        <v>0</v>
      </c>
      <c r="AK393">
        <v>0</v>
      </c>
      <c r="AL393">
        <v>32000</v>
      </c>
      <c r="AM393">
        <v>32000</v>
      </c>
      <c r="AN393">
        <v>0</v>
      </c>
      <c r="AO393">
        <v>491</v>
      </c>
      <c r="AP393">
        <v>2016</v>
      </c>
      <c r="AQ393">
        <v>1.74</v>
      </c>
      <c r="AS393" t="s">
        <v>5935</v>
      </c>
      <c r="AT393" t="s">
        <v>186</v>
      </c>
      <c r="AU393" t="s">
        <v>177</v>
      </c>
      <c r="AV393" t="s">
        <v>187</v>
      </c>
      <c r="AW393" t="s">
        <v>182</v>
      </c>
      <c r="AX393">
        <v>0</v>
      </c>
      <c r="AY393" t="s">
        <v>312</v>
      </c>
      <c r="AZ393" t="s">
        <v>199</v>
      </c>
      <c r="BA393" t="s">
        <v>313</v>
      </c>
      <c r="BB393" t="s">
        <v>191</v>
      </c>
      <c r="BC393" t="s">
        <v>182</v>
      </c>
      <c r="BD393" t="s">
        <v>182</v>
      </c>
      <c r="BE393" t="s">
        <v>247</v>
      </c>
      <c r="BF393">
        <v>0</v>
      </c>
      <c r="BG393">
        <v>0</v>
      </c>
      <c r="BH393">
        <v>0</v>
      </c>
      <c r="BI393" t="s">
        <v>199</v>
      </c>
      <c r="BJ393" t="s">
        <v>315</v>
      </c>
      <c r="BL393" t="s">
        <v>199</v>
      </c>
      <c r="BM393" t="s">
        <v>325</v>
      </c>
      <c r="BN393" t="s">
        <v>182</v>
      </c>
      <c r="BO393" t="s">
        <v>198</v>
      </c>
      <c r="BP393" t="s">
        <v>198</v>
      </c>
      <c r="BQ393" t="s">
        <v>198</v>
      </c>
      <c r="BR393" t="s">
        <v>198</v>
      </c>
      <c r="BS393" t="s">
        <v>198</v>
      </c>
      <c r="BT393" t="s">
        <v>198</v>
      </c>
      <c r="BU393" t="s">
        <v>182</v>
      </c>
      <c r="BV393" t="s">
        <v>198</v>
      </c>
      <c r="BW393" t="s">
        <v>198</v>
      </c>
      <c r="BX393" t="s">
        <v>199</v>
      </c>
      <c r="BY393" t="s">
        <v>198</v>
      </c>
      <c r="BZ393" t="s">
        <v>199</v>
      </c>
      <c r="CA393" t="s">
        <v>199</v>
      </c>
      <c r="CB393" t="s">
        <v>5936</v>
      </c>
      <c r="CC393" t="s">
        <v>201</v>
      </c>
      <c r="CD393" t="s">
        <v>182</v>
      </c>
      <c r="CE393" t="s">
        <v>5937</v>
      </c>
      <c r="CF393" t="s">
        <v>204</v>
      </c>
      <c r="CG393" t="s">
        <v>177</v>
      </c>
      <c r="CH393" t="s">
        <v>187</v>
      </c>
      <c r="CI393" t="s">
        <v>5938</v>
      </c>
      <c r="CS393" t="s">
        <v>198</v>
      </c>
      <c r="DC393" t="s">
        <v>198</v>
      </c>
      <c r="DM393" t="s">
        <v>198</v>
      </c>
      <c r="DW393" t="s">
        <v>198</v>
      </c>
      <c r="EG393" t="s">
        <v>198</v>
      </c>
      <c r="EQ393" t="s">
        <v>198</v>
      </c>
      <c r="FA393" t="s">
        <v>198</v>
      </c>
      <c r="FK393" t="s">
        <v>198</v>
      </c>
      <c r="FU393" t="s">
        <v>198</v>
      </c>
    </row>
    <row r="394" spans="1:177">
      <c r="A394" s="1" t="str">
        <f>HYPERLINK("http://digipan.lumentumllc.com/apps/getLink/index.php?t=PropLink&amp;p=15741775","PL")</f>
        <v>PL</v>
      </c>
      <c r="B394" s="1" t="str">
        <f>HYPERLINK("http://digipan.lumentumllc.com/apps/getLink/index.php?t=TaxLink&amp;p=15741775","TL")</f>
        <v>TL</v>
      </c>
      <c r="C394" s="1" t="str">
        <f>HYPERLINK("http://digipan.lumentumllc.com/apps/getMap/index.php?p=15741775","Map")</f>
        <v>Map</v>
      </c>
      <c r="E394" t="s">
        <v>177</v>
      </c>
      <c r="F394" t="s">
        <v>178</v>
      </c>
      <c r="L394" t="s">
        <v>5939</v>
      </c>
      <c r="N394" t="s">
        <v>5939</v>
      </c>
      <c r="O394" t="s">
        <v>5939</v>
      </c>
      <c r="Q394" t="s">
        <v>5939</v>
      </c>
      <c r="V394">
        <v>461</v>
      </c>
      <c r="W394">
        <v>2</v>
      </c>
      <c r="X394">
        <v>2017</v>
      </c>
      <c r="Y394">
        <v>2018</v>
      </c>
      <c r="Z394">
        <v>579.88</v>
      </c>
      <c r="AG394" t="s">
        <v>184</v>
      </c>
      <c r="AH394">
        <v>0</v>
      </c>
      <c r="AK394">
        <v>0</v>
      </c>
      <c r="AL394">
        <v>70095</v>
      </c>
      <c r="AM394">
        <v>32000</v>
      </c>
      <c r="AN394">
        <v>38095</v>
      </c>
      <c r="AO394">
        <v>462</v>
      </c>
      <c r="AP394">
        <v>2016</v>
      </c>
      <c r="AQ394">
        <v>0.83</v>
      </c>
      <c r="AS394" t="s">
        <v>5940</v>
      </c>
      <c r="AT394" t="s">
        <v>186</v>
      </c>
      <c r="AU394" t="s">
        <v>177</v>
      </c>
      <c r="AV394" t="s">
        <v>187</v>
      </c>
      <c r="AW394" t="s">
        <v>202</v>
      </c>
      <c r="AX394">
        <v>2</v>
      </c>
      <c r="AY394" t="s">
        <v>188</v>
      </c>
      <c r="AZ394" t="s">
        <v>189</v>
      </c>
      <c r="BA394" t="s">
        <v>190</v>
      </c>
      <c r="BB394" t="s">
        <v>191</v>
      </c>
      <c r="BC394" t="s">
        <v>182</v>
      </c>
      <c r="BD394" t="s">
        <v>182</v>
      </c>
      <c r="BE394" t="s">
        <v>247</v>
      </c>
      <c r="BF394">
        <v>1</v>
      </c>
      <c r="BG394">
        <v>1</v>
      </c>
      <c r="BH394">
        <v>1974</v>
      </c>
      <c r="BI394" t="s">
        <v>5941</v>
      </c>
      <c r="BJ394" t="s">
        <v>194</v>
      </c>
      <c r="BK394" t="s">
        <v>195</v>
      </c>
      <c r="BL394" t="s">
        <v>1002</v>
      </c>
      <c r="BM394" t="s">
        <v>4554</v>
      </c>
      <c r="BN394" t="s">
        <v>182</v>
      </c>
      <c r="BO394" t="s">
        <v>198</v>
      </c>
      <c r="BP394" t="s">
        <v>198</v>
      </c>
      <c r="BQ394" t="s">
        <v>198</v>
      </c>
      <c r="BR394" t="s">
        <v>198</v>
      </c>
      <c r="BS394" t="s">
        <v>198</v>
      </c>
      <c r="BT394" t="s">
        <v>198</v>
      </c>
      <c r="BU394" t="s">
        <v>182</v>
      </c>
      <c r="BV394" t="s">
        <v>198</v>
      </c>
      <c r="BW394" t="s">
        <v>198</v>
      </c>
      <c r="BX394" t="s">
        <v>199</v>
      </c>
      <c r="BY394" t="s">
        <v>198</v>
      </c>
      <c r="BZ394" t="s">
        <v>199</v>
      </c>
      <c r="CA394" t="s">
        <v>199</v>
      </c>
      <c r="CB394" t="s">
        <v>5942</v>
      </c>
      <c r="CC394" t="s">
        <v>201</v>
      </c>
      <c r="CD394" t="s">
        <v>182</v>
      </c>
      <c r="CE394" t="s">
        <v>5943</v>
      </c>
      <c r="CF394" t="s">
        <v>204</v>
      </c>
      <c r="CG394" t="s">
        <v>177</v>
      </c>
      <c r="CH394" t="s">
        <v>187</v>
      </c>
      <c r="CI394" t="s">
        <v>5944</v>
      </c>
      <c r="CS394" t="s">
        <v>198</v>
      </c>
      <c r="DC394" t="s">
        <v>198</v>
      </c>
      <c r="DM394" t="s">
        <v>198</v>
      </c>
      <c r="DW394" t="s">
        <v>198</v>
      </c>
      <c r="EG394" t="s">
        <v>198</v>
      </c>
      <c r="EQ394" t="s">
        <v>198</v>
      </c>
      <c r="FA394" t="s">
        <v>198</v>
      </c>
      <c r="FK394" t="s">
        <v>198</v>
      </c>
      <c r="FU394" t="s">
        <v>198</v>
      </c>
    </row>
    <row r="395" spans="1:177">
      <c r="A395" s="1" t="str">
        <f>HYPERLINK("http://digipan.lumentumllc.com/apps/getLink/index.php?t=PropLink&amp;p=15742157","PL")</f>
        <v>PL</v>
      </c>
      <c r="B395" s="1" t="str">
        <f>HYPERLINK("http://digipan.lumentumllc.com/apps/getLink/index.php?t=TaxLink&amp;p=15742157","TL")</f>
        <v>TL</v>
      </c>
      <c r="C395" s="1" t="str">
        <f>HYPERLINK("http://digipan.lumentumllc.com/apps/getMap/index.php?p=15742157","Map")</f>
        <v>Map</v>
      </c>
      <c r="E395" t="s">
        <v>177</v>
      </c>
      <c r="F395" t="s">
        <v>178</v>
      </c>
      <c r="L395" t="s">
        <v>5945</v>
      </c>
      <c r="N395" t="s">
        <v>5945</v>
      </c>
      <c r="O395" t="s">
        <v>5945</v>
      </c>
      <c r="Q395" t="s">
        <v>5945</v>
      </c>
      <c r="V395">
        <v>462</v>
      </c>
      <c r="W395">
        <v>2</v>
      </c>
      <c r="X395">
        <v>2017</v>
      </c>
      <c r="Y395">
        <v>2018</v>
      </c>
      <c r="Z395">
        <v>826.67</v>
      </c>
      <c r="AG395" t="s">
        <v>184</v>
      </c>
      <c r="AH395">
        <v>0</v>
      </c>
      <c r="AK395">
        <v>0</v>
      </c>
      <c r="AL395">
        <v>52615</v>
      </c>
      <c r="AM395">
        <v>25000</v>
      </c>
      <c r="AN395">
        <v>27615</v>
      </c>
      <c r="AO395">
        <v>776</v>
      </c>
      <c r="AP395">
        <v>2016</v>
      </c>
      <c r="AQ395">
        <v>1.57</v>
      </c>
      <c r="AS395" t="s">
        <v>5946</v>
      </c>
      <c r="AT395" t="s">
        <v>186</v>
      </c>
      <c r="AU395" t="s">
        <v>177</v>
      </c>
      <c r="AV395" t="s">
        <v>187</v>
      </c>
      <c r="AW395" t="s">
        <v>182</v>
      </c>
      <c r="AX395">
        <v>48</v>
      </c>
      <c r="AY395" t="s">
        <v>5663</v>
      </c>
      <c r="AZ395" t="s">
        <v>1162</v>
      </c>
      <c r="BA395" t="s">
        <v>5947</v>
      </c>
      <c r="BB395" t="s">
        <v>191</v>
      </c>
      <c r="BC395" t="s">
        <v>182</v>
      </c>
      <c r="BD395" t="s">
        <v>182</v>
      </c>
      <c r="BE395" t="s">
        <v>5948</v>
      </c>
      <c r="BF395">
        <v>1</v>
      </c>
      <c r="BG395">
        <v>0</v>
      </c>
      <c r="BH395">
        <v>1981</v>
      </c>
      <c r="BI395" t="s">
        <v>5949</v>
      </c>
      <c r="BJ395" t="s">
        <v>194</v>
      </c>
      <c r="BK395" t="s">
        <v>3643</v>
      </c>
      <c r="BL395" t="s">
        <v>4009</v>
      </c>
      <c r="BM395" t="s">
        <v>1003</v>
      </c>
      <c r="BN395" t="s">
        <v>182</v>
      </c>
      <c r="BO395" t="s">
        <v>198</v>
      </c>
      <c r="BP395" t="s">
        <v>198</v>
      </c>
      <c r="BQ395" t="s">
        <v>198</v>
      </c>
      <c r="BR395" t="s">
        <v>198</v>
      </c>
      <c r="BS395" t="s">
        <v>198</v>
      </c>
      <c r="BT395" t="s">
        <v>198</v>
      </c>
      <c r="BU395" t="s">
        <v>182</v>
      </c>
      <c r="BV395" t="s">
        <v>198</v>
      </c>
      <c r="BW395" t="s">
        <v>198</v>
      </c>
      <c r="BX395" t="s">
        <v>199</v>
      </c>
      <c r="BY395" t="s">
        <v>198</v>
      </c>
      <c r="BZ395" t="s">
        <v>199</v>
      </c>
      <c r="CA395" t="s">
        <v>199</v>
      </c>
      <c r="CB395" t="s">
        <v>5950</v>
      </c>
      <c r="CC395" t="s">
        <v>201</v>
      </c>
      <c r="CD395" t="s">
        <v>182</v>
      </c>
      <c r="CE395" t="s">
        <v>5951</v>
      </c>
      <c r="CF395" t="s">
        <v>204</v>
      </c>
      <c r="CG395" t="s">
        <v>177</v>
      </c>
      <c r="CH395" t="s">
        <v>187</v>
      </c>
      <c r="CI395" t="s">
        <v>5952</v>
      </c>
      <c r="CS395" t="s">
        <v>198</v>
      </c>
      <c r="DC395" t="s">
        <v>198</v>
      </c>
      <c r="DM395" t="s">
        <v>198</v>
      </c>
      <c r="DW395" t="s">
        <v>198</v>
      </c>
      <c r="EG395" t="s">
        <v>198</v>
      </c>
      <c r="EQ395" t="s">
        <v>198</v>
      </c>
      <c r="FA395" t="s">
        <v>198</v>
      </c>
      <c r="FK395" t="s">
        <v>198</v>
      </c>
      <c r="FU395" t="s">
        <v>198</v>
      </c>
    </row>
    <row r="396" spans="1:177">
      <c r="A396" s="1" t="str">
        <f>HYPERLINK("http://digipan.lumentumllc.com/apps/getLink/index.php?t=PropLink&amp;p=15742158","PL")</f>
        <v>PL</v>
      </c>
      <c r="B396" s="1" t="str">
        <f>HYPERLINK("http://digipan.lumentumllc.com/apps/getLink/index.php?t=TaxLink&amp;p=15742158","TL")</f>
        <v>TL</v>
      </c>
      <c r="C396" s="1" t="str">
        <f>HYPERLINK("http://digipan.lumentumllc.com/apps/getMap/index.php?p=15742158","Map")</f>
        <v>Map</v>
      </c>
      <c r="E396" t="s">
        <v>177</v>
      </c>
      <c r="F396" t="s">
        <v>178</v>
      </c>
      <c r="L396" t="s">
        <v>5953</v>
      </c>
      <c r="N396" t="s">
        <v>5953</v>
      </c>
      <c r="O396" t="s">
        <v>5953</v>
      </c>
      <c r="Q396" t="s">
        <v>5953</v>
      </c>
      <c r="V396">
        <v>463</v>
      </c>
      <c r="W396">
        <v>2</v>
      </c>
      <c r="X396">
        <v>2017</v>
      </c>
      <c r="Y396">
        <v>2018</v>
      </c>
      <c r="Z396">
        <v>409.59</v>
      </c>
      <c r="AG396" t="s">
        <v>184</v>
      </c>
      <c r="AH396">
        <v>0</v>
      </c>
      <c r="AK396">
        <v>0</v>
      </c>
      <c r="AL396">
        <v>25000</v>
      </c>
      <c r="AM396">
        <v>25000</v>
      </c>
      <c r="AN396">
        <v>0</v>
      </c>
      <c r="AO396">
        <v>355</v>
      </c>
      <c r="AP396">
        <v>2016</v>
      </c>
      <c r="AQ396">
        <v>1.64</v>
      </c>
      <c r="AS396" t="s">
        <v>5954</v>
      </c>
      <c r="AT396" t="s">
        <v>186</v>
      </c>
      <c r="AU396" t="s">
        <v>177</v>
      </c>
      <c r="AV396" t="s">
        <v>187</v>
      </c>
      <c r="AW396" t="s">
        <v>182</v>
      </c>
      <c r="AX396">
        <v>10</v>
      </c>
      <c r="AY396" t="s">
        <v>3211</v>
      </c>
      <c r="AZ396" t="s">
        <v>270</v>
      </c>
      <c r="BA396" t="s">
        <v>3212</v>
      </c>
      <c r="BB396" t="s">
        <v>191</v>
      </c>
      <c r="BC396" t="s">
        <v>182</v>
      </c>
      <c r="BD396" t="s">
        <v>182</v>
      </c>
      <c r="BE396" t="s">
        <v>5948</v>
      </c>
      <c r="BF396">
        <v>0</v>
      </c>
      <c r="BG396">
        <v>0</v>
      </c>
      <c r="BH396">
        <v>0</v>
      </c>
      <c r="BI396" t="s">
        <v>199</v>
      </c>
      <c r="BJ396" t="s">
        <v>315</v>
      </c>
      <c r="BL396" t="s">
        <v>4009</v>
      </c>
      <c r="BM396" t="s">
        <v>1003</v>
      </c>
      <c r="BN396" t="s">
        <v>182</v>
      </c>
      <c r="BO396" t="s">
        <v>198</v>
      </c>
      <c r="BP396" t="s">
        <v>198</v>
      </c>
      <c r="BQ396" t="s">
        <v>198</v>
      </c>
      <c r="BR396" t="s">
        <v>198</v>
      </c>
      <c r="BS396" t="s">
        <v>198</v>
      </c>
      <c r="BT396" t="s">
        <v>198</v>
      </c>
      <c r="BU396" t="s">
        <v>182</v>
      </c>
      <c r="BV396" t="s">
        <v>198</v>
      </c>
      <c r="BW396" t="s">
        <v>198</v>
      </c>
      <c r="BX396" t="s">
        <v>199</v>
      </c>
      <c r="BY396" t="s">
        <v>198</v>
      </c>
      <c r="BZ396" t="s">
        <v>199</v>
      </c>
      <c r="CA396" t="s">
        <v>199</v>
      </c>
      <c r="CB396" t="s">
        <v>5950</v>
      </c>
      <c r="CC396" t="s">
        <v>201</v>
      </c>
      <c r="CD396" t="s">
        <v>182</v>
      </c>
      <c r="CE396" t="s">
        <v>5951</v>
      </c>
      <c r="CF396" t="s">
        <v>204</v>
      </c>
      <c r="CG396" t="s">
        <v>177</v>
      </c>
      <c r="CH396" t="s">
        <v>187</v>
      </c>
      <c r="CI396" t="s">
        <v>5955</v>
      </c>
      <c r="CS396" t="s">
        <v>198</v>
      </c>
      <c r="DC396" t="s">
        <v>198</v>
      </c>
      <c r="DM396" t="s">
        <v>198</v>
      </c>
      <c r="DW396" t="s">
        <v>198</v>
      </c>
      <c r="EG396" t="s">
        <v>198</v>
      </c>
      <c r="EQ396" t="s">
        <v>198</v>
      </c>
      <c r="FA396" t="s">
        <v>198</v>
      </c>
      <c r="FK396" t="s">
        <v>198</v>
      </c>
      <c r="FU396" t="s">
        <v>198</v>
      </c>
    </row>
    <row r="397" spans="1:177">
      <c r="A397" s="1" t="str">
        <f>HYPERLINK("http://digipan.lumentumllc.com/apps/getLink/index.php?t=PropLink&amp;p=6128901","PL")</f>
        <v>PL</v>
      </c>
      <c r="B397" s="1" t="str">
        <f>HYPERLINK("http://digipan.lumentumllc.com/apps/getLink/index.php?t=TaxLink&amp;p=6128901","TL")</f>
        <v>TL</v>
      </c>
      <c r="C397" s="1" t="str">
        <f>HYPERLINK("http://digipan.lumentumllc.com/apps/getMap/index.php?p=6128901","Map")</f>
        <v>Map</v>
      </c>
      <c r="E397" t="s">
        <v>177</v>
      </c>
      <c r="F397" t="s">
        <v>178</v>
      </c>
      <c r="L397" t="s">
        <v>5956</v>
      </c>
      <c r="N397" t="s">
        <v>5956</v>
      </c>
      <c r="O397" t="s">
        <v>5956</v>
      </c>
      <c r="P397" t="s">
        <v>5957</v>
      </c>
      <c r="Q397" t="s">
        <v>5956</v>
      </c>
      <c r="V397">
        <v>464</v>
      </c>
      <c r="W397">
        <v>2</v>
      </c>
      <c r="X397">
        <v>2017</v>
      </c>
      <c r="Y397">
        <v>2018</v>
      </c>
      <c r="Z397">
        <v>502.14</v>
      </c>
      <c r="AB397" t="s">
        <v>181</v>
      </c>
      <c r="AC397" t="s">
        <v>182</v>
      </c>
      <c r="AD397" t="s">
        <v>183</v>
      </c>
      <c r="AE397">
        <v>0</v>
      </c>
      <c r="AF397">
        <v>4</v>
      </c>
      <c r="AG397" t="s">
        <v>744</v>
      </c>
      <c r="AH397">
        <v>100</v>
      </c>
      <c r="AK397">
        <v>0</v>
      </c>
      <c r="AL397">
        <v>31232</v>
      </c>
      <c r="AM397">
        <v>10800</v>
      </c>
      <c r="AN397">
        <v>20432</v>
      </c>
      <c r="AO397">
        <v>422</v>
      </c>
      <c r="AP397">
        <v>2016</v>
      </c>
      <c r="AQ397">
        <v>1.61</v>
      </c>
      <c r="AS397" t="s">
        <v>5958</v>
      </c>
      <c r="AT397" t="s">
        <v>186</v>
      </c>
      <c r="AU397" t="s">
        <v>177</v>
      </c>
      <c r="AV397" t="s">
        <v>187</v>
      </c>
      <c r="AW397" t="s">
        <v>182</v>
      </c>
      <c r="AX397">
        <v>11</v>
      </c>
      <c r="AY397" t="s">
        <v>3641</v>
      </c>
      <c r="AZ397" t="s">
        <v>212</v>
      </c>
      <c r="BA397" t="s">
        <v>5959</v>
      </c>
      <c r="BB397" t="s">
        <v>191</v>
      </c>
      <c r="BC397" t="s">
        <v>182</v>
      </c>
      <c r="BD397" t="s">
        <v>182</v>
      </c>
      <c r="BE397" t="s">
        <v>3907</v>
      </c>
      <c r="BF397">
        <v>1</v>
      </c>
      <c r="BG397">
        <v>0</v>
      </c>
      <c r="BH397">
        <v>1942</v>
      </c>
      <c r="BI397" t="s">
        <v>5960</v>
      </c>
      <c r="BJ397" t="s">
        <v>194</v>
      </c>
      <c r="BK397" t="s">
        <v>195</v>
      </c>
      <c r="BL397" t="s">
        <v>199</v>
      </c>
      <c r="BM397" t="s">
        <v>346</v>
      </c>
      <c r="BN397" t="s">
        <v>182</v>
      </c>
      <c r="BO397" t="s">
        <v>198</v>
      </c>
      <c r="BP397" t="s">
        <v>198</v>
      </c>
      <c r="BQ397" t="s">
        <v>198</v>
      </c>
      <c r="BR397" t="s">
        <v>198</v>
      </c>
      <c r="BS397" t="s">
        <v>198</v>
      </c>
      <c r="BT397" t="s">
        <v>198</v>
      </c>
      <c r="BU397" t="s">
        <v>182</v>
      </c>
      <c r="BV397" t="s">
        <v>198</v>
      </c>
      <c r="BW397" t="s">
        <v>198</v>
      </c>
      <c r="BX397" t="s">
        <v>199</v>
      </c>
      <c r="BY397" t="s">
        <v>198</v>
      </c>
      <c r="BZ397" t="s">
        <v>199</v>
      </c>
      <c r="CA397" t="s">
        <v>199</v>
      </c>
      <c r="CB397" t="s">
        <v>5961</v>
      </c>
      <c r="CC397" t="s">
        <v>201</v>
      </c>
      <c r="CD397" t="s">
        <v>182</v>
      </c>
      <c r="CE397" t="s">
        <v>5962</v>
      </c>
      <c r="CF397" t="s">
        <v>204</v>
      </c>
      <c r="CG397" t="s">
        <v>177</v>
      </c>
      <c r="CH397" t="s">
        <v>187</v>
      </c>
      <c r="CI397" t="s">
        <v>5963</v>
      </c>
      <c r="CJ397" t="s">
        <v>5807</v>
      </c>
      <c r="CK397" t="s">
        <v>292</v>
      </c>
      <c r="CL397" t="s">
        <v>293</v>
      </c>
      <c r="CM397" t="s">
        <v>5964</v>
      </c>
      <c r="CN397" t="s">
        <v>278</v>
      </c>
      <c r="CO397" t="s">
        <v>183</v>
      </c>
      <c r="CP397" t="s">
        <v>211</v>
      </c>
      <c r="CQ397" t="s">
        <v>212</v>
      </c>
      <c r="CS397" t="s">
        <v>5965</v>
      </c>
      <c r="CT397" t="s">
        <v>4430</v>
      </c>
      <c r="CU397" t="s">
        <v>267</v>
      </c>
      <c r="CV397" t="s">
        <v>268</v>
      </c>
      <c r="CW397" t="s">
        <v>5966</v>
      </c>
      <c r="CX397" t="s">
        <v>235</v>
      </c>
      <c r="CY397" t="s">
        <v>183</v>
      </c>
      <c r="CZ397" t="s">
        <v>211</v>
      </c>
      <c r="DA397" t="s">
        <v>342</v>
      </c>
      <c r="DC397" t="s">
        <v>5967</v>
      </c>
      <c r="DD397" t="s">
        <v>5968</v>
      </c>
      <c r="DE397" t="s">
        <v>302</v>
      </c>
      <c r="DF397" t="s">
        <v>303</v>
      </c>
      <c r="DG397" t="s">
        <v>5969</v>
      </c>
      <c r="DH397" t="s">
        <v>927</v>
      </c>
      <c r="DI397" t="s">
        <v>183</v>
      </c>
      <c r="DJ397" t="s">
        <v>211</v>
      </c>
      <c r="DK397" t="s">
        <v>199</v>
      </c>
      <c r="DM397" t="s">
        <v>5970</v>
      </c>
      <c r="DN397" t="s">
        <v>5971</v>
      </c>
      <c r="DO397" t="s">
        <v>238</v>
      </c>
      <c r="DP397" t="s">
        <v>239</v>
      </c>
      <c r="DQ397" t="s">
        <v>5972</v>
      </c>
      <c r="DR397" t="s">
        <v>295</v>
      </c>
      <c r="DS397" t="s">
        <v>183</v>
      </c>
      <c r="DT397" t="s">
        <v>211</v>
      </c>
      <c r="DU397" t="s">
        <v>427</v>
      </c>
      <c r="DW397" t="s">
        <v>5970</v>
      </c>
      <c r="EG397" t="s">
        <v>198</v>
      </c>
      <c r="EQ397" t="s">
        <v>198</v>
      </c>
      <c r="FA397" t="s">
        <v>198</v>
      </c>
      <c r="FK397" t="s">
        <v>198</v>
      </c>
      <c r="FU397" t="s">
        <v>198</v>
      </c>
    </row>
    <row r="398" spans="1:177">
      <c r="A398" s="1" t="str">
        <f>HYPERLINK("http://digipan.lumentumllc.com/apps/getLink/index.php?t=PropLink&amp;p=6128902","PL")</f>
        <v>PL</v>
      </c>
      <c r="B398" s="1" t="str">
        <f>HYPERLINK("http://digipan.lumentumllc.com/apps/getLink/index.php?t=TaxLink&amp;p=6128902","TL")</f>
        <v>TL</v>
      </c>
      <c r="C398" s="1" t="str">
        <f>HYPERLINK("http://digipan.lumentumllc.com/apps/getMap/index.php?p=6128902","Map")</f>
        <v>Map</v>
      </c>
      <c r="E398" t="s">
        <v>177</v>
      </c>
      <c r="F398" t="s">
        <v>178</v>
      </c>
      <c r="L398" t="s">
        <v>5973</v>
      </c>
      <c r="N398" t="s">
        <v>5973</v>
      </c>
      <c r="O398" t="s">
        <v>5973</v>
      </c>
      <c r="P398" t="s">
        <v>5974</v>
      </c>
      <c r="Q398" t="s">
        <v>5973</v>
      </c>
      <c r="V398">
        <v>465</v>
      </c>
      <c r="W398">
        <v>2</v>
      </c>
      <c r="X398">
        <v>2017</v>
      </c>
      <c r="Y398">
        <v>2018</v>
      </c>
      <c r="Z398">
        <v>216.86</v>
      </c>
      <c r="AB398" t="s">
        <v>181</v>
      </c>
      <c r="AC398" t="s">
        <v>182</v>
      </c>
      <c r="AD398" t="s">
        <v>183</v>
      </c>
      <c r="AE398">
        <v>0</v>
      </c>
      <c r="AF398">
        <v>4</v>
      </c>
      <c r="AG398" t="s">
        <v>744</v>
      </c>
      <c r="AH398">
        <v>100</v>
      </c>
      <c r="AK398">
        <v>0</v>
      </c>
      <c r="AL398">
        <v>12240</v>
      </c>
      <c r="AM398">
        <v>12240</v>
      </c>
      <c r="AN398">
        <v>0</v>
      </c>
      <c r="AO398">
        <v>174</v>
      </c>
      <c r="AP398">
        <v>2016</v>
      </c>
      <c r="AQ398">
        <v>1.77</v>
      </c>
      <c r="AS398" t="s">
        <v>3209</v>
      </c>
      <c r="AT398" t="s">
        <v>186</v>
      </c>
      <c r="AU398" t="s">
        <v>177</v>
      </c>
      <c r="AV398" t="s">
        <v>187</v>
      </c>
      <c r="AW398" t="s">
        <v>182</v>
      </c>
      <c r="AX398">
        <v>10</v>
      </c>
      <c r="AY398" t="s">
        <v>3211</v>
      </c>
      <c r="AZ398" t="s">
        <v>270</v>
      </c>
      <c r="BA398" t="s">
        <v>3212</v>
      </c>
      <c r="BB398" t="s">
        <v>191</v>
      </c>
      <c r="BC398" t="s">
        <v>182</v>
      </c>
      <c r="BD398" t="s">
        <v>182</v>
      </c>
      <c r="BE398" t="s">
        <v>5975</v>
      </c>
      <c r="BF398">
        <v>0</v>
      </c>
      <c r="BG398">
        <v>0</v>
      </c>
      <c r="BH398">
        <v>0</v>
      </c>
      <c r="BI398" t="s">
        <v>199</v>
      </c>
      <c r="BJ398" t="s">
        <v>315</v>
      </c>
      <c r="BL398" t="s">
        <v>199</v>
      </c>
      <c r="BM398" t="s">
        <v>346</v>
      </c>
      <c r="BN398" t="s">
        <v>182</v>
      </c>
      <c r="BO398" t="s">
        <v>198</v>
      </c>
      <c r="BP398" t="s">
        <v>198</v>
      </c>
      <c r="BQ398" t="s">
        <v>198</v>
      </c>
      <c r="BR398" t="s">
        <v>198</v>
      </c>
      <c r="BS398" t="s">
        <v>198</v>
      </c>
      <c r="BT398" t="s">
        <v>198</v>
      </c>
      <c r="BU398" t="s">
        <v>182</v>
      </c>
      <c r="BV398" t="s">
        <v>198</v>
      </c>
      <c r="BW398" t="s">
        <v>198</v>
      </c>
      <c r="BX398" t="s">
        <v>199</v>
      </c>
      <c r="BY398" t="s">
        <v>198</v>
      </c>
      <c r="BZ398" t="s">
        <v>199</v>
      </c>
      <c r="CA398" t="s">
        <v>199</v>
      </c>
      <c r="CB398" t="s">
        <v>5961</v>
      </c>
      <c r="CC398" t="s">
        <v>201</v>
      </c>
      <c r="CD398" t="s">
        <v>182</v>
      </c>
      <c r="CE398" t="s">
        <v>5962</v>
      </c>
      <c r="CF398" t="s">
        <v>204</v>
      </c>
      <c r="CG398" t="s">
        <v>177</v>
      </c>
      <c r="CH398" t="s">
        <v>187</v>
      </c>
      <c r="CI398" t="s">
        <v>5963</v>
      </c>
      <c r="CJ398" t="s">
        <v>5656</v>
      </c>
      <c r="CK398" t="s">
        <v>292</v>
      </c>
      <c r="CL398" t="s">
        <v>293</v>
      </c>
      <c r="CM398" t="s">
        <v>5976</v>
      </c>
      <c r="CN398" t="s">
        <v>235</v>
      </c>
      <c r="CO398" t="s">
        <v>183</v>
      </c>
      <c r="CP398" t="s">
        <v>211</v>
      </c>
      <c r="CQ398" t="s">
        <v>212</v>
      </c>
      <c r="CS398" t="s">
        <v>5977</v>
      </c>
      <c r="CT398" t="s">
        <v>4518</v>
      </c>
      <c r="CU398" t="s">
        <v>267</v>
      </c>
      <c r="CV398" t="s">
        <v>268</v>
      </c>
      <c r="CW398" t="s">
        <v>5978</v>
      </c>
      <c r="CX398" t="s">
        <v>331</v>
      </c>
      <c r="CY398" t="s">
        <v>183</v>
      </c>
      <c r="CZ398" t="s">
        <v>211</v>
      </c>
      <c r="DA398" t="s">
        <v>342</v>
      </c>
      <c r="DC398" t="s">
        <v>5967</v>
      </c>
      <c r="DD398" t="s">
        <v>5979</v>
      </c>
      <c r="DE398" t="s">
        <v>302</v>
      </c>
      <c r="DF398" t="s">
        <v>303</v>
      </c>
      <c r="DG398" t="s">
        <v>5980</v>
      </c>
      <c r="DH398" t="s">
        <v>440</v>
      </c>
      <c r="DI398" t="s">
        <v>183</v>
      </c>
      <c r="DJ398" t="s">
        <v>211</v>
      </c>
      <c r="DK398" t="s">
        <v>212</v>
      </c>
      <c r="DM398" t="s">
        <v>4986</v>
      </c>
      <c r="DN398" t="s">
        <v>5981</v>
      </c>
      <c r="DO398" t="s">
        <v>238</v>
      </c>
      <c r="DP398" t="s">
        <v>239</v>
      </c>
      <c r="DQ398" t="s">
        <v>5982</v>
      </c>
      <c r="DR398" t="s">
        <v>922</v>
      </c>
      <c r="DS398" t="s">
        <v>183</v>
      </c>
      <c r="DT398" t="s">
        <v>211</v>
      </c>
      <c r="DU398" t="s">
        <v>298</v>
      </c>
      <c r="DW398" t="s">
        <v>1815</v>
      </c>
      <c r="EG398" t="s">
        <v>198</v>
      </c>
      <c r="EQ398" t="s">
        <v>198</v>
      </c>
      <c r="FA398" t="s">
        <v>198</v>
      </c>
      <c r="FK398" t="s">
        <v>198</v>
      </c>
      <c r="FU398" t="s">
        <v>198</v>
      </c>
    </row>
    <row r="399" spans="1:177">
      <c r="A399" s="1" t="str">
        <f>HYPERLINK("http://digipan.lumentumllc.com/apps/getLink/index.php?t=PropLink&amp;p=15742172","PL")</f>
        <v>PL</v>
      </c>
      <c r="B399" s="1" t="str">
        <f>HYPERLINK("http://digipan.lumentumllc.com/apps/getLink/index.php?t=TaxLink&amp;p=15742172","TL")</f>
        <v>TL</v>
      </c>
      <c r="C399" s="1" t="str">
        <f>HYPERLINK("http://digipan.lumentumllc.com/apps/getMap/index.php?p=15742172","Map")</f>
        <v>Map</v>
      </c>
      <c r="E399" t="s">
        <v>177</v>
      </c>
      <c r="F399" t="s">
        <v>178</v>
      </c>
      <c r="L399" t="s">
        <v>5983</v>
      </c>
      <c r="N399" t="s">
        <v>5983</v>
      </c>
      <c r="O399" t="s">
        <v>5983</v>
      </c>
      <c r="Q399" t="s">
        <v>5983</v>
      </c>
      <c r="V399">
        <v>466</v>
      </c>
      <c r="W399">
        <v>2</v>
      </c>
      <c r="X399">
        <v>2017</v>
      </c>
      <c r="Y399">
        <v>2018</v>
      </c>
      <c r="Z399">
        <v>134.71</v>
      </c>
      <c r="AG399" t="s">
        <v>184</v>
      </c>
      <c r="AH399">
        <v>0</v>
      </c>
      <c r="AK399">
        <v>0</v>
      </c>
      <c r="AL399">
        <v>6800</v>
      </c>
      <c r="AM399">
        <v>6800</v>
      </c>
      <c r="AN399">
        <v>0</v>
      </c>
      <c r="AO399">
        <v>97</v>
      </c>
      <c r="AP399">
        <v>2016</v>
      </c>
      <c r="AQ399">
        <v>1.98</v>
      </c>
      <c r="AS399" t="s">
        <v>5984</v>
      </c>
      <c r="AT399" t="s">
        <v>186</v>
      </c>
      <c r="AU399" t="s">
        <v>177</v>
      </c>
      <c r="AV399" t="s">
        <v>187</v>
      </c>
      <c r="AW399" t="s">
        <v>182</v>
      </c>
      <c r="AX399">
        <v>10</v>
      </c>
      <c r="AY399" t="s">
        <v>3211</v>
      </c>
      <c r="AZ399" t="s">
        <v>270</v>
      </c>
      <c r="BA399" t="s">
        <v>3212</v>
      </c>
      <c r="BB399" t="s">
        <v>191</v>
      </c>
      <c r="BC399" t="s">
        <v>182</v>
      </c>
      <c r="BD399" t="s">
        <v>182</v>
      </c>
      <c r="BE399" t="s">
        <v>5985</v>
      </c>
      <c r="BF399">
        <v>0</v>
      </c>
      <c r="BG399">
        <v>0</v>
      </c>
      <c r="BH399">
        <v>0</v>
      </c>
      <c r="BI399" t="s">
        <v>199</v>
      </c>
      <c r="BJ399" t="s">
        <v>315</v>
      </c>
      <c r="BL399" t="s">
        <v>5986</v>
      </c>
      <c r="BM399" t="s">
        <v>232</v>
      </c>
      <c r="BN399" t="s">
        <v>182</v>
      </c>
      <c r="BO399" t="s">
        <v>198</v>
      </c>
      <c r="BP399" t="s">
        <v>198</v>
      </c>
      <c r="BQ399" t="s">
        <v>198</v>
      </c>
      <c r="BR399" t="s">
        <v>198</v>
      </c>
      <c r="BS399" t="s">
        <v>198</v>
      </c>
      <c r="BT399" t="s">
        <v>198</v>
      </c>
      <c r="BU399" t="s">
        <v>182</v>
      </c>
      <c r="BV399" t="s">
        <v>198</v>
      </c>
      <c r="BW399" t="s">
        <v>198</v>
      </c>
      <c r="BX399" t="s">
        <v>199</v>
      </c>
      <c r="BY399" t="s">
        <v>198</v>
      </c>
      <c r="BZ399" t="s">
        <v>199</v>
      </c>
      <c r="CA399" t="s">
        <v>199</v>
      </c>
      <c r="CB399" t="s">
        <v>5961</v>
      </c>
      <c r="CC399" t="s">
        <v>201</v>
      </c>
      <c r="CD399" t="s">
        <v>202</v>
      </c>
      <c r="CE399" t="s">
        <v>5987</v>
      </c>
      <c r="CF399" t="s">
        <v>204</v>
      </c>
      <c r="CG399" t="s">
        <v>177</v>
      </c>
      <c r="CH399" t="s">
        <v>187</v>
      </c>
      <c r="CI399" t="s">
        <v>5988</v>
      </c>
      <c r="CS399" t="s">
        <v>198</v>
      </c>
      <c r="DC399" t="s">
        <v>198</v>
      </c>
      <c r="DM399" t="s">
        <v>198</v>
      </c>
      <c r="DW399" t="s">
        <v>198</v>
      </c>
      <c r="EG399" t="s">
        <v>198</v>
      </c>
      <c r="EQ399" t="s">
        <v>198</v>
      </c>
      <c r="FA399" t="s">
        <v>198</v>
      </c>
      <c r="FK399" t="s">
        <v>198</v>
      </c>
      <c r="FU399" t="s">
        <v>198</v>
      </c>
    </row>
    <row r="400" spans="1:177">
      <c r="A400" s="1" t="str">
        <f>HYPERLINK("http://digipan.lumentumllc.com/apps/getLink/index.php?t=PropLink&amp;p=6128904","PL")</f>
        <v>PL</v>
      </c>
      <c r="B400" s="1" t="str">
        <f>HYPERLINK("http://digipan.lumentumllc.com/apps/getLink/index.php?t=TaxLink&amp;p=6128904","TL")</f>
        <v>TL</v>
      </c>
      <c r="C400" s="1" t="str">
        <f>HYPERLINK("http://digipan.lumentumllc.com/apps/getMap/index.php?p=6128904","Map")</f>
        <v>Map</v>
      </c>
      <c r="E400" t="s">
        <v>177</v>
      </c>
      <c r="F400" t="s">
        <v>178</v>
      </c>
      <c r="L400" t="s">
        <v>5989</v>
      </c>
      <c r="N400" t="s">
        <v>5989</v>
      </c>
      <c r="O400" t="s">
        <v>5989</v>
      </c>
      <c r="P400" t="s">
        <v>5990</v>
      </c>
      <c r="Q400" t="s">
        <v>5989</v>
      </c>
      <c r="V400">
        <v>467</v>
      </c>
      <c r="W400">
        <v>2</v>
      </c>
      <c r="X400">
        <v>2017</v>
      </c>
      <c r="Y400">
        <v>2018</v>
      </c>
      <c r="Z400">
        <v>926.1</v>
      </c>
      <c r="AB400" t="s">
        <v>181</v>
      </c>
      <c r="AC400" t="s">
        <v>182</v>
      </c>
      <c r="AD400" t="s">
        <v>183</v>
      </c>
      <c r="AE400">
        <v>0</v>
      </c>
      <c r="AF400">
        <v>4</v>
      </c>
      <c r="AG400" t="s">
        <v>744</v>
      </c>
      <c r="AH400">
        <v>100</v>
      </c>
      <c r="AK400">
        <v>0</v>
      </c>
      <c r="AL400">
        <v>60462</v>
      </c>
      <c r="AM400">
        <v>20800</v>
      </c>
      <c r="AN400">
        <v>39662</v>
      </c>
      <c r="AO400">
        <v>803</v>
      </c>
      <c r="AP400">
        <v>2016</v>
      </c>
      <c r="AQ400">
        <v>1.53</v>
      </c>
      <c r="AS400" t="s">
        <v>5991</v>
      </c>
      <c r="AT400" t="s">
        <v>186</v>
      </c>
      <c r="AU400" t="s">
        <v>177</v>
      </c>
      <c r="AV400" t="s">
        <v>187</v>
      </c>
      <c r="AW400" t="s">
        <v>182</v>
      </c>
      <c r="AX400">
        <v>11</v>
      </c>
      <c r="AY400" t="s">
        <v>3641</v>
      </c>
      <c r="AZ400" t="s">
        <v>212</v>
      </c>
      <c r="BA400" t="s">
        <v>5959</v>
      </c>
      <c r="BB400" t="s">
        <v>191</v>
      </c>
      <c r="BC400" t="s">
        <v>182</v>
      </c>
      <c r="BD400" t="s">
        <v>182</v>
      </c>
      <c r="BE400" t="s">
        <v>5992</v>
      </c>
      <c r="BF400">
        <v>1</v>
      </c>
      <c r="BG400">
        <v>0</v>
      </c>
      <c r="BH400">
        <v>1948</v>
      </c>
      <c r="BI400" t="s">
        <v>5993</v>
      </c>
      <c r="BJ400" t="s">
        <v>194</v>
      </c>
      <c r="BK400" t="s">
        <v>840</v>
      </c>
      <c r="BL400" t="s">
        <v>5994</v>
      </c>
      <c r="BM400" t="s">
        <v>1598</v>
      </c>
      <c r="BN400" t="s">
        <v>182</v>
      </c>
      <c r="BO400" t="s">
        <v>198</v>
      </c>
      <c r="BP400" t="s">
        <v>198</v>
      </c>
      <c r="BQ400" t="s">
        <v>198</v>
      </c>
      <c r="BR400" t="s">
        <v>198</v>
      </c>
      <c r="BS400" t="s">
        <v>198</v>
      </c>
      <c r="BT400" t="s">
        <v>198</v>
      </c>
      <c r="BU400" t="s">
        <v>182</v>
      </c>
      <c r="BV400" t="s">
        <v>198</v>
      </c>
      <c r="BW400" t="s">
        <v>198</v>
      </c>
      <c r="BX400" t="s">
        <v>199</v>
      </c>
      <c r="BY400" t="s">
        <v>198</v>
      </c>
      <c r="BZ400" t="s">
        <v>199</v>
      </c>
      <c r="CA400" t="s">
        <v>199</v>
      </c>
      <c r="CB400" t="s">
        <v>5995</v>
      </c>
      <c r="CC400" t="s">
        <v>201</v>
      </c>
      <c r="CD400" t="s">
        <v>182</v>
      </c>
      <c r="CE400" t="s">
        <v>5996</v>
      </c>
      <c r="CF400" t="s">
        <v>204</v>
      </c>
      <c r="CG400" t="s">
        <v>177</v>
      </c>
      <c r="CH400" t="s">
        <v>187</v>
      </c>
      <c r="CI400" t="s">
        <v>5997</v>
      </c>
      <c r="CJ400" t="s">
        <v>5578</v>
      </c>
      <c r="CK400" t="s">
        <v>232</v>
      </c>
      <c r="CL400" t="s">
        <v>233</v>
      </c>
      <c r="CM400" t="s">
        <v>5998</v>
      </c>
      <c r="CN400" t="s">
        <v>235</v>
      </c>
      <c r="CO400" t="s">
        <v>183</v>
      </c>
      <c r="CP400" t="s">
        <v>211</v>
      </c>
      <c r="CQ400" t="s">
        <v>264</v>
      </c>
      <c r="CS400" t="s">
        <v>5999</v>
      </c>
      <c r="CT400" t="s">
        <v>4249</v>
      </c>
      <c r="CU400" t="s">
        <v>292</v>
      </c>
      <c r="CV400" t="s">
        <v>293</v>
      </c>
      <c r="CW400" t="s">
        <v>6000</v>
      </c>
      <c r="CX400" t="s">
        <v>235</v>
      </c>
      <c r="CY400" t="s">
        <v>183</v>
      </c>
      <c r="CZ400" t="s">
        <v>211</v>
      </c>
      <c r="DA400" t="s">
        <v>264</v>
      </c>
      <c r="DC400" t="s">
        <v>6001</v>
      </c>
      <c r="DD400" t="s">
        <v>5422</v>
      </c>
      <c r="DE400" t="s">
        <v>267</v>
      </c>
      <c r="DF400" t="s">
        <v>268</v>
      </c>
      <c r="DG400" t="s">
        <v>6002</v>
      </c>
      <c r="DH400" t="s">
        <v>235</v>
      </c>
      <c r="DI400" t="s">
        <v>183</v>
      </c>
      <c r="DJ400" t="s">
        <v>211</v>
      </c>
      <c r="DK400" t="s">
        <v>342</v>
      </c>
      <c r="DM400" t="s">
        <v>4483</v>
      </c>
      <c r="DN400" t="s">
        <v>5422</v>
      </c>
      <c r="DO400" t="s">
        <v>273</v>
      </c>
      <c r="DP400" t="s">
        <v>274</v>
      </c>
      <c r="DQ400" t="s">
        <v>6003</v>
      </c>
      <c r="DR400" t="s">
        <v>235</v>
      </c>
      <c r="DS400" t="s">
        <v>183</v>
      </c>
      <c r="DT400" t="s">
        <v>211</v>
      </c>
      <c r="DU400" t="s">
        <v>427</v>
      </c>
      <c r="DW400" t="s">
        <v>6004</v>
      </c>
      <c r="EG400" t="s">
        <v>198</v>
      </c>
      <c r="EQ400" t="s">
        <v>198</v>
      </c>
      <c r="FA400" t="s">
        <v>198</v>
      </c>
      <c r="FK400" t="s">
        <v>198</v>
      </c>
      <c r="FU400" t="s">
        <v>198</v>
      </c>
    </row>
    <row r="401" spans="1:177">
      <c r="A401" s="1" t="str">
        <f>HYPERLINK("http://digipan.lumentumllc.com/apps/getLink/index.php?t=PropLink&amp;p=6128905","PL")</f>
        <v>PL</v>
      </c>
      <c r="B401" s="1" t="str">
        <f>HYPERLINK("http://digipan.lumentumllc.com/apps/getLink/index.php?t=TaxLink&amp;p=6128905","TL")</f>
        <v>TL</v>
      </c>
      <c r="C401" s="1" t="str">
        <f>HYPERLINK("http://digipan.lumentumllc.com/apps/getMap/index.php?p=6128905","Map")</f>
        <v>Map</v>
      </c>
      <c r="E401" t="s">
        <v>177</v>
      </c>
      <c r="F401" t="s">
        <v>178</v>
      </c>
      <c r="L401" t="s">
        <v>6005</v>
      </c>
      <c r="N401" t="s">
        <v>6005</v>
      </c>
      <c r="O401" t="s">
        <v>6005</v>
      </c>
      <c r="P401" t="s">
        <v>6006</v>
      </c>
      <c r="Q401" t="s">
        <v>6005</v>
      </c>
      <c r="V401">
        <v>468</v>
      </c>
      <c r="W401">
        <v>2</v>
      </c>
      <c r="X401">
        <v>2017</v>
      </c>
      <c r="Y401">
        <v>2018</v>
      </c>
      <c r="Z401">
        <v>434.58</v>
      </c>
      <c r="AB401" t="s">
        <v>181</v>
      </c>
      <c r="AC401" t="s">
        <v>182</v>
      </c>
      <c r="AD401" t="s">
        <v>183</v>
      </c>
      <c r="AE401">
        <v>1</v>
      </c>
      <c r="AF401">
        <v>3</v>
      </c>
      <c r="AG401" t="s">
        <v>257</v>
      </c>
      <c r="AH401">
        <v>75</v>
      </c>
      <c r="AI401">
        <v>436.25</v>
      </c>
      <c r="AJ401">
        <v>61.08</v>
      </c>
      <c r="AK401">
        <v>497.33</v>
      </c>
      <c r="AL401">
        <v>26655</v>
      </c>
      <c r="AM401">
        <v>22669</v>
      </c>
      <c r="AN401">
        <v>3986</v>
      </c>
      <c r="AO401">
        <v>378</v>
      </c>
      <c r="AP401">
        <v>2016</v>
      </c>
      <c r="AQ401">
        <v>1.63</v>
      </c>
      <c r="AR401">
        <v>1.87</v>
      </c>
      <c r="AS401" t="s">
        <v>6007</v>
      </c>
      <c r="AT401" t="s">
        <v>186</v>
      </c>
      <c r="AU401" t="s">
        <v>177</v>
      </c>
      <c r="AV401" t="s">
        <v>187</v>
      </c>
      <c r="AW401" t="s">
        <v>182</v>
      </c>
      <c r="AX401">
        <v>0</v>
      </c>
      <c r="AY401" t="s">
        <v>312</v>
      </c>
      <c r="AZ401" t="s">
        <v>199</v>
      </c>
      <c r="BA401" t="s">
        <v>313</v>
      </c>
      <c r="BB401" t="s">
        <v>191</v>
      </c>
      <c r="BC401" t="s">
        <v>182</v>
      </c>
      <c r="BD401" t="s">
        <v>182</v>
      </c>
      <c r="BE401" t="s">
        <v>6008</v>
      </c>
      <c r="BF401">
        <v>0</v>
      </c>
      <c r="BG401">
        <v>0</v>
      </c>
      <c r="BH401">
        <v>0</v>
      </c>
      <c r="BI401" t="s">
        <v>199</v>
      </c>
      <c r="BJ401" t="s">
        <v>396</v>
      </c>
      <c r="BL401" t="s">
        <v>1332</v>
      </c>
      <c r="BM401" t="s">
        <v>4973</v>
      </c>
      <c r="BN401" t="s">
        <v>182</v>
      </c>
      <c r="BO401" t="s">
        <v>198</v>
      </c>
      <c r="BP401" t="s">
        <v>198</v>
      </c>
      <c r="BQ401" t="s">
        <v>198</v>
      </c>
      <c r="BR401" t="s">
        <v>198</v>
      </c>
      <c r="BS401" t="s">
        <v>198</v>
      </c>
      <c r="BT401" t="s">
        <v>198</v>
      </c>
      <c r="BU401" t="s">
        <v>182</v>
      </c>
      <c r="BV401" t="s">
        <v>198</v>
      </c>
      <c r="BW401" t="s">
        <v>198</v>
      </c>
      <c r="BX401" t="s">
        <v>199</v>
      </c>
      <c r="BY401" t="s">
        <v>198</v>
      </c>
      <c r="BZ401" t="s">
        <v>199</v>
      </c>
      <c r="CA401" t="s">
        <v>199</v>
      </c>
      <c r="CB401" t="s">
        <v>5995</v>
      </c>
      <c r="CC401" t="s">
        <v>201</v>
      </c>
      <c r="CD401" t="s">
        <v>182</v>
      </c>
      <c r="CE401" t="s">
        <v>5996</v>
      </c>
      <c r="CF401" t="s">
        <v>204</v>
      </c>
      <c r="CG401" t="s">
        <v>177</v>
      </c>
      <c r="CH401" t="s">
        <v>187</v>
      </c>
      <c r="CI401" t="s">
        <v>6009</v>
      </c>
      <c r="CJ401" t="s">
        <v>4515</v>
      </c>
      <c r="CK401" t="s">
        <v>232</v>
      </c>
      <c r="CL401" t="s">
        <v>233</v>
      </c>
      <c r="CM401" t="s">
        <v>6010</v>
      </c>
      <c r="CN401" t="s">
        <v>484</v>
      </c>
      <c r="CO401" t="s">
        <v>183</v>
      </c>
      <c r="CP401" t="s">
        <v>266</v>
      </c>
      <c r="CS401" t="s">
        <v>198</v>
      </c>
      <c r="CT401" t="s">
        <v>4295</v>
      </c>
      <c r="CU401" t="s">
        <v>292</v>
      </c>
      <c r="CV401" t="s">
        <v>293</v>
      </c>
      <c r="CW401" t="s">
        <v>6011</v>
      </c>
      <c r="CX401" t="s">
        <v>235</v>
      </c>
      <c r="CY401" t="s">
        <v>183</v>
      </c>
      <c r="CZ401" t="s">
        <v>211</v>
      </c>
      <c r="DA401" t="s">
        <v>471</v>
      </c>
      <c r="DC401" t="s">
        <v>5999</v>
      </c>
      <c r="DD401" t="s">
        <v>4461</v>
      </c>
      <c r="DE401" t="s">
        <v>267</v>
      </c>
      <c r="DF401" t="s">
        <v>268</v>
      </c>
      <c r="DG401" t="s">
        <v>6012</v>
      </c>
      <c r="DH401" t="s">
        <v>3395</v>
      </c>
      <c r="DI401" t="s">
        <v>183</v>
      </c>
      <c r="DJ401" t="s">
        <v>211</v>
      </c>
      <c r="DK401" t="s">
        <v>342</v>
      </c>
      <c r="DM401" t="s">
        <v>4483</v>
      </c>
      <c r="DN401" t="s">
        <v>4461</v>
      </c>
      <c r="DO401" t="s">
        <v>273</v>
      </c>
      <c r="DP401" t="s">
        <v>274</v>
      </c>
      <c r="DQ401" t="s">
        <v>6013</v>
      </c>
      <c r="DR401" t="s">
        <v>235</v>
      </c>
      <c r="DS401" t="s">
        <v>183</v>
      </c>
      <c r="DT401" t="s">
        <v>211</v>
      </c>
      <c r="DU401" t="s">
        <v>298</v>
      </c>
      <c r="DW401" t="s">
        <v>6014</v>
      </c>
      <c r="EG401" t="s">
        <v>198</v>
      </c>
      <c r="EQ401" t="s">
        <v>198</v>
      </c>
      <c r="FA401" t="s">
        <v>198</v>
      </c>
      <c r="FK401" t="s">
        <v>198</v>
      </c>
      <c r="FU401" t="s">
        <v>198</v>
      </c>
    </row>
    <row r="402" spans="1:177">
      <c r="A402" s="1" t="str">
        <f>HYPERLINK("http://digipan.lumentumllc.com/apps/getLink/index.php?t=PropLink&amp;p=6594152","PL")</f>
        <v>PL</v>
      </c>
      <c r="B402" s="1" t="str">
        <f>HYPERLINK("http://digipan.lumentumllc.com/apps/getLink/index.php?t=TaxLink&amp;p=6594152","TL")</f>
        <v>TL</v>
      </c>
      <c r="C402" s="1" t="str">
        <f>HYPERLINK("http://digipan.lumentumllc.com/apps/getMap/index.php?p=6594152","Map")</f>
        <v>Map</v>
      </c>
      <c r="E402" t="s">
        <v>177</v>
      </c>
      <c r="F402" t="s">
        <v>178</v>
      </c>
      <c r="L402" t="s">
        <v>6015</v>
      </c>
      <c r="N402" t="s">
        <v>6015</v>
      </c>
      <c r="O402" t="s">
        <v>6015</v>
      </c>
      <c r="P402" t="s">
        <v>6016</v>
      </c>
      <c r="Q402" t="s">
        <v>6015</v>
      </c>
      <c r="V402">
        <v>469</v>
      </c>
      <c r="W402">
        <v>2</v>
      </c>
      <c r="X402">
        <v>2017</v>
      </c>
      <c r="Y402">
        <v>2018</v>
      </c>
      <c r="Z402">
        <v>689.44</v>
      </c>
      <c r="AB402" t="s">
        <v>181</v>
      </c>
      <c r="AC402" t="s">
        <v>182</v>
      </c>
      <c r="AD402" t="s">
        <v>183</v>
      </c>
      <c r="AE402">
        <v>0</v>
      </c>
      <c r="AF402">
        <v>4</v>
      </c>
      <c r="AG402" t="s">
        <v>744</v>
      </c>
      <c r="AH402">
        <v>100</v>
      </c>
      <c r="AK402">
        <v>0</v>
      </c>
      <c r="AL402">
        <v>43529</v>
      </c>
      <c r="AM402">
        <v>9000</v>
      </c>
      <c r="AN402">
        <v>34529</v>
      </c>
      <c r="AO402">
        <v>597</v>
      </c>
      <c r="AP402">
        <v>2016</v>
      </c>
      <c r="AQ402">
        <v>1.58</v>
      </c>
      <c r="AS402" t="s">
        <v>6017</v>
      </c>
      <c r="AT402" t="s">
        <v>186</v>
      </c>
      <c r="AU402" t="s">
        <v>177</v>
      </c>
      <c r="AV402" t="s">
        <v>187</v>
      </c>
      <c r="AW402" t="s">
        <v>182</v>
      </c>
      <c r="AX402">
        <v>1</v>
      </c>
      <c r="AY402" t="s">
        <v>188</v>
      </c>
      <c r="AZ402" t="s">
        <v>206</v>
      </c>
      <c r="BA402" t="s">
        <v>355</v>
      </c>
      <c r="BB402" t="s">
        <v>191</v>
      </c>
      <c r="BC402" t="s">
        <v>182</v>
      </c>
      <c r="BD402" t="s">
        <v>182</v>
      </c>
      <c r="BE402" t="s">
        <v>5975</v>
      </c>
      <c r="BF402">
        <v>1</v>
      </c>
      <c r="BG402">
        <v>1</v>
      </c>
      <c r="BH402">
        <v>1924</v>
      </c>
      <c r="BI402" t="s">
        <v>6018</v>
      </c>
      <c r="BJ402" t="s">
        <v>194</v>
      </c>
      <c r="BK402" t="s">
        <v>195</v>
      </c>
      <c r="BL402" t="s">
        <v>4647</v>
      </c>
      <c r="BM402" t="s">
        <v>2351</v>
      </c>
      <c r="BN402" t="s">
        <v>182</v>
      </c>
      <c r="BO402" t="s">
        <v>198</v>
      </c>
      <c r="BP402" t="s">
        <v>198</v>
      </c>
      <c r="BQ402" t="s">
        <v>198</v>
      </c>
      <c r="BR402" t="s">
        <v>198</v>
      </c>
      <c r="BS402" t="s">
        <v>198</v>
      </c>
      <c r="BT402" t="s">
        <v>198</v>
      </c>
      <c r="BU402" t="s">
        <v>182</v>
      </c>
      <c r="BV402" t="s">
        <v>198</v>
      </c>
      <c r="BW402" t="s">
        <v>198</v>
      </c>
      <c r="BX402" t="s">
        <v>199</v>
      </c>
      <c r="BY402" t="s">
        <v>198</v>
      </c>
      <c r="BZ402" t="s">
        <v>199</v>
      </c>
      <c r="CA402" t="s">
        <v>199</v>
      </c>
      <c r="CB402" t="s">
        <v>6019</v>
      </c>
      <c r="CC402" t="s">
        <v>201</v>
      </c>
      <c r="CD402" t="s">
        <v>202</v>
      </c>
      <c r="CE402" t="s">
        <v>6020</v>
      </c>
      <c r="CF402" t="s">
        <v>204</v>
      </c>
      <c r="CG402" t="s">
        <v>177</v>
      </c>
      <c r="CH402" t="s">
        <v>187</v>
      </c>
      <c r="CI402" t="s">
        <v>6021</v>
      </c>
      <c r="CJ402" t="s">
        <v>6022</v>
      </c>
      <c r="CK402" t="s">
        <v>232</v>
      </c>
      <c r="CL402" t="s">
        <v>233</v>
      </c>
      <c r="CM402" t="s">
        <v>6023</v>
      </c>
      <c r="CN402" t="s">
        <v>235</v>
      </c>
      <c r="CO402" t="s">
        <v>183</v>
      </c>
      <c r="CP402" t="s">
        <v>211</v>
      </c>
      <c r="CQ402" t="s">
        <v>270</v>
      </c>
      <c r="CS402" t="s">
        <v>6024</v>
      </c>
      <c r="CT402" t="s">
        <v>5360</v>
      </c>
      <c r="CU402" t="s">
        <v>292</v>
      </c>
      <c r="CV402" t="s">
        <v>293</v>
      </c>
      <c r="CW402" t="s">
        <v>6025</v>
      </c>
      <c r="CX402" t="s">
        <v>235</v>
      </c>
      <c r="CY402" t="s">
        <v>183</v>
      </c>
      <c r="CZ402" t="s">
        <v>211</v>
      </c>
      <c r="DA402" t="s">
        <v>329</v>
      </c>
      <c r="DC402" t="s">
        <v>432</v>
      </c>
      <c r="DD402" t="s">
        <v>5528</v>
      </c>
      <c r="DE402" t="s">
        <v>267</v>
      </c>
      <c r="DF402" t="s">
        <v>268</v>
      </c>
      <c r="DG402" t="s">
        <v>6026</v>
      </c>
      <c r="DH402" t="s">
        <v>235</v>
      </c>
      <c r="DI402" t="s">
        <v>183</v>
      </c>
      <c r="DJ402" t="s">
        <v>211</v>
      </c>
      <c r="DK402" t="s">
        <v>270</v>
      </c>
      <c r="DM402" t="s">
        <v>6027</v>
      </c>
      <c r="DN402" t="s">
        <v>5528</v>
      </c>
      <c r="DO402" t="s">
        <v>273</v>
      </c>
      <c r="DP402" t="s">
        <v>274</v>
      </c>
      <c r="DQ402" t="s">
        <v>6028</v>
      </c>
      <c r="DR402" t="s">
        <v>235</v>
      </c>
      <c r="DS402" t="s">
        <v>183</v>
      </c>
      <c r="DT402" t="s">
        <v>211</v>
      </c>
      <c r="DU402" t="s">
        <v>212</v>
      </c>
      <c r="DW402" t="s">
        <v>4967</v>
      </c>
      <c r="EG402" t="s">
        <v>198</v>
      </c>
      <c r="EQ402" t="s">
        <v>198</v>
      </c>
      <c r="FA402" t="s">
        <v>198</v>
      </c>
      <c r="FK402" t="s">
        <v>198</v>
      </c>
      <c r="FU402" t="s">
        <v>198</v>
      </c>
    </row>
    <row r="403" spans="1:177">
      <c r="A403" s="1" t="str">
        <f>HYPERLINK("http://digipan.lumentumllc.com/apps/getLink/index.php?t=PropLink&amp;p=4637439","PL")</f>
        <v>PL</v>
      </c>
      <c r="B403" s="1" t="str">
        <f>HYPERLINK("http://digipan.lumentumllc.com/apps/getLink/index.php?t=TaxLink&amp;p=4637439","TL")</f>
        <v>TL</v>
      </c>
      <c r="C403" s="1" t="str">
        <f>HYPERLINK("http://digipan.lumentumllc.com/apps/getMap/index.php?p=4637439","Map")</f>
        <v>Map</v>
      </c>
      <c r="E403" t="s">
        <v>177</v>
      </c>
      <c r="F403" t="s">
        <v>178</v>
      </c>
      <c r="L403" t="s">
        <v>6029</v>
      </c>
      <c r="N403" t="s">
        <v>6029</v>
      </c>
      <c r="O403" t="s">
        <v>6029</v>
      </c>
      <c r="P403" t="s">
        <v>6030</v>
      </c>
      <c r="Q403" t="s">
        <v>6029</v>
      </c>
      <c r="V403">
        <v>470</v>
      </c>
      <c r="W403">
        <v>2</v>
      </c>
      <c r="X403">
        <v>2017</v>
      </c>
      <c r="Y403">
        <v>2018</v>
      </c>
      <c r="Z403">
        <v>1105.46</v>
      </c>
      <c r="AB403" t="s">
        <v>181</v>
      </c>
      <c r="AC403" t="s">
        <v>202</v>
      </c>
      <c r="AD403" t="s">
        <v>183</v>
      </c>
      <c r="AE403">
        <v>1</v>
      </c>
      <c r="AF403">
        <v>3</v>
      </c>
      <c r="AG403" t="s">
        <v>257</v>
      </c>
      <c r="AH403">
        <v>75</v>
      </c>
      <c r="AI403">
        <v>1218.24</v>
      </c>
      <c r="AJ403">
        <v>60.91</v>
      </c>
      <c r="AK403">
        <v>1279.1500000000001</v>
      </c>
      <c r="AL403">
        <v>71074</v>
      </c>
      <c r="AM403">
        <v>30927</v>
      </c>
      <c r="AN403">
        <v>40147</v>
      </c>
      <c r="AO403">
        <v>1101</v>
      </c>
      <c r="AP403">
        <v>2016</v>
      </c>
      <c r="AQ403">
        <v>1.56</v>
      </c>
      <c r="AR403">
        <v>1.8</v>
      </c>
      <c r="AS403" t="s">
        <v>6031</v>
      </c>
      <c r="AT403" t="s">
        <v>186</v>
      </c>
      <c r="AU403" t="s">
        <v>177</v>
      </c>
      <c r="AV403" t="s">
        <v>187</v>
      </c>
      <c r="AW403" t="s">
        <v>182</v>
      </c>
      <c r="AX403">
        <v>14</v>
      </c>
      <c r="AY403" t="s">
        <v>3641</v>
      </c>
      <c r="AZ403" t="s">
        <v>460</v>
      </c>
      <c r="BA403" t="s">
        <v>6032</v>
      </c>
      <c r="BB403" t="s">
        <v>191</v>
      </c>
      <c r="BC403" t="s">
        <v>182</v>
      </c>
      <c r="BD403" t="s">
        <v>182</v>
      </c>
      <c r="BE403" t="s">
        <v>3696</v>
      </c>
      <c r="BF403">
        <v>1</v>
      </c>
      <c r="BG403">
        <v>0</v>
      </c>
      <c r="BH403">
        <v>1955</v>
      </c>
      <c r="BI403" t="s">
        <v>1931</v>
      </c>
      <c r="BJ403" t="s">
        <v>285</v>
      </c>
      <c r="BK403" t="s">
        <v>840</v>
      </c>
      <c r="BL403" t="s">
        <v>5628</v>
      </c>
      <c r="BM403" t="s">
        <v>232</v>
      </c>
      <c r="BN403" t="s">
        <v>182</v>
      </c>
      <c r="BO403" t="s">
        <v>6033</v>
      </c>
      <c r="BP403" t="s">
        <v>6034</v>
      </c>
      <c r="BQ403" t="s">
        <v>2053</v>
      </c>
      <c r="BR403" t="s">
        <v>227</v>
      </c>
      <c r="BS403" t="s">
        <v>198</v>
      </c>
      <c r="BT403" t="s">
        <v>228</v>
      </c>
      <c r="BU403" t="s">
        <v>182</v>
      </c>
      <c r="BV403" t="s">
        <v>198</v>
      </c>
      <c r="BW403" t="s">
        <v>198</v>
      </c>
      <c r="BX403" t="s">
        <v>199</v>
      </c>
      <c r="BY403" t="s">
        <v>198</v>
      </c>
      <c r="BZ403" t="s">
        <v>199</v>
      </c>
      <c r="CA403" t="s">
        <v>199</v>
      </c>
      <c r="CB403" t="s">
        <v>6035</v>
      </c>
      <c r="CC403" t="s">
        <v>201</v>
      </c>
      <c r="CD403" t="s">
        <v>202</v>
      </c>
      <c r="CE403" t="s">
        <v>6036</v>
      </c>
      <c r="CF403" t="s">
        <v>6037</v>
      </c>
      <c r="CG403" t="s">
        <v>177</v>
      </c>
      <c r="CH403" t="s">
        <v>6038</v>
      </c>
      <c r="CI403" t="s">
        <v>6039</v>
      </c>
      <c r="CJ403" t="s">
        <v>4644</v>
      </c>
      <c r="CK403" t="s">
        <v>232</v>
      </c>
      <c r="CL403" t="s">
        <v>233</v>
      </c>
      <c r="CM403" t="s">
        <v>6040</v>
      </c>
      <c r="CN403" t="s">
        <v>235</v>
      </c>
      <c r="CO403" t="s">
        <v>183</v>
      </c>
      <c r="CP403" t="s">
        <v>266</v>
      </c>
      <c r="CS403" t="s">
        <v>198</v>
      </c>
      <c r="CT403" t="s">
        <v>4471</v>
      </c>
      <c r="CU403" t="s">
        <v>267</v>
      </c>
      <c r="CV403" t="s">
        <v>268</v>
      </c>
      <c r="CW403" t="s">
        <v>6041</v>
      </c>
      <c r="CX403" t="s">
        <v>235</v>
      </c>
      <c r="CY403" t="s">
        <v>183</v>
      </c>
      <c r="CZ403" t="s">
        <v>211</v>
      </c>
      <c r="DA403" t="s">
        <v>264</v>
      </c>
      <c r="DB403" t="s">
        <v>6042</v>
      </c>
      <c r="DC403" t="s">
        <v>6043</v>
      </c>
      <c r="DD403" t="s">
        <v>4471</v>
      </c>
      <c r="DE403" t="s">
        <v>273</v>
      </c>
      <c r="DF403" t="s">
        <v>274</v>
      </c>
      <c r="DG403" t="s">
        <v>6044</v>
      </c>
      <c r="DH403" t="s">
        <v>235</v>
      </c>
      <c r="DI403" t="s">
        <v>183</v>
      </c>
      <c r="DJ403" t="s">
        <v>211</v>
      </c>
      <c r="DK403" t="s">
        <v>471</v>
      </c>
      <c r="DL403" t="s">
        <v>6042</v>
      </c>
      <c r="DM403" t="s">
        <v>6043</v>
      </c>
      <c r="DN403" t="s">
        <v>6045</v>
      </c>
      <c r="DO403" t="s">
        <v>302</v>
      </c>
      <c r="DP403" t="s">
        <v>303</v>
      </c>
      <c r="DQ403" t="s">
        <v>6046</v>
      </c>
      <c r="DR403" t="s">
        <v>235</v>
      </c>
      <c r="DS403" t="s">
        <v>183</v>
      </c>
      <c r="DT403" t="s">
        <v>211</v>
      </c>
      <c r="DV403" t="s">
        <v>6042</v>
      </c>
      <c r="DW403" t="s">
        <v>198</v>
      </c>
      <c r="EG403" t="s">
        <v>198</v>
      </c>
      <c r="EQ403" t="s">
        <v>198</v>
      </c>
      <c r="FA403" t="s">
        <v>198</v>
      </c>
      <c r="FK403" t="s">
        <v>198</v>
      </c>
      <c r="FU403" t="s">
        <v>198</v>
      </c>
    </row>
    <row r="404" spans="1:177">
      <c r="A404" s="1" t="str">
        <f>HYPERLINK("http://digipan.lumentumllc.com/apps/getLink/index.php?t=PropLink&amp;p=7112375","PL")</f>
        <v>PL</v>
      </c>
      <c r="B404" s="1" t="str">
        <f>HYPERLINK("http://digipan.lumentumllc.com/apps/getLink/index.php?t=TaxLink&amp;p=7112375","TL")</f>
        <v>TL</v>
      </c>
      <c r="C404" s="1" t="str">
        <f>HYPERLINK("http://digipan.lumentumllc.com/apps/getMap/index.php?p=7112375","Map")</f>
        <v>Map</v>
      </c>
      <c r="E404" t="s">
        <v>177</v>
      </c>
      <c r="F404" t="s">
        <v>178</v>
      </c>
      <c r="L404" t="s">
        <v>6047</v>
      </c>
      <c r="N404" t="s">
        <v>6047</v>
      </c>
      <c r="O404" t="s">
        <v>6047</v>
      </c>
      <c r="P404" t="s">
        <v>6048</v>
      </c>
      <c r="Q404" t="s">
        <v>6047</v>
      </c>
      <c r="V404">
        <v>471</v>
      </c>
      <c r="W404">
        <v>2</v>
      </c>
      <c r="X404">
        <v>2017</v>
      </c>
      <c r="Y404">
        <v>2018</v>
      </c>
      <c r="Z404">
        <v>2851.97</v>
      </c>
      <c r="AB404" t="s">
        <v>181</v>
      </c>
      <c r="AC404" t="s">
        <v>182</v>
      </c>
      <c r="AD404" t="s">
        <v>183</v>
      </c>
      <c r="AE404">
        <v>0</v>
      </c>
      <c r="AF404">
        <v>1</v>
      </c>
      <c r="AG404" t="s">
        <v>821</v>
      </c>
      <c r="AH404">
        <v>100</v>
      </c>
      <c r="AK404">
        <v>0</v>
      </c>
      <c r="AL404">
        <v>186710</v>
      </c>
      <c r="AM404">
        <v>67517</v>
      </c>
      <c r="AN404">
        <v>119193</v>
      </c>
      <c r="AO404">
        <v>2614</v>
      </c>
      <c r="AP404">
        <v>2016</v>
      </c>
      <c r="AQ404">
        <v>1.53</v>
      </c>
      <c r="AS404" t="s">
        <v>6049</v>
      </c>
      <c r="AT404" t="s">
        <v>186</v>
      </c>
      <c r="AU404" t="s">
        <v>177</v>
      </c>
      <c r="AV404" t="s">
        <v>187</v>
      </c>
      <c r="AW404" t="s">
        <v>182</v>
      </c>
      <c r="AX404">
        <v>48</v>
      </c>
      <c r="AY404" t="s">
        <v>5663</v>
      </c>
      <c r="AZ404" t="s">
        <v>1162</v>
      </c>
      <c r="BA404" t="s">
        <v>5947</v>
      </c>
      <c r="BB404" t="s">
        <v>191</v>
      </c>
      <c r="BC404" t="s">
        <v>182</v>
      </c>
      <c r="BD404" t="s">
        <v>182</v>
      </c>
      <c r="BE404" t="s">
        <v>6050</v>
      </c>
      <c r="BF404">
        <v>2</v>
      </c>
      <c r="BG404">
        <v>0</v>
      </c>
      <c r="BH404">
        <v>1982</v>
      </c>
      <c r="BI404" t="s">
        <v>6051</v>
      </c>
      <c r="BJ404" t="s">
        <v>194</v>
      </c>
      <c r="BK404" t="s">
        <v>3643</v>
      </c>
      <c r="BL404" t="s">
        <v>6052</v>
      </c>
      <c r="BM404" t="s">
        <v>410</v>
      </c>
      <c r="BN404" t="s">
        <v>182</v>
      </c>
      <c r="BO404" t="s">
        <v>198</v>
      </c>
      <c r="BP404" t="s">
        <v>198</v>
      </c>
      <c r="BQ404" t="s">
        <v>198</v>
      </c>
      <c r="BR404" t="s">
        <v>198</v>
      </c>
      <c r="BS404" t="s">
        <v>198</v>
      </c>
      <c r="BT404" t="s">
        <v>198</v>
      </c>
      <c r="BU404" t="s">
        <v>182</v>
      </c>
      <c r="BV404" t="s">
        <v>198</v>
      </c>
      <c r="BW404" t="s">
        <v>198</v>
      </c>
      <c r="BX404" t="s">
        <v>199</v>
      </c>
      <c r="BY404" t="s">
        <v>198</v>
      </c>
      <c r="BZ404" t="s">
        <v>199</v>
      </c>
      <c r="CA404" t="s">
        <v>199</v>
      </c>
      <c r="CB404" t="s">
        <v>6053</v>
      </c>
      <c r="CC404" t="s">
        <v>201</v>
      </c>
      <c r="CD404" t="s">
        <v>182</v>
      </c>
      <c r="CE404" t="s">
        <v>6054</v>
      </c>
      <c r="CF404" t="s">
        <v>204</v>
      </c>
      <c r="CG404" t="s">
        <v>177</v>
      </c>
      <c r="CH404" t="s">
        <v>187</v>
      </c>
      <c r="CI404" t="s">
        <v>6055</v>
      </c>
      <c r="CJ404" t="s">
        <v>4356</v>
      </c>
      <c r="CK404" t="s">
        <v>292</v>
      </c>
      <c r="CL404" t="s">
        <v>293</v>
      </c>
      <c r="CM404" t="s">
        <v>6056</v>
      </c>
      <c r="CN404" t="s">
        <v>235</v>
      </c>
      <c r="CO404" t="s">
        <v>183</v>
      </c>
      <c r="CP404" t="s">
        <v>211</v>
      </c>
      <c r="CQ404" t="s">
        <v>345</v>
      </c>
      <c r="CS404" t="s">
        <v>1088</v>
      </c>
      <c r="DC404" t="s">
        <v>198</v>
      </c>
      <c r="DM404" t="s">
        <v>198</v>
      </c>
      <c r="DW404" t="s">
        <v>198</v>
      </c>
      <c r="EG404" t="s">
        <v>198</v>
      </c>
      <c r="EQ404" t="s">
        <v>198</v>
      </c>
      <c r="FA404" t="s">
        <v>198</v>
      </c>
      <c r="FK404" t="s">
        <v>198</v>
      </c>
      <c r="FU404" t="s">
        <v>198</v>
      </c>
    </row>
    <row r="405" spans="1:177">
      <c r="A405" s="1" t="str">
        <f>HYPERLINK("http://digipan.lumentumllc.com/apps/getLink/index.php?t=PropLink&amp;p=15742226","PL")</f>
        <v>PL</v>
      </c>
      <c r="B405" s="1" t="str">
        <f>HYPERLINK("http://digipan.lumentumllc.com/apps/getLink/index.php?t=TaxLink&amp;p=15742226","TL")</f>
        <v>TL</v>
      </c>
      <c r="C405" s="1" t="str">
        <f>HYPERLINK("http://digipan.lumentumllc.com/apps/getMap/index.php?p=15742226","Map")</f>
        <v>Map</v>
      </c>
      <c r="E405" t="s">
        <v>177</v>
      </c>
      <c r="F405" t="s">
        <v>178</v>
      </c>
      <c r="L405" t="s">
        <v>6057</v>
      </c>
      <c r="N405" t="s">
        <v>6057</v>
      </c>
      <c r="O405" t="s">
        <v>6057</v>
      </c>
      <c r="Q405" t="s">
        <v>6057</v>
      </c>
      <c r="V405">
        <v>472</v>
      </c>
      <c r="W405">
        <v>2</v>
      </c>
      <c r="X405">
        <v>2017</v>
      </c>
      <c r="Y405">
        <v>2018</v>
      </c>
      <c r="Z405">
        <v>1323.04</v>
      </c>
      <c r="AB405" t="s">
        <v>181</v>
      </c>
      <c r="AC405" t="s">
        <v>182</v>
      </c>
      <c r="AD405" t="s">
        <v>183</v>
      </c>
      <c r="AE405">
        <v>1</v>
      </c>
      <c r="AF405">
        <v>0</v>
      </c>
      <c r="AG405" t="s">
        <v>1200</v>
      </c>
      <c r="AH405">
        <v>0</v>
      </c>
      <c r="AI405">
        <v>1340.59</v>
      </c>
      <c r="AJ405">
        <v>67.03</v>
      </c>
      <c r="AK405">
        <v>1407.62</v>
      </c>
      <c r="AL405">
        <v>85479</v>
      </c>
      <c r="AM405">
        <v>80368</v>
      </c>
      <c r="AN405">
        <v>5111</v>
      </c>
      <c r="AO405">
        <v>1215</v>
      </c>
      <c r="AP405">
        <v>2016</v>
      </c>
      <c r="AQ405">
        <v>1.55</v>
      </c>
      <c r="AR405">
        <v>1.65</v>
      </c>
      <c r="AS405" t="s">
        <v>6058</v>
      </c>
      <c r="AT405" t="s">
        <v>186</v>
      </c>
      <c r="AU405" t="s">
        <v>177</v>
      </c>
      <c r="AV405" t="s">
        <v>187</v>
      </c>
      <c r="AW405" t="s">
        <v>182</v>
      </c>
      <c r="AX405">
        <v>10</v>
      </c>
      <c r="AY405" t="s">
        <v>3211</v>
      </c>
      <c r="AZ405" t="s">
        <v>270</v>
      </c>
      <c r="BA405" t="s">
        <v>3212</v>
      </c>
      <c r="BB405" t="s">
        <v>191</v>
      </c>
      <c r="BC405" t="s">
        <v>182</v>
      </c>
      <c r="BD405" t="s">
        <v>182</v>
      </c>
      <c r="BE405" t="s">
        <v>4311</v>
      </c>
      <c r="BF405">
        <v>1</v>
      </c>
      <c r="BG405">
        <v>0</v>
      </c>
      <c r="BH405">
        <v>0</v>
      </c>
      <c r="BI405" t="s">
        <v>199</v>
      </c>
      <c r="BJ405" t="s">
        <v>396</v>
      </c>
      <c r="BL405" t="s">
        <v>2075</v>
      </c>
      <c r="BM405" t="s">
        <v>232</v>
      </c>
      <c r="BN405" t="s">
        <v>182</v>
      </c>
      <c r="BO405" t="s">
        <v>6059</v>
      </c>
      <c r="BP405" t="s">
        <v>2737</v>
      </c>
      <c r="BQ405" t="s">
        <v>226</v>
      </c>
      <c r="BR405" t="s">
        <v>227</v>
      </c>
      <c r="BS405" t="s">
        <v>198</v>
      </c>
      <c r="BT405" t="s">
        <v>228</v>
      </c>
      <c r="BU405" t="s">
        <v>182</v>
      </c>
      <c r="BV405" t="s">
        <v>198</v>
      </c>
      <c r="BW405" t="s">
        <v>198</v>
      </c>
      <c r="BX405" t="s">
        <v>199</v>
      </c>
      <c r="BY405" t="s">
        <v>198</v>
      </c>
      <c r="BZ405" t="s">
        <v>199</v>
      </c>
      <c r="CA405" t="s">
        <v>199</v>
      </c>
      <c r="CB405" t="s">
        <v>6060</v>
      </c>
      <c r="CC405" t="s">
        <v>201</v>
      </c>
      <c r="CD405" t="s">
        <v>202</v>
      </c>
      <c r="CE405" t="s">
        <v>6061</v>
      </c>
      <c r="CF405" t="s">
        <v>6062</v>
      </c>
      <c r="CG405" t="s">
        <v>1602</v>
      </c>
      <c r="CH405" t="s">
        <v>6063</v>
      </c>
      <c r="CI405" t="s">
        <v>6064</v>
      </c>
      <c r="CJ405" t="s">
        <v>4534</v>
      </c>
      <c r="CK405" t="s">
        <v>232</v>
      </c>
      <c r="CL405" t="s">
        <v>233</v>
      </c>
      <c r="CM405" t="s">
        <v>6065</v>
      </c>
      <c r="CN405" t="s">
        <v>235</v>
      </c>
      <c r="CO405" t="s">
        <v>183</v>
      </c>
      <c r="CP405" t="s">
        <v>266</v>
      </c>
      <c r="CS405" t="s">
        <v>198</v>
      </c>
      <c r="DC405" t="s">
        <v>198</v>
      </c>
      <c r="DM405" t="s">
        <v>198</v>
      </c>
      <c r="DW405" t="s">
        <v>198</v>
      </c>
      <c r="EG405" t="s">
        <v>198</v>
      </c>
      <c r="EQ405" t="s">
        <v>198</v>
      </c>
      <c r="FA405" t="s">
        <v>198</v>
      </c>
      <c r="FK405" t="s">
        <v>198</v>
      </c>
      <c r="FU405" t="s">
        <v>198</v>
      </c>
    </row>
    <row r="406" spans="1:177">
      <c r="A406" s="1" t="str">
        <f>HYPERLINK("http://digipan.lumentumllc.com/apps/getLink/index.php?t=PropLink&amp;p=15742227","PL")</f>
        <v>PL</v>
      </c>
      <c r="B406" s="1" t="str">
        <f>HYPERLINK("http://digipan.lumentumllc.com/apps/getLink/index.php?t=TaxLink&amp;p=15742227","TL")</f>
        <v>TL</v>
      </c>
      <c r="C406" s="1" t="str">
        <f>HYPERLINK("http://digipan.lumentumllc.com/apps/getMap/index.php?p=15742227","Map")</f>
        <v>Map</v>
      </c>
      <c r="E406" t="s">
        <v>177</v>
      </c>
      <c r="F406" t="s">
        <v>178</v>
      </c>
      <c r="L406" t="s">
        <v>6066</v>
      </c>
      <c r="N406" t="s">
        <v>6066</v>
      </c>
      <c r="O406" t="s">
        <v>6066</v>
      </c>
      <c r="Q406" t="s">
        <v>6066</v>
      </c>
      <c r="V406">
        <v>473</v>
      </c>
      <c r="W406">
        <v>2</v>
      </c>
      <c r="X406">
        <v>2017</v>
      </c>
      <c r="Y406">
        <v>2018</v>
      </c>
      <c r="Z406">
        <v>311.63</v>
      </c>
      <c r="AB406" t="s">
        <v>181</v>
      </c>
      <c r="AC406" t="s">
        <v>182</v>
      </c>
      <c r="AD406" t="s">
        <v>183</v>
      </c>
      <c r="AE406">
        <v>1</v>
      </c>
      <c r="AF406">
        <v>0</v>
      </c>
      <c r="AG406" t="s">
        <v>1200</v>
      </c>
      <c r="AH406">
        <v>0</v>
      </c>
      <c r="AI406">
        <v>307.39</v>
      </c>
      <c r="AJ406">
        <v>43.03</v>
      </c>
      <c r="AK406">
        <v>350.42</v>
      </c>
      <c r="AL406">
        <v>18514</v>
      </c>
      <c r="AM406">
        <v>5652</v>
      </c>
      <c r="AN406">
        <v>12862</v>
      </c>
      <c r="AO406">
        <v>259</v>
      </c>
      <c r="AP406">
        <v>2016</v>
      </c>
      <c r="AQ406">
        <v>1.68</v>
      </c>
      <c r="AR406">
        <v>1.89</v>
      </c>
      <c r="AS406" t="s">
        <v>3209</v>
      </c>
      <c r="AT406" t="s">
        <v>186</v>
      </c>
      <c r="AU406" t="s">
        <v>177</v>
      </c>
      <c r="AV406" t="s">
        <v>187</v>
      </c>
      <c r="AW406" t="s">
        <v>182</v>
      </c>
      <c r="AX406">
        <v>10</v>
      </c>
      <c r="AY406" t="s">
        <v>3211</v>
      </c>
      <c r="AZ406" t="s">
        <v>270</v>
      </c>
      <c r="BA406" t="s">
        <v>3212</v>
      </c>
      <c r="BB406" t="s">
        <v>191</v>
      </c>
      <c r="BC406" t="s">
        <v>182</v>
      </c>
      <c r="BD406" t="s">
        <v>182</v>
      </c>
      <c r="BE406" t="s">
        <v>6008</v>
      </c>
      <c r="BF406">
        <v>0</v>
      </c>
      <c r="BG406">
        <v>0</v>
      </c>
      <c r="BH406">
        <v>0</v>
      </c>
      <c r="BI406" t="s">
        <v>199</v>
      </c>
      <c r="BJ406" t="s">
        <v>315</v>
      </c>
      <c r="BL406" t="s">
        <v>2075</v>
      </c>
      <c r="BM406" t="s">
        <v>232</v>
      </c>
      <c r="BN406" t="s">
        <v>182</v>
      </c>
      <c r="BO406" t="s">
        <v>6059</v>
      </c>
      <c r="BP406" t="s">
        <v>2737</v>
      </c>
      <c r="BQ406" t="s">
        <v>226</v>
      </c>
      <c r="BR406" t="s">
        <v>227</v>
      </c>
      <c r="BS406" t="s">
        <v>198</v>
      </c>
      <c r="BT406" t="s">
        <v>228</v>
      </c>
      <c r="BU406" t="s">
        <v>182</v>
      </c>
      <c r="BV406" t="s">
        <v>198</v>
      </c>
      <c r="BW406" t="s">
        <v>198</v>
      </c>
      <c r="BX406" t="s">
        <v>199</v>
      </c>
      <c r="BY406" t="s">
        <v>198</v>
      </c>
      <c r="BZ406" t="s">
        <v>199</v>
      </c>
      <c r="CA406" t="s">
        <v>199</v>
      </c>
      <c r="CB406" t="s">
        <v>6067</v>
      </c>
      <c r="CC406" t="s">
        <v>201</v>
      </c>
      <c r="CD406" t="s">
        <v>202</v>
      </c>
      <c r="CE406" t="s">
        <v>6061</v>
      </c>
      <c r="CF406" t="s">
        <v>6062</v>
      </c>
      <c r="CG406" t="s">
        <v>1602</v>
      </c>
      <c r="CH406" t="s">
        <v>6063</v>
      </c>
      <c r="CI406" t="s">
        <v>6068</v>
      </c>
      <c r="CJ406" t="s">
        <v>4556</v>
      </c>
      <c r="CK406" t="s">
        <v>232</v>
      </c>
      <c r="CL406" t="s">
        <v>233</v>
      </c>
      <c r="CM406" t="s">
        <v>6069</v>
      </c>
      <c r="CN406" t="s">
        <v>484</v>
      </c>
      <c r="CO406" t="s">
        <v>183</v>
      </c>
      <c r="CP406" t="s">
        <v>266</v>
      </c>
      <c r="CS406" t="s">
        <v>198</v>
      </c>
      <c r="DC406" t="s">
        <v>198</v>
      </c>
      <c r="DM406" t="s">
        <v>198</v>
      </c>
      <c r="DW406" t="s">
        <v>198</v>
      </c>
      <c r="EG406" t="s">
        <v>198</v>
      </c>
      <c r="EQ406" t="s">
        <v>198</v>
      </c>
      <c r="FA406" t="s">
        <v>198</v>
      </c>
      <c r="FK406" t="s">
        <v>198</v>
      </c>
      <c r="FU406" t="s">
        <v>198</v>
      </c>
    </row>
    <row r="407" spans="1:177">
      <c r="A407" s="1" t="str">
        <f>HYPERLINK("http://digipan.lumentumllc.com/apps/getLink/index.php?t=PropLink&amp;p=15742228","PL")</f>
        <v>PL</v>
      </c>
      <c r="B407" s="1" t="str">
        <f>HYPERLINK("http://digipan.lumentumllc.com/apps/getLink/index.php?t=TaxLink&amp;p=15742228","TL")</f>
        <v>TL</v>
      </c>
      <c r="C407" s="1" t="str">
        <f>HYPERLINK("http://digipan.lumentumllc.com/apps/getMap/index.php?p=15742228","Map")</f>
        <v>Map</v>
      </c>
      <c r="E407" t="s">
        <v>177</v>
      </c>
      <c r="F407" t="s">
        <v>178</v>
      </c>
      <c r="L407" t="s">
        <v>6070</v>
      </c>
      <c r="N407" t="s">
        <v>6070</v>
      </c>
      <c r="O407" t="s">
        <v>6070</v>
      </c>
      <c r="Q407" t="s">
        <v>6070</v>
      </c>
      <c r="V407">
        <v>474</v>
      </c>
      <c r="W407">
        <v>2</v>
      </c>
      <c r="X407">
        <v>2017</v>
      </c>
      <c r="Y407">
        <v>2018</v>
      </c>
      <c r="Z407">
        <v>2192.31</v>
      </c>
      <c r="AB407" t="s">
        <v>181</v>
      </c>
      <c r="AC407" t="s">
        <v>182</v>
      </c>
      <c r="AD407" t="s">
        <v>183</v>
      </c>
      <c r="AE407">
        <v>1</v>
      </c>
      <c r="AF407">
        <v>0</v>
      </c>
      <c r="AG407" t="s">
        <v>1200</v>
      </c>
      <c r="AH407">
        <v>0</v>
      </c>
      <c r="AI407">
        <v>1948.47</v>
      </c>
      <c r="AJ407">
        <v>97.42</v>
      </c>
      <c r="AK407">
        <v>2045.89</v>
      </c>
      <c r="AL407">
        <v>143033</v>
      </c>
      <c r="AM407">
        <v>61760</v>
      </c>
      <c r="AN407">
        <v>81273</v>
      </c>
      <c r="AO407">
        <v>1777</v>
      </c>
      <c r="AP407">
        <v>2016</v>
      </c>
      <c r="AQ407">
        <v>1.53</v>
      </c>
      <c r="AR407">
        <v>1.43</v>
      </c>
      <c r="AS407" t="s">
        <v>6071</v>
      </c>
      <c r="AT407" t="s">
        <v>186</v>
      </c>
      <c r="AU407" t="s">
        <v>177</v>
      </c>
      <c r="AV407" t="s">
        <v>187</v>
      </c>
      <c r="AW407" t="s">
        <v>182</v>
      </c>
      <c r="AX407">
        <v>27</v>
      </c>
      <c r="AY407" t="s">
        <v>3641</v>
      </c>
      <c r="AZ407" t="s">
        <v>616</v>
      </c>
      <c r="BA407" t="s">
        <v>6072</v>
      </c>
      <c r="BB407" t="s">
        <v>191</v>
      </c>
      <c r="BC407" t="s">
        <v>182</v>
      </c>
      <c r="BD407" t="s">
        <v>182</v>
      </c>
      <c r="BE407" t="s">
        <v>6073</v>
      </c>
      <c r="BF407">
        <v>1</v>
      </c>
      <c r="BG407">
        <v>0</v>
      </c>
      <c r="BH407">
        <v>1985</v>
      </c>
      <c r="BI407" t="s">
        <v>5949</v>
      </c>
      <c r="BJ407" t="s">
        <v>285</v>
      </c>
      <c r="BK407" t="s">
        <v>3643</v>
      </c>
      <c r="BL407" t="s">
        <v>2075</v>
      </c>
      <c r="BM407" t="s">
        <v>232</v>
      </c>
      <c r="BN407" t="s">
        <v>182</v>
      </c>
      <c r="BO407" t="s">
        <v>198</v>
      </c>
      <c r="BP407" t="s">
        <v>198</v>
      </c>
      <c r="BQ407" t="s">
        <v>198</v>
      </c>
      <c r="BR407" t="s">
        <v>198</v>
      </c>
      <c r="BS407" t="s">
        <v>198</v>
      </c>
      <c r="BT407" t="s">
        <v>198</v>
      </c>
      <c r="BU407" t="s">
        <v>182</v>
      </c>
      <c r="BV407" t="s">
        <v>198</v>
      </c>
      <c r="BW407" t="s">
        <v>198</v>
      </c>
      <c r="BX407" t="s">
        <v>199</v>
      </c>
      <c r="BY407" t="s">
        <v>198</v>
      </c>
      <c r="BZ407" t="s">
        <v>199</v>
      </c>
      <c r="CA407" t="s">
        <v>199</v>
      </c>
      <c r="CB407" t="s">
        <v>6074</v>
      </c>
      <c r="CC407" t="s">
        <v>201</v>
      </c>
      <c r="CD407" t="s">
        <v>202</v>
      </c>
      <c r="CE407" t="s">
        <v>3247</v>
      </c>
      <c r="CF407" t="s">
        <v>204</v>
      </c>
      <c r="CG407" t="s">
        <v>177</v>
      </c>
      <c r="CH407" t="s">
        <v>187</v>
      </c>
      <c r="CI407" t="s">
        <v>6075</v>
      </c>
      <c r="CJ407" t="s">
        <v>5619</v>
      </c>
      <c r="CK407" t="s">
        <v>232</v>
      </c>
      <c r="CL407" t="s">
        <v>233</v>
      </c>
      <c r="CM407" t="s">
        <v>6076</v>
      </c>
      <c r="CN407" t="s">
        <v>235</v>
      </c>
      <c r="CO407" t="s">
        <v>183</v>
      </c>
      <c r="CP407" t="s">
        <v>266</v>
      </c>
      <c r="CS407" t="s">
        <v>198</v>
      </c>
      <c r="DC407" t="s">
        <v>198</v>
      </c>
      <c r="DM407" t="s">
        <v>198</v>
      </c>
      <c r="DW407" t="s">
        <v>198</v>
      </c>
      <c r="EG407" t="s">
        <v>198</v>
      </c>
      <c r="EQ407" t="s">
        <v>198</v>
      </c>
      <c r="FA407" t="s">
        <v>198</v>
      </c>
      <c r="FK407" t="s">
        <v>198</v>
      </c>
      <c r="FU407" t="s">
        <v>198</v>
      </c>
    </row>
    <row r="408" spans="1:177">
      <c r="A408" s="1" t="str">
        <f>HYPERLINK("http://digipan.lumentumllc.com/apps/getLink/index.php?t=PropLink&amp;p=15742234","PL")</f>
        <v>PL</v>
      </c>
      <c r="B408" s="1" t="str">
        <f>HYPERLINK("http://digipan.lumentumllc.com/apps/getLink/index.php?t=TaxLink&amp;p=15742234","TL")</f>
        <v>TL</v>
      </c>
      <c r="C408" s="1" t="str">
        <f>HYPERLINK("http://digipan.lumentumllc.com/apps/getMap/index.php?p=15742234","Map")</f>
        <v>Map</v>
      </c>
      <c r="E408" t="s">
        <v>177</v>
      </c>
      <c r="F408" t="s">
        <v>178</v>
      </c>
      <c r="L408" t="s">
        <v>6077</v>
      </c>
      <c r="N408" t="s">
        <v>6077</v>
      </c>
      <c r="O408" t="s">
        <v>6077</v>
      </c>
      <c r="Q408" t="s">
        <v>6077</v>
      </c>
      <c r="V408">
        <v>475</v>
      </c>
      <c r="W408">
        <v>2</v>
      </c>
      <c r="X408">
        <v>2017</v>
      </c>
      <c r="Y408">
        <v>2018</v>
      </c>
      <c r="Z408">
        <v>308.31</v>
      </c>
      <c r="AB408" t="s">
        <v>181</v>
      </c>
      <c r="AC408" t="s">
        <v>182</v>
      </c>
      <c r="AD408" t="s">
        <v>183</v>
      </c>
      <c r="AE408">
        <v>1</v>
      </c>
      <c r="AF408">
        <v>0</v>
      </c>
      <c r="AG408" t="s">
        <v>1200</v>
      </c>
      <c r="AH408">
        <v>0</v>
      </c>
      <c r="AI408">
        <v>308.23</v>
      </c>
      <c r="AJ408">
        <v>15.41</v>
      </c>
      <c r="AK408">
        <v>323.64</v>
      </c>
      <c r="AL408">
        <v>18295</v>
      </c>
      <c r="AM408">
        <v>18295</v>
      </c>
      <c r="AN408">
        <v>0</v>
      </c>
      <c r="AO408">
        <v>260</v>
      </c>
      <c r="AP408">
        <v>2016</v>
      </c>
      <c r="AQ408">
        <v>1.69</v>
      </c>
      <c r="AR408">
        <v>1.77</v>
      </c>
      <c r="AS408" t="s">
        <v>6078</v>
      </c>
      <c r="AT408" t="s">
        <v>186</v>
      </c>
      <c r="AU408" t="s">
        <v>177</v>
      </c>
      <c r="AV408" t="s">
        <v>187</v>
      </c>
      <c r="AW408" t="s">
        <v>182</v>
      </c>
      <c r="AX408">
        <v>0</v>
      </c>
      <c r="AY408" t="s">
        <v>312</v>
      </c>
      <c r="AZ408" t="s">
        <v>199</v>
      </c>
      <c r="BA408" t="s">
        <v>313</v>
      </c>
      <c r="BB408" t="s">
        <v>191</v>
      </c>
      <c r="BC408" t="s">
        <v>182</v>
      </c>
      <c r="BD408" t="s">
        <v>182</v>
      </c>
      <c r="BE408" t="s">
        <v>1308</v>
      </c>
      <c r="BF408">
        <v>0</v>
      </c>
      <c r="BG408">
        <v>0</v>
      </c>
      <c r="BH408">
        <v>0</v>
      </c>
      <c r="BI408" t="s">
        <v>199</v>
      </c>
      <c r="BJ408" t="s">
        <v>396</v>
      </c>
      <c r="BL408" t="s">
        <v>841</v>
      </c>
      <c r="BM408" t="s">
        <v>232</v>
      </c>
      <c r="BN408" t="s">
        <v>182</v>
      </c>
      <c r="BO408" t="s">
        <v>6079</v>
      </c>
      <c r="BP408" t="s">
        <v>6080</v>
      </c>
      <c r="BQ408" t="s">
        <v>904</v>
      </c>
      <c r="BR408" t="s">
        <v>563</v>
      </c>
      <c r="BS408" t="s">
        <v>198</v>
      </c>
      <c r="BT408" t="s">
        <v>228</v>
      </c>
      <c r="BU408" t="s">
        <v>182</v>
      </c>
      <c r="BV408" t="s">
        <v>198</v>
      </c>
      <c r="BW408" t="s">
        <v>198</v>
      </c>
      <c r="BX408" t="s">
        <v>199</v>
      </c>
      <c r="BY408" t="s">
        <v>198</v>
      </c>
      <c r="BZ408" t="s">
        <v>199</v>
      </c>
      <c r="CA408" t="s">
        <v>199</v>
      </c>
      <c r="CB408" t="s">
        <v>5720</v>
      </c>
      <c r="CC408" t="s">
        <v>201</v>
      </c>
      <c r="CD408" t="s">
        <v>202</v>
      </c>
      <c r="CE408" t="s">
        <v>5721</v>
      </c>
      <c r="CF408" t="s">
        <v>204</v>
      </c>
      <c r="CG408" t="s">
        <v>177</v>
      </c>
      <c r="CH408" t="s">
        <v>187</v>
      </c>
      <c r="CI408" t="s">
        <v>6081</v>
      </c>
      <c r="CJ408" t="s">
        <v>4583</v>
      </c>
      <c r="CK408" t="s">
        <v>232</v>
      </c>
      <c r="CL408" t="s">
        <v>233</v>
      </c>
      <c r="CM408" t="s">
        <v>6082</v>
      </c>
      <c r="CN408" t="s">
        <v>331</v>
      </c>
      <c r="CO408" t="s">
        <v>183</v>
      </c>
      <c r="CP408" t="s">
        <v>266</v>
      </c>
      <c r="CS408" t="s">
        <v>198</v>
      </c>
      <c r="DC408" t="s">
        <v>198</v>
      </c>
      <c r="DM408" t="s">
        <v>198</v>
      </c>
      <c r="DW408" t="s">
        <v>198</v>
      </c>
      <c r="EG408" t="s">
        <v>198</v>
      </c>
      <c r="EQ408" t="s">
        <v>198</v>
      </c>
      <c r="FA408" t="s">
        <v>198</v>
      </c>
      <c r="FK408" t="s">
        <v>198</v>
      </c>
      <c r="FU408" t="s">
        <v>198</v>
      </c>
    </row>
    <row r="409" spans="1:177">
      <c r="A409" s="1" t="str">
        <f>HYPERLINK("http://digipan.lumentumllc.com/apps/getLink/index.php?t=PropLink&amp;p=15742235","PL")</f>
        <v>PL</v>
      </c>
      <c r="B409" s="1" t="str">
        <f>HYPERLINK("http://digipan.lumentumllc.com/apps/getLink/index.php?t=TaxLink&amp;p=15742235","TL")</f>
        <v>TL</v>
      </c>
      <c r="C409" s="1" t="str">
        <f>HYPERLINK("http://digipan.lumentumllc.com/apps/getMap/index.php?p=15742235","Map")</f>
        <v>Map</v>
      </c>
      <c r="E409" t="s">
        <v>177</v>
      </c>
      <c r="F409" t="s">
        <v>178</v>
      </c>
      <c r="L409" t="s">
        <v>6083</v>
      </c>
      <c r="N409" t="s">
        <v>6083</v>
      </c>
      <c r="O409" t="s">
        <v>6083</v>
      </c>
      <c r="Q409" t="s">
        <v>6083</v>
      </c>
      <c r="V409">
        <v>476</v>
      </c>
      <c r="W409">
        <v>2</v>
      </c>
      <c r="X409">
        <v>2017</v>
      </c>
      <c r="Y409">
        <v>2018</v>
      </c>
      <c r="Z409">
        <v>1455.16</v>
      </c>
      <c r="AG409" t="s">
        <v>184</v>
      </c>
      <c r="AH409">
        <v>0</v>
      </c>
      <c r="AK409">
        <v>0</v>
      </c>
      <c r="AL409">
        <v>94225</v>
      </c>
      <c r="AM409">
        <v>44736</v>
      </c>
      <c r="AN409">
        <v>49489</v>
      </c>
      <c r="AO409">
        <v>1282</v>
      </c>
      <c r="AP409">
        <v>2016</v>
      </c>
      <c r="AQ409">
        <v>1.54</v>
      </c>
      <c r="AS409" t="s">
        <v>6084</v>
      </c>
      <c r="AT409" t="s">
        <v>186</v>
      </c>
      <c r="AU409" t="s">
        <v>177</v>
      </c>
      <c r="AV409" t="s">
        <v>187</v>
      </c>
      <c r="AW409" t="s">
        <v>182</v>
      </c>
      <c r="AX409">
        <v>1</v>
      </c>
      <c r="AY409" t="s">
        <v>188</v>
      </c>
      <c r="AZ409" t="s">
        <v>206</v>
      </c>
      <c r="BA409" t="s">
        <v>355</v>
      </c>
      <c r="BB409" t="s">
        <v>191</v>
      </c>
      <c r="BC409" t="s">
        <v>182</v>
      </c>
      <c r="BD409" t="s">
        <v>182</v>
      </c>
      <c r="BE409" t="s">
        <v>6085</v>
      </c>
      <c r="BF409">
        <v>1</v>
      </c>
      <c r="BG409">
        <v>1</v>
      </c>
      <c r="BH409">
        <v>1950</v>
      </c>
      <c r="BI409" t="s">
        <v>6086</v>
      </c>
      <c r="BJ409" t="s">
        <v>194</v>
      </c>
      <c r="BK409" t="s">
        <v>195</v>
      </c>
      <c r="BL409" t="s">
        <v>797</v>
      </c>
      <c r="BM409" t="s">
        <v>197</v>
      </c>
      <c r="BN409" t="s">
        <v>182</v>
      </c>
      <c r="BO409" t="s">
        <v>198</v>
      </c>
      <c r="BP409" t="s">
        <v>198</v>
      </c>
      <c r="BQ409" t="s">
        <v>198</v>
      </c>
      <c r="BR409" t="s">
        <v>198</v>
      </c>
      <c r="BS409" t="s">
        <v>198</v>
      </c>
      <c r="BT409" t="s">
        <v>198</v>
      </c>
      <c r="BU409" t="s">
        <v>182</v>
      </c>
      <c r="BV409" t="s">
        <v>198</v>
      </c>
      <c r="BW409" t="s">
        <v>198</v>
      </c>
      <c r="BX409" t="s">
        <v>199</v>
      </c>
      <c r="BY409" t="s">
        <v>198</v>
      </c>
      <c r="BZ409" t="s">
        <v>199</v>
      </c>
      <c r="CA409" t="s">
        <v>199</v>
      </c>
      <c r="CB409" t="s">
        <v>6087</v>
      </c>
      <c r="CC409" t="s">
        <v>201</v>
      </c>
      <c r="CD409" t="s">
        <v>202</v>
      </c>
      <c r="CE409" t="s">
        <v>6088</v>
      </c>
      <c r="CF409" t="s">
        <v>2333</v>
      </c>
      <c r="CG409" t="s">
        <v>177</v>
      </c>
      <c r="CH409" t="s">
        <v>2334</v>
      </c>
      <c r="CI409" t="s">
        <v>6089</v>
      </c>
      <c r="CS409" t="s">
        <v>198</v>
      </c>
      <c r="DC409" t="s">
        <v>198</v>
      </c>
      <c r="DM409" t="s">
        <v>198</v>
      </c>
      <c r="DW409" t="s">
        <v>198</v>
      </c>
      <c r="EG409" t="s">
        <v>198</v>
      </c>
      <c r="EQ409" t="s">
        <v>198</v>
      </c>
      <c r="FA409" t="s">
        <v>198</v>
      </c>
      <c r="FK409" t="s">
        <v>198</v>
      </c>
      <c r="FU409" t="s">
        <v>198</v>
      </c>
    </row>
    <row r="410" spans="1:177">
      <c r="A410" s="1" t="str">
        <f>HYPERLINK("http://digipan.lumentumllc.com/apps/getLink/index.php?t=PropLink&amp;p=5245233","PL")</f>
        <v>PL</v>
      </c>
      <c r="B410" s="1" t="str">
        <f>HYPERLINK("http://digipan.lumentumllc.com/apps/getLink/index.php?t=TaxLink&amp;p=5245233","TL")</f>
        <v>TL</v>
      </c>
      <c r="C410" s="1" t="str">
        <f>HYPERLINK("http://digipan.lumentumllc.com/apps/getMap/index.php?p=5245233","Map")</f>
        <v>Map</v>
      </c>
      <c r="E410" t="s">
        <v>177</v>
      </c>
      <c r="F410" t="s">
        <v>178</v>
      </c>
      <c r="L410" t="s">
        <v>6090</v>
      </c>
      <c r="N410" t="s">
        <v>6090</v>
      </c>
      <c r="O410" t="s">
        <v>6090</v>
      </c>
      <c r="P410" t="s">
        <v>6091</v>
      </c>
      <c r="Q410" t="s">
        <v>6090</v>
      </c>
      <c r="V410">
        <v>477</v>
      </c>
      <c r="W410">
        <v>2</v>
      </c>
      <c r="X410">
        <v>2017</v>
      </c>
      <c r="Y410">
        <v>2018</v>
      </c>
      <c r="Z410">
        <v>1013.57</v>
      </c>
      <c r="AB410" t="s">
        <v>181</v>
      </c>
      <c r="AC410" t="s">
        <v>182</v>
      </c>
      <c r="AD410" t="s">
        <v>183</v>
      </c>
      <c r="AE410">
        <v>7</v>
      </c>
      <c r="AF410">
        <v>0</v>
      </c>
      <c r="AG410" t="s">
        <v>1038</v>
      </c>
      <c r="AH410">
        <v>0</v>
      </c>
      <c r="AI410">
        <v>6255.95</v>
      </c>
      <c r="AJ410">
        <v>3001.47</v>
      </c>
      <c r="AK410">
        <v>9257.42</v>
      </c>
      <c r="AL410">
        <v>74592</v>
      </c>
      <c r="AM410">
        <v>74592</v>
      </c>
      <c r="AN410">
        <v>0</v>
      </c>
      <c r="AO410">
        <v>887</v>
      </c>
      <c r="AP410">
        <v>2016</v>
      </c>
      <c r="AQ410">
        <v>1.36</v>
      </c>
      <c r="AR410">
        <v>12.41</v>
      </c>
      <c r="AS410" t="s">
        <v>5862</v>
      </c>
      <c r="AT410" t="s">
        <v>186</v>
      </c>
      <c r="AU410" t="s">
        <v>177</v>
      </c>
      <c r="AV410" t="s">
        <v>187</v>
      </c>
      <c r="AW410" t="s">
        <v>182</v>
      </c>
      <c r="AX410">
        <v>0</v>
      </c>
      <c r="AY410" t="s">
        <v>312</v>
      </c>
      <c r="AZ410" t="s">
        <v>199</v>
      </c>
      <c r="BA410" t="s">
        <v>313</v>
      </c>
      <c r="BB410" t="s">
        <v>191</v>
      </c>
      <c r="BC410" t="s">
        <v>182</v>
      </c>
      <c r="BD410" t="s">
        <v>182</v>
      </c>
      <c r="BE410" t="s">
        <v>6092</v>
      </c>
      <c r="BF410">
        <v>0</v>
      </c>
      <c r="BG410">
        <v>0</v>
      </c>
      <c r="BH410">
        <v>0</v>
      </c>
      <c r="BI410" t="s">
        <v>199</v>
      </c>
      <c r="BJ410" t="s">
        <v>315</v>
      </c>
      <c r="BL410" t="s">
        <v>199</v>
      </c>
      <c r="BM410" t="s">
        <v>286</v>
      </c>
      <c r="BN410" t="s">
        <v>182</v>
      </c>
      <c r="BO410" t="s">
        <v>198</v>
      </c>
      <c r="BP410" t="s">
        <v>198</v>
      </c>
      <c r="BQ410" t="s">
        <v>198</v>
      </c>
      <c r="BR410" t="s">
        <v>198</v>
      </c>
      <c r="BS410" t="s">
        <v>198</v>
      </c>
      <c r="BT410" t="s">
        <v>198</v>
      </c>
      <c r="BU410" t="s">
        <v>182</v>
      </c>
      <c r="BV410" t="s">
        <v>198</v>
      </c>
      <c r="BW410" t="s">
        <v>198</v>
      </c>
      <c r="BX410" t="s">
        <v>199</v>
      </c>
      <c r="BY410" t="s">
        <v>198</v>
      </c>
      <c r="BZ410" t="s">
        <v>199</v>
      </c>
      <c r="CA410" t="s">
        <v>199</v>
      </c>
      <c r="CB410" t="s">
        <v>6093</v>
      </c>
      <c r="CC410" t="s">
        <v>201</v>
      </c>
      <c r="CD410" t="s">
        <v>182</v>
      </c>
      <c r="CE410" t="s">
        <v>6094</v>
      </c>
      <c r="CF410" t="s">
        <v>413</v>
      </c>
      <c r="CG410" t="s">
        <v>177</v>
      </c>
      <c r="CH410" t="s">
        <v>6095</v>
      </c>
      <c r="CI410" t="s">
        <v>6096</v>
      </c>
      <c r="CJ410" t="s">
        <v>4632</v>
      </c>
      <c r="CK410" t="s">
        <v>232</v>
      </c>
      <c r="CL410" t="s">
        <v>233</v>
      </c>
      <c r="CM410" t="s">
        <v>6097</v>
      </c>
      <c r="CN410" t="s">
        <v>482</v>
      </c>
      <c r="CO410" t="s">
        <v>183</v>
      </c>
      <c r="CP410" t="s">
        <v>266</v>
      </c>
      <c r="CS410" t="s">
        <v>198</v>
      </c>
      <c r="CT410" t="s">
        <v>4409</v>
      </c>
      <c r="CU410" t="s">
        <v>292</v>
      </c>
      <c r="CV410" t="s">
        <v>293</v>
      </c>
      <c r="CW410" t="s">
        <v>6098</v>
      </c>
      <c r="CX410" t="s">
        <v>482</v>
      </c>
      <c r="CY410" t="s">
        <v>183</v>
      </c>
      <c r="CZ410" t="s">
        <v>266</v>
      </c>
      <c r="DC410" t="s">
        <v>198</v>
      </c>
      <c r="DD410" t="s">
        <v>6022</v>
      </c>
      <c r="DE410" t="s">
        <v>267</v>
      </c>
      <c r="DF410" t="s">
        <v>268</v>
      </c>
      <c r="DG410" t="s">
        <v>6099</v>
      </c>
      <c r="DH410" t="s">
        <v>482</v>
      </c>
      <c r="DI410" t="s">
        <v>183</v>
      </c>
      <c r="DJ410" t="s">
        <v>266</v>
      </c>
      <c r="DM410" t="s">
        <v>198</v>
      </c>
      <c r="DN410" t="s">
        <v>4644</v>
      </c>
      <c r="DO410" t="s">
        <v>273</v>
      </c>
      <c r="DP410" t="s">
        <v>274</v>
      </c>
      <c r="DQ410" t="s">
        <v>6100</v>
      </c>
      <c r="DR410" t="s">
        <v>1180</v>
      </c>
      <c r="DS410" t="s">
        <v>183</v>
      </c>
      <c r="DT410" t="s">
        <v>266</v>
      </c>
      <c r="DW410" t="s">
        <v>198</v>
      </c>
      <c r="DX410" t="s">
        <v>4852</v>
      </c>
      <c r="DY410" t="s">
        <v>302</v>
      </c>
      <c r="DZ410" t="s">
        <v>303</v>
      </c>
      <c r="EA410" t="s">
        <v>6101</v>
      </c>
      <c r="EB410" t="s">
        <v>576</v>
      </c>
      <c r="EC410" t="s">
        <v>183</v>
      </c>
      <c r="ED410" t="s">
        <v>266</v>
      </c>
      <c r="EG410" t="s">
        <v>198</v>
      </c>
      <c r="EH410" t="s">
        <v>1752</v>
      </c>
      <c r="EI410" t="s">
        <v>238</v>
      </c>
      <c r="EJ410" t="s">
        <v>239</v>
      </c>
      <c r="EK410" t="s">
        <v>6102</v>
      </c>
      <c r="EL410" t="s">
        <v>922</v>
      </c>
      <c r="EM410" t="s">
        <v>183</v>
      </c>
      <c r="EN410" t="s">
        <v>266</v>
      </c>
      <c r="EQ410" t="s">
        <v>198</v>
      </c>
      <c r="ER410" t="s">
        <v>4704</v>
      </c>
      <c r="ES410" t="s">
        <v>346</v>
      </c>
      <c r="ET410" t="s">
        <v>347</v>
      </c>
      <c r="EU410" t="s">
        <v>6103</v>
      </c>
      <c r="EV410" t="s">
        <v>469</v>
      </c>
      <c r="EW410" t="s">
        <v>183</v>
      </c>
      <c r="EX410" t="s">
        <v>266</v>
      </c>
      <c r="FA410" t="s">
        <v>198</v>
      </c>
      <c r="FK410" t="s">
        <v>198</v>
      </c>
      <c r="FU410" t="s">
        <v>198</v>
      </c>
    </row>
    <row r="411" spans="1:177">
      <c r="A411" s="1" t="str">
        <f>HYPERLINK("http://digipan.lumentumllc.com/apps/getLink/index.php?t=PropLink&amp;p=5245234","PL")</f>
        <v>PL</v>
      </c>
      <c r="B411" s="1" t="str">
        <f>HYPERLINK("http://digipan.lumentumllc.com/apps/getLink/index.php?t=TaxLink&amp;p=5245234","TL")</f>
        <v>TL</v>
      </c>
      <c r="C411" s="1" t="str">
        <f>HYPERLINK("http://digipan.lumentumllc.com/apps/getMap/index.php?p=5245234","Map")</f>
        <v>Map</v>
      </c>
      <c r="E411" t="s">
        <v>177</v>
      </c>
      <c r="F411" t="s">
        <v>178</v>
      </c>
      <c r="L411" t="s">
        <v>6104</v>
      </c>
      <c r="N411" t="s">
        <v>6104</v>
      </c>
      <c r="O411" t="s">
        <v>6104</v>
      </c>
      <c r="P411" t="s">
        <v>6105</v>
      </c>
      <c r="Q411" t="s">
        <v>6104</v>
      </c>
      <c r="V411">
        <v>478</v>
      </c>
      <c r="W411">
        <v>2</v>
      </c>
      <c r="X411">
        <v>2017</v>
      </c>
      <c r="Y411">
        <v>2018</v>
      </c>
      <c r="Z411">
        <v>43.32</v>
      </c>
      <c r="AB411" t="s">
        <v>181</v>
      </c>
      <c r="AC411" t="s">
        <v>182</v>
      </c>
      <c r="AD411" t="s">
        <v>1037</v>
      </c>
      <c r="AE411">
        <v>3</v>
      </c>
      <c r="AF411">
        <v>5</v>
      </c>
      <c r="AG411" t="s">
        <v>1776</v>
      </c>
      <c r="AH411">
        <v>57</v>
      </c>
      <c r="AI411">
        <v>155.68</v>
      </c>
      <c r="AJ411">
        <v>60.98</v>
      </c>
      <c r="AK411">
        <v>216.66</v>
      </c>
      <c r="AL411">
        <v>750</v>
      </c>
      <c r="AM411">
        <v>750</v>
      </c>
      <c r="AN411">
        <v>0</v>
      </c>
      <c r="AO411">
        <v>11</v>
      </c>
      <c r="AP411">
        <v>2016</v>
      </c>
      <c r="AQ411">
        <v>5.78</v>
      </c>
      <c r="AR411">
        <v>28.89</v>
      </c>
      <c r="AS411" t="s">
        <v>5862</v>
      </c>
      <c r="AT411" t="s">
        <v>186</v>
      </c>
      <c r="AU411" t="s">
        <v>177</v>
      </c>
      <c r="AV411" t="s">
        <v>187</v>
      </c>
      <c r="AW411" t="s">
        <v>182</v>
      </c>
      <c r="AX411">
        <v>0</v>
      </c>
      <c r="AY411" t="s">
        <v>312</v>
      </c>
      <c r="AZ411" t="s">
        <v>199</v>
      </c>
      <c r="BA411" t="s">
        <v>313</v>
      </c>
      <c r="BB411" t="s">
        <v>191</v>
      </c>
      <c r="BC411" t="s">
        <v>182</v>
      </c>
      <c r="BD411" t="s">
        <v>182</v>
      </c>
      <c r="BE411" t="s">
        <v>5975</v>
      </c>
      <c r="BF411">
        <v>0</v>
      </c>
      <c r="BG411">
        <v>0</v>
      </c>
      <c r="BH411">
        <v>0</v>
      </c>
      <c r="BI411" t="s">
        <v>199</v>
      </c>
      <c r="BJ411" t="s">
        <v>315</v>
      </c>
      <c r="BL411" t="s">
        <v>199</v>
      </c>
      <c r="BM411" t="s">
        <v>679</v>
      </c>
      <c r="BN411" t="s">
        <v>182</v>
      </c>
      <c r="BO411" t="s">
        <v>198</v>
      </c>
      <c r="BP411" t="s">
        <v>198</v>
      </c>
      <c r="BQ411" t="s">
        <v>198</v>
      </c>
      <c r="BR411" t="s">
        <v>198</v>
      </c>
      <c r="BS411" t="s">
        <v>198</v>
      </c>
      <c r="BT411" t="s">
        <v>198</v>
      </c>
      <c r="BU411" t="s">
        <v>182</v>
      </c>
      <c r="BV411" t="s">
        <v>198</v>
      </c>
      <c r="BW411" t="s">
        <v>198</v>
      </c>
      <c r="BX411" t="s">
        <v>199</v>
      </c>
      <c r="BY411" t="s">
        <v>198</v>
      </c>
      <c r="BZ411" t="s">
        <v>199</v>
      </c>
      <c r="CA411" t="s">
        <v>199</v>
      </c>
      <c r="CB411" t="s">
        <v>6106</v>
      </c>
      <c r="CC411" t="s">
        <v>201</v>
      </c>
      <c r="CD411" t="s">
        <v>182</v>
      </c>
      <c r="CE411" t="s">
        <v>6107</v>
      </c>
      <c r="CF411" t="s">
        <v>6108</v>
      </c>
      <c r="CG411" t="s">
        <v>1602</v>
      </c>
      <c r="CH411" t="s">
        <v>6109</v>
      </c>
      <c r="CI411" t="s">
        <v>6110</v>
      </c>
      <c r="CJ411" t="s">
        <v>4643</v>
      </c>
      <c r="CK411" t="s">
        <v>232</v>
      </c>
      <c r="CL411" t="s">
        <v>233</v>
      </c>
      <c r="CM411" t="s">
        <v>6111</v>
      </c>
      <c r="CN411" t="s">
        <v>482</v>
      </c>
      <c r="CO411" t="s">
        <v>5</v>
      </c>
      <c r="CP411" t="s">
        <v>266</v>
      </c>
      <c r="CS411" t="s">
        <v>198</v>
      </c>
      <c r="CT411" t="s">
        <v>4430</v>
      </c>
      <c r="CU411" t="s">
        <v>292</v>
      </c>
      <c r="CV411" t="s">
        <v>293</v>
      </c>
      <c r="CW411" t="s">
        <v>6112</v>
      </c>
      <c r="CX411" t="s">
        <v>482</v>
      </c>
      <c r="CY411" t="s">
        <v>5</v>
      </c>
      <c r="CZ411" t="s">
        <v>266</v>
      </c>
      <c r="DC411" t="s">
        <v>198</v>
      </c>
      <c r="DD411" t="s">
        <v>4644</v>
      </c>
      <c r="DE411" t="s">
        <v>267</v>
      </c>
      <c r="DF411" t="s">
        <v>268</v>
      </c>
      <c r="DG411" t="s">
        <v>6113</v>
      </c>
      <c r="DH411" t="s">
        <v>1615</v>
      </c>
      <c r="DI411" t="s">
        <v>183</v>
      </c>
      <c r="DJ411" t="s">
        <v>266</v>
      </c>
      <c r="DM411" t="s">
        <v>198</v>
      </c>
      <c r="DN411" t="s">
        <v>4654</v>
      </c>
      <c r="DO411" t="s">
        <v>273</v>
      </c>
      <c r="DP411" t="s">
        <v>274</v>
      </c>
      <c r="DQ411" t="s">
        <v>6114</v>
      </c>
      <c r="DR411" t="s">
        <v>482</v>
      </c>
      <c r="DS411" t="s">
        <v>183</v>
      </c>
      <c r="DT411" t="s">
        <v>211</v>
      </c>
      <c r="DU411" t="s">
        <v>298</v>
      </c>
      <c r="DW411" t="s">
        <v>2856</v>
      </c>
      <c r="DX411" t="s">
        <v>6115</v>
      </c>
      <c r="DY411" t="s">
        <v>302</v>
      </c>
      <c r="DZ411" t="s">
        <v>303</v>
      </c>
      <c r="EA411" t="s">
        <v>6116</v>
      </c>
      <c r="EB411" t="s">
        <v>341</v>
      </c>
      <c r="EC411" t="s">
        <v>183</v>
      </c>
      <c r="ED411" t="s">
        <v>211</v>
      </c>
      <c r="EE411" t="s">
        <v>427</v>
      </c>
      <c r="EG411" t="s">
        <v>6117</v>
      </c>
      <c r="EH411" t="s">
        <v>6118</v>
      </c>
      <c r="EI411" t="s">
        <v>238</v>
      </c>
      <c r="EJ411" t="s">
        <v>239</v>
      </c>
      <c r="EK411" t="s">
        <v>6119</v>
      </c>
      <c r="EL411" t="s">
        <v>482</v>
      </c>
      <c r="EM411" t="s">
        <v>183</v>
      </c>
      <c r="EN411" t="s">
        <v>211</v>
      </c>
      <c r="EO411" t="s">
        <v>270</v>
      </c>
      <c r="EQ411" t="s">
        <v>6120</v>
      </c>
      <c r="ER411" t="s">
        <v>6121</v>
      </c>
      <c r="ES411" t="s">
        <v>346</v>
      </c>
      <c r="ET411" t="s">
        <v>347</v>
      </c>
      <c r="EU411" t="s">
        <v>6122</v>
      </c>
      <c r="EV411" t="s">
        <v>341</v>
      </c>
      <c r="EW411" t="s">
        <v>183</v>
      </c>
      <c r="EX411" t="s">
        <v>211</v>
      </c>
      <c r="EY411" t="s">
        <v>250</v>
      </c>
      <c r="FA411" t="s">
        <v>6123</v>
      </c>
      <c r="FB411" t="s">
        <v>6124</v>
      </c>
      <c r="FC411" t="s">
        <v>207</v>
      </c>
      <c r="FD411" t="s">
        <v>208</v>
      </c>
      <c r="FE411" t="s">
        <v>6125</v>
      </c>
      <c r="FF411" t="s">
        <v>576</v>
      </c>
      <c r="FG411" t="s">
        <v>183</v>
      </c>
      <c r="FH411" t="s">
        <v>211</v>
      </c>
      <c r="FI411" t="s">
        <v>250</v>
      </c>
      <c r="FK411" t="s">
        <v>6126</v>
      </c>
      <c r="FU411" t="s">
        <v>198</v>
      </c>
    </row>
    <row r="412" spans="1:177">
      <c r="A412" s="1" t="str">
        <f>HYPERLINK("http://digipan.lumentumllc.com/apps/getLink/index.php?t=PropLink&amp;p=5245236","PL")</f>
        <v>PL</v>
      </c>
      <c r="B412" s="1" t="str">
        <f>HYPERLINK("http://digipan.lumentumllc.com/apps/getLink/index.php?t=TaxLink&amp;p=5245236","TL")</f>
        <v>TL</v>
      </c>
      <c r="C412" s="1" t="str">
        <f>HYPERLINK("http://digipan.lumentumllc.com/apps/getMap/index.php?p=5245236","Map")</f>
        <v>Map</v>
      </c>
      <c r="E412" t="s">
        <v>177</v>
      </c>
      <c r="F412" t="s">
        <v>178</v>
      </c>
      <c r="L412" t="s">
        <v>6127</v>
      </c>
      <c r="N412" t="s">
        <v>6127</v>
      </c>
      <c r="O412" t="s">
        <v>6127</v>
      </c>
      <c r="P412" t="s">
        <v>6128</v>
      </c>
      <c r="Q412" t="s">
        <v>6127</v>
      </c>
      <c r="V412">
        <v>479</v>
      </c>
      <c r="W412">
        <v>2</v>
      </c>
      <c r="X412">
        <v>2017</v>
      </c>
      <c r="Y412">
        <v>2018</v>
      </c>
      <c r="Z412">
        <v>3173.72</v>
      </c>
      <c r="AB412" t="s">
        <v>181</v>
      </c>
      <c r="AC412" t="s">
        <v>182</v>
      </c>
      <c r="AD412" t="s">
        <v>183</v>
      </c>
      <c r="AE412">
        <v>3</v>
      </c>
      <c r="AF412">
        <v>5</v>
      </c>
      <c r="AG412" t="s">
        <v>1776</v>
      </c>
      <c r="AH412">
        <v>57</v>
      </c>
      <c r="AI412">
        <v>9312.91</v>
      </c>
      <c r="AJ412">
        <v>465.65</v>
      </c>
      <c r="AK412">
        <v>9778.56</v>
      </c>
      <c r="AL412">
        <v>208012</v>
      </c>
      <c r="AM412">
        <v>20100</v>
      </c>
      <c r="AN412">
        <v>187912</v>
      </c>
      <c r="AO412">
        <v>2842</v>
      </c>
      <c r="AP412">
        <v>2016</v>
      </c>
      <c r="AQ412">
        <v>1.53</v>
      </c>
      <c r="AR412">
        <v>4.7</v>
      </c>
      <c r="AS412" t="s">
        <v>6129</v>
      </c>
      <c r="AT412" t="s">
        <v>186</v>
      </c>
      <c r="AU412" t="s">
        <v>177</v>
      </c>
      <c r="AV412" t="s">
        <v>187</v>
      </c>
      <c r="AW412" t="s">
        <v>182</v>
      </c>
      <c r="AX412">
        <v>1</v>
      </c>
      <c r="AY412" t="s">
        <v>188</v>
      </c>
      <c r="AZ412" t="s">
        <v>206</v>
      </c>
      <c r="BA412" t="s">
        <v>355</v>
      </c>
      <c r="BB412" t="s">
        <v>191</v>
      </c>
      <c r="BC412" t="s">
        <v>182</v>
      </c>
      <c r="BD412" t="s">
        <v>182</v>
      </c>
      <c r="BE412" t="s">
        <v>4744</v>
      </c>
      <c r="BF412">
        <v>1</v>
      </c>
      <c r="BG412">
        <v>1</v>
      </c>
      <c r="BH412">
        <v>1960</v>
      </c>
      <c r="BI412" t="s">
        <v>6130</v>
      </c>
      <c r="BJ412" t="s">
        <v>194</v>
      </c>
      <c r="BK412" t="s">
        <v>195</v>
      </c>
      <c r="BL412" t="s">
        <v>199</v>
      </c>
      <c r="BM412" t="s">
        <v>679</v>
      </c>
      <c r="BN412" t="s">
        <v>182</v>
      </c>
      <c r="BO412" t="s">
        <v>198</v>
      </c>
      <c r="BP412" t="s">
        <v>198</v>
      </c>
      <c r="BQ412" t="s">
        <v>198</v>
      </c>
      <c r="BR412" t="s">
        <v>198</v>
      </c>
      <c r="BS412" t="s">
        <v>198</v>
      </c>
      <c r="BT412" t="s">
        <v>198</v>
      </c>
      <c r="BU412" t="s">
        <v>182</v>
      </c>
      <c r="BV412" t="s">
        <v>198</v>
      </c>
      <c r="BW412" t="s">
        <v>198</v>
      </c>
      <c r="BX412" t="s">
        <v>199</v>
      </c>
      <c r="BY412" t="s">
        <v>198</v>
      </c>
      <c r="BZ412" t="s">
        <v>199</v>
      </c>
      <c r="CA412" t="s">
        <v>199</v>
      </c>
      <c r="CB412" t="s">
        <v>6106</v>
      </c>
      <c r="CC412" t="s">
        <v>201</v>
      </c>
      <c r="CD412" t="s">
        <v>182</v>
      </c>
      <c r="CE412" t="s">
        <v>6107</v>
      </c>
      <c r="CF412" t="s">
        <v>6108</v>
      </c>
      <c r="CG412" t="s">
        <v>1602</v>
      </c>
      <c r="CH412" t="s">
        <v>6109</v>
      </c>
      <c r="CI412" t="s">
        <v>6131</v>
      </c>
      <c r="CJ412" t="s">
        <v>4653</v>
      </c>
      <c r="CK412" t="s">
        <v>232</v>
      </c>
      <c r="CL412" t="s">
        <v>233</v>
      </c>
      <c r="CM412" t="s">
        <v>6132</v>
      </c>
      <c r="CN412" t="s">
        <v>235</v>
      </c>
      <c r="CO412" t="s">
        <v>183</v>
      </c>
      <c r="CP412" t="s">
        <v>266</v>
      </c>
      <c r="CS412" t="s">
        <v>198</v>
      </c>
      <c r="CT412" t="s">
        <v>4518</v>
      </c>
      <c r="CU412" t="s">
        <v>292</v>
      </c>
      <c r="CV412" t="s">
        <v>293</v>
      </c>
      <c r="CW412" t="s">
        <v>6133</v>
      </c>
      <c r="CX412" t="s">
        <v>235</v>
      </c>
      <c r="CY412" t="s">
        <v>183</v>
      </c>
      <c r="CZ412" t="s">
        <v>266</v>
      </c>
      <c r="DC412" t="s">
        <v>198</v>
      </c>
      <c r="DD412" t="s">
        <v>4654</v>
      </c>
      <c r="DE412" t="s">
        <v>267</v>
      </c>
      <c r="DF412" t="s">
        <v>268</v>
      </c>
      <c r="DG412" t="s">
        <v>6134</v>
      </c>
      <c r="DH412" t="s">
        <v>235</v>
      </c>
      <c r="DI412" t="s">
        <v>183</v>
      </c>
      <c r="DJ412" t="s">
        <v>266</v>
      </c>
      <c r="DM412" t="s">
        <v>198</v>
      </c>
      <c r="DN412" t="s">
        <v>4534</v>
      </c>
      <c r="DO412" t="s">
        <v>273</v>
      </c>
      <c r="DP412" t="s">
        <v>274</v>
      </c>
      <c r="DQ412" t="s">
        <v>6135</v>
      </c>
      <c r="DR412" t="s">
        <v>235</v>
      </c>
      <c r="DS412" t="s">
        <v>183</v>
      </c>
      <c r="DT412" t="s">
        <v>211</v>
      </c>
      <c r="DU412" t="s">
        <v>298</v>
      </c>
      <c r="DW412" t="s">
        <v>2856</v>
      </c>
      <c r="DX412" t="s">
        <v>6136</v>
      </c>
      <c r="DY412" t="s">
        <v>302</v>
      </c>
      <c r="DZ412" t="s">
        <v>303</v>
      </c>
      <c r="EA412" t="s">
        <v>6137</v>
      </c>
      <c r="EB412" t="s">
        <v>235</v>
      </c>
      <c r="EC412" t="s">
        <v>183</v>
      </c>
      <c r="ED412" t="s">
        <v>211</v>
      </c>
      <c r="EE412" t="s">
        <v>427</v>
      </c>
      <c r="EG412" t="s">
        <v>6117</v>
      </c>
      <c r="EH412" t="s">
        <v>6138</v>
      </c>
      <c r="EI412" t="s">
        <v>238</v>
      </c>
      <c r="EJ412" t="s">
        <v>239</v>
      </c>
      <c r="EK412" t="s">
        <v>6139</v>
      </c>
      <c r="EL412" t="s">
        <v>235</v>
      </c>
      <c r="EM412" t="s">
        <v>183</v>
      </c>
      <c r="EN412" t="s">
        <v>211</v>
      </c>
      <c r="EO412" t="s">
        <v>270</v>
      </c>
      <c r="EQ412" t="s">
        <v>6120</v>
      </c>
      <c r="ER412" t="s">
        <v>6140</v>
      </c>
      <c r="ES412" t="s">
        <v>346</v>
      </c>
      <c r="ET412" t="s">
        <v>347</v>
      </c>
      <c r="EU412" t="s">
        <v>6141</v>
      </c>
      <c r="EV412" t="s">
        <v>235</v>
      </c>
      <c r="EW412" t="s">
        <v>183</v>
      </c>
      <c r="EX412" t="s">
        <v>211</v>
      </c>
      <c r="EY412" t="s">
        <v>199</v>
      </c>
      <c r="FA412" t="s">
        <v>6142</v>
      </c>
      <c r="FB412" t="s">
        <v>5924</v>
      </c>
      <c r="FC412" t="s">
        <v>207</v>
      </c>
      <c r="FD412" t="s">
        <v>208</v>
      </c>
      <c r="FE412" t="s">
        <v>6143</v>
      </c>
      <c r="FF412" t="s">
        <v>235</v>
      </c>
      <c r="FG412" t="s">
        <v>183</v>
      </c>
      <c r="FH412" t="s">
        <v>211</v>
      </c>
      <c r="FI412" t="s">
        <v>250</v>
      </c>
      <c r="FK412" t="s">
        <v>6126</v>
      </c>
      <c r="FU412" t="s">
        <v>198</v>
      </c>
    </row>
    <row r="413" spans="1:177">
      <c r="A413" s="1" t="str">
        <f>HYPERLINK("http://digipan.lumentumllc.com/apps/getLink/index.php?t=PropLink&amp;p=4637443","PL")</f>
        <v>PL</v>
      </c>
      <c r="B413" s="1" t="str">
        <f>HYPERLINK("http://digipan.lumentumllc.com/apps/getLink/index.php?t=TaxLink&amp;p=4637443","TL")</f>
        <v>TL</v>
      </c>
      <c r="C413" s="1" t="str">
        <f>HYPERLINK("http://digipan.lumentumllc.com/apps/getMap/index.php?p=4637443","Map")</f>
        <v>Map</v>
      </c>
      <c r="E413" t="s">
        <v>177</v>
      </c>
      <c r="F413" t="s">
        <v>178</v>
      </c>
      <c r="L413" t="s">
        <v>6144</v>
      </c>
      <c r="N413" t="s">
        <v>6144</v>
      </c>
      <c r="O413" t="s">
        <v>6144</v>
      </c>
      <c r="P413" t="s">
        <v>6145</v>
      </c>
      <c r="Q413" t="s">
        <v>6144</v>
      </c>
      <c r="V413">
        <v>480</v>
      </c>
      <c r="W413">
        <v>2</v>
      </c>
      <c r="X413">
        <v>2017</v>
      </c>
      <c r="Y413">
        <v>2018</v>
      </c>
      <c r="Z413">
        <v>300.97000000000003</v>
      </c>
      <c r="AB413" t="s">
        <v>181</v>
      </c>
      <c r="AC413" t="s">
        <v>182</v>
      </c>
      <c r="AD413" t="s">
        <v>183</v>
      </c>
      <c r="AE413">
        <v>0</v>
      </c>
      <c r="AF413">
        <v>2</v>
      </c>
      <c r="AG413" t="s">
        <v>216</v>
      </c>
      <c r="AH413">
        <v>100</v>
      </c>
      <c r="AK413">
        <v>0</v>
      </c>
      <c r="AL413">
        <v>17809</v>
      </c>
      <c r="AM413">
        <v>15771</v>
      </c>
      <c r="AN413">
        <v>2038</v>
      </c>
      <c r="AO413">
        <v>252</v>
      </c>
      <c r="AP413">
        <v>2016</v>
      </c>
      <c r="AQ413">
        <v>1.69</v>
      </c>
      <c r="AS413" t="s">
        <v>6146</v>
      </c>
      <c r="AT413" t="s">
        <v>186</v>
      </c>
      <c r="AU413" t="s">
        <v>177</v>
      </c>
      <c r="AV413" t="s">
        <v>187</v>
      </c>
      <c r="AW413" t="s">
        <v>182</v>
      </c>
      <c r="AX413">
        <v>0</v>
      </c>
      <c r="AY413" t="s">
        <v>312</v>
      </c>
      <c r="AZ413" t="s">
        <v>199</v>
      </c>
      <c r="BA413" t="s">
        <v>313</v>
      </c>
      <c r="BB413" t="s">
        <v>191</v>
      </c>
      <c r="BC413" t="s">
        <v>182</v>
      </c>
      <c r="BD413" t="s">
        <v>182</v>
      </c>
      <c r="BE413" t="s">
        <v>6085</v>
      </c>
      <c r="BF413">
        <v>0</v>
      </c>
      <c r="BG413">
        <v>0</v>
      </c>
      <c r="BH413">
        <v>0</v>
      </c>
      <c r="BI413" t="s">
        <v>199</v>
      </c>
      <c r="BJ413" t="s">
        <v>248</v>
      </c>
      <c r="BL413" t="s">
        <v>199</v>
      </c>
      <c r="BM413" t="s">
        <v>325</v>
      </c>
      <c r="BN413" t="s">
        <v>182</v>
      </c>
      <c r="BO413" t="s">
        <v>198</v>
      </c>
      <c r="BP413" t="s">
        <v>198</v>
      </c>
      <c r="BQ413" t="s">
        <v>198</v>
      </c>
      <c r="BR413" t="s">
        <v>198</v>
      </c>
      <c r="BS413" t="s">
        <v>198</v>
      </c>
      <c r="BT413" t="s">
        <v>198</v>
      </c>
      <c r="BU413" t="s">
        <v>182</v>
      </c>
      <c r="BV413" t="s">
        <v>198</v>
      </c>
      <c r="BW413" t="s">
        <v>198</v>
      </c>
      <c r="BX413" t="s">
        <v>199</v>
      </c>
      <c r="BY413" t="s">
        <v>198</v>
      </c>
      <c r="BZ413" t="s">
        <v>199</v>
      </c>
      <c r="CA413" t="s">
        <v>199</v>
      </c>
      <c r="CB413" t="s">
        <v>6147</v>
      </c>
      <c r="CC413" t="s">
        <v>201</v>
      </c>
      <c r="CD413" t="s">
        <v>182</v>
      </c>
      <c r="CE413" t="s">
        <v>6148</v>
      </c>
      <c r="CF413" t="s">
        <v>204</v>
      </c>
      <c r="CG413" t="s">
        <v>177</v>
      </c>
      <c r="CH413" t="s">
        <v>187</v>
      </c>
      <c r="CI413" t="s">
        <v>6149</v>
      </c>
      <c r="CJ413" t="s">
        <v>4662</v>
      </c>
      <c r="CK413" t="s">
        <v>232</v>
      </c>
      <c r="CL413" t="s">
        <v>233</v>
      </c>
      <c r="CM413" t="s">
        <v>6150</v>
      </c>
      <c r="CN413" t="s">
        <v>484</v>
      </c>
      <c r="CO413" t="s">
        <v>183</v>
      </c>
      <c r="CP413" t="s">
        <v>211</v>
      </c>
      <c r="CQ413" t="s">
        <v>250</v>
      </c>
      <c r="CS413" t="s">
        <v>4730</v>
      </c>
      <c r="CT413" t="s">
        <v>5422</v>
      </c>
      <c r="CU413" t="s">
        <v>292</v>
      </c>
      <c r="CV413" t="s">
        <v>293</v>
      </c>
      <c r="CW413" t="s">
        <v>6151</v>
      </c>
      <c r="CX413" t="s">
        <v>387</v>
      </c>
      <c r="CY413" t="s">
        <v>183</v>
      </c>
      <c r="CZ413" t="s">
        <v>211</v>
      </c>
      <c r="DA413" t="s">
        <v>199</v>
      </c>
      <c r="DC413" t="s">
        <v>6152</v>
      </c>
      <c r="DM413" t="s">
        <v>198</v>
      </c>
      <c r="DW413" t="s">
        <v>198</v>
      </c>
      <c r="EG413" t="s">
        <v>198</v>
      </c>
      <c r="EQ413" t="s">
        <v>198</v>
      </c>
      <c r="FA413" t="s">
        <v>198</v>
      </c>
      <c r="FK413" t="s">
        <v>198</v>
      </c>
      <c r="FU413" t="s">
        <v>198</v>
      </c>
    </row>
    <row r="414" spans="1:177">
      <c r="A414" s="1" t="str">
        <f>HYPERLINK("http://digipan.lumentumllc.com/apps/getLink/index.php?t=PropLink&amp;p=7112376","PL")</f>
        <v>PL</v>
      </c>
      <c r="B414" s="1" t="str">
        <f>HYPERLINK("http://digipan.lumentumllc.com/apps/getLink/index.php?t=TaxLink&amp;p=7112376","TL")</f>
        <v>TL</v>
      </c>
      <c r="C414" s="1" t="str">
        <f>HYPERLINK("http://digipan.lumentumllc.com/apps/getMap/index.php?p=7112376","Map")</f>
        <v>Map</v>
      </c>
      <c r="E414" t="s">
        <v>177</v>
      </c>
      <c r="F414" t="s">
        <v>178</v>
      </c>
      <c r="L414" t="s">
        <v>6153</v>
      </c>
      <c r="N414" t="s">
        <v>6153</v>
      </c>
      <c r="O414" t="s">
        <v>6153</v>
      </c>
      <c r="P414" t="s">
        <v>6154</v>
      </c>
      <c r="Q414" t="s">
        <v>6153</v>
      </c>
      <c r="V414">
        <v>481</v>
      </c>
      <c r="W414">
        <v>2</v>
      </c>
      <c r="X414">
        <v>2017</v>
      </c>
      <c r="Y414">
        <v>2018</v>
      </c>
      <c r="Z414">
        <v>318.83</v>
      </c>
      <c r="AB414" t="s">
        <v>181</v>
      </c>
      <c r="AC414" t="s">
        <v>182</v>
      </c>
      <c r="AD414" t="s">
        <v>1037</v>
      </c>
      <c r="AE414">
        <v>0</v>
      </c>
      <c r="AF414">
        <v>2</v>
      </c>
      <c r="AG414" t="s">
        <v>216</v>
      </c>
      <c r="AH414">
        <v>100</v>
      </c>
      <c r="AK414">
        <v>0</v>
      </c>
      <c r="AL414">
        <v>60854</v>
      </c>
      <c r="AM414">
        <v>17985</v>
      </c>
      <c r="AN414">
        <v>42869</v>
      </c>
      <c r="AO414">
        <v>0</v>
      </c>
      <c r="AP414">
        <v>0</v>
      </c>
      <c r="AQ414">
        <v>0.52</v>
      </c>
      <c r="AS414" t="s">
        <v>6155</v>
      </c>
      <c r="AT414" t="s">
        <v>186</v>
      </c>
      <c r="AU414" t="s">
        <v>177</v>
      </c>
      <c r="AV414" t="s">
        <v>187</v>
      </c>
      <c r="AW414" t="s">
        <v>202</v>
      </c>
      <c r="AX414">
        <v>1</v>
      </c>
      <c r="AY414" t="s">
        <v>188</v>
      </c>
      <c r="AZ414" t="s">
        <v>206</v>
      </c>
      <c r="BA414" t="s">
        <v>355</v>
      </c>
      <c r="BB414" t="s">
        <v>191</v>
      </c>
      <c r="BC414" t="s">
        <v>182</v>
      </c>
      <c r="BD414" t="s">
        <v>182</v>
      </c>
      <c r="BE414" t="s">
        <v>6156</v>
      </c>
      <c r="BF414">
        <v>1</v>
      </c>
      <c r="BG414">
        <v>1</v>
      </c>
      <c r="BH414">
        <v>1960</v>
      </c>
      <c r="BI414" t="s">
        <v>1095</v>
      </c>
      <c r="BJ414" t="s">
        <v>194</v>
      </c>
      <c r="BK414" t="s">
        <v>195</v>
      </c>
      <c r="BL414" t="s">
        <v>199</v>
      </c>
      <c r="BM414" t="s">
        <v>358</v>
      </c>
      <c r="BN414" t="s">
        <v>182</v>
      </c>
      <c r="BO414" t="s">
        <v>198</v>
      </c>
      <c r="BP414" t="s">
        <v>198</v>
      </c>
      <c r="BQ414" t="s">
        <v>198</v>
      </c>
      <c r="BR414" t="s">
        <v>198</v>
      </c>
      <c r="BS414" t="s">
        <v>198</v>
      </c>
      <c r="BT414" t="s">
        <v>198</v>
      </c>
      <c r="BU414" t="s">
        <v>182</v>
      </c>
      <c r="BV414" t="s">
        <v>198</v>
      </c>
      <c r="BW414" t="s">
        <v>198</v>
      </c>
      <c r="BX414" t="s">
        <v>199</v>
      </c>
      <c r="BY414" t="s">
        <v>198</v>
      </c>
      <c r="BZ414" t="s">
        <v>199</v>
      </c>
      <c r="CA414" t="s">
        <v>199</v>
      </c>
      <c r="CB414" t="s">
        <v>6157</v>
      </c>
      <c r="CC414" t="s">
        <v>201</v>
      </c>
      <c r="CD414" t="s">
        <v>182</v>
      </c>
      <c r="CE414" t="s">
        <v>6158</v>
      </c>
      <c r="CF414" t="s">
        <v>204</v>
      </c>
      <c r="CG414" t="s">
        <v>177</v>
      </c>
      <c r="CH414" t="s">
        <v>187</v>
      </c>
      <c r="CI414" t="s">
        <v>6159</v>
      </c>
      <c r="CJ414" t="s">
        <v>6160</v>
      </c>
      <c r="CK414" t="s">
        <v>292</v>
      </c>
      <c r="CL414" t="s">
        <v>293</v>
      </c>
      <c r="CM414" t="s">
        <v>6161</v>
      </c>
      <c r="CN414" t="s">
        <v>235</v>
      </c>
      <c r="CO414" t="s">
        <v>183</v>
      </c>
      <c r="CP414" t="s">
        <v>211</v>
      </c>
      <c r="CQ414" t="s">
        <v>342</v>
      </c>
      <c r="CS414" t="s">
        <v>6162</v>
      </c>
      <c r="CT414" t="s">
        <v>6163</v>
      </c>
      <c r="CU414" t="s">
        <v>302</v>
      </c>
      <c r="CV414" t="s">
        <v>303</v>
      </c>
      <c r="CW414" t="s">
        <v>6164</v>
      </c>
      <c r="CX414" t="s">
        <v>482</v>
      </c>
      <c r="CY414" t="s">
        <v>5</v>
      </c>
      <c r="CZ414" t="s">
        <v>211</v>
      </c>
      <c r="DA414" t="s">
        <v>199</v>
      </c>
      <c r="DC414" t="s">
        <v>6165</v>
      </c>
      <c r="DM414" t="s">
        <v>198</v>
      </c>
      <c r="DW414" t="s">
        <v>198</v>
      </c>
      <c r="EG414" t="s">
        <v>198</v>
      </c>
      <c r="EQ414" t="s">
        <v>198</v>
      </c>
      <c r="FA414" t="s">
        <v>198</v>
      </c>
      <c r="FK414" t="s">
        <v>198</v>
      </c>
      <c r="FU414" t="s">
        <v>198</v>
      </c>
    </row>
    <row r="415" spans="1:177">
      <c r="A415" s="1" t="str">
        <f>HYPERLINK("http://digipan.lumentumllc.com/apps/getLink/index.php?t=PropLink&amp;p=5245241","PL")</f>
        <v>PL</v>
      </c>
      <c r="B415" s="1" t="str">
        <f>HYPERLINK("http://digipan.lumentumllc.com/apps/getLink/index.php?t=TaxLink&amp;p=5245241","TL")</f>
        <v>TL</v>
      </c>
      <c r="C415" s="1" t="str">
        <f>HYPERLINK("http://digipan.lumentumllc.com/apps/getMap/index.php?p=5245241","Map")</f>
        <v>Map</v>
      </c>
      <c r="E415" t="s">
        <v>177</v>
      </c>
      <c r="F415" t="s">
        <v>178</v>
      </c>
      <c r="L415" t="s">
        <v>6166</v>
      </c>
      <c r="N415" t="s">
        <v>6166</v>
      </c>
      <c r="O415" t="s">
        <v>6166</v>
      </c>
      <c r="P415" t="s">
        <v>6167</v>
      </c>
      <c r="Q415" t="s">
        <v>6166</v>
      </c>
      <c r="V415">
        <v>482</v>
      </c>
      <c r="W415">
        <v>2</v>
      </c>
      <c r="X415">
        <v>2017</v>
      </c>
      <c r="Y415">
        <v>2018</v>
      </c>
      <c r="Z415">
        <v>763.02</v>
      </c>
      <c r="AB415" t="s">
        <v>181</v>
      </c>
      <c r="AC415" t="s">
        <v>182</v>
      </c>
      <c r="AD415" t="s">
        <v>183</v>
      </c>
      <c r="AE415">
        <v>0</v>
      </c>
      <c r="AF415">
        <v>3</v>
      </c>
      <c r="AG415" t="s">
        <v>216</v>
      </c>
      <c r="AH415">
        <v>100</v>
      </c>
      <c r="AK415">
        <v>0</v>
      </c>
      <c r="AL415">
        <v>118689</v>
      </c>
      <c r="AM415">
        <v>31500</v>
      </c>
      <c r="AN415">
        <v>87189</v>
      </c>
      <c r="AO415">
        <v>673</v>
      </c>
      <c r="AP415">
        <v>2016</v>
      </c>
      <c r="AQ415">
        <v>0.64</v>
      </c>
      <c r="AS415" t="s">
        <v>6168</v>
      </c>
      <c r="AT415" t="s">
        <v>186</v>
      </c>
      <c r="AU415" t="s">
        <v>177</v>
      </c>
      <c r="AV415" t="s">
        <v>187</v>
      </c>
      <c r="AW415" t="s">
        <v>202</v>
      </c>
      <c r="AX415">
        <v>1</v>
      </c>
      <c r="AY415" t="s">
        <v>188</v>
      </c>
      <c r="AZ415" t="s">
        <v>206</v>
      </c>
      <c r="BA415" t="s">
        <v>355</v>
      </c>
      <c r="BB415" t="s">
        <v>191</v>
      </c>
      <c r="BC415" t="s">
        <v>182</v>
      </c>
      <c r="BD415" t="s">
        <v>182</v>
      </c>
      <c r="BE415" t="s">
        <v>899</v>
      </c>
      <c r="BF415">
        <v>1</v>
      </c>
      <c r="BG415">
        <v>1</v>
      </c>
      <c r="BH415">
        <v>1985</v>
      </c>
      <c r="BI415" t="s">
        <v>6169</v>
      </c>
      <c r="BJ415" t="s">
        <v>194</v>
      </c>
      <c r="BK415" t="s">
        <v>195</v>
      </c>
      <c r="BL415" t="s">
        <v>1002</v>
      </c>
      <c r="BM415" t="s">
        <v>4724</v>
      </c>
      <c r="BN415" t="s">
        <v>182</v>
      </c>
      <c r="BO415" t="s">
        <v>198</v>
      </c>
      <c r="BP415" t="s">
        <v>198</v>
      </c>
      <c r="BQ415" t="s">
        <v>198</v>
      </c>
      <c r="BR415" t="s">
        <v>198</v>
      </c>
      <c r="BS415" t="s">
        <v>198</v>
      </c>
      <c r="BT415" t="s">
        <v>198</v>
      </c>
      <c r="BU415" t="s">
        <v>182</v>
      </c>
      <c r="BV415" t="s">
        <v>198</v>
      </c>
      <c r="BW415" t="s">
        <v>198</v>
      </c>
      <c r="BX415" t="s">
        <v>199</v>
      </c>
      <c r="BY415" t="s">
        <v>198</v>
      </c>
      <c r="BZ415" t="s">
        <v>199</v>
      </c>
      <c r="CA415" t="s">
        <v>199</v>
      </c>
      <c r="CB415" t="s">
        <v>6170</v>
      </c>
      <c r="CC415" t="s">
        <v>201</v>
      </c>
      <c r="CD415" t="s">
        <v>182</v>
      </c>
      <c r="CE415" t="s">
        <v>6171</v>
      </c>
      <c r="CF415" t="s">
        <v>204</v>
      </c>
      <c r="CG415" t="s">
        <v>177</v>
      </c>
      <c r="CH415" t="s">
        <v>187</v>
      </c>
      <c r="CI415" t="s">
        <v>6172</v>
      </c>
      <c r="CJ415" t="s">
        <v>4461</v>
      </c>
      <c r="CK415" t="s">
        <v>292</v>
      </c>
      <c r="CL415" t="s">
        <v>293</v>
      </c>
      <c r="CM415" t="s">
        <v>6173</v>
      </c>
      <c r="CN415" t="s">
        <v>235</v>
      </c>
      <c r="CO415" t="s">
        <v>183</v>
      </c>
      <c r="CP415" t="s">
        <v>211</v>
      </c>
      <c r="CQ415" t="s">
        <v>199</v>
      </c>
      <c r="CS415" t="s">
        <v>3261</v>
      </c>
      <c r="CT415" t="s">
        <v>6174</v>
      </c>
      <c r="CU415" t="s">
        <v>346</v>
      </c>
      <c r="CV415" t="s">
        <v>347</v>
      </c>
      <c r="CW415" t="s">
        <v>6175</v>
      </c>
      <c r="CX415" t="s">
        <v>235</v>
      </c>
      <c r="CY415" t="s">
        <v>183</v>
      </c>
      <c r="CZ415" t="s">
        <v>211</v>
      </c>
      <c r="DA415" t="s">
        <v>189</v>
      </c>
      <c r="DC415" t="s">
        <v>4358</v>
      </c>
      <c r="DD415" t="s">
        <v>3808</v>
      </c>
      <c r="DE415" t="s">
        <v>207</v>
      </c>
      <c r="DF415" t="s">
        <v>208</v>
      </c>
      <c r="DG415" t="s">
        <v>6176</v>
      </c>
      <c r="DH415" t="s">
        <v>816</v>
      </c>
      <c r="DI415" t="s">
        <v>183</v>
      </c>
      <c r="DJ415" t="s">
        <v>211</v>
      </c>
      <c r="DK415" t="s">
        <v>199</v>
      </c>
      <c r="DM415" t="s">
        <v>996</v>
      </c>
      <c r="DW415" t="s">
        <v>198</v>
      </c>
      <c r="EG415" t="s">
        <v>198</v>
      </c>
      <c r="EQ415" t="s">
        <v>198</v>
      </c>
      <c r="FA415" t="s">
        <v>198</v>
      </c>
      <c r="FK415" t="s">
        <v>198</v>
      </c>
      <c r="FU415" t="s">
        <v>198</v>
      </c>
    </row>
    <row r="416" spans="1:177">
      <c r="A416" s="1" t="str">
        <f>HYPERLINK("http://digipan.lumentumllc.com/apps/getLink/index.php?t=PropLink&amp;p=5245242","PL")</f>
        <v>PL</v>
      </c>
      <c r="B416" s="1" t="str">
        <f>HYPERLINK("http://digipan.lumentumllc.com/apps/getLink/index.php?t=TaxLink&amp;p=5245242","TL")</f>
        <v>TL</v>
      </c>
      <c r="C416" s="1" t="str">
        <f>HYPERLINK("http://digipan.lumentumllc.com/apps/getMap/index.php?p=5245242","Map")</f>
        <v>Map</v>
      </c>
      <c r="E416" t="s">
        <v>177</v>
      </c>
      <c r="F416" t="s">
        <v>178</v>
      </c>
      <c r="L416" t="s">
        <v>6177</v>
      </c>
      <c r="N416" t="s">
        <v>6177</v>
      </c>
      <c r="O416" t="s">
        <v>6177</v>
      </c>
      <c r="P416" t="s">
        <v>6178</v>
      </c>
      <c r="Q416" t="s">
        <v>6177</v>
      </c>
      <c r="V416">
        <v>483</v>
      </c>
      <c r="W416">
        <v>2</v>
      </c>
      <c r="X416">
        <v>2017</v>
      </c>
      <c r="Y416">
        <v>2018</v>
      </c>
      <c r="Z416">
        <v>174.73</v>
      </c>
      <c r="AB416" t="s">
        <v>181</v>
      </c>
      <c r="AC416" t="s">
        <v>202</v>
      </c>
      <c r="AD416" t="s">
        <v>183</v>
      </c>
      <c r="AE416">
        <v>1</v>
      </c>
      <c r="AF416">
        <v>5</v>
      </c>
      <c r="AG416" t="s">
        <v>322</v>
      </c>
      <c r="AH416">
        <v>83</v>
      </c>
      <c r="AI416">
        <v>172.26</v>
      </c>
      <c r="AJ416">
        <v>24.98</v>
      </c>
      <c r="AK416">
        <v>197.24</v>
      </c>
      <c r="AL416">
        <v>9450</v>
      </c>
      <c r="AM416">
        <v>9450</v>
      </c>
      <c r="AN416">
        <v>0</v>
      </c>
      <c r="AO416">
        <v>134</v>
      </c>
      <c r="AP416">
        <v>2016</v>
      </c>
      <c r="AQ416">
        <v>1.85</v>
      </c>
      <c r="AR416">
        <v>2.09</v>
      </c>
      <c r="AS416" t="s">
        <v>6179</v>
      </c>
      <c r="AT416" t="s">
        <v>186</v>
      </c>
      <c r="AU416" t="s">
        <v>177</v>
      </c>
      <c r="AV416" t="s">
        <v>187</v>
      </c>
      <c r="AW416" t="s">
        <v>182</v>
      </c>
      <c r="AX416">
        <v>0</v>
      </c>
      <c r="AY416" t="s">
        <v>312</v>
      </c>
      <c r="AZ416" t="s">
        <v>199</v>
      </c>
      <c r="BA416" t="s">
        <v>313</v>
      </c>
      <c r="BB416" t="s">
        <v>191</v>
      </c>
      <c r="BC416" t="s">
        <v>182</v>
      </c>
      <c r="BD416" t="s">
        <v>182</v>
      </c>
      <c r="BE416" t="s">
        <v>6180</v>
      </c>
      <c r="BF416">
        <v>0</v>
      </c>
      <c r="BG416">
        <v>0</v>
      </c>
      <c r="BH416">
        <v>0</v>
      </c>
      <c r="BI416" t="s">
        <v>199</v>
      </c>
      <c r="BJ416" t="s">
        <v>248</v>
      </c>
      <c r="BL416" t="s">
        <v>6181</v>
      </c>
      <c r="BM416" t="s">
        <v>207</v>
      </c>
      <c r="BN416" t="s">
        <v>182</v>
      </c>
      <c r="BO416" t="s">
        <v>198</v>
      </c>
      <c r="BP416" t="s">
        <v>198</v>
      </c>
      <c r="BQ416" t="s">
        <v>198</v>
      </c>
      <c r="BR416" t="s">
        <v>198</v>
      </c>
      <c r="BS416" t="s">
        <v>198</v>
      </c>
      <c r="BT416" t="s">
        <v>198</v>
      </c>
      <c r="BU416" t="s">
        <v>182</v>
      </c>
      <c r="BV416" t="s">
        <v>198</v>
      </c>
      <c r="BW416" t="s">
        <v>198</v>
      </c>
      <c r="BX416" t="s">
        <v>199</v>
      </c>
      <c r="BY416" t="s">
        <v>198</v>
      </c>
      <c r="BZ416" t="s">
        <v>199</v>
      </c>
      <c r="CA416" t="s">
        <v>199</v>
      </c>
      <c r="CB416" t="s">
        <v>6182</v>
      </c>
      <c r="CC416" t="s">
        <v>201</v>
      </c>
      <c r="CD416" t="s">
        <v>182</v>
      </c>
      <c r="CE416" t="s">
        <v>6183</v>
      </c>
      <c r="CF416" t="s">
        <v>1029</v>
      </c>
      <c r="CG416" t="s">
        <v>177</v>
      </c>
      <c r="CH416" t="s">
        <v>1030</v>
      </c>
      <c r="CI416" t="s">
        <v>6184</v>
      </c>
      <c r="CJ416" t="s">
        <v>4675</v>
      </c>
      <c r="CK416" t="s">
        <v>232</v>
      </c>
      <c r="CL416" t="s">
        <v>233</v>
      </c>
      <c r="CM416" t="s">
        <v>6185</v>
      </c>
      <c r="CN416" t="s">
        <v>1606</v>
      </c>
      <c r="CO416" t="s">
        <v>183</v>
      </c>
      <c r="CP416" t="s">
        <v>266</v>
      </c>
      <c r="CS416" t="s">
        <v>198</v>
      </c>
      <c r="CT416" t="s">
        <v>4471</v>
      </c>
      <c r="CU416" t="s">
        <v>292</v>
      </c>
      <c r="CV416" t="s">
        <v>293</v>
      </c>
      <c r="CW416" t="s">
        <v>6186</v>
      </c>
      <c r="CX416" t="s">
        <v>1074</v>
      </c>
      <c r="CY416" t="s">
        <v>183</v>
      </c>
      <c r="CZ416" t="s">
        <v>211</v>
      </c>
      <c r="DA416" t="s">
        <v>298</v>
      </c>
      <c r="DC416" t="s">
        <v>1235</v>
      </c>
      <c r="DD416" t="s">
        <v>4599</v>
      </c>
      <c r="DE416" t="s">
        <v>273</v>
      </c>
      <c r="DF416" t="s">
        <v>274</v>
      </c>
      <c r="DG416" t="s">
        <v>6187</v>
      </c>
      <c r="DH416" t="s">
        <v>833</v>
      </c>
      <c r="DI416" t="s">
        <v>183</v>
      </c>
      <c r="DJ416" t="s">
        <v>211</v>
      </c>
      <c r="DK416" t="s">
        <v>339</v>
      </c>
      <c r="DL416" t="s">
        <v>271</v>
      </c>
      <c r="DM416" t="s">
        <v>6188</v>
      </c>
      <c r="DN416" t="s">
        <v>4879</v>
      </c>
      <c r="DO416" t="s">
        <v>302</v>
      </c>
      <c r="DP416" t="s">
        <v>303</v>
      </c>
      <c r="DQ416" t="s">
        <v>6189</v>
      </c>
      <c r="DR416" t="s">
        <v>3342</v>
      </c>
      <c r="DS416" t="s">
        <v>183</v>
      </c>
      <c r="DT416" t="s">
        <v>211</v>
      </c>
      <c r="DU416" t="s">
        <v>493</v>
      </c>
      <c r="DV416" t="s">
        <v>271</v>
      </c>
      <c r="DW416" t="s">
        <v>6188</v>
      </c>
      <c r="DX416" t="s">
        <v>6190</v>
      </c>
      <c r="DY416" t="s">
        <v>238</v>
      </c>
      <c r="DZ416" t="s">
        <v>239</v>
      </c>
      <c r="EA416" t="s">
        <v>6191</v>
      </c>
      <c r="EB416" t="s">
        <v>278</v>
      </c>
      <c r="EC416" t="s">
        <v>183</v>
      </c>
      <c r="ED416" t="s">
        <v>211</v>
      </c>
      <c r="EF416" t="s">
        <v>271</v>
      </c>
      <c r="EG416" t="s">
        <v>198</v>
      </c>
      <c r="EH416" t="s">
        <v>6192</v>
      </c>
      <c r="EI416" t="s">
        <v>346</v>
      </c>
      <c r="EJ416" t="s">
        <v>347</v>
      </c>
      <c r="EK416" t="s">
        <v>6193</v>
      </c>
      <c r="EL416" t="s">
        <v>688</v>
      </c>
      <c r="EM416" t="s">
        <v>183</v>
      </c>
      <c r="EN416" t="s">
        <v>211</v>
      </c>
      <c r="EO416" t="s">
        <v>345</v>
      </c>
      <c r="EQ416" t="s">
        <v>4517</v>
      </c>
      <c r="FA416" t="s">
        <v>198</v>
      </c>
      <c r="FK416" t="s">
        <v>198</v>
      </c>
      <c r="FU416" t="s">
        <v>198</v>
      </c>
    </row>
    <row r="417" spans="1:177">
      <c r="A417" s="1" t="str">
        <f>HYPERLINK("http://digipan.lumentumllc.com/apps/getLink/index.php?t=PropLink&amp;p=6594154","PL")</f>
        <v>PL</v>
      </c>
      <c r="B417" s="1" t="str">
        <f>HYPERLINK("http://digipan.lumentumllc.com/apps/getLink/index.php?t=TaxLink&amp;p=6594154","TL")</f>
        <v>TL</v>
      </c>
      <c r="C417" s="1" t="str">
        <f>HYPERLINK("http://digipan.lumentumllc.com/apps/getMap/index.php?p=6594154","Map")</f>
        <v>Map</v>
      </c>
      <c r="E417" t="s">
        <v>177</v>
      </c>
      <c r="F417" t="s">
        <v>178</v>
      </c>
      <c r="L417" t="s">
        <v>6194</v>
      </c>
      <c r="N417" t="s">
        <v>6194</v>
      </c>
      <c r="O417" t="s">
        <v>6194</v>
      </c>
      <c r="P417" t="s">
        <v>6195</v>
      </c>
      <c r="Q417" t="s">
        <v>6194</v>
      </c>
      <c r="V417">
        <v>484</v>
      </c>
      <c r="W417">
        <v>2</v>
      </c>
      <c r="X417">
        <v>2017</v>
      </c>
      <c r="Y417">
        <v>2018</v>
      </c>
      <c r="Z417">
        <v>812.11</v>
      </c>
      <c r="AB417" t="s">
        <v>181</v>
      </c>
      <c r="AC417" t="s">
        <v>182</v>
      </c>
      <c r="AD417" t="s">
        <v>183</v>
      </c>
      <c r="AE417">
        <v>1</v>
      </c>
      <c r="AF417">
        <v>0</v>
      </c>
      <c r="AG417" t="s">
        <v>1200</v>
      </c>
      <c r="AH417">
        <v>0</v>
      </c>
      <c r="AI417">
        <v>791.59</v>
      </c>
      <c r="AJ417">
        <v>39.58</v>
      </c>
      <c r="AK417">
        <v>831.17</v>
      </c>
      <c r="AL417">
        <v>51650</v>
      </c>
      <c r="AM417">
        <v>7980</v>
      </c>
      <c r="AN417">
        <v>43670</v>
      </c>
      <c r="AO417">
        <v>707</v>
      </c>
      <c r="AP417">
        <v>2016</v>
      </c>
      <c r="AQ417">
        <v>1.57</v>
      </c>
      <c r="AR417">
        <v>1.61</v>
      </c>
      <c r="AS417" t="s">
        <v>6196</v>
      </c>
      <c r="AT417" t="s">
        <v>186</v>
      </c>
      <c r="AU417" t="s">
        <v>177</v>
      </c>
      <c r="AV417" t="s">
        <v>187</v>
      </c>
      <c r="AW417" t="s">
        <v>182</v>
      </c>
      <c r="AX417">
        <v>1</v>
      </c>
      <c r="AY417" t="s">
        <v>188</v>
      </c>
      <c r="AZ417" t="s">
        <v>206</v>
      </c>
      <c r="BA417" t="s">
        <v>355</v>
      </c>
      <c r="BB417" t="s">
        <v>191</v>
      </c>
      <c r="BC417" t="s">
        <v>182</v>
      </c>
      <c r="BD417" t="s">
        <v>182</v>
      </c>
      <c r="BE417" t="s">
        <v>6180</v>
      </c>
      <c r="BF417">
        <v>1</v>
      </c>
      <c r="BG417">
        <v>1</v>
      </c>
      <c r="BH417">
        <v>1952</v>
      </c>
      <c r="BI417" t="s">
        <v>6197</v>
      </c>
      <c r="BJ417" t="s">
        <v>315</v>
      </c>
      <c r="BK417" t="s">
        <v>195</v>
      </c>
      <c r="BL417" t="s">
        <v>669</v>
      </c>
      <c r="BM417" t="s">
        <v>1742</v>
      </c>
      <c r="BN417" t="s">
        <v>182</v>
      </c>
      <c r="BO417" t="s">
        <v>6198</v>
      </c>
      <c r="BP417" t="s">
        <v>6199</v>
      </c>
      <c r="BQ417" t="s">
        <v>562</v>
      </c>
      <c r="BR417" t="s">
        <v>6200</v>
      </c>
      <c r="BS417" t="s">
        <v>198</v>
      </c>
      <c r="BT417" t="s">
        <v>6201</v>
      </c>
      <c r="BU417" t="s">
        <v>182</v>
      </c>
      <c r="BV417" t="s">
        <v>198</v>
      </c>
      <c r="BW417" t="s">
        <v>198</v>
      </c>
      <c r="BX417" t="s">
        <v>199</v>
      </c>
      <c r="BY417" t="s">
        <v>198</v>
      </c>
      <c r="BZ417" t="s">
        <v>199</v>
      </c>
      <c r="CA417" t="s">
        <v>199</v>
      </c>
      <c r="CB417" t="s">
        <v>6202</v>
      </c>
      <c r="CC417" t="s">
        <v>201</v>
      </c>
      <c r="CD417" t="s">
        <v>202</v>
      </c>
      <c r="CE417" t="s">
        <v>6203</v>
      </c>
      <c r="CF417" t="s">
        <v>204</v>
      </c>
      <c r="CG417" t="s">
        <v>177</v>
      </c>
      <c r="CH417" t="s">
        <v>187</v>
      </c>
      <c r="CI417" t="s">
        <v>6204</v>
      </c>
      <c r="CJ417" t="s">
        <v>6205</v>
      </c>
      <c r="CK417" t="s">
        <v>232</v>
      </c>
      <c r="CL417" t="s">
        <v>233</v>
      </c>
      <c r="CM417" t="s">
        <v>6206</v>
      </c>
      <c r="CN417" t="s">
        <v>235</v>
      </c>
      <c r="CO417" t="s">
        <v>183</v>
      </c>
      <c r="CP417" t="s">
        <v>266</v>
      </c>
      <c r="CS417" t="s">
        <v>198</v>
      </c>
      <c r="DC417" t="s">
        <v>198</v>
      </c>
      <c r="DM417" t="s">
        <v>198</v>
      </c>
      <c r="DW417" t="s">
        <v>198</v>
      </c>
      <c r="EG417" t="s">
        <v>198</v>
      </c>
      <c r="EQ417" t="s">
        <v>198</v>
      </c>
      <c r="FA417" t="s">
        <v>198</v>
      </c>
      <c r="FK417" t="s">
        <v>198</v>
      </c>
      <c r="FU417" t="s">
        <v>198</v>
      </c>
    </row>
    <row r="418" spans="1:177">
      <c r="A418" s="1" t="str">
        <f>HYPERLINK("http://digipan.lumentumllc.com/apps/getLink/index.php?t=PropLink&amp;p=6128908","PL")</f>
        <v>PL</v>
      </c>
      <c r="B418" s="1" t="str">
        <f>HYPERLINK("http://digipan.lumentumllc.com/apps/getLink/index.php?t=TaxLink&amp;p=6128908","TL")</f>
        <v>TL</v>
      </c>
      <c r="C418" s="1" t="str">
        <f>HYPERLINK("http://digipan.lumentumllc.com/apps/getMap/index.php?p=6128908","Map")</f>
        <v>Map</v>
      </c>
      <c r="E418" t="s">
        <v>177</v>
      </c>
      <c r="F418" t="s">
        <v>178</v>
      </c>
      <c r="L418" t="s">
        <v>6207</v>
      </c>
      <c r="N418" t="s">
        <v>6207</v>
      </c>
      <c r="O418" t="s">
        <v>6207</v>
      </c>
      <c r="P418" t="s">
        <v>6208</v>
      </c>
      <c r="Q418" t="s">
        <v>6207</v>
      </c>
      <c r="V418">
        <v>485</v>
      </c>
      <c r="W418">
        <v>2</v>
      </c>
      <c r="X418">
        <v>2017</v>
      </c>
      <c r="Y418">
        <v>2018</v>
      </c>
      <c r="Z418">
        <v>546.33000000000004</v>
      </c>
      <c r="AB418" t="s">
        <v>181</v>
      </c>
      <c r="AC418" t="s">
        <v>202</v>
      </c>
      <c r="AD418" t="s">
        <v>1037</v>
      </c>
      <c r="AE418">
        <v>1</v>
      </c>
      <c r="AF418">
        <v>4</v>
      </c>
      <c r="AG418" t="s">
        <v>951</v>
      </c>
      <c r="AH418">
        <v>80</v>
      </c>
      <c r="AI418">
        <v>144.44</v>
      </c>
      <c r="AJ418">
        <v>26</v>
      </c>
      <c r="AK418">
        <v>170.44</v>
      </c>
      <c r="AL418">
        <v>34054</v>
      </c>
      <c r="AM418">
        <v>15960</v>
      </c>
      <c r="AN418">
        <v>18094</v>
      </c>
      <c r="AO418">
        <v>109</v>
      </c>
      <c r="AP418">
        <v>2016</v>
      </c>
      <c r="AQ418">
        <v>1.6</v>
      </c>
      <c r="AR418">
        <v>0.5</v>
      </c>
      <c r="AS418" t="s">
        <v>6209</v>
      </c>
      <c r="AT418" t="s">
        <v>186</v>
      </c>
      <c r="AU418" t="s">
        <v>177</v>
      </c>
      <c r="AV418" t="s">
        <v>187</v>
      </c>
      <c r="AW418" t="s">
        <v>182</v>
      </c>
      <c r="AX418">
        <v>1</v>
      </c>
      <c r="AY418" t="s">
        <v>188</v>
      </c>
      <c r="AZ418" t="s">
        <v>206</v>
      </c>
      <c r="BA418" t="s">
        <v>355</v>
      </c>
      <c r="BB418" t="s">
        <v>191</v>
      </c>
      <c r="BC418" t="s">
        <v>182</v>
      </c>
      <c r="BD418" t="s">
        <v>182</v>
      </c>
      <c r="BE418" t="s">
        <v>3682</v>
      </c>
      <c r="BF418">
        <v>1</v>
      </c>
      <c r="BG418">
        <v>1</v>
      </c>
      <c r="BH418">
        <v>1963</v>
      </c>
      <c r="BI418" t="s">
        <v>6210</v>
      </c>
      <c r="BJ418" t="s">
        <v>194</v>
      </c>
      <c r="BK418" t="s">
        <v>195</v>
      </c>
      <c r="BL418" t="s">
        <v>6211</v>
      </c>
      <c r="BM418" t="s">
        <v>325</v>
      </c>
      <c r="BN418" t="s">
        <v>182</v>
      </c>
      <c r="BO418" t="s">
        <v>6212</v>
      </c>
      <c r="BP418" t="s">
        <v>6213</v>
      </c>
      <c r="BQ418" t="s">
        <v>226</v>
      </c>
      <c r="BR418" t="s">
        <v>227</v>
      </c>
      <c r="BS418" t="s">
        <v>6214</v>
      </c>
      <c r="BT418" t="s">
        <v>6215</v>
      </c>
      <c r="BU418" t="s">
        <v>182</v>
      </c>
      <c r="BV418" t="s">
        <v>198</v>
      </c>
      <c r="BW418" t="s">
        <v>198</v>
      </c>
      <c r="BX418" t="s">
        <v>199</v>
      </c>
      <c r="BY418" t="s">
        <v>198</v>
      </c>
      <c r="BZ418" t="s">
        <v>199</v>
      </c>
      <c r="CA418" t="s">
        <v>199</v>
      </c>
      <c r="CB418" t="s">
        <v>6182</v>
      </c>
      <c r="CC418" t="s">
        <v>201</v>
      </c>
      <c r="CD418" t="s">
        <v>202</v>
      </c>
      <c r="CE418" t="s">
        <v>6183</v>
      </c>
      <c r="CF418" t="s">
        <v>1029</v>
      </c>
      <c r="CG418" t="s">
        <v>177</v>
      </c>
      <c r="CH418" t="s">
        <v>1030</v>
      </c>
      <c r="CI418" t="s">
        <v>6216</v>
      </c>
      <c r="CJ418" t="s">
        <v>5732</v>
      </c>
      <c r="CK418" t="s">
        <v>232</v>
      </c>
      <c r="CL418" t="s">
        <v>233</v>
      </c>
      <c r="CM418" t="s">
        <v>6217</v>
      </c>
      <c r="CN418" t="s">
        <v>482</v>
      </c>
      <c r="CO418" t="s">
        <v>5</v>
      </c>
      <c r="CP418" t="s">
        <v>266</v>
      </c>
      <c r="CS418" t="s">
        <v>198</v>
      </c>
      <c r="CT418" t="s">
        <v>4534</v>
      </c>
      <c r="CU418" t="s">
        <v>267</v>
      </c>
      <c r="CV418" t="s">
        <v>268</v>
      </c>
      <c r="CW418" t="s">
        <v>6218</v>
      </c>
      <c r="CX418" t="s">
        <v>482</v>
      </c>
      <c r="CY418" t="s">
        <v>5</v>
      </c>
      <c r="CZ418" t="s">
        <v>211</v>
      </c>
      <c r="DA418" t="s">
        <v>342</v>
      </c>
      <c r="DB418" t="s">
        <v>271</v>
      </c>
      <c r="DC418" t="s">
        <v>4483</v>
      </c>
      <c r="DD418" t="s">
        <v>6219</v>
      </c>
      <c r="DE418" t="s">
        <v>273</v>
      </c>
      <c r="DF418" t="s">
        <v>274</v>
      </c>
      <c r="DG418" t="s">
        <v>6220</v>
      </c>
      <c r="DH418" t="s">
        <v>482</v>
      </c>
      <c r="DI418" t="s">
        <v>5</v>
      </c>
      <c r="DJ418" t="s">
        <v>211</v>
      </c>
      <c r="DK418" t="s">
        <v>345</v>
      </c>
      <c r="DL418" t="s">
        <v>271</v>
      </c>
      <c r="DM418" t="s">
        <v>4483</v>
      </c>
      <c r="DN418" t="s">
        <v>6221</v>
      </c>
      <c r="DO418" t="s">
        <v>302</v>
      </c>
      <c r="DP418" t="s">
        <v>303</v>
      </c>
      <c r="DQ418" t="s">
        <v>6222</v>
      </c>
      <c r="DR418" t="s">
        <v>482</v>
      </c>
      <c r="DS418" t="s">
        <v>183</v>
      </c>
      <c r="DT418" t="s">
        <v>211</v>
      </c>
      <c r="DV418" t="s">
        <v>271</v>
      </c>
      <c r="DW418" t="s">
        <v>198</v>
      </c>
      <c r="DX418" t="s">
        <v>5728</v>
      </c>
      <c r="DY418" t="s">
        <v>238</v>
      </c>
      <c r="DZ418" t="s">
        <v>239</v>
      </c>
      <c r="EA418" t="s">
        <v>6223</v>
      </c>
      <c r="EB418" t="s">
        <v>482</v>
      </c>
      <c r="EC418" t="s">
        <v>183</v>
      </c>
      <c r="ED418" t="s">
        <v>211</v>
      </c>
      <c r="EE418" t="s">
        <v>525</v>
      </c>
      <c r="EG418" t="s">
        <v>464</v>
      </c>
      <c r="EQ418" t="s">
        <v>198</v>
      </c>
      <c r="FA418" t="s">
        <v>198</v>
      </c>
      <c r="FK418" t="s">
        <v>198</v>
      </c>
      <c r="FU418" t="s">
        <v>198</v>
      </c>
    </row>
    <row r="419" spans="1:177">
      <c r="A419" s="1" t="str">
        <f>HYPERLINK("http://digipan.lumentumllc.com/apps/getLink/index.php?t=PropLink&amp;p=15742347","PL")</f>
        <v>PL</v>
      </c>
      <c r="B419" s="1" t="str">
        <f>HYPERLINK("http://digipan.lumentumllc.com/apps/getLink/index.php?t=TaxLink&amp;p=15742347","TL")</f>
        <v>TL</v>
      </c>
      <c r="C419" s="1" t="str">
        <f>HYPERLINK("http://digipan.lumentumllc.com/apps/getMap/index.php?p=15742347","Map")</f>
        <v>Map</v>
      </c>
      <c r="E419" t="s">
        <v>177</v>
      </c>
      <c r="F419" t="s">
        <v>178</v>
      </c>
      <c r="L419" t="s">
        <v>6224</v>
      </c>
      <c r="N419" t="s">
        <v>6224</v>
      </c>
      <c r="O419" t="s">
        <v>6224</v>
      </c>
      <c r="Q419" t="s">
        <v>6224</v>
      </c>
      <c r="V419">
        <v>486</v>
      </c>
      <c r="W419">
        <v>2</v>
      </c>
      <c r="X419">
        <v>2017</v>
      </c>
      <c r="Y419">
        <v>2018</v>
      </c>
      <c r="Z419">
        <v>707.93</v>
      </c>
      <c r="AB419" t="s">
        <v>181</v>
      </c>
      <c r="AC419" t="s">
        <v>182</v>
      </c>
      <c r="AD419" t="s">
        <v>183</v>
      </c>
      <c r="AE419">
        <v>0</v>
      </c>
      <c r="AF419">
        <v>1</v>
      </c>
      <c r="AG419" t="s">
        <v>821</v>
      </c>
      <c r="AH419">
        <v>100</v>
      </c>
      <c r="AK419">
        <v>0</v>
      </c>
      <c r="AL419">
        <v>91376</v>
      </c>
      <c r="AM419">
        <v>15750</v>
      </c>
      <c r="AN419">
        <v>75626</v>
      </c>
      <c r="AO419">
        <v>614</v>
      </c>
      <c r="AP419">
        <v>2016</v>
      </c>
      <c r="AQ419">
        <v>0.77</v>
      </c>
      <c r="AS419" t="s">
        <v>6225</v>
      </c>
      <c r="AT419" t="s">
        <v>186</v>
      </c>
      <c r="AU419" t="s">
        <v>177</v>
      </c>
      <c r="AV419" t="s">
        <v>187</v>
      </c>
      <c r="AW419" t="s">
        <v>202</v>
      </c>
      <c r="AX419">
        <v>1</v>
      </c>
      <c r="AY419" t="s">
        <v>188</v>
      </c>
      <c r="AZ419" t="s">
        <v>206</v>
      </c>
      <c r="BA419" t="s">
        <v>355</v>
      </c>
      <c r="BB419" t="s">
        <v>191</v>
      </c>
      <c r="BC419" t="s">
        <v>182</v>
      </c>
      <c r="BD419" t="s">
        <v>182</v>
      </c>
      <c r="BE419" t="s">
        <v>6085</v>
      </c>
      <c r="BF419">
        <v>1</v>
      </c>
      <c r="BG419">
        <v>1</v>
      </c>
      <c r="BH419">
        <v>1999</v>
      </c>
      <c r="BI419" t="s">
        <v>3231</v>
      </c>
      <c r="BJ419" t="s">
        <v>194</v>
      </c>
      <c r="BK419" t="s">
        <v>195</v>
      </c>
      <c r="BL419" t="s">
        <v>6226</v>
      </c>
      <c r="BM419" t="s">
        <v>1156</v>
      </c>
      <c r="BN419" t="s">
        <v>182</v>
      </c>
      <c r="BO419" t="s">
        <v>198</v>
      </c>
      <c r="BP419" t="s">
        <v>198</v>
      </c>
      <c r="BQ419" t="s">
        <v>198</v>
      </c>
      <c r="BR419" t="s">
        <v>198</v>
      </c>
      <c r="BS419" t="s">
        <v>198</v>
      </c>
      <c r="BT419" t="s">
        <v>198</v>
      </c>
      <c r="BU419" t="s">
        <v>182</v>
      </c>
      <c r="BV419" t="s">
        <v>198</v>
      </c>
      <c r="BW419" t="s">
        <v>198</v>
      </c>
      <c r="BX419" t="s">
        <v>199</v>
      </c>
      <c r="BY419" t="s">
        <v>198</v>
      </c>
      <c r="BZ419" t="s">
        <v>199</v>
      </c>
      <c r="CA419" t="s">
        <v>199</v>
      </c>
      <c r="CB419" t="s">
        <v>6227</v>
      </c>
      <c r="CC419" t="s">
        <v>201</v>
      </c>
      <c r="CD419" t="s">
        <v>182</v>
      </c>
      <c r="CE419" t="s">
        <v>6228</v>
      </c>
      <c r="CF419" t="s">
        <v>204</v>
      </c>
      <c r="CG419" t="s">
        <v>177</v>
      </c>
      <c r="CH419" t="s">
        <v>187</v>
      </c>
      <c r="CI419" t="s">
        <v>6229</v>
      </c>
      <c r="CJ419" t="s">
        <v>4805</v>
      </c>
      <c r="CK419" t="s">
        <v>232</v>
      </c>
      <c r="CL419" t="s">
        <v>233</v>
      </c>
      <c r="CM419" t="s">
        <v>6230</v>
      </c>
      <c r="CN419" t="s">
        <v>235</v>
      </c>
      <c r="CO419" t="s">
        <v>183</v>
      </c>
      <c r="CP419" t="s">
        <v>211</v>
      </c>
      <c r="CQ419" t="s">
        <v>250</v>
      </c>
      <c r="CS419" t="s">
        <v>6231</v>
      </c>
      <c r="DC419" t="s">
        <v>198</v>
      </c>
      <c r="DM419" t="s">
        <v>198</v>
      </c>
      <c r="DW419" t="s">
        <v>198</v>
      </c>
      <c r="EG419" t="s">
        <v>198</v>
      </c>
      <c r="EQ419" t="s">
        <v>198</v>
      </c>
      <c r="FA419" t="s">
        <v>198</v>
      </c>
      <c r="FK419" t="s">
        <v>198</v>
      </c>
      <c r="FU419" t="s">
        <v>198</v>
      </c>
    </row>
    <row r="420" spans="1:177">
      <c r="A420" s="1" t="str">
        <f>HYPERLINK("http://digipan.lumentumllc.com/apps/getLink/index.php?t=PropLink&amp;p=5245243","PL")</f>
        <v>PL</v>
      </c>
      <c r="B420" s="1" t="str">
        <f>HYPERLINK("http://digipan.lumentumllc.com/apps/getLink/index.php?t=TaxLink&amp;p=5245243","TL")</f>
        <v>TL</v>
      </c>
      <c r="C420" s="1" t="str">
        <f>HYPERLINK("http://digipan.lumentumllc.com/apps/getMap/index.php?p=5245243","Map")</f>
        <v>Map</v>
      </c>
      <c r="E420" t="s">
        <v>177</v>
      </c>
      <c r="F420" t="s">
        <v>178</v>
      </c>
      <c r="L420" t="s">
        <v>6232</v>
      </c>
      <c r="N420" t="s">
        <v>6232</v>
      </c>
      <c r="O420" t="s">
        <v>6232</v>
      </c>
      <c r="P420" t="s">
        <v>6233</v>
      </c>
      <c r="Q420" t="s">
        <v>6232</v>
      </c>
      <c r="V420">
        <v>487</v>
      </c>
      <c r="W420">
        <v>2</v>
      </c>
      <c r="X420">
        <v>2017</v>
      </c>
      <c r="Y420">
        <v>2018</v>
      </c>
      <c r="Z420">
        <v>897.48</v>
      </c>
      <c r="AB420" t="s">
        <v>181</v>
      </c>
      <c r="AC420" t="s">
        <v>182</v>
      </c>
      <c r="AD420" t="s">
        <v>183</v>
      </c>
      <c r="AE420">
        <v>1</v>
      </c>
      <c r="AF420">
        <v>7</v>
      </c>
      <c r="AG420" t="s">
        <v>418</v>
      </c>
      <c r="AH420">
        <v>86</v>
      </c>
      <c r="AI420">
        <v>814.67</v>
      </c>
      <c r="AJ420">
        <v>40.729999999999997</v>
      </c>
      <c r="AK420">
        <v>855.4</v>
      </c>
      <c r="AL420">
        <v>60344</v>
      </c>
      <c r="AM420">
        <v>15750</v>
      </c>
      <c r="AN420">
        <v>44594</v>
      </c>
      <c r="AO420">
        <v>728</v>
      </c>
      <c r="AP420">
        <v>2016</v>
      </c>
      <c r="AQ420">
        <v>1.49</v>
      </c>
      <c r="AR420">
        <v>1.42</v>
      </c>
      <c r="AS420" t="s">
        <v>6234</v>
      </c>
      <c r="AT420" t="s">
        <v>186</v>
      </c>
      <c r="AU420" t="s">
        <v>177</v>
      </c>
      <c r="AV420" t="s">
        <v>187</v>
      </c>
      <c r="AW420" t="s">
        <v>182</v>
      </c>
      <c r="AX420">
        <v>2</v>
      </c>
      <c r="AY420" t="s">
        <v>188</v>
      </c>
      <c r="AZ420" t="s">
        <v>189</v>
      </c>
      <c r="BA420" t="s">
        <v>190</v>
      </c>
      <c r="BB420" t="s">
        <v>191</v>
      </c>
      <c r="BC420" t="s">
        <v>182</v>
      </c>
      <c r="BD420" t="s">
        <v>182</v>
      </c>
      <c r="BE420" t="s">
        <v>6085</v>
      </c>
      <c r="BF420">
        <v>1</v>
      </c>
      <c r="BG420">
        <v>1</v>
      </c>
      <c r="BH420">
        <v>1995</v>
      </c>
      <c r="BI420" t="s">
        <v>6235</v>
      </c>
      <c r="BJ420" t="s">
        <v>194</v>
      </c>
      <c r="BK420" t="s">
        <v>195</v>
      </c>
      <c r="BL420" t="s">
        <v>2939</v>
      </c>
      <c r="BM420" t="s">
        <v>2351</v>
      </c>
      <c r="BN420" t="s">
        <v>182</v>
      </c>
      <c r="BO420" t="s">
        <v>198</v>
      </c>
      <c r="BP420" t="s">
        <v>198</v>
      </c>
      <c r="BQ420" t="s">
        <v>198</v>
      </c>
      <c r="BR420" t="s">
        <v>198</v>
      </c>
      <c r="BS420" t="s">
        <v>198</v>
      </c>
      <c r="BT420" t="s">
        <v>198</v>
      </c>
      <c r="BU420" t="s">
        <v>182</v>
      </c>
      <c r="BV420" t="s">
        <v>198</v>
      </c>
      <c r="BW420" t="s">
        <v>198</v>
      </c>
      <c r="BX420" t="s">
        <v>199</v>
      </c>
      <c r="BY420" t="s">
        <v>198</v>
      </c>
      <c r="BZ420" t="s">
        <v>199</v>
      </c>
      <c r="CA420" t="s">
        <v>199</v>
      </c>
      <c r="CB420" t="s">
        <v>6236</v>
      </c>
      <c r="CC420" t="s">
        <v>201</v>
      </c>
      <c r="CD420" t="s">
        <v>182</v>
      </c>
      <c r="CE420" t="s">
        <v>6237</v>
      </c>
      <c r="CF420" t="s">
        <v>204</v>
      </c>
      <c r="CG420" t="s">
        <v>177</v>
      </c>
      <c r="CH420" t="s">
        <v>187</v>
      </c>
      <c r="CI420" t="s">
        <v>6238</v>
      </c>
      <c r="CJ420" t="s">
        <v>6239</v>
      </c>
      <c r="CK420" t="s">
        <v>232</v>
      </c>
      <c r="CL420" t="s">
        <v>233</v>
      </c>
      <c r="CM420" t="s">
        <v>6240</v>
      </c>
      <c r="CN420" t="s">
        <v>235</v>
      </c>
      <c r="CO420" t="s">
        <v>183</v>
      </c>
      <c r="CP420" t="s">
        <v>266</v>
      </c>
      <c r="CS420" t="s">
        <v>198</v>
      </c>
      <c r="CT420" t="s">
        <v>5578</v>
      </c>
      <c r="CU420" t="s">
        <v>292</v>
      </c>
      <c r="CV420" t="s">
        <v>293</v>
      </c>
      <c r="CW420" t="s">
        <v>6241</v>
      </c>
      <c r="CX420" t="s">
        <v>235</v>
      </c>
      <c r="CY420" t="s">
        <v>183</v>
      </c>
      <c r="CZ420" t="s">
        <v>211</v>
      </c>
      <c r="DA420" t="s">
        <v>298</v>
      </c>
      <c r="DC420" t="s">
        <v>1066</v>
      </c>
      <c r="DD420" t="s">
        <v>5619</v>
      </c>
      <c r="DE420" t="s">
        <v>267</v>
      </c>
      <c r="DF420" t="s">
        <v>268</v>
      </c>
      <c r="DG420" t="s">
        <v>6242</v>
      </c>
      <c r="DH420" t="s">
        <v>235</v>
      </c>
      <c r="DI420" t="s">
        <v>183</v>
      </c>
      <c r="DJ420" t="s">
        <v>211</v>
      </c>
      <c r="DK420" t="s">
        <v>334</v>
      </c>
      <c r="DM420" t="s">
        <v>6243</v>
      </c>
      <c r="DN420" t="s">
        <v>4632</v>
      </c>
      <c r="DO420" t="s">
        <v>273</v>
      </c>
      <c r="DP420" t="s">
        <v>274</v>
      </c>
      <c r="DQ420" t="s">
        <v>6244</v>
      </c>
      <c r="DR420" t="s">
        <v>3342</v>
      </c>
      <c r="DS420" t="s">
        <v>183</v>
      </c>
      <c r="DT420" t="s">
        <v>211</v>
      </c>
      <c r="DU420" t="s">
        <v>345</v>
      </c>
      <c r="DW420" t="s">
        <v>392</v>
      </c>
      <c r="DX420" t="s">
        <v>6245</v>
      </c>
      <c r="DY420" t="s">
        <v>302</v>
      </c>
      <c r="DZ420" t="s">
        <v>303</v>
      </c>
      <c r="EA420" t="s">
        <v>6246</v>
      </c>
      <c r="EB420" t="s">
        <v>796</v>
      </c>
      <c r="EC420" t="s">
        <v>183</v>
      </c>
      <c r="ED420" t="s">
        <v>211</v>
      </c>
      <c r="EE420" t="s">
        <v>334</v>
      </c>
      <c r="EG420" t="s">
        <v>6247</v>
      </c>
      <c r="EH420" t="s">
        <v>6248</v>
      </c>
      <c r="EI420" t="s">
        <v>238</v>
      </c>
      <c r="EJ420" t="s">
        <v>239</v>
      </c>
      <c r="EK420" t="s">
        <v>6249</v>
      </c>
      <c r="EL420" t="s">
        <v>6250</v>
      </c>
      <c r="EM420" t="s">
        <v>183</v>
      </c>
      <c r="EN420" t="s">
        <v>211</v>
      </c>
      <c r="EO420" t="s">
        <v>806</v>
      </c>
      <c r="EQ420" t="s">
        <v>6251</v>
      </c>
      <c r="ER420" t="s">
        <v>1693</v>
      </c>
      <c r="ES420" t="s">
        <v>346</v>
      </c>
      <c r="ET420" t="s">
        <v>347</v>
      </c>
      <c r="EU420" t="s">
        <v>6252</v>
      </c>
      <c r="EV420" t="s">
        <v>2515</v>
      </c>
      <c r="EW420" t="s">
        <v>183</v>
      </c>
      <c r="EX420" t="s">
        <v>211</v>
      </c>
      <c r="EY420" t="s">
        <v>298</v>
      </c>
      <c r="FA420" t="s">
        <v>878</v>
      </c>
      <c r="FB420" t="s">
        <v>6253</v>
      </c>
      <c r="FC420" t="s">
        <v>207</v>
      </c>
      <c r="FD420" t="s">
        <v>208</v>
      </c>
      <c r="FE420" t="s">
        <v>6254</v>
      </c>
      <c r="FF420" t="s">
        <v>576</v>
      </c>
      <c r="FG420" t="s">
        <v>183</v>
      </c>
      <c r="FH420" t="s">
        <v>211</v>
      </c>
      <c r="FI420" t="s">
        <v>525</v>
      </c>
      <c r="FK420" t="s">
        <v>878</v>
      </c>
      <c r="FU420" t="s">
        <v>198</v>
      </c>
    </row>
    <row r="421" spans="1:177">
      <c r="A421" s="1" t="str">
        <f>HYPERLINK("http://digipan.lumentumllc.com/apps/getLink/index.php?t=PropLink&amp;p=7112378","PL")</f>
        <v>PL</v>
      </c>
      <c r="B421" s="1" t="str">
        <f>HYPERLINK("http://digipan.lumentumllc.com/apps/getLink/index.php?t=TaxLink&amp;p=7112378","TL")</f>
        <v>TL</v>
      </c>
      <c r="C421" s="1" t="str">
        <f>HYPERLINK("http://digipan.lumentumllc.com/apps/getMap/index.php?p=7112378","Map")</f>
        <v>Map</v>
      </c>
      <c r="E421" t="s">
        <v>177</v>
      </c>
      <c r="F421" t="s">
        <v>178</v>
      </c>
      <c r="L421" t="s">
        <v>6255</v>
      </c>
      <c r="N421" t="s">
        <v>6255</v>
      </c>
      <c r="O421" t="s">
        <v>6255</v>
      </c>
      <c r="P421" t="s">
        <v>6256</v>
      </c>
      <c r="Q421" t="s">
        <v>6255</v>
      </c>
      <c r="V421">
        <v>488</v>
      </c>
      <c r="W421">
        <v>2</v>
      </c>
      <c r="X421">
        <v>2017</v>
      </c>
      <c r="Y421">
        <v>2018</v>
      </c>
      <c r="Z421">
        <v>308.62</v>
      </c>
      <c r="AB421" t="s">
        <v>181</v>
      </c>
      <c r="AC421" t="s">
        <v>182</v>
      </c>
      <c r="AD421" t="s">
        <v>183</v>
      </c>
      <c r="AE421">
        <v>1</v>
      </c>
      <c r="AF421">
        <v>1</v>
      </c>
      <c r="AG421" t="s">
        <v>2222</v>
      </c>
      <c r="AH421">
        <v>50</v>
      </c>
      <c r="AI421">
        <v>325.45</v>
      </c>
      <c r="AJ421">
        <v>16.27</v>
      </c>
      <c r="AK421">
        <v>341.72</v>
      </c>
      <c r="AL421">
        <v>18316</v>
      </c>
      <c r="AM421">
        <v>15750</v>
      </c>
      <c r="AN421">
        <v>2566</v>
      </c>
      <c r="AO421">
        <v>276</v>
      </c>
      <c r="AP421">
        <v>2016</v>
      </c>
      <c r="AQ421">
        <v>1.68</v>
      </c>
      <c r="AR421">
        <v>1.87</v>
      </c>
      <c r="AS421" t="s">
        <v>6257</v>
      </c>
      <c r="AT421" t="s">
        <v>186</v>
      </c>
      <c r="AU421" t="s">
        <v>177</v>
      </c>
      <c r="AV421" t="s">
        <v>187</v>
      </c>
      <c r="AW421" t="s">
        <v>182</v>
      </c>
      <c r="AX421">
        <v>2</v>
      </c>
      <c r="AY421" t="s">
        <v>188</v>
      </c>
      <c r="AZ421" t="s">
        <v>189</v>
      </c>
      <c r="BA421" t="s">
        <v>190</v>
      </c>
      <c r="BB421" t="s">
        <v>191</v>
      </c>
      <c r="BC421" t="s">
        <v>182</v>
      </c>
      <c r="BD421" t="s">
        <v>182</v>
      </c>
      <c r="BE421" t="s">
        <v>6085</v>
      </c>
      <c r="BF421">
        <v>1</v>
      </c>
      <c r="BG421">
        <v>1</v>
      </c>
      <c r="BH421">
        <v>1972</v>
      </c>
      <c r="BI421" t="s">
        <v>6258</v>
      </c>
      <c r="BJ421" t="s">
        <v>285</v>
      </c>
      <c r="BK421" t="s">
        <v>195</v>
      </c>
      <c r="BL421" t="s">
        <v>199</v>
      </c>
      <c r="BM421" t="s">
        <v>4724</v>
      </c>
      <c r="BN421" t="s">
        <v>182</v>
      </c>
      <c r="BO421" t="s">
        <v>198</v>
      </c>
      <c r="BP421" t="s">
        <v>198</v>
      </c>
      <c r="BQ421" t="s">
        <v>198</v>
      </c>
      <c r="BR421" t="s">
        <v>198</v>
      </c>
      <c r="BS421" t="s">
        <v>198</v>
      </c>
      <c r="BT421" t="s">
        <v>198</v>
      </c>
      <c r="BU421" t="s">
        <v>182</v>
      </c>
      <c r="BV421" t="s">
        <v>198</v>
      </c>
      <c r="BW421" t="s">
        <v>198</v>
      </c>
      <c r="BX421" t="s">
        <v>199</v>
      </c>
      <c r="BY421" t="s">
        <v>198</v>
      </c>
      <c r="BZ421" t="s">
        <v>199</v>
      </c>
      <c r="CA421" t="s">
        <v>199</v>
      </c>
      <c r="CB421" t="s">
        <v>6259</v>
      </c>
      <c r="CC421" t="s">
        <v>201</v>
      </c>
      <c r="CD421" t="s">
        <v>202</v>
      </c>
      <c r="CE421" t="s">
        <v>6260</v>
      </c>
      <c r="CF421" t="s">
        <v>204</v>
      </c>
      <c r="CG421" t="s">
        <v>177</v>
      </c>
      <c r="CH421" t="s">
        <v>187</v>
      </c>
      <c r="CI421" t="s">
        <v>6261</v>
      </c>
      <c r="CJ421" t="s">
        <v>4854</v>
      </c>
      <c r="CK421" t="s">
        <v>232</v>
      </c>
      <c r="CL421" t="s">
        <v>233</v>
      </c>
      <c r="CM421" t="s">
        <v>6262</v>
      </c>
      <c r="CN421" t="s">
        <v>331</v>
      </c>
      <c r="CO421" t="s">
        <v>183</v>
      </c>
      <c r="CP421" t="s">
        <v>266</v>
      </c>
      <c r="CS421" t="s">
        <v>198</v>
      </c>
      <c r="CT421" t="s">
        <v>4515</v>
      </c>
      <c r="CU421" t="s">
        <v>292</v>
      </c>
      <c r="CV421" t="s">
        <v>293</v>
      </c>
      <c r="CW421" t="s">
        <v>6263</v>
      </c>
      <c r="CX421" t="s">
        <v>2499</v>
      </c>
      <c r="CY421" t="s">
        <v>183</v>
      </c>
      <c r="CZ421" t="s">
        <v>211</v>
      </c>
      <c r="DA421" t="s">
        <v>212</v>
      </c>
      <c r="DC421" t="s">
        <v>6243</v>
      </c>
      <c r="DM421" t="s">
        <v>198</v>
      </c>
      <c r="DW421" t="s">
        <v>198</v>
      </c>
      <c r="EG421" t="s">
        <v>198</v>
      </c>
      <c r="EQ421" t="s">
        <v>198</v>
      </c>
      <c r="FA421" t="s">
        <v>198</v>
      </c>
      <c r="FK421" t="s">
        <v>198</v>
      </c>
      <c r="FU421" t="s">
        <v>198</v>
      </c>
    </row>
    <row r="422" spans="1:177">
      <c r="A422" s="1" t="str">
        <f>HYPERLINK("http://digipan.lumentumllc.com/apps/getLink/index.php?t=PropLink&amp;p=15742361","PL")</f>
        <v>PL</v>
      </c>
      <c r="B422" s="1" t="str">
        <f>HYPERLINK("http://digipan.lumentumllc.com/apps/getLink/index.php?t=TaxLink&amp;p=15742361","TL")</f>
        <v>TL</v>
      </c>
      <c r="C422" s="1" t="str">
        <f>HYPERLINK("http://digipan.lumentumllc.com/apps/getMap/index.php?p=15742361","Map")</f>
        <v>Map</v>
      </c>
      <c r="E422" t="s">
        <v>177</v>
      </c>
      <c r="F422" t="s">
        <v>178</v>
      </c>
      <c r="L422" t="s">
        <v>6264</v>
      </c>
      <c r="N422" t="s">
        <v>6264</v>
      </c>
      <c r="O422" t="s">
        <v>6264</v>
      </c>
      <c r="Q422" t="s">
        <v>6264</v>
      </c>
      <c r="V422">
        <v>489</v>
      </c>
      <c r="W422">
        <v>2</v>
      </c>
      <c r="X422">
        <v>2017</v>
      </c>
      <c r="Y422">
        <v>2018</v>
      </c>
      <c r="Z422">
        <v>571.09</v>
      </c>
      <c r="AG422" t="s">
        <v>184</v>
      </c>
      <c r="AH422">
        <v>0</v>
      </c>
      <c r="AK422">
        <v>0</v>
      </c>
      <c r="AL422">
        <v>109028</v>
      </c>
      <c r="AM422">
        <v>36855</v>
      </c>
      <c r="AN422">
        <v>72173</v>
      </c>
      <c r="AO422">
        <v>499</v>
      </c>
      <c r="AP422">
        <v>2016</v>
      </c>
      <c r="AQ422">
        <v>0.52</v>
      </c>
      <c r="AS422" t="s">
        <v>6265</v>
      </c>
      <c r="AT422" t="s">
        <v>186</v>
      </c>
      <c r="AU422" t="s">
        <v>177</v>
      </c>
      <c r="AV422" t="s">
        <v>187</v>
      </c>
      <c r="AW422" t="s">
        <v>202</v>
      </c>
      <c r="AX422">
        <v>1</v>
      </c>
      <c r="AY422" t="s">
        <v>188</v>
      </c>
      <c r="AZ422" t="s">
        <v>206</v>
      </c>
      <c r="BA422" t="s">
        <v>355</v>
      </c>
      <c r="BB422" t="s">
        <v>191</v>
      </c>
      <c r="BC422" t="s">
        <v>182</v>
      </c>
      <c r="BD422" t="s">
        <v>182</v>
      </c>
      <c r="BE422" t="s">
        <v>1107</v>
      </c>
      <c r="BF422">
        <v>1</v>
      </c>
      <c r="BG422">
        <v>1</v>
      </c>
      <c r="BH422">
        <v>1980</v>
      </c>
      <c r="BI422" t="s">
        <v>6266</v>
      </c>
      <c r="BJ422" t="s">
        <v>194</v>
      </c>
      <c r="BK422" t="s">
        <v>195</v>
      </c>
      <c r="BL422" t="s">
        <v>199</v>
      </c>
      <c r="BM422" t="s">
        <v>3957</v>
      </c>
      <c r="BN422" t="s">
        <v>182</v>
      </c>
      <c r="BO422" t="s">
        <v>198</v>
      </c>
      <c r="BP422" t="s">
        <v>198</v>
      </c>
      <c r="BQ422" t="s">
        <v>198</v>
      </c>
      <c r="BR422" t="s">
        <v>198</v>
      </c>
      <c r="BS422" t="s">
        <v>198</v>
      </c>
      <c r="BT422" t="s">
        <v>198</v>
      </c>
      <c r="BU422" t="s">
        <v>182</v>
      </c>
      <c r="BV422" t="s">
        <v>198</v>
      </c>
      <c r="BW422" t="s">
        <v>198</v>
      </c>
      <c r="BX422" t="s">
        <v>199</v>
      </c>
      <c r="BY422" t="s">
        <v>198</v>
      </c>
      <c r="BZ422" t="s">
        <v>199</v>
      </c>
      <c r="CA422" t="s">
        <v>199</v>
      </c>
      <c r="CB422" t="s">
        <v>5950</v>
      </c>
      <c r="CC422" t="s">
        <v>201</v>
      </c>
      <c r="CD422" t="s">
        <v>182</v>
      </c>
      <c r="CE422" t="s">
        <v>5951</v>
      </c>
      <c r="CF422" t="s">
        <v>204</v>
      </c>
      <c r="CG422" t="s">
        <v>177</v>
      </c>
      <c r="CH422" t="s">
        <v>187</v>
      </c>
      <c r="CI422" t="s">
        <v>6267</v>
      </c>
      <c r="CS422" t="s">
        <v>198</v>
      </c>
      <c r="DC422" t="s">
        <v>198</v>
      </c>
      <c r="DM422" t="s">
        <v>198</v>
      </c>
      <c r="DW422" t="s">
        <v>198</v>
      </c>
      <c r="EG422" t="s">
        <v>198</v>
      </c>
      <c r="EQ422" t="s">
        <v>198</v>
      </c>
      <c r="FA422" t="s">
        <v>198</v>
      </c>
      <c r="FK422" t="s">
        <v>198</v>
      </c>
      <c r="FU422" t="s">
        <v>198</v>
      </c>
    </row>
    <row r="423" spans="1:177">
      <c r="A423" s="1" t="str">
        <f>HYPERLINK("http://digipan.lumentumllc.com/apps/getLink/index.php?t=PropLink&amp;p=5245245","PL")</f>
        <v>PL</v>
      </c>
      <c r="B423" s="1" t="str">
        <f>HYPERLINK("http://digipan.lumentumllc.com/apps/getLink/index.php?t=TaxLink&amp;p=5245245","TL")</f>
        <v>TL</v>
      </c>
      <c r="C423" s="1" t="str">
        <f>HYPERLINK("http://digipan.lumentumllc.com/apps/getMap/index.php?p=5245245","Map")</f>
        <v>Map</v>
      </c>
      <c r="E423" t="s">
        <v>177</v>
      </c>
      <c r="F423" t="s">
        <v>178</v>
      </c>
      <c r="L423" t="s">
        <v>6268</v>
      </c>
      <c r="N423" t="s">
        <v>6268</v>
      </c>
      <c r="O423" t="s">
        <v>6268</v>
      </c>
      <c r="P423" t="s">
        <v>6269</v>
      </c>
      <c r="Q423" t="s">
        <v>6268</v>
      </c>
      <c r="V423">
        <v>490</v>
      </c>
      <c r="W423">
        <v>2</v>
      </c>
      <c r="X423">
        <v>2017</v>
      </c>
      <c r="Y423">
        <v>2018</v>
      </c>
      <c r="Z423">
        <v>950.19</v>
      </c>
      <c r="AB423" t="s">
        <v>181</v>
      </c>
      <c r="AC423" t="s">
        <v>182</v>
      </c>
      <c r="AD423" t="s">
        <v>183</v>
      </c>
      <c r="AE423">
        <v>0</v>
      </c>
      <c r="AF423">
        <v>4</v>
      </c>
      <c r="AG423" t="s">
        <v>381</v>
      </c>
      <c r="AH423">
        <v>100</v>
      </c>
      <c r="AK423">
        <v>0</v>
      </c>
      <c r="AL423">
        <v>68355</v>
      </c>
      <c r="AM423">
        <v>68355</v>
      </c>
      <c r="AN423">
        <v>0</v>
      </c>
      <c r="AO423">
        <v>829</v>
      </c>
      <c r="AP423">
        <v>2016</v>
      </c>
      <c r="AQ423">
        <v>1.39</v>
      </c>
      <c r="AS423" t="s">
        <v>6270</v>
      </c>
      <c r="AT423" t="s">
        <v>186</v>
      </c>
      <c r="AU423" t="s">
        <v>177</v>
      </c>
      <c r="AV423" t="s">
        <v>187</v>
      </c>
      <c r="AW423" t="s">
        <v>182</v>
      </c>
      <c r="AX423">
        <v>0</v>
      </c>
      <c r="AY423" t="s">
        <v>312</v>
      </c>
      <c r="AZ423" t="s">
        <v>199</v>
      </c>
      <c r="BA423" t="s">
        <v>313</v>
      </c>
      <c r="BB423" t="s">
        <v>191</v>
      </c>
      <c r="BC423" t="s">
        <v>182</v>
      </c>
      <c r="BD423" t="s">
        <v>182</v>
      </c>
      <c r="BE423" t="s">
        <v>6271</v>
      </c>
      <c r="BF423">
        <v>0</v>
      </c>
      <c r="BG423">
        <v>0</v>
      </c>
      <c r="BH423">
        <v>0</v>
      </c>
      <c r="BI423" t="s">
        <v>199</v>
      </c>
      <c r="BJ423" t="s">
        <v>248</v>
      </c>
      <c r="BL423" t="s">
        <v>199</v>
      </c>
      <c r="BM423" t="s">
        <v>358</v>
      </c>
      <c r="BN423" t="s">
        <v>182</v>
      </c>
      <c r="BO423" t="s">
        <v>198</v>
      </c>
      <c r="BP423" t="s">
        <v>198</v>
      </c>
      <c r="BQ423" t="s">
        <v>198</v>
      </c>
      <c r="BR423" t="s">
        <v>198</v>
      </c>
      <c r="BS423" t="s">
        <v>198</v>
      </c>
      <c r="BT423" t="s">
        <v>198</v>
      </c>
      <c r="BU423" t="s">
        <v>182</v>
      </c>
      <c r="BV423" t="s">
        <v>198</v>
      </c>
      <c r="BW423" t="s">
        <v>198</v>
      </c>
      <c r="BX423" t="s">
        <v>199</v>
      </c>
      <c r="BY423" t="s">
        <v>198</v>
      </c>
      <c r="BZ423" t="s">
        <v>199</v>
      </c>
      <c r="CA423" t="s">
        <v>199</v>
      </c>
      <c r="CB423" t="s">
        <v>6272</v>
      </c>
      <c r="CC423" t="s">
        <v>201</v>
      </c>
      <c r="CD423" t="s">
        <v>202</v>
      </c>
      <c r="CE423" t="s">
        <v>6273</v>
      </c>
      <c r="CF423" t="s">
        <v>204</v>
      </c>
      <c r="CG423" t="s">
        <v>177</v>
      </c>
      <c r="CH423" t="s">
        <v>187</v>
      </c>
      <c r="CI423" t="s">
        <v>6274</v>
      </c>
      <c r="CJ423" t="s">
        <v>4644</v>
      </c>
      <c r="CK423" t="s">
        <v>292</v>
      </c>
      <c r="CL423" t="s">
        <v>293</v>
      </c>
      <c r="CM423" t="s">
        <v>6275</v>
      </c>
      <c r="CN423" t="s">
        <v>333</v>
      </c>
      <c r="CO423" t="s">
        <v>183</v>
      </c>
      <c r="CP423" t="s">
        <v>211</v>
      </c>
      <c r="CQ423" t="s">
        <v>342</v>
      </c>
      <c r="CS423" t="s">
        <v>3125</v>
      </c>
      <c r="CT423" t="s">
        <v>6276</v>
      </c>
      <c r="CU423" t="s">
        <v>238</v>
      </c>
      <c r="CV423" t="s">
        <v>239</v>
      </c>
      <c r="CW423" t="s">
        <v>6277</v>
      </c>
      <c r="CX423" t="s">
        <v>278</v>
      </c>
      <c r="CY423" t="s">
        <v>183</v>
      </c>
      <c r="CZ423" t="s">
        <v>211</v>
      </c>
      <c r="DA423" t="s">
        <v>270</v>
      </c>
      <c r="DC423" t="s">
        <v>1314</v>
      </c>
      <c r="DD423" t="s">
        <v>6278</v>
      </c>
      <c r="DE423" t="s">
        <v>346</v>
      </c>
      <c r="DF423" t="s">
        <v>347</v>
      </c>
      <c r="DG423" t="s">
        <v>6279</v>
      </c>
      <c r="DH423" t="s">
        <v>469</v>
      </c>
      <c r="DI423" t="s">
        <v>183</v>
      </c>
      <c r="DJ423" t="s">
        <v>211</v>
      </c>
      <c r="DK423" t="s">
        <v>298</v>
      </c>
      <c r="DM423" t="s">
        <v>3166</v>
      </c>
      <c r="DN423" t="s">
        <v>6280</v>
      </c>
      <c r="DO423" t="s">
        <v>207</v>
      </c>
      <c r="DP423" t="s">
        <v>208</v>
      </c>
      <c r="DQ423" t="s">
        <v>6281</v>
      </c>
      <c r="DR423" t="s">
        <v>576</v>
      </c>
      <c r="DS423" t="s">
        <v>183</v>
      </c>
      <c r="DT423" t="s">
        <v>211</v>
      </c>
      <c r="DU423" t="s">
        <v>298</v>
      </c>
      <c r="DW423" t="s">
        <v>474</v>
      </c>
      <c r="EG423" t="s">
        <v>198</v>
      </c>
      <c r="EQ423" t="s">
        <v>198</v>
      </c>
      <c r="FA423" t="s">
        <v>198</v>
      </c>
      <c r="FK423" t="s">
        <v>198</v>
      </c>
      <c r="FU423" t="s">
        <v>198</v>
      </c>
    </row>
    <row r="424" spans="1:177">
      <c r="A424" s="1" t="str">
        <f>HYPERLINK("http://digipan.lumentumllc.com/apps/getLink/index.php?t=PropLink&amp;p=5245247","PL")</f>
        <v>PL</v>
      </c>
      <c r="B424" s="1" t="str">
        <f>HYPERLINK("http://digipan.lumentumllc.com/apps/getLink/index.php?t=TaxLink&amp;p=5245247","TL")</f>
        <v>TL</v>
      </c>
      <c r="C424" s="1" t="str">
        <f>HYPERLINK("http://digipan.lumentumllc.com/apps/getMap/index.php?p=5245247","Map")</f>
        <v>Map</v>
      </c>
      <c r="E424" t="s">
        <v>177</v>
      </c>
      <c r="F424" t="s">
        <v>178</v>
      </c>
      <c r="L424" t="s">
        <v>6282</v>
      </c>
      <c r="N424" t="s">
        <v>6282</v>
      </c>
      <c r="O424" t="s">
        <v>6282</v>
      </c>
      <c r="P424" t="s">
        <v>6283</v>
      </c>
      <c r="Q424" t="s">
        <v>6282</v>
      </c>
      <c r="V424">
        <v>491</v>
      </c>
      <c r="W424">
        <v>2</v>
      </c>
      <c r="X424">
        <v>2017</v>
      </c>
      <c r="Y424">
        <v>2018</v>
      </c>
      <c r="Z424">
        <v>1066.5</v>
      </c>
      <c r="AB424" t="s">
        <v>181</v>
      </c>
      <c r="AC424" t="s">
        <v>202</v>
      </c>
      <c r="AD424" t="s">
        <v>183</v>
      </c>
      <c r="AE424">
        <v>0</v>
      </c>
      <c r="AF424">
        <v>6</v>
      </c>
      <c r="AG424" t="s">
        <v>528</v>
      </c>
      <c r="AH424">
        <v>100</v>
      </c>
      <c r="AK424">
        <v>0</v>
      </c>
      <c r="AL424">
        <v>68494</v>
      </c>
      <c r="AM424">
        <v>15750</v>
      </c>
      <c r="AN424">
        <v>52744</v>
      </c>
      <c r="AO424">
        <v>854</v>
      </c>
      <c r="AP424">
        <v>2016</v>
      </c>
      <c r="AQ424">
        <v>1.56</v>
      </c>
      <c r="AS424" t="s">
        <v>6284</v>
      </c>
      <c r="AT424" t="s">
        <v>186</v>
      </c>
      <c r="AU424" t="s">
        <v>177</v>
      </c>
      <c r="AV424" t="s">
        <v>187</v>
      </c>
      <c r="AW424" t="s">
        <v>182</v>
      </c>
      <c r="AX424">
        <v>1</v>
      </c>
      <c r="AY424" t="s">
        <v>188</v>
      </c>
      <c r="AZ424" t="s">
        <v>206</v>
      </c>
      <c r="BA424" t="s">
        <v>355</v>
      </c>
      <c r="BB424" t="s">
        <v>191</v>
      </c>
      <c r="BC424" t="s">
        <v>182</v>
      </c>
      <c r="BD424" t="s">
        <v>182</v>
      </c>
      <c r="BE424" t="s">
        <v>6085</v>
      </c>
      <c r="BF424">
        <v>1</v>
      </c>
      <c r="BG424">
        <v>1</v>
      </c>
      <c r="BH424">
        <v>1955</v>
      </c>
      <c r="BI424" t="s">
        <v>6285</v>
      </c>
      <c r="BJ424" t="s">
        <v>194</v>
      </c>
      <c r="BK424" t="s">
        <v>195</v>
      </c>
      <c r="BL424" t="s">
        <v>6286</v>
      </c>
      <c r="BM424" t="s">
        <v>286</v>
      </c>
      <c r="BN424" t="s">
        <v>182</v>
      </c>
      <c r="BO424" t="s">
        <v>1204</v>
      </c>
      <c r="BP424" t="s">
        <v>6287</v>
      </c>
      <c r="BQ424" t="s">
        <v>800</v>
      </c>
      <c r="BR424" t="s">
        <v>563</v>
      </c>
      <c r="BS424" t="s">
        <v>198</v>
      </c>
      <c r="BT424" t="s">
        <v>6288</v>
      </c>
      <c r="BU424" t="s">
        <v>182</v>
      </c>
      <c r="BV424" t="s">
        <v>198</v>
      </c>
      <c r="BW424" t="s">
        <v>198</v>
      </c>
      <c r="BX424" t="s">
        <v>199</v>
      </c>
      <c r="BY424" t="s">
        <v>198</v>
      </c>
      <c r="BZ424" t="s">
        <v>199</v>
      </c>
      <c r="CA424" t="s">
        <v>199</v>
      </c>
      <c r="CB424" t="s">
        <v>6289</v>
      </c>
      <c r="CC424" t="s">
        <v>201</v>
      </c>
      <c r="CD424" t="s">
        <v>182</v>
      </c>
      <c r="CE424" t="s">
        <v>6290</v>
      </c>
      <c r="CF424" t="s">
        <v>6291</v>
      </c>
      <c r="CG424" t="s">
        <v>627</v>
      </c>
      <c r="CH424" t="s">
        <v>6292</v>
      </c>
      <c r="CI424" t="s">
        <v>6293</v>
      </c>
      <c r="CJ424" t="s">
        <v>5851</v>
      </c>
      <c r="CK424" t="s">
        <v>232</v>
      </c>
      <c r="CL424" t="s">
        <v>233</v>
      </c>
      <c r="CM424" t="s">
        <v>6294</v>
      </c>
      <c r="CN424" t="s">
        <v>235</v>
      </c>
      <c r="CO424" t="s">
        <v>183</v>
      </c>
      <c r="CP424" t="s">
        <v>211</v>
      </c>
      <c r="CQ424" t="s">
        <v>199</v>
      </c>
      <c r="CR424" t="s">
        <v>271</v>
      </c>
      <c r="CS424" t="s">
        <v>735</v>
      </c>
      <c r="CT424" t="s">
        <v>4556</v>
      </c>
      <c r="CU424" t="s">
        <v>292</v>
      </c>
      <c r="CV424" t="s">
        <v>293</v>
      </c>
      <c r="CW424" t="s">
        <v>6295</v>
      </c>
      <c r="CX424" t="s">
        <v>235</v>
      </c>
      <c r="CY424" t="s">
        <v>183</v>
      </c>
      <c r="CZ424" t="s">
        <v>211</v>
      </c>
      <c r="DA424" t="s">
        <v>427</v>
      </c>
      <c r="DB424" t="s">
        <v>271</v>
      </c>
      <c r="DC424" t="s">
        <v>735</v>
      </c>
      <c r="DD424" t="s">
        <v>4611</v>
      </c>
      <c r="DE424" t="s">
        <v>267</v>
      </c>
      <c r="DF424" t="s">
        <v>268</v>
      </c>
      <c r="DG424" t="s">
        <v>6296</v>
      </c>
      <c r="DH424" t="s">
        <v>235</v>
      </c>
      <c r="DI424" t="s">
        <v>183</v>
      </c>
      <c r="DJ424" t="s">
        <v>211</v>
      </c>
      <c r="DL424" t="s">
        <v>271</v>
      </c>
      <c r="DM424" t="s">
        <v>198</v>
      </c>
      <c r="DN424" t="s">
        <v>6297</v>
      </c>
      <c r="DO424" t="s">
        <v>302</v>
      </c>
      <c r="DP424" t="s">
        <v>303</v>
      </c>
      <c r="DQ424" t="s">
        <v>6298</v>
      </c>
      <c r="DR424" t="s">
        <v>3342</v>
      </c>
      <c r="DS424" t="s">
        <v>183</v>
      </c>
      <c r="DT424" t="s">
        <v>211</v>
      </c>
      <c r="DU424" t="s">
        <v>342</v>
      </c>
      <c r="DW424" t="s">
        <v>3825</v>
      </c>
      <c r="DX424" t="s">
        <v>6299</v>
      </c>
      <c r="DY424" t="s">
        <v>238</v>
      </c>
      <c r="DZ424" t="s">
        <v>239</v>
      </c>
      <c r="EA424" t="s">
        <v>5198</v>
      </c>
      <c r="EB424" t="s">
        <v>247</v>
      </c>
      <c r="EC424" t="s">
        <v>183</v>
      </c>
      <c r="ED424" t="s">
        <v>211</v>
      </c>
      <c r="EE424" t="s">
        <v>345</v>
      </c>
      <c r="EG424" t="s">
        <v>2435</v>
      </c>
      <c r="EH424" t="s">
        <v>6300</v>
      </c>
      <c r="EI424" t="s">
        <v>346</v>
      </c>
      <c r="EJ424" t="s">
        <v>347</v>
      </c>
      <c r="EK424" t="s">
        <v>6301</v>
      </c>
      <c r="EL424" t="s">
        <v>235</v>
      </c>
      <c r="EM424" t="s">
        <v>183</v>
      </c>
      <c r="EN424" t="s">
        <v>211</v>
      </c>
      <c r="EO424" t="s">
        <v>865</v>
      </c>
      <c r="EQ424" t="s">
        <v>3825</v>
      </c>
      <c r="FA424" t="s">
        <v>198</v>
      </c>
      <c r="FK424" t="s">
        <v>198</v>
      </c>
      <c r="FU424" t="s">
        <v>198</v>
      </c>
    </row>
    <row r="425" spans="1:177">
      <c r="A425" s="1" t="str">
        <f>HYPERLINK("http://digipan.lumentumllc.com/apps/getLink/index.php?t=PropLink&amp;p=6128909","PL")</f>
        <v>PL</v>
      </c>
      <c r="B425" s="1" t="str">
        <f>HYPERLINK("http://digipan.lumentumllc.com/apps/getLink/index.php?t=TaxLink&amp;p=6128909","TL")</f>
        <v>TL</v>
      </c>
      <c r="C425" s="1" t="str">
        <f>HYPERLINK("http://digipan.lumentumllc.com/apps/getMap/index.php?p=6128909","Map")</f>
        <v>Map</v>
      </c>
      <c r="E425" t="s">
        <v>177</v>
      </c>
      <c r="F425" t="s">
        <v>178</v>
      </c>
      <c r="L425" t="s">
        <v>6302</v>
      </c>
      <c r="N425" t="s">
        <v>6302</v>
      </c>
      <c r="O425" t="s">
        <v>6302</v>
      </c>
      <c r="P425" t="s">
        <v>6303</v>
      </c>
      <c r="Q425" t="s">
        <v>6302</v>
      </c>
      <c r="V425">
        <v>492</v>
      </c>
      <c r="W425">
        <v>2</v>
      </c>
      <c r="X425">
        <v>2017</v>
      </c>
      <c r="Y425">
        <v>2018</v>
      </c>
      <c r="Z425">
        <v>684.79</v>
      </c>
      <c r="AB425" t="s">
        <v>181</v>
      </c>
      <c r="AC425" t="s">
        <v>182</v>
      </c>
      <c r="AD425" t="s">
        <v>183</v>
      </c>
      <c r="AE425">
        <v>1</v>
      </c>
      <c r="AF425">
        <v>5</v>
      </c>
      <c r="AG425" t="s">
        <v>322</v>
      </c>
      <c r="AH425">
        <v>83</v>
      </c>
      <c r="AI425">
        <v>669.12</v>
      </c>
      <c r="AJ425">
        <v>33.46</v>
      </c>
      <c r="AK425">
        <v>702.58</v>
      </c>
      <c r="AL425">
        <v>65485</v>
      </c>
      <c r="AM425">
        <v>13500</v>
      </c>
      <c r="AN425">
        <v>51985</v>
      </c>
      <c r="AO425">
        <v>594</v>
      </c>
      <c r="AP425">
        <v>2016</v>
      </c>
      <c r="AQ425">
        <v>1.05</v>
      </c>
      <c r="AR425">
        <v>1.07</v>
      </c>
      <c r="AS425" t="s">
        <v>6304</v>
      </c>
      <c r="AT425" t="s">
        <v>186</v>
      </c>
      <c r="AU425" t="s">
        <v>177</v>
      </c>
      <c r="AV425" t="s">
        <v>187</v>
      </c>
      <c r="AW425" t="s">
        <v>202</v>
      </c>
      <c r="AX425">
        <v>1</v>
      </c>
      <c r="AY425" t="s">
        <v>188</v>
      </c>
      <c r="AZ425" t="s">
        <v>206</v>
      </c>
      <c r="BA425" t="s">
        <v>355</v>
      </c>
      <c r="BB425" t="s">
        <v>191</v>
      </c>
      <c r="BC425" t="s">
        <v>182</v>
      </c>
      <c r="BD425" t="s">
        <v>182</v>
      </c>
      <c r="BE425" t="s">
        <v>6305</v>
      </c>
      <c r="BF425">
        <v>1</v>
      </c>
      <c r="BG425">
        <v>1</v>
      </c>
      <c r="BH425">
        <v>1993</v>
      </c>
      <c r="BI425" t="s">
        <v>6306</v>
      </c>
      <c r="BJ425" t="s">
        <v>194</v>
      </c>
      <c r="BK425" t="s">
        <v>195</v>
      </c>
      <c r="BL425" t="s">
        <v>199</v>
      </c>
      <c r="BM425" t="s">
        <v>286</v>
      </c>
      <c r="BN425" t="s">
        <v>182</v>
      </c>
      <c r="BO425" t="s">
        <v>198</v>
      </c>
      <c r="BP425" t="s">
        <v>198</v>
      </c>
      <c r="BQ425" t="s">
        <v>198</v>
      </c>
      <c r="BR425" t="s">
        <v>198</v>
      </c>
      <c r="BS425" t="s">
        <v>198</v>
      </c>
      <c r="BT425" t="s">
        <v>198</v>
      </c>
      <c r="BU425" t="s">
        <v>182</v>
      </c>
      <c r="BV425" t="s">
        <v>198</v>
      </c>
      <c r="BW425" t="s">
        <v>198</v>
      </c>
      <c r="BX425" t="s">
        <v>199</v>
      </c>
      <c r="BY425" t="s">
        <v>198</v>
      </c>
      <c r="BZ425" t="s">
        <v>199</v>
      </c>
      <c r="CA425" t="s">
        <v>199</v>
      </c>
      <c r="CB425" t="s">
        <v>6307</v>
      </c>
      <c r="CC425" t="s">
        <v>201</v>
      </c>
      <c r="CD425" t="s">
        <v>202</v>
      </c>
      <c r="CE425" t="s">
        <v>6308</v>
      </c>
      <c r="CF425" t="s">
        <v>204</v>
      </c>
      <c r="CG425" t="s">
        <v>177</v>
      </c>
      <c r="CH425" t="s">
        <v>187</v>
      </c>
      <c r="CI425" t="s">
        <v>6309</v>
      </c>
      <c r="CJ425" t="s">
        <v>4707</v>
      </c>
      <c r="CK425" t="s">
        <v>232</v>
      </c>
      <c r="CL425" t="s">
        <v>233</v>
      </c>
      <c r="CM425" t="s">
        <v>6310</v>
      </c>
      <c r="CN425" t="s">
        <v>235</v>
      </c>
      <c r="CO425" t="s">
        <v>183</v>
      </c>
      <c r="CP425" t="s">
        <v>266</v>
      </c>
      <c r="CS425" t="s">
        <v>198</v>
      </c>
      <c r="CT425" t="s">
        <v>5619</v>
      </c>
      <c r="CU425" t="s">
        <v>292</v>
      </c>
      <c r="CV425" t="s">
        <v>293</v>
      </c>
      <c r="CW425" t="s">
        <v>6311</v>
      </c>
      <c r="CX425" t="s">
        <v>235</v>
      </c>
      <c r="CY425" t="s">
        <v>183</v>
      </c>
      <c r="CZ425" t="s">
        <v>211</v>
      </c>
      <c r="DA425" t="s">
        <v>345</v>
      </c>
      <c r="DC425" t="s">
        <v>6312</v>
      </c>
      <c r="DD425" t="s">
        <v>4632</v>
      </c>
      <c r="DE425" t="s">
        <v>267</v>
      </c>
      <c r="DF425" t="s">
        <v>268</v>
      </c>
      <c r="DG425" t="s">
        <v>6313</v>
      </c>
      <c r="DH425" t="s">
        <v>235</v>
      </c>
      <c r="DI425" t="s">
        <v>183</v>
      </c>
      <c r="DJ425" t="s">
        <v>211</v>
      </c>
      <c r="DK425" t="s">
        <v>298</v>
      </c>
      <c r="DM425" t="s">
        <v>2151</v>
      </c>
      <c r="DN425" t="s">
        <v>4653</v>
      </c>
      <c r="DO425" t="s">
        <v>273</v>
      </c>
      <c r="DP425" t="s">
        <v>274</v>
      </c>
      <c r="DQ425" t="s">
        <v>6314</v>
      </c>
      <c r="DR425" t="s">
        <v>235</v>
      </c>
      <c r="DS425" t="s">
        <v>183</v>
      </c>
      <c r="DT425" t="s">
        <v>211</v>
      </c>
      <c r="DU425" t="s">
        <v>487</v>
      </c>
      <c r="DW425" t="s">
        <v>6315</v>
      </c>
      <c r="DX425" t="s">
        <v>6316</v>
      </c>
      <c r="DY425" t="s">
        <v>302</v>
      </c>
      <c r="DZ425" t="s">
        <v>303</v>
      </c>
      <c r="EA425" t="s">
        <v>6317</v>
      </c>
      <c r="EB425" t="s">
        <v>235</v>
      </c>
      <c r="EC425" t="s">
        <v>183</v>
      </c>
      <c r="ED425" t="s">
        <v>211</v>
      </c>
      <c r="EE425" t="s">
        <v>523</v>
      </c>
      <c r="EG425" t="s">
        <v>6318</v>
      </c>
      <c r="EH425" t="s">
        <v>6319</v>
      </c>
      <c r="EI425" t="s">
        <v>238</v>
      </c>
      <c r="EJ425" t="s">
        <v>239</v>
      </c>
      <c r="EK425" t="s">
        <v>6320</v>
      </c>
      <c r="EL425" t="s">
        <v>235</v>
      </c>
      <c r="EM425" t="s">
        <v>183</v>
      </c>
      <c r="EN425" t="s">
        <v>211</v>
      </c>
      <c r="EO425" t="s">
        <v>298</v>
      </c>
      <c r="EQ425" t="s">
        <v>1133</v>
      </c>
      <c r="FA425" t="s">
        <v>198</v>
      </c>
      <c r="FK425" t="s">
        <v>198</v>
      </c>
      <c r="FU425" t="s">
        <v>198</v>
      </c>
    </row>
    <row r="426" spans="1:177">
      <c r="A426" s="1" t="str">
        <f>HYPERLINK("http://digipan.lumentumllc.com/apps/getLink/index.php?t=PropLink&amp;p=5245249","PL")</f>
        <v>PL</v>
      </c>
      <c r="B426" s="1" t="str">
        <f>HYPERLINK("http://digipan.lumentumllc.com/apps/getLink/index.php?t=TaxLink&amp;p=5245249","TL")</f>
        <v>TL</v>
      </c>
      <c r="C426" s="1" t="str">
        <f>HYPERLINK("http://digipan.lumentumllc.com/apps/getMap/index.php?p=5245249","Map")</f>
        <v>Map</v>
      </c>
      <c r="E426" t="s">
        <v>177</v>
      </c>
      <c r="F426" t="s">
        <v>178</v>
      </c>
      <c r="L426" t="s">
        <v>6321</v>
      </c>
      <c r="N426" t="s">
        <v>6321</v>
      </c>
      <c r="O426" t="s">
        <v>6321</v>
      </c>
      <c r="P426" t="s">
        <v>6322</v>
      </c>
      <c r="Q426" t="s">
        <v>6321</v>
      </c>
      <c r="V426">
        <v>493</v>
      </c>
      <c r="W426">
        <v>2</v>
      </c>
      <c r="X426">
        <v>2017</v>
      </c>
      <c r="Y426">
        <v>2018</v>
      </c>
      <c r="Z426">
        <v>41.44</v>
      </c>
      <c r="AB426" t="s">
        <v>181</v>
      </c>
      <c r="AC426" t="s">
        <v>182</v>
      </c>
      <c r="AD426" t="s">
        <v>1037</v>
      </c>
      <c r="AE426">
        <v>7</v>
      </c>
      <c r="AF426">
        <v>0</v>
      </c>
      <c r="AG426" t="s">
        <v>1038</v>
      </c>
      <c r="AH426">
        <v>0</v>
      </c>
      <c r="AI426">
        <v>337.81</v>
      </c>
      <c r="AJ426">
        <v>221.99</v>
      </c>
      <c r="AK426">
        <v>559.79999999999995</v>
      </c>
      <c r="AL426">
        <v>625</v>
      </c>
      <c r="AM426">
        <v>625</v>
      </c>
      <c r="AN426">
        <v>0</v>
      </c>
      <c r="AO426">
        <v>9</v>
      </c>
      <c r="AP426">
        <v>2016</v>
      </c>
      <c r="AQ426">
        <v>6.63</v>
      </c>
      <c r="AR426">
        <v>89.57</v>
      </c>
      <c r="AS426" t="s">
        <v>5706</v>
      </c>
      <c r="AT426" t="s">
        <v>186</v>
      </c>
      <c r="AU426" t="s">
        <v>177</v>
      </c>
      <c r="AV426" t="s">
        <v>187</v>
      </c>
      <c r="AW426" t="s">
        <v>182</v>
      </c>
      <c r="AX426">
        <v>0</v>
      </c>
      <c r="AY426" t="s">
        <v>312</v>
      </c>
      <c r="AZ426" t="s">
        <v>199</v>
      </c>
      <c r="BA426" t="s">
        <v>313</v>
      </c>
      <c r="BB426" t="s">
        <v>191</v>
      </c>
      <c r="BC426" t="s">
        <v>182</v>
      </c>
      <c r="BD426" t="s">
        <v>182</v>
      </c>
      <c r="BE426" t="s">
        <v>3918</v>
      </c>
      <c r="BF426">
        <v>0</v>
      </c>
      <c r="BG426">
        <v>0</v>
      </c>
      <c r="BH426">
        <v>0</v>
      </c>
      <c r="BI426" t="s">
        <v>199</v>
      </c>
      <c r="BJ426" t="s">
        <v>315</v>
      </c>
      <c r="BL426" t="s">
        <v>199</v>
      </c>
      <c r="BM426" t="s">
        <v>232</v>
      </c>
      <c r="BN426" t="s">
        <v>182</v>
      </c>
      <c r="BO426" t="s">
        <v>198</v>
      </c>
      <c r="BP426" t="s">
        <v>198</v>
      </c>
      <c r="BQ426" t="s">
        <v>198</v>
      </c>
      <c r="BR426" t="s">
        <v>198</v>
      </c>
      <c r="BS426" t="s">
        <v>198</v>
      </c>
      <c r="BT426" t="s">
        <v>198</v>
      </c>
      <c r="BU426" t="s">
        <v>182</v>
      </c>
      <c r="BV426" t="s">
        <v>198</v>
      </c>
      <c r="BW426" t="s">
        <v>198</v>
      </c>
      <c r="BX426" t="s">
        <v>199</v>
      </c>
      <c r="BY426" t="s">
        <v>198</v>
      </c>
      <c r="BZ426" t="s">
        <v>199</v>
      </c>
      <c r="CA426" t="s">
        <v>199</v>
      </c>
      <c r="CB426" t="s">
        <v>6323</v>
      </c>
      <c r="CC426" t="s">
        <v>201</v>
      </c>
      <c r="CD426" t="s">
        <v>182</v>
      </c>
      <c r="CE426" t="s">
        <v>6324</v>
      </c>
      <c r="CF426" t="s">
        <v>6325</v>
      </c>
      <c r="CG426" t="s">
        <v>6326</v>
      </c>
      <c r="CH426" t="s">
        <v>6327</v>
      </c>
      <c r="CI426" t="s">
        <v>6328</v>
      </c>
      <c r="CJ426" t="s">
        <v>6329</v>
      </c>
      <c r="CK426" t="s">
        <v>232</v>
      </c>
      <c r="CL426" t="s">
        <v>233</v>
      </c>
      <c r="CM426" t="s">
        <v>6330</v>
      </c>
      <c r="CN426" t="s">
        <v>482</v>
      </c>
      <c r="CO426" t="s">
        <v>5</v>
      </c>
      <c r="CP426" t="s">
        <v>266</v>
      </c>
      <c r="CS426" t="s">
        <v>198</v>
      </c>
      <c r="CT426" t="s">
        <v>4583</v>
      </c>
      <c r="CU426" t="s">
        <v>292</v>
      </c>
      <c r="CV426" t="s">
        <v>293</v>
      </c>
      <c r="CW426" t="s">
        <v>6331</v>
      </c>
      <c r="CX426" t="s">
        <v>482</v>
      </c>
      <c r="CY426" t="s">
        <v>5</v>
      </c>
      <c r="CZ426" t="s">
        <v>266</v>
      </c>
      <c r="DC426" t="s">
        <v>198</v>
      </c>
      <c r="DD426" t="s">
        <v>4643</v>
      </c>
      <c r="DE426" t="s">
        <v>267</v>
      </c>
      <c r="DF426" t="s">
        <v>268</v>
      </c>
      <c r="DG426" t="s">
        <v>6332</v>
      </c>
      <c r="DH426" t="s">
        <v>482</v>
      </c>
      <c r="DI426" t="s">
        <v>5</v>
      </c>
      <c r="DJ426" t="s">
        <v>266</v>
      </c>
      <c r="DM426" t="s">
        <v>198</v>
      </c>
      <c r="DN426" t="s">
        <v>4662</v>
      </c>
      <c r="DO426" t="s">
        <v>273</v>
      </c>
      <c r="DP426" t="s">
        <v>274</v>
      </c>
      <c r="DQ426" t="s">
        <v>6333</v>
      </c>
      <c r="DR426" t="s">
        <v>482</v>
      </c>
      <c r="DS426" t="s">
        <v>5</v>
      </c>
      <c r="DT426" t="s">
        <v>266</v>
      </c>
      <c r="DW426" t="s">
        <v>198</v>
      </c>
      <c r="DX426" t="s">
        <v>6334</v>
      </c>
      <c r="DY426" t="s">
        <v>302</v>
      </c>
      <c r="DZ426" t="s">
        <v>303</v>
      </c>
      <c r="EA426" t="s">
        <v>6335</v>
      </c>
      <c r="EB426" t="s">
        <v>576</v>
      </c>
      <c r="EC426" t="s">
        <v>183</v>
      </c>
      <c r="ED426" t="s">
        <v>266</v>
      </c>
      <c r="EG426" t="s">
        <v>198</v>
      </c>
      <c r="EH426" t="s">
        <v>6336</v>
      </c>
      <c r="EI426" t="s">
        <v>238</v>
      </c>
      <c r="EJ426" t="s">
        <v>239</v>
      </c>
      <c r="EK426" t="s">
        <v>6337</v>
      </c>
      <c r="EL426" t="s">
        <v>482</v>
      </c>
      <c r="EM426" t="s">
        <v>183</v>
      </c>
      <c r="EN426" t="s">
        <v>266</v>
      </c>
      <c r="EQ426" t="s">
        <v>198</v>
      </c>
      <c r="ER426" t="s">
        <v>6338</v>
      </c>
      <c r="ES426" t="s">
        <v>346</v>
      </c>
      <c r="ET426" t="s">
        <v>347</v>
      </c>
      <c r="EU426" t="s">
        <v>6339</v>
      </c>
      <c r="EV426" t="s">
        <v>341</v>
      </c>
      <c r="EW426" t="s">
        <v>183</v>
      </c>
      <c r="EX426" t="s">
        <v>266</v>
      </c>
      <c r="FA426" t="s">
        <v>198</v>
      </c>
      <c r="FK426" t="s">
        <v>198</v>
      </c>
      <c r="FU426" t="s">
        <v>198</v>
      </c>
    </row>
    <row r="427" spans="1:177">
      <c r="A427" s="1" t="str">
        <f>HYPERLINK("http://digipan.lumentumllc.com/apps/getLink/index.php?t=PropLink&amp;p=5245251","PL")</f>
        <v>PL</v>
      </c>
      <c r="B427" s="1" t="str">
        <f>HYPERLINK("http://digipan.lumentumllc.com/apps/getLink/index.php?t=TaxLink&amp;p=5245251","TL")</f>
        <v>TL</v>
      </c>
      <c r="C427" s="1" t="str">
        <f>HYPERLINK("http://digipan.lumentumllc.com/apps/getMap/index.php?p=5245251","Map")</f>
        <v>Map</v>
      </c>
      <c r="E427" t="s">
        <v>177</v>
      </c>
      <c r="F427" t="s">
        <v>178</v>
      </c>
      <c r="L427" t="s">
        <v>6340</v>
      </c>
      <c r="N427" t="s">
        <v>6340</v>
      </c>
      <c r="O427" t="s">
        <v>6340</v>
      </c>
      <c r="P427" t="s">
        <v>6341</v>
      </c>
      <c r="Q427" t="s">
        <v>6340</v>
      </c>
      <c r="V427">
        <v>494</v>
      </c>
      <c r="W427">
        <v>2</v>
      </c>
      <c r="X427">
        <v>2017</v>
      </c>
      <c r="Y427">
        <v>2018</v>
      </c>
      <c r="Z427">
        <v>41.44</v>
      </c>
      <c r="AB427" t="s">
        <v>181</v>
      </c>
      <c r="AC427" t="s">
        <v>182</v>
      </c>
      <c r="AD427" t="s">
        <v>1037</v>
      </c>
      <c r="AE427">
        <v>7</v>
      </c>
      <c r="AF427">
        <v>0</v>
      </c>
      <c r="AG427" t="s">
        <v>1038</v>
      </c>
      <c r="AH427">
        <v>0</v>
      </c>
      <c r="AI427">
        <v>261.94</v>
      </c>
      <c r="AJ427">
        <v>200.08</v>
      </c>
      <c r="AK427">
        <v>462.02</v>
      </c>
      <c r="AL427">
        <v>625</v>
      </c>
      <c r="AM427">
        <v>625</v>
      </c>
      <c r="AN427">
        <v>0</v>
      </c>
      <c r="AO427">
        <v>9</v>
      </c>
      <c r="AP427">
        <v>2016</v>
      </c>
      <c r="AQ427">
        <v>6.63</v>
      </c>
      <c r="AR427">
        <v>73.92</v>
      </c>
      <c r="AS427" t="s">
        <v>5706</v>
      </c>
      <c r="AT427" t="s">
        <v>186</v>
      </c>
      <c r="AU427" t="s">
        <v>177</v>
      </c>
      <c r="AV427" t="s">
        <v>187</v>
      </c>
      <c r="AW427" t="s">
        <v>182</v>
      </c>
      <c r="AX427">
        <v>0</v>
      </c>
      <c r="AY427" t="s">
        <v>312</v>
      </c>
      <c r="AZ427" t="s">
        <v>199</v>
      </c>
      <c r="BA427" t="s">
        <v>313</v>
      </c>
      <c r="BB427" t="s">
        <v>191</v>
      </c>
      <c r="BC427" t="s">
        <v>182</v>
      </c>
      <c r="BD427" t="s">
        <v>182</v>
      </c>
      <c r="BE427" t="s">
        <v>3918</v>
      </c>
      <c r="BF427">
        <v>0</v>
      </c>
      <c r="BG427">
        <v>0</v>
      </c>
      <c r="BH427">
        <v>0</v>
      </c>
      <c r="BI427" t="s">
        <v>199</v>
      </c>
      <c r="BJ427" t="s">
        <v>315</v>
      </c>
      <c r="BL427" t="s">
        <v>199</v>
      </c>
      <c r="BM427" t="s">
        <v>1003</v>
      </c>
      <c r="BN427" t="s">
        <v>182</v>
      </c>
      <c r="BO427" t="s">
        <v>198</v>
      </c>
      <c r="BP427" t="s">
        <v>198</v>
      </c>
      <c r="BQ427" t="s">
        <v>198</v>
      </c>
      <c r="BR427" t="s">
        <v>198</v>
      </c>
      <c r="BS427" t="s">
        <v>198</v>
      </c>
      <c r="BT427" t="s">
        <v>198</v>
      </c>
      <c r="BU427" t="s">
        <v>182</v>
      </c>
      <c r="BV427" t="s">
        <v>198</v>
      </c>
      <c r="BW427" t="s">
        <v>198</v>
      </c>
      <c r="BX427" t="s">
        <v>199</v>
      </c>
      <c r="BY427" t="s">
        <v>198</v>
      </c>
      <c r="BZ427" t="s">
        <v>199</v>
      </c>
      <c r="CA427" t="s">
        <v>199</v>
      </c>
      <c r="CB427" t="s">
        <v>6342</v>
      </c>
      <c r="CC427" t="s">
        <v>1407</v>
      </c>
      <c r="CD427" t="s">
        <v>202</v>
      </c>
      <c r="CE427" t="s">
        <v>6343</v>
      </c>
      <c r="CF427" t="s">
        <v>2333</v>
      </c>
      <c r="CG427" t="s">
        <v>177</v>
      </c>
      <c r="CH427" t="s">
        <v>2334</v>
      </c>
      <c r="CI427" t="s">
        <v>6344</v>
      </c>
      <c r="CJ427" t="s">
        <v>4738</v>
      </c>
      <c r="CK427" t="s">
        <v>232</v>
      </c>
      <c r="CL427" t="s">
        <v>233</v>
      </c>
      <c r="CM427" t="s">
        <v>6330</v>
      </c>
      <c r="CN427" t="s">
        <v>482</v>
      </c>
      <c r="CO427" t="s">
        <v>5</v>
      </c>
      <c r="CP427" t="s">
        <v>266</v>
      </c>
      <c r="CS427" t="s">
        <v>198</v>
      </c>
      <c r="CT427" t="s">
        <v>4599</v>
      </c>
      <c r="CU427" t="s">
        <v>292</v>
      </c>
      <c r="CV427" t="s">
        <v>293</v>
      </c>
      <c r="CW427" t="s">
        <v>6331</v>
      </c>
      <c r="CX427" t="s">
        <v>482</v>
      </c>
      <c r="CY427" t="s">
        <v>5</v>
      </c>
      <c r="CZ427" t="s">
        <v>266</v>
      </c>
      <c r="DC427" t="s">
        <v>198</v>
      </c>
      <c r="DD427" t="s">
        <v>4653</v>
      </c>
      <c r="DE427" t="s">
        <v>267</v>
      </c>
      <c r="DF427" t="s">
        <v>268</v>
      </c>
      <c r="DG427" t="s">
        <v>6345</v>
      </c>
      <c r="DH427" t="s">
        <v>482</v>
      </c>
      <c r="DI427" t="s">
        <v>5</v>
      </c>
      <c r="DJ427" t="s">
        <v>266</v>
      </c>
      <c r="DM427" t="s">
        <v>198</v>
      </c>
      <c r="DN427" t="s">
        <v>4675</v>
      </c>
      <c r="DO427" t="s">
        <v>273</v>
      </c>
      <c r="DP427" t="s">
        <v>274</v>
      </c>
      <c r="DQ427" t="s">
        <v>6346</v>
      </c>
      <c r="DR427" t="s">
        <v>482</v>
      </c>
      <c r="DS427" t="s">
        <v>5</v>
      </c>
      <c r="DT427" t="s">
        <v>266</v>
      </c>
      <c r="DW427" t="s">
        <v>198</v>
      </c>
      <c r="DX427" t="s">
        <v>6347</v>
      </c>
      <c r="DY427" t="s">
        <v>302</v>
      </c>
      <c r="DZ427" t="s">
        <v>303</v>
      </c>
      <c r="EA427" t="s">
        <v>6348</v>
      </c>
      <c r="EB427" t="s">
        <v>1615</v>
      </c>
      <c r="EC427" t="s">
        <v>183</v>
      </c>
      <c r="ED427" t="s">
        <v>266</v>
      </c>
      <c r="EG427" t="s">
        <v>198</v>
      </c>
      <c r="EH427" t="s">
        <v>6349</v>
      </c>
      <c r="EI427" t="s">
        <v>238</v>
      </c>
      <c r="EJ427" t="s">
        <v>239</v>
      </c>
      <c r="EK427" t="s">
        <v>6350</v>
      </c>
      <c r="EL427" t="s">
        <v>482</v>
      </c>
      <c r="EM427" t="s">
        <v>183</v>
      </c>
      <c r="EN427" t="s">
        <v>266</v>
      </c>
      <c r="EQ427" t="s">
        <v>198</v>
      </c>
      <c r="ER427" t="s">
        <v>6351</v>
      </c>
      <c r="ES427" t="s">
        <v>346</v>
      </c>
      <c r="ET427" t="s">
        <v>347</v>
      </c>
      <c r="EU427" t="s">
        <v>6352</v>
      </c>
      <c r="EV427" t="s">
        <v>482</v>
      </c>
      <c r="EW427" t="s">
        <v>183</v>
      </c>
      <c r="EX427" t="s">
        <v>266</v>
      </c>
      <c r="FA427" t="s">
        <v>198</v>
      </c>
      <c r="FK427" t="s">
        <v>198</v>
      </c>
      <c r="FU427" t="s">
        <v>198</v>
      </c>
    </row>
    <row r="428" spans="1:177">
      <c r="A428" s="1" t="str">
        <f>HYPERLINK("http://digipan.lumentumllc.com/apps/getLink/index.php?t=PropLink&amp;p=5245252","PL")</f>
        <v>PL</v>
      </c>
      <c r="B428" s="1" t="str">
        <f>HYPERLINK("http://digipan.lumentumllc.com/apps/getLink/index.php?t=TaxLink&amp;p=5245252","TL")</f>
        <v>TL</v>
      </c>
      <c r="C428" s="1" t="str">
        <f>HYPERLINK("http://digipan.lumentumllc.com/apps/getMap/index.php?p=5245252","Map")</f>
        <v>Map</v>
      </c>
      <c r="E428" t="s">
        <v>177</v>
      </c>
      <c r="F428" t="s">
        <v>178</v>
      </c>
      <c r="L428" t="s">
        <v>6353</v>
      </c>
      <c r="N428" t="s">
        <v>6353</v>
      </c>
      <c r="O428" t="s">
        <v>6353</v>
      </c>
      <c r="P428" t="s">
        <v>6354</v>
      </c>
      <c r="Q428" t="s">
        <v>6353</v>
      </c>
      <c r="V428">
        <v>495</v>
      </c>
      <c r="W428">
        <v>2</v>
      </c>
      <c r="X428">
        <v>2017</v>
      </c>
      <c r="Y428">
        <v>2018</v>
      </c>
      <c r="Z428">
        <v>41.44</v>
      </c>
      <c r="AB428" t="s">
        <v>181</v>
      </c>
      <c r="AC428" t="s">
        <v>182</v>
      </c>
      <c r="AD428" t="s">
        <v>1037</v>
      </c>
      <c r="AE428">
        <v>7</v>
      </c>
      <c r="AF428">
        <v>0</v>
      </c>
      <c r="AG428" t="s">
        <v>1038</v>
      </c>
      <c r="AH428">
        <v>0</v>
      </c>
      <c r="AI428">
        <v>331.41</v>
      </c>
      <c r="AJ428">
        <v>281.83999999999997</v>
      </c>
      <c r="AK428">
        <v>613.25</v>
      </c>
      <c r="AL428">
        <v>625</v>
      </c>
      <c r="AM428">
        <v>625</v>
      </c>
      <c r="AN428">
        <v>0</v>
      </c>
      <c r="AO428">
        <v>9</v>
      </c>
      <c r="AP428">
        <v>2016</v>
      </c>
      <c r="AQ428">
        <v>6.63</v>
      </c>
      <c r="AR428">
        <v>98.12</v>
      </c>
      <c r="AS428" t="s">
        <v>6355</v>
      </c>
      <c r="AT428" t="s">
        <v>186</v>
      </c>
      <c r="AU428" t="s">
        <v>177</v>
      </c>
      <c r="AV428" t="s">
        <v>187</v>
      </c>
      <c r="AW428" t="s">
        <v>182</v>
      </c>
      <c r="AX428">
        <v>0</v>
      </c>
      <c r="AY428" t="s">
        <v>312</v>
      </c>
      <c r="AZ428" t="s">
        <v>199</v>
      </c>
      <c r="BA428" t="s">
        <v>313</v>
      </c>
      <c r="BB428" t="s">
        <v>191</v>
      </c>
      <c r="BC428" t="s">
        <v>182</v>
      </c>
      <c r="BD428" t="s">
        <v>182</v>
      </c>
      <c r="BE428" t="s">
        <v>3918</v>
      </c>
      <c r="BF428">
        <v>0</v>
      </c>
      <c r="BG428">
        <v>0</v>
      </c>
      <c r="BH428">
        <v>0</v>
      </c>
      <c r="BI428" t="s">
        <v>199</v>
      </c>
      <c r="BJ428" t="s">
        <v>315</v>
      </c>
      <c r="BL428" t="s">
        <v>199</v>
      </c>
      <c r="BM428" t="s">
        <v>358</v>
      </c>
      <c r="BN428" t="s">
        <v>182</v>
      </c>
      <c r="BO428" t="s">
        <v>198</v>
      </c>
      <c r="BP428" t="s">
        <v>198</v>
      </c>
      <c r="BQ428" t="s">
        <v>198</v>
      </c>
      <c r="BR428" t="s">
        <v>198</v>
      </c>
      <c r="BS428" t="s">
        <v>198</v>
      </c>
      <c r="BT428" t="s">
        <v>198</v>
      </c>
      <c r="BU428" t="s">
        <v>182</v>
      </c>
      <c r="BV428" t="s">
        <v>198</v>
      </c>
      <c r="BW428" t="s">
        <v>198</v>
      </c>
      <c r="BX428" t="s">
        <v>199</v>
      </c>
      <c r="BY428" t="s">
        <v>198</v>
      </c>
      <c r="BZ428" t="s">
        <v>199</v>
      </c>
      <c r="CA428" t="s">
        <v>199</v>
      </c>
      <c r="CB428" t="s">
        <v>6356</v>
      </c>
      <c r="CC428" t="s">
        <v>201</v>
      </c>
      <c r="CD428" t="s">
        <v>182</v>
      </c>
      <c r="CE428" t="s">
        <v>6357</v>
      </c>
      <c r="CF428" t="s">
        <v>6108</v>
      </c>
      <c r="CG428" t="s">
        <v>1602</v>
      </c>
      <c r="CH428" t="s">
        <v>6109</v>
      </c>
      <c r="CI428" t="s">
        <v>6358</v>
      </c>
      <c r="CJ428" t="s">
        <v>6359</v>
      </c>
      <c r="CK428" t="s">
        <v>232</v>
      </c>
      <c r="CL428" t="s">
        <v>233</v>
      </c>
      <c r="CM428" t="s">
        <v>6330</v>
      </c>
      <c r="CN428" t="s">
        <v>482</v>
      </c>
      <c r="CO428" t="s">
        <v>5</v>
      </c>
      <c r="CP428" t="s">
        <v>266</v>
      </c>
      <c r="CS428" t="s">
        <v>198</v>
      </c>
      <c r="CT428" t="s">
        <v>4611</v>
      </c>
      <c r="CU428" t="s">
        <v>292</v>
      </c>
      <c r="CV428" t="s">
        <v>293</v>
      </c>
      <c r="CW428" t="s">
        <v>6331</v>
      </c>
      <c r="CX428" t="s">
        <v>482</v>
      </c>
      <c r="CY428" t="s">
        <v>5</v>
      </c>
      <c r="CZ428" t="s">
        <v>266</v>
      </c>
      <c r="DC428" t="s">
        <v>198</v>
      </c>
      <c r="DD428" t="s">
        <v>4662</v>
      </c>
      <c r="DE428" t="s">
        <v>267</v>
      </c>
      <c r="DF428" t="s">
        <v>268</v>
      </c>
      <c r="DG428" t="s">
        <v>6345</v>
      </c>
      <c r="DH428" t="s">
        <v>482</v>
      </c>
      <c r="DI428" t="s">
        <v>5</v>
      </c>
      <c r="DJ428" t="s">
        <v>266</v>
      </c>
      <c r="DM428" t="s">
        <v>198</v>
      </c>
      <c r="DN428" t="s">
        <v>6205</v>
      </c>
      <c r="DO428" t="s">
        <v>273</v>
      </c>
      <c r="DP428" t="s">
        <v>274</v>
      </c>
      <c r="DQ428" t="s">
        <v>6346</v>
      </c>
      <c r="DR428" t="s">
        <v>482</v>
      </c>
      <c r="DS428" t="s">
        <v>5</v>
      </c>
      <c r="DT428" t="s">
        <v>266</v>
      </c>
      <c r="DW428" t="s">
        <v>198</v>
      </c>
      <c r="DX428" t="s">
        <v>6360</v>
      </c>
      <c r="DY428" t="s">
        <v>302</v>
      </c>
      <c r="DZ428" t="s">
        <v>303</v>
      </c>
      <c r="EA428" t="s">
        <v>6348</v>
      </c>
      <c r="EB428" t="s">
        <v>1615</v>
      </c>
      <c r="EC428" t="s">
        <v>183</v>
      </c>
      <c r="ED428" t="s">
        <v>266</v>
      </c>
      <c r="EG428" t="s">
        <v>198</v>
      </c>
      <c r="EH428" t="s">
        <v>6361</v>
      </c>
      <c r="EI428" t="s">
        <v>238</v>
      </c>
      <c r="EJ428" t="s">
        <v>239</v>
      </c>
      <c r="EK428" t="s">
        <v>6337</v>
      </c>
      <c r="EL428" t="s">
        <v>482</v>
      </c>
      <c r="EM428" t="s">
        <v>183</v>
      </c>
      <c r="EN428" t="s">
        <v>266</v>
      </c>
      <c r="EQ428" t="s">
        <v>198</v>
      </c>
      <c r="ER428" t="s">
        <v>6362</v>
      </c>
      <c r="ES428" t="s">
        <v>346</v>
      </c>
      <c r="ET428" t="s">
        <v>347</v>
      </c>
      <c r="EU428" t="s">
        <v>6363</v>
      </c>
      <c r="EV428" t="s">
        <v>482</v>
      </c>
      <c r="EW428" t="s">
        <v>183</v>
      </c>
      <c r="EX428" t="s">
        <v>266</v>
      </c>
      <c r="FA428" t="s">
        <v>198</v>
      </c>
      <c r="FK428" t="s">
        <v>198</v>
      </c>
      <c r="FU428" t="s">
        <v>198</v>
      </c>
    </row>
    <row r="429" spans="1:177">
      <c r="A429" s="1" t="str">
        <f>HYPERLINK("http://digipan.lumentumllc.com/apps/getLink/index.php?t=PropLink&amp;p=6594156","PL")</f>
        <v>PL</v>
      </c>
      <c r="B429" s="1" t="str">
        <f>HYPERLINK("http://digipan.lumentumllc.com/apps/getLink/index.php?t=TaxLink&amp;p=6594156","TL")</f>
        <v>TL</v>
      </c>
      <c r="C429" s="1" t="str">
        <f>HYPERLINK("http://digipan.lumentumllc.com/apps/getMap/index.php?p=6594156","Map")</f>
        <v>Map</v>
      </c>
      <c r="E429" t="s">
        <v>177</v>
      </c>
      <c r="F429" t="s">
        <v>178</v>
      </c>
      <c r="L429" t="s">
        <v>6364</v>
      </c>
      <c r="N429" t="s">
        <v>6364</v>
      </c>
      <c r="O429" t="s">
        <v>6364</v>
      </c>
      <c r="P429" t="s">
        <v>6365</v>
      </c>
      <c r="Q429" t="s">
        <v>6364</v>
      </c>
      <c r="V429">
        <v>496</v>
      </c>
      <c r="W429">
        <v>2</v>
      </c>
      <c r="X429">
        <v>2017</v>
      </c>
      <c r="Y429">
        <v>2018</v>
      </c>
      <c r="Z429">
        <v>50.88</v>
      </c>
      <c r="AB429" t="s">
        <v>181</v>
      </c>
      <c r="AC429" t="s">
        <v>182</v>
      </c>
      <c r="AD429" t="s">
        <v>1037</v>
      </c>
      <c r="AE429">
        <v>4</v>
      </c>
      <c r="AF429">
        <v>0</v>
      </c>
      <c r="AG429" t="s">
        <v>2601</v>
      </c>
      <c r="AH429">
        <v>0</v>
      </c>
      <c r="AI429">
        <v>192.27</v>
      </c>
      <c r="AJ429">
        <v>89.86</v>
      </c>
      <c r="AK429">
        <v>282.13</v>
      </c>
      <c r="AL429">
        <v>1250</v>
      </c>
      <c r="AM429">
        <v>1250</v>
      </c>
      <c r="AN429">
        <v>0</v>
      </c>
      <c r="AO429">
        <v>18</v>
      </c>
      <c r="AP429">
        <v>2016</v>
      </c>
      <c r="AQ429">
        <v>4.07</v>
      </c>
      <c r="AR429">
        <v>22.57</v>
      </c>
      <c r="AS429" t="s">
        <v>6355</v>
      </c>
      <c r="AT429" t="s">
        <v>186</v>
      </c>
      <c r="AU429" t="s">
        <v>177</v>
      </c>
      <c r="AV429" t="s">
        <v>187</v>
      </c>
      <c r="AW429" t="s">
        <v>182</v>
      </c>
      <c r="AX429">
        <v>0</v>
      </c>
      <c r="AY429" t="s">
        <v>312</v>
      </c>
      <c r="AZ429" t="s">
        <v>199</v>
      </c>
      <c r="BA429" t="s">
        <v>313</v>
      </c>
      <c r="BB429" t="s">
        <v>191</v>
      </c>
      <c r="BC429" t="s">
        <v>182</v>
      </c>
      <c r="BD429" t="s">
        <v>182</v>
      </c>
      <c r="BE429" t="s">
        <v>5975</v>
      </c>
      <c r="BF429">
        <v>0</v>
      </c>
      <c r="BG429">
        <v>0</v>
      </c>
      <c r="BH429">
        <v>0</v>
      </c>
      <c r="BI429" t="s">
        <v>199</v>
      </c>
      <c r="BJ429" t="s">
        <v>315</v>
      </c>
      <c r="BL429" t="s">
        <v>199</v>
      </c>
      <c r="BM429" t="s">
        <v>1332</v>
      </c>
      <c r="BN429" t="s">
        <v>182</v>
      </c>
      <c r="BO429" t="s">
        <v>198</v>
      </c>
      <c r="BP429" t="s">
        <v>198</v>
      </c>
      <c r="BQ429" t="s">
        <v>198</v>
      </c>
      <c r="BR429" t="s">
        <v>198</v>
      </c>
      <c r="BS429" t="s">
        <v>198</v>
      </c>
      <c r="BT429" t="s">
        <v>198</v>
      </c>
      <c r="BU429" t="s">
        <v>182</v>
      </c>
      <c r="BV429" t="s">
        <v>198</v>
      </c>
      <c r="BW429" t="s">
        <v>198</v>
      </c>
      <c r="BX429" t="s">
        <v>199</v>
      </c>
      <c r="BY429" t="s">
        <v>198</v>
      </c>
      <c r="BZ429" t="s">
        <v>199</v>
      </c>
      <c r="CA429" t="s">
        <v>199</v>
      </c>
      <c r="CB429" t="s">
        <v>6366</v>
      </c>
      <c r="CC429" t="s">
        <v>201</v>
      </c>
      <c r="CD429" t="s">
        <v>182</v>
      </c>
      <c r="CE429" t="s">
        <v>6367</v>
      </c>
      <c r="CF429" t="s">
        <v>413</v>
      </c>
      <c r="CG429" t="s">
        <v>177</v>
      </c>
      <c r="CH429" t="s">
        <v>6368</v>
      </c>
      <c r="CI429" t="s">
        <v>6369</v>
      </c>
      <c r="CJ429" t="s">
        <v>4769</v>
      </c>
      <c r="CK429" t="s">
        <v>232</v>
      </c>
      <c r="CL429" t="s">
        <v>233</v>
      </c>
      <c r="CM429" t="s">
        <v>5868</v>
      </c>
      <c r="CN429" t="s">
        <v>482</v>
      </c>
      <c r="CO429" t="s">
        <v>5</v>
      </c>
      <c r="CP429" t="s">
        <v>266</v>
      </c>
      <c r="CS429" t="s">
        <v>198</v>
      </c>
      <c r="CT429" t="s">
        <v>4632</v>
      </c>
      <c r="CU429" t="s">
        <v>292</v>
      </c>
      <c r="CV429" t="s">
        <v>293</v>
      </c>
      <c r="CW429" t="s">
        <v>5869</v>
      </c>
      <c r="CX429" t="s">
        <v>482</v>
      </c>
      <c r="CY429" t="s">
        <v>5</v>
      </c>
      <c r="CZ429" t="s">
        <v>266</v>
      </c>
      <c r="DC429" t="s">
        <v>198</v>
      </c>
      <c r="DD429" t="s">
        <v>4675</v>
      </c>
      <c r="DE429" t="s">
        <v>267</v>
      </c>
      <c r="DF429" t="s">
        <v>268</v>
      </c>
      <c r="DG429" t="s">
        <v>6370</v>
      </c>
      <c r="DH429" t="s">
        <v>482</v>
      </c>
      <c r="DI429" t="s">
        <v>5</v>
      </c>
      <c r="DJ429" t="s">
        <v>266</v>
      </c>
      <c r="DM429" t="s">
        <v>198</v>
      </c>
      <c r="DN429" t="s">
        <v>5732</v>
      </c>
      <c r="DO429" t="s">
        <v>273</v>
      </c>
      <c r="DP429" t="s">
        <v>274</v>
      </c>
      <c r="DQ429" t="s">
        <v>6371</v>
      </c>
      <c r="DR429" t="s">
        <v>482</v>
      </c>
      <c r="DS429" t="s">
        <v>183</v>
      </c>
      <c r="DT429" t="s">
        <v>266</v>
      </c>
      <c r="DW429" t="s">
        <v>198</v>
      </c>
      <c r="EG429" t="s">
        <v>198</v>
      </c>
      <c r="EQ429" t="s">
        <v>198</v>
      </c>
      <c r="FA429" t="s">
        <v>198</v>
      </c>
      <c r="FK429" t="s">
        <v>198</v>
      </c>
      <c r="FU429" t="s">
        <v>198</v>
      </c>
    </row>
    <row r="430" spans="1:177">
      <c r="A430" s="1" t="str">
        <f>HYPERLINK("http://digipan.lumentumllc.com/apps/getLink/index.php?t=PropLink&amp;p=15742429","PL")</f>
        <v>PL</v>
      </c>
      <c r="B430" s="1" t="str">
        <f>HYPERLINK("http://digipan.lumentumllc.com/apps/getLink/index.php?t=TaxLink&amp;p=15742429","TL")</f>
        <v>TL</v>
      </c>
      <c r="C430" s="1" t="str">
        <f>HYPERLINK("http://digipan.lumentumllc.com/apps/getMap/index.php?p=15742429","Map")</f>
        <v>Map</v>
      </c>
      <c r="E430" t="s">
        <v>177</v>
      </c>
      <c r="F430" t="s">
        <v>178</v>
      </c>
      <c r="L430" t="s">
        <v>6372</v>
      </c>
      <c r="N430" t="s">
        <v>6372</v>
      </c>
      <c r="O430" t="s">
        <v>6372</v>
      </c>
      <c r="Q430" t="s">
        <v>6372</v>
      </c>
      <c r="V430">
        <v>497</v>
      </c>
      <c r="W430">
        <v>2</v>
      </c>
      <c r="X430">
        <v>2017</v>
      </c>
      <c r="Y430">
        <v>2018</v>
      </c>
      <c r="Z430">
        <v>2395.6</v>
      </c>
      <c r="AG430" t="s">
        <v>184</v>
      </c>
      <c r="AH430">
        <v>0</v>
      </c>
      <c r="AK430">
        <v>0</v>
      </c>
      <c r="AL430">
        <v>181795</v>
      </c>
      <c r="AM430">
        <v>60750</v>
      </c>
      <c r="AN430">
        <v>121045</v>
      </c>
      <c r="AO430">
        <v>1914</v>
      </c>
      <c r="AP430">
        <v>2016</v>
      </c>
      <c r="AQ430">
        <v>1.32</v>
      </c>
      <c r="AS430" t="s">
        <v>6373</v>
      </c>
      <c r="AT430" t="s">
        <v>186</v>
      </c>
      <c r="AU430" t="s">
        <v>177</v>
      </c>
      <c r="AV430" t="s">
        <v>187</v>
      </c>
      <c r="AW430" t="s">
        <v>182</v>
      </c>
      <c r="AX430">
        <v>28</v>
      </c>
      <c r="AY430" t="s">
        <v>3641</v>
      </c>
      <c r="AZ430" t="s">
        <v>635</v>
      </c>
      <c r="BA430" t="s">
        <v>6374</v>
      </c>
      <c r="BB430" t="s">
        <v>191</v>
      </c>
      <c r="BC430" t="s">
        <v>182</v>
      </c>
      <c r="BD430" t="s">
        <v>182</v>
      </c>
      <c r="BE430" t="s">
        <v>6375</v>
      </c>
      <c r="BF430">
        <v>6</v>
      </c>
      <c r="BG430">
        <v>6</v>
      </c>
      <c r="BH430">
        <v>1989</v>
      </c>
      <c r="BI430" t="s">
        <v>6376</v>
      </c>
      <c r="BJ430" t="s">
        <v>194</v>
      </c>
      <c r="BK430" t="s">
        <v>195</v>
      </c>
      <c r="BL430" t="s">
        <v>6377</v>
      </c>
      <c r="BM430" t="s">
        <v>197</v>
      </c>
      <c r="BN430" t="s">
        <v>182</v>
      </c>
      <c r="BO430" t="s">
        <v>6378</v>
      </c>
      <c r="BP430" t="s">
        <v>580</v>
      </c>
      <c r="BQ430" t="s">
        <v>800</v>
      </c>
      <c r="BR430" t="s">
        <v>563</v>
      </c>
      <c r="BS430" t="s">
        <v>198</v>
      </c>
      <c r="BT430" t="s">
        <v>228</v>
      </c>
      <c r="BU430" t="s">
        <v>182</v>
      </c>
      <c r="BV430" t="s">
        <v>198</v>
      </c>
      <c r="BW430" t="s">
        <v>198</v>
      </c>
      <c r="BX430" t="s">
        <v>199</v>
      </c>
      <c r="BY430" t="s">
        <v>198</v>
      </c>
      <c r="BZ430" t="s">
        <v>199</v>
      </c>
      <c r="CA430" t="s">
        <v>199</v>
      </c>
      <c r="CB430" t="s">
        <v>6379</v>
      </c>
      <c r="CC430" t="s">
        <v>201</v>
      </c>
      <c r="CD430" t="s">
        <v>202</v>
      </c>
      <c r="CE430" t="s">
        <v>6380</v>
      </c>
      <c r="CF430" t="s">
        <v>536</v>
      </c>
      <c r="CG430" t="s">
        <v>177</v>
      </c>
      <c r="CH430" t="s">
        <v>537</v>
      </c>
      <c r="CI430" t="s">
        <v>6381</v>
      </c>
      <c r="CS430" t="s">
        <v>198</v>
      </c>
      <c r="DC430" t="s">
        <v>198</v>
      </c>
      <c r="DM430" t="s">
        <v>198</v>
      </c>
      <c r="DW430" t="s">
        <v>198</v>
      </c>
      <c r="EG430" t="s">
        <v>198</v>
      </c>
      <c r="EQ430" t="s">
        <v>198</v>
      </c>
      <c r="FA430" t="s">
        <v>198</v>
      </c>
      <c r="FK430" t="s">
        <v>198</v>
      </c>
      <c r="FU430" t="s">
        <v>198</v>
      </c>
    </row>
    <row r="431" spans="1:177">
      <c r="A431" s="1" t="str">
        <f>HYPERLINK("http://digipan.lumentumllc.com/apps/getLink/index.php?t=PropLink&amp;p=5245255","PL")</f>
        <v>PL</v>
      </c>
      <c r="B431" s="1" t="str">
        <f>HYPERLINK("http://digipan.lumentumllc.com/apps/getLink/index.php?t=TaxLink&amp;p=5245255","TL")</f>
        <v>TL</v>
      </c>
      <c r="C431" s="1" t="str">
        <f>HYPERLINK("http://digipan.lumentumllc.com/apps/getMap/index.php?p=5245255","Map")</f>
        <v>Map</v>
      </c>
      <c r="E431" t="s">
        <v>177</v>
      </c>
      <c r="F431" t="s">
        <v>178</v>
      </c>
      <c r="L431" t="s">
        <v>6382</v>
      </c>
      <c r="N431" t="s">
        <v>6382</v>
      </c>
      <c r="O431" t="s">
        <v>6382</v>
      </c>
      <c r="P431" t="s">
        <v>6383</v>
      </c>
      <c r="Q431" t="s">
        <v>6382</v>
      </c>
      <c r="V431">
        <v>498</v>
      </c>
      <c r="W431">
        <v>2</v>
      </c>
      <c r="X431">
        <v>2017</v>
      </c>
      <c r="Y431">
        <v>2018</v>
      </c>
      <c r="Z431">
        <v>41.44</v>
      </c>
      <c r="AB431" t="s">
        <v>181</v>
      </c>
      <c r="AC431" t="s">
        <v>182</v>
      </c>
      <c r="AD431" t="s">
        <v>1037</v>
      </c>
      <c r="AE431">
        <v>7</v>
      </c>
      <c r="AF431">
        <v>0</v>
      </c>
      <c r="AG431" t="s">
        <v>1038</v>
      </c>
      <c r="AH431">
        <v>0</v>
      </c>
      <c r="AI431">
        <v>306.31</v>
      </c>
      <c r="AJ431">
        <v>233.44</v>
      </c>
      <c r="AK431">
        <v>539.75</v>
      </c>
      <c r="AL431">
        <v>625</v>
      </c>
      <c r="AM431">
        <v>625</v>
      </c>
      <c r="AN431">
        <v>0</v>
      </c>
      <c r="AO431">
        <v>9</v>
      </c>
      <c r="AP431">
        <v>2016</v>
      </c>
      <c r="AQ431">
        <v>6.63</v>
      </c>
      <c r="AR431">
        <v>86.36</v>
      </c>
      <c r="AS431" t="s">
        <v>6384</v>
      </c>
      <c r="AT431" t="s">
        <v>186</v>
      </c>
      <c r="AU431" t="s">
        <v>177</v>
      </c>
      <c r="AV431" t="s">
        <v>187</v>
      </c>
      <c r="AW431" t="s">
        <v>182</v>
      </c>
      <c r="AX431">
        <v>0</v>
      </c>
      <c r="AY431" t="s">
        <v>312</v>
      </c>
      <c r="AZ431" t="s">
        <v>199</v>
      </c>
      <c r="BA431" t="s">
        <v>313</v>
      </c>
      <c r="BB431" t="s">
        <v>191</v>
      </c>
      <c r="BC431" t="s">
        <v>182</v>
      </c>
      <c r="BD431" t="s">
        <v>182</v>
      </c>
      <c r="BE431" t="s">
        <v>3918</v>
      </c>
      <c r="BF431">
        <v>0</v>
      </c>
      <c r="BG431">
        <v>0</v>
      </c>
      <c r="BH431">
        <v>0</v>
      </c>
      <c r="BI431" t="s">
        <v>199</v>
      </c>
      <c r="BJ431" t="s">
        <v>315</v>
      </c>
      <c r="BL431" t="s">
        <v>199</v>
      </c>
      <c r="BM431" t="s">
        <v>1414</v>
      </c>
      <c r="BN431" t="s">
        <v>182</v>
      </c>
      <c r="BO431" t="s">
        <v>198</v>
      </c>
      <c r="BP431" t="s">
        <v>198</v>
      </c>
      <c r="BQ431" t="s">
        <v>198</v>
      </c>
      <c r="BR431" t="s">
        <v>198</v>
      </c>
      <c r="BS431" t="s">
        <v>198</v>
      </c>
      <c r="BT431" t="s">
        <v>198</v>
      </c>
      <c r="BU431" t="s">
        <v>182</v>
      </c>
      <c r="BV431" t="s">
        <v>198</v>
      </c>
      <c r="BW431" t="s">
        <v>198</v>
      </c>
      <c r="BX431" t="s">
        <v>199</v>
      </c>
      <c r="BY431" t="s">
        <v>198</v>
      </c>
      <c r="BZ431" t="s">
        <v>199</v>
      </c>
      <c r="CA431" t="s">
        <v>199</v>
      </c>
      <c r="CB431" t="s">
        <v>6385</v>
      </c>
      <c r="CC431" t="s">
        <v>201</v>
      </c>
      <c r="CD431" t="s">
        <v>202</v>
      </c>
      <c r="CE431" t="s">
        <v>6343</v>
      </c>
      <c r="CF431" t="s">
        <v>2333</v>
      </c>
      <c r="CG431" t="s">
        <v>177</v>
      </c>
      <c r="CH431" t="s">
        <v>2334</v>
      </c>
      <c r="CI431" t="s">
        <v>6386</v>
      </c>
      <c r="CJ431" t="s">
        <v>5968</v>
      </c>
      <c r="CK431" t="s">
        <v>232</v>
      </c>
      <c r="CL431" t="s">
        <v>233</v>
      </c>
      <c r="CM431" t="s">
        <v>6330</v>
      </c>
      <c r="CN431" t="s">
        <v>482</v>
      </c>
      <c r="CO431" t="s">
        <v>5</v>
      </c>
      <c r="CP431" t="s">
        <v>266</v>
      </c>
      <c r="CS431" t="s">
        <v>198</v>
      </c>
      <c r="CT431" t="s">
        <v>4653</v>
      </c>
      <c r="CU431" t="s">
        <v>292</v>
      </c>
      <c r="CV431" t="s">
        <v>293</v>
      </c>
      <c r="CW431" t="s">
        <v>6331</v>
      </c>
      <c r="CX431" t="s">
        <v>482</v>
      </c>
      <c r="CY431" t="s">
        <v>5</v>
      </c>
      <c r="CZ431" t="s">
        <v>266</v>
      </c>
      <c r="DC431" t="s">
        <v>198</v>
      </c>
      <c r="DD431" t="s">
        <v>5732</v>
      </c>
      <c r="DE431" t="s">
        <v>267</v>
      </c>
      <c r="DF431" t="s">
        <v>268</v>
      </c>
      <c r="DG431" t="s">
        <v>6370</v>
      </c>
      <c r="DH431" t="s">
        <v>482</v>
      </c>
      <c r="DI431" t="s">
        <v>5</v>
      </c>
      <c r="DJ431" t="s">
        <v>266</v>
      </c>
      <c r="DM431" t="s">
        <v>198</v>
      </c>
      <c r="DN431" t="s">
        <v>6239</v>
      </c>
      <c r="DO431" t="s">
        <v>273</v>
      </c>
      <c r="DP431" t="s">
        <v>274</v>
      </c>
      <c r="DQ431" t="s">
        <v>6387</v>
      </c>
      <c r="DR431" t="s">
        <v>482</v>
      </c>
      <c r="DS431" t="s">
        <v>5</v>
      </c>
      <c r="DT431" t="s">
        <v>266</v>
      </c>
      <c r="DW431" t="s">
        <v>198</v>
      </c>
      <c r="DX431" t="s">
        <v>6388</v>
      </c>
      <c r="DY431" t="s">
        <v>302</v>
      </c>
      <c r="DZ431" t="s">
        <v>303</v>
      </c>
      <c r="EA431" t="s">
        <v>6389</v>
      </c>
      <c r="EB431" t="s">
        <v>1615</v>
      </c>
      <c r="EC431" t="s">
        <v>183</v>
      </c>
      <c r="ED431" t="s">
        <v>266</v>
      </c>
      <c r="EG431" t="s">
        <v>198</v>
      </c>
      <c r="EH431" t="s">
        <v>3840</v>
      </c>
      <c r="EI431" t="s">
        <v>238</v>
      </c>
      <c r="EJ431" t="s">
        <v>239</v>
      </c>
      <c r="EK431" t="s">
        <v>6350</v>
      </c>
      <c r="EL431" t="s">
        <v>482</v>
      </c>
      <c r="EM431" t="s">
        <v>183</v>
      </c>
      <c r="EN431" t="s">
        <v>266</v>
      </c>
      <c r="EQ431" t="s">
        <v>198</v>
      </c>
      <c r="ER431" t="s">
        <v>6390</v>
      </c>
      <c r="ES431" t="s">
        <v>346</v>
      </c>
      <c r="ET431" t="s">
        <v>347</v>
      </c>
      <c r="EU431" t="s">
        <v>6391</v>
      </c>
      <c r="EV431" t="s">
        <v>482</v>
      </c>
      <c r="EW431" t="s">
        <v>183</v>
      </c>
      <c r="EX431" t="s">
        <v>266</v>
      </c>
      <c r="FA431" t="s">
        <v>198</v>
      </c>
      <c r="FK431" t="s">
        <v>198</v>
      </c>
      <c r="FU431" t="s">
        <v>198</v>
      </c>
    </row>
    <row r="432" spans="1:177">
      <c r="A432" s="1" t="str">
        <f>HYPERLINK("http://digipan.lumentumllc.com/apps/getLink/index.php?t=PropLink&amp;p=6128912","PL")</f>
        <v>PL</v>
      </c>
      <c r="B432" s="1" t="str">
        <f>HYPERLINK("http://digipan.lumentumllc.com/apps/getLink/index.php?t=TaxLink&amp;p=6128912","TL")</f>
        <v>TL</v>
      </c>
      <c r="C432" s="1" t="str">
        <f>HYPERLINK("http://digipan.lumentumllc.com/apps/getMap/index.php?p=6128912","Map")</f>
        <v>Map</v>
      </c>
      <c r="E432" t="s">
        <v>177</v>
      </c>
      <c r="F432" t="s">
        <v>178</v>
      </c>
      <c r="L432" t="s">
        <v>6392</v>
      </c>
      <c r="N432" t="s">
        <v>6392</v>
      </c>
      <c r="O432" t="s">
        <v>6392</v>
      </c>
      <c r="P432" t="s">
        <v>6393</v>
      </c>
      <c r="Q432" t="s">
        <v>6392</v>
      </c>
      <c r="V432">
        <v>499</v>
      </c>
      <c r="W432">
        <v>2</v>
      </c>
      <c r="X432">
        <v>2017</v>
      </c>
      <c r="Y432">
        <v>2018</v>
      </c>
      <c r="Z432">
        <v>50.88</v>
      </c>
      <c r="AB432" t="s">
        <v>181</v>
      </c>
      <c r="AC432" t="s">
        <v>182</v>
      </c>
      <c r="AD432" t="s">
        <v>1037</v>
      </c>
      <c r="AE432">
        <v>6</v>
      </c>
      <c r="AF432">
        <v>0</v>
      </c>
      <c r="AG432" t="s">
        <v>3955</v>
      </c>
      <c r="AH432">
        <v>0</v>
      </c>
      <c r="AI432">
        <v>417.58</v>
      </c>
      <c r="AJ432">
        <v>253.33</v>
      </c>
      <c r="AK432">
        <v>670.91</v>
      </c>
      <c r="AL432">
        <v>1250</v>
      </c>
      <c r="AM432">
        <v>1250</v>
      </c>
      <c r="AN432">
        <v>0</v>
      </c>
      <c r="AO432">
        <v>18</v>
      </c>
      <c r="AP432">
        <v>2016</v>
      </c>
      <c r="AQ432">
        <v>4.07</v>
      </c>
      <c r="AR432">
        <v>53.67</v>
      </c>
      <c r="AS432" t="s">
        <v>6355</v>
      </c>
      <c r="AT432" t="s">
        <v>186</v>
      </c>
      <c r="AU432" t="s">
        <v>177</v>
      </c>
      <c r="AV432" t="s">
        <v>187</v>
      </c>
      <c r="AW432" t="s">
        <v>182</v>
      </c>
      <c r="AX432">
        <v>0</v>
      </c>
      <c r="AY432" t="s">
        <v>312</v>
      </c>
      <c r="AZ432" t="s">
        <v>199</v>
      </c>
      <c r="BA432" t="s">
        <v>313</v>
      </c>
      <c r="BB432" t="s">
        <v>191</v>
      </c>
      <c r="BC432" t="s">
        <v>182</v>
      </c>
      <c r="BD432" t="s">
        <v>182</v>
      </c>
      <c r="BE432" t="s">
        <v>5975</v>
      </c>
      <c r="BF432">
        <v>0</v>
      </c>
      <c r="BG432">
        <v>0</v>
      </c>
      <c r="BH432">
        <v>0</v>
      </c>
      <c r="BI432" t="s">
        <v>199</v>
      </c>
      <c r="BJ432" t="s">
        <v>315</v>
      </c>
      <c r="BL432" t="s">
        <v>6394</v>
      </c>
      <c r="BM432" t="s">
        <v>679</v>
      </c>
      <c r="BN432" t="s">
        <v>182</v>
      </c>
      <c r="BO432" t="s">
        <v>198</v>
      </c>
      <c r="BP432" t="s">
        <v>198</v>
      </c>
      <c r="BQ432" t="s">
        <v>198</v>
      </c>
      <c r="BR432" t="s">
        <v>198</v>
      </c>
      <c r="BS432" t="s">
        <v>198</v>
      </c>
      <c r="BT432" t="s">
        <v>198</v>
      </c>
      <c r="BU432" t="s">
        <v>182</v>
      </c>
      <c r="BV432" t="s">
        <v>198</v>
      </c>
      <c r="BW432" t="s">
        <v>198</v>
      </c>
      <c r="BX432" t="s">
        <v>199</v>
      </c>
      <c r="BY432" t="s">
        <v>198</v>
      </c>
      <c r="BZ432" t="s">
        <v>199</v>
      </c>
      <c r="CA432" t="s">
        <v>199</v>
      </c>
      <c r="CB432" t="s">
        <v>1725</v>
      </c>
      <c r="CC432" t="s">
        <v>201</v>
      </c>
      <c r="CD432" t="s">
        <v>182</v>
      </c>
      <c r="CE432" t="s">
        <v>1726</v>
      </c>
      <c r="CF432" t="s">
        <v>1029</v>
      </c>
      <c r="CG432" t="s">
        <v>177</v>
      </c>
      <c r="CH432" t="s">
        <v>1030</v>
      </c>
      <c r="CI432" t="s">
        <v>6395</v>
      </c>
      <c r="CJ432" t="s">
        <v>5979</v>
      </c>
      <c r="CK432" t="s">
        <v>232</v>
      </c>
      <c r="CL432" t="s">
        <v>233</v>
      </c>
      <c r="CM432" t="s">
        <v>5868</v>
      </c>
      <c r="CN432" t="s">
        <v>482</v>
      </c>
      <c r="CO432" t="s">
        <v>5</v>
      </c>
      <c r="CP432" t="s">
        <v>266</v>
      </c>
      <c r="CS432" t="s">
        <v>198</v>
      </c>
      <c r="CT432" t="s">
        <v>4662</v>
      </c>
      <c r="CU432" t="s">
        <v>292</v>
      </c>
      <c r="CV432" t="s">
        <v>293</v>
      </c>
      <c r="CW432" t="s">
        <v>5869</v>
      </c>
      <c r="CX432" t="s">
        <v>482</v>
      </c>
      <c r="CY432" t="s">
        <v>5</v>
      </c>
      <c r="CZ432" t="s">
        <v>266</v>
      </c>
      <c r="DC432" t="s">
        <v>198</v>
      </c>
      <c r="DD432" t="s">
        <v>6239</v>
      </c>
      <c r="DE432" t="s">
        <v>267</v>
      </c>
      <c r="DF432" t="s">
        <v>268</v>
      </c>
      <c r="DG432" t="s">
        <v>6396</v>
      </c>
      <c r="DH432" t="s">
        <v>482</v>
      </c>
      <c r="DI432" t="s">
        <v>183</v>
      </c>
      <c r="DJ432" t="s">
        <v>266</v>
      </c>
      <c r="DM432" t="s">
        <v>198</v>
      </c>
      <c r="DN432" t="s">
        <v>6397</v>
      </c>
      <c r="DO432" t="s">
        <v>273</v>
      </c>
      <c r="DP432" t="s">
        <v>274</v>
      </c>
      <c r="DQ432" t="s">
        <v>6398</v>
      </c>
      <c r="DR432" t="s">
        <v>482</v>
      </c>
      <c r="DS432" t="s">
        <v>183</v>
      </c>
      <c r="DT432" t="s">
        <v>266</v>
      </c>
      <c r="DW432" t="s">
        <v>198</v>
      </c>
      <c r="DX432" t="s">
        <v>4989</v>
      </c>
      <c r="DY432" t="s">
        <v>302</v>
      </c>
      <c r="DZ432" t="s">
        <v>303</v>
      </c>
      <c r="EA432" t="s">
        <v>6399</v>
      </c>
      <c r="EB432" t="s">
        <v>576</v>
      </c>
      <c r="EC432" t="s">
        <v>183</v>
      </c>
      <c r="ED432" t="s">
        <v>266</v>
      </c>
      <c r="EG432" t="s">
        <v>198</v>
      </c>
      <c r="EH432" t="s">
        <v>6400</v>
      </c>
      <c r="EI432" t="s">
        <v>238</v>
      </c>
      <c r="EJ432" t="s">
        <v>239</v>
      </c>
      <c r="EK432" t="s">
        <v>6337</v>
      </c>
      <c r="EL432" t="s">
        <v>1615</v>
      </c>
      <c r="EM432" t="s">
        <v>183</v>
      </c>
      <c r="EN432" t="s">
        <v>266</v>
      </c>
      <c r="EQ432" t="s">
        <v>198</v>
      </c>
      <c r="FA432" t="s">
        <v>198</v>
      </c>
      <c r="FK432" t="s">
        <v>198</v>
      </c>
      <c r="FU432" t="s">
        <v>198</v>
      </c>
    </row>
    <row r="433" spans="1:177">
      <c r="A433" s="1" t="str">
        <f>HYPERLINK("http://digipan.lumentumllc.com/apps/getLink/index.php?t=PropLink&amp;p=15742466","PL")</f>
        <v>PL</v>
      </c>
      <c r="B433" s="1" t="str">
        <f>HYPERLINK("http://digipan.lumentumllc.com/apps/getLink/index.php?t=TaxLink&amp;p=15742466","TL")</f>
        <v>TL</v>
      </c>
      <c r="C433" s="1" t="str">
        <f>HYPERLINK("http://digipan.lumentumllc.com/apps/getMap/index.php?p=15742466","Map")</f>
        <v>Map</v>
      </c>
      <c r="E433" t="s">
        <v>177</v>
      </c>
      <c r="F433" t="s">
        <v>178</v>
      </c>
      <c r="L433" t="s">
        <v>6401</v>
      </c>
      <c r="N433" t="s">
        <v>6401</v>
      </c>
      <c r="O433" t="s">
        <v>6401</v>
      </c>
      <c r="Q433" t="s">
        <v>6401</v>
      </c>
      <c r="V433">
        <v>500</v>
      </c>
      <c r="W433">
        <v>2</v>
      </c>
      <c r="X433">
        <v>2017</v>
      </c>
      <c r="Y433">
        <v>2018</v>
      </c>
      <c r="Z433">
        <v>994.86</v>
      </c>
      <c r="AG433" t="s">
        <v>184</v>
      </c>
      <c r="AH433">
        <v>0</v>
      </c>
      <c r="AK433">
        <v>0</v>
      </c>
      <c r="AL433">
        <v>63750</v>
      </c>
      <c r="AM433">
        <v>63750</v>
      </c>
      <c r="AN433">
        <v>0</v>
      </c>
      <c r="AO433">
        <v>906</v>
      </c>
      <c r="AP433">
        <v>2016</v>
      </c>
      <c r="AQ433">
        <v>1.56</v>
      </c>
      <c r="AS433" t="s">
        <v>6384</v>
      </c>
      <c r="AT433" t="s">
        <v>186</v>
      </c>
      <c r="AU433" t="s">
        <v>177</v>
      </c>
      <c r="AV433" t="s">
        <v>187</v>
      </c>
      <c r="AW433" t="s">
        <v>182</v>
      </c>
      <c r="AX433">
        <v>0</v>
      </c>
      <c r="AY433" t="s">
        <v>312</v>
      </c>
      <c r="AZ433" t="s">
        <v>199</v>
      </c>
      <c r="BA433" t="s">
        <v>313</v>
      </c>
      <c r="BB433" t="s">
        <v>191</v>
      </c>
      <c r="BC433" t="s">
        <v>182</v>
      </c>
      <c r="BD433" t="s">
        <v>182</v>
      </c>
      <c r="BE433" t="s">
        <v>3241</v>
      </c>
      <c r="BF433">
        <v>0</v>
      </c>
      <c r="BG433">
        <v>0</v>
      </c>
      <c r="BH433">
        <v>0</v>
      </c>
      <c r="BI433" t="s">
        <v>199</v>
      </c>
      <c r="BJ433" t="s">
        <v>315</v>
      </c>
      <c r="BL433" t="s">
        <v>6402</v>
      </c>
      <c r="BM433" t="s">
        <v>346</v>
      </c>
      <c r="BN433" t="s">
        <v>182</v>
      </c>
      <c r="BO433" t="s">
        <v>198</v>
      </c>
      <c r="BP433" t="s">
        <v>198</v>
      </c>
      <c r="BQ433" t="s">
        <v>198</v>
      </c>
      <c r="BR433" t="s">
        <v>198</v>
      </c>
      <c r="BS433" t="s">
        <v>198</v>
      </c>
      <c r="BT433" t="s">
        <v>198</v>
      </c>
      <c r="BU433" t="s">
        <v>182</v>
      </c>
      <c r="BV433" t="s">
        <v>198</v>
      </c>
      <c r="BW433" t="s">
        <v>198</v>
      </c>
      <c r="BX433" t="s">
        <v>199</v>
      </c>
      <c r="BY433" t="s">
        <v>198</v>
      </c>
      <c r="BZ433" t="s">
        <v>199</v>
      </c>
      <c r="CA433" t="s">
        <v>199</v>
      </c>
      <c r="CB433" t="s">
        <v>5995</v>
      </c>
      <c r="CC433" t="s">
        <v>201</v>
      </c>
      <c r="CD433" t="s">
        <v>182</v>
      </c>
      <c r="CE433" t="s">
        <v>5996</v>
      </c>
      <c r="CF433" t="s">
        <v>204</v>
      </c>
      <c r="CG433" t="s">
        <v>177</v>
      </c>
      <c r="CH433" t="s">
        <v>187</v>
      </c>
      <c r="CI433" t="s">
        <v>6403</v>
      </c>
      <c r="CS433" t="s">
        <v>198</v>
      </c>
      <c r="DC433" t="s">
        <v>198</v>
      </c>
      <c r="DM433" t="s">
        <v>198</v>
      </c>
      <c r="DW433" t="s">
        <v>198</v>
      </c>
      <c r="EG433" t="s">
        <v>198</v>
      </c>
      <c r="EQ433" t="s">
        <v>198</v>
      </c>
      <c r="FA433" t="s">
        <v>198</v>
      </c>
      <c r="FK433" t="s">
        <v>198</v>
      </c>
      <c r="FU433" t="s">
        <v>198</v>
      </c>
    </row>
    <row r="434" spans="1:177">
      <c r="A434" s="1" t="str">
        <f>HYPERLINK("http://digipan.lumentumllc.com/apps/getLink/index.php?t=PropLink&amp;p=5245256","PL")</f>
        <v>PL</v>
      </c>
      <c r="B434" s="1" t="str">
        <f>HYPERLINK("http://digipan.lumentumllc.com/apps/getLink/index.php?t=TaxLink&amp;p=5245256","TL")</f>
        <v>TL</v>
      </c>
      <c r="C434" s="1" t="str">
        <f>HYPERLINK("http://digipan.lumentumllc.com/apps/getMap/index.php?p=5245256","Map")</f>
        <v>Map</v>
      </c>
      <c r="E434" t="s">
        <v>177</v>
      </c>
      <c r="F434" t="s">
        <v>178</v>
      </c>
      <c r="L434" t="s">
        <v>6404</v>
      </c>
      <c r="N434" t="s">
        <v>6404</v>
      </c>
      <c r="O434" t="s">
        <v>6404</v>
      </c>
      <c r="P434" t="s">
        <v>6405</v>
      </c>
      <c r="Q434" t="s">
        <v>6404</v>
      </c>
      <c r="V434">
        <v>501</v>
      </c>
      <c r="W434">
        <v>2</v>
      </c>
      <c r="X434">
        <v>2017</v>
      </c>
      <c r="Y434">
        <v>2018</v>
      </c>
      <c r="Z434">
        <v>41.44</v>
      </c>
      <c r="AB434" t="s">
        <v>181</v>
      </c>
      <c r="AC434" t="s">
        <v>182</v>
      </c>
      <c r="AD434" t="s">
        <v>1037</v>
      </c>
      <c r="AE434">
        <v>7</v>
      </c>
      <c r="AF434">
        <v>0</v>
      </c>
      <c r="AG434" t="s">
        <v>1038</v>
      </c>
      <c r="AH434">
        <v>0</v>
      </c>
      <c r="AI434">
        <v>306.31</v>
      </c>
      <c r="AJ434">
        <v>233.44</v>
      </c>
      <c r="AK434">
        <v>539.75</v>
      </c>
      <c r="AL434">
        <v>625</v>
      </c>
      <c r="AM434">
        <v>625</v>
      </c>
      <c r="AN434">
        <v>0</v>
      </c>
      <c r="AO434">
        <v>9</v>
      </c>
      <c r="AP434">
        <v>2016</v>
      </c>
      <c r="AQ434">
        <v>6.63</v>
      </c>
      <c r="AR434">
        <v>86.36</v>
      </c>
      <c r="AS434" t="s">
        <v>6406</v>
      </c>
      <c r="AT434" t="s">
        <v>186</v>
      </c>
      <c r="AU434" t="s">
        <v>177</v>
      </c>
      <c r="AV434" t="s">
        <v>187</v>
      </c>
      <c r="AW434" t="s">
        <v>182</v>
      </c>
      <c r="AX434">
        <v>0</v>
      </c>
      <c r="AY434" t="s">
        <v>312</v>
      </c>
      <c r="AZ434" t="s">
        <v>199</v>
      </c>
      <c r="BA434" t="s">
        <v>313</v>
      </c>
      <c r="BB434" t="s">
        <v>191</v>
      </c>
      <c r="BC434" t="s">
        <v>182</v>
      </c>
      <c r="BD434" t="s">
        <v>182</v>
      </c>
      <c r="BE434" t="s">
        <v>3918</v>
      </c>
      <c r="BF434">
        <v>0</v>
      </c>
      <c r="BG434">
        <v>0</v>
      </c>
      <c r="BH434">
        <v>0</v>
      </c>
      <c r="BI434" t="s">
        <v>199</v>
      </c>
      <c r="BJ434" t="s">
        <v>315</v>
      </c>
      <c r="BL434" t="s">
        <v>199</v>
      </c>
      <c r="BM434" t="s">
        <v>1414</v>
      </c>
      <c r="BN434" t="s">
        <v>182</v>
      </c>
      <c r="BO434" t="s">
        <v>198</v>
      </c>
      <c r="BP434" t="s">
        <v>198</v>
      </c>
      <c r="BQ434" t="s">
        <v>198</v>
      </c>
      <c r="BR434" t="s">
        <v>198</v>
      </c>
      <c r="BS434" t="s">
        <v>198</v>
      </c>
      <c r="BT434" t="s">
        <v>198</v>
      </c>
      <c r="BU434" t="s">
        <v>182</v>
      </c>
      <c r="BV434" t="s">
        <v>198</v>
      </c>
      <c r="BW434" t="s">
        <v>198</v>
      </c>
      <c r="BX434" t="s">
        <v>199</v>
      </c>
      <c r="BY434" t="s">
        <v>198</v>
      </c>
      <c r="BZ434" t="s">
        <v>199</v>
      </c>
      <c r="CA434" t="s">
        <v>199</v>
      </c>
      <c r="CB434" t="s">
        <v>6385</v>
      </c>
      <c r="CC434" t="s">
        <v>201</v>
      </c>
      <c r="CD434" t="s">
        <v>202</v>
      </c>
      <c r="CE434" t="s">
        <v>6343</v>
      </c>
      <c r="CF434" t="s">
        <v>2333</v>
      </c>
      <c r="CG434" t="s">
        <v>177</v>
      </c>
      <c r="CH434" t="s">
        <v>2334</v>
      </c>
      <c r="CI434" t="s">
        <v>6407</v>
      </c>
      <c r="CJ434" t="s">
        <v>6045</v>
      </c>
      <c r="CK434" t="s">
        <v>232</v>
      </c>
      <c r="CL434" t="s">
        <v>233</v>
      </c>
      <c r="CM434" t="s">
        <v>6330</v>
      </c>
      <c r="CN434" t="s">
        <v>482</v>
      </c>
      <c r="CO434" t="s">
        <v>5</v>
      </c>
      <c r="CP434" t="s">
        <v>266</v>
      </c>
      <c r="CS434" t="s">
        <v>198</v>
      </c>
      <c r="CT434" t="s">
        <v>4675</v>
      </c>
      <c r="CU434" t="s">
        <v>292</v>
      </c>
      <c r="CV434" t="s">
        <v>293</v>
      </c>
      <c r="CW434" t="s">
        <v>6331</v>
      </c>
      <c r="CX434" t="s">
        <v>482</v>
      </c>
      <c r="CY434" t="s">
        <v>5</v>
      </c>
      <c r="CZ434" t="s">
        <v>266</v>
      </c>
      <c r="DC434" t="s">
        <v>198</v>
      </c>
      <c r="DD434" t="s">
        <v>5851</v>
      </c>
      <c r="DE434" t="s">
        <v>267</v>
      </c>
      <c r="DF434" t="s">
        <v>268</v>
      </c>
      <c r="DG434" t="s">
        <v>6370</v>
      </c>
      <c r="DH434" t="s">
        <v>482</v>
      </c>
      <c r="DI434" t="s">
        <v>5</v>
      </c>
      <c r="DJ434" t="s">
        <v>266</v>
      </c>
      <c r="DM434" t="s">
        <v>198</v>
      </c>
      <c r="DN434" t="s">
        <v>5851</v>
      </c>
      <c r="DO434" t="s">
        <v>273</v>
      </c>
      <c r="DP434" t="s">
        <v>274</v>
      </c>
      <c r="DQ434" t="s">
        <v>6387</v>
      </c>
      <c r="DR434" t="s">
        <v>482</v>
      </c>
      <c r="DS434" t="s">
        <v>5</v>
      </c>
      <c r="DT434" t="s">
        <v>266</v>
      </c>
      <c r="DW434" t="s">
        <v>198</v>
      </c>
      <c r="DX434" t="s">
        <v>6408</v>
      </c>
      <c r="DY434" t="s">
        <v>302</v>
      </c>
      <c r="DZ434" t="s">
        <v>303</v>
      </c>
      <c r="EA434" t="s">
        <v>6389</v>
      </c>
      <c r="EB434" t="s">
        <v>1615</v>
      </c>
      <c r="EC434" t="s">
        <v>183</v>
      </c>
      <c r="ED434" t="s">
        <v>266</v>
      </c>
      <c r="EG434" t="s">
        <v>198</v>
      </c>
      <c r="EH434" t="s">
        <v>6409</v>
      </c>
      <c r="EI434" t="s">
        <v>238</v>
      </c>
      <c r="EJ434" t="s">
        <v>239</v>
      </c>
      <c r="EK434" t="s">
        <v>6350</v>
      </c>
      <c r="EL434" t="s">
        <v>482</v>
      </c>
      <c r="EM434" t="s">
        <v>183</v>
      </c>
      <c r="EN434" t="s">
        <v>266</v>
      </c>
      <c r="EQ434" t="s">
        <v>198</v>
      </c>
      <c r="ER434" t="s">
        <v>6410</v>
      </c>
      <c r="ES434" t="s">
        <v>346</v>
      </c>
      <c r="ET434" t="s">
        <v>347</v>
      </c>
      <c r="EU434" t="s">
        <v>6391</v>
      </c>
      <c r="EV434" t="s">
        <v>482</v>
      </c>
      <c r="EW434" t="s">
        <v>183</v>
      </c>
      <c r="EX434" t="s">
        <v>266</v>
      </c>
      <c r="FA434" t="s">
        <v>198</v>
      </c>
      <c r="FK434" t="s">
        <v>198</v>
      </c>
      <c r="FU434" t="s">
        <v>198</v>
      </c>
    </row>
    <row r="435" spans="1:177">
      <c r="A435" s="1" t="str">
        <f>HYPERLINK("http://digipan.lumentumllc.com/apps/getLink/index.php?t=PropLink&amp;p=6886674","PL")</f>
        <v>PL</v>
      </c>
      <c r="B435" s="1" t="str">
        <f>HYPERLINK("http://digipan.lumentumllc.com/apps/getLink/index.php?t=TaxLink&amp;p=6886674","TL")</f>
        <v>TL</v>
      </c>
      <c r="C435" s="1" t="str">
        <f>HYPERLINK("http://digipan.lumentumllc.com/apps/getMap/index.php?p=6886674","Map")</f>
        <v>Map</v>
      </c>
      <c r="E435" t="s">
        <v>177</v>
      </c>
      <c r="F435" t="s">
        <v>178</v>
      </c>
      <c r="L435" t="s">
        <v>6411</v>
      </c>
      <c r="N435" t="s">
        <v>6411</v>
      </c>
      <c r="O435" t="s">
        <v>6411</v>
      </c>
      <c r="P435" t="s">
        <v>6412</v>
      </c>
      <c r="Q435" t="s">
        <v>6411</v>
      </c>
      <c r="V435">
        <v>502</v>
      </c>
      <c r="W435">
        <v>2</v>
      </c>
      <c r="X435">
        <v>2017</v>
      </c>
      <c r="Y435">
        <v>2018</v>
      </c>
      <c r="Z435">
        <v>50.88</v>
      </c>
      <c r="AB435" t="s">
        <v>181</v>
      </c>
      <c r="AC435" t="s">
        <v>182</v>
      </c>
      <c r="AD435" t="s">
        <v>1037</v>
      </c>
      <c r="AE435">
        <v>3</v>
      </c>
      <c r="AF435">
        <v>0</v>
      </c>
      <c r="AG435" t="s">
        <v>6413</v>
      </c>
      <c r="AH435">
        <v>0</v>
      </c>
      <c r="AI435">
        <v>169.72</v>
      </c>
      <c r="AJ435">
        <v>64.5</v>
      </c>
      <c r="AK435">
        <v>234.22</v>
      </c>
      <c r="AL435">
        <v>1250</v>
      </c>
      <c r="AM435">
        <v>1250</v>
      </c>
      <c r="AN435">
        <v>0</v>
      </c>
      <c r="AO435">
        <v>18</v>
      </c>
      <c r="AP435">
        <v>2016</v>
      </c>
      <c r="AQ435">
        <v>4.07</v>
      </c>
      <c r="AR435">
        <v>18.739999999999998</v>
      </c>
      <c r="AS435" t="s">
        <v>6384</v>
      </c>
      <c r="AT435" t="s">
        <v>186</v>
      </c>
      <c r="AU435" t="s">
        <v>177</v>
      </c>
      <c r="AV435" t="s">
        <v>187</v>
      </c>
      <c r="AW435" t="s">
        <v>182</v>
      </c>
      <c r="AX435">
        <v>0</v>
      </c>
      <c r="AY435" t="s">
        <v>312</v>
      </c>
      <c r="AZ435" t="s">
        <v>199</v>
      </c>
      <c r="BA435" t="s">
        <v>313</v>
      </c>
      <c r="BB435" t="s">
        <v>191</v>
      </c>
      <c r="BC435" t="s">
        <v>182</v>
      </c>
      <c r="BD435" t="s">
        <v>182</v>
      </c>
      <c r="BE435" t="s">
        <v>5975</v>
      </c>
      <c r="BF435">
        <v>0</v>
      </c>
      <c r="BG435">
        <v>0</v>
      </c>
      <c r="BH435">
        <v>0</v>
      </c>
      <c r="BI435" t="s">
        <v>199</v>
      </c>
      <c r="BJ435" t="s">
        <v>315</v>
      </c>
      <c r="BL435" t="s">
        <v>199</v>
      </c>
      <c r="BM435" t="s">
        <v>358</v>
      </c>
      <c r="BN435" t="s">
        <v>182</v>
      </c>
      <c r="BO435" t="s">
        <v>198</v>
      </c>
      <c r="BP435" t="s">
        <v>198</v>
      </c>
      <c r="BQ435" t="s">
        <v>198</v>
      </c>
      <c r="BR435" t="s">
        <v>198</v>
      </c>
      <c r="BS435" t="s">
        <v>198</v>
      </c>
      <c r="BT435" t="s">
        <v>198</v>
      </c>
      <c r="BU435" t="s">
        <v>182</v>
      </c>
      <c r="BV435" t="s">
        <v>198</v>
      </c>
      <c r="BW435" t="s">
        <v>198</v>
      </c>
      <c r="BX435" t="s">
        <v>199</v>
      </c>
      <c r="BY435" t="s">
        <v>198</v>
      </c>
      <c r="BZ435" t="s">
        <v>199</v>
      </c>
      <c r="CA435" t="s">
        <v>199</v>
      </c>
      <c r="CB435" t="s">
        <v>6414</v>
      </c>
      <c r="CC435" t="s">
        <v>201</v>
      </c>
      <c r="CD435" t="s">
        <v>202</v>
      </c>
      <c r="CE435" t="s">
        <v>6415</v>
      </c>
      <c r="CF435" t="s">
        <v>6416</v>
      </c>
      <c r="CG435" t="s">
        <v>6417</v>
      </c>
      <c r="CH435" t="s">
        <v>6418</v>
      </c>
      <c r="CI435" t="s">
        <v>6419</v>
      </c>
      <c r="CJ435" t="s">
        <v>6420</v>
      </c>
      <c r="CK435" t="s">
        <v>232</v>
      </c>
      <c r="CL435" t="s">
        <v>233</v>
      </c>
      <c r="CM435" t="s">
        <v>6421</v>
      </c>
      <c r="CN435" t="s">
        <v>482</v>
      </c>
      <c r="CO435" t="s">
        <v>183</v>
      </c>
      <c r="CP435" t="s">
        <v>266</v>
      </c>
      <c r="CS435" t="s">
        <v>198</v>
      </c>
      <c r="CT435" t="s">
        <v>6205</v>
      </c>
      <c r="CU435" t="s">
        <v>292</v>
      </c>
      <c r="CV435" t="s">
        <v>293</v>
      </c>
      <c r="CW435" t="s">
        <v>5869</v>
      </c>
      <c r="CX435" t="s">
        <v>482</v>
      </c>
      <c r="CY435" t="s">
        <v>5</v>
      </c>
      <c r="CZ435" t="s">
        <v>266</v>
      </c>
      <c r="DC435" t="s">
        <v>198</v>
      </c>
      <c r="DD435" t="s">
        <v>4707</v>
      </c>
      <c r="DE435" t="s">
        <v>267</v>
      </c>
      <c r="DF435" t="s">
        <v>268</v>
      </c>
      <c r="DG435" t="s">
        <v>6422</v>
      </c>
      <c r="DH435" t="s">
        <v>482</v>
      </c>
      <c r="DI435" t="s">
        <v>183</v>
      </c>
      <c r="DJ435" t="s">
        <v>266</v>
      </c>
      <c r="DM435" t="s">
        <v>198</v>
      </c>
      <c r="DW435" t="s">
        <v>198</v>
      </c>
      <c r="EG435" t="s">
        <v>198</v>
      </c>
      <c r="EQ435" t="s">
        <v>198</v>
      </c>
      <c r="FA435" t="s">
        <v>198</v>
      </c>
      <c r="FK435" t="s">
        <v>198</v>
      </c>
      <c r="FU435" t="s">
        <v>198</v>
      </c>
    </row>
    <row r="436" spans="1:177">
      <c r="A436" s="1" t="str">
        <f>HYPERLINK("http://digipan.lumentumllc.com/apps/getLink/index.php?t=PropLink&amp;p=5245257","PL")</f>
        <v>PL</v>
      </c>
      <c r="B436" s="1" t="str">
        <f>HYPERLINK("http://digipan.lumentumllc.com/apps/getLink/index.php?t=TaxLink&amp;p=5245257","TL")</f>
        <v>TL</v>
      </c>
      <c r="C436" s="1" t="str">
        <f>HYPERLINK("http://digipan.lumentumllc.com/apps/getMap/index.php?p=5245257","Map")</f>
        <v>Map</v>
      </c>
      <c r="E436" t="s">
        <v>177</v>
      </c>
      <c r="F436" t="s">
        <v>178</v>
      </c>
      <c r="L436" t="s">
        <v>6423</v>
      </c>
      <c r="N436" t="s">
        <v>6423</v>
      </c>
      <c r="O436" t="s">
        <v>6423</v>
      </c>
      <c r="P436" t="s">
        <v>6424</v>
      </c>
      <c r="Q436" t="s">
        <v>6423</v>
      </c>
      <c r="V436">
        <v>503</v>
      </c>
      <c r="W436">
        <v>2</v>
      </c>
      <c r="X436">
        <v>2017</v>
      </c>
      <c r="Y436">
        <v>2018</v>
      </c>
      <c r="Z436">
        <v>41.44</v>
      </c>
      <c r="AB436" t="s">
        <v>181</v>
      </c>
      <c r="AC436" t="s">
        <v>182</v>
      </c>
      <c r="AD436" t="s">
        <v>1037</v>
      </c>
      <c r="AE436">
        <v>7</v>
      </c>
      <c r="AF436">
        <v>0</v>
      </c>
      <c r="AG436" t="s">
        <v>1038</v>
      </c>
      <c r="AH436">
        <v>0</v>
      </c>
      <c r="AI436">
        <v>338.9</v>
      </c>
      <c r="AJ436">
        <v>218.87</v>
      </c>
      <c r="AK436">
        <v>557.77</v>
      </c>
      <c r="AL436">
        <v>625</v>
      </c>
      <c r="AM436">
        <v>625</v>
      </c>
      <c r="AN436">
        <v>0</v>
      </c>
      <c r="AO436">
        <v>9</v>
      </c>
      <c r="AP436">
        <v>2016</v>
      </c>
      <c r="AQ436">
        <v>6.63</v>
      </c>
      <c r="AR436">
        <v>89.24</v>
      </c>
      <c r="AS436" t="s">
        <v>6406</v>
      </c>
      <c r="AT436" t="s">
        <v>186</v>
      </c>
      <c r="AU436" t="s">
        <v>177</v>
      </c>
      <c r="AV436" t="s">
        <v>187</v>
      </c>
      <c r="AW436" t="s">
        <v>182</v>
      </c>
      <c r="AX436">
        <v>0</v>
      </c>
      <c r="AY436" t="s">
        <v>312</v>
      </c>
      <c r="AZ436" t="s">
        <v>199</v>
      </c>
      <c r="BA436" t="s">
        <v>313</v>
      </c>
      <c r="BB436" t="s">
        <v>191</v>
      </c>
      <c r="BC436" t="s">
        <v>182</v>
      </c>
      <c r="BD436" t="s">
        <v>182</v>
      </c>
      <c r="BE436" t="s">
        <v>3918</v>
      </c>
      <c r="BF436">
        <v>0</v>
      </c>
      <c r="BG436">
        <v>0</v>
      </c>
      <c r="BH436">
        <v>0</v>
      </c>
      <c r="BI436" t="s">
        <v>199</v>
      </c>
      <c r="BJ436" t="s">
        <v>315</v>
      </c>
      <c r="BL436" t="s">
        <v>199</v>
      </c>
      <c r="BM436" t="s">
        <v>358</v>
      </c>
      <c r="BN436" t="s">
        <v>182</v>
      </c>
      <c r="BO436" t="s">
        <v>198</v>
      </c>
      <c r="BP436" t="s">
        <v>198</v>
      </c>
      <c r="BQ436" t="s">
        <v>198</v>
      </c>
      <c r="BR436" t="s">
        <v>198</v>
      </c>
      <c r="BS436" t="s">
        <v>198</v>
      </c>
      <c r="BT436" t="s">
        <v>198</v>
      </c>
      <c r="BU436" t="s">
        <v>182</v>
      </c>
      <c r="BV436" t="s">
        <v>198</v>
      </c>
      <c r="BW436" t="s">
        <v>198</v>
      </c>
      <c r="BX436" t="s">
        <v>199</v>
      </c>
      <c r="BY436" t="s">
        <v>198</v>
      </c>
      <c r="BZ436" t="s">
        <v>199</v>
      </c>
      <c r="CA436" t="s">
        <v>199</v>
      </c>
      <c r="CB436" t="s">
        <v>6425</v>
      </c>
      <c r="CC436" t="s">
        <v>201</v>
      </c>
      <c r="CD436" t="s">
        <v>202</v>
      </c>
      <c r="CE436" t="s">
        <v>6426</v>
      </c>
      <c r="CF436" t="s">
        <v>6427</v>
      </c>
      <c r="CG436" t="s">
        <v>6428</v>
      </c>
      <c r="CH436" t="s">
        <v>6429</v>
      </c>
      <c r="CI436" t="s">
        <v>6430</v>
      </c>
      <c r="CJ436" t="s">
        <v>6431</v>
      </c>
      <c r="CK436" t="s">
        <v>232</v>
      </c>
      <c r="CL436" t="s">
        <v>233</v>
      </c>
      <c r="CM436" t="s">
        <v>6330</v>
      </c>
      <c r="CN436" t="s">
        <v>482</v>
      </c>
      <c r="CO436" t="s">
        <v>5</v>
      </c>
      <c r="CP436" t="s">
        <v>266</v>
      </c>
      <c r="CS436" t="s">
        <v>198</v>
      </c>
      <c r="CT436" t="s">
        <v>5732</v>
      </c>
      <c r="CU436" t="s">
        <v>292</v>
      </c>
      <c r="CV436" t="s">
        <v>293</v>
      </c>
      <c r="CW436" t="s">
        <v>6432</v>
      </c>
      <c r="CX436" t="s">
        <v>482</v>
      </c>
      <c r="CY436" t="s">
        <v>183</v>
      </c>
      <c r="CZ436" t="s">
        <v>266</v>
      </c>
      <c r="DC436" t="s">
        <v>198</v>
      </c>
      <c r="DD436" t="s">
        <v>6329</v>
      </c>
      <c r="DE436" t="s">
        <v>267</v>
      </c>
      <c r="DF436" t="s">
        <v>268</v>
      </c>
      <c r="DG436" t="s">
        <v>6433</v>
      </c>
      <c r="DH436" t="s">
        <v>482</v>
      </c>
      <c r="DI436" t="s">
        <v>183</v>
      </c>
      <c r="DJ436" t="s">
        <v>266</v>
      </c>
      <c r="DM436" t="s">
        <v>198</v>
      </c>
      <c r="DN436" t="s">
        <v>4707</v>
      </c>
      <c r="DO436" t="s">
        <v>273</v>
      </c>
      <c r="DP436" t="s">
        <v>274</v>
      </c>
      <c r="DQ436" t="s">
        <v>6434</v>
      </c>
      <c r="DR436" t="s">
        <v>482</v>
      </c>
      <c r="DS436" t="s">
        <v>183</v>
      </c>
      <c r="DT436" t="s">
        <v>266</v>
      </c>
      <c r="DW436" t="s">
        <v>198</v>
      </c>
      <c r="DX436" t="s">
        <v>6435</v>
      </c>
      <c r="DY436" t="s">
        <v>302</v>
      </c>
      <c r="DZ436" t="s">
        <v>303</v>
      </c>
      <c r="EA436" t="s">
        <v>6389</v>
      </c>
      <c r="EB436" t="s">
        <v>1615</v>
      </c>
      <c r="EC436" t="s">
        <v>183</v>
      </c>
      <c r="ED436" t="s">
        <v>266</v>
      </c>
      <c r="EG436" t="s">
        <v>198</v>
      </c>
      <c r="EH436" t="s">
        <v>6436</v>
      </c>
      <c r="EI436" t="s">
        <v>238</v>
      </c>
      <c r="EJ436" t="s">
        <v>239</v>
      </c>
      <c r="EK436" t="s">
        <v>6350</v>
      </c>
      <c r="EL436" t="s">
        <v>482</v>
      </c>
      <c r="EM436" t="s">
        <v>183</v>
      </c>
      <c r="EN436" t="s">
        <v>266</v>
      </c>
      <c r="EQ436" t="s">
        <v>198</v>
      </c>
      <c r="ER436" t="s">
        <v>6437</v>
      </c>
      <c r="ES436" t="s">
        <v>346</v>
      </c>
      <c r="ET436" t="s">
        <v>347</v>
      </c>
      <c r="EU436" t="s">
        <v>6438</v>
      </c>
      <c r="EV436" t="s">
        <v>341</v>
      </c>
      <c r="EW436" t="s">
        <v>183</v>
      </c>
      <c r="EX436" t="s">
        <v>266</v>
      </c>
      <c r="FA436" t="s">
        <v>198</v>
      </c>
      <c r="FK436" t="s">
        <v>198</v>
      </c>
      <c r="FU436" t="s">
        <v>198</v>
      </c>
    </row>
    <row r="437" spans="1:177">
      <c r="A437" s="1" t="str">
        <f>HYPERLINK("http://digipan.lumentumllc.com/apps/getLink/index.php?t=PropLink&amp;p=6594157","PL")</f>
        <v>PL</v>
      </c>
      <c r="B437" s="1" t="str">
        <f>HYPERLINK("http://digipan.lumentumllc.com/apps/getLink/index.php?t=TaxLink&amp;p=6594157","TL")</f>
        <v>TL</v>
      </c>
      <c r="C437" s="1" t="str">
        <f>HYPERLINK("http://digipan.lumentumllc.com/apps/getMap/index.php?p=6594157","Map")</f>
        <v>Map</v>
      </c>
      <c r="E437" t="s">
        <v>177</v>
      </c>
      <c r="F437" t="s">
        <v>178</v>
      </c>
      <c r="L437" t="s">
        <v>6439</v>
      </c>
      <c r="N437" t="s">
        <v>6439</v>
      </c>
      <c r="O437" t="s">
        <v>6439</v>
      </c>
      <c r="P437" t="s">
        <v>6440</v>
      </c>
      <c r="Q437" t="s">
        <v>6439</v>
      </c>
      <c r="V437">
        <v>504</v>
      </c>
      <c r="W437">
        <v>2</v>
      </c>
      <c r="X437">
        <v>2017</v>
      </c>
      <c r="Y437">
        <v>2018</v>
      </c>
      <c r="Z437">
        <v>403.34</v>
      </c>
      <c r="AB437" t="s">
        <v>181</v>
      </c>
      <c r="AC437" t="s">
        <v>182</v>
      </c>
      <c r="AD437" t="s">
        <v>183</v>
      </c>
      <c r="AE437">
        <v>0</v>
      </c>
      <c r="AF437">
        <v>1</v>
      </c>
      <c r="AG437" t="s">
        <v>821</v>
      </c>
      <c r="AH437">
        <v>100</v>
      </c>
      <c r="AK437">
        <v>0</v>
      </c>
      <c r="AL437">
        <v>57058</v>
      </c>
      <c r="AM437">
        <v>22500</v>
      </c>
      <c r="AN437">
        <v>34558</v>
      </c>
      <c r="AO437">
        <v>279</v>
      </c>
      <c r="AP437">
        <v>2016</v>
      </c>
      <c r="AQ437">
        <v>0.71</v>
      </c>
      <c r="AS437" t="s">
        <v>6441</v>
      </c>
      <c r="AT437" t="s">
        <v>186</v>
      </c>
      <c r="AU437" t="s">
        <v>177</v>
      </c>
      <c r="AV437" t="s">
        <v>187</v>
      </c>
      <c r="AW437" t="s">
        <v>202</v>
      </c>
      <c r="AX437">
        <v>2</v>
      </c>
      <c r="AY437" t="s">
        <v>188</v>
      </c>
      <c r="AZ437" t="s">
        <v>189</v>
      </c>
      <c r="BA437" t="s">
        <v>190</v>
      </c>
      <c r="BB437" t="s">
        <v>191</v>
      </c>
      <c r="BC437" t="s">
        <v>182</v>
      </c>
      <c r="BD437" t="s">
        <v>182</v>
      </c>
      <c r="BE437" t="s">
        <v>6305</v>
      </c>
      <c r="BF437">
        <v>1</v>
      </c>
      <c r="BG437">
        <v>1</v>
      </c>
      <c r="BH437">
        <v>2000</v>
      </c>
      <c r="BI437" t="s">
        <v>1530</v>
      </c>
      <c r="BJ437" t="s">
        <v>194</v>
      </c>
      <c r="BK437" t="s">
        <v>195</v>
      </c>
      <c r="BL437" t="s">
        <v>199</v>
      </c>
      <c r="BM437" t="s">
        <v>238</v>
      </c>
      <c r="BN437" t="s">
        <v>182</v>
      </c>
      <c r="BO437" t="s">
        <v>982</v>
      </c>
      <c r="BP437" t="s">
        <v>6442</v>
      </c>
      <c r="BS437" t="s">
        <v>6443</v>
      </c>
      <c r="BT437" t="s">
        <v>198</v>
      </c>
      <c r="BU437" t="s">
        <v>182</v>
      </c>
      <c r="BV437" t="s">
        <v>198</v>
      </c>
      <c r="BW437" t="s">
        <v>198</v>
      </c>
      <c r="BX437" t="s">
        <v>199</v>
      </c>
      <c r="BY437" t="s">
        <v>198</v>
      </c>
      <c r="BZ437" t="s">
        <v>199</v>
      </c>
      <c r="CA437" t="s">
        <v>199</v>
      </c>
      <c r="CB437" t="s">
        <v>6444</v>
      </c>
      <c r="CC437" t="s">
        <v>201</v>
      </c>
      <c r="CD437" t="s">
        <v>182</v>
      </c>
      <c r="CE437" t="s">
        <v>6445</v>
      </c>
      <c r="CF437" t="s">
        <v>204</v>
      </c>
      <c r="CG437" t="s">
        <v>177</v>
      </c>
      <c r="CH437" t="s">
        <v>187</v>
      </c>
      <c r="CI437" t="s">
        <v>6446</v>
      </c>
      <c r="CJ437" t="s">
        <v>4805</v>
      </c>
      <c r="CK437" t="s">
        <v>292</v>
      </c>
      <c r="CL437" t="s">
        <v>293</v>
      </c>
      <c r="CM437" t="s">
        <v>6447</v>
      </c>
      <c r="CN437" t="s">
        <v>235</v>
      </c>
      <c r="CO437" t="s">
        <v>183</v>
      </c>
      <c r="CP437" t="s">
        <v>211</v>
      </c>
      <c r="CQ437" t="s">
        <v>270</v>
      </c>
      <c r="CS437" t="s">
        <v>6448</v>
      </c>
      <c r="DC437" t="s">
        <v>198</v>
      </c>
      <c r="DM437" t="s">
        <v>198</v>
      </c>
      <c r="DW437" t="s">
        <v>198</v>
      </c>
      <c r="EG437" t="s">
        <v>198</v>
      </c>
      <c r="EQ437" t="s">
        <v>198</v>
      </c>
      <c r="FA437" t="s">
        <v>198</v>
      </c>
      <c r="FK437" t="s">
        <v>198</v>
      </c>
      <c r="FU437" t="s">
        <v>198</v>
      </c>
    </row>
    <row r="438" spans="1:177">
      <c r="A438" s="1" t="str">
        <f>HYPERLINK("http://digipan.lumentumllc.com/apps/getLink/index.php?t=PropLink&amp;p=5245259","PL")</f>
        <v>PL</v>
      </c>
      <c r="B438" s="1" t="str">
        <f>HYPERLINK("http://digipan.lumentumllc.com/apps/getLink/index.php?t=TaxLink&amp;p=5245259","TL")</f>
        <v>TL</v>
      </c>
      <c r="C438" s="1" t="str">
        <f>HYPERLINK("http://digipan.lumentumllc.com/apps/getMap/index.php?p=5245259","Map")</f>
        <v>Map</v>
      </c>
      <c r="E438" t="s">
        <v>177</v>
      </c>
      <c r="F438" t="s">
        <v>178</v>
      </c>
      <c r="L438" t="s">
        <v>6449</v>
      </c>
      <c r="N438" t="s">
        <v>6449</v>
      </c>
      <c r="O438" t="s">
        <v>6449</v>
      </c>
      <c r="P438" t="s">
        <v>6450</v>
      </c>
      <c r="Q438" t="s">
        <v>6449</v>
      </c>
      <c r="V438">
        <v>505</v>
      </c>
      <c r="W438">
        <v>2</v>
      </c>
      <c r="X438">
        <v>2017</v>
      </c>
      <c r="Y438">
        <v>2018</v>
      </c>
      <c r="Z438">
        <v>285.95</v>
      </c>
      <c r="AB438" t="s">
        <v>181</v>
      </c>
      <c r="AC438" t="s">
        <v>182</v>
      </c>
      <c r="AD438" t="s">
        <v>183</v>
      </c>
      <c r="AE438">
        <v>0</v>
      </c>
      <c r="AF438">
        <v>3</v>
      </c>
      <c r="AG438" t="s">
        <v>381</v>
      </c>
      <c r="AH438">
        <v>100</v>
      </c>
      <c r="AK438">
        <v>0</v>
      </c>
      <c r="AL438">
        <v>54603</v>
      </c>
      <c r="AM438">
        <v>18750</v>
      </c>
      <c r="AN438">
        <v>35853</v>
      </c>
      <c r="AO438">
        <v>227</v>
      </c>
      <c r="AP438">
        <v>2016</v>
      </c>
      <c r="AQ438">
        <v>0.52</v>
      </c>
      <c r="AS438" t="s">
        <v>6451</v>
      </c>
      <c r="AT438" t="s">
        <v>186</v>
      </c>
      <c r="AU438" t="s">
        <v>177</v>
      </c>
      <c r="AV438" t="s">
        <v>187</v>
      </c>
      <c r="AW438" t="s">
        <v>202</v>
      </c>
      <c r="AX438">
        <v>2</v>
      </c>
      <c r="AY438" t="s">
        <v>188</v>
      </c>
      <c r="AZ438" t="s">
        <v>189</v>
      </c>
      <c r="BA438" t="s">
        <v>190</v>
      </c>
      <c r="BB438" t="s">
        <v>191</v>
      </c>
      <c r="BC438" t="s">
        <v>182</v>
      </c>
      <c r="BD438" t="s">
        <v>182</v>
      </c>
      <c r="BE438" t="s">
        <v>3696</v>
      </c>
      <c r="BF438">
        <v>1</v>
      </c>
      <c r="BG438">
        <v>1</v>
      </c>
      <c r="BH438">
        <v>1989</v>
      </c>
      <c r="BI438" t="s">
        <v>4822</v>
      </c>
      <c r="BJ438" t="s">
        <v>194</v>
      </c>
      <c r="BK438" t="s">
        <v>195</v>
      </c>
      <c r="BL438" t="s">
        <v>797</v>
      </c>
      <c r="BM438" t="s">
        <v>292</v>
      </c>
      <c r="BN438" t="s">
        <v>182</v>
      </c>
      <c r="BO438" t="s">
        <v>6452</v>
      </c>
      <c r="BP438" t="s">
        <v>6453</v>
      </c>
      <c r="BR438" t="s">
        <v>1123</v>
      </c>
      <c r="BS438" t="s">
        <v>6454</v>
      </c>
      <c r="BT438" t="s">
        <v>6455</v>
      </c>
      <c r="BU438" t="s">
        <v>182</v>
      </c>
      <c r="BV438" t="s">
        <v>198</v>
      </c>
      <c r="BW438" t="s">
        <v>198</v>
      </c>
      <c r="BX438" t="s">
        <v>199</v>
      </c>
      <c r="BY438" t="s">
        <v>198</v>
      </c>
      <c r="BZ438" t="s">
        <v>199</v>
      </c>
      <c r="CA438" t="s">
        <v>199</v>
      </c>
      <c r="CB438" t="s">
        <v>6456</v>
      </c>
      <c r="CC438" t="s">
        <v>201</v>
      </c>
      <c r="CD438" t="s">
        <v>182</v>
      </c>
      <c r="CE438" t="s">
        <v>6457</v>
      </c>
      <c r="CF438" t="s">
        <v>204</v>
      </c>
      <c r="CG438" t="s">
        <v>177</v>
      </c>
      <c r="CH438" t="s">
        <v>187</v>
      </c>
      <c r="CI438" t="s">
        <v>6458</v>
      </c>
      <c r="CJ438" t="s">
        <v>6329</v>
      </c>
      <c r="CK438" t="s">
        <v>273</v>
      </c>
      <c r="CL438" t="s">
        <v>274</v>
      </c>
      <c r="CM438" t="s">
        <v>6459</v>
      </c>
      <c r="CN438" t="s">
        <v>235</v>
      </c>
      <c r="CO438" t="s">
        <v>183</v>
      </c>
      <c r="CP438" t="s">
        <v>211</v>
      </c>
      <c r="CQ438" t="s">
        <v>329</v>
      </c>
      <c r="CS438" t="s">
        <v>4379</v>
      </c>
      <c r="CT438" t="s">
        <v>6460</v>
      </c>
      <c r="CU438" t="s">
        <v>238</v>
      </c>
      <c r="CV438" t="s">
        <v>239</v>
      </c>
      <c r="CW438" t="s">
        <v>6461</v>
      </c>
      <c r="CX438" t="s">
        <v>295</v>
      </c>
      <c r="CY438" t="s">
        <v>183</v>
      </c>
      <c r="CZ438" t="s">
        <v>211</v>
      </c>
      <c r="DA438" t="s">
        <v>329</v>
      </c>
      <c r="DC438" t="s">
        <v>1622</v>
      </c>
      <c r="DD438" t="s">
        <v>6462</v>
      </c>
      <c r="DE438" t="s">
        <v>346</v>
      </c>
      <c r="DF438" t="s">
        <v>347</v>
      </c>
      <c r="DG438" t="s">
        <v>6463</v>
      </c>
      <c r="DH438" t="s">
        <v>2515</v>
      </c>
      <c r="DI438" t="s">
        <v>183</v>
      </c>
      <c r="DJ438" t="s">
        <v>211</v>
      </c>
      <c r="DK438" t="s">
        <v>523</v>
      </c>
      <c r="DM438" t="s">
        <v>6464</v>
      </c>
      <c r="DW438" t="s">
        <v>198</v>
      </c>
      <c r="EG438" t="s">
        <v>198</v>
      </c>
      <c r="EQ438" t="s">
        <v>198</v>
      </c>
      <c r="FA438" t="s">
        <v>198</v>
      </c>
      <c r="FK438" t="s">
        <v>198</v>
      </c>
      <c r="FU438" t="s">
        <v>198</v>
      </c>
    </row>
    <row r="439" spans="1:177">
      <c r="A439" s="1" t="str">
        <f>HYPERLINK("http://digipan.lumentumllc.com/apps/getLink/index.php?t=PropLink&amp;p=4637451","PL")</f>
        <v>PL</v>
      </c>
      <c r="B439" s="1" t="str">
        <f>HYPERLINK("http://digipan.lumentumllc.com/apps/getLink/index.php?t=TaxLink&amp;p=4637451","TL")</f>
        <v>TL</v>
      </c>
      <c r="C439" s="1" t="str">
        <f>HYPERLINK("http://digipan.lumentumllc.com/apps/getMap/index.php?p=4637451","Map")</f>
        <v>Map</v>
      </c>
      <c r="E439" t="s">
        <v>177</v>
      </c>
      <c r="F439" t="s">
        <v>178</v>
      </c>
      <c r="L439" t="s">
        <v>6465</v>
      </c>
      <c r="N439" t="s">
        <v>6465</v>
      </c>
      <c r="O439" t="s">
        <v>6465</v>
      </c>
      <c r="P439" t="s">
        <v>6466</v>
      </c>
      <c r="Q439" t="s">
        <v>6465</v>
      </c>
      <c r="V439">
        <v>506</v>
      </c>
      <c r="W439">
        <v>2</v>
      </c>
      <c r="X439">
        <v>2017</v>
      </c>
      <c r="Y439">
        <v>2018</v>
      </c>
      <c r="Z439">
        <v>503.05</v>
      </c>
      <c r="AB439" t="s">
        <v>181</v>
      </c>
      <c r="AC439" t="s">
        <v>182</v>
      </c>
      <c r="AD439" t="s">
        <v>6467</v>
      </c>
      <c r="AE439">
        <v>0</v>
      </c>
      <c r="AF439">
        <v>1</v>
      </c>
      <c r="AG439" t="s">
        <v>821</v>
      </c>
      <c r="AH439">
        <v>100</v>
      </c>
      <c r="AK439">
        <v>0</v>
      </c>
      <c r="AL439">
        <v>34288</v>
      </c>
      <c r="AM439">
        <v>7500</v>
      </c>
      <c r="AN439">
        <v>26788</v>
      </c>
      <c r="AO439">
        <v>367</v>
      </c>
      <c r="AP439">
        <v>2016</v>
      </c>
      <c r="AQ439">
        <v>1.47</v>
      </c>
      <c r="AS439" t="s">
        <v>6468</v>
      </c>
      <c r="AT439" t="s">
        <v>186</v>
      </c>
      <c r="AU439" t="s">
        <v>177</v>
      </c>
      <c r="AV439" t="s">
        <v>187</v>
      </c>
      <c r="AW439" t="s">
        <v>182</v>
      </c>
      <c r="AX439">
        <v>2</v>
      </c>
      <c r="AY439" t="s">
        <v>188</v>
      </c>
      <c r="AZ439" t="s">
        <v>189</v>
      </c>
      <c r="BA439" t="s">
        <v>190</v>
      </c>
      <c r="BB439" t="s">
        <v>191</v>
      </c>
      <c r="BC439" t="s">
        <v>182</v>
      </c>
      <c r="BD439" t="s">
        <v>182</v>
      </c>
      <c r="BE439" t="s">
        <v>5975</v>
      </c>
      <c r="BF439">
        <v>1</v>
      </c>
      <c r="BG439">
        <v>1</v>
      </c>
      <c r="BH439">
        <v>1996</v>
      </c>
      <c r="BI439" t="s">
        <v>6469</v>
      </c>
      <c r="BJ439" t="s">
        <v>194</v>
      </c>
      <c r="BK439" t="s">
        <v>195</v>
      </c>
      <c r="BL439" t="s">
        <v>199</v>
      </c>
      <c r="BM439" t="s">
        <v>325</v>
      </c>
      <c r="BN439" t="s">
        <v>182</v>
      </c>
      <c r="BO439" t="s">
        <v>198</v>
      </c>
      <c r="BP439" t="s">
        <v>198</v>
      </c>
      <c r="BQ439" t="s">
        <v>198</v>
      </c>
      <c r="BR439" t="s">
        <v>198</v>
      </c>
      <c r="BS439" t="s">
        <v>198</v>
      </c>
      <c r="BT439" t="s">
        <v>198</v>
      </c>
      <c r="BU439" t="s">
        <v>182</v>
      </c>
      <c r="BV439" t="s">
        <v>198</v>
      </c>
      <c r="BW439" t="s">
        <v>198</v>
      </c>
      <c r="BX439" t="s">
        <v>199</v>
      </c>
      <c r="BY439" t="s">
        <v>198</v>
      </c>
      <c r="BZ439" t="s">
        <v>199</v>
      </c>
      <c r="CA439" t="s">
        <v>199</v>
      </c>
      <c r="CB439" t="s">
        <v>6470</v>
      </c>
      <c r="CC439" t="s">
        <v>201</v>
      </c>
      <c r="CD439" t="s">
        <v>182</v>
      </c>
      <c r="CE439" t="s">
        <v>6471</v>
      </c>
      <c r="CF439" t="s">
        <v>204</v>
      </c>
      <c r="CG439" t="s">
        <v>177</v>
      </c>
      <c r="CH439" t="s">
        <v>187</v>
      </c>
      <c r="CI439" t="s">
        <v>6472</v>
      </c>
      <c r="CJ439" t="s">
        <v>6473</v>
      </c>
      <c r="CK439" t="s">
        <v>302</v>
      </c>
      <c r="CL439" t="s">
        <v>303</v>
      </c>
      <c r="CM439" t="s">
        <v>6474</v>
      </c>
      <c r="CN439" t="s">
        <v>482</v>
      </c>
      <c r="CO439" t="s">
        <v>5</v>
      </c>
      <c r="CP439" t="s">
        <v>211</v>
      </c>
      <c r="CQ439" t="s">
        <v>212</v>
      </c>
      <c r="CS439" t="s">
        <v>915</v>
      </c>
      <c r="DC439" t="s">
        <v>198</v>
      </c>
      <c r="DM439" t="s">
        <v>198</v>
      </c>
      <c r="DW439" t="s">
        <v>198</v>
      </c>
      <c r="EG439" t="s">
        <v>198</v>
      </c>
      <c r="EQ439" t="s">
        <v>198</v>
      </c>
      <c r="FA439" t="s">
        <v>198</v>
      </c>
      <c r="FK439" t="s">
        <v>198</v>
      </c>
      <c r="FU439" t="s">
        <v>198</v>
      </c>
    </row>
    <row r="440" spans="1:177">
      <c r="A440" s="1" t="str">
        <f>HYPERLINK("http://digipan.lumentumllc.com/apps/getLink/index.php?t=PropLink&amp;p=15742515","PL")</f>
        <v>PL</v>
      </c>
      <c r="B440" s="1" t="str">
        <f>HYPERLINK("http://digipan.lumentumllc.com/apps/getLink/index.php?t=TaxLink&amp;p=15742515","TL")</f>
        <v>TL</v>
      </c>
      <c r="C440" s="1" t="str">
        <f>HYPERLINK("http://digipan.lumentumllc.com/apps/getMap/index.php?p=15742515","Map")</f>
        <v>Map</v>
      </c>
      <c r="E440" t="s">
        <v>177</v>
      </c>
      <c r="F440" t="s">
        <v>178</v>
      </c>
      <c r="L440" t="s">
        <v>6475</v>
      </c>
      <c r="N440" t="s">
        <v>6475</v>
      </c>
      <c r="O440" t="s">
        <v>6475</v>
      </c>
      <c r="Q440" t="s">
        <v>6475</v>
      </c>
      <c r="V440">
        <v>507</v>
      </c>
      <c r="W440">
        <v>2</v>
      </c>
      <c r="X440">
        <v>2017</v>
      </c>
      <c r="Y440">
        <v>2018</v>
      </c>
      <c r="Z440">
        <v>371.84</v>
      </c>
      <c r="AG440" t="s">
        <v>184</v>
      </c>
      <c r="AH440">
        <v>0</v>
      </c>
      <c r="AK440">
        <v>0</v>
      </c>
      <c r="AL440">
        <v>22500</v>
      </c>
      <c r="AM440">
        <v>22500</v>
      </c>
      <c r="AN440">
        <v>0</v>
      </c>
      <c r="AO440">
        <v>320</v>
      </c>
      <c r="AP440">
        <v>2016</v>
      </c>
      <c r="AQ440">
        <v>1.65</v>
      </c>
      <c r="AS440" t="s">
        <v>6476</v>
      </c>
      <c r="AT440" t="s">
        <v>186</v>
      </c>
      <c r="AU440" t="s">
        <v>177</v>
      </c>
      <c r="AV440" t="s">
        <v>187</v>
      </c>
      <c r="AW440" t="s">
        <v>182</v>
      </c>
      <c r="AX440">
        <v>0</v>
      </c>
      <c r="AY440" t="s">
        <v>312</v>
      </c>
      <c r="AZ440" t="s">
        <v>199</v>
      </c>
      <c r="BA440" t="s">
        <v>313</v>
      </c>
      <c r="BB440" t="s">
        <v>191</v>
      </c>
      <c r="BC440" t="s">
        <v>182</v>
      </c>
      <c r="BD440" t="s">
        <v>182</v>
      </c>
      <c r="BE440" t="s">
        <v>6305</v>
      </c>
      <c r="BF440">
        <v>0</v>
      </c>
      <c r="BG440">
        <v>0</v>
      </c>
      <c r="BH440">
        <v>0</v>
      </c>
      <c r="BI440" t="s">
        <v>199</v>
      </c>
      <c r="BJ440" t="s">
        <v>315</v>
      </c>
      <c r="BL440" t="s">
        <v>6402</v>
      </c>
      <c r="BM440" t="s">
        <v>346</v>
      </c>
      <c r="BN440" t="s">
        <v>182</v>
      </c>
      <c r="BO440" t="s">
        <v>198</v>
      </c>
      <c r="BP440" t="s">
        <v>198</v>
      </c>
      <c r="BQ440" t="s">
        <v>198</v>
      </c>
      <c r="BR440" t="s">
        <v>198</v>
      </c>
      <c r="BS440" t="s">
        <v>198</v>
      </c>
      <c r="BT440" t="s">
        <v>198</v>
      </c>
      <c r="BU440" t="s">
        <v>182</v>
      </c>
      <c r="BV440" t="s">
        <v>198</v>
      </c>
      <c r="BW440" t="s">
        <v>198</v>
      </c>
      <c r="BX440" t="s">
        <v>199</v>
      </c>
      <c r="BY440" t="s">
        <v>198</v>
      </c>
      <c r="BZ440" t="s">
        <v>199</v>
      </c>
      <c r="CA440" t="s">
        <v>199</v>
      </c>
      <c r="CB440" t="s">
        <v>5995</v>
      </c>
      <c r="CC440" t="s">
        <v>201</v>
      </c>
      <c r="CD440" t="s">
        <v>182</v>
      </c>
      <c r="CE440" t="s">
        <v>5996</v>
      </c>
      <c r="CF440" t="s">
        <v>204</v>
      </c>
      <c r="CG440" t="s">
        <v>177</v>
      </c>
      <c r="CH440" t="s">
        <v>187</v>
      </c>
      <c r="CI440" t="s">
        <v>6477</v>
      </c>
      <c r="CS440" t="s">
        <v>198</v>
      </c>
      <c r="DC440" t="s">
        <v>198</v>
      </c>
      <c r="DM440" t="s">
        <v>198</v>
      </c>
      <c r="DW440" t="s">
        <v>198</v>
      </c>
      <c r="EG440" t="s">
        <v>198</v>
      </c>
      <c r="EQ440" t="s">
        <v>198</v>
      </c>
      <c r="FA440" t="s">
        <v>198</v>
      </c>
      <c r="FK440" t="s">
        <v>198</v>
      </c>
      <c r="FU440" t="s">
        <v>198</v>
      </c>
    </row>
    <row r="441" spans="1:177">
      <c r="A441" s="1" t="str">
        <f>HYPERLINK("http://digipan.lumentumllc.com/apps/getLink/index.php?t=PropLink&amp;p=5245261","PL")</f>
        <v>PL</v>
      </c>
      <c r="B441" s="1" t="str">
        <f>HYPERLINK("http://digipan.lumentumllc.com/apps/getLink/index.php?t=TaxLink&amp;p=5245261","TL")</f>
        <v>TL</v>
      </c>
      <c r="C441" s="1" t="str">
        <f>HYPERLINK("http://digipan.lumentumllc.com/apps/getMap/index.php?p=5245261","Map")</f>
        <v>Map</v>
      </c>
      <c r="E441" t="s">
        <v>177</v>
      </c>
      <c r="F441" t="s">
        <v>178</v>
      </c>
      <c r="L441" t="s">
        <v>6478</v>
      </c>
      <c r="N441" t="s">
        <v>6478</v>
      </c>
      <c r="O441" t="s">
        <v>6478</v>
      </c>
      <c r="P441" t="s">
        <v>6479</v>
      </c>
      <c r="Q441" t="s">
        <v>6478</v>
      </c>
      <c r="V441">
        <v>508</v>
      </c>
      <c r="W441">
        <v>2</v>
      </c>
      <c r="X441">
        <v>2017</v>
      </c>
      <c r="Y441">
        <v>2018</v>
      </c>
      <c r="Z441">
        <v>50.88</v>
      </c>
      <c r="AB441" t="s">
        <v>181</v>
      </c>
      <c r="AC441" t="s">
        <v>182</v>
      </c>
      <c r="AD441" t="s">
        <v>183</v>
      </c>
      <c r="AE441">
        <v>1</v>
      </c>
      <c r="AF441">
        <v>7</v>
      </c>
      <c r="AG441" t="s">
        <v>418</v>
      </c>
      <c r="AH441">
        <v>86</v>
      </c>
      <c r="AI441">
        <v>53.16</v>
      </c>
      <c r="AJ441">
        <v>9.57</v>
      </c>
      <c r="AK441">
        <v>62.73</v>
      </c>
      <c r="AL441">
        <v>1250</v>
      </c>
      <c r="AM441">
        <v>1250</v>
      </c>
      <c r="AN441">
        <v>0</v>
      </c>
      <c r="AO441">
        <v>18</v>
      </c>
      <c r="AP441">
        <v>2016</v>
      </c>
      <c r="AQ441">
        <v>4.07</v>
      </c>
      <c r="AR441">
        <v>5.0199999999999996</v>
      </c>
      <c r="AS441" t="s">
        <v>6480</v>
      </c>
      <c r="AT441" t="s">
        <v>186</v>
      </c>
      <c r="AU441" t="s">
        <v>177</v>
      </c>
      <c r="AV441" t="s">
        <v>187</v>
      </c>
      <c r="AW441" t="s">
        <v>182</v>
      </c>
      <c r="AX441">
        <v>0</v>
      </c>
      <c r="AY441" t="s">
        <v>312</v>
      </c>
      <c r="AZ441" t="s">
        <v>199</v>
      </c>
      <c r="BA441" t="s">
        <v>313</v>
      </c>
      <c r="BB441" t="s">
        <v>191</v>
      </c>
      <c r="BC441" t="s">
        <v>182</v>
      </c>
      <c r="BD441" t="s">
        <v>182</v>
      </c>
      <c r="BE441" t="s">
        <v>5975</v>
      </c>
      <c r="BF441">
        <v>0</v>
      </c>
      <c r="BG441">
        <v>0</v>
      </c>
      <c r="BH441">
        <v>0</v>
      </c>
      <c r="BI441" t="s">
        <v>199</v>
      </c>
      <c r="BJ441" t="s">
        <v>396</v>
      </c>
      <c r="BL441" t="s">
        <v>199</v>
      </c>
      <c r="BM441" t="s">
        <v>501</v>
      </c>
      <c r="BN441" t="s">
        <v>182</v>
      </c>
      <c r="BO441" t="s">
        <v>198</v>
      </c>
      <c r="BP441" t="s">
        <v>198</v>
      </c>
      <c r="BQ441" t="s">
        <v>198</v>
      </c>
      <c r="BR441" t="s">
        <v>198</v>
      </c>
      <c r="BS441" t="s">
        <v>198</v>
      </c>
      <c r="BT441" t="s">
        <v>198</v>
      </c>
      <c r="BU441" t="s">
        <v>182</v>
      </c>
      <c r="BV441" t="s">
        <v>198</v>
      </c>
      <c r="BW441" t="s">
        <v>198</v>
      </c>
      <c r="BX441" t="s">
        <v>199</v>
      </c>
      <c r="BY441" t="s">
        <v>198</v>
      </c>
      <c r="BZ441" t="s">
        <v>199</v>
      </c>
      <c r="CA441" t="s">
        <v>199</v>
      </c>
      <c r="CB441" t="s">
        <v>6481</v>
      </c>
      <c r="CC441" t="s">
        <v>201</v>
      </c>
      <c r="CD441" t="s">
        <v>182</v>
      </c>
      <c r="CE441" t="s">
        <v>6482</v>
      </c>
      <c r="CF441" t="s">
        <v>413</v>
      </c>
      <c r="CG441" t="s">
        <v>177</v>
      </c>
      <c r="CH441" t="s">
        <v>4044</v>
      </c>
      <c r="CI441" t="s">
        <v>6483</v>
      </c>
      <c r="CJ441" t="s">
        <v>4835</v>
      </c>
      <c r="CK441" t="s">
        <v>232</v>
      </c>
      <c r="CL441" t="s">
        <v>233</v>
      </c>
      <c r="CM441" t="s">
        <v>6484</v>
      </c>
      <c r="CN441" t="s">
        <v>482</v>
      </c>
      <c r="CO441" t="s">
        <v>183</v>
      </c>
      <c r="CP441" t="s">
        <v>266</v>
      </c>
      <c r="CS441" t="s">
        <v>198</v>
      </c>
      <c r="CT441" t="s">
        <v>4854</v>
      </c>
      <c r="CU441" t="s">
        <v>292</v>
      </c>
      <c r="CV441" t="s">
        <v>293</v>
      </c>
      <c r="CW441" t="s">
        <v>6485</v>
      </c>
      <c r="CX441" t="s">
        <v>482</v>
      </c>
      <c r="CY441" t="s">
        <v>183</v>
      </c>
      <c r="CZ441" t="s">
        <v>211</v>
      </c>
      <c r="DA441" t="s">
        <v>298</v>
      </c>
      <c r="DC441" t="s">
        <v>430</v>
      </c>
      <c r="DD441" t="s">
        <v>6359</v>
      </c>
      <c r="DE441" t="s">
        <v>267</v>
      </c>
      <c r="DF441" t="s">
        <v>268</v>
      </c>
      <c r="DG441" t="s">
        <v>6486</v>
      </c>
      <c r="DH441" t="s">
        <v>482</v>
      </c>
      <c r="DI441" t="s">
        <v>183</v>
      </c>
      <c r="DJ441" t="s">
        <v>211</v>
      </c>
      <c r="DK441" t="s">
        <v>298</v>
      </c>
      <c r="DM441" t="s">
        <v>3567</v>
      </c>
      <c r="DN441" t="s">
        <v>4738</v>
      </c>
      <c r="DO441" t="s">
        <v>273</v>
      </c>
      <c r="DP441" t="s">
        <v>274</v>
      </c>
      <c r="DQ441" t="s">
        <v>6487</v>
      </c>
      <c r="DR441" t="s">
        <v>1491</v>
      </c>
      <c r="DS441" t="s">
        <v>183</v>
      </c>
      <c r="DT441" t="s">
        <v>211</v>
      </c>
      <c r="DU441" t="s">
        <v>298</v>
      </c>
      <c r="DW441" t="s">
        <v>6488</v>
      </c>
      <c r="DX441" t="s">
        <v>6489</v>
      </c>
      <c r="DY441" t="s">
        <v>302</v>
      </c>
      <c r="DZ441" t="s">
        <v>303</v>
      </c>
      <c r="EA441" t="s">
        <v>6490</v>
      </c>
      <c r="EB441" t="s">
        <v>295</v>
      </c>
      <c r="EC441" t="s">
        <v>183</v>
      </c>
      <c r="ED441" t="s">
        <v>211</v>
      </c>
      <c r="EE441" t="s">
        <v>298</v>
      </c>
      <c r="EG441" t="s">
        <v>3499</v>
      </c>
      <c r="EH441" t="s">
        <v>6491</v>
      </c>
      <c r="EI441" t="s">
        <v>238</v>
      </c>
      <c r="EJ441" t="s">
        <v>239</v>
      </c>
      <c r="EK441" t="s">
        <v>6492</v>
      </c>
      <c r="EL441" t="s">
        <v>1074</v>
      </c>
      <c r="EM441" t="s">
        <v>183</v>
      </c>
      <c r="EN441" t="s">
        <v>211</v>
      </c>
      <c r="EO441" t="s">
        <v>298</v>
      </c>
      <c r="EQ441" t="s">
        <v>1815</v>
      </c>
      <c r="ER441" t="s">
        <v>6493</v>
      </c>
      <c r="ES441" t="s">
        <v>346</v>
      </c>
      <c r="ET441" t="s">
        <v>347</v>
      </c>
      <c r="EU441" t="s">
        <v>6494</v>
      </c>
      <c r="EV441" t="s">
        <v>235</v>
      </c>
      <c r="EW441" t="s">
        <v>183</v>
      </c>
      <c r="EX441" t="s">
        <v>211</v>
      </c>
      <c r="EY441" t="s">
        <v>298</v>
      </c>
      <c r="FA441" t="s">
        <v>878</v>
      </c>
      <c r="FB441" t="s">
        <v>6174</v>
      </c>
      <c r="FC441" t="s">
        <v>207</v>
      </c>
      <c r="FD441" t="s">
        <v>208</v>
      </c>
      <c r="FE441" t="s">
        <v>6495</v>
      </c>
      <c r="FF441" t="s">
        <v>482</v>
      </c>
      <c r="FG441" t="s">
        <v>183</v>
      </c>
      <c r="FH441" t="s">
        <v>211</v>
      </c>
      <c r="FI441" t="s">
        <v>298</v>
      </c>
      <c r="FK441" t="s">
        <v>1324</v>
      </c>
      <c r="FU441" t="s">
        <v>198</v>
      </c>
    </row>
    <row r="442" spans="1:177">
      <c r="A442" s="1" t="str">
        <f>HYPERLINK("http://digipan.lumentumllc.com/apps/getLink/index.php?t=PropLink&amp;p=5245262","PL")</f>
        <v>PL</v>
      </c>
      <c r="B442" s="1" t="str">
        <f>HYPERLINK("http://digipan.lumentumllc.com/apps/getLink/index.php?t=TaxLink&amp;p=5245262","TL")</f>
        <v>TL</v>
      </c>
      <c r="C442" s="1" t="str">
        <f>HYPERLINK("http://digipan.lumentumllc.com/apps/getMap/index.php?p=5245262","Map")</f>
        <v>Map</v>
      </c>
      <c r="E442" t="s">
        <v>177</v>
      </c>
      <c r="F442" t="s">
        <v>178</v>
      </c>
      <c r="L442" t="s">
        <v>6496</v>
      </c>
      <c r="N442" t="s">
        <v>6496</v>
      </c>
      <c r="O442" t="s">
        <v>6496</v>
      </c>
      <c r="P442" t="s">
        <v>6497</v>
      </c>
      <c r="Q442" t="s">
        <v>6496</v>
      </c>
      <c r="V442">
        <v>509</v>
      </c>
      <c r="W442">
        <v>2</v>
      </c>
      <c r="X442">
        <v>2017</v>
      </c>
      <c r="Y442">
        <v>2018</v>
      </c>
      <c r="Z442">
        <v>50.88</v>
      </c>
      <c r="AB442" t="s">
        <v>181</v>
      </c>
      <c r="AC442" t="s">
        <v>182</v>
      </c>
      <c r="AD442" t="s">
        <v>183</v>
      </c>
      <c r="AE442">
        <v>1</v>
      </c>
      <c r="AF442">
        <v>7</v>
      </c>
      <c r="AG442" t="s">
        <v>418</v>
      </c>
      <c r="AH442">
        <v>86</v>
      </c>
      <c r="AI442">
        <v>53.16</v>
      </c>
      <c r="AJ442">
        <v>9.57</v>
      </c>
      <c r="AK442">
        <v>62.73</v>
      </c>
      <c r="AL442">
        <v>1250</v>
      </c>
      <c r="AM442">
        <v>1250</v>
      </c>
      <c r="AN442">
        <v>0</v>
      </c>
      <c r="AO442">
        <v>18</v>
      </c>
      <c r="AP442">
        <v>2016</v>
      </c>
      <c r="AQ442">
        <v>4.07</v>
      </c>
      <c r="AR442">
        <v>5.0199999999999996</v>
      </c>
      <c r="AS442" t="s">
        <v>6406</v>
      </c>
      <c r="AT442" t="s">
        <v>186</v>
      </c>
      <c r="AU442" t="s">
        <v>177</v>
      </c>
      <c r="AV442" t="s">
        <v>187</v>
      </c>
      <c r="AW442" t="s">
        <v>182</v>
      </c>
      <c r="AX442">
        <v>0</v>
      </c>
      <c r="AY442" t="s">
        <v>312</v>
      </c>
      <c r="AZ442" t="s">
        <v>199</v>
      </c>
      <c r="BA442" t="s">
        <v>313</v>
      </c>
      <c r="BB442" t="s">
        <v>191</v>
      </c>
      <c r="BC442" t="s">
        <v>182</v>
      </c>
      <c r="BD442" t="s">
        <v>182</v>
      </c>
      <c r="BE442" t="s">
        <v>5975</v>
      </c>
      <c r="BF442">
        <v>0</v>
      </c>
      <c r="BG442">
        <v>0</v>
      </c>
      <c r="BH442">
        <v>0</v>
      </c>
      <c r="BI442" t="s">
        <v>199</v>
      </c>
      <c r="BJ442" t="s">
        <v>315</v>
      </c>
      <c r="BL442" t="s">
        <v>199</v>
      </c>
      <c r="BM442" t="s">
        <v>1825</v>
      </c>
      <c r="BN442" t="s">
        <v>182</v>
      </c>
      <c r="BO442" t="s">
        <v>198</v>
      </c>
      <c r="BP442" t="s">
        <v>198</v>
      </c>
      <c r="BQ442" t="s">
        <v>198</v>
      </c>
      <c r="BR442" t="s">
        <v>198</v>
      </c>
      <c r="BS442" t="s">
        <v>198</v>
      </c>
      <c r="BT442" t="s">
        <v>198</v>
      </c>
      <c r="BU442" t="s">
        <v>182</v>
      </c>
      <c r="BV442" t="s">
        <v>198</v>
      </c>
      <c r="BW442" t="s">
        <v>198</v>
      </c>
      <c r="BX442" t="s">
        <v>199</v>
      </c>
      <c r="BY442" t="s">
        <v>198</v>
      </c>
      <c r="BZ442" t="s">
        <v>199</v>
      </c>
      <c r="CA442" t="s">
        <v>199</v>
      </c>
      <c r="CB442" t="s">
        <v>6481</v>
      </c>
      <c r="CC442" t="s">
        <v>201</v>
      </c>
      <c r="CD442" t="s">
        <v>182</v>
      </c>
      <c r="CE442" t="s">
        <v>6482</v>
      </c>
      <c r="CF442" t="s">
        <v>413</v>
      </c>
      <c r="CG442" t="s">
        <v>177</v>
      </c>
      <c r="CH442" t="s">
        <v>4044</v>
      </c>
      <c r="CI442" t="s">
        <v>6498</v>
      </c>
      <c r="CJ442" t="s">
        <v>6499</v>
      </c>
      <c r="CK442" t="s">
        <v>232</v>
      </c>
      <c r="CL442" t="s">
        <v>233</v>
      </c>
      <c r="CM442" t="s">
        <v>6484</v>
      </c>
      <c r="CN442" t="s">
        <v>482</v>
      </c>
      <c r="CO442" t="s">
        <v>183</v>
      </c>
      <c r="CP442" t="s">
        <v>266</v>
      </c>
      <c r="CS442" t="s">
        <v>198</v>
      </c>
      <c r="CT442" t="s">
        <v>6397</v>
      </c>
      <c r="CU442" t="s">
        <v>292</v>
      </c>
      <c r="CV442" t="s">
        <v>293</v>
      </c>
      <c r="CW442" t="s">
        <v>6500</v>
      </c>
      <c r="CX442" t="s">
        <v>482</v>
      </c>
      <c r="CY442" t="s">
        <v>183</v>
      </c>
      <c r="CZ442" t="s">
        <v>211</v>
      </c>
      <c r="DA442" t="s">
        <v>298</v>
      </c>
      <c r="DC442" t="s">
        <v>430</v>
      </c>
      <c r="DD442" t="s">
        <v>4769</v>
      </c>
      <c r="DE442" t="s">
        <v>267</v>
      </c>
      <c r="DF442" t="s">
        <v>268</v>
      </c>
      <c r="DG442" t="s">
        <v>6486</v>
      </c>
      <c r="DH442" t="s">
        <v>482</v>
      </c>
      <c r="DI442" t="s">
        <v>183</v>
      </c>
      <c r="DJ442" t="s">
        <v>211</v>
      </c>
      <c r="DK442" t="s">
        <v>298</v>
      </c>
      <c r="DM442" t="s">
        <v>3567</v>
      </c>
      <c r="DN442" t="s">
        <v>6359</v>
      </c>
      <c r="DO442" t="s">
        <v>273</v>
      </c>
      <c r="DP442" t="s">
        <v>274</v>
      </c>
      <c r="DQ442" t="s">
        <v>6487</v>
      </c>
      <c r="DR442" t="s">
        <v>1491</v>
      </c>
      <c r="DS442" t="s">
        <v>183</v>
      </c>
      <c r="DT442" t="s">
        <v>211</v>
      </c>
      <c r="DU442" t="s">
        <v>298</v>
      </c>
      <c r="DW442" t="s">
        <v>6488</v>
      </c>
      <c r="DX442" t="s">
        <v>6501</v>
      </c>
      <c r="DY442" t="s">
        <v>302</v>
      </c>
      <c r="DZ442" t="s">
        <v>303</v>
      </c>
      <c r="EA442" t="s">
        <v>6502</v>
      </c>
      <c r="EB442" t="s">
        <v>341</v>
      </c>
      <c r="EC442" t="s">
        <v>183</v>
      </c>
      <c r="ED442" t="s">
        <v>211</v>
      </c>
      <c r="EE442" t="s">
        <v>298</v>
      </c>
      <c r="EG442" t="s">
        <v>3499</v>
      </c>
      <c r="EH442" t="s">
        <v>6503</v>
      </c>
      <c r="EI442" t="s">
        <v>238</v>
      </c>
      <c r="EJ442" t="s">
        <v>239</v>
      </c>
      <c r="EK442" t="s">
        <v>6504</v>
      </c>
      <c r="EL442" t="s">
        <v>1074</v>
      </c>
      <c r="EM442" t="s">
        <v>183</v>
      </c>
      <c r="EN442" t="s">
        <v>211</v>
      </c>
      <c r="EO442" t="s">
        <v>298</v>
      </c>
      <c r="EQ442" t="s">
        <v>1815</v>
      </c>
      <c r="ER442" t="s">
        <v>6505</v>
      </c>
      <c r="ES442" t="s">
        <v>346</v>
      </c>
      <c r="ET442" t="s">
        <v>347</v>
      </c>
      <c r="EU442" t="s">
        <v>6506</v>
      </c>
      <c r="EV442" t="s">
        <v>482</v>
      </c>
      <c r="EW442" t="s">
        <v>183</v>
      </c>
      <c r="EX442" t="s">
        <v>211</v>
      </c>
      <c r="EY442" t="s">
        <v>298</v>
      </c>
      <c r="FA442" t="s">
        <v>878</v>
      </c>
      <c r="FB442" t="s">
        <v>6192</v>
      </c>
      <c r="FC442" t="s">
        <v>207</v>
      </c>
      <c r="FD442" t="s">
        <v>208</v>
      </c>
      <c r="FE442" t="s">
        <v>6507</v>
      </c>
      <c r="FF442" t="s">
        <v>482</v>
      </c>
      <c r="FG442" t="s">
        <v>183</v>
      </c>
      <c r="FH442" t="s">
        <v>211</v>
      </c>
      <c r="FI442" t="s">
        <v>298</v>
      </c>
      <c r="FK442" t="s">
        <v>1324</v>
      </c>
      <c r="FU442" t="s">
        <v>198</v>
      </c>
    </row>
    <row r="443" spans="1:177">
      <c r="A443" s="1" t="str">
        <f>HYPERLINK("http://digipan.lumentumllc.com/apps/getLink/index.php?t=PropLink&amp;p=5245269","PL")</f>
        <v>PL</v>
      </c>
      <c r="B443" s="1" t="str">
        <f>HYPERLINK("http://digipan.lumentumllc.com/apps/getLink/index.php?t=TaxLink&amp;p=5245269","TL")</f>
        <v>TL</v>
      </c>
      <c r="C443" s="1" t="str">
        <f>HYPERLINK("http://digipan.lumentumllc.com/apps/getMap/index.php?p=5245269","Map")</f>
        <v>Map</v>
      </c>
      <c r="E443" t="s">
        <v>177</v>
      </c>
      <c r="F443" t="s">
        <v>178</v>
      </c>
      <c r="L443" t="s">
        <v>6508</v>
      </c>
      <c r="N443" t="s">
        <v>6508</v>
      </c>
      <c r="O443" t="s">
        <v>6508</v>
      </c>
      <c r="P443" t="s">
        <v>6509</v>
      </c>
      <c r="Q443" t="s">
        <v>6508</v>
      </c>
      <c r="V443">
        <v>512</v>
      </c>
      <c r="W443">
        <v>2</v>
      </c>
      <c r="X443">
        <v>2017</v>
      </c>
      <c r="Y443">
        <v>2018</v>
      </c>
      <c r="Z443">
        <v>41.44</v>
      </c>
      <c r="AB443" t="s">
        <v>181</v>
      </c>
      <c r="AC443" t="s">
        <v>182</v>
      </c>
      <c r="AD443" t="s">
        <v>1037</v>
      </c>
      <c r="AE443">
        <v>6</v>
      </c>
      <c r="AF443">
        <v>2</v>
      </c>
      <c r="AG443" t="s">
        <v>6510</v>
      </c>
      <c r="AH443">
        <v>14</v>
      </c>
      <c r="AI443">
        <v>271.98</v>
      </c>
      <c r="AJ443">
        <v>144.11000000000001</v>
      </c>
      <c r="AK443">
        <v>416.09</v>
      </c>
      <c r="AL443">
        <v>625</v>
      </c>
      <c r="AM443">
        <v>625</v>
      </c>
      <c r="AN443">
        <v>0</v>
      </c>
      <c r="AO443">
        <v>9</v>
      </c>
      <c r="AP443">
        <v>2016</v>
      </c>
      <c r="AQ443">
        <v>6.63</v>
      </c>
      <c r="AR443">
        <v>66.569999999999993</v>
      </c>
      <c r="AS443" t="s">
        <v>6511</v>
      </c>
      <c r="AT443" t="s">
        <v>186</v>
      </c>
      <c r="AU443" t="s">
        <v>177</v>
      </c>
      <c r="AV443" t="s">
        <v>187</v>
      </c>
      <c r="AW443" t="s">
        <v>182</v>
      </c>
      <c r="AX443">
        <v>0</v>
      </c>
      <c r="AY443" t="s">
        <v>312</v>
      </c>
      <c r="AZ443" t="s">
        <v>199</v>
      </c>
      <c r="BA443" t="s">
        <v>313</v>
      </c>
      <c r="BB443" t="s">
        <v>191</v>
      </c>
      <c r="BC443" t="s">
        <v>182</v>
      </c>
      <c r="BD443" t="s">
        <v>182</v>
      </c>
      <c r="BE443" t="s">
        <v>3918</v>
      </c>
      <c r="BF443">
        <v>0</v>
      </c>
      <c r="BG443">
        <v>0</v>
      </c>
      <c r="BH443">
        <v>0</v>
      </c>
      <c r="BI443" t="s">
        <v>199</v>
      </c>
      <c r="BJ443" t="s">
        <v>315</v>
      </c>
      <c r="BL443" t="s">
        <v>5912</v>
      </c>
      <c r="BM443" t="s">
        <v>501</v>
      </c>
      <c r="BN443" t="s">
        <v>182</v>
      </c>
      <c r="BO443" t="s">
        <v>198</v>
      </c>
      <c r="BP443" t="s">
        <v>198</v>
      </c>
      <c r="BQ443" t="s">
        <v>198</v>
      </c>
      <c r="BR443" t="s">
        <v>198</v>
      </c>
      <c r="BS443" t="s">
        <v>198</v>
      </c>
      <c r="BT443" t="s">
        <v>198</v>
      </c>
      <c r="BU443" t="s">
        <v>182</v>
      </c>
      <c r="BV443" t="s">
        <v>198</v>
      </c>
      <c r="BW443" t="s">
        <v>198</v>
      </c>
      <c r="BX443" t="s">
        <v>199</v>
      </c>
      <c r="BY443" t="s">
        <v>198</v>
      </c>
      <c r="BZ443" t="s">
        <v>199</v>
      </c>
      <c r="CA443" t="s">
        <v>199</v>
      </c>
      <c r="CB443" t="s">
        <v>5913</v>
      </c>
      <c r="CC443" t="s">
        <v>201</v>
      </c>
      <c r="CD443" t="s">
        <v>182</v>
      </c>
      <c r="CE443" t="s">
        <v>5914</v>
      </c>
      <c r="CF443" t="s">
        <v>204</v>
      </c>
      <c r="CG443" t="s">
        <v>177</v>
      </c>
      <c r="CH443" t="s">
        <v>187</v>
      </c>
      <c r="CI443" t="s">
        <v>6512</v>
      </c>
      <c r="CJ443" t="s">
        <v>6115</v>
      </c>
      <c r="CK443" t="s">
        <v>232</v>
      </c>
      <c r="CL443" t="s">
        <v>233</v>
      </c>
      <c r="CM443" t="s">
        <v>6330</v>
      </c>
      <c r="CN443" t="s">
        <v>482</v>
      </c>
      <c r="CO443" t="s">
        <v>5</v>
      </c>
      <c r="CP443" t="s">
        <v>266</v>
      </c>
      <c r="CS443" t="s">
        <v>198</v>
      </c>
      <c r="CT443" t="s">
        <v>5851</v>
      </c>
      <c r="CU443" t="s">
        <v>292</v>
      </c>
      <c r="CV443" t="s">
        <v>293</v>
      </c>
      <c r="CW443" t="s">
        <v>6331</v>
      </c>
      <c r="CX443" t="s">
        <v>482</v>
      </c>
      <c r="CY443" t="s">
        <v>5</v>
      </c>
      <c r="CZ443" t="s">
        <v>266</v>
      </c>
      <c r="DC443" t="s">
        <v>198</v>
      </c>
      <c r="DD443" t="s">
        <v>4790</v>
      </c>
      <c r="DE443" t="s">
        <v>267</v>
      </c>
      <c r="DF443" t="s">
        <v>268</v>
      </c>
      <c r="DG443" t="s">
        <v>6513</v>
      </c>
      <c r="DH443" t="s">
        <v>482</v>
      </c>
      <c r="DI443" t="s">
        <v>5</v>
      </c>
      <c r="DJ443" t="s">
        <v>266</v>
      </c>
      <c r="DM443" t="s">
        <v>198</v>
      </c>
      <c r="DN443" t="s">
        <v>4769</v>
      </c>
      <c r="DO443" t="s">
        <v>273</v>
      </c>
      <c r="DP443" t="s">
        <v>274</v>
      </c>
      <c r="DQ443" t="s">
        <v>6514</v>
      </c>
      <c r="DR443" t="s">
        <v>482</v>
      </c>
      <c r="DS443" t="s">
        <v>183</v>
      </c>
      <c r="DT443" t="s">
        <v>266</v>
      </c>
      <c r="DW443" t="s">
        <v>198</v>
      </c>
      <c r="DX443" t="s">
        <v>6515</v>
      </c>
      <c r="DY443" t="s">
        <v>302</v>
      </c>
      <c r="DZ443" t="s">
        <v>303</v>
      </c>
      <c r="EA443" t="s">
        <v>6516</v>
      </c>
      <c r="EB443" t="s">
        <v>341</v>
      </c>
      <c r="EC443" t="s">
        <v>183</v>
      </c>
      <c r="ED443" t="s">
        <v>266</v>
      </c>
      <c r="EG443" t="s">
        <v>198</v>
      </c>
      <c r="EH443" t="s">
        <v>6517</v>
      </c>
      <c r="EI443" t="s">
        <v>238</v>
      </c>
      <c r="EJ443" t="s">
        <v>239</v>
      </c>
      <c r="EK443" t="s">
        <v>6350</v>
      </c>
      <c r="EL443" t="s">
        <v>922</v>
      </c>
      <c r="EM443" t="s">
        <v>183</v>
      </c>
      <c r="EN443" t="s">
        <v>266</v>
      </c>
      <c r="EQ443" t="s">
        <v>198</v>
      </c>
      <c r="ER443" t="s">
        <v>6518</v>
      </c>
      <c r="ES443" t="s">
        <v>346</v>
      </c>
      <c r="ET443" t="s">
        <v>347</v>
      </c>
      <c r="EU443" t="s">
        <v>6438</v>
      </c>
      <c r="EV443" t="s">
        <v>341</v>
      </c>
      <c r="EW443" t="s">
        <v>183</v>
      </c>
      <c r="EX443" t="s">
        <v>211</v>
      </c>
      <c r="EY443" t="s">
        <v>298</v>
      </c>
      <c r="FA443" t="s">
        <v>878</v>
      </c>
      <c r="FB443" t="s">
        <v>6362</v>
      </c>
      <c r="FC443" t="s">
        <v>207</v>
      </c>
      <c r="FD443" t="s">
        <v>208</v>
      </c>
      <c r="FE443" t="s">
        <v>6519</v>
      </c>
      <c r="FF443" t="s">
        <v>576</v>
      </c>
      <c r="FG443" t="s">
        <v>183</v>
      </c>
      <c r="FH443" t="s">
        <v>211</v>
      </c>
      <c r="FI443" t="s">
        <v>525</v>
      </c>
      <c r="FK443" t="s">
        <v>878</v>
      </c>
      <c r="FU443" t="s">
        <v>198</v>
      </c>
    </row>
    <row r="444" spans="1:177">
      <c r="A444" s="1" t="str">
        <f>HYPERLINK("http://digipan.lumentumllc.com/apps/getLink/index.php?t=PropLink&amp;p=7112379","PL")</f>
        <v>PL</v>
      </c>
      <c r="B444" s="1" t="str">
        <f>HYPERLINK("http://digipan.lumentumllc.com/apps/getLink/index.php?t=TaxLink&amp;p=7112379","TL")</f>
        <v>TL</v>
      </c>
      <c r="C444" s="1" t="str">
        <f>HYPERLINK("http://digipan.lumentumllc.com/apps/getMap/index.php?p=7112379","Map")</f>
        <v>Map</v>
      </c>
      <c r="E444" t="s">
        <v>177</v>
      </c>
      <c r="F444" t="s">
        <v>178</v>
      </c>
      <c r="L444" t="s">
        <v>6520</v>
      </c>
      <c r="N444" t="s">
        <v>6520</v>
      </c>
      <c r="O444" t="s">
        <v>6520</v>
      </c>
      <c r="P444" t="s">
        <v>6521</v>
      </c>
      <c r="Q444" t="s">
        <v>6520</v>
      </c>
      <c r="V444">
        <v>513</v>
      </c>
      <c r="W444">
        <v>2</v>
      </c>
      <c r="X444">
        <v>2017</v>
      </c>
      <c r="Y444">
        <v>2018</v>
      </c>
      <c r="Z444">
        <v>836.3</v>
      </c>
      <c r="AB444" t="s">
        <v>181</v>
      </c>
      <c r="AC444" t="s">
        <v>182</v>
      </c>
      <c r="AD444" t="s">
        <v>183</v>
      </c>
      <c r="AE444">
        <v>0</v>
      </c>
      <c r="AF444">
        <v>1</v>
      </c>
      <c r="AG444" t="s">
        <v>821</v>
      </c>
      <c r="AH444">
        <v>100</v>
      </c>
      <c r="AK444">
        <v>0</v>
      </c>
      <c r="AL444">
        <v>101746</v>
      </c>
      <c r="AM444">
        <v>15000</v>
      </c>
      <c r="AN444">
        <v>86746</v>
      </c>
      <c r="AO444">
        <v>732</v>
      </c>
      <c r="AP444">
        <v>2016</v>
      </c>
      <c r="AQ444">
        <v>0.82</v>
      </c>
      <c r="AS444" t="s">
        <v>6522</v>
      </c>
      <c r="AT444" t="s">
        <v>186</v>
      </c>
      <c r="AU444" t="s">
        <v>177</v>
      </c>
      <c r="AV444" t="s">
        <v>187</v>
      </c>
      <c r="AW444" t="s">
        <v>202</v>
      </c>
      <c r="AX444">
        <v>1</v>
      </c>
      <c r="AY444" t="s">
        <v>188</v>
      </c>
      <c r="AZ444" t="s">
        <v>206</v>
      </c>
      <c r="BA444" t="s">
        <v>355</v>
      </c>
      <c r="BB444" t="s">
        <v>191</v>
      </c>
      <c r="BC444" t="s">
        <v>182</v>
      </c>
      <c r="BD444" t="s">
        <v>182</v>
      </c>
      <c r="BE444" t="s">
        <v>6523</v>
      </c>
      <c r="BF444">
        <v>1</v>
      </c>
      <c r="BG444">
        <v>1</v>
      </c>
      <c r="BH444">
        <v>1999</v>
      </c>
      <c r="BI444" t="s">
        <v>6524</v>
      </c>
      <c r="BJ444" t="s">
        <v>194</v>
      </c>
      <c r="BK444" t="s">
        <v>195</v>
      </c>
      <c r="BL444" t="s">
        <v>199</v>
      </c>
      <c r="BM444" t="s">
        <v>1311</v>
      </c>
      <c r="BN444" t="s">
        <v>182</v>
      </c>
      <c r="BO444" t="s">
        <v>198</v>
      </c>
      <c r="BP444" t="s">
        <v>198</v>
      </c>
      <c r="BQ444" t="s">
        <v>198</v>
      </c>
      <c r="BR444" t="s">
        <v>198</v>
      </c>
      <c r="BS444" t="s">
        <v>198</v>
      </c>
      <c r="BT444" t="s">
        <v>198</v>
      </c>
      <c r="BU444" t="s">
        <v>182</v>
      </c>
      <c r="BV444" t="s">
        <v>198</v>
      </c>
      <c r="BW444" t="s">
        <v>198</v>
      </c>
      <c r="BX444" t="s">
        <v>199</v>
      </c>
      <c r="BY444" t="s">
        <v>198</v>
      </c>
      <c r="BZ444" t="s">
        <v>199</v>
      </c>
      <c r="CA444" t="s">
        <v>199</v>
      </c>
      <c r="CB444" t="s">
        <v>6525</v>
      </c>
      <c r="CC444" t="s">
        <v>201</v>
      </c>
      <c r="CD444" t="s">
        <v>182</v>
      </c>
      <c r="CE444" t="s">
        <v>6526</v>
      </c>
      <c r="CF444" t="s">
        <v>204</v>
      </c>
      <c r="CG444" t="s">
        <v>177</v>
      </c>
      <c r="CH444" t="s">
        <v>187</v>
      </c>
      <c r="CI444" t="s">
        <v>6527</v>
      </c>
      <c r="CJ444" t="s">
        <v>6136</v>
      </c>
      <c r="CK444" t="s">
        <v>232</v>
      </c>
      <c r="CL444" t="s">
        <v>233</v>
      </c>
      <c r="CM444" t="s">
        <v>774</v>
      </c>
      <c r="CN444" t="s">
        <v>235</v>
      </c>
      <c r="CO444" t="s">
        <v>183</v>
      </c>
      <c r="CP444" t="s">
        <v>211</v>
      </c>
      <c r="CQ444" t="s">
        <v>296</v>
      </c>
      <c r="CS444" t="s">
        <v>6528</v>
      </c>
      <c r="DC444" t="s">
        <v>198</v>
      </c>
      <c r="DM444" t="s">
        <v>198</v>
      </c>
      <c r="DW444" t="s">
        <v>198</v>
      </c>
      <c r="EG444" t="s">
        <v>198</v>
      </c>
      <c r="EQ444" t="s">
        <v>198</v>
      </c>
      <c r="FA444" t="s">
        <v>198</v>
      </c>
      <c r="FK444" t="s">
        <v>198</v>
      </c>
      <c r="FU444" t="s">
        <v>198</v>
      </c>
    </row>
    <row r="445" spans="1:177">
      <c r="A445" s="1" t="str">
        <f>HYPERLINK("http://digipan.lumentumllc.com/apps/getLink/index.php?t=PropLink&amp;p=5245270","PL")</f>
        <v>PL</v>
      </c>
      <c r="B445" s="1" t="str">
        <f>HYPERLINK("http://digipan.lumentumllc.com/apps/getLink/index.php?t=TaxLink&amp;p=5245270","TL")</f>
        <v>TL</v>
      </c>
      <c r="C445" s="1" t="str">
        <f>HYPERLINK("http://digipan.lumentumllc.com/apps/getMap/index.php?p=5245270","Map")</f>
        <v>Map</v>
      </c>
      <c r="E445" t="s">
        <v>177</v>
      </c>
      <c r="F445" t="s">
        <v>178</v>
      </c>
      <c r="L445" t="s">
        <v>6529</v>
      </c>
      <c r="N445" t="s">
        <v>6529</v>
      </c>
      <c r="O445" t="s">
        <v>6529</v>
      </c>
      <c r="P445" t="s">
        <v>6530</v>
      </c>
      <c r="Q445" t="s">
        <v>6529</v>
      </c>
      <c r="V445">
        <v>514</v>
      </c>
      <c r="W445">
        <v>2</v>
      </c>
      <c r="X445">
        <v>2017</v>
      </c>
      <c r="Y445">
        <v>2018</v>
      </c>
      <c r="Z445">
        <v>399.79</v>
      </c>
      <c r="AB445" t="s">
        <v>181</v>
      </c>
      <c r="AC445" t="s">
        <v>182</v>
      </c>
      <c r="AD445" t="s">
        <v>183</v>
      </c>
      <c r="AE445">
        <v>1</v>
      </c>
      <c r="AF445">
        <v>7</v>
      </c>
      <c r="AG445" t="s">
        <v>418</v>
      </c>
      <c r="AH445">
        <v>86</v>
      </c>
      <c r="AI445">
        <v>385.72</v>
      </c>
      <c r="AJ445">
        <v>19.29</v>
      </c>
      <c r="AK445">
        <v>405.01</v>
      </c>
      <c r="AL445">
        <v>55293</v>
      </c>
      <c r="AM445">
        <v>15000</v>
      </c>
      <c r="AN445">
        <v>40293</v>
      </c>
      <c r="AO445">
        <v>332</v>
      </c>
      <c r="AP445">
        <v>2016</v>
      </c>
      <c r="AQ445">
        <v>0.72</v>
      </c>
      <c r="AR445">
        <v>0.73</v>
      </c>
      <c r="AS445" t="s">
        <v>6531</v>
      </c>
      <c r="AT445" t="s">
        <v>186</v>
      </c>
      <c r="AU445" t="s">
        <v>177</v>
      </c>
      <c r="AV445" t="s">
        <v>187</v>
      </c>
      <c r="AW445" t="s">
        <v>202</v>
      </c>
      <c r="AX445">
        <v>1</v>
      </c>
      <c r="AY445" t="s">
        <v>188</v>
      </c>
      <c r="AZ445" t="s">
        <v>206</v>
      </c>
      <c r="BA445" t="s">
        <v>355</v>
      </c>
      <c r="BB445" t="s">
        <v>191</v>
      </c>
      <c r="BC445" t="s">
        <v>182</v>
      </c>
      <c r="BD445" t="s">
        <v>182</v>
      </c>
      <c r="BE445" t="s">
        <v>6523</v>
      </c>
      <c r="BF445">
        <v>1</v>
      </c>
      <c r="BG445">
        <v>1</v>
      </c>
      <c r="BH445">
        <v>1973</v>
      </c>
      <c r="BI445" t="s">
        <v>6532</v>
      </c>
      <c r="BJ445" t="s">
        <v>194</v>
      </c>
      <c r="BK445" t="s">
        <v>195</v>
      </c>
      <c r="BL445" t="s">
        <v>199</v>
      </c>
      <c r="BM445" t="s">
        <v>292</v>
      </c>
      <c r="BN445" t="s">
        <v>182</v>
      </c>
      <c r="BO445" t="s">
        <v>198</v>
      </c>
      <c r="BP445" t="s">
        <v>198</v>
      </c>
      <c r="BQ445" t="s">
        <v>198</v>
      </c>
      <c r="BR445" t="s">
        <v>198</v>
      </c>
      <c r="BS445" t="s">
        <v>198</v>
      </c>
      <c r="BT445" t="s">
        <v>198</v>
      </c>
      <c r="BU445" t="s">
        <v>182</v>
      </c>
      <c r="BV445" t="s">
        <v>198</v>
      </c>
      <c r="BW445" t="s">
        <v>198</v>
      </c>
      <c r="BX445" t="s">
        <v>199</v>
      </c>
      <c r="BY445" t="s">
        <v>198</v>
      </c>
      <c r="BZ445" t="s">
        <v>199</v>
      </c>
      <c r="CA445" t="s">
        <v>199</v>
      </c>
      <c r="CB445" t="s">
        <v>6533</v>
      </c>
      <c r="CC445" t="s">
        <v>201</v>
      </c>
      <c r="CD445" t="s">
        <v>182</v>
      </c>
      <c r="CE445" t="s">
        <v>6534</v>
      </c>
      <c r="CF445" t="s">
        <v>204</v>
      </c>
      <c r="CG445" t="s">
        <v>177</v>
      </c>
      <c r="CH445" t="s">
        <v>187</v>
      </c>
      <c r="CI445" t="s">
        <v>6535</v>
      </c>
      <c r="CJ445" t="s">
        <v>6536</v>
      </c>
      <c r="CK445" t="s">
        <v>232</v>
      </c>
      <c r="CL445" t="s">
        <v>233</v>
      </c>
      <c r="CM445" t="s">
        <v>6537</v>
      </c>
      <c r="CN445" t="s">
        <v>235</v>
      </c>
      <c r="CO445" t="s">
        <v>183</v>
      </c>
      <c r="CP445" t="s">
        <v>266</v>
      </c>
      <c r="CS445" t="s">
        <v>198</v>
      </c>
      <c r="CT445" t="s">
        <v>4707</v>
      </c>
      <c r="CU445" t="s">
        <v>292</v>
      </c>
      <c r="CV445" t="s">
        <v>293</v>
      </c>
      <c r="CW445" t="s">
        <v>6538</v>
      </c>
      <c r="CX445" t="s">
        <v>235</v>
      </c>
      <c r="CY445" t="s">
        <v>183</v>
      </c>
      <c r="CZ445" t="s">
        <v>211</v>
      </c>
      <c r="DA445" t="s">
        <v>298</v>
      </c>
      <c r="DC445" t="s">
        <v>1641</v>
      </c>
      <c r="DD445" t="s">
        <v>5968</v>
      </c>
      <c r="DE445" t="s">
        <v>267</v>
      </c>
      <c r="DF445" t="s">
        <v>268</v>
      </c>
      <c r="DG445" t="s">
        <v>6539</v>
      </c>
      <c r="DH445" t="s">
        <v>235</v>
      </c>
      <c r="DI445" t="s">
        <v>183</v>
      </c>
      <c r="DJ445" t="s">
        <v>211</v>
      </c>
      <c r="DK445" t="s">
        <v>298</v>
      </c>
      <c r="DM445" t="s">
        <v>2096</v>
      </c>
      <c r="DN445" t="s">
        <v>4790</v>
      </c>
      <c r="DO445" t="s">
        <v>273</v>
      </c>
      <c r="DP445" t="s">
        <v>274</v>
      </c>
      <c r="DQ445" t="s">
        <v>6540</v>
      </c>
      <c r="DR445" t="s">
        <v>235</v>
      </c>
      <c r="DS445" t="s">
        <v>183</v>
      </c>
      <c r="DT445" t="s">
        <v>211</v>
      </c>
      <c r="DU445" t="s">
        <v>298</v>
      </c>
      <c r="DW445" t="s">
        <v>1811</v>
      </c>
      <c r="DX445" t="s">
        <v>6541</v>
      </c>
      <c r="DY445" t="s">
        <v>302</v>
      </c>
      <c r="DZ445" t="s">
        <v>303</v>
      </c>
      <c r="EA445" t="s">
        <v>6542</v>
      </c>
      <c r="EB445" t="s">
        <v>235</v>
      </c>
      <c r="EC445" t="s">
        <v>183</v>
      </c>
      <c r="ED445" t="s">
        <v>211</v>
      </c>
      <c r="EE445" t="s">
        <v>298</v>
      </c>
      <c r="EG445" t="s">
        <v>2359</v>
      </c>
      <c r="EH445" t="s">
        <v>6543</v>
      </c>
      <c r="EI445" t="s">
        <v>238</v>
      </c>
      <c r="EJ445" t="s">
        <v>239</v>
      </c>
      <c r="EK445" t="s">
        <v>5640</v>
      </c>
      <c r="EL445" t="s">
        <v>278</v>
      </c>
      <c r="EM445" t="s">
        <v>183</v>
      </c>
      <c r="EN445" t="s">
        <v>211</v>
      </c>
      <c r="EO445" t="s">
        <v>298</v>
      </c>
      <c r="EQ445" t="s">
        <v>467</v>
      </c>
      <c r="ER445" t="s">
        <v>6544</v>
      </c>
      <c r="ES445" t="s">
        <v>346</v>
      </c>
      <c r="ET445" t="s">
        <v>347</v>
      </c>
      <c r="EU445" t="s">
        <v>6545</v>
      </c>
      <c r="EV445" t="s">
        <v>1551</v>
      </c>
      <c r="EW445" t="s">
        <v>183</v>
      </c>
      <c r="EX445" t="s">
        <v>211</v>
      </c>
      <c r="EY445" t="s">
        <v>298</v>
      </c>
      <c r="FA445" t="s">
        <v>878</v>
      </c>
      <c r="FB445" t="s">
        <v>6546</v>
      </c>
      <c r="FC445" t="s">
        <v>207</v>
      </c>
      <c r="FD445" t="s">
        <v>208</v>
      </c>
      <c r="FE445" t="s">
        <v>6547</v>
      </c>
      <c r="FF445" t="s">
        <v>1966</v>
      </c>
      <c r="FG445" t="s">
        <v>183</v>
      </c>
      <c r="FH445" t="s">
        <v>211</v>
      </c>
      <c r="FI445" t="s">
        <v>345</v>
      </c>
      <c r="FK445" t="s">
        <v>6548</v>
      </c>
      <c r="FU445" t="s">
        <v>198</v>
      </c>
    </row>
    <row r="446" spans="1:177">
      <c r="A446" s="1" t="str">
        <f>HYPERLINK("http://digipan.lumentumllc.com/apps/getLink/index.php?t=PropLink&amp;p=6128919","PL")</f>
        <v>PL</v>
      </c>
      <c r="B446" s="1" t="str">
        <f>HYPERLINK("http://digipan.lumentumllc.com/apps/getLink/index.php?t=TaxLink&amp;p=6128919","TL")</f>
        <v>TL</v>
      </c>
      <c r="C446" s="1" t="str">
        <f>HYPERLINK("http://digipan.lumentumllc.com/apps/getMap/index.php?p=6128919","Map")</f>
        <v>Map</v>
      </c>
      <c r="E446" t="s">
        <v>177</v>
      </c>
      <c r="F446" t="s">
        <v>178</v>
      </c>
      <c r="L446" t="s">
        <v>6549</v>
      </c>
      <c r="N446" t="s">
        <v>6549</v>
      </c>
      <c r="O446" t="s">
        <v>6549</v>
      </c>
      <c r="P446" t="s">
        <v>6550</v>
      </c>
      <c r="Q446" t="s">
        <v>6549</v>
      </c>
      <c r="V446">
        <v>515</v>
      </c>
      <c r="W446">
        <v>2</v>
      </c>
      <c r="X446">
        <v>2017</v>
      </c>
      <c r="Y446">
        <v>2018</v>
      </c>
      <c r="Z446">
        <v>258.56</v>
      </c>
      <c r="AG446" t="s">
        <v>184</v>
      </c>
      <c r="AH446">
        <v>0</v>
      </c>
      <c r="AK446">
        <v>0</v>
      </c>
      <c r="AL446">
        <v>15000</v>
      </c>
      <c r="AM446">
        <v>15000</v>
      </c>
      <c r="AN446">
        <v>0</v>
      </c>
      <c r="AO446">
        <v>213</v>
      </c>
      <c r="AP446">
        <v>2016</v>
      </c>
      <c r="AQ446">
        <v>1.72</v>
      </c>
      <c r="AS446" t="s">
        <v>6551</v>
      </c>
      <c r="AT446" t="s">
        <v>186</v>
      </c>
      <c r="AU446" t="s">
        <v>177</v>
      </c>
      <c r="AV446" t="s">
        <v>187</v>
      </c>
      <c r="AW446" t="s">
        <v>182</v>
      </c>
      <c r="AX446">
        <v>0</v>
      </c>
      <c r="AY446" t="s">
        <v>312</v>
      </c>
      <c r="AZ446" t="s">
        <v>199</v>
      </c>
      <c r="BA446" t="s">
        <v>313</v>
      </c>
      <c r="BB446" t="s">
        <v>191</v>
      </c>
      <c r="BC446" t="s">
        <v>182</v>
      </c>
      <c r="BD446" t="s">
        <v>182</v>
      </c>
      <c r="BE446" t="s">
        <v>6523</v>
      </c>
      <c r="BF446">
        <v>0</v>
      </c>
      <c r="BG446">
        <v>0</v>
      </c>
      <c r="BH446">
        <v>0</v>
      </c>
      <c r="BI446" t="s">
        <v>199</v>
      </c>
      <c r="BJ446" t="s">
        <v>315</v>
      </c>
      <c r="BL446" t="s">
        <v>6552</v>
      </c>
      <c r="BM446" t="s">
        <v>1414</v>
      </c>
      <c r="BN446" t="s">
        <v>182</v>
      </c>
      <c r="BO446" t="s">
        <v>198</v>
      </c>
      <c r="BP446" t="s">
        <v>198</v>
      </c>
      <c r="BQ446" t="s">
        <v>198</v>
      </c>
      <c r="BR446" t="s">
        <v>198</v>
      </c>
      <c r="BS446" t="s">
        <v>198</v>
      </c>
      <c r="BT446" t="s">
        <v>198</v>
      </c>
      <c r="BU446" t="s">
        <v>182</v>
      </c>
      <c r="BV446" t="s">
        <v>198</v>
      </c>
      <c r="BW446" t="s">
        <v>198</v>
      </c>
      <c r="BX446" t="s">
        <v>199</v>
      </c>
      <c r="BY446" t="s">
        <v>198</v>
      </c>
      <c r="BZ446" t="s">
        <v>199</v>
      </c>
      <c r="CA446" t="s">
        <v>199</v>
      </c>
      <c r="CB446" t="s">
        <v>5995</v>
      </c>
      <c r="CC446" t="s">
        <v>201</v>
      </c>
      <c r="CD446" t="s">
        <v>182</v>
      </c>
      <c r="CE446" t="s">
        <v>5996</v>
      </c>
      <c r="CF446" t="s">
        <v>204</v>
      </c>
      <c r="CG446" t="s">
        <v>177</v>
      </c>
      <c r="CH446" t="s">
        <v>187</v>
      </c>
      <c r="CI446" t="s">
        <v>6553</v>
      </c>
      <c r="CS446" t="s">
        <v>198</v>
      </c>
      <c r="DC446" t="s">
        <v>198</v>
      </c>
      <c r="DM446" t="s">
        <v>198</v>
      </c>
      <c r="DW446" t="s">
        <v>198</v>
      </c>
      <c r="EG446" t="s">
        <v>198</v>
      </c>
      <c r="EQ446" t="s">
        <v>198</v>
      </c>
      <c r="FA446" t="s">
        <v>198</v>
      </c>
      <c r="FK446" t="s">
        <v>198</v>
      </c>
      <c r="FU446" t="s">
        <v>198</v>
      </c>
    </row>
    <row r="447" spans="1:177">
      <c r="A447" s="1" t="str">
        <f>HYPERLINK("http://digipan.lumentumllc.com/apps/getLink/index.php?t=PropLink&amp;p=6128920","PL")</f>
        <v>PL</v>
      </c>
      <c r="B447" s="1" t="str">
        <f>HYPERLINK("http://digipan.lumentumllc.com/apps/getLink/index.php?t=TaxLink&amp;p=6128920","TL")</f>
        <v>TL</v>
      </c>
      <c r="C447" s="1" t="str">
        <f>HYPERLINK("http://digipan.lumentumllc.com/apps/getMap/index.php?p=6128920","Map")</f>
        <v>Map</v>
      </c>
      <c r="E447" t="s">
        <v>177</v>
      </c>
      <c r="F447" t="s">
        <v>178</v>
      </c>
      <c r="L447" t="s">
        <v>6554</v>
      </c>
      <c r="N447" t="s">
        <v>6554</v>
      </c>
      <c r="O447" t="s">
        <v>6554</v>
      </c>
      <c r="P447" t="s">
        <v>6555</v>
      </c>
      <c r="Q447" t="s">
        <v>6554</v>
      </c>
      <c r="V447">
        <v>516</v>
      </c>
      <c r="W447">
        <v>2</v>
      </c>
      <c r="X447">
        <v>2017</v>
      </c>
      <c r="Y447">
        <v>2018</v>
      </c>
      <c r="Z447">
        <v>1235.3699999999999</v>
      </c>
      <c r="AG447" t="s">
        <v>184</v>
      </c>
      <c r="AH447">
        <v>0</v>
      </c>
      <c r="AK447">
        <v>0</v>
      </c>
      <c r="AL447">
        <v>139339</v>
      </c>
      <c r="AM447">
        <v>30000</v>
      </c>
      <c r="AN447">
        <v>109339</v>
      </c>
      <c r="AO447">
        <v>1100</v>
      </c>
      <c r="AP447">
        <v>2016</v>
      </c>
      <c r="AQ447">
        <v>0.89</v>
      </c>
      <c r="AS447" t="s">
        <v>6556</v>
      </c>
      <c r="AT447" t="s">
        <v>186</v>
      </c>
      <c r="AU447" t="s">
        <v>177</v>
      </c>
      <c r="AV447" t="s">
        <v>187</v>
      </c>
      <c r="AW447" t="s">
        <v>202</v>
      </c>
      <c r="AX447">
        <v>1</v>
      </c>
      <c r="AY447" t="s">
        <v>188</v>
      </c>
      <c r="AZ447" t="s">
        <v>206</v>
      </c>
      <c r="BA447" t="s">
        <v>355</v>
      </c>
      <c r="BB447" t="s">
        <v>191</v>
      </c>
      <c r="BC447" t="s">
        <v>182</v>
      </c>
      <c r="BD447" t="s">
        <v>182</v>
      </c>
      <c r="BE447" t="s">
        <v>6557</v>
      </c>
      <c r="BF447">
        <v>1</v>
      </c>
      <c r="BG447">
        <v>1</v>
      </c>
      <c r="BH447">
        <v>1981</v>
      </c>
      <c r="BI447" t="s">
        <v>5432</v>
      </c>
      <c r="BJ447" t="s">
        <v>194</v>
      </c>
      <c r="BK447" t="s">
        <v>195</v>
      </c>
      <c r="BL447" t="s">
        <v>6558</v>
      </c>
      <c r="BM447" t="s">
        <v>3957</v>
      </c>
      <c r="BN447" t="s">
        <v>182</v>
      </c>
      <c r="BO447" t="s">
        <v>198</v>
      </c>
      <c r="BP447" t="s">
        <v>198</v>
      </c>
      <c r="BQ447" t="s">
        <v>198</v>
      </c>
      <c r="BR447" t="s">
        <v>198</v>
      </c>
      <c r="BS447" t="s">
        <v>198</v>
      </c>
      <c r="BT447" t="s">
        <v>198</v>
      </c>
      <c r="BU447" t="s">
        <v>182</v>
      </c>
      <c r="BV447" t="s">
        <v>198</v>
      </c>
      <c r="BW447" t="s">
        <v>198</v>
      </c>
      <c r="BX447" t="s">
        <v>199</v>
      </c>
      <c r="BY447" t="s">
        <v>198</v>
      </c>
      <c r="BZ447" t="s">
        <v>199</v>
      </c>
      <c r="CA447" t="s">
        <v>199</v>
      </c>
      <c r="CB447" t="s">
        <v>5995</v>
      </c>
      <c r="CC447" t="s">
        <v>201</v>
      </c>
      <c r="CD447" t="s">
        <v>182</v>
      </c>
      <c r="CE447" t="s">
        <v>5996</v>
      </c>
      <c r="CF447" t="s">
        <v>204</v>
      </c>
      <c r="CG447" t="s">
        <v>177</v>
      </c>
      <c r="CH447" t="s">
        <v>187</v>
      </c>
      <c r="CI447" t="s">
        <v>6559</v>
      </c>
      <c r="CS447" t="s">
        <v>198</v>
      </c>
      <c r="DC447" t="s">
        <v>198</v>
      </c>
      <c r="DM447" t="s">
        <v>198</v>
      </c>
      <c r="DW447" t="s">
        <v>198</v>
      </c>
      <c r="EG447" t="s">
        <v>198</v>
      </c>
      <c r="EQ447" t="s">
        <v>198</v>
      </c>
      <c r="FA447" t="s">
        <v>198</v>
      </c>
      <c r="FK447" t="s">
        <v>198</v>
      </c>
      <c r="FU447" t="s">
        <v>198</v>
      </c>
    </row>
    <row r="448" spans="1:177">
      <c r="A448" s="1" t="str">
        <f>HYPERLINK("http://digipan.lumentumllc.com/apps/getLink/index.php?t=PropLink&amp;p=4637452","PL")</f>
        <v>PL</v>
      </c>
      <c r="B448" s="1" t="str">
        <f>HYPERLINK("http://digipan.lumentumllc.com/apps/getLink/index.php?t=TaxLink&amp;p=4637452","TL")</f>
        <v>TL</v>
      </c>
      <c r="C448" s="1" t="str">
        <f>HYPERLINK("http://digipan.lumentumllc.com/apps/getMap/index.php?p=4637452","Map")</f>
        <v>Map</v>
      </c>
      <c r="E448" t="s">
        <v>177</v>
      </c>
      <c r="F448" t="s">
        <v>178</v>
      </c>
      <c r="L448" t="s">
        <v>6560</v>
      </c>
      <c r="N448" t="s">
        <v>6560</v>
      </c>
      <c r="O448" t="s">
        <v>6560</v>
      </c>
      <c r="P448" t="s">
        <v>6561</v>
      </c>
      <c r="Q448" t="s">
        <v>6560</v>
      </c>
      <c r="V448">
        <v>517</v>
      </c>
      <c r="W448">
        <v>2</v>
      </c>
      <c r="X448">
        <v>2017</v>
      </c>
      <c r="Y448">
        <v>2018</v>
      </c>
      <c r="Z448">
        <v>41.44</v>
      </c>
      <c r="AB448" t="s">
        <v>181</v>
      </c>
      <c r="AC448" t="s">
        <v>182</v>
      </c>
      <c r="AD448" t="s">
        <v>1037</v>
      </c>
      <c r="AE448">
        <v>4</v>
      </c>
      <c r="AF448">
        <v>0</v>
      </c>
      <c r="AG448" t="s">
        <v>2601</v>
      </c>
      <c r="AH448">
        <v>0</v>
      </c>
      <c r="AI448">
        <v>188.62</v>
      </c>
      <c r="AJ448">
        <v>92.82</v>
      </c>
      <c r="AK448">
        <v>281.44</v>
      </c>
      <c r="AL448">
        <v>625</v>
      </c>
      <c r="AM448">
        <v>625</v>
      </c>
      <c r="AN448">
        <v>0</v>
      </c>
      <c r="AO448">
        <v>9</v>
      </c>
      <c r="AP448">
        <v>2016</v>
      </c>
      <c r="AQ448">
        <v>6.63</v>
      </c>
      <c r="AR448">
        <v>45.03</v>
      </c>
      <c r="AS448" t="s">
        <v>6511</v>
      </c>
      <c r="AT448" t="s">
        <v>186</v>
      </c>
      <c r="AU448" t="s">
        <v>177</v>
      </c>
      <c r="AV448" t="s">
        <v>187</v>
      </c>
      <c r="AW448" t="s">
        <v>182</v>
      </c>
      <c r="AX448">
        <v>0</v>
      </c>
      <c r="AY448" t="s">
        <v>312</v>
      </c>
      <c r="AZ448" t="s">
        <v>199</v>
      </c>
      <c r="BA448" t="s">
        <v>313</v>
      </c>
      <c r="BB448" t="s">
        <v>191</v>
      </c>
      <c r="BC448" t="s">
        <v>182</v>
      </c>
      <c r="BD448" t="s">
        <v>182</v>
      </c>
      <c r="BE448" t="s">
        <v>3918</v>
      </c>
      <c r="BF448">
        <v>0</v>
      </c>
      <c r="BG448">
        <v>0</v>
      </c>
      <c r="BH448">
        <v>0</v>
      </c>
      <c r="BI448" t="s">
        <v>199</v>
      </c>
      <c r="BJ448" t="s">
        <v>315</v>
      </c>
      <c r="BL448" t="s">
        <v>199</v>
      </c>
      <c r="BM448" t="s">
        <v>358</v>
      </c>
      <c r="BN448" t="s">
        <v>182</v>
      </c>
      <c r="BO448" t="s">
        <v>198</v>
      </c>
      <c r="BP448" t="s">
        <v>198</v>
      </c>
      <c r="BQ448" t="s">
        <v>198</v>
      </c>
      <c r="BR448" t="s">
        <v>198</v>
      </c>
      <c r="BS448" t="s">
        <v>198</v>
      </c>
      <c r="BT448" t="s">
        <v>198</v>
      </c>
      <c r="BU448" t="s">
        <v>182</v>
      </c>
      <c r="BV448" t="s">
        <v>198</v>
      </c>
      <c r="BW448" t="s">
        <v>198</v>
      </c>
      <c r="BX448" t="s">
        <v>199</v>
      </c>
      <c r="BY448" t="s">
        <v>198</v>
      </c>
      <c r="BZ448" t="s">
        <v>199</v>
      </c>
      <c r="CA448" t="s">
        <v>199</v>
      </c>
      <c r="CB448" t="s">
        <v>6562</v>
      </c>
      <c r="CC448" t="s">
        <v>201</v>
      </c>
      <c r="CD448" t="s">
        <v>182</v>
      </c>
      <c r="CE448" t="s">
        <v>6563</v>
      </c>
      <c r="CF448" t="s">
        <v>6564</v>
      </c>
      <c r="CG448" t="s">
        <v>6565</v>
      </c>
      <c r="CH448" t="s">
        <v>6566</v>
      </c>
      <c r="CI448" t="s">
        <v>6567</v>
      </c>
      <c r="CJ448" t="s">
        <v>6568</v>
      </c>
      <c r="CK448" t="s">
        <v>232</v>
      </c>
      <c r="CL448" t="s">
        <v>233</v>
      </c>
      <c r="CM448" t="s">
        <v>6330</v>
      </c>
      <c r="CN448" t="s">
        <v>482</v>
      </c>
      <c r="CO448" t="s">
        <v>5</v>
      </c>
      <c r="CP448" t="s">
        <v>266</v>
      </c>
      <c r="CS448" t="s">
        <v>198</v>
      </c>
      <c r="CT448" t="s">
        <v>6329</v>
      </c>
      <c r="CU448" t="s">
        <v>292</v>
      </c>
      <c r="CV448" t="s">
        <v>293</v>
      </c>
      <c r="CW448" t="s">
        <v>6331</v>
      </c>
      <c r="CX448" t="s">
        <v>482</v>
      </c>
      <c r="CY448" t="s">
        <v>5</v>
      </c>
      <c r="CZ448" t="s">
        <v>266</v>
      </c>
      <c r="DC448" t="s">
        <v>198</v>
      </c>
      <c r="DD448" t="s">
        <v>5979</v>
      </c>
      <c r="DE448" t="s">
        <v>267</v>
      </c>
      <c r="DF448" t="s">
        <v>268</v>
      </c>
      <c r="DG448" t="s">
        <v>6569</v>
      </c>
      <c r="DH448" t="s">
        <v>482</v>
      </c>
      <c r="DI448" t="s">
        <v>183</v>
      </c>
      <c r="DJ448" t="s">
        <v>266</v>
      </c>
      <c r="DM448" t="s">
        <v>198</v>
      </c>
      <c r="DN448" t="s">
        <v>5968</v>
      </c>
      <c r="DO448" t="s">
        <v>273</v>
      </c>
      <c r="DP448" t="s">
        <v>274</v>
      </c>
      <c r="DQ448" t="s">
        <v>6570</v>
      </c>
      <c r="DR448" t="s">
        <v>482</v>
      </c>
      <c r="DS448" t="s">
        <v>183</v>
      </c>
      <c r="DT448" t="s">
        <v>266</v>
      </c>
      <c r="DW448" t="s">
        <v>198</v>
      </c>
      <c r="EG448" t="s">
        <v>198</v>
      </c>
      <c r="EQ448" t="s">
        <v>198</v>
      </c>
      <c r="FA448" t="s">
        <v>198</v>
      </c>
      <c r="FK448" t="s">
        <v>198</v>
      </c>
      <c r="FU448" t="s">
        <v>198</v>
      </c>
    </row>
    <row r="449" spans="1:177">
      <c r="A449" s="1" t="str">
        <f>HYPERLINK("http://digipan.lumentumllc.com/apps/getLink/index.php?t=PropLink&amp;p=5245272","PL")</f>
        <v>PL</v>
      </c>
      <c r="B449" s="1" t="str">
        <f>HYPERLINK("http://digipan.lumentumllc.com/apps/getLink/index.php?t=TaxLink&amp;p=5245272","TL")</f>
        <v>TL</v>
      </c>
      <c r="C449" s="1" t="str">
        <f>HYPERLINK("http://digipan.lumentumllc.com/apps/getMap/index.php?p=5245272","Map")</f>
        <v>Map</v>
      </c>
      <c r="E449" t="s">
        <v>177</v>
      </c>
      <c r="F449" t="s">
        <v>178</v>
      </c>
      <c r="L449" t="s">
        <v>6571</v>
      </c>
      <c r="N449" t="s">
        <v>6571</v>
      </c>
      <c r="O449" t="s">
        <v>6571</v>
      </c>
      <c r="P449" t="s">
        <v>6572</v>
      </c>
      <c r="Q449" t="s">
        <v>6571</v>
      </c>
      <c r="V449">
        <v>519</v>
      </c>
      <c r="W449">
        <v>2</v>
      </c>
      <c r="X449">
        <v>2017</v>
      </c>
      <c r="Y449">
        <v>2018</v>
      </c>
      <c r="Z449">
        <v>716.93</v>
      </c>
      <c r="AB449" t="s">
        <v>181</v>
      </c>
      <c r="AC449" t="s">
        <v>182</v>
      </c>
      <c r="AD449" t="s">
        <v>183</v>
      </c>
      <c r="AE449">
        <v>0</v>
      </c>
      <c r="AF449">
        <v>6</v>
      </c>
      <c r="AG449" t="s">
        <v>3266</v>
      </c>
      <c r="AH449">
        <v>100</v>
      </c>
      <c r="AK449">
        <v>0</v>
      </c>
      <c r="AL449">
        <v>49263</v>
      </c>
      <c r="AM449">
        <v>22500</v>
      </c>
      <c r="AN449">
        <v>26763</v>
      </c>
      <c r="AO449">
        <v>582</v>
      </c>
      <c r="AP449">
        <v>2016</v>
      </c>
      <c r="AQ449">
        <v>1.46</v>
      </c>
      <c r="AS449" t="s">
        <v>6573</v>
      </c>
      <c r="AT449" t="s">
        <v>186</v>
      </c>
      <c r="AU449" t="s">
        <v>177</v>
      </c>
      <c r="AV449" t="s">
        <v>187</v>
      </c>
      <c r="AW449" t="s">
        <v>182</v>
      </c>
      <c r="AX449">
        <v>2</v>
      </c>
      <c r="AY449" t="s">
        <v>188</v>
      </c>
      <c r="AZ449" t="s">
        <v>189</v>
      </c>
      <c r="BA449" t="s">
        <v>190</v>
      </c>
      <c r="BB449" t="s">
        <v>191</v>
      </c>
      <c r="BC449" t="s">
        <v>182</v>
      </c>
      <c r="BD449" t="s">
        <v>182</v>
      </c>
      <c r="BE449" t="s">
        <v>6305</v>
      </c>
      <c r="BF449">
        <v>2</v>
      </c>
      <c r="BG449">
        <v>2</v>
      </c>
      <c r="BH449">
        <v>1985</v>
      </c>
      <c r="BI449" t="s">
        <v>6574</v>
      </c>
      <c r="BJ449" t="s">
        <v>194</v>
      </c>
      <c r="BK449" t="s">
        <v>195</v>
      </c>
      <c r="BL449" t="s">
        <v>6575</v>
      </c>
      <c r="BM449" t="s">
        <v>559</v>
      </c>
      <c r="BN449" t="s">
        <v>182</v>
      </c>
      <c r="BO449" t="s">
        <v>2660</v>
      </c>
      <c r="BP449" t="s">
        <v>4714</v>
      </c>
      <c r="BR449" t="s">
        <v>1575</v>
      </c>
      <c r="BS449" t="s">
        <v>6576</v>
      </c>
      <c r="BT449" t="s">
        <v>198</v>
      </c>
      <c r="BU449" t="s">
        <v>182</v>
      </c>
      <c r="BV449" t="s">
        <v>198</v>
      </c>
      <c r="BW449" t="s">
        <v>198</v>
      </c>
      <c r="BX449" t="s">
        <v>199</v>
      </c>
      <c r="BY449" t="s">
        <v>198</v>
      </c>
      <c r="BZ449" t="s">
        <v>199</v>
      </c>
      <c r="CA449" t="s">
        <v>199</v>
      </c>
      <c r="CB449" t="s">
        <v>2964</v>
      </c>
      <c r="CC449" t="s">
        <v>201</v>
      </c>
      <c r="CD449" t="s">
        <v>182</v>
      </c>
      <c r="CE449" t="s">
        <v>6577</v>
      </c>
      <c r="CF449" t="s">
        <v>204</v>
      </c>
      <c r="CG449" t="s">
        <v>177</v>
      </c>
      <c r="CH449" t="s">
        <v>187</v>
      </c>
      <c r="CI449" t="s">
        <v>6578</v>
      </c>
      <c r="CJ449" t="s">
        <v>6359</v>
      </c>
      <c r="CK449" t="s">
        <v>292</v>
      </c>
      <c r="CL449" t="s">
        <v>293</v>
      </c>
      <c r="CM449" t="s">
        <v>6579</v>
      </c>
      <c r="CN449" t="s">
        <v>473</v>
      </c>
      <c r="CO449" t="s">
        <v>183</v>
      </c>
      <c r="CP449" t="s">
        <v>211</v>
      </c>
      <c r="CQ449" t="s">
        <v>342</v>
      </c>
      <c r="CS449" t="s">
        <v>6580</v>
      </c>
      <c r="CT449" t="s">
        <v>6045</v>
      </c>
      <c r="CU449" t="s">
        <v>267</v>
      </c>
      <c r="CV449" t="s">
        <v>268</v>
      </c>
      <c r="CW449" t="s">
        <v>6581</v>
      </c>
      <c r="CX449" t="s">
        <v>235</v>
      </c>
      <c r="CY449" t="s">
        <v>183</v>
      </c>
      <c r="CZ449" t="s">
        <v>211</v>
      </c>
      <c r="DA449" t="s">
        <v>345</v>
      </c>
      <c r="DC449" t="s">
        <v>6580</v>
      </c>
      <c r="DD449" t="s">
        <v>6045</v>
      </c>
      <c r="DE449" t="s">
        <v>273</v>
      </c>
      <c r="DF449" t="s">
        <v>274</v>
      </c>
      <c r="DG449" t="s">
        <v>6582</v>
      </c>
      <c r="DH449" t="s">
        <v>235</v>
      </c>
      <c r="DI449" t="s">
        <v>183</v>
      </c>
      <c r="DJ449" t="s">
        <v>211</v>
      </c>
      <c r="DK449" t="s">
        <v>865</v>
      </c>
      <c r="DM449" t="s">
        <v>6580</v>
      </c>
      <c r="DN449" t="s">
        <v>6583</v>
      </c>
      <c r="DO449" t="s">
        <v>302</v>
      </c>
      <c r="DP449" t="s">
        <v>303</v>
      </c>
      <c r="DQ449" t="s">
        <v>6584</v>
      </c>
      <c r="DR449" t="s">
        <v>1586</v>
      </c>
      <c r="DS449" t="s">
        <v>183</v>
      </c>
      <c r="DT449" t="s">
        <v>211</v>
      </c>
      <c r="DU449" t="s">
        <v>270</v>
      </c>
      <c r="DW449" t="s">
        <v>2971</v>
      </c>
      <c r="DX449" t="s">
        <v>6585</v>
      </c>
      <c r="DY449" t="s">
        <v>346</v>
      </c>
      <c r="DZ449" t="s">
        <v>347</v>
      </c>
      <c r="EA449" t="s">
        <v>6586</v>
      </c>
      <c r="EB449" t="s">
        <v>2515</v>
      </c>
      <c r="EC449" t="s">
        <v>183</v>
      </c>
      <c r="ED449" t="s">
        <v>211</v>
      </c>
      <c r="EE449" t="s">
        <v>270</v>
      </c>
      <c r="EG449" t="s">
        <v>1398</v>
      </c>
      <c r="EH449" t="s">
        <v>6410</v>
      </c>
      <c r="EI449" t="s">
        <v>207</v>
      </c>
      <c r="EJ449" t="s">
        <v>208</v>
      </c>
      <c r="EK449" t="s">
        <v>6587</v>
      </c>
      <c r="EL449" t="s">
        <v>1676</v>
      </c>
      <c r="EM449" t="s">
        <v>183</v>
      </c>
      <c r="EN449" t="s">
        <v>211</v>
      </c>
      <c r="EO449" t="s">
        <v>342</v>
      </c>
      <c r="EQ449" t="s">
        <v>6588</v>
      </c>
      <c r="FA449" t="s">
        <v>198</v>
      </c>
      <c r="FK449" t="s">
        <v>198</v>
      </c>
      <c r="FU449" t="s">
        <v>198</v>
      </c>
    </row>
    <row r="450" spans="1:177">
      <c r="A450" s="1" t="str">
        <f>HYPERLINK("http://digipan.lumentumllc.com/apps/getLink/index.php?t=PropLink&amp;p=5245273","PL")</f>
        <v>PL</v>
      </c>
      <c r="B450" s="1" t="str">
        <f>HYPERLINK("http://digipan.lumentumllc.com/apps/getLink/index.php?t=TaxLink&amp;p=5245273","TL")</f>
        <v>TL</v>
      </c>
      <c r="C450" s="1" t="str">
        <f>HYPERLINK("http://digipan.lumentumllc.com/apps/getMap/index.php?p=5245273","Map")</f>
        <v>Map</v>
      </c>
      <c r="E450" t="s">
        <v>177</v>
      </c>
      <c r="F450" t="s">
        <v>178</v>
      </c>
      <c r="L450" t="s">
        <v>6589</v>
      </c>
      <c r="N450" t="s">
        <v>6589</v>
      </c>
      <c r="O450" t="s">
        <v>6589</v>
      </c>
      <c r="P450" t="s">
        <v>6590</v>
      </c>
      <c r="Q450" t="s">
        <v>6589</v>
      </c>
      <c r="V450">
        <v>520</v>
      </c>
      <c r="W450">
        <v>2</v>
      </c>
      <c r="X450">
        <v>2017</v>
      </c>
      <c r="Y450">
        <v>2018</v>
      </c>
      <c r="Z450">
        <v>50.88</v>
      </c>
      <c r="AB450" t="s">
        <v>181</v>
      </c>
      <c r="AC450" t="s">
        <v>182</v>
      </c>
      <c r="AD450" t="s">
        <v>1037</v>
      </c>
      <c r="AE450">
        <v>7</v>
      </c>
      <c r="AF450">
        <v>0</v>
      </c>
      <c r="AG450" t="s">
        <v>1038</v>
      </c>
      <c r="AH450">
        <v>0</v>
      </c>
      <c r="AI450">
        <v>484.44</v>
      </c>
      <c r="AJ450">
        <v>377.53</v>
      </c>
      <c r="AK450">
        <v>861.97</v>
      </c>
      <c r="AL450">
        <v>1250</v>
      </c>
      <c r="AM450">
        <v>1250</v>
      </c>
      <c r="AN450">
        <v>0</v>
      </c>
      <c r="AO450">
        <v>18</v>
      </c>
      <c r="AP450">
        <v>2016</v>
      </c>
      <c r="AQ450">
        <v>4.07</v>
      </c>
      <c r="AR450">
        <v>68.959999999999994</v>
      </c>
      <c r="AS450" t="s">
        <v>6591</v>
      </c>
      <c r="AT450" t="s">
        <v>186</v>
      </c>
      <c r="AU450" t="s">
        <v>177</v>
      </c>
      <c r="AV450" t="s">
        <v>187</v>
      </c>
      <c r="AW450" t="s">
        <v>182</v>
      </c>
      <c r="AX450">
        <v>0</v>
      </c>
      <c r="AY450" t="s">
        <v>312</v>
      </c>
      <c r="AZ450" t="s">
        <v>199</v>
      </c>
      <c r="BA450" t="s">
        <v>313</v>
      </c>
      <c r="BB450" t="s">
        <v>191</v>
      </c>
      <c r="BC450" t="s">
        <v>182</v>
      </c>
      <c r="BD450" t="s">
        <v>182</v>
      </c>
      <c r="BE450" t="s">
        <v>5975</v>
      </c>
      <c r="BF450">
        <v>0</v>
      </c>
      <c r="BG450">
        <v>0</v>
      </c>
      <c r="BH450">
        <v>0</v>
      </c>
      <c r="BI450" t="s">
        <v>199</v>
      </c>
      <c r="BJ450" t="s">
        <v>315</v>
      </c>
      <c r="BL450" t="s">
        <v>199</v>
      </c>
      <c r="BM450" t="s">
        <v>358</v>
      </c>
      <c r="BN450" t="s">
        <v>182</v>
      </c>
      <c r="BO450" t="s">
        <v>198</v>
      </c>
      <c r="BP450" t="s">
        <v>198</v>
      </c>
      <c r="BQ450" t="s">
        <v>198</v>
      </c>
      <c r="BR450" t="s">
        <v>198</v>
      </c>
      <c r="BS450" t="s">
        <v>198</v>
      </c>
      <c r="BT450" t="s">
        <v>198</v>
      </c>
      <c r="BU450" t="s">
        <v>182</v>
      </c>
      <c r="BV450" t="s">
        <v>198</v>
      </c>
      <c r="BW450" t="s">
        <v>198</v>
      </c>
      <c r="BX450" t="s">
        <v>199</v>
      </c>
      <c r="BY450" t="s">
        <v>198</v>
      </c>
      <c r="BZ450" t="s">
        <v>199</v>
      </c>
      <c r="CA450" t="s">
        <v>199</v>
      </c>
      <c r="CB450" t="s">
        <v>6592</v>
      </c>
      <c r="CC450" t="s">
        <v>201</v>
      </c>
      <c r="CD450" t="s">
        <v>182</v>
      </c>
      <c r="CE450" t="s">
        <v>6593</v>
      </c>
      <c r="CF450" t="s">
        <v>6594</v>
      </c>
      <c r="CG450" t="s">
        <v>3911</v>
      </c>
      <c r="CH450" t="s">
        <v>6595</v>
      </c>
      <c r="CI450" t="s">
        <v>6596</v>
      </c>
      <c r="CJ450" t="s">
        <v>6245</v>
      </c>
      <c r="CK450" t="s">
        <v>232</v>
      </c>
      <c r="CL450" t="s">
        <v>233</v>
      </c>
      <c r="CM450" t="s">
        <v>5868</v>
      </c>
      <c r="CN450" t="s">
        <v>482</v>
      </c>
      <c r="CO450" t="s">
        <v>5</v>
      </c>
      <c r="CP450" t="s">
        <v>266</v>
      </c>
      <c r="CS450" t="s">
        <v>198</v>
      </c>
      <c r="CT450" t="s">
        <v>4790</v>
      </c>
      <c r="CU450" t="s">
        <v>292</v>
      </c>
      <c r="CV450" t="s">
        <v>293</v>
      </c>
      <c r="CW450" t="s">
        <v>5869</v>
      </c>
      <c r="CX450" t="s">
        <v>482</v>
      </c>
      <c r="CY450" t="s">
        <v>5</v>
      </c>
      <c r="CZ450" t="s">
        <v>266</v>
      </c>
      <c r="DC450" t="s">
        <v>198</v>
      </c>
      <c r="DD450" t="s">
        <v>6420</v>
      </c>
      <c r="DE450" t="s">
        <v>267</v>
      </c>
      <c r="DF450" t="s">
        <v>268</v>
      </c>
      <c r="DG450" t="s">
        <v>6597</v>
      </c>
      <c r="DH450" t="s">
        <v>482</v>
      </c>
      <c r="DI450" t="s">
        <v>183</v>
      </c>
      <c r="DJ450" t="s">
        <v>266</v>
      </c>
      <c r="DM450" t="s">
        <v>198</v>
      </c>
      <c r="DN450" t="s">
        <v>6420</v>
      </c>
      <c r="DO450" t="s">
        <v>273</v>
      </c>
      <c r="DP450" t="s">
        <v>274</v>
      </c>
      <c r="DQ450" t="s">
        <v>6598</v>
      </c>
      <c r="DR450" t="s">
        <v>482</v>
      </c>
      <c r="DS450" t="s">
        <v>5</v>
      </c>
      <c r="DT450" t="s">
        <v>266</v>
      </c>
      <c r="DW450" t="s">
        <v>198</v>
      </c>
      <c r="DX450" t="s">
        <v>6599</v>
      </c>
      <c r="DY450" t="s">
        <v>302</v>
      </c>
      <c r="DZ450" t="s">
        <v>303</v>
      </c>
      <c r="EA450" t="s">
        <v>6600</v>
      </c>
      <c r="EB450" t="s">
        <v>1615</v>
      </c>
      <c r="EC450" t="s">
        <v>183</v>
      </c>
      <c r="ED450" t="s">
        <v>266</v>
      </c>
      <c r="EG450" t="s">
        <v>198</v>
      </c>
      <c r="EH450" t="s">
        <v>6601</v>
      </c>
      <c r="EI450" t="s">
        <v>238</v>
      </c>
      <c r="EJ450" t="s">
        <v>239</v>
      </c>
      <c r="EK450" t="s">
        <v>6337</v>
      </c>
      <c r="EL450" t="s">
        <v>482</v>
      </c>
      <c r="EM450" t="s">
        <v>183</v>
      </c>
      <c r="EN450" t="s">
        <v>266</v>
      </c>
      <c r="EQ450" t="s">
        <v>198</v>
      </c>
      <c r="ER450" t="s">
        <v>6602</v>
      </c>
      <c r="ES450" t="s">
        <v>346</v>
      </c>
      <c r="ET450" t="s">
        <v>347</v>
      </c>
      <c r="EU450" t="s">
        <v>6603</v>
      </c>
      <c r="EV450" t="s">
        <v>482</v>
      </c>
      <c r="EW450" t="s">
        <v>183</v>
      </c>
      <c r="EX450" t="s">
        <v>266</v>
      </c>
      <c r="FA450" t="s">
        <v>198</v>
      </c>
      <c r="FK450" t="s">
        <v>198</v>
      </c>
      <c r="FU450" t="s">
        <v>198</v>
      </c>
    </row>
    <row r="451" spans="1:177">
      <c r="A451" s="1" t="str">
        <f>HYPERLINK("http://digipan.lumentumllc.com/apps/getLink/index.php?t=PropLink&amp;p=4637454","PL")</f>
        <v>PL</v>
      </c>
      <c r="B451" s="1" t="str">
        <f>HYPERLINK("http://digipan.lumentumllc.com/apps/getLink/index.php?t=TaxLink&amp;p=4637454","TL")</f>
        <v>TL</v>
      </c>
      <c r="C451" s="1" t="str">
        <f>HYPERLINK("http://digipan.lumentumllc.com/apps/getMap/index.php?p=4637454","Map")</f>
        <v>Map</v>
      </c>
      <c r="E451" t="s">
        <v>177</v>
      </c>
      <c r="F451" t="s">
        <v>178</v>
      </c>
      <c r="L451" t="s">
        <v>6604</v>
      </c>
      <c r="N451" t="s">
        <v>6604</v>
      </c>
      <c r="O451" t="s">
        <v>6604</v>
      </c>
      <c r="P451" t="s">
        <v>6605</v>
      </c>
      <c r="Q451" t="s">
        <v>6604</v>
      </c>
      <c r="V451">
        <v>521</v>
      </c>
      <c r="W451">
        <v>2</v>
      </c>
      <c r="X451">
        <v>2017</v>
      </c>
      <c r="Y451">
        <v>2018</v>
      </c>
      <c r="Z451">
        <v>770.1</v>
      </c>
      <c r="AB451" t="s">
        <v>181</v>
      </c>
      <c r="AC451" t="s">
        <v>202</v>
      </c>
      <c r="AD451" t="s">
        <v>183</v>
      </c>
      <c r="AE451">
        <v>0</v>
      </c>
      <c r="AF451">
        <v>3</v>
      </c>
      <c r="AG451" t="s">
        <v>381</v>
      </c>
      <c r="AH451">
        <v>100</v>
      </c>
      <c r="AK451">
        <v>0</v>
      </c>
      <c r="AL451">
        <v>51495</v>
      </c>
      <c r="AM451">
        <v>22500</v>
      </c>
      <c r="AN451">
        <v>28995</v>
      </c>
      <c r="AO451">
        <v>601</v>
      </c>
      <c r="AP451">
        <v>2016</v>
      </c>
      <c r="AQ451">
        <v>1.5</v>
      </c>
      <c r="AS451" t="s">
        <v>6606</v>
      </c>
      <c r="AT451" t="s">
        <v>186</v>
      </c>
      <c r="AU451" t="s">
        <v>177</v>
      </c>
      <c r="AV451" t="s">
        <v>187</v>
      </c>
      <c r="AW451" t="s">
        <v>182</v>
      </c>
      <c r="AX451">
        <v>2</v>
      </c>
      <c r="AY451" t="s">
        <v>188</v>
      </c>
      <c r="AZ451" t="s">
        <v>189</v>
      </c>
      <c r="BA451" t="s">
        <v>190</v>
      </c>
      <c r="BB451" t="s">
        <v>191</v>
      </c>
      <c r="BC451" t="s">
        <v>182</v>
      </c>
      <c r="BD451" t="s">
        <v>182</v>
      </c>
      <c r="BE451" t="s">
        <v>6305</v>
      </c>
      <c r="BF451">
        <v>1</v>
      </c>
      <c r="BG451">
        <v>1</v>
      </c>
      <c r="BH451">
        <v>1996</v>
      </c>
      <c r="BI451" t="s">
        <v>4122</v>
      </c>
      <c r="BJ451" t="s">
        <v>194</v>
      </c>
      <c r="BK451" t="s">
        <v>195</v>
      </c>
      <c r="BL451" t="s">
        <v>1081</v>
      </c>
      <c r="BM451" t="s">
        <v>238</v>
      </c>
      <c r="BN451" t="s">
        <v>182</v>
      </c>
      <c r="BO451" t="s">
        <v>1710</v>
      </c>
      <c r="BP451" t="s">
        <v>6607</v>
      </c>
      <c r="BQ451" t="s">
        <v>5784</v>
      </c>
      <c r="BS451" t="s">
        <v>6608</v>
      </c>
      <c r="BT451" t="s">
        <v>198</v>
      </c>
      <c r="BU451" t="s">
        <v>182</v>
      </c>
      <c r="BV451" t="s">
        <v>198</v>
      </c>
      <c r="BW451" t="s">
        <v>198</v>
      </c>
      <c r="BX451" t="s">
        <v>199</v>
      </c>
      <c r="BY451" t="s">
        <v>198</v>
      </c>
      <c r="BZ451" t="s">
        <v>199</v>
      </c>
      <c r="CA451" t="s">
        <v>199</v>
      </c>
      <c r="CB451" t="s">
        <v>6609</v>
      </c>
      <c r="CC451" t="s">
        <v>201</v>
      </c>
      <c r="CD451" t="s">
        <v>182</v>
      </c>
      <c r="CE451" t="s">
        <v>6577</v>
      </c>
      <c r="CF451" t="s">
        <v>204</v>
      </c>
      <c r="CG451" t="s">
        <v>177</v>
      </c>
      <c r="CH451" t="s">
        <v>187</v>
      </c>
      <c r="CI451" t="s">
        <v>6610</v>
      </c>
      <c r="CJ451" t="s">
        <v>6431</v>
      </c>
      <c r="CK451" t="s">
        <v>267</v>
      </c>
      <c r="CL451" t="s">
        <v>268</v>
      </c>
      <c r="CM451" t="s">
        <v>6611</v>
      </c>
      <c r="CN451" t="s">
        <v>235</v>
      </c>
      <c r="CO451" t="s">
        <v>183</v>
      </c>
      <c r="CP451" t="s">
        <v>211</v>
      </c>
      <c r="CQ451" t="s">
        <v>270</v>
      </c>
      <c r="CR451" t="s">
        <v>271</v>
      </c>
      <c r="CS451" t="s">
        <v>272</v>
      </c>
      <c r="CT451" t="s">
        <v>6431</v>
      </c>
      <c r="CU451" t="s">
        <v>273</v>
      </c>
      <c r="CV451" t="s">
        <v>274</v>
      </c>
      <c r="CW451" t="s">
        <v>6612</v>
      </c>
      <c r="CX451" t="s">
        <v>235</v>
      </c>
      <c r="CY451" t="s">
        <v>183</v>
      </c>
      <c r="CZ451" t="s">
        <v>211</v>
      </c>
      <c r="DB451" t="s">
        <v>271</v>
      </c>
      <c r="DC451" t="s">
        <v>198</v>
      </c>
      <c r="DD451" t="s">
        <v>6613</v>
      </c>
      <c r="DE451" t="s">
        <v>302</v>
      </c>
      <c r="DF451" t="s">
        <v>303</v>
      </c>
      <c r="DG451" t="s">
        <v>6614</v>
      </c>
      <c r="DH451" t="s">
        <v>1586</v>
      </c>
      <c r="DI451" t="s">
        <v>183</v>
      </c>
      <c r="DJ451" t="s">
        <v>211</v>
      </c>
      <c r="DK451" t="s">
        <v>270</v>
      </c>
      <c r="DM451" t="s">
        <v>2971</v>
      </c>
      <c r="DW451" t="s">
        <v>198</v>
      </c>
      <c r="EG451" t="s">
        <v>198</v>
      </c>
      <c r="EQ451" t="s">
        <v>198</v>
      </c>
      <c r="FA451" t="s">
        <v>198</v>
      </c>
      <c r="FK451" t="s">
        <v>198</v>
      </c>
      <c r="FU451" t="s">
        <v>198</v>
      </c>
    </row>
    <row r="452" spans="1:177">
      <c r="A452" s="1" t="str">
        <f>HYPERLINK("http://digipan.lumentumllc.com/apps/getLink/index.php?t=PropLink&amp;p=7112382","PL")</f>
        <v>PL</v>
      </c>
      <c r="B452" s="1" t="str">
        <f>HYPERLINK("http://digipan.lumentumllc.com/apps/getLink/index.php?t=TaxLink&amp;p=7112382","TL")</f>
        <v>TL</v>
      </c>
      <c r="C452" s="1" t="str">
        <f>HYPERLINK("http://digipan.lumentumllc.com/apps/getMap/index.php?p=7112382","Map")</f>
        <v>Map</v>
      </c>
      <c r="E452" t="s">
        <v>177</v>
      </c>
      <c r="F452" t="s">
        <v>178</v>
      </c>
      <c r="L452" t="s">
        <v>6615</v>
      </c>
      <c r="N452" t="s">
        <v>6615</v>
      </c>
      <c r="O452" t="s">
        <v>6615</v>
      </c>
      <c r="P452" t="s">
        <v>6616</v>
      </c>
      <c r="Q452" t="s">
        <v>6615</v>
      </c>
      <c r="V452">
        <v>522</v>
      </c>
      <c r="W452">
        <v>2</v>
      </c>
      <c r="X452">
        <v>2017</v>
      </c>
      <c r="Y452">
        <v>2018</v>
      </c>
      <c r="Z452">
        <v>620.11</v>
      </c>
      <c r="AB452" t="s">
        <v>181</v>
      </c>
      <c r="AC452" t="s">
        <v>182</v>
      </c>
      <c r="AD452" t="s">
        <v>183</v>
      </c>
      <c r="AE452">
        <v>2</v>
      </c>
      <c r="AF452">
        <v>0</v>
      </c>
      <c r="AG452" t="s">
        <v>1737</v>
      </c>
      <c r="AH452">
        <v>0</v>
      </c>
      <c r="AI452">
        <v>1217.43</v>
      </c>
      <c r="AJ452">
        <v>60.87</v>
      </c>
      <c r="AK452">
        <v>1278.3</v>
      </c>
      <c r="AL452">
        <v>77879</v>
      </c>
      <c r="AM452">
        <v>26250</v>
      </c>
      <c r="AN452">
        <v>51629</v>
      </c>
      <c r="AO452">
        <v>537</v>
      </c>
      <c r="AP452">
        <v>2016</v>
      </c>
      <c r="AQ452">
        <v>0.8</v>
      </c>
      <c r="AR452">
        <v>1.64</v>
      </c>
      <c r="AS452" t="s">
        <v>6617</v>
      </c>
      <c r="AT452" t="s">
        <v>186</v>
      </c>
      <c r="AU452" t="s">
        <v>177</v>
      </c>
      <c r="AV452" t="s">
        <v>187</v>
      </c>
      <c r="AW452" t="s">
        <v>182</v>
      </c>
      <c r="AX452">
        <v>1</v>
      </c>
      <c r="AY452" t="s">
        <v>188</v>
      </c>
      <c r="AZ452" t="s">
        <v>206</v>
      </c>
      <c r="BA452" t="s">
        <v>355</v>
      </c>
      <c r="BB452" t="s">
        <v>191</v>
      </c>
      <c r="BC452" t="s">
        <v>182</v>
      </c>
      <c r="BD452" t="s">
        <v>182</v>
      </c>
      <c r="BE452" t="s">
        <v>6618</v>
      </c>
      <c r="BF452">
        <v>1</v>
      </c>
      <c r="BG452">
        <v>1</v>
      </c>
      <c r="BH452">
        <v>1960</v>
      </c>
      <c r="BI452" t="s">
        <v>490</v>
      </c>
      <c r="BJ452" t="s">
        <v>194</v>
      </c>
      <c r="BK452" t="s">
        <v>195</v>
      </c>
      <c r="BL452" t="s">
        <v>199</v>
      </c>
      <c r="BM452" t="s">
        <v>1474</v>
      </c>
      <c r="BN452" t="s">
        <v>182</v>
      </c>
      <c r="BO452" t="s">
        <v>198</v>
      </c>
      <c r="BP452" t="s">
        <v>198</v>
      </c>
      <c r="BQ452" t="s">
        <v>198</v>
      </c>
      <c r="BR452" t="s">
        <v>198</v>
      </c>
      <c r="BS452" t="s">
        <v>198</v>
      </c>
      <c r="BT452" t="s">
        <v>198</v>
      </c>
      <c r="BU452" t="s">
        <v>182</v>
      </c>
      <c r="BV452" t="s">
        <v>198</v>
      </c>
      <c r="BW452" t="s">
        <v>198</v>
      </c>
      <c r="BX452" t="s">
        <v>199</v>
      </c>
      <c r="BY452" t="s">
        <v>198</v>
      </c>
      <c r="BZ452" t="s">
        <v>199</v>
      </c>
      <c r="CA452" t="s">
        <v>199</v>
      </c>
      <c r="CB452" t="s">
        <v>6619</v>
      </c>
      <c r="CC452" t="s">
        <v>201</v>
      </c>
      <c r="CD452" t="s">
        <v>202</v>
      </c>
      <c r="CE452" t="s">
        <v>6620</v>
      </c>
      <c r="CF452" t="s">
        <v>204</v>
      </c>
      <c r="CG452" t="s">
        <v>177</v>
      </c>
      <c r="CH452" t="s">
        <v>187</v>
      </c>
      <c r="CI452" t="s">
        <v>6621</v>
      </c>
      <c r="CJ452" t="s">
        <v>6622</v>
      </c>
      <c r="CK452" t="s">
        <v>232</v>
      </c>
      <c r="CL452" t="s">
        <v>233</v>
      </c>
      <c r="CM452" t="s">
        <v>6623</v>
      </c>
      <c r="CN452" t="s">
        <v>235</v>
      </c>
      <c r="CO452" t="s">
        <v>183</v>
      </c>
      <c r="CP452" t="s">
        <v>266</v>
      </c>
      <c r="CS452" t="s">
        <v>198</v>
      </c>
      <c r="CT452" t="s">
        <v>5968</v>
      </c>
      <c r="CU452" t="s">
        <v>292</v>
      </c>
      <c r="CV452" t="s">
        <v>293</v>
      </c>
      <c r="CW452" t="s">
        <v>6624</v>
      </c>
      <c r="CX452" t="s">
        <v>235</v>
      </c>
      <c r="CY452" t="s">
        <v>183</v>
      </c>
      <c r="CZ452" t="s">
        <v>266</v>
      </c>
      <c r="DC452" t="s">
        <v>198</v>
      </c>
      <c r="DM452" t="s">
        <v>198</v>
      </c>
      <c r="DW452" t="s">
        <v>198</v>
      </c>
      <c r="EG452" t="s">
        <v>198</v>
      </c>
      <c r="EQ452" t="s">
        <v>198</v>
      </c>
      <c r="FA452" t="s">
        <v>198</v>
      </c>
      <c r="FK452" t="s">
        <v>198</v>
      </c>
      <c r="FU452" t="s">
        <v>198</v>
      </c>
    </row>
    <row r="453" spans="1:177">
      <c r="A453" s="1" t="str">
        <f>HYPERLINK("http://digipan.lumentumllc.com/apps/getLink/index.php?t=PropLink&amp;p=5245276","PL")</f>
        <v>PL</v>
      </c>
      <c r="B453" s="1" t="str">
        <f>HYPERLINK("http://digipan.lumentumllc.com/apps/getLink/index.php?t=TaxLink&amp;p=5245276","TL")</f>
        <v>TL</v>
      </c>
      <c r="C453" s="1" t="str">
        <f>HYPERLINK("http://digipan.lumentumllc.com/apps/getMap/index.php?p=5245276","Map")</f>
        <v>Map</v>
      </c>
      <c r="E453" t="s">
        <v>177</v>
      </c>
      <c r="F453" t="s">
        <v>178</v>
      </c>
      <c r="L453" t="s">
        <v>6625</v>
      </c>
      <c r="N453" t="s">
        <v>6625</v>
      </c>
      <c r="O453" t="s">
        <v>6625</v>
      </c>
      <c r="P453" t="s">
        <v>6626</v>
      </c>
      <c r="Q453" t="s">
        <v>6625</v>
      </c>
      <c r="V453">
        <v>523</v>
      </c>
      <c r="W453">
        <v>2</v>
      </c>
      <c r="X453">
        <v>2017</v>
      </c>
      <c r="Y453">
        <v>2018</v>
      </c>
      <c r="Z453">
        <v>50.88</v>
      </c>
      <c r="AB453" t="s">
        <v>181</v>
      </c>
      <c r="AC453" t="s">
        <v>182</v>
      </c>
      <c r="AD453" t="s">
        <v>1037</v>
      </c>
      <c r="AE453">
        <v>7</v>
      </c>
      <c r="AF453">
        <v>0</v>
      </c>
      <c r="AG453" t="s">
        <v>1038</v>
      </c>
      <c r="AH453">
        <v>0</v>
      </c>
      <c r="AI453">
        <v>621</v>
      </c>
      <c r="AJ453">
        <v>515.70000000000005</v>
      </c>
      <c r="AK453">
        <v>1136.7</v>
      </c>
      <c r="AL453">
        <v>1250</v>
      </c>
      <c r="AM453">
        <v>1250</v>
      </c>
      <c r="AN453">
        <v>0</v>
      </c>
      <c r="AO453">
        <v>18</v>
      </c>
      <c r="AP453">
        <v>2016</v>
      </c>
      <c r="AQ453">
        <v>4.07</v>
      </c>
      <c r="AR453">
        <v>90.94</v>
      </c>
      <c r="AS453" t="s">
        <v>6627</v>
      </c>
      <c r="AT453" t="s">
        <v>186</v>
      </c>
      <c r="AU453" t="s">
        <v>177</v>
      </c>
      <c r="AV453" t="s">
        <v>187</v>
      </c>
      <c r="AW453" t="s">
        <v>182</v>
      </c>
      <c r="AX453">
        <v>0</v>
      </c>
      <c r="AY453" t="s">
        <v>312</v>
      </c>
      <c r="AZ453" t="s">
        <v>199</v>
      </c>
      <c r="BA453" t="s">
        <v>313</v>
      </c>
      <c r="BB453" t="s">
        <v>191</v>
      </c>
      <c r="BC453" t="s">
        <v>182</v>
      </c>
      <c r="BD453" t="s">
        <v>182</v>
      </c>
      <c r="BE453" t="s">
        <v>5975</v>
      </c>
      <c r="BF453">
        <v>0</v>
      </c>
      <c r="BG453">
        <v>0</v>
      </c>
      <c r="BH453">
        <v>0</v>
      </c>
      <c r="BI453" t="s">
        <v>199</v>
      </c>
      <c r="BJ453" t="s">
        <v>315</v>
      </c>
      <c r="BL453" t="s">
        <v>6628</v>
      </c>
      <c r="BM453" t="s">
        <v>286</v>
      </c>
      <c r="BN453" t="s">
        <v>182</v>
      </c>
      <c r="BO453" t="s">
        <v>6629</v>
      </c>
      <c r="BP453" t="s">
        <v>6630</v>
      </c>
      <c r="BQ453" t="s">
        <v>226</v>
      </c>
      <c r="BR453" t="s">
        <v>563</v>
      </c>
      <c r="BS453" t="s">
        <v>198</v>
      </c>
      <c r="BT453" t="s">
        <v>228</v>
      </c>
      <c r="BU453" t="s">
        <v>182</v>
      </c>
      <c r="BV453" t="s">
        <v>198</v>
      </c>
      <c r="BW453" t="s">
        <v>198</v>
      </c>
      <c r="BX453" t="s">
        <v>199</v>
      </c>
      <c r="BY453" t="s">
        <v>198</v>
      </c>
      <c r="BZ453" t="s">
        <v>199</v>
      </c>
      <c r="CA453" t="s">
        <v>199</v>
      </c>
      <c r="CB453" t="s">
        <v>6631</v>
      </c>
      <c r="CC453" t="s">
        <v>201</v>
      </c>
      <c r="CD453" t="s">
        <v>182</v>
      </c>
      <c r="CE453" t="s">
        <v>6632</v>
      </c>
      <c r="CF453" t="s">
        <v>6633</v>
      </c>
      <c r="CG453" t="s">
        <v>2769</v>
      </c>
      <c r="CH453" t="s">
        <v>6634</v>
      </c>
      <c r="CI453" t="s">
        <v>6635</v>
      </c>
      <c r="CJ453" t="s">
        <v>6636</v>
      </c>
      <c r="CK453" t="s">
        <v>232</v>
      </c>
      <c r="CL453" t="s">
        <v>233</v>
      </c>
      <c r="CM453" t="s">
        <v>5868</v>
      </c>
      <c r="CN453" t="s">
        <v>482</v>
      </c>
      <c r="CO453" t="s">
        <v>5</v>
      </c>
      <c r="CP453" t="s">
        <v>266</v>
      </c>
      <c r="CS453" t="s">
        <v>198</v>
      </c>
      <c r="CT453" t="s">
        <v>5979</v>
      </c>
      <c r="CU453" t="s">
        <v>292</v>
      </c>
      <c r="CV453" t="s">
        <v>293</v>
      </c>
      <c r="CW453" t="s">
        <v>6637</v>
      </c>
      <c r="CX453" t="s">
        <v>482</v>
      </c>
      <c r="CY453" t="s">
        <v>183</v>
      </c>
      <c r="CZ453" t="s">
        <v>266</v>
      </c>
      <c r="DC453" t="s">
        <v>198</v>
      </c>
      <c r="DD453" t="s">
        <v>4802</v>
      </c>
      <c r="DE453" t="s">
        <v>267</v>
      </c>
      <c r="DF453" t="s">
        <v>268</v>
      </c>
      <c r="DG453" t="s">
        <v>6597</v>
      </c>
      <c r="DH453" t="s">
        <v>1615</v>
      </c>
      <c r="DI453" t="s">
        <v>183</v>
      </c>
      <c r="DJ453" t="s">
        <v>266</v>
      </c>
      <c r="DM453" t="s">
        <v>198</v>
      </c>
      <c r="DN453" t="s">
        <v>6638</v>
      </c>
      <c r="DO453" t="s">
        <v>273</v>
      </c>
      <c r="DP453" t="s">
        <v>274</v>
      </c>
      <c r="DQ453" t="s">
        <v>6598</v>
      </c>
      <c r="DR453" t="s">
        <v>482</v>
      </c>
      <c r="DS453" t="s">
        <v>183</v>
      </c>
      <c r="DT453" t="s">
        <v>266</v>
      </c>
      <c r="DW453" t="s">
        <v>198</v>
      </c>
      <c r="DX453" t="s">
        <v>6639</v>
      </c>
      <c r="DY453" t="s">
        <v>302</v>
      </c>
      <c r="DZ453" t="s">
        <v>303</v>
      </c>
      <c r="EA453" t="s">
        <v>6600</v>
      </c>
      <c r="EB453" t="s">
        <v>408</v>
      </c>
      <c r="EC453" t="s">
        <v>183</v>
      </c>
      <c r="ED453" t="s">
        <v>266</v>
      </c>
      <c r="EG453" t="s">
        <v>198</v>
      </c>
      <c r="EH453" t="s">
        <v>6640</v>
      </c>
      <c r="EI453" t="s">
        <v>238</v>
      </c>
      <c r="EJ453" t="s">
        <v>239</v>
      </c>
      <c r="EK453" t="s">
        <v>6504</v>
      </c>
      <c r="EL453" t="s">
        <v>6641</v>
      </c>
      <c r="EM453" t="s">
        <v>183</v>
      </c>
      <c r="EN453" t="s">
        <v>266</v>
      </c>
      <c r="EQ453" t="s">
        <v>198</v>
      </c>
      <c r="ER453" t="s">
        <v>193</v>
      </c>
      <c r="ES453" t="s">
        <v>346</v>
      </c>
      <c r="ET453" t="s">
        <v>347</v>
      </c>
      <c r="EU453" t="s">
        <v>6506</v>
      </c>
      <c r="EV453" t="s">
        <v>482</v>
      </c>
      <c r="EW453" t="s">
        <v>183</v>
      </c>
      <c r="EX453" t="s">
        <v>266</v>
      </c>
      <c r="FA453" t="s">
        <v>198</v>
      </c>
      <c r="FK453" t="s">
        <v>198</v>
      </c>
      <c r="FU453" t="s">
        <v>198</v>
      </c>
    </row>
    <row r="454" spans="1:177">
      <c r="A454" s="1" t="str">
        <f>HYPERLINK("http://digipan.lumentumllc.com/apps/getLink/index.php?t=PropLink&amp;p=6461785","PL")</f>
        <v>PL</v>
      </c>
      <c r="B454" s="1" t="str">
        <f>HYPERLINK("http://digipan.lumentumllc.com/apps/getLink/index.php?t=TaxLink&amp;p=6461785","TL")</f>
        <v>TL</v>
      </c>
      <c r="C454" s="1" t="str">
        <f>HYPERLINK("http://digipan.lumentumllc.com/apps/getMap/index.php?p=6461785","Map")</f>
        <v>Map</v>
      </c>
      <c r="E454" t="s">
        <v>177</v>
      </c>
      <c r="F454" t="s">
        <v>178</v>
      </c>
      <c r="L454" t="s">
        <v>6642</v>
      </c>
      <c r="N454" t="s">
        <v>6642</v>
      </c>
      <c r="O454" t="s">
        <v>6642</v>
      </c>
      <c r="P454" t="s">
        <v>6643</v>
      </c>
      <c r="Q454" t="s">
        <v>6642</v>
      </c>
      <c r="V454">
        <v>524</v>
      </c>
      <c r="W454">
        <v>2</v>
      </c>
      <c r="X454">
        <v>2017</v>
      </c>
      <c r="Y454">
        <v>2018</v>
      </c>
      <c r="Z454">
        <v>504.69</v>
      </c>
      <c r="AB454" t="s">
        <v>181</v>
      </c>
      <c r="AC454" t="s">
        <v>182</v>
      </c>
      <c r="AD454" t="s">
        <v>183</v>
      </c>
      <c r="AE454">
        <v>0</v>
      </c>
      <c r="AF454">
        <v>3</v>
      </c>
      <c r="AG454" t="s">
        <v>381</v>
      </c>
      <c r="AH454">
        <v>100</v>
      </c>
      <c r="AK454">
        <v>0</v>
      </c>
      <c r="AL454">
        <v>78467</v>
      </c>
      <c r="AM454">
        <v>15000</v>
      </c>
      <c r="AN454">
        <v>63467</v>
      </c>
      <c r="AO454">
        <v>437</v>
      </c>
      <c r="AP454">
        <v>2016</v>
      </c>
      <c r="AQ454">
        <v>0.64</v>
      </c>
      <c r="AS454" t="s">
        <v>6644</v>
      </c>
      <c r="AT454" t="s">
        <v>186</v>
      </c>
      <c r="AU454" t="s">
        <v>177</v>
      </c>
      <c r="AV454" t="s">
        <v>187</v>
      </c>
      <c r="AW454" t="s">
        <v>202</v>
      </c>
      <c r="AX454">
        <v>1</v>
      </c>
      <c r="AY454" t="s">
        <v>188</v>
      </c>
      <c r="AZ454" t="s">
        <v>206</v>
      </c>
      <c r="BA454" t="s">
        <v>355</v>
      </c>
      <c r="BB454" t="s">
        <v>191</v>
      </c>
      <c r="BC454" t="s">
        <v>182</v>
      </c>
      <c r="BD454" t="s">
        <v>182</v>
      </c>
      <c r="BE454" t="s">
        <v>6523</v>
      </c>
      <c r="BF454">
        <v>1</v>
      </c>
      <c r="BG454">
        <v>1</v>
      </c>
      <c r="BH454">
        <v>1974</v>
      </c>
      <c r="BI454" t="s">
        <v>6645</v>
      </c>
      <c r="BJ454" t="s">
        <v>194</v>
      </c>
      <c r="BK454" t="s">
        <v>195</v>
      </c>
      <c r="BL454" t="s">
        <v>196</v>
      </c>
      <c r="BM454" t="s">
        <v>1414</v>
      </c>
      <c r="BN454" t="s">
        <v>182</v>
      </c>
      <c r="BO454" t="s">
        <v>1283</v>
      </c>
      <c r="BP454" t="s">
        <v>6646</v>
      </c>
      <c r="BQ454" t="s">
        <v>562</v>
      </c>
      <c r="BS454" t="s">
        <v>198</v>
      </c>
      <c r="BT454" t="s">
        <v>228</v>
      </c>
      <c r="BU454" t="s">
        <v>182</v>
      </c>
      <c r="BV454" t="s">
        <v>198</v>
      </c>
      <c r="BW454" t="s">
        <v>198</v>
      </c>
      <c r="BX454" t="s">
        <v>199</v>
      </c>
      <c r="BY454" t="s">
        <v>198</v>
      </c>
      <c r="BZ454" t="s">
        <v>199</v>
      </c>
      <c r="CA454" t="s">
        <v>199</v>
      </c>
      <c r="CB454" t="s">
        <v>6647</v>
      </c>
      <c r="CC454" t="s">
        <v>201</v>
      </c>
      <c r="CD454" t="s">
        <v>182</v>
      </c>
      <c r="CE454" t="s">
        <v>3724</v>
      </c>
      <c r="CF454" t="s">
        <v>204</v>
      </c>
      <c r="CG454" t="s">
        <v>177</v>
      </c>
      <c r="CH454" t="s">
        <v>187</v>
      </c>
      <c r="CI454" t="s">
        <v>6648</v>
      </c>
      <c r="CJ454" t="s">
        <v>6638</v>
      </c>
      <c r="CK454" t="s">
        <v>267</v>
      </c>
      <c r="CL454" t="s">
        <v>268</v>
      </c>
      <c r="CM454" t="s">
        <v>6649</v>
      </c>
      <c r="CN454" t="s">
        <v>235</v>
      </c>
      <c r="CO454" t="s">
        <v>183</v>
      </c>
      <c r="CP454" t="s">
        <v>211</v>
      </c>
      <c r="CQ454" t="s">
        <v>329</v>
      </c>
      <c r="CS454" t="s">
        <v>3727</v>
      </c>
      <c r="CT454" t="s">
        <v>4835</v>
      </c>
      <c r="CU454" t="s">
        <v>273</v>
      </c>
      <c r="CV454" t="s">
        <v>274</v>
      </c>
      <c r="CW454" t="s">
        <v>6650</v>
      </c>
      <c r="CX454" t="s">
        <v>235</v>
      </c>
      <c r="CY454" t="s">
        <v>183</v>
      </c>
      <c r="CZ454" t="s">
        <v>211</v>
      </c>
      <c r="DA454" t="s">
        <v>298</v>
      </c>
      <c r="DC454" t="s">
        <v>3727</v>
      </c>
      <c r="DD454" t="s">
        <v>6651</v>
      </c>
      <c r="DE454" t="s">
        <v>302</v>
      </c>
      <c r="DF454" t="s">
        <v>303</v>
      </c>
      <c r="DG454" t="s">
        <v>6652</v>
      </c>
      <c r="DH454" t="s">
        <v>235</v>
      </c>
      <c r="DI454" t="s">
        <v>183</v>
      </c>
      <c r="DJ454" t="s">
        <v>211</v>
      </c>
      <c r="DK454" t="s">
        <v>525</v>
      </c>
      <c r="DM454" t="s">
        <v>3727</v>
      </c>
      <c r="DW454" t="s">
        <v>198</v>
      </c>
      <c r="EG454" t="s">
        <v>198</v>
      </c>
      <c r="EQ454" t="s">
        <v>198</v>
      </c>
      <c r="FA454" t="s">
        <v>198</v>
      </c>
      <c r="FK454" t="s">
        <v>198</v>
      </c>
      <c r="FU454" t="s">
        <v>198</v>
      </c>
    </row>
    <row r="455" spans="1:177">
      <c r="A455" s="1" t="str">
        <f>HYPERLINK("http://digipan.lumentumllc.com/apps/getLink/index.php?t=PropLink&amp;p=6128921","PL")</f>
        <v>PL</v>
      </c>
      <c r="B455" s="1" t="str">
        <f>HYPERLINK("http://digipan.lumentumllc.com/apps/getLink/index.php?t=TaxLink&amp;p=6128921","TL")</f>
        <v>TL</v>
      </c>
      <c r="C455" s="1" t="str">
        <f>HYPERLINK("http://digipan.lumentumllc.com/apps/getMap/index.php?p=6128921","Map")</f>
        <v>Map</v>
      </c>
      <c r="E455" t="s">
        <v>177</v>
      </c>
      <c r="F455" t="s">
        <v>178</v>
      </c>
      <c r="L455" t="s">
        <v>6653</v>
      </c>
      <c r="N455" t="s">
        <v>6653</v>
      </c>
      <c r="O455" t="s">
        <v>6653</v>
      </c>
      <c r="P455" t="s">
        <v>6654</v>
      </c>
      <c r="Q455" t="s">
        <v>6653</v>
      </c>
      <c r="V455">
        <v>525</v>
      </c>
      <c r="W455">
        <v>2</v>
      </c>
      <c r="X455">
        <v>2017</v>
      </c>
      <c r="Y455">
        <v>2018</v>
      </c>
      <c r="Z455">
        <v>485.11</v>
      </c>
      <c r="AG455" t="s">
        <v>184</v>
      </c>
      <c r="AH455">
        <v>0</v>
      </c>
      <c r="AK455">
        <v>0</v>
      </c>
      <c r="AL455">
        <v>30000</v>
      </c>
      <c r="AM455">
        <v>30000</v>
      </c>
      <c r="AN455">
        <v>0</v>
      </c>
      <c r="AO455">
        <v>414</v>
      </c>
      <c r="AP455">
        <v>2016</v>
      </c>
      <c r="AQ455">
        <v>1.62</v>
      </c>
      <c r="AS455" t="s">
        <v>6655</v>
      </c>
      <c r="AT455" t="s">
        <v>186</v>
      </c>
      <c r="AU455" t="s">
        <v>177</v>
      </c>
      <c r="AV455" t="s">
        <v>187</v>
      </c>
      <c r="AW455" t="s">
        <v>182</v>
      </c>
      <c r="AX455">
        <v>0</v>
      </c>
      <c r="AY455" t="s">
        <v>312</v>
      </c>
      <c r="AZ455" t="s">
        <v>199</v>
      </c>
      <c r="BA455" t="s">
        <v>313</v>
      </c>
      <c r="BB455" t="s">
        <v>191</v>
      </c>
      <c r="BC455" t="s">
        <v>182</v>
      </c>
      <c r="BD455" t="s">
        <v>182</v>
      </c>
      <c r="BE455" t="s">
        <v>6557</v>
      </c>
      <c r="BF455">
        <v>0</v>
      </c>
      <c r="BG455">
        <v>0</v>
      </c>
      <c r="BH455">
        <v>0</v>
      </c>
      <c r="BI455" t="s">
        <v>199</v>
      </c>
      <c r="BJ455" t="s">
        <v>315</v>
      </c>
      <c r="BL455" t="s">
        <v>6656</v>
      </c>
      <c r="BM455" t="s">
        <v>4724</v>
      </c>
      <c r="BN455" t="s">
        <v>182</v>
      </c>
      <c r="BO455" t="s">
        <v>198</v>
      </c>
      <c r="BP455" t="s">
        <v>198</v>
      </c>
      <c r="BQ455" t="s">
        <v>198</v>
      </c>
      <c r="BR455" t="s">
        <v>198</v>
      </c>
      <c r="BS455" t="s">
        <v>198</v>
      </c>
      <c r="BT455" t="s">
        <v>198</v>
      </c>
      <c r="BU455" t="s">
        <v>182</v>
      </c>
      <c r="BV455" t="s">
        <v>198</v>
      </c>
      <c r="BW455" t="s">
        <v>198</v>
      </c>
      <c r="BX455" t="s">
        <v>199</v>
      </c>
      <c r="BY455" t="s">
        <v>198</v>
      </c>
      <c r="BZ455" t="s">
        <v>199</v>
      </c>
      <c r="CA455" t="s">
        <v>199</v>
      </c>
      <c r="CB455" t="s">
        <v>5995</v>
      </c>
      <c r="CC455" t="s">
        <v>201</v>
      </c>
      <c r="CD455" t="s">
        <v>182</v>
      </c>
      <c r="CE455" t="s">
        <v>5996</v>
      </c>
      <c r="CF455" t="s">
        <v>204</v>
      </c>
      <c r="CG455" t="s">
        <v>177</v>
      </c>
      <c r="CH455" t="s">
        <v>187</v>
      </c>
      <c r="CI455" t="s">
        <v>6657</v>
      </c>
      <c r="CS455" t="s">
        <v>198</v>
      </c>
      <c r="DC455" t="s">
        <v>198</v>
      </c>
      <c r="DM455" t="s">
        <v>198</v>
      </c>
      <c r="DW455" t="s">
        <v>198</v>
      </c>
      <c r="EG455" t="s">
        <v>198</v>
      </c>
      <c r="EQ455" t="s">
        <v>198</v>
      </c>
      <c r="FA455" t="s">
        <v>198</v>
      </c>
      <c r="FK455" t="s">
        <v>198</v>
      </c>
      <c r="FU455" t="s">
        <v>198</v>
      </c>
    </row>
    <row r="456" spans="1:177">
      <c r="A456" s="1" t="str">
        <f>HYPERLINK("http://digipan.lumentumllc.com/apps/getLink/index.php?t=PropLink&amp;p=5245277","PL")</f>
        <v>PL</v>
      </c>
      <c r="B456" s="1" t="str">
        <f>HYPERLINK("http://digipan.lumentumllc.com/apps/getLink/index.php?t=TaxLink&amp;p=5245277","TL")</f>
        <v>TL</v>
      </c>
      <c r="C456" s="1" t="str">
        <f>HYPERLINK("http://digipan.lumentumllc.com/apps/getMap/index.php?p=5245277","Map")</f>
        <v>Map</v>
      </c>
      <c r="E456" t="s">
        <v>177</v>
      </c>
      <c r="F456" t="s">
        <v>178</v>
      </c>
      <c r="L456" t="s">
        <v>6658</v>
      </c>
      <c r="N456" t="s">
        <v>6658</v>
      </c>
      <c r="O456" t="s">
        <v>6658</v>
      </c>
      <c r="P456" t="s">
        <v>6659</v>
      </c>
      <c r="Q456" t="s">
        <v>6658</v>
      </c>
      <c r="V456">
        <v>526</v>
      </c>
      <c r="W456">
        <v>2</v>
      </c>
      <c r="X456">
        <v>2017</v>
      </c>
      <c r="Y456">
        <v>2018</v>
      </c>
      <c r="Z456">
        <v>50.88</v>
      </c>
      <c r="AB456" t="s">
        <v>181</v>
      </c>
      <c r="AC456" t="s">
        <v>182</v>
      </c>
      <c r="AD456" t="s">
        <v>1037</v>
      </c>
      <c r="AE456">
        <v>7</v>
      </c>
      <c r="AF456">
        <v>0</v>
      </c>
      <c r="AG456" t="s">
        <v>1038</v>
      </c>
      <c r="AH456">
        <v>0</v>
      </c>
      <c r="AI456">
        <v>477.03</v>
      </c>
      <c r="AJ456">
        <v>297.35000000000002</v>
      </c>
      <c r="AK456">
        <v>774.38</v>
      </c>
      <c r="AL456">
        <v>1250</v>
      </c>
      <c r="AM456">
        <v>1250</v>
      </c>
      <c r="AN456">
        <v>0</v>
      </c>
      <c r="AO456">
        <v>18</v>
      </c>
      <c r="AP456">
        <v>2016</v>
      </c>
      <c r="AQ456">
        <v>4.07</v>
      </c>
      <c r="AR456">
        <v>61.95</v>
      </c>
      <c r="AS456" t="s">
        <v>6627</v>
      </c>
      <c r="AT456" t="s">
        <v>186</v>
      </c>
      <c r="AU456" t="s">
        <v>177</v>
      </c>
      <c r="AV456" t="s">
        <v>187</v>
      </c>
      <c r="AW456" t="s">
        <v>182</v>
      </c>
      <c r="AX456">
        <v>0</v>
      </c>
      <c r="AY456" t="s">
        <v>312</v>
      </c>
      <c r="AZ456" t="s">
        <v>199</v>
      </c>
      <c r="BA456" t="s">
        <v>313</v>
      </c>
      <c r="BB456" t="s">
        <v>191</v>
      </c>
      <c r="BC456" t="s">
        <v>182</v>
      </c>
      <c r="BD456" t="s">
        <v>182</v>
      </c>
      <c r="BE456" t="s">
        <v>5975</v>
      </c>
      <c r="BF456">
        <v>0</v>
      </c>
      <c r="BG456">
        <v>0</v>
      </c>
      <c r="BH456">
        <v>0</v>
      </c>
      <c r="BI456" t="s">
        <v>199</v>
      </c>
      <c r="BJ456" t="s">
        <v>315</v>
      </c>
      <c r="BL456" t="s">
        <v>199</v>
      </c>
      <c r="BM456" t="s">
        <v>232</v>
      </c>
      <c r="BN456" t="s">
        <v>182</v>
      </c>
      <c r="BO456" t="s">
        <v>198</v>
      </c>
      <c r="BP456" t="s">
        <v>198</v>
      </c>
      <c r="BQ456" t="s">
        <v>198</v>
      </c>
      <c r="BR456" t="s">
        <v>198</v>
      </c>
      <c r="BS456" t="s">
        <v>198</v>
      </c>
      <c r="BT456" t="s">
        <v>198</v>
      </c>
      <c r="BU456" t="s">
        <v>182</v>
      </c>
      <c r="BV456" t="s">
        <v>198</v>
      </c>
      <c r="BW456" t="s">
        <v>198</v>
      </c>
      <c r="BX456" t="s">
        <v>199</v>
      </c>
      <c r="BY456" t="s">
        <v>198</v>
      </c>
      <c r="BZ456" t="s">
        <v>199</v>
      </c>
      <c r="CA456" t="s">
        <v>199</v>
      </c>
      <c r="CB456" t="s">
        <v>6323</v>
      </c>
      <c r="CC456" t="s">
        <v>201</v>
      </c>
      <c r="CD456" t="s">
        <v>182</v>
      </c>
      <c r="CE456" t="s">
        <v>6324</v>
      </c>
      <c r="CF456" t="s">
        <v>6325</v>
      </c>
      <c r="CG456" t="s">
        <v>6326</v>
      </c>
      <c r="CH456" t="s">
        <v>6327</v>
      </c>
      <c r="CI456" t="s">
        <v>6660</v>
      </c>
      <c r="CJ456" t="s">
        <v>6297</v>
      </c>
      <c r="CK456" t="s">
        <v>232</v>
      </c>
      <c r="CL456" t="s">
        <v>233</v>
      </c>
      <c r="CM456" t="s">
        <v>5868</v>
      </c>
      <c r="CN456" t="s">
        <v>482</v>
      </c>
      <c r="CO456" t="s">
        <v>5</v>
      </c>
      <c r="CP456" t="s">
        <v>266</v>
      </c>
      <c r="CS456" t="s">
        <v>198</v>
      </c>
      <c r="CT456" t="s">
        <v>6045</v>
      </c>
      <c r="CU456" t="s">
        <v>292</v>
      </c>
      <c r="CV456" t="s">
        <v>293</v>
      </c>
      <c r="CW456" t="s">
        <v>5869</v>
      </c>
      <c r="CX456" t="s">
        <v>482</v>
      </c>
      <c r="CY456" t="s">
        <v>5</v>
      </c>
      <c r="CZ456" t="s">
        <v>266</v>
      </c>
      <c r="DC456" t="s">
        <v>198</v>
      </c>
      <c r="DD456" t="s">
        <v>4835</v>
      </c>
      <c r="DE456" t="s">
        <v>267</v>
      </c>
      <c r="DF456" t="s">
        <v>268</v>
      </c>
      <c r="DG456" t="s">
        <v>6597</v>
      </c>
      <c r="DH456" t="s">
        <v>482</v>
      </c>
      <c r="DI456" t="s">
        <v>183</v>
      </c>
      <c r="DJ456" t="s">
        <v>266</v>
      </c>
      <c r="DM456" t="s">
        <v>198</v>
      </c>
      <c r="DN456" t="s">
        <v>6499</v>
      </c>
      <c r="DO456" t="s">
        <v>273</v>
      </c>
      <c r="DP456" t="s">
        <v>274</v>
      </c>
      <c r="DQ456" t="s">
        <v>6598</v>
      </c>
      <c r="DR456" t="s">
        <v>482</v>
      </c>
      <c r="DS456" t="s">
        <v>5</v>
      </c>
      <c r="DT456" t="s">
        <v>266</v>
      </c>
      <c r="DW456" t="s">
        <v>198</v>
      </c>
      <c r="DX456" t="s">
        <v>6661</v>
      </c>
      <c r="DY456" t="s">
        <v>302</v>
      </c>
      <c r="DZ456" t="s">
        <v>303</v>
      </c>
      <c r="EA456" t="s">
        <v>6600</v>
      </c>
      <c r="EB456" t="s">
        <v>576</v>
      </c>
      <c r="EC456" t="s">
        <v>183</v>
      </c>
      <c r="ED456" t="s">
        <v>266</v>
      </c>
      <c r="EG456" t="s">
        <v>198</v>
      </c>
      <c r="EH456" t="s">
        <v>6662</v>
      </c>
      <c r="EI456" t="s">
        <v>238</v>
      </c>
      <c r="EJ456" t="s">
        <v>239</v>
      </c>
      <c r="EK456" t="s">
        <v>6337</v>
      </c>
      <c r="EL456" t="s">
        <v>482</v>
      </c>
      <c r="EM456" t="s">
        <v>183</v>
      </c>
      <c r="EN456" t="s">
        <v>266</v>
      </c>
      <c r="EQ456" t="s">
        <v>198</v>
      </c>
      <c r="ER456" t="s">
        <v>6663</v>
      </c>
      <c r="ES456" t="s">
        <v>346</v>
      </c>
      <c r="ET456" t="s">
        <v>347</v>
      </c>
      <c r="EU456" t="s">
        <v>6339</v>
      </c>
      <c r="EV456" t="s">
        <v>341</v>
      </c>
      <c r="EW456" t="s">
        <v>183</v>
      </c>
      <c r="EX456" t="s">
        <v>266</v>
      </c>
      <c r="FA456" t="s">
        <v>198</v>
      </c>
      <c r="FK456" t="s">
        <v>198</v>
      </c>
      <c r="FU456" t="s">
        <v>198</v>
      </c>
    </row>
    <row r="457" spans="1:177">
      <c r="A457" s="1" t="str">
        <f>HYPERLINK("http://digipan.lumentumllc.com/apps/getLink/index.php?t=PropLink&amp;p=5245278","PL")</f>
        <v>PL</v>
      </c>
      <c r="B457" s="1" t="str">
        <f>HYPERLINK("http://digipan.lumentumllc.com/apps/getLink/index.php?t=TaxLink&amp;p=5245278","TL")</f>
        <v>TL</v>
      </c>
      <c r="C457" s="1" t="str">
        <f>HYPERLINK("http://digipan.lumentumllc.com/apps/getMap/index.php?p=5245278","Map")</f>
        <v>Map</v>
      </c>
      <c r="E457" t="s">
        <v>177</v>
      </c>
      <c r="F457" t="s">
        <v>178</v>
      </c>
      <c r="L457" t="s">
        <v>6664</v>
      </c>
      <c r="N457" t="s">
        <v>6664</v>
      </c>
      <c r="O457" t="s">
        <v>6664</v>
      </c>
      <c r="P457" t="s">
        <v>6665</v>
      </c>
      <c r="Q457" t="s">
        <v>6664</v>
      </c>
      <c r="V457">
        <v>527</v>
      </c>
      <c r="W457">
        <v>2</v>
      </c>
      <c r="X457">
        <v>2017</v>
      </c>
      <c r="Y457">
        <v>2018</v>
      </c>
      <c r="Z457">
        <v>469.43</v>
      </c>
      <c r="AG457" t="s">
        <v>184</v>
      </c>
      <c r="AH457">
        <v>0</v>
      </c>
      <c r="AK457">
        <v>0</v>
      </c>
      <c r="AL457">
        <v>55398</v>
      </c>
      <c r="AM457">
        <v>40500</v>
      </c>
      <c r="AN457">
        <v>14898</v>
      </c>
      <c r="AO457">
        <v>0</v>
      </c>
      <c r="AP457">
        <v>0</v>
      </c>
      <c r="AQ457">
        <v>0.85</v>
      </c>
      <c r="AS457" t="s">
        <v>6666</v>
      </c>
      <c r="AT457" t="s">
        <v>186</v>
      </c>
      <c r="AU457" t="s">
        <v>177</v>
      </c>
      <c r="AV457" t="s">
        <v>187</v>
      </c>
      <c r="AW457" t="s">
        <v>182</v>
      </c>
      <c r="AX457">
        <v>2</v>
      </c>
      <c r="AY457" t="s">
        <v>188</v>
      </c>
      <c r="AZ457" t="s">
        <v>189</v>
      </c>
      <c r="BA457" t="s">
        <v>190</v>
      </c>
      <c r="BB457" t="s">
        <v>191</v>
      </c>
      <c r="BC457" t="s">
        <v>182</v>
      </c>
      <c r="BD457" t="s">
        <v>182</v>
      </c>
      <c r="BE457" t="s">
        <v>1912</v>
      </c>
      <c r="BF457">
        <v>1</v>
      </c>
      <c r="BG457">
        <v>1</v>
      </c>
      <c r="BH457">
        <v>1991</v>
      </c>
      <c r="BI457" t="s">
        <v>5711</v>
      </c>
      <c r="BJ457" t="s">
        <v>194</v>
      </c>
      <c r="BK457" t="s">
        <v>195</v>
      </c>
      <c r="BL457" t="s">
        <v>199</v>
      </c>
      <c r="BM457" t="s">
        <v>1156</v>
      </c>
      <c r="BN457" t="s">
        <v>182</v>
      </c>
      <c r="BO457" t="s">
        <v>198</v>
      </c>
      <c r="BP457" t="s">
        <v>198</v>
      </c>
      <c r="BQ457" t="s">
        <v>198</v>
      </c>
      <c r="BR457" t="s">
        <v>198</v>
      </c>
      <c r="BS457" t="s">
        <v>198</v>
      </c>
      <c r="BT457" t="s">
        <v>198</v>
      </c>
      <c r="BU457" t="s">
        <v>182</v>
      </c>
      <c r="BV457" t="s">
        <v>198</v>
      </c>
      <c r="BW457" t="s">
        <v>198</v>
      </c>
      <c r="BX457" t="s">
        <v>199</v>
      </c>
      <c r="BY457" t="s">
        <v>198</v>
      </c>
      <c r="BZ457" t="s">
        <v>199</v>
      </c>
      <c r="CA457" t="s">
        <v>199</v>
      </c>
      <c r="CB457" t="s">
        <v>6667</v>
      </c>
      <c r="CC457" t="s">
        <v>201</v>
      </c>
      <c r="CD457" t="s">
        <v>182</v>
      </c>
      <c r="CE457" t="s">
        <v>6668</v>
      </c>
      <c r="CF457" t="s">
        <v>204</v>
      </c>
      <c r="CG457" t="s">
        <v>177</v>
      </c>
      <c r="CH457" t="s">
        <v>187</v>
      </c>
      <c r="CI457" t="s">
        <v>6669</v>
      </c>
      <c r="CS457" t="s">
        <v>198</v>
      </c>
      <c r="DC457" t="s">
        <v>198</v>
      </c>
      <c r="DM457" t="s">
        <v>198</v>
      </c>
      <c r="DW457" t="s">
        <v>198</v>
      </c>
      <c r="EG457" t="s">
        <v>198</v>
      </c>
      <c r="EQ457" t="s">
        <v>198</v>
      </c>
      <c r="FA457" t="s">
        <v>198</v>
      </c>
      <c r="FK457" t="s">
        <v>198</v>
      </c>
      <c r="FU457" t="s">
        <v>198</v>
      </c>
    </row>
    <row r="458" spans="1:177">
      <c r="A458" s="1" t="str">
        <f>HYPERLINK("http://digipan.lumentumllc.com/apps/getLink/index.php?t=PropLink&amp;p=5245279","PL")</f>
        <v>PL</v>
      </c>
      <c r="B458" s="1" t="str">
        <f>HYPERLINK("http://digipan.lumentumllc.com/apps/getLink/index.php?t=TaxLink&amp;p=5245279","TL")</f>
        <v>TL</v>
      </c>
      <c r="C458" s="1" t="str">
        <f>HYPERLINK("http://digipan.lumentumllc.com/apps/getMap/index.php?p=5245279","Map")</f>
        <v>Map</v>
      </c>
      <c r="E458" t="s">
        <v>177</v>
      </c>
      <c r="F458" t="s">
        <v>178</v>
      </c>
      <c r="L458" t="s">
        <v>6670</v>
      </c>
      <c r="N458" t="s">
        <v>6670</v>
      </c>
      <c r="O458" t="s">
        <v>6670</v>
      </c>
      <c r="P458" t="s">
        <v>6671</v>
      </c>
      <c r="Q458" t="s">
        <v>6670</v>
      </c>
      <c r="V458">
        <v>528</v>
      </c>
      <c r="W458">
        <v>2</v>
      </c>
      <c r="X458">
        <v>2017</v>
      </c>
      <c r="Y458">
        <v>2018</v>
      </c>
      <c r="Z458">
        <v>271.22000000000003</v>
      </c>
      <c r="AB458" t="s">
        <v>181</v>
      </c>
      <c r="AC458" t="s">
        <v>182</v>
      </c>
      <c r="AD458" t="s">
        <v>183</v>
      </c>
      <c r="AE458">
        <v>6</v>
      </c>
      <c r="AF458">
        <v>2</v>
      </c>
      <c r="AG458" t="s">
        <v>6510</v>
      </c>
      <c r="AH458">
        <v>14</v>
      </c>
      <c r="AI458">
        <v>1581.66</v>
      </c>
      <c r="AJ458">
        <v>869.92</v>
      </c>
      <c r="AK458">
        <v>2451.58</v>
      </c>
      <c r="AL458">
        <v>16080</v>
      </c>
      <c r="AM458">
        <v>11250</v>
      </c>
      <c r="AN458">
        <v>4830</v>
      </c>
      <c r="AO458">
        <v>222</v>
      </c>
      <c r="AP458">
        <v>2016</v>
      </c>
      <c r="AQ458">
        <v>1.69</v>
      </c>
      <c r="AR458">
        <v>15.25</v>
      </c>
      <c r="AS458" t="s">
        <v>6672</v>
      </c>
      <c r="AT458" t="s">
        <v>186</v>
      </c>
      <c r="AU458" t="s">
        <v>177</v>
      </c>
      <c r="AV458" t="s">
        <v>187</v>
      </c>
      <c r="AW458" t="s">
        <v>182</v>
      </c>
      <c r="AX458">
        <v>2</v>
      </c>
      <c r="AY458" t="s">
        <v>188</v>
      </c>
      <c r="AZ458" t="s">
        <v>189</v>
      </c>
      <c r="BA458" t="s">
        <v>190</v>
      </c>
      <c r="BB458" t="s">
        <v>191</v>
      </c>
      <c r="BC458" t="s">
        <v>182</v>
      </c>
      <c r="BD458" t="s">
        <v>182</v>
      </c>
      <c r="BE458" t="s">
        <v>6673</v>
      </c>
      <c r="BF458">
        <v>1</v>
      </c>
      <c r="BG458">
        <v>1</v>
      </c>
      <c r="BH458">
        <v>1979</v>
      </c>
      <c r="BI458" t="s">
        <v>5891</v>
      </c>
      <c r="BJ458" t="s">
        <v>194</v>
      </c>
      <c r="BK458" t="s">
        <v>195</v>
      </c>
      <c r="BL458" t="s">
        <v>199</v>
      </c>
      <c r="BM458" t="s">
        <v>1598</v>
      </c>
      <c r="BN458" t="s">
        <v>182</v>
      </c>
      <c r="BO458" t="s">
        <v>198</v>
      </c>
      <c r="BP458" t="s">
        <v>198</v>
      </c>
      <c r="BQ458" t="s">
        <v>198</v>
      </c>
      <c r="BR458" t="s">
        <v>198</v>
      </c>
      <c r="BS458" t="s">
        <v>198</v>
      </c>
      <c r="BT458" t="s">
        <v>198</v>
      </c>
      <c r="BU458" t="s">
        <v>182</v>
      </c>
      <c r="BV458" t="s">
        <v>198</v>
      </c>
      <c r="BW458" t="s">
        <v>198</v>
      </c>
      <c r="BX458" t="s">
        <v>199</v>
      </c>
      <c r="BY458" t="s">
        <v>198</v>
      </c>
      <c r="BZ458" t="s">
        <v>199</v>
      </c>
      <c r="CA458" t="s">
        <v>199</v>
      </c>
      <c r="CB458" t="s">
        <v>6674</v>
      </c>
      <c r="CC458" t="s">
        <v>201</v>
      </c>
      <c r="CD458" t="s">
        <v>202</v>
      </c>
      <c r="CE458" t="s">
        <v>6620</v>
      </c>
      <c r="CF458" t="s">
        <v>204</v>
      </c>
      <c r="CG458" t="s">
        <v>177</v>
      </c>
      <c r="CH458" t="s">
        <v>187</v>
      </c>
      <c r="CI458" t="s">
        <v>6675</v>
      </c>
      <c r="CJ458" t="s">
        <v>6316</v>
      </c>
      <c r="CK458" t="s">
        <v>232</v>
      </c>
      <c r="CL458" t="s">
        <v>233</v>
      </c>
      <c r="CM458" t="s">
        <v>6676</v>
      </c>
      <c r="CN458" t="s">
        <v>482</v>
      </c>
      <c r="CO458" t="s">
        <v>183</v>
      </c>
      <c r="CP458" t="s">
        <v>266</v>
      </c>
      <c r="CS458" t="s">
        <v>198</v>
      </c>
      <c r="CT458" t="s">
        <v>4802</v>
      </c>
      <c r="CU458" t="s">
        <v>292</v>
      </c>
      <c r="CV458" t="s">
        <v>293</v>
      </c>
      <c r="CW458" t="s">
        <v>6677</v>
      </c>
      <c r="CX458" t="s">
        <v>482</v>
      </c>
      <c r="CY458" t="s">
        <v>183</v>
      </c>
      <c r="CZ458" t="s">
        <v>266</v>
      </c>
      <c r="DC458" t="s">
        <v>198</v>
      </c>
      <c r="DD458" t="s">
        <v>6499</v>
      </c>
      <c r="DE458" t="s">
        <v>267</v>
      </c>
      <c r="DF458" t="s">
        <v>268</v>
      </c>
      <c r="DG458" t="s">
        <v>6678</v>
      </c>
      <c r="DH458" t="s">
        <v>482</v>
      </c>
      <c r="DI458" t="s">
        <v>183</v>
      </c>
      <c r="DJ458" t="s">
        <v>266</v>
      </c>
      <c r="DM458" t="s">
        <v>198</v>
      </c>
      <c r="DN458" t="s">
        <v>4852</v>
      </c>
      <c r="DO458" t="s">
        <v>273</v>
      </c>
      <c r="DP458" t="s">
        <v>274</v>
      </c>
      <c r="DQ458" t="s">
        <v>6679</v>
      </c>
      <c r="DR458" t="s">
        <v>333</v>
      </c>
      <c r="DS458" t="s">
        <v>183</v>
      </c>
      <c r="DT458" t="s">
        <v>266</v>
      </c>
      <c r="DW458" t="s">
        <v>198</v>
      </c>
      <c r="DX458" t="s">
        <v>6680</v>
      </c>
      <c r="DY458" t="s">
        <v>302</v>
      </c>
      <c r="DZ458" t="s">
        <v>303</v>
      </c>
      <c r="EA458" t="s">
        <v>6681</v>
      </c>
      <c r="EB458" t="s">
        <v>1615</v>
      </c>
      <c r="EC458" t="s">
        <v>183</v>
      </c>
      <c r="ED458" t="s">
        <v>266</v>
      </c>
      <c r="EG458" t="s">
        <v>198</v>
      </c>
      <c r="EH458" t="s">
        <v>6682</v>
      </c>
      <c r="EI458" t="s">
        <v>238</v>
      </c>
      <c r="EJ458" t="s">
        <v>239</v>
      </c>
      <c r="EK458" t="s">
        <v>6683</v>
      </c>
      <c r="EL458" t="s">
        <v>922</v>
      </c>
      <c r="EM458" t="s">
        <v>183</v>
      </c>
      <c r="EN458" t="s">
        <v>211</v>
      </c>
      <c r="EO458" t="s">
        <v>298</v>
      </c>
      <c r="EQ458" t="s">
        <v>467</v>
      </c>
      <c r="ER458" t="s">
        <v>6684</v>
      </c>
      <c r="ES458" t="s">
        <v>346</v>
      </c>
      <c r="ET458" t="s">
        <v>347</v>
      </c>
      <c r="EU458" t="s">
        <v>6685</v>
      </c>
      <c r="EV458" t="s">
        <v>1056</v>
      </c>
      <c r="EW458" t="s">
        <v>183</v>
      </c>
      <c r="EX458" t="s">
        <v>266</v>
      </c>
      <c r="FA458" t="s">
        <v>198</v>
      </c>
      <c r="FB458" t="s">
        <v>6493</v>
      </c>
      <c r="FC458" t="s">
        <v>207</v>
      </c>
      <c r="FD458" t="s">
        <v>208</v>
      </c>
      <c r="FE458" t="s">
        <v>6686</v>
      </c>
      <c r="FF458" t="s">
        <v>482</v>
      </c>
      <c r="FG458" t="s">
        <v>183</v>
      </c>
      <c r="FH458" t="s">
        <v>211</v>
      </c>
      <c r="FI458" t="s">
        <v>298</v>
      </c>
      <c r="FK458" t="s">
        <v>6687</v>
      </c>
      <c r="FU458" t="s">
        <v>198</v>
      </c>
    </row>
    <row r="459" spans="1:177">
      <c r="A459" s="1" t="str">
        <f>HYPERLINK("http://digipan.lumentumllc.com/apps/getLink/index.php?t=PropLink&amp;p=7112385","PL")</f>
        <v>PL</v>
      </c>
      <c r="B459" s="1" t="str">
        <f>HYPERLINK("http://digipan.lumentumllc.com/apps/getLink/index.php?t=TaxLink&amp;p=7112385","TL")</f>
        <v>TL</v>
      </c>
      <c r="C459" s="1" t="str">
        <f>HYPERLINK("http://digipan.lumentumllc.com/apps/getMap/index.php?p=7112385","Map")</f>
        <v>Map</v>
      </c>
      <c r="E459" t="s">
        <v>177</v>
      </c>
      <c r="F459" t="s">
        <v>178</v>
      </c>
      <c r="L459" t="s">
        <v>6688</v>
      </c>
      <c r="N459" t="s">
        <v>6688</v>
      </c>
      <c r="O459" t="s">
        <v>6688</v>
      </c>
      <c r="P459" t="s">
        <v>6689</v>
      </c>
      <c r="Q459" t="s">
        <v>6688</v>
      </c>
      <c r="V459">
        <v>529</v>
      </c>
      <c r="W459">
        <v>2</v>
      </c>
      <c r="X459">
        <v>2017</v>
      </c>
      <c r="Y459">
        <v>2018</v>
      </c>
      <c r="Z459">
        <v>1089.01</v>
      </c>
      <c r="AB459" t="s">
        <v>181</v>
      </c>
      <c r="AC459" t="s">
        <v>182</v>
      </c>
      <c r="AD459" t="s">
        <v>183</v>
      </c>
      <c r="AE459">
        <v>0</v>
      </c>
      <c r="AF459">
        <v>1</v>
      </c>
      <c r="AG459" t="s">
        <v>821</v>
      </c>
      <c r="AH459">
        <v>100</v>
      </c>
      <c r="AK459">
        <v>0</v>
      </c>
      <c r="AL459">
        <v>69985</v>
      </c>
      <c r="AM459">
        <v>26250</v>
      </c>
      <c r="AN459">
        <v>43735</v>
      </c>
      <c r="AO459">
        <v>969</v>
      </c>
      <c r="AP459">
        <v>2016</v>
      </c>
      <c r="AQ459">
        <v>1.56</v>
      </c>
      <c r="AS459" t="s">
        <v>6690</v>
      </c>
      <c r="AT459" t="s">
        <v>186</v>
      </c>
      <c r="AU459" t="s">
        <v>177</v>
      </c>
      <c r="AV459" t="s">
        <v>187</v>
      </c>
      <c r="AW459" t="s">
        <v>182</v>
      </c>
      <c r="AX459">
        <v>1</v>
      </c>
      <c r="AY459" t="s">
        <v>188</v>
      </c>
      <c r="AZ459" t="s">
        <v>206</v>
      </c>
      <c r="BA459" t="s">
        <v>355</v>
      </c>
      <c r="BB459" t="s">
        <v>191</v>
      </c>
      <c r="BC459" t="s">
        <v>182</v>
      </c>
      <c r="BD459" t="s">
        <v>182</v>
      </c>
      <c r="BE459" t="s">
        <v>6618</v>
      </c>
      <c r="BF459">
        <v>1</v>
      </c>
      <c r="BG459">
        <v>1</v>
      </c>
      <c r="BH459">
        <v>1965</v>
      </c>
      <c r="BI459" t="s">
        <v>6691</v>
      </c>
      <c r="BJ459" t="s">
        <v>194</v>
      </c>
      <c r="BK459" t="s">
        <v>195</v>
      </c>
      <c r="BL459" t="s">
        <v>6692</v>
      </c>
      <c r="BM459" t="s">
        <v>197</v>
      </c>
      <c r="BN459" t="s">
        <v>182</v>
      </c>
      <c r="BO459" t="s">
        <v>6693</v>
      </c>
      <c r="BP459" t="s">
        <v>3881</v>
      </c>
      <c r="BQ459" t="s">
        <v>904</v>
      </c>
      <c r="BR459" t="s">
        <v>563</v>
      </c>
      <c r="BS459" t="s">
        <v>198</v>
      </c>
      <c r="BT459" t="s">
        <v>228</v>
      </c>
      <c r="BU459" t="s">
        <v>182</v>
      </c>
      <c r="BV459" t="s">
        <v>198</v>
      </c>
      <c r="BW459" t="s">
        <v>198</v>
      </c>
      <c r="BX459" t="s">
        <v>199</v>
      </c>
      <c r="BY459" t="s">
        <v>198</v>
      </c>
      <c r="BZ459" t="s">
        <v>199</v>
      </c>
      <c r="CA459" t="s">
        <v>199</v>
      </c>
      <c r="CB459" t="s">
        <v>6694</v>
      </c>
      <c r="CC459" t="s">
        <v>201</v>
      </c>
      <c r="CD459" t="s">
        <v>202</v>
      </c>
      <c r="CE459" t="s">
        <v>6695</v>
      </c>
      <c r="CF459" t="s">
        <v>204</v>
      </c>
      <c r="CG459" t="s">
        <v>177</v>
      </c>
      <c r="CH459" t="s">
        <v>187</v>
      </c>
      <c r="CI459" t="s">
        <v>6696</v>
      </c>
      <c r="CJ459" t="s">
        <v>6638</v>
      </c>
      <c r="CK459" t="s">
        <v>292</v>
      </c>
      <c r="CL459" t="s">
        <v>293</v>
      </c>
      <c r="CM459" t="s">
        <v>6697</v>
      </c>
      <c r="CN459" t="s">
        <v>235</v>
      </c>
      <c r="CO459" t="s">
        <v>183</v>
      </c>
      <c r="CP459" t="s">
        <v>211</v>
      </c>
      <c r="CQ459" t="s">
        <v>270</v>
      </c>
      <c r="CS459" t="s">
        <v>338</v>
      </c>
      <c r="DC459" t="s">
        <v>198</v>
      </c>
      <c r="DM459" t="s">
        <v>198</v>
      </c>
      <c r="DW459" t="s">
        <v>198</v>
      </c>
      <c r="EG459" t="s">
        <v>198</v>
      </c>
      <c r="EQ459" t="s">
        <v>198</v>
      </c>
      <c r="FA459" t="s">
        <v>198</v>
      </c>
      <c r="FK459" t="s">
        <v>198</v>
      </c>
      <c r="FU459" t="s">
        <v>198</v>
      </c>
    </row>
    <row r="460" spans="1:177">
      <c r="A460" s="1" t="str">
        <f>HYPERLINK("http://digipan.lumentumllc.com/apps/getLink/index.php?t=PropLink&amp;p=5245284","PL")</f>
        <v>PL</v>
      </c>
      <c r="B460" s="1" t="str">
        <f>HYPERLINK("http://digipan.lumentumllc.com/apps/getLink/index.php?t=TaxLink&amp;p=5245284","TL")</f>
        <v>TL</v>
      </c>
      <c r="C460" s="1" t="str">
        <f>HYPERLINK("http://digipan.lumentumllc.com/apps/getMap/index.php?p=5245284","Map")</f>
        <v>Map</v>
      </c>
      <c r="E460" t="s">
        <v>177</v>
      </c>
      <c r="F460" t="s">
        <v>178</v>
      </c>
      <c r="L460" t="s">
        <v>6698</v>
      </c>
      <c r="N460" t="s">
        <v>6698</v>
      </c>
      <c r="O460" t="s">
        <v>6698</v>
      </c>
      <c r="P460" t="s">
        <v>6699</v>
      </c>
      <c r="Q460" t="s">
        <v>6698</v>
      </c>
      <c r="V460">
        <v>530</v>
      </c>
      <c r="W460">
        <v>2</v>
      </c>
      <c r="X460">
        <v>2017</v>
      </c>
      <c r="Y460">
        <v>2018</v>
      </c>
      <c r="Z460">
        <v>1122.31</v>
      </c>
      <c r="AB460" t="s">
        <v>181</v>
      </c>
      <c r="AC460" t="s">
        <v>202</v>
      </c>
      <c r="AD460" t="s">
        <v>183</v>
      </c>
      <c r="AE460">
        <v>0</v>
      </c>
      <c r="AF460">
        <v>5</v>
      </c>
      <c r="AG460" t="s">
        <v>3266</v>
      </c>
      <c r="AH460">
        <v>100</v>
      </c>
      <c r="AK460">
        <v>0</v>
      </c>
      <c r="AL460">
        <v>138270</v>
      </c>
      <c r="AM460">
        <v>30000</v>
      </c>
      <c r="AN460">
        <v>108270</v>
      </c>
      <c r="AO460">
        <v>996</v>
      </c>
      <c r="AP460">
        <v>2016</v>
      </c>
      <c r="AQ460">
        <v>0.81</v>
      </c>
      <c r="AS460" t="s">
        <v>6700</v>
      </c>
      <c r="AT460" t="s">
        <v>186</v>
      </c>
      <c r="AU460" t="s">
        <v>177</v>
      </c>
      <c r="AV460" t="s">
        <v>187</v>
      </c>
      <c r="AW460" t="s">
        <v>202</v>
      </c>
      <c r="AX460">
        <v>1</v>
      </c>
      <c r="AY460" t="s">
        <v>188</v>
      </c>
      <c r="AZ460" t="s">
        <v>206</v>
      </c>
      <c r="BA460" t="s">
        <v>355</v>
      </c>
      <c r="BB460" t="s">
        <v>191</v>
      </c>
      <c r="BC460" t="s">
        <v>182</v>
      </c>
      <c r="BD460" t="s">
        <v>182</v>
      </c>
      <c r="BE460" t="s">
        <v>882</v>
      </c>
      <c r="BF460">
        <v>1</v>
      </c>
      <c r="BG460">
        <v>1</v>
      </c>
      <c r="BH460">
        <v>1976</v>
      </c>
      <c r="BI460" t="s">
        <v>6701</v>
      </c>
      <c r="BJ460" t="s">
        <v>194</v>
      </c>
      <c r="BK460" t="s">
        <v>195</v>
      </c>
      <c r="BL460" t="s">
        <v>6702</v>
      </c>
      <c r="BM460" t="s">
        <v>1041</v>
      </c>
      <c r="BN460" t="s">
        <v>182</v>
      </c>
      <c r="BO460" t="s">
        <v>6703</v>
      </c>
      <c r="BP460" t="s">
        <v>6704</v>
      </c>
      <c r="BQ460" t="s">
        <v>800</v>
      </c>
      <c r="BS460" t="s">
        <v>198</v>
      </c>
      <c r="BT460" t="s">
        <v>6705</v>
      </c>
      <c r="BU460" t="s">
        <v>182</v>
      </c>
      <c r="BV460" t="s">
        <v>198</v>
      </c>
      <c r="BW460" t="s">
        <v>198</v>
      </c>
      <c r="BX460" t="s">
        <v>199</v>
      </c>
      <c r="BY460" t="s">
        <v>198</v>
      </c>
      <c r="BZ460" t="s">
        <v>199</v>
      </c>
      <c r="CA460" t="s">
        <v>199</v>
      </c>
      <c r="CB460" t="s">
        <v>6706</v>
      </c>
      <c r="CC460" t="s">
        <v>201</v>
      </c>
      <c r="CD460" t="s">
        <v>182</v>
      </c>
      <c r="CE460" t="s">
        <v>6707</v>
      </c>
      <c r="CF460" t="s">
        <v>204</v>
      </c>
      <c r="CG460" t="s">
        <v>177</v>
      </c>
      <c r="CH460" t="s">
        <v>187</v>
      </c>
      <c r="CI460" t="s">
        <v>6708</v>
      </c>
      <c r="CJ460" t="s">
        <v>6499</v>
      </c>
      <c r="CK460" t="s">
        <v>292</v>
      </c>
      <c r="CL460" t="s">
        <v>293</v>
      </c>
      <c r="CM460" t="s">
        <v>6709</v>
      </c>
      <c r="CN460" t="s">
        <v>235</v>
      </c>
      <c r="CO460" t="s">
        <v>183</v>
      </c>
      <c r="CP460" t="s">
        <v>211</v>
      </c>
      <c r="CQ460" t="s">
        <v>270</v>
      </c>
      <c r="CR460" t="s">
        <v>271</v>
      </c>
      <c r="CS460" t="s">
        <v>6710</v>
      </c>
      <c r="CT460" t="s">
        <v>6136</v>
      </c>
      <c r="CU460" t="s">
        <v>267</v>
      </c>
      <c r="CV460" t="s">
        <v>268</v>
      </c>
      <c r="CW460" t="s">
        <v>6711</v>
      </c>
      <c r="CX460" t="s">
        <v>235</v>
      </c>
      <c r="CY460" t="s">
        <v>183</v>
      </c>
      <c r="CZ460" t="s">
        <v>211</v>
      </c>
      <c r="DB460" t="s">
        <v>271</v>
      </c>
      <c r="DC460" t="s">
        <v>198</v>
      </c>
      <c r="DD460" t="s">
        <v>6712</v>
      </c>
      <c r="DE460" t="s">
        <v>302</v>
      </c>
      <c r="DF460" t="s">
        <v>303</v>
      </c>
      <c r="DG460" t="s">
        <v>6713</v>
      </c>
      <c r="DH460" t="s">
        <v>235</v>
      </c>
      <c r="DI460" t="s">
        <v>183</v>
      </c>
      <c r="DJ460" t="s">
        <v>211</v>
      </c>
      <c r="DK460" t="s">
        <v>298</v>
      </c>
      <c r="DM460" t="s">
        <v>437</v>
      </c>
      <c r="DN460" t="s">
        <v>6714</v>
      </c>
      <c r="DO460" t="s">
        <v>238</v>
      </c>
      <c r="DP460" t="s">
        <v>239</v>
      </c>
      <c r="DQ460" t="s">
        <v>6715</v>
      </c>
      <c r="DR460" t="s">
        <v>1586</v>
      </c>
      <c r="DS460" t="s">
        <v>183</v>
      </c>
      <c r="DT460" t="s">
        <v>211</v>
      </c>
      <c r="DU460" t="s">
        <v>523</v>
      </c>
      <c r="DW460" t="s">
        <v>6716</v>
      </c>
      <c r="DX460" t="s">
        <v>6717</v>
      </c>
      <c r="DY460" t="s">
        <v>346</v>
      </c>
      <c r="DZ460" t="s">
        <v>347</v>
      </c>
      <c r="EA460" t="s">
        <v>6718</v>
      </c>
      <c r="EB460" t="s">
        <v>331</v>
      </c>
      <c r="EC460" t="s">
        <v>183</v>
      </c>
      <c r="ED460" t="s">
        <v>211</v>
      </c>
      <c r="EE460" t="s">
        <v>337</v>
      </c>
      <c r="EG460" t="s">
        <v>1352</v>
      </c>
      <c r="EQ460" t="s">
        <v>198</v>
      </c>
      <c r="FA460" t="s">
        <v>198</v>
      </c>
      <c r="FK460" t="s">
        <v>198</v>
      </c>
      <c r="FU460" t="s">
        <v>198</v>
      </c>
    </row>
    <row r="461" spans="1:177">
      <c r="A461" s="1" t="str">
        <f>HYPERLINK("http://digipan.lumentumllc.com/apps/getLink/index.php?t=PropLink&amp;p=6461786","PL")</f>
        <v>PL</v>
      </c>
      <c r="B461" s="1" t="str">
        <f>HYPERLINK("http://digipan.lumentumllc.com/apps/getLink/index.php?t=TaxLink&amp;p=6461786","TL")</f>
        <v>TL</v>
      </c>
      <c r="C461" s="1" t="str">
        <f>HYPERLINK("http://digipan.lumentumllc.com/apps/getMap/index.php?p=6461786","Map")</f>
        <v>Map</v>
      </c>
      <c r="E461" t="s">
        <v>177</v>
      </c>
      <c r="F461" t="s">
        <v>178</v>
      </c>
      <c r="L461" t="s">
        <v>6719</v>
      </c>
      <c r="N461" t="s">
        <v>6719</v>
      </c>
      <c r="O461" t="s">
        <v>6719</v>
      </c>
      <c r="P461" t="s">
        <v>6720</v>
      </c>
      <c r="Q461" t="s">
        <v>6719</v>
      </c>
      <c r="V461">
        <v>531</v>
      </c>
      <c r="W461">
        <v>2</v>
      </c>
      <c r="X461">
        <v>2017</v>
      </c>
      <c r="Y461">
        <v>2018</v>
      </c>
      <c r="Z461">
        <v>41.44</v>
      </c>
      <c r="AB461" t="s">
        <v>181</v>
      </c>
      <c r="AC461" t="s">
        <v>182</v>
      </c>
      <c r="AD461" t="s">
        <v>183</v>
      </c>
      <c r="AE461">
        <v>0</v>
      </c>
      <c r="AF461">
        <v>2</v>
      </c>
      <c r="AG461" t="s">
        <v>216</v>
      </c>
      <c r="AH461">
        <v>100</v>
      </c>
      <c r="AK461">
        <v>0</v>
      </c>
      <c r="AL461">
        <v>625</v>
      </c>
      <c r="AM461">
        <v>625</v>
      </c>
      <c r="AN461">
        <v>0</v>
      </c>
      <c r="AO461">
        <v>9</v>
      </c>
      <c r="AP461">
        <v>2016</v>
      </c>
      <c r="AQ461">
        <v>6.63</v>
      </c>
      <c r="AS461" t="s">
        <v>6721</v>
      </c>
      <c r="AT461" t="s">
        <v>186</v>
      </c>
      <c r="AU461" t="s">
        <v>177</v>
      </c>
      <c r="AV461" t="s">
        <v>187</v>
      </c>
      <c r="AW461" t="s">
        <v>182</v>
      </c>
      <c r="AX461">
        <v>0</v>
      </c>
      <c r="AY461" t="s">
        <v>312</v>
      </c>
      <c r="AZ461" t="s">
        <v>199</v>
      </c>
      <c r="BA461" t="s">
        <v>313</v>
      </c>
      <c r="BB461" t="s">
        <v>191</v>
      </c>
      <c r="BC461" t="s">
        <v>182</v>
      </c>
      <c r="BD461" t="s">
        <v>182</v>
      </c>
      <c r="BE461" t="s">
        <v>3918</v>
      </c>
      <c r="BF461">
        <v>0</v>
      </c>
      <c r="BG461">
        <v>0</v>
      </c>
      <c r="BH461">
        <v>0</v>
      </c>
      <c r="BI461" t="s">
        <v>199</v>
      </c>
      <c r="BJ461" t="s">
        <v>315</v>
      </c>
      <c r="BL461" t="s">
        <v>1224</v>
      </c>
      <c r="BM461" t="s">
        <v>302</v>
      </c>
      <c r="BN461" t="s">
        <v>182</v>
      </c>
      <c r="BO461" t="s">
        <v>198</v>
      </c>
      <c r="BP461" t="s">
        <v>198</v>
      </c>
      <c r="BQ461" t="s">
        <v>198</v>
      </c>
      <c r="BR461" t="s">
        <v>198</v>
      </c>
      <c r="BS461" t="s">
        <v>198</v>
      </c>
      <c r="BT461" t="s">
        <v>198</v>
      </c>
      <c r="BU461" t="s">
        <v>182</v>
      </c>
      <c r="BV461" t="s">
        <v>198</v>
      </c>
      <c r="BW461" t="s">
        <v>198</v>
      </c>
      <c r="BX461" t="s">
        <v>199</v>
      </c>
      <c r="BY461" t="s">
        <v>198</v>
      </c>
      <c r="BZ461" t="s">
        <v>199</v>
      </c>
      <c r="CA461" t="s">
        <v>199</v>
      </c>
      <c r="CB461" t="s">
        <v>6722</v>
      </c>
      <c r="CC461" t="s">
        <v>201</v>
      </c>
      <c r="CD461" t="s">
        <v>202</v>
      </c>
      <c r="CE461" t="s">
        <v>5996</v>
      </c>
      <c r="CF461" t="s">
        <v>204</v>
      </c>
      <c r="CG461" t="s">
        <v>177</v>
      </c>
      <c r="CH461" t="s">
        <v>187</v>
      </c>
      <c r="CI461" t="s">
        <v>6723</v>
      </c>
      <c r="CJ461" t="s">
        <v>6724</v>
      </c>
      <c r="CK461" t="s">
        <v>273</v>
      </c>
      <c r="CL461" t="s">
        <v>274</v>
      </c>
      <c r="CM461" t="s">
        <v>6725</v>
      </c>
      <c r="CN461" t="s">
        <v>482</v>
      </c>
      <c r="CO461" t="s">
        <v>183</v>
      </c>
      <c r="CP461" t="s">
        <v>211</v>
      </c>
      <c r="CQ461" t="s">
        <v>298</v>
      </c>
      <c r="CS461" t="s">
        <v>2856</v>
      </c>
      <c r="CT461" t="s">
        <v>6726</v>
      </c>
      <c r="CU461" t="s">
        <v>302</v>
      </c>
      <c r="CV461" t="s">
        <v>303</v>
      </c>
      <c r="CW461" t="s">
        <v>6727</v>
      </c>
      <c r="CX461" t="s">
        <v>576</v>
      </c>
      <c r="CY461" t="s">
        <v>183</v>
      </c>
      <c r="CZ461" t="s">
        <v>211</v>
      </c>
      <c r="DA461" t="s">
        <v>298</v>
      </c>
      <c r="DC461" t="s">
        <v>437</v>
      </c>
      <c r="DM461" t="s">
        <v>198</v>
      </c>
      <c r="DW461" t="s">
        <v>198</v>
      </c>
      <c r="EG461" t="s">
        <v>198</v>
      </c>
      <c r="EQ461" t="s">
        <v>198</v>
      </c>
      <c r="FA461" t="s">
        <v>198</v>
      </c>
      <c r="FK461" t="s">
        <v>198</v>
      </c>
      <c r="FU461" t="s">
        <v>198</v>
      </c>
    </row>
    <row r="462" spans="1:177">
      <c r="A462" s="1" t="str">
        <f>HYPERLINK("http://digipan.lumentumllc.com/apps/getLink/index.php?t=PropLink&amp;p=5245287","PL")</f>
        <v>PL</v>
      </c>
      <c r="B462" s="1" t="str">
        <f>HYPERLINK("http://digipan.lumentumllc.com/apps/getLink/index.php?t=TaxLink&amp;p=5245287","TL")</f>
        <v>TL</v>
      </c>
      <c r="C462" s="1" t="str">
        <f>HYPERLINK("http://digipan.lumentumllc.com/apps/getMap/index.php?p=5245287","Map")</f>
        <v>Map</v>
      </c>
      <c r="E462" t="s">
        <v>177</v>
      </c>
      <c r="F462" t="s">
        <v>178</v>
      </c>
      <c r="L462" t="s">
        <v>6728</v>
      </c>
      <c r="N462" t="s">
        <v>6728</v>
      </c>
      <c r="O462" t="s">
        <v>6728</v>
      </c>
      <c r="P462" t="s">
        <v>6729</v>
      </c>
      <c r="Q462" t="s">
        <v>6728</v>
      </c>
      <c r="V462">
        <v>532</v>
      </c>
      <c r="W462">
        <v>2</v>
      </c>
      <c r="X462">
        <v>2017</v>
      </c>
      <c r="Y462">
        <v>2018</v>
      </c>
      <c r="Z462">
        <v>457.96</v>
      </c>
      <c r="AB462" t="s">
        <v>181</v>
      </c>
      <c r="AC462" t="s">
        <v>182</v>
      </c>
      <c r="AD462" t="s">
        <v>183</v>
      </c>
      <c r="AE462">
        <v>1</v>
      </c>
      <c r="AF462">
        <v>5</v>
      </c>
      <c r="AG462" t="s">
        <v>951</v>
      </c>
      <c r="AH462">
        <v>80</v>
      </c>
      <c r="AI462">
        <v>448.09</v>
      </c>
      <c r="AJ462">
        <v>22.4</v>
      </c>
      <c r="AK462">
        <v>470.49</v>
      </c>
      <c r="AL462">
        <v>28203</v>
      </c>
      <c r="AM462">
        <v>11250</v>
      </c>
      <c r="AN462">
        <v>16953</v>
      </c>
      <c r="AO462">
        <v>389</v>
      </c>
      <c r="AP462">
        <v>2016</v>
      </c>
      <c r="AQ462">
        <v>1.62</v>
      </c>
      <c r="AR462">
        <v>1.67</v>
      </c>
      <c r="AS462" t="s">
        <v>6730</v>
      </c>
      <c r="AT462" t="s">
        <v>186</v>
      </c>
      <c r="AU462" t="s">
        <v>177</v>
      </c>
      <c r="AV462" t="s">
        <v>187</v>
      </c>
      <c r="AW462" t="s">
        <v>182</v>
      </c>
      <c r="AX462">
        <v>1</v>
      </c>
      <c r="AY462" t="s">
        <v>188</v>
      </c>
      <c r="AZ462" t="s">
        <v>206</v>
      </c>
      <c r="BA462" t="s">
        <v>355</v>
      </c>
      <c r="BB462" t="s">
        <v>191</v>
      </c>
      <c r="BC462" t="s">
        <v>182</v>
      </c>
      <c r="BD462" t="s">
        <v>182</v>
      </c>
      <c r="BE462" t="s">
        <v>6673</v>
      </c>
      <c r="BF462">
        <v>1</v>
      </c>
      <c r="BG462">
        <v>1</v>
      </c>
      <c r="BH462">
        <v>1936</v>
      </c>
      <c r="BI462" t="s">
        <v>2255</v>
      </c>
      <c r="BJ462" t="s">
        <v>285</v>
      </c>
      <c r="BK462" t="s">
        <v>195</v>
      </c>
      <c r="BL462" t="s">
        <v>1002</v>
      </c>
      <c r="BM462" t="s">
        <v>1414</v>
      </c>
      <c r="BN462" t="s">
        <v>182</v>
      </c>
      <c r="BO462" t="s">
        <v>198</v>
      </c>
      <c r="BP462" t="s">
        <v>198</v>
      </c>
      <c r="BQ462" t="s">
        <v>198</v>
      </c>
      <c r="BR462" t="s">
        <v>198</v>
      </c>
      <c r="BS462" t="s">
        <v>198</v>
      </c>
      <c r="BT462" t="s">
        <v>198</v>
      </c>
      <c r="BU462" t="s">
        <v>182</v>
      </c>
      <c r="BV462" t="s">
        <v>198</v>
      </c>
      <c r="BW462" t="s">
        <v>198</v>
      </c>
      <c r="BX462" t="s">
        <v>199</v>
      </c>
      <c r="BY462" t="s">
        <v>198</v>
      </c>
      <c r="BZ462" t="s">
        <v>199</v>
      </c>
      <c r="CA462" t="s">
        <v>199</v>
      </c>
      <c r="CB462" t="s">
        <v>6731</v>
      </c>
      <c r="CC462" t="s">
        <v>201</v>
      </c>
      <c r="CD462" t="s">
        <v>202</v>
      </c>
      <c r="CE462" t="s">
        <v>6732</v>
      </c>
      <c r="CF462" t="s">
        <v>1029</v>
      </c>
      <c r="CG462" t="s">
        <v>177</v>
      </c>
      <c r="CH462" t="s">
        <v>1030</v>
      </c>
      <c r="CI462" t="s">
        <v>6733</v>
      </c>
      <c r="CJ462" t="s">
        <v>6347</v>
      </c>
      <c r="CK462" t="s">
        <v>232</v>
      </c>
      <c r="CL462" t="s">
        <v>233</v>
      </c>
      <c r="CM462" t="s">
        <v>6734</v>
      </c>
      <c r="CN462" t="s">
        <v>305</v>
      </c>
      <c r="CO462" t="s">
        <v>183</v>
      </c>
      <c r="CP462" t="s">
        <v>266</v>
      </c>
      <c r="CS462" t="s">
        <v>198</v>
      </c>
      <c r="CT462" t="s">
        <v>6115</v>
      </c>
      <c r="CU462" t="s">
        <v>292</v>
      </c>
      <c r="CV462" t="s">
        <v>293</v>
      </c>
      <c r="CW462" t="s">
        <v>6735</v>
      </c>
      <c r="CX462" t="s">
        <v>333</v>
      </c>
      <c r="CY462" t="s">
        <v>183</v>
      </c>
      <c r="CZ462" t="s">
        <v>211</v>
      </c>
      <c r="DA462" t="s">
        <v>298</v>
      </c>
      <c r="DC462" t="s">
        <v>1641</v>
      </c>
      <c r="DD462" t="s">
        <v>4879</v>
      </c>
      <c r="DE462" t="s">
        <v>267</v>
      </c>
      <c r="DF462" t="s">
        <v>268</v>
      </c>
      <c r="DG462" t="s">
        <v>6736</v>
      </c>
      <c r="DH462" t="s">
        <v>331</v>
      </c>
      <c r="DI462" t="s">
        <v>183</v>
      </c>
      <c r="DJ462" t="s">
        <v>211</v>
      </c>
      <c r="DK462" t="s">
        <v>298</v>
      </c>
      <c r="DM462" t="s">
        <v>459</v>
      </c>
      <c r="DN462" t="s">
        <v>6245</v>
      </c>
      <c r="DO462" t="s">
        <v>273</v>
      </c>
      <c r="DP462" t="s">
        <v>274</v>
      </c>
      <c r="DQ462" t="s">
        <v>6737</v>
      </c>
      <c r="DR462" t="s">
        <v>235</v>
      </c>
      <c r="DS462" t="s">
        <v>183</v>
      </c>
      <c r="DT462" t="s">
        <v>211</v>
      </c>
      <c r="DU462" t="s">
        <v>298</v>
      </c>
      <c r="DW462" t="s">
        <v>1069</v>
      </c>
      <c r="DX462" t="s">
        <v>6738</v>
      </c>
      <c r="DY462" t="s">
        <v>346</v>
      </c>
      <c r="DZ462" t="s">
        <v>347</v>
      </c>
      <c r="EA462" t="s">
        <v>6739</v>
      </c>
      <c r="EB462" t="s">
        <v>469</v>
      </c>
      <c r="EC462" t="s">
        <v>183</v>
      </c>
      <c r="ED462" t="s">
        <v>211</v>
      </c>
      <c r="EE462" t="s">
        <v>329</v>
      </c>
      <c r="EG462" t="s">
        <v>1381</v>
      </c>
      <c r="EH462" t="s">
        <v>6740</v>
      </c>
      <c r="EI462" t="s">
        <v>207</v>
      </c>
      <c r="EJ462" t="s">
        <v>208</v>
      </c>
      <c r="EK462" t="s">
        <v>6741</v>
      </c>
      <c r="EL462" t="s">
        <v>576</v>
      </c>
      <c r="EM462" t="s">
        <v>183</v>
      </c>
      <c r="EN462" t="s">
        <v>211</v>
      </c>
      <c r="EO462" t="s">
        <v>298</v>
      </c>
      <c r="EQ462" t="s">
        <v>1381</v>
      </c>
      <c r="FA462" t="s">
        <v>198</v>
      </c>
      <c r="FK462" t="s">
        <v>198</v>
      </c>
      <c r="FU462" t="s">
        <v>198</v>
      </c>
    </row>
    <row r="463" spans="1:177">
      <c r="A463" s="1" t="str">
        <f>HYPERLINK("http://digipan.lumentumllc.com/apps/getLink/index.php?t=PropLink&amp;p=15742684","PL")</f>
        <v>PL</v>
      </c>
      <c r="B463" s="1" t="str">
        <f>HYPERLINK("http://digipan.lumentumllc.com/apps/getLink/index.php?t=TaxLink&amp;p=15742684","TL")</f>
        <v>TL</v>
      </c>
      <c r="C463" s="1" t="str">
        <f>HYPERLINK("http://digipan.lumentumllc.com/apps/getMap/index.php?p=15742684","Map")</f>
        <v>Map</v>
      </c>
      <c r="E463" t="s">
        <v>177</v>
      </c>
      <c r="F463" t="s">
        <v>178</v>
      </c>
      <c r="L463" t="s">
        <v>6742</v>
      </c>
      <c r="N463" t="s">
        <v>6742</v>
      </c>
      <c r="O463" t="s">
        <v>6742</v>
      </c>
      <c r="Q463" t="s">
        <v>6742</v>
      </c>
      <c r="V463">
        <v>533</v>
      </c>
      <c r="W463">
        <v>2</v>
      </c>
      <c r="X463">
        <v>2017</v>
      </c>
      <c r="Y463">
        <v>2018</v>
      </c>
      <c r="Z463">
        <v>41.44</v>
      </c>
      <c r="AG463" t="s">
        <v>184</v>
      </c>
      <c r="AH463">
        <v>0</v>
      </c>
      <c r="AK463">
        <v>0</v>
      </c>
      <c r="AL463">
        <v>625</v>
      </c>
      <c r="AM463">
        <v>625</v>
      </c>
      <c r="AN463">
        <v>0</v>
      </c>
      <c r="AO463">
        <v>9</v>
      </c>
      <c r="AP463">
        <v>2016</v>
      </c>
      <c r="AQ463">
        <v>6.63</v>
      </c>
      <c r="AS463" t="s">
        <v>6743</v>
      </c>
      <c r="AT463" t="s">
        <v>186</v>
      </c>
      <c r="AU463" t="s">
        <v>177</v>
      </c>
      <c r="AV463" t="s">
        <v>187</v>
      </c>
      <c r="AW463" t="s">
        <v>182</v>
      </c>
      <c r="AX463">
        <v>0</v>
      </c>
      <c r="AY463" t="s">
        <v>312</v>
      </c>
      <c r="AZ463" t="s">
        <v>199</v>
      </c>
      <c r="BA463" t="s">
        <v>313</v>
      </c>
      <c r="BB463" t="s">
        <v>191</v>
      </c>
      <c r="BC463" t="s">
        <v>182</v>
      </c>
      <c r="BD463" t="s">
        <v>182</v>
      </c>
      <c r="BE463" t="s">
        <v>3918</v>
      </c>
      <c r="BF463">
        <v>0</v>
      </c>
      <c r="BG463">
        <v>0</v>
      </c>
      <c r="BH463">
        <v>0</v>
      </c>
      <c r="BI463" t="s">
        <v>199</v>
      </c>
      <c r="BJ463" t="s">
        <v>315</v>
      </c>
      <c r="BL463" t="s">
        <v>199</v>
      </c>
      <c r="BM463" t="s">
        <v>292</v>
      </c>
      <c r="BN463" t="s">
        <v>182</v>
      </c>
      <c r="BO463" t="s">
        <v>198</v>
      </c>
      <c r="BP463" t="s">
        <v>198</v>
      </c>
      <c r="BQ463" t="s">
        <v>198</v>
      </c>
      <c r="BR463" t="s">
        <v>198</v>
      </c>
      <c r="BS463" t="s">
        <v>198</v>
      </c>
      <c r="BT463" t="s">
        <v>198</v>
      </c>
      <c r="BU463" t="s">
        <v>182</v>
      </c>
      <c r="BV463" t="s">
        <v>198</v>
      </c>
      <c r="BW463" t="s">
        <v>198</v>
      </c>
      <c r="BX463" t="s">
        <v>199</v>
      </c>
      <c r="BY463" t="s">
        <v>198</v>
      </c>
      <c r="BZ463" t="s">
        <v>199</v>
      </c>
      <c r="CA463" t="s">
        <v>199</v>
      </c>
      <c r="CB463" t="s">
        <v>6744</v>
      </c>
      <c r="CC463" t="s">
        <v>201</v>
      </c>
      <c r="CD463" t="s">
        <v>202</v>
      </c>
      <c r="CE463" t="s">
        <v>6745</v>
      </c>
      <c r="CF463" t="s">
        <v>204</v>
      </c>
      <c r="CG463" t="s">
        <v>177</v>
      </c>
      <c r="CH463" t="s">
        <v>187</v>
      </c>
      <c r="CI463" t="s">
        <v>6746</v>
      </c>
      <c r="CS463" t="s">
        <v>198</v>
      </c>
      <c r="DC463" t="s">
        <v>198</v>
      </c>
      <c r="DM463" t="s">
        <v>198</v>
      </c>
      <c r="DW463" t="s">
        <v>198</v>
      </c>
      <c r="EG463" t="s">
        <v>198</v>
      </c>
      <c r="EQ463" t="s">
        <v>198</v>
      </c>
      <c r="FA463" t="s">
        <v>198</v>
      </c>
      <c r="FK463" t="s">
        <v>198</v>
      </c>
      <c r="FU463" t="s">
        <v>198</v>
      </c>
    </row>
    <row r="464" spans="1:177">
      <c r="A464" s="1" t="str">
        <f>HYPERLINK("http://digipan.lumentumllc.com/apps/getLink/index.php?t=PropLink&amp;p=5245291","PL")</f>
        <v>PL</v>
      </c>
      <c r="B464" s="1" t="str">
        <f>HYPERLINK("http://digipan.lumentumllc.com/apps/getLink/index.php?t=TaxLink&amp;p=5245291","TL")</f>
        <v>TL</v>
      </c>
      <c r="C464" s="1" t="str">
        <f>HYPERLINK("http://digipan.lumentumllc.com/apps/getMap/index.php?p=5245291","Map")</f>
        <v>Map</v>
      </c>
      <c r="E464" t="s">
        <v>177</v>
      </c>
      <c r="F464" t="s">
        <v>178</v>
      </c>
      <c r="L464" t="s">
        <v>6747</v>
      </c>
      <c r="N464" t="s">
        <v>6747</v>
      </c>
      <c r="O464" t="s">
        <v>6747</v>
      </c>
      <c r="P464" t="s">
        <v>6748</v>
      </c>
      <c r="Q464" t="s">
        <v>6747</v>
      </c>
      <c r="V464">
        <v>534</v>
      </c>
      <c r="W464">
        <v>2</v>
      </c>
      <c r="X464">
        <v>2017</v>
      </c>
      <c r="Y464">
        <v>2018</v>
      </c>
      <c r="Z464">
        <v>41.44</v>
      </c>
      <c r="AB464" t="s">
        <v>181</v>
      </c>
      <c r="AC464" t="s">
        <v>182</v>
      </c>
      <c r="AD464" t="s">
        <v>1037</v>
      </c>
      <c r="AE464">
        <v>7</v>
      </c>
      <c r="AF464">
        <v>0</v>
      </c>
      <c r="AG464" t="s">
        <v>1038</v>
      </c>
      <c r="AH464">
        <v>0</v>
      </c>
      <c r="AI464">
        <v>321.14999999999998</v>
      </c>
      <c r="AJ464">
        <v>244</v>
      </c>
      <c r="AK464">
        <v>565.15</v>
      </c>
      <c r="AL464">
        <v>625</v>
      </c>
      <c r="AM464">
        <v>625</v>
      </c>
      <c r="AN464">
        <v>0</v>
      </c>
      <c r="AO464">
        <v>9</v>
      </c>
      <c r="AP464">
        <v>2016</v>
      </c>
      <c r="AQ464">
        <v>6.63</v>
      </c>
      <c r="AR464">
        <v>90.42</v>
      </c>
      <c r="AS464" t="s">
        <v>6749</v>
      </c>
      <c r="AT464" t="s">
        <v>186</v>
      </c>
      <c r="AU464" t="s">
        <v>177</v>
      </c>
      <c r="AV464" t="s">
        <v>187</v>
      </c>
      <c r="AW464" t="s">
        <v>182</v>
      </c>
      <c r="AX464">
        <v>0</v>
      </c>
      <c r="AY464" t="s">
        <v>312</v>
      </c>
      <c r="AZ464" t="s">
        <v>199</v>
      </c>
      <c r="BA464" t="s">
        <v>313</v>
      </c>
      <c r="BB464" t="s">
        <v>191</v>
      </c>
      <c r="BC464" t="s">
        <v>182</v>
      </c>
      <c r="BD464" t="s">
        <v>182</v>
      </c>
      <c r="BE464" t="s">
        <v>3918</v>
      </c>
      <c r="BF464">
        <v>0</v>
      </c>
      <c r="BG464">
        <v>0</v>
      </c>
      <c r="BH464">
        <v>0</v>
      </c>
      <c r="BI464" t="s">
        <v>199</v>
      </c>
      <c r="BJ464" t="s">
        <v>315</v>
      </c>
      <c r="BL464" t="s">
        <v>199</v>
      </c>
      <c r="BM464" t="s">
        <v>368</v>
      </c>
      <c r="BN464" t="s">
        <v>182</v>
      </c>
      <c r="BO464" t="s">
        <v>198</v>
      </c>
      <c r="BP464" t="s">
        <v>198</v>
      </c>
      <c r="BQ464" t="s">
        <v>198</v>
      </c>
      <c r="BR464" t="s">
        <v>198</v>
      </c>
      <c r="BS464" t="s">
        <v>198</v>
      </c>
      <c r="BT464" t="s">
        <v>198</v>
      </c>
      <c r="BU464" t="s">
        <v>182</v>
      </c>
      <c r="BV464" t="s">
        <v>198</v>
      </c>
      <c r="BW464" t="s">
        <v>198</v>
      </c>
      <c r="BX464" t="s">
        <v>199</v>
      </c>
      <c r="BY464" t="s">
        <v>198</v>
      </c>
      <c r="BZ464" t="s">
        <v>199</v>
      </c>
      <c r="CA464" t="s">
        <v>199</v>
      </c>
      <c r="CB464" t="s">
        <v>6750</v>
      </c>
      <c r="CC464" t="s">
        <v>1407</v>
      </c>
      <c r="CD464" t="s">
        <v>202</v>
      </c>
      <c r="CE464" t="s">
        <v>6751</v>
      </c>
      <c r="CF464" t="s">
        <v>6752</v>
      </c>
      <c r="CG464" t="s">
        <v>6753</v>
      </c>
      <c r="CH464" t="s">
        <v>6754</v>
      </c>
      <c r="CI464" t="s">
        <v>6755</v>
      </c>
      <c r="CJ464" t="s">
        <v>6756</v>
      </c>
      <c r="CK464" t="s">
        <v>232</v>
      </c>
      <c r="CL464" t="s">
        <v>233</v>
      </c>
      <c r="CM464" t="s">
        <v>6330</v>
      </c>
      <c r="CN464" t="s">
        <v>482</v>
      </c>
      <c r="CO464" t="s">
        <v>5</v>
      </c>
      <c r="CP464" t="s">
        <v>266</v>
      </c>
      <c r="CS464" t="s">
        <v>198</v>
      </c>
      <c r="CT464" t="s">
        <v>6536</v>
      </c>
      <c r="CU464" t="s">
        <v>292</v>
      </c>
      <c r="CV464" t="s">
        <v>293</v>
      </c>
      <c r="CW464" t="s">
        <v>6331</v>
      </c>
      <c r="CX464" t="s">
        <v>482</v>
      </c>
      <c r="CY464" t="s">
        <v>5</v>
      </c>
      <c r="CZ464" t="s">
        <v>266</v>
      </c>
      <c r="DC464" t="s">
        <v>198</v>
      </c>
      <c r="DD464" t="s">
        <v>6636</v>
      </c>
      <c r="DE464" t="s">
        <v>267</v>
      </c>
      <c r="DF464" t="s">
        <v>268</v>
      </c>
      <c r="DG464" t="s">
        <v>6757</v>
      </c>
      <c r="DH464" t="s">
        <v>482</v>
      </c>
      <c r="DI464" t="s">
        <v>5</v>
      </c>
      <c r="DJ464" t="s">
        <v>266</v>
      </c>
      <c r="DM464" t="s">
        <v>198</v>
      </c>
      <c r="DN464" t="s">
        <v>6758</v>
      </c>
      <c r="DO464" t="s">
        <v>273</v>
      </c>
      <c r="DP464" t="s">
        <v>274</v>
      </c>
      <c r="DQ464" t="s">
        <v>6759</v>
      </c>
      <c r="DR464" t="s">
        <v>482</v>
      </c>
      <c r="DS464" t="s">
        <v>5</v>
      </c>
      <c r="DT464" t="s">
        <v>266</v>
      </c>
      <c r="DW464" t="s">
        <v>198</v>
      </c>
      <c r="DX464" t="s">
        <v>6760</v>
      </c>
      <c r="DY464" t="s">
        <v>302</v>
      </c>
      <c r="DZ464" t="s">
        <v>303</v>
      </c>
      <c r="EA464" t="s">
        <v>6727</v>
      </c>
      <c r="EB464" t="s">
        <v>1615</v>
      </c>
      <c r="EC464" t="s">
        <v>183</v>
      </c>
      <c r="ED464" t="s">
        <v>266</v>
      </c>
      <c r="EG464" t="s">
        <v>198</v>
      </c>
      <c r="EH464" t="s">
        <v>6761</v>
      </c>
      <c r="EI464" t="s">
        <v>238</v>
      </c>
      <c r="EJ464" t="s">
        <v>239</v>
      </c>
      <c r="EK464" t="s">
        <v>6350</v>
      </c>
      <c r="EL464" t="s">
        <v>482</v>
      </c>
      <c r="EM464" t="s">
        <v>183</v>
      </c>
      <c r="EN464" t="s">
        <v>266</v>
      </c>
      <c r="EQ464" t="s">
        <v>198</v>
      </c>
      <c r="ER464" t="s">
        <v>6762</v>
      </c>
      <c r="ES464" t="s">
        <v>346</v>
      </c>
      <c r="ET464" t="s">
        <v>347</v>
      </c>
      <c r="EU464" t="s">
        <v>6763</v>
      </c>
      <c r="EV464" t="s">
        <v>482</v>
      </c>
      <c r="EW464" t="s">
        <v>183</v>
      </c>
      <c r="EX464" t="s">
        <v>266</v>
      </c>
      <c r="FA464" t="s">
        <v>198</v>
      </c>
      <c r="FK464" t="s">
        <v>198</v>
      </c>
      <c r="FU464" t="s">
        <v>198</v>
      </c>
    </row>
    <row r="465" spans="1:177">
      <c r="A465" s="1" t="str">
        <f>HYPERLINK("http://digipan.lumentumllc.com/apps/getLink/index.php?t=PropLink&amp;p=15742709","PL")</f>
        <v>PL</v>
      </c>
      <c r="B465" s="1" t="str">
        <f>HYPERLINK("http://digipan.lumentumllc.com/apps/getLink/index.php?t=TaxLink&amp;p=15742709","TL")</f>
        <v>TL</v>
      </c>
      <c r="C465" s="1" t="str">
        <f>HYPERLINK("http://digipan.lumentumllc.com/apps/getMap/index.php?p=15742709","Map")</f>
        <v>Map</v>
      </c>
      <c r="E465" t="s">
        <v>177</v>
      </c>
      <c r="F465" t="s">
        <v>178</v>
      </c>
      <c r="L465" t="s">
        <v>6764</v>
      </c>
      <c r="N465" t="s">
        <v>6764</v>
      </c>
      <c r="O465" t="s">
        <v>6764</v>
      </c>
      <c r="Q465" t="s">
        <v>6764</v>
      </c>
      <c r="V465">
        <v>535</v>
      </c>
      <c r="W465">
        <v>2</v>
      </c>
      <c r="X465">
        <v>2017</v>
      </c>
      <c r="Y465">
        <v>2018</v>
      </c>
      <c r="Z465">
        <v>1543.57</v>
      </c>
      <c r="AB465" t="s">
        <v>181</v>
      </c>
      <c r="AC465" t="s">
        <v>182</v>
      </c>
      <c r="AD465" t="s">
        <v>183</v>
      </c>
      <c r="AE465">
        <v>1</v>
      </c>
      <c r="AF465">
        <v>0</v>
      </c>
      <c r="AG465" t="s">
        <v>1200</v>
      </c>
      <c r="AH465">
        <v>0</v>
      </c>
      <c r="AI465">
        <v>1506.82</v>
      </c>
      <c r="AJ465">
        <v>75.34</v>
      </c>
      <c r="AK465">
        <v>1582.16</v>
      </c>
      <c r="AL465">
        <v>100080</v>
      </c>
      <c r="AM465">
        <v>15000</v>
      </c>
      <c r="AN465">
        <v>85080</v>
      </c>
      <c r="AO465">
        <v>1368</v>
      </c>
      <c r="AP465">
        <v>2016</v>
      </c>
      <c r="AQ465">
        <v>1.54</v>
      </c>
      <c r="AR465">
        <v>1.58</v>
      </c>
      <c r="AS465" t="s">
        <v>6765</v>
      </c>
      <c r="AT465" t="s">
        <v>186</v>
      </c>
      <c r="AU465" t="s">
        <v>177</v>
      </c>
      <c r="AV465" t="s">
        <v>187</v>
      </c>
      <c r="AW465" t="s">
        <v>182</v>
      </c>
      <c r="AX465">
        <v>1</v>
      </c>
      <c r="AY465" t="s">
        <v>188</v>
      </c>
      <c r="AZ465" t="s">
        <v>206</v>
      </c>
      <c r="BA465" t="s">
        <v>355</v>
      </c>
      <c r="BB465" t="s">
        <v>191</v>
      </c>
      <c r="BC465" t="s">
        <v>182</v>
      </c>
      <c r="BD465" t="s">
        <v>182</v>
      </c>
      <c r="BE465" t="s">
        <v>6523</v>
      </c>
      <c r="BF465">
        <v>1</v>
      </c>
      <c r="BG465">
        <v>1</v>
      </c>
      <c r="BH465">
        <v>1930</v>
      </c>
      <c r="BI465" t="s">
        <v>6766</v>
      </c>
      <c r="BJ465" t="s">
        <v>194</v>
      </c>
      <c r="BK465" t="s">
        <v>195</v>
      </c>
      <c r="BL465" t="s">
        <v>4210</v>
      </c>
      <c r="BM465" t="s">
        <v>232</v>
      </c>
      <c r="BN465" t="s">
        <v>182</v>
      </c>
      <c r="BO465" t="s">
        <v>198</v>
      </c>
      <c r="BP465" t="s">
        <v>198</v>
      </c>
      <c r="BQ465" t="s">
        <v>198</v>
      </c>
      <c r="BR465" t="s">
        <v>198</v>
      </c>
      <c r="BS465" t="s">
        <v>198</v>
      </c>
      <c r="BT465" t="s">
        <v>198</v>
      </c>
      <c r="BU465" t="s">
        <v>182</v>
      </c>
      <c r="BV465" t="s">
        <v>198</v>
      </c>
      <c r="BW465" t="s">
        <v>198</v>
      </c>
      <c r="BX465" t="s">
        <v>199</v>
      </c>
      <c r="BY465" t="s">
        <v>198</v>
      </c>
      <c r="BZ465" t="s">
        <v>199</v>
      </c>
      <c r="CA465" t="s">
        <v>199</v>
      </c>
      <c r="CB465" t="s">
        <v>6767</v>
      </c>
      <c r="CC465" t="s">
        <v>201</v>
      </c>
      <c r="CD465" t="s">
        <v>202</v>
      </c>
      <c r="CE465" t="s">
        <v>6768</v>
      </c>
      <c r="CF465" t="s">
        <v>204</v>
      </c>
      <c r="CG465" t="s">
        <v>177</v>
      </c>
      <c r="CH465" t="s">
        <v>187</v>
      </c>
      <c r="CI465" t="s">
        <v>6769</v>
      </c>
      <c r="CJ465" t="s">
        <v>6388</v>
      </c>
      <c r="CK465" t="s">
        <v>232</v>
      </c>
      <c r="CL465" t="s">
        <v>233</v>
      </c>
      <c r="CM465" t="s">
        <v>6770</v>
      </c>
      <c r="CN465" t="s">
        <v>235</v>
      </c>
      <c r="CO465" t="s">
        <v>183</v>
      </c>
      <c r="CP465" t="s">
        <v>266</v>
      </c>
      <c r="CS465" t="s">
        <v>198</v>
      </c>
      <c r="DC465" t="s">
        <v>198</v>
      </c>
      <c r="DM465" t="s">
        <v>198</v>
      </c>
      <c r="DW465" t="s">
        <v>198</v>
      </c>
      <c r="EG465" t="s">
        <v>198</v>
      </c>
      <c r="EQ465" t="s">
        <v>198</v>
      </c>
      <c r="FA465" t="s">
        <v>198</v>
      </c>
      <c r="FK465" t="s">
        <v>198</v>
      </c>
      <c r="FU465" t="s">
        <v>198</v>
      </c>
    </row>
    <row r="466" spans="1:177">
      <c r="A466" s="1" t="str">
        <f>HYPERLINK("http://digipan.lumentumllc.com/apps/getLink/index.php?t=PropLink&amp;p=15742719","PL")</f>
        <v>PL</v>
      </c>
      <c r="B466" s="1" t="str">
        <f>HYPERLINK("http://digipan.lumentumllc.com/apps/getLink/index.php?t=TaxLink&amp;p=15742719","TL")</f>
        <v>TL</v>
      </c>
      <c r="C466" s="1" t="str">
        <f>HYPERLINK("http://digipan.lumentumllc.com/apps/getMap/index.php?p=15742719","Map")</f>
        <v>Map</v>
      </c>
      <c r="E466" t="s">
        <v>177</v>
      </c>
      <c r="F466" t="s">
        <v>178</v>
      </c>
      <c r="L466" t="s">
        <v>6771</v>
      </c>
      <c r="N466" t="s">
        <v>6771</v>
      </c>
      <c r="O466" t="s">
        <v>6771</v>
      </c>
      <c r="Q466" t="s">
        <v>6771</v>
      </c>
      <c r="V466">
        <v>536</v>
      </c>
      <c r="W466">
        <v>2</v>
      </c>
      <c r="X466">
        <v>2017</v>
      </c>
      <c r="Y466">
        <v>2018</v>
      </c>
      <c r="Z466">
        <v>1302.3599999999999</v>
      </c>
      <c r="AG466" t="s">
        <v>184</v>
      </c>
      <c r="AH466">
        <v>0</v>
      </c>
      <c r="AK466">
        <v>0</v>
      </c>
      <c r="AL466">
        <v>110016</v>
      </c>
      <c r="AM466">
        <v>19531</v>
      </c>
      <c r="AN466">
        <v>90485</v>
      </c>
      <c r="AO466">
        <v>1154</v>
      </c>
      <c r="AP466">
        <v>2016</v>
      </c>
      <c r="AQ466">
        <v>1.18</v>
      </c>
      <c r="AS466" t="s">
        <v>6772</v>
      </c>
      <c r="AT466" t="s">
        <v>186</v>
      </c>
      <c r="AU466" t="s">
        <v>177</v>
      </c>
      <c r="AV466" t="s">
        <v>187</v>
      </c>
      <c r="AW466" t="s">
        <v>202</v>
      </c>
      <c r="AX466">
        <v>8</v>
      </c>
      <c r="AY466" t="s">
        <v>188</v>
      </c>
      <c r="AZ466" t="s">
        <v>329</v>
      </c>
      <c r="BA466" t="s">
        <v>6773</v>
      </c>
      <c r="BB466" t="s">
        <v>191</v>
      </c>
      <c r="BC466" t="s">
        <v>182</v>
      </c>
      <c r="BD466" t="s">
        <v>182</v>
      </c>
      <c r="BE466" t="s">
        <v>3696</v>
      </c>
      <c r="BF466">
        <v>1</v>
      </c>
      <c r="BG466">
        <v>1</v>
      </c>
      <c r="BH466">
        <v>1961</v>
      </c>
      <c r="BI466" t="s">
        <v>6774</v>
      </c>
      <c r="BJ466" t="s">
        <v>194</v>
      </c>
      <c r="BK466" t="s">
        <v>195</v>
      </c>
      <c r="BL466" t="s">
        <v>199</v>
      </c>
      <c r="BM466" t="s">
        <v>533</v>
      </c>
      <c r="BN466" t="s">
        <v>182</v>
      </c>
      <c r="BO466" t="s">
        <v>6775</v>
      </c>
      <c r="BP466" t="s">
        <v>6776</v>
      </c>
      <c r="BQ466" t="s">
        <v>603</v>
      </c>
      <c r="BR466" t="s">
        <v>6777</v>
      </c>
      <c r="BS466" t="s">
        <v>198</v>
      </c>
      <c r="BT466" t="s">
        <v>6778</v>
      </c>
      <c r="BU466" t="s">
        <v>182</v>
      </c>
      <c r="BV466" t="s">
        <v>198</v>
      </c>
      <c r="BW466" t="s">
        <v>198</v>
      </c>
      <c r="BX466" t="s">
        <v>199</v>
      </c>
      <c r="BY466" t="s">
        <v>198</v>
      </c>
      <c r="BZ466" t="s">
        <v>199</v>
      </c>
      <c r="CA466" t="s">
        <v>199</v>
      </c>
      <c r="CB466" t="s">
        <v>6779</v>
      </c>
      <c r="CC466" t="s">
        <v>201</v>
      </c>
      <c r="CD466" t="s">
        <v>182</v>
      </c>
      <c r="CE466" t="s">
        <v>6780</v>
      </c>
      <c r="CF466" t="s">
        <v>204</v>
      </c>
      <c r="CG466" t="s">
        <v>177</v>
      </c>
      <c r="CH466" t="s">
        <v>187</v>
      </c>
      <c r="CI466" t="s">
        <v>6781</v>
      </c>
      <c r="CS466" t="s">
        <v>198</v>
      </c>
      <c r="DC466" t="s">
        <v>198</v>
      </c>
      <c r="DM466" t="s">
        <v>198</v>
      </c>
      <c r="DW466" t="s">
        <v>198</v>
      </c>
      <c r="EG466" t="s">
        <v>198</v>
      </c>
      <c r="EQ466" t="s">
        <v>198</v>
      </c>
      <c r="FA466" t="s">
        <v>198</v>
      </c>
      <c r="FK466" t="s">
        <v>198</v>
      </c>
      <c r="FU466" t="s">
        <v>198</v>
      </c>
    </row>
    <row r="467" spans="1:177">
      <c r="A467" s="1" t="str">
        <f>HYPERLINK("http://digipan.lumentumllc.com/apps/getLink/index.php?t=PropLink&amp;p=5245296","PL")</f>
        <v>PL</v>
      </c>
      <c r="B467" s="1" t="str">
        <f>HYPERLINK("http://digipan.lumentumllc.com/apps/getLink/index.php?t=TaxLink&amp;p=5245296","TL")</f>
        <v>TL</v>
      </c>
      <c r="C467" s="1" t="str">
        <f>HYPERLINK("http://digipan.lumentumllc.com/apps/getMap/index.php?p=5245296","Map")</f>
        <v>Map</v>
      </c>
      <c r="E467" t="s">
        <v>177</v>
      </c>
      <c r="F467" t="s">
        <v>178</v>
      </c>
      <c r="L467" t="s">
        <v>6782</v>
      </c>
      <c r="N467" t="s">
        <v>6782</v>
      </c>
      <c r="O467" t="s">
        <v>6782</v>
      </c>
      <c r="P467" t="s">
        <v>6783</v>
      </c>
      <c r="Q467" t="s">
        <v>6782</v>
      </c>
      <c r="V467">
        <v>537</v>
      </c>
      <c r="W467">
        <v>2</v>
      </c>
      <c r="X467">
        <v>2017</v>
      </c>
      <c r="Y467">
        <v>2018</v>
      </c>
      <c r="Z467">
        <v>41.44</v>
      </c>
      <c r="AB467" t="s">
        <v>181</v>
      </c>
      <c r="AC467" t="s">
        <v>182</v>
      </c>
      <c r="AD467" t="s">
        <v>1037</v>
      </c>
      <c r="AE467">
        <v>7</v>
      </c>
      <c r="AF467">
        <v>0</v>
      </c>
      <c r="AG467" t="s">
        <v>1038</v>
      </c>
      <c r="AH467">
        <v>0</v>
      </c>
      <c r="AI467">
        <v>285.83999999999997</v>
      </c>
      <c r="AJ467">
        <v>219.37</v>
      </c>
      <c r="AK467">
        <v>505.21</v>
      </c>
      <c r="AL467">
        <v>625</v>
      </c>
      <c r="AM467">
        <v>625</v>
      </c>
      <c r="AN467">
        <v>0</v>
      </c>
      <c r="AO467">
        <v>9</v>
      </c>
      <c r="AP467">
        <v>2016</v>
      </c>
      <c r="AQ467">
        <v>6.63</v>
      </c>
      <c r="AR467">
        <v>80.83</v>
      </c>
      <c r="AS467" t="s">
        <v>6784</v>
      </c>
      <c r="AT467" t="s">
        <v>186</v>
      </c>
      <c r="AU467" t="s">
        <v>177</v>
      </c>
      <c r="AV467" t="s">
        <v>187</v>
      </c>
      <c r="AW467" t="s">
        <v>182</v>
      </c>
      <c r="AX467">
        <v>0</v>
      </c>
      <c r="AY467" t="s">
        <v>312</v>
      </c>
      <c r="AZ467" t="s">
        <v>199</v>
      </c>
      <c r="BA467" t="s">
        <v>313</v>
      </c>
      <c r="BB467" t="s">
        <v>191</v>
      </c>
      <c r="BC467" t="s">
        <v>182</v>
      </c>
      <c r="BD467" t="s">
        <v>182</v>
      </c>
      <c r="BE467" t="s">
        <v>3918</v>
      </c>
      <c r="BF467">
        <v>0</v>
      </c>
      <c r="BG467">
        <v>0</v>
      </c>
      <c r="BH467">
        <v>0</v>
      </c>
      <c r="BI467" t="s">
        <v>199</v>
      </c>
      <c r="BJ467" t="s">
        <v>315</v>
      </c>
      <c r="BL467" t="s">
        <v>199</v>
      </c>
      <c r="BM467" t="s">
        <v>358</v>
      </c>
      <c r="BN467" t="s">
        <v>182</v>
      </c>
      <c r="BO467" t="s">
        <v>198</v>
      </c>
      <c r="BP467" t="s">
        <v>198</v>
      </c>
      <c r="BQ467" t="s">
        <v>198</v>
      </c>
      <c r="BR467" t="s">
        <v>198</v>
      </c>
      <c r="BS467" t="s">
        <v>198</v>
      </c>
      <c r="BT467" t="s">
        <v>198</v>
      </c>
      <c r="BU467" t="s">
        <v>182</v>
      </c>
      <c r="BV467" t="s">
        <v>198</v>
      </c>
      <c r="BW467" t="s">
        <v>198</v>
      </c>
      <c r="BX467" t="s">
        <v>199</v>
      </c>
      <c r="BY467" t="s">
        <v>198</v>
      </c>
      <c r="BZ467" t="s">
        <v>199</v>
      </c>
      <c r="CA467" t="s">
        <v>199</v>
      </c>
      <c r="CB467" t="s">
        <v>6785</v>
      </c>
      <c r="CC467" t="s">
        <v>201</v>
      </c>
      <c r="CD467" t="s">
        <v>182</v>
      </c>
      <c r="CE467" t="s">
        <v>6786</v>
      </c>
      <c r="CF467" t="s">
        <v>6787</v>
      </c>
      <c r="CG467" t="s">
        <v>6326</v>
      </c>
      <c r="CH467" t="s">
        <v>6788</v>
      </c>
      <c r="CI467" t="s">
        <v>6789</v>
      </c>
      <c r="CJ467" t="s">
        <v>6790</v>
      </c>
      <c r="CK467" t="s">
        <v>232</v>
      </c>
      <c r="CL467" t="s">
        <v>233</v>
      </c>
      <c r="CM467" t="s">
        <v>6330</v>
      </c>
      <c r="CN467" t="s">
        <v>482</v>
      </c>
      <c r="CO467" t="s">
        <v>5</v>
      </c>
      <c r="CP467" t="s">
        <v>266</v>
      </c>
      <c r="CS467" t="s">
        <v>198</v>
      </c>
      <c r="CT467" t="s">
        <v>4879</v>
      </c>
      <c r="CU467" t="s">
        <v>292</v>
      </c>
      <c r="CV467" t="s">
        <v>293</v>
      </c>
      <c r="CW467" t="s">
        <v>6331</v>
      </c>
      <c r="CX467" t="s">
        <v>482</v>
      </c>
      <c r="CY467" t="s">
        <v>5</v>
      </c>
      <c r="CZ467" t="s">
        <v>266</v>
      </c>
      <c r="DC467" t="s">
        <v>198</v>
      </c>
      <c r="DD467" t="s">
        <v>6791</v>
      </c>
      <c r="DE467" t="s">
        <v>267</v>
      </c>
      <c r="DF467" t="s">
        <v>268</v>
      </c>
      <c r="DG467" t="s">
        <v>6332</v>
      </c>
      <c r="DH467" t="s">
        <v>482</v>
      </c>
      <c r="DI467" t="s">
        <v>5</v>
      </c>
      <c r="DJ467" t="s">
        <v>266</v>
      </c>
      <c r="DM467" t="s">
        <v>198</v>
      </c>
      <c r="DN467" t="s">
        <v>6347</v>
      </c>
      <c r="DO467" t="s">
        <v>273</v>
      </c>
      <c r="DP467" t="s">
        <v>274</v>
      </c>
      <c r="DQ467" t="s">
        <v>6333</v>
      </c>
      <c r="DR467" t="s">
        <v>482</v>
      </c>
      <c r="DS467" t="s">
        <v>5</v>
      </c>
      <c r="DT467" t="s">
        <v>266</v>
      </c>
      <c r="DW467" t="s">
        <v>198</v>
      </c>
      <c r="DX467" t="s">
        <v>6792</v>
      </c>
      <c r="DY467" t="s">
        <v>302</v>
      </c>
      <c r="DZ467" t="s">
        <v>303</v>
      </c>
      <c r="EA467" t="s">
        <v>6335</v>
      </c>
      <c r="EB467" t="s">
        <v>1615</v>
      </c>
      <c r="EC467" t="s">
        <v>183</v>
      </c>
      <c r="ED467" t="s">
        <v>266</v>
      </c>
      <c r="EG467" t="s">
        <v>198</v>
      </c>
      <c r="EH467" t="s">
        <v>6793</v>
      </c>
      <c r="EI467" t="s">
        <v>238</v>
      </c>
      <c r="EJ467" t="s">
        <v>239</v>
      </c>
      <c r="EK467" t="s">
        <v>6350</v>
      </c>
      <c r="EL467" t="s">
        <v>482</v>
      </c>
      <c r="EM467" t="s">
        <v>183</v>
      </c>
      <c r="EN467" t="s">
        <v>266</v>
      </c>
      <c r="EQ467" t="s">
        <v>198</v>
      </c>
      <c r="ER467" t="s">
        <v>6794</v>
      </c>
      <c r="ES467" t="s">
        <v>346</v>
      </c>
      <c r="ET467" t="s">
        <v>347</v>
      </c>
      <c r="EU467" t="s">
        <v>6391</v>
      </c>
      <c r="EV467" t="s">
        <v>482</v>
      </c>
      <c r="EW467" t="s">
        <v>183</v>
      </c>
      <c r="EX467" t="s">
        <v>266</v>
      </c>
      <c r="FA467" t="s">
        <v>198</v>
      </c>
      <c r="FK467" t="s">
        <v>198</v>
      </c>
      <c r="FU467" t="s">
        <v>198</v>
      </c>
    </row>
    <row r="468" spans="1:177">
      <c r="A468" s="1" t="str">
        <f>HYPERLINK("http://digipan.lumentumllc.com/apps/getLink/index.php?t=PropLink&amp;p=6128924","PL")</f>
        <v>PL</v>
      </c>
      <c r="B468" s="1" t="str">
        <f>HYPERLINK("http://digipan.lumentumllc.com/apps/getLink/index.php?t=TaxLink&amp;p=6128924","TL")</f>
        <v>TL</v>
      </c>
      <c r="C468" s="1" t="str">
        <f>HYPERLINK("http://digipan.lumentumllc.com/apps/getMap/index.php?p=6128924","Map")</f>
        <v>Map</v>
      </c>
      <c r="E468" t="s">
        <v>177</v>
      </c>
      <c r="F468" t="s">
        <v>178</v>
      </c>
      <c r="L468" t="s">
        <v>6795</v>
      </c>
      <c r="N468" t="s">
        <v>6795</v>
      </c>
      <c r="O468" t="s">
        <v>6795</v>
      </c>
      <c r="P468" t="s">
        <v>6796</v>
      </c>
      <c r="Q468" t="s">
        <v>6795</v>
      </c>
      <c r="V468">
        <v>538</v>
      </c>
      <c r="W468">
        <v>2</v>
      </c>
      <c r="X468">
        <v>2017</v>
      </c>
      <c r="Y468">
        <v>2018</v>
      </c>
      <c r="Z468">
        <v>41.44</v>
      </c>
      <c r="AB468" t="s">
        <v>181</v>
      </c>
      <c r="AC468" t="s">
        <v>182</v>
      </c>
      <c r="AD468" t="s">
        <v>1037</v>
      </c>
      <c r="AE468">
        <v>3</v>
      </c>
      <c r="AF468">
        <v>1</v>
      </c>
      <c r="AG468" t="s">
        <v>6797</v>
      </c>
      <c r="AH468">
        <v>25</v>
      </c>
      <c r="AI468">
        <v>122.07</v>
      </c>
      <c r="AJ468">
        <v>44.56</v>
      </c>
      <c r="AK468">
        <v>166.63</v>
      </c>
      <c r="AL468">
        <v>625</v>
      </c>
      <c r="AM468">
        <v>625</v>
      </c>
      <c r="AN468">
        <v>0</v>
      </c>
      <c r="AO468">
        <v>9</v>
      </c>
      <c r="AP468">
        <v>2016</v>
      </c>
      <c r="AQ468">
        <v>6.63</v>
      </c>
      <c r="AR468">
        <v>26.66</v>
      </c>
      <c r="AS468" t="s">
        <v>6784</v>
      </c>
      <c r="AT468" t="s">
        <v>186</v>
      </c>
      <c r="AU468" t="s">
        <v>177</v>
      </c>
      <c r="AV468" t="s">
        <v>187</v>
      </c>
      <c r="AW468" t="s">
        <v>182</v>
      </c>
      <c r="AX468">
        <v>0</v>
      </c>
      <c r="AY468" t="s">
        <v>312</v>
      </c>
      <c r="AZ468" t="s">
        <v>199</v>
      </c>
      <c r="BA468" t="s">
        <v>313</v>
      </c>
      <c r="BB468" t="s">
        <v>191</v>
      </c>
      <c r="BC468" t="s">
        <v>182</v>
      </c>
      <c r="BD468" t="s">
        <v>182</v>
      </c>
      <c r="BE468" t="s">
        <v>3918</v>
      </c>
      <c r="BF468">
        <v>0</v>
      </c>
      <c r="BG468">
        <v>0</v>
      </c>
      <c r="BH468">
        <v>0</v>
      </c>
      <c r="BI468" t="s">
        <v>199</v>
      </c>
      <c r="BJ468" t="s">
        <v>315</v>
      </c>
      <c r="BL468" t="s">
        <v>199</v>
      </c>
      <c r="BM468" t="s">
        <v>358</v>
      </c>
      <c r="BN468" t="s">
        <v>182</v>
      </c>
      <c r="BO468" t="s">
        <v>198</v>
      </c>
      <c r="BP468" t="s">
        <v>198</v>
      </c>
      <c r="BQ468" t="s">
        <v>198</v>
      </c>
      <c r="BR468" t="s">
        <v>198</v>
      </c>
      <c r="BS468" t="s">
        <v>198</v>
      </c>
      <c r="BT468" t="s">
        <v>198</v>
      </c>
      <c r="BU468" t="s">
        <v>182</v>
      </c>
      <c r="BV468" t="s">
        <v>198</v>
      </c>
      <c r="BW468" t="s">
        <v>198</v>
      </c>
      <c r="BX468" t="s">
        <v>199</v>
      </c>
      <c r="BY468" t="s">
        <v>198</v>
      </c>
      <c r="BZ468" t="s">
        <v>199</v>
      </c>
      <c r="CA468" t="s">
        <v>199</v>
      </c>
      <c r="CB468" t="s">
        <v>6798</v>
      </c>
      <c r="CC468" t="s">
        <v>1407</v>
      </c>
      <c r="CD468" t="s">
        <v>202</v>
      </c>
      <c r="CE468" t="s">
        <v>6799</v>
      </c>
      <c r="CF468" t="s">
        <v>536</v>
      </c>
      <c r="CG468" t="s">
        <v>177</v>
      </c>
      <c r="CH468" t="s">
        <v>537</v>
      </c>
      <c r="CI468" t="s">
        <v>6800</v>
      </c>
      <c r="CJ468" t="s">
        <v>4989</v>
      </c>
      <c r="CK468" t="s">
        <v>232</v>
      </c>
      <c r="CL468" t="s">
        <v>233</v>
      </c>
      <c r="CM468" t="s">
        <v>6801</v>
      </c>
      <c r="CN468" t="s">
        <v>482</v>
      </c>
      <c r="CO468" t="s">
        <v>183</v>
      </c>
      <c r="CP468" t="s">
        <v>266</v>
      </c>
      <c r="CS468" t="s">
        <v>198</v>
      </c>
      <c r="CT468" t="s">
        <v>6724</v>
      </c>
      <c r="CU468" t="s">
        <v>292</v>
      </c>
      <c r="CV468" t="s">
        <v>293</v>
      </c>
      <c r="CW468" t="s">
        <v>6331</v>
      </c>
      <c r="CX468" t="s">
        <v>482</v>
      </c>
      <c r="CY468" t="s">
        <v>5</v>
      </c>
      <c r="CZ468" t="s">
        <v>266</v>
      </c>
      <c r="DC468" t="s">
        <v>198</v>
      </c>
      <c r="DD468" t="s">
        <v>6347</v>
      </c>
      <c r="DE468" t="s">
        <v>267</v>
      </c>
      <c r="DF468" t="s">
        <v>268</v>
      </c>
      <c r="DG468" t="s">
        <v>6802</v>
      </c>
      <c r="DH468" t="s">
        <v>482</v>
      </c>
      <c r="DI468" t="s">
        <v>183</v>
      </c>
      <c r="DJ468" t="s">
        <v>266</v>
      </c>
      <c r="DM468" t="s">
        <v>198</v>
      </c>
      <c r="DN468" t="s">
        <v>6360</v>
      </c>
      <c r="DO468" t="s">
        <v>273</v>
      </c>
      <c r="DP468" t="s">
        <v>274</v>
      </c>
      <c r="DQ468" t="s">
        <v>6333</v>
      </c>
      <c r="DR468" t="s">
        <v>482</v>
      </c>
      <c r="DS468" t="s">
        <v>5</v>
      </c>
      <c r="DT468" t="s">
        <v>211</v>
      </c>
      <c r="DU468" t="s">
        <v>206</v>
      </c>
      <c r="DW468" t="s">
        <v>6803</v>
      </c>
      <c r="EG468" t="s">
        <v>198</v>
      </c>
      <c r="EQ468" t="s">
        <v>198</v>
      </c>
      <c r="FA468" t="s">
        <v>198</v>
      </c>
      <c r="FK468" t="s">
        <v>198</v>
      </c>
      <c r="FU468" t="s">
        <v>198</v>
      </c>
    </row>
    <row r="469" spans="1:177">
      <c r="A469" s="1" t="str">
        <f>HYPERLINK("http://digipan.lumentumllc.com/apps/getLink/index.php?t=PropLink&amp;p=5245299","PL")</f>
        <v>PL</v>
      </c>
      <c r="B469" s="1" t="str">
        <f>HYPERLINK("http://digipan.lumentumllc.com/apps/getLink/index.php?t=TaxLink&amp;p=5245299","TL")</f>
        <v>TL</v>
      </c>
      <c r="C469" s="1" t="str">
        <f>HYPERLINK("http://digipan.lumentumllc.com/apps/getMap/index.php?p=5245299","Map")</f>
        <v>Map</v>
      </c>
      <c r="E469" t="s">
        <v>177</v>
      </c>
      <c r="F469" t="s">
        <v>178</v>
      </c>
      <c r="L469" t="s">
        <v>6804</v>
      </c>
      <c r="N469" t="s">
        <v>6804</v>
      </c>
      <c r="O469" t="s">
        <v>6804</v>
      </c>
      <c r="P469" t="s">
        <v>6805</v>
      </c>
      <c r="Q469" t="s">
        <v>6804</v>
      </c>
      <c r="V469">
        <v>539</v>
      </c>
      <c r="W469">
        <v>2</v>
      </c>
      <c r="X469">
        <v>2017</v>
      </c>
      <c r="Y469">
        <v>2018</v>
      </c>
      <c r="Z469">
        <v>41.44</v>
      </c>
      <c r="AB469" t="s">
        <v>181</v>
      </c>
      <c r="AC469" t="s">
        <v>182</v>
      </c>
      <c r="AD469" t="s">
        <v>1037</v>
      </c>
      <c r="AE469">
        <v>7</v>
      </c>
      <c r="AF469">
        <v>0</v>
      </c>
      <c r="AG469" t="s">
        <v>1038</v>
      </c>
      <c r="AH469">
        <v>0</v>
      </c>
      <c r="AI469">
        <v>256.3</v>
      </c>
      <c r="AJ469">
        <v>189.56</v>
      </c>
      <c r="AK469">
        <v>445.86</v>
      </c>
      <c r="AL469">
        <v>625</v>
      </c>
      <c r="AM469">
        <v>625</v>
      </c>
      <c r="AN469">
        <v>0</v>
      </c>
      <c r="AO469">
        <v>9</v>
      </c>
      <c r="AP469">
        <v>2016</v>
      </c>
      <c r="AQ469">
        <v>6.63</v>
      </c>
      <c r="AR469">
        <v>71.34</v>
      </c>
      <c r="AS469" t="s">
        <v>6806</v>
      </c>
      <c r="AT469" t="s">
        <v>186</v>
      </c>
      <c r="AU469" t="s">
        <v>177</v>
      </c>
      <c r="AV469" t="s">
        <v>187</v>
      </c>
      <c r="AW469" t="s">
        <v>182</v>
      </c>
      <c r="AX469">
        <v>0</v>
      </c>
      <c r="AY469" t="s">
        <v>312</v>
      </c>
      <c r="AZ469" t="s">
        <v>199</v>
      </c>
      <c r="BA469" t="s">
        <v>313</v>
      </c>
      <c r="BB469" t="s">
        <v>191</v>
      </c>
      <c r="BC469" t="s">
        <v>182</v>
      </c>
      <c r="BD469" t="s">
        <v>182</v>
      </c>
      <c r="BE469" t="s">
        <v>3918</v>
      </c>
      <c r="BF469">
        <v>0</v>
      </c>
      <c r="BG469">
        <v>0</v>
      </c>
      <c r="BH469">
        <v>0</v>
      </c>
      <c r="BI469" t="s">
        <v>199</v>
      </c>
      <c r="BJ469" t="s">
        <v>194</v>
      </c>
      <c r="BL469" t="s">
        <v>199</v>
      </c>
      <c r="BM469" t="s">
        <v>358</v>
      </c>
      <c r="BN469" t="s">
        <v>182</v>
      </c>
      <c r="BO469" t="s">
        <v>198</v>
      </c>
      <c r="BP469" t="s">
        <v>198</v>
      </c>
      <c r="BQ469" t="s">
        <v>198</v>
      </c>
      <c r="BR469" t="s">
        <v>198</v>
      </c>
      <c r="BS469" t="s">
        <v>198</v>
      </c>
      <c r="BT469" t="s">
        <v>198</v>
      </c>
      <c r="BU469" t="s">
        <v>182</v>
      </c>
      <c r="BV469" t="s">
        <v>198</v>
      </c>
      <c r="BW469" t="s">
        <v>198</v>
      </c>
      <c r="BX469" t="s">
        <v>199</v>
      </c>
      <c r="BY469" t="s">
        <v>198</v>
      </c>
      <c r="BZ469" t="s">
        <v>199</v>
      </c>
      <c r="CA469" t="s">
        <v>199</v>
      </c>
      <c r="CB469" t="s">
        <v>6807</v>
      </c>
      <c r="CC469" t="s">
        <v>201</v>
      </c>
      <c r="CD469" t="s">
        <v>182</v>
      </c>
      <c r="CE469" t="s">
        <v>6808</v>
      </c>
      <c r="CF469" t="s">
        <v>6809</v>
      </c>
      <c r="CG469" t="s">
        <v>3911</v>
      </c>
      <c r="CH469" t="s">
        <v>6810</v>
      </c>
      <c r="CI469" t="s">
        <v>6811</v>
      </c>
      <c r="CJ469" t="s">
        <v>6435</v>
      </c>
      <c r="CK469" t="s">
        <v>232</v>
      </c>
      <c r="CL469" t="s">
        <v>233</v>
      </c>
      <c r="CM469" t="s">
        <v>6330</v>
      </c>
      <c r="CN469" t="s">
        <v>482</v>
      </c>
      <c r="CO469" t="s">
        <v>5</v>
      </c>
      <c r="CP469" t="s">
        <v>266</v>
      </c>
      <c r="CS469" t="s">
        <v>198</v>
      </c>
      <c r="CT469" t="s">
        <v>6622</v>
      </c>
      <c r="CU469" t="s">
        <v>292</v>
      </c>
      <c r="CV469" t="s">
        <v>293</v>
      </c>
      <c r="CW469" t="s">
        <v>6331</v>
      </c>
      <c r="CX469" t="s">
        <v>482</v>
      </c>
      <c r="CY469" t="s">
        <v>5</v>
      </c>
      <c r="CZ469" t="s">
        <v>266</v>
      </c>
      <c r="DC469" t="s">
        <v>198</v>
      </c>
      <c r="DD469" t="s">
        <v>6360</v>
      </c>
      <c r="DE469" t="s">
        <v>267</v>
      </c>
      <c r="DF469" t="s">
        <v>268</v>
      </c>
      <c r="DG469" t="s">
        <v>6812</v>
      </c>
      <c r="DH469" t="s">
        <v>482</v>
      </c>
      <c r="DI469" t="s">
        <v>5</v>
      </c>
      <c r="DJ469" t="s">
        <v>266</v>
      </c>
      <c r="DM469" t="s">
        <v>198</v>
      </c>
      <c r="DN469" t="s">
        <v>6388</v>
      </c>
      <c r="DO469" t="s">
        <v>273</v>
      </c>
      <c r="DP469" t="s">
        <v>274</v>
      </c>
      <c r="DQ469" t="s">
        <v>6813</v>
      </c>
      <c r="DR469" t="s">
        <v>482</v>
      </c>
      <c r="DS469" t="s">
        <v>183</v>
      </c>
      <c r="DT469" t="s">
        <v>266</v>
      </c>
      <c r="DW469" t="s">
        <v>198</v>
      </c>
      <c r="DX469" t="s">
        <v>6814</v>
      </c>
      <c r="DY469" t="s">
        <v>302</v>
      </c>
      <c r="DZ469" t="s">
        <v>303</v>
      </c>
      <c r="EA469" t="s">
        <v>6815</v>
      </c>
      <c r="EB469" t="s">
        <v>1615</v>
      </c>
      <c r="EC469" t="s">
        <v>183</v>
      </c>
      <c r="ED469" t="s">
        <v>266</v>
      </c>
      <c r="EG469" t="s">
        <v>198</v>
      </c>
      <c r="EH469" t="s">
        <v>6816</v>
      </c>
      <c r="EI469" t="s">
        <v>238</v>
      </c>
      <c r="EJ469" t="s">
        <v>239</v>
      </c>
      <c r="EK469" t="s">
        <v>6817</v>
      </c>
      <c r="EL469" t="s">
        <v>482</v>
      </c>
      <c r="EM469" t="s">
        <v>183</v>
      </c>
      <c r="EN469" t="s">
        <v>266</v>
      </c>
      <c r="EQ469" t="s">
        <v>198</v>
      </c>
      <c r="ER469" t="s">
        <v>6818</v>
      </c>
      <c r="ES469" t="s">
        <v>346</v>
      </c>
      <c r="ET469" t="s">
        <v>347</v>
      </c>
      <c r="EU469" t="s">
        <v>6819</v>
      </c>
      <c r="EV469" t="s">
        <v>482</v>
      </c>
      <c r="EW469" t="s">
        <v>183</v>
      </c>
      <c r="EX469" t="s">
        <v>266</v>
      </c>
      <c r="FA469" t="s">
        <v>198</v>
      </c>
      <c r="FK469" t="s">
        <v>198</v>
      </c>
      <c r="FU469" t="s">
        <v>198</v>
      </c>
    </row>
    <row r="470" spans="1:177">
      <c r="A470" s="1" t="str">
        <f>HYPERLINK("http://digipan.lumentumllc.com/apps/getLink/index.php?t=PropLink&amp;p=5245300","PL")</f>
        <v>PL</v>
      </c>
      <c r="B470" s="1" t="str">
        <f>HYPERLINK("http://digipan.lumentumllc.com/apps/getLink/index.php?t=TaxLink&amp;p=5245300","TL")</f>
        <v>TL</v>
      </c>
      <c r="C470" s="1" t="str">
        <f>HYPERLINK("http://digipan.lumentumllc.com/apps/getMap/index.php?p=5245300","Map")</f>
        <v>Map</v>
      </c>
      <c r="E470" t="s">
        <v>177</v>
      </c>
      <c r="F470" t="s">
        <v>178</v>
      </c>
      <c r="L470" t="s">
        <v>6820</v>
      </c>
      <c r="N470" t="s">
        <v>6820</v>
      </c>
      <c r="O470" t="s">
        <v>6820</v>
      </c>
      <c r="P470" t="s">
        <v>6821</v>
      </c>
      <c r="Q470" t="s">
        <v>6820</v>
      </c>
      <c r="V470">
        <v>540</v>
      </c>
      <c r="W470">
        <v>2</v>
      </c>
      <c r="X470">
        <v>2017</v>
      </c>
      <c r="Y470">
        <v>2018</v>
      </c>
      <c r="Z470">
        <v>50.88</v>
      </c>
      <c r="AB470" t="s">
        <v>181</v>
      </c>
      <c r="AC470" t="s">
        <v>182</v>
      </c>
      <c r="AD470" t="s">
        <v>1037</v>
      </c>
      <c r="AE470">
        <v>7</v>
      </c>
      <c r="AF470">
        <v>0</v>
      </c>
      <c r="AG470" t="s">
        <v>1038</v>
      </c>
      <c r="AH470">
        <v>0</v>
      </c>
      <c r="AI470">
        <v>400.94</v>
      </c>
      <c r="AJ470">
        <v>319.36</v>
      </c>
      <c r="AK470">
        <v>720.3</v>
      </c>
      <c r="AL470">
        <v>1250</v>
      </c>
      <c r="AM470">
        <v>1250</v>
      </c>
      <c r="AN470">
        <v>0</v>
      </c>
      <c r="AO470">
        <v>18</v>
      </c>
      <c r="AP470">
        <v>2016</v>
      </c>
      <c r="AQ470">
        <v>4.07</v>
      </c>
      <c r="AR470">
        <v>57.62</v>
      </c>
      <c r="AS470" t="s">
        <v>6822</v>
      </c>
      <c r="AT470" t="s">
        <v>186</v>
      </c>
      <c r="AU470" t="s">
        <v>177</v>
      </c>
      <c r="AV470" t="s">
        <v>187</v>
      </c>
      <c r="AW470" t="s">
        <v>182</v>
      </c>
      <c r="AX470">
        <v>0</v>
      </c>
      <c r="AY470" t="s">
        <v>312</v>
      </c>
      <c r="AZ470" t="s">
        <v>199</v>
      </c>
      <c r="BA470" t="s">
        <v>313</v>
      </c>
      <c r="BB470" t="s">
        <v>191</v>
      </c>
      <c r="BC470" t="s">
        <v>182</v>
      </c>
      <c r="BD470" t="s">
        <v>182</v>
      </c>
      <c r="BE470" t="s">
        <v>5975</v>
      </c>
      <c r="BF470">
        <v>0</v>
      </c>
      <c r="BG470">
        <v>0</v>
      </c>
      <c r="BH470">
        <v>0</v>
      </c>
      <c r="BI470" t="s">
        <v>199</v>
      </c>
      <c r="BJ470" t="s">
        <v>315</v>
      </c>
      <c r="BL470" t="s">
        <v>199</v>
      </c>
      <c r="BM470" t="s">
        <v>358</v>
      </c>
      <c r="BN470" t="s">
        <v>182</v>
      </c>
      <c r="BO470" t="s">
        <v>198</v>
      </c>
      <c r="BP470" t="s">
        <v>198</v>
      </c>
      <c r="BQ470" t="s">
        <v>198</v>
      </c>
      <c r="BR470" t="s">
        <v>198</v>
      </c>
      <c r="BS470" t="s">
        <v>198</v>
      </c>
      <c r="BT470" t="s">
        <v>198</v>
      </c>
      <c r="BU470" t="s">
        <v>182</v>
      </c>
      <c r="BV470" t="s">
        <v>198</v>
      </c>
      <c r="BW470" t="s">
        <v>198</v>
      </c>
      <c r="BX470" t="s">
        <v>199</v>
      </c>
      <c r="BY470" t="s">
        <v>198</v>
      </c>
      <c r="BZ470" t="s">
        <v>199</v>
      </c>
      <c r="CA470" t="s">
        <v>199</v>
      </c>
      <c r="CB470" t="s">
        <v>6823</v>
      </c>
      <c r="CC470" t="s">
        <v>1407</v>
      </c>
      <c r="CD470" t="s">
        <v>202</v>
      </c>
      <c r="CE470" t="s">
        <v>6824</v>
      </c>
      <c r="CF470" t="s">
        <v>6825</v>
      </c>
      <c r="CG470" t="s">
        <v>6826</v>
      </c>
      <c r="CH470" t="s">
        <v>6827</v>
      </c>
      <c r="CI470" t="s">
        <v>6828</v>
      </c>
      <c r="CJ470" t="s">
        <v>6489</v>
      </c>
      <c r="CK470" t="s">
        <v>232</v>
      </c>
      <c r="CL470" t="s">
        <v>233</v>
      </c>
      <c r="CM470" t="s">
        <v>5868</v>
      </c>
      <c r="CN470" t="s">
        <v>482</v>
      </c>
      <c r="CO470" t="s">
        <v>5</v>
      </c>
      <c r="CP470" t="s">
        <v>266</v>
      </c>
      <c r="CS470" t="s">
        <v>198</v>
      </c>
      <c r="CT470" t="s">
        <v>6636</v>
      </c>
      <c r="CU470" t="s">
        <v>292</v>
      </c>
      <c r="CV470" t="s">
        <v>293</v>
      </c>
      <c r="CW470" t="s">
        <v>5869</v>
      </c>
      <c r="CX470" t="s">
        <v>482</v>
      </c>
      <c r="CY470" t="s">
        <v>5</v>
      </c>
      <c r="CZ470" t="s">
        <v>266</v>
      </c>
      <c r="DC470" t="s">
        <v>198</v>
      </c>
      <c r="DD470" t="s">
        <v>6756</v>
      </c>
      <c r="DE470" t="s">
        <v>267</v>
      </c>
      <c r="DF470" t="s">
        <v>268</v>
      </c>
      <c r="DG470" t="s">
        <v>6829</v>
      </c>
      <c r="DH470" t="s">
        <v>482</v>
      </c>
      <c r="DI470" t="s">
        <v>5</v>
      </c>
      <c r="DJ470" t="s">
        <v>266</v>
      </c>
      <c r="DM470" t="s">
        <v>198</v>
      </c>
      <c r="DN470" t="s">
        <v>6790</v>
      </c>
      <c r="DO470" t="s">
        <v>273</v>
      </c>
      <c r="DP470" t="s">
        <v>274</v>
      </c>
      <c r="DQ470" t="s">
        <v>6830</v>
      </c>
      <c r="DR470" t="s">
        <v>482</v>
      </c>
      <c r="DS470" t="s">
        <v>5</v>
      </c>
      <c r="DT470" t="s">
        <v>266</v>
      </c>
      <c r="DW470" t="s">
        <v>198</v>
      </c>
      <c r="DX470" t="s">
        <v>6831</v>
      </c>
      <c r="DY470" t="s">
        <v>302</v>
      </c>
      <c r="DZ470" t="s">
        <v>303</v>
      </c>
      <c r="EA470" t="s">
        <v>6832</v>
      </c>
      <c r="EB470" t="s">
        <v>1615</v>
      </c>
      <c r="EC470" t="s">
        <v>183</v>
      </c>
      <c r="ED470" t="s">
        <v>266</v>
      </c>
      <c r="EG470" t="s">
        <v>198</v>
      </c>
      <c r="EH470" t="s">
        <v>6833</v>
      </c>
      <c r="EI470" t="s">
        <v>238</v>
      </c>
      <c r="EJ470" t="s">
        <v>239</v>
      </c>
      <c r="EK470" t="s">
        <v>6337</v>
      </c>
      <c r="EL470" t="s">
        <v>482</v>
      </c>
      <c r="EM470" t="s">
        <v>183</v>
      </c>
      <c r="EN470" t="s">
        <v>266</v>
      </c>
      <c r="EQ470" t="s">
        <v>198</v>
      </c>
      <c r="ER470" t="s">
        <v>6834</v>
      </c>
      <c r="ES470" t="s">
        <v>346</v>
      </c>
      <c r="ET470" t="s">
        <v>347</v>
      </c>
      <c r="EU470" t="s">
        <v>6603</v>
      </c>
      <c r="EV470" t="s">
        <v>482</v>
      </c>
      <c r="EW470" t="s">
        <v>183</v>
      </c>
      <c r="EX470" t="s">
        <v>266</v>
      </c>
      <c r="FA470" t="s">
        <v>198</v>
      </c>
      <c r="FK470" t="s">
        <v>198</v>
      </c>
      <c r="FU470" t="s">
        <v>198</v>
      </c>
    </row>
    <row r="471" spans="1:177">
      <c r="A471" s="1" t="str">
        <f>HYPERLINK("http://digipan.lumentumllc.com/apps/getLink/index.php?t=PropLink&amp;p=6461793","PL")</f>
        <v>PL</v>
      </c>
      <c r="B471" s="1" t="str">
        <f>HYPERLINK("http://digipan.lumentumllc.com/apps/getLink/index.php?t=TaxLink&amp;p=6461793","TL")</f>
        <v>TL</v>
      </c>
      <c r="C471" s="1" t="str">
        <f>HYPERLINK("http://digipan.lumentumllc.com/apps/getMap/index.php?p=6461793","Map")</f>
        <v>Map</v>
      </c>
      <c r="E471" t="s">
        <v>177</v>
      </c>
      <c r="F471" t="s">
        <v>178</v>
      </c>
      <c r="L471" t="s">
        <v>6835</v>
      </c>
      <c r="N471" t="s">
        <v>6835</v>
      </c>
      <c r="O471" t="s">
        <v>6835</v>
      </c>
      <c r="P471" t="s">
        <v>6836</v>
      </c>
      <c r="Q471" t="s">
        <v>6835</v>
      </c>
      <c r="V471">
        <v>541</v>
      </c>
      <c r="W471">
        <v>2</v>
      </c>
      <c r="X471">
        <v>2017</v>
      </c>
      <c r="Y471">
        <v>2018</v>
      </c>
      <c r="Z471">
        <v>50.88</v>
      </c>
      <c r="AB471" t="s">
        <v>181</v>
      </c>
      <c r="AC471" t="s">
        <v>182</v>
      </c>
      <c r="AD471" t="s">
        <v>183</v>
      </c>
      <c r="AE471">
        <v>0</v>
      </c>
      <c r="AF471">
        <v>2</v>
      </c>
      <c r="AG471" t="s">
        <v>216</v>
      </c>
      <c r="AH471">
        <v>100</v>
      </c>
      <c r="AK471">
        <v>0</v>
      </c>
      <c r="AL471">
        <v>1250</v>
      </c>
      <c r="AM471">
        <v>1250</v>
      </c>
      <c r="AN471">
        <v>0</v>
      </c>
      <c r="AO471">
        <v>18</v>
      </c>
      <c r="AP471">
        <v>2016</v>
      </c>
      <c r="AQ471">
        <v>4.07</v>
      </c>
      <c r="AS471" t="s">
        <v>6822</v>
      </c>
      <c r="AT471" t="s">
        <v>186</v>
      </c>
      <c r="AU471" t="s">
        <v>177</v>
      </c>
      <c r="AV471" t="s">
        <v>187</v>
      </c>
      <c r="AW471" t="s">
        <v>182</v>
      </c>
      <c r="AX471">
        <v>0</v>
      </c>
      <c r="AY471" t="s">
        <v>312</v>
      </c>
      <c r="AZ471" t="s">
        <v>199</v>
      </c>
      <c r="BA471" t="s">
        <v>313</v>
      </c>
      <c r="BB471" t="s">
        <v>191</v>
      </c>
      <c r="BC471" t="s">
        <v>182</v>
      </c>
      <c r="BD471" t="s">
        <v>182</v>
      </c>
      <c r="BE471" t="s">
        <v>5975</v>
      </c>
      <c r="BF471">
        <v>0</v>
      </c>
      <c r="BG471">
        <v>0</v>
      </c>
      <c r="BH471">
        <v>0</v>
      </c>
      <c r="BI471" t="s">
        <v>199</v>
      </c>
      <c r="BJ471" t="s">
        <v>315</v>
      </c>
      <c r="BL471" t="s">
        <v>199</v>
      </c>
      <c r="BM471" t="s">
        <v>1041</v>
      </c>
      <c r="BN471" t="s">
        <v>182</v>
      </c>
      <c r="BO471" t="s">
        <v>198</v>
      </c>
      <c r="BP471" t="s">
        <v>198</v>
      </c>
      <c r="BQ471" t="s">
        <v>198</v>
      </c>
      <c r="BR471" t="s">
        <v>198</v>
      </c>
      <c r="BS471" t="s">
        <v>198</v>
      </c>
      <c r="BT471" t="s">
        <v>198</v>
      </c>
      <c r="BU471" t="s">
        <v>182</v>
      </c>
      <c r="BV471" t="s">
        <v>198</v>
      </c>
      <c r="BW471" t="s">
        <v>198</v>
      </c>
      <c r="BX471" t="s">
        <v>199</v>
      </c>
      <c r="BY471" t="s">
        <v>198</v>
      </c>
      <c r="BZ471" t="s">
        <v>199</v>
      </c>
      <c r="CA471" t="s">
        <v>199</v>
      </c>
      <c r="CB471" t="s">
        <v>6837</v>
      </c>
      <c r="CC471" t="s">
        <v>201</v>
      </c>
      <c r="CD471" t="s">
        <v>202</v>
      </c>
      <c r="CE471" t="s">
        <v>6838</v>
      </c>
      <c r="CF471" t="s">
        <v>1029</v>
      </c>
      <c r="CG471" t="s">
        <v>177</v>
      </c>
      <c r="CH471" t="s">
        <v>1030</v>
      </c>
      <c r="CI471" t="s">
        <v>6839</v>
      </c>
      <c r="CJ471" t="s">
        <v>6388</v>
      </c>
      <c r="CK471" t="s">
        <v>267</v>
      </c>
      <c r="CL471" t="s">
        <v>268</v>
      </c>
      <c r="CM471" t="s">
        <v>6840</v>
      </c>
      <c r="CN471" t="s">
        <v>482</v>
      </c>
      <c r="CO471" t="s">
        <v>183</v>
      </c>
      <c r="CP471" t="s">
        <v>211</v>
      </c>
      <c r="CQ471" t="s">
        <v>342</v>
      </c>
      <c r="CS471" t="s">
        <v>392</v>
      </c>
      <c r="CT471" t="s">
        <v>6841</v>
      </c>
      <c r="CU471" t="s">
        <v>302</v>
      </c>
      <c r="CV471" t="s">
        <v>303</v>
      </c>
      <c r="CW471" t="s">
        <v>6832</v>
      </c>
      <c r="CX471" t="s">
        <v>576</v>
      </c>
      <c r="CY471" t="s">
        <v>183</v>
      </c>
      <c r="CZ471" t="s">
        <v>211</v>
      </c>
      <c r="DA471" t="s">
        <v>342</v>
      </c>
      <c r="DC471" t="s">
        <v>6842</v>
      </c>
      <c r="DM471" t="s">
        <v>198</v>
      </c>
      <c r="DW471" t="s">
        <v>198</v>
      </c>
      <c r="EG471" t="s">
        <v>198</v>
      </c>
      <c r="EQ471" t="s">
        <v>198</v>
      </c>
      <c r="FA471" t="s">
        <v>198</v>
      </c>
      <c r="FK471" t="s">
        <v>198</v>
      </c>
      <c r="FU471" t="s">
        <v>198</v>
      </c>
    </row>
    <row r="472" spans="1:177">
      <c r="A472" s="1" t="str">
        <f>HYPERLINK("http://digipan.lumentumllc.com/apps/getLink/index.php?t=PropLink&amp;p=5245301","PL")</f>
        <v>PL</v>
      </c>
      <c r="B472" s="1" t="str">
        <f>HYPERLINK("http://digipan.lumentumllc.com/apps/getLink/index.php?t=TaxLink&amp;p=5245301","TL")</f>
        <v>TL</v>
      </c>
      <c r="C472" s="1" t="str">
        <f>HYPERLINK("http://digipan.lumentumllc.com/apps/getMap/index.php?p=5245301","Map")</f>
        <v>Map</v>
      </c>
      <c r="E472" t="s">
        <v>177</v>
      </c>
      <c r="F472" t="s">
        <v>178</v>
      </c>
      <c r="L472" t="s">
        <v>6843</v>
      </c>
      <c r="N472" t="s">
        <v>6843</v>
      </c>
      <c r="O472" t="s">
        <v>6843</v>
      </c>
      <c r="P472" t="s">
        <v>6844</v>
      </c>
      <c r="Q472" t="s">
        <v>6843</v>
      </c>
      <c r="V472">
        <v>542</v>
      </c>
      <c r="W472">
        <v>2</v>
      </c>
      <c r="X472">
        <v>2017</v>
      </c>
      <c r="Y472">
        <v>2018</v>
      </c>
      <c r="Z472">
        <v>914.27</v>
      </c>
      <c r="AB472" t="s">
        <v>181</v>
      </c>
      <c r="AC472" t="s">
        <v>182</v>
      </c>
      <c r="AD472" t="s">
        <v>183</v>
      </c>
      <c r="AE472">
        <v>0</v>
      </c>
      <c r="AF472">
        <v>6</v>
      </c>
      <c r="AG472" t="s">
        <v>528</v>
      </c>
      <c r="AH472">
        <v>100</v>
      </c>
      <c r="AK472">
        <v>0</v>
      </c>
      <c r="AL472">
        <v>58415</v>
      </c>
      <c r="AM472">
        <v>40500</v>
      </c>
      <c r="AN472">
        <v>17915</v>
      </c>
      <c r="AO472">
        <v>850</v>
      </c>
      <c r="AP472">
        <v>2016</v>
      </c>
      <c r="AQ472">
        <v>1.57</v>
      </c>
      <c r="AS472" t="s">
        <v>6845</v>
      </c>
      <c r="AT472" t="s">
        <v>186</v>
      </c>
      <c r="AU472" t="s">
        <v>177</v>
      </c>
      <c r="AV472" t="s">
        <v>187</v>
      </c>
      <c r="AW472" t="s">
        <v>182</v>
      </c>
      <c r="AX472">
        <v>2</v>
      </c>
      <c r="AY472" t="s">
        <v>188</v>
      </c>
      <c r="AZ472" t="s">
        <v>189</v>
      </c>
      <c r="BA472" t="s">
        <v>190</v>
      </c>
      <c r="BB472" t="s">
        <v>191</v>
      </c>
      <c r="BC472" t="s">
        <v>182</v>
      </c>
      <c r="BD472" t="s">
        <v>182</v>
      </c>
      <c r="BE472" t="s">
        <v>1912</v>
      </c>
      <c r="BF472">
        <v>1</v>
      </c>
      <c r="BG472">
        <v>1</v>
      </c>
      <c r="BH472">
        <v>1978</v>
      </c>
      <c r="BI472" t="s">
        <v>6846</v>
      </c>
      <c r="BJ472" t="s">
        <v>194</v>
      </c>
      <c r="BK472" t="s">
        <v>195</v>
      </c>
      <c r="BL472" t="s">
        <v>199</v>
      </c>
      <c r="BM472" t="s">
        <v>358</v>
      </c>
      <c r="BN472" t="s">
        <v>182</v>
      </c>
      <c r="BO472" t="s">
        <v>198</v>
      </c>
      <c r="BP472" t="s">
        <v>198</v>
      </c>
      <c r="BQ472" t="s">
        <v>198</v>
      </c>
      <c r="BR472" t="s">
        <v>198</v>
      </c>
      <c r="BS472" t="s">
        <v>198</v>
      </c>
      <c r="BT472" t="s">
        <v>198</v>
      </c>
      <c r="BU472" t="s">
        <v>182</v>
      </c>
      <c r="BV472" t="s">
        <v>198</v>
      </c>
      <c r="BW472" t="s">
        <v>198</v>
      </c>
      <c r="BX472" t="s">
        <v>199</v>
      </c>
      <c r="BY472" t="s">
        <v>198</v>
      </c>
      <c r="BZ472" t="s">
        <v>199</v>
      </c>
      <c r="CA472" t="s">
        <v>199</v>
      </c>
      <c r="CB472" t="s">
        <v>6847</v>
      </c>
      <c r="CC472" t="s">
        <v>201</v>
      </c>
      <c r="CD472" t="s">
        <v>182</v>
      </c>
      <c r="CE472" t="s">
        <v>6848</v>
      </c>
      <c r="CF472" t="s">
        <v>204</v>
      </c>
      <c r="CG472" t="s">
        <v>177</v>
      </c>
      <c r="CH472" t="s">
        <v>187</v>
      </c>
      <c r="CI472" t="s">
        <v>6849</v>
      </c>
      <c r="CJ472" t="s">
        <v>6501</v>
      </c>
      <c r="CK472" t="s">
        <v>232</v>
      </c>
      <c r="CL472" t="s">
        <v>233</v>
      </c>
      <c r="CM472" t="s">
        <v>6850</v>
      </c>
      <c r="CN472" t="s">
        <v>235</v>
      </c>
      <c r="CO472" t="s">
        <v>183</v>
      </c>
      <c r="CP472" t="s">
        <v>211</v>
      </c>
      <c r="CQ472" t="s">
        <v>342</v>
      </c>
      <c r="CS472" t="s">
        <v>6851</v>
      </c>
      <c r="CT472" t="s">
        <v>6297</v>
      </c>
      <c r="CU472" t="s">
        <v>292</v>
      </c>
      <c r="CV472" t="s">
        <v>293</v>
      </c>
      <c r="CW472" t="s">
        <v>6852</v>
      </c>
      <c r="CX472" t="s">
        <v>235</v>
      </c>
      <c r="CY472" t="s">
        <v>183</v>
      </c>
      <c r="CZ472" t="s">
        <v>211</v>
      </c>
      <c r="DA472" t="s">
        <v>339</v>
      </c>
      <c r="DC472" t="s">
        <v>6853</v>
      </c>
      <c r="DD472" t="s">
        <v>6790</v>
      </c>
      <c r="DE472" t="s">
        <v>267</v>
      </c>
      <c r="DF472" t="s">
        <v>268</v>
      </c>
      <c r="DG472" t="s">
        <v>6854</v>
      </c>
      <c r="DH472" t="s">
        <v>235</v>
      </c>
      <c r="DI472" t="s">
        <v>183</v>
      </c>
      <c r="DJ472" t="s">
        <v>211</v>
      </c>
      <c r="DK472" t="s">
        <v>296</v>
      </c>
      <c r="DM472" t="s">
        <v>6855</v>
      </c>
      <c r="DN472" t="s">
        <v>4989</v>
      </c>
      <c r="DO472" t="s">
        <v>273</v>
      </c>
      <c r="DP472" t="s">
        <v>274</v>
      </c>
      <c r="DQ472" t="s">
        <v>6856</v>
      </c>
      <c r="DR472" t="s">
        <v>235</v>
      </c>
      <c r="DS472" t="s">
        <v>183</v>
      </c>
      <c r="DT472" t="s">
        <v>211</v>
      </c>
      <c r="DU472" t="s">
        <v>199</v>
      </c>
      <c r="DW472" t="s">
        <v>6857</v>
      </c>
      <c r="DX472" t="s">
        <v>6858</v>
      </c>
      <c r="DY472" t="s">
        <v>302</v>
      </c>
      <c r="DZ472" t="s">
        <v>303</v>
      </c>
      <c r="EA472" t="s">
        <v>6859</v>
      </c>
      <c r="EB472" t="s">
        <v>436</v>
      </c>
      <c r="EC472" t="s">
        <v>183</v>
      </c>
      <c r="ED472" t="s">
        <v>211</v>
      </c>
      <c r="EE472" t="s">
        <v>206</v>
      </c>
      <c r="EG472" t="s">
        <v>6860</v>
      </c>
      <c r="EH472" t="s">
        <v>6861</v>
      </c>
      <c r="EI472" t="s">
        <v>346</v>
      </c>
      <c r="EJ472" t="s">
        <v>347</v>
      </c>
      <c r="EK472" t="s">
        <v>6862</v>
      </c>
      <c r="EL472" t="s">
        <v>391</v>
      </c>
      <c r="EM472" t="s">
        <v>183</v>
      </c>
      <c r="EN472" t="s">
        <v>211</v>
      </c>
      <c r="EO472" t="s">
        <v>270</v>
      </c>
      <c r="EQ472" t="s">
        <v>6863</v>
      </c>
      <c r="FA472" t="s">
        <v>198</v>
      </c>
      <c r="FK472" t="s">
        <v>198</v>
      </c>
      <c r="FU472" t="s">
        <v>198</v>
      </c>
    </row>
    <row r="473" spans="1:177">
      <c r="A473" s="1" t="str">
        <f>HYPERLINK("http://digipan.lumentumllc.com/apps/getLink/index.php?t=PropLink&amp;p=6128925","PL")</f>
        <v>PL</v>
      </c>
      <c r="B473" s="1" t="str">
        <f>HYPERLINK("http://digipan.lumentumllc.com/apps/getLink/index.php?t=TaxLink&amp;p=6128925","TL")</f>
        <v>TL</v>
      </c>
      <c r="C473" s="1" t="str">
        <f>HYPERLINK("http://digipan.lumentumllc.com/apps/getMap/index.php?p=6128925","Map")</f>
        <v>Map</v>
      </c>
      <c r="E473" t="s">
        <v>177</v>
      </c>
      <c r="F473" t="s">
        <v>178</v>
      </c>
      <c r="L473" t="s">
        <v>6864</v>
      </c>
      <c r="N473" t="s">
        <v>6864</v>
      </c>
      <c r="O473" t="s">
        <v>6864</v>
      </c>
      <c r="P473" t="s">
        <v>6865</v>
      </c>
      <c r="Q473" t="s">
        <v>6864</v>
      </c>
      <c r="V473">
        <v>545</v>
      </c>
      <c r="W473">
        <v>2</v>
      </c>
      <c r="X473">
        <v>2017</v>
      </c>
      <c r="Y473">
        <v>2018</v>
      </c>
      <c r="Z473">
        <v>41.44</v>
      </c>
      <c r="AB473" t="s">
        <v>181</v>
      </c>
      <c r="AC473" t="s">
        <v>182</v>
      </c>
      <c r="AD473" t="s">
        <v>1037</v>
      </c>
      <c r="AE473">
        <v>6</v>
      </c>
      <c r="AF473">
        <v>0</v>
      </c>
      <c r="AG473" t="s">
        <v>3955</v>
      </c>
      <c r="AH473">
        <v>0</v>
      </c>
      <c r="AI473">
        <v>207.46</v>
      </c>
      <c r="AJ473">
        <v>122.28</v>
      </c>
      <c r="AK473">
        <v>329.74</v>
      </c>
      <c r="AL473">
        <v>625</v>
      </c>
      <c r="AM473">
        <v>625</v>
      </c>
      <c r="AN473">
        <v>0</v>
      </c>
      <c r="AO473">
        <v>9</v>
      </c>
      <c r="AP473">
        <v>2016</v>
      </c>
      <c r="AQ473">
        <v>6.63</v>
      </c>
      <c r="AR473">
        <v>52.76</v>
      </c>
      <c r="AS473" t="s">
        <v>6866</v>
      </c>
      <c r="AT473" t="s">
        <v>186</v>
      </c>
      <c r="AU473" t="s">
        <v>177</v>
      </c>
      <c r="AV473" t="s">
        <v>187</v>
      </c>
      <c r="AW473" t="s">
        <v>182</v>
      </c>
      <c r="AX473">
        <v>0</v>
      </c>
      <c r="AY473" t="s">
        <v>312</v>
      </c>
      <c r="AZ473" t="s">
        <v>199</v>
      </c>
      <c r="BA473" t="s">
        <v>313</v>
      </c>
      <c r="BB473" t="s">
        <v>191</v>
      </c>
      <c r="BC473" t="s">
        <v>182</v>
      </c>
      <c r="BD473" t="s">
        <v>182</v>
      </c>
      <c r="BE473" t="s">
        <v>3918</v>
      </c>
      <c r="BF473">
        <v>0</v>
      </c>
      <c r="BG473">
        <v>0</v>
      </c>
      <c r="BH473">
        <v>0</v>
      </c>
      <c r="BI473" t="s">
        <v>199</v>
      </c>
      <c r="BJ473" t="s">
        <v>194</v>
      </c>
      <c r="BL473" t="s">
        <v>199</v>
      </c>
      <c r="BM473" t="s">
        <v>358</v>
      </c>
      <c r="BN473" t="s">
        <v>182</v>
      </c>
      <c r="BO473" t="s">
        <v>198</v>
      </c>
      <c r="BP473" t="s">
        <v>198</v>
      </c>
      <c r="BQ473" t="s">
        <v>198</v>
      </c>
      <c r="BR473" t="s">
        <v>198</v>
      </c>
      <c r="BS473" t="s">
        <v>198</v>
      </c>
      <c r="BT473" t="s">
        <v>198</v>
      </c>
      <c r="BU473" t="s">
        <v>182</v>
      </c>
      <c r="BV473" t="s">
        <v>198</v>
      </c>
      <c r="BW473" t="s">
        <v>198</v>
      </c>
      <c r="BX473" t="s">
        <v>199</v>
      </c>
      <c r="BY473" t="s">
        <v>198</v>
      </c>
      <c r="BZ473" t="s">
        <v>199</v>
      </c>
      <c r="CA473" t="s">
        <v>199</v>
      </c>
      <c r="CB473" t="s">
        <v>6867</v>
      </c>
      <c r="CC473" t="s">
        <v>201</v>
      </c>
      <c r="CD473" t="s">
        <v>182</v>
      </c>
      <c r="CE473" t="s">
        <v>6868</v>
      </c>
      <c r="CF473" t="s">
        <v>2769</v>
      </c>
      <c r="CG473" t="s">
        <v>2769</v>
      </c>
      <c r="CH473" t="s">
        <v>6869</v>
      </c>
      <c r="CI473" t="s">
        <v>6870</v>
      </c>
      <c r="CJ473" t="s">
        <v>6871</v>
      </c>
      <c r="CK473" t="s">
        <v>232</v>
      </c>
      <c r="CL473" t="s">
        <v>233</v>
      </c>
      <c r="CM473" t="s">
        <v>6330</v>
      </c>
      <c r="CN473" t="s">
        <v>482</v>
      </c>
      <c r="CO473" t="s">
        <v>5</v>
      </c>
      <c r="CP473" t="s">
        <v>266</v>
      </c>
      <c r="CS473" t="s">
        <v>198</v>
      </c>
      <c r="CT473" t="s">
        <v>6347</v>
      </c>
      <c r="CU473" t="s">
        <v>292</v>
      </c>
      <c r="CV473" t="s">
        <v>293</v>
      </c>
      <c r="CW473" t="s">
        <v>6331</v>
      </c>
      <c r="CX473" t="s">
        <v>482</v>
      </c>
      <c r="CY473" t="s">
        <v>5</v>
      </c>
      <c r="CZ473" t="s">
        <v>266</v>
      </c>
      <c r="DC473" t="s">
        <v>198</v>
      </c>
      <c r="DD473" t="s">
        <v>6489</v>
      </c>
      <c r="DE473" t="s">
        <v>267</v>
      </c>
      <c r="DF473" t="s">
        <v>268</v>
      </c>
      <c r="DG473" t="s">
        <v>6812</v>
      </c>
      <c r="DH473" t="s">
        <v>482</v>
      </c>
      <c r="DI473" t="s">
        <v>5</v>
      </c>
      <c r="DJ473" t="s">
        <v>266</v>
      </c>
      <c r="DM473" t="s">
        <v>198</v>
      </c>
      <c r="DN473" t="s">
        <v>6501</v>
      </c>
      <c r="DO473" t="s">
        <v>273</v>
      </c>
      <c r="DP473" t="s">
        <v>274</v>
      </c>
      <c r="DQ473" t="s">
        <v>6872</v>
      </c>
      <c r="DR473" t="s">
        <v>482</v>
      </c>
      <c r="DS473" t="s">
        <v>5</v>
      </c>
      <c r="DT473" t="s">
        <v>266</v>
      </c>
      <c r="DW473" t="s">
        <v>198</v>
      </c>
      <c r="DX473" t="s">
        <v>6873</v>
      </c>
      <c r="DY473" t="s">
        <v>302</v>
      </c>
      <c r="DZ473" t="s">
        <v>303</v>
      </c>
      <c r="EA473" t="s">
        <v>6815</v>
      </c>
      <c r="EB473" t="s">
        <v>576</v>
      </c>
      <c r="EC473" t="s">
        <v>183</v>
      </c>
      <c r="ED473" t="s">
        <v>266</v>
      </c>
      <c r="EG473" t="s">
        <v>198</v>
      </c>
      <c r="EH473" t="s">
        <v>6874</v>
      </c>
      <c r="EI473" t="s">
        <v>238</v>
      </c>
      <c r="EJ473" t="s">
        <v>239</v>
      </c>
      <c r="EK473" t="s">
        <v>6350</v>
      </c>
      <c r="EL473" t="s">
        <v>482</v>
      </c>
      <c r="EM473" t="s">
        <v>183</v>
      </c>
      <c r="EN473" t="s">
        <v>266</v>
      </c>
      <c r="EQ473" t="s">
        <v>198</v>
      </c>
      <c r="FA473" t="s">
        <v>198</v>
      </c>
      <c r="FK473" t="s">
        <v>198</v>
      </c>
      <c r="FU473" t="s">
        <v>198</v>
      </c>
    </row>
    <row r="474" spans="1:177">
      <c r="A474" s="1" t="str">
        <f>HYPERLINK("http://digipan.lumentumllc.com/apps/getLink/index.php?t=PropLink&amp;p=6461794","PL")</f>
        <v>PL</v>
      </c>
      <c r="B474" s="1" t="str">
        <f>HYPERLINK("http://digipan.lumentumllc.com/apps/getLink/index.php?t=TaxLink&amp;p=6461794","TL")</f>
        <v>TL</v>
      </c>
      <c r="C474" s="1" t="str">
        <f>HYPERLINK("http://digipan.lumentumllc.com/apps/getMap/index.php?p=6461794","Map")</f>
        <v>Map</v>
      </c>
      <c r="E474" t="s">
        <v>177</v>
      </c>
      <c r="F474" t="s">
        <v>178</v>
      </c>
      <c r="L474" t="s">
        <v>6875</v>
      </c>
      <c r="N474" t="s">
        <v>6875</v>
      </c>
      <c r="O474" t="s">
        <v>6875</v>
      </c>
      <c r="P474" t="s">
        <v>6876</v>
      </c>
      <c r="Q474" t="s">
        <v>6875</v>
      </c>
      <c r="V474">
        <v>547</v>
      </c>
      <c r="W474">
        <v>2</v>
      </c>
      <c r="X474">
        <v>2017</v>
      </c>
      <c r="Y474">
        <v>2018</v>
      </c>
      <c r="Z474">
        <v>1751.92</v>
      </c>
      <c r="AB474" t="s">
        <v>181</v>
      </c>
      <c r="AC474" t="s">
        <v>182</v>
      </c>
      <c r="AD474" t="s">
        <v>183</v>
      </c>
      <c r="AE474">
        <v>1</v>
      </c>
      <c r="AF474">
        <v>2</v>
      </c>
      <c r="AG474" t="s">
        <v>363</v>
      </c>
      <c r="AH474">
        <v>67</v>
      </c>
      <c r="AI474">
        <v>1703.06</v>
      </c>
      <c r="AJ474">
        <v>85.15</v>
      </c>
      <c r="AK474">
        <v>1788.21</v>
      </c>
      <c r="AL474">
        <v>113875</v>
      </c>
      <c r="AM474">
        <v>22500</v>
      </c>
      <c r="AN474">
        <v>91375</v>
      </c>
      <c r="AO474">
        <v>1550</v>
      </c>
      <c r="AP474">
        <v>2016</v>
      </c>
      <c r="AQ474">
        <v>1.54</v>
      </c>
      <c r="AR474">
        <v>1.57</v>
      </c>
      <c r="AS474" t="s">
        <v>6877</v>
      </c>
      <c r="AT474" t="s">
        <v>186</v>
      </c>
      <c r="AU474" t="s">
        <v>177</v>
      </c>
      <c r="AV474" t="s">
        <v>187</v>
      </c>
      <c r="AW474" t="s">
        <v>182</v>
      </c>
      <c r="AX474">
        <v>1</v>
      </c>
      <c r="AY474" t="s">
        <v>188</v>
      </c>
      <c r="AZ474" t="s">
        <v>206</v>
      </c>
      <c r="BA474" t="s">
        <v>355</v>
      </c>
      <c r="BB474" t="s">
        <v>191</v>
      </c>
      <c r="BC474" t="s">
        <v>182</v>
      </c>
      <c r="BD474" t="s">
        <v>182</v>
      </c>
      <c r="BE474" t="s">
        <v>6305</v>
      </c>
      <c r="BF474">
        <v>1</v>
      </c>
      <c r="BG474">
        <v>1</v>
      </c>
      <c r="BH474">
        <v>2001</v>
      </c>
      <c r="BI474" t="s">
        <v>5399</v>
      </c>
      <c r="BJ474" t="s">
        <v>194</v>
      </c>
      <c r="BK474" t="s">
        <v>195</v>
      </c>
      <c r="BL474" t="s">
        <v>6878</v>
      </c>
      <c r="BM474" t="s">
        <v>368</v>
      </c>
      <c r="BN474" t="s">
        <v>182</v>
      </c>
      <c r="BO474" t="s">
        <v>6879</v>
      </c>
      <c r="BP474" t="s">
        <v>5560</v>
      </c>
      <c r="BQ474" t="s">
        <v>904</v>
      </c>
      <c r="BR474" t="s">
        <v>643</v>
      </c>
      <c r="BS474" t="s">
        <v>198</v>
      </c>
      <c r="BT474" t="s">
        <v>6014</v>
      </c>
      <c r="BU474" t="s">
        <v>182</v>
      </c>
      <c r="BV474" t="s">
        <v>198</v>
      </c>
      <c r="BW474" t="s">
        <v>198</v>
      </c>
      <c r="BX474" t="s">
        <v>199</v>
      </c>
      <c r="BY474" t="s">
        <v>198</v>
      </c>
      <c r="BZ474" t="s">
        <v>199</v>
      </c>
      <c r="CA474" t="s">
        <v>199</v>
      </c>
      <c r="CB474" t="s">
        <v>6880</v>
      </c>
      <c r="CC474" t="s">
        <v>201</v>
      </c>
      <c r="CD474" t="s">
        <v>202</v>
      </c>
      <c r="CE474" t="s">
        <v>6881</v>
      </c>
      <c r="CF474" t="s">
        <v>204</v>
      </c>
      <c r="CG474" t="s">
        <v>177</v>
      </c>
      <c r="CH474" t="s">
        <v>187</v>
      </c>
      <c r="CI474" t="s">
        <v>6882</v>
      </c>
      <c r="CJ474" t="s">
        <v>6515</v>
      </c>
      <c r="CK474" t="s">
        <v>232</v>
      </c>
      <c r="CL474" t="s">
        <v>233</v>
      </c>
      <c r="CM474" t="s">
        <v>6883</v>
      </c>
      <c r="CN474" t="s">
        <v>235</v>
      </c>
      <c r="CO474" t="s">
        <v>183</v>
      </c>
      <c r="CP474" t="s">
        <v>266</v>
      </c>
      <c r="CS474" t="s">
        <v>198</v>
      </c>
      <c r="CT474" t="s">
        <v>6884</v>
      </c>
      <c r="CU474" t="s">
        <v>273</v>
      </c>
      <c r="CV474" t="s">
        <v>274</v>
      </c>
      <c r="CW474" t="s">
        <v>6885</v>
      </c>
      <c r="CX474" t="s">
        <v>235</v>
      </c>
      <c r="CY474" t="s">
        <v>183</v>
      </c>
      <c r="CZ474" t="s">
        <v>211</v>
      </c>
      <c r="DA474" t="s">
        <v>264</v>
      </c>
      <c r="DC474" t="s">
        <v>6886</v>
      </c>
      <c r="DD474" t="s">
        <v>6887</v>
      </c>
      <c r="DE474" t="s">
        <v>302</v>
      </c>
      <c r="DF474" t="s">
        <v>303</v>
      </c>
      <c r="DG474" t="s">
        <v>6888</v>
      </c>
      <c r="DH474" t="s">
        <v>235</v>
      </c>
      <c r="DI474" t="s">
        <v>183</v>
      </c>
      <c r="DJ474" t="s">
        <v>211</v>
      </c>
      <c r="DK474" t="s">
        <v>329</v>
      </c>
      <c r="DM474" t="s">
        <v>441</v>
      </c>
      <c r="DW474" t="s">
        <v>198</v>
      </c>
      <c r="EG474" t="s">
        <v>198</v>
      </c>
      <c r="EQ474" t="s">
        <v>198</v>
      </c>
      <c r="FA474" t="s">
        <v>198</v>
      </c>
      <c r="FK474" t="s">
        <v>198</v>
      </c>
      <c r="FU474" t="s">
        <v>198</v>
      </c>
    </row>
    <row r="475" spans="1:177">
      <c r="A475" s="1" t="str">
        <f>HYPERLINK("http://digipan.lumentumllc.com/apps/getLink/index.php?t=PropLink&amp;p=5245309","PL")</f>
        <v>PL</v>
      </c>
      <c r="B475" s="1" t="str">
        <f>HYPERLINK("http://digipan.lumentumllc.com/apps/getLink/index.php?t=TaxLink&amp;p=5245309","TL")</f>
        <v>TL</v>
      </c>
      <c r="C475" s="1" t="str">
        <f>HYPERLINK("http://digipan.lumentumllc.com/apps/getMap/index.php?p=5245309","Map")</f>
        <v>Map</v>
      </c>
      <c r="E475" t="s">
        <v>177</v>
      </c>
      <c r="F475" t="s">
        <v>178</v>
      </c>
      <c r="L475" t="s">
        <v>6889</v>
      </c>
      <c r="N475" t="s">
        <v>6889</v>
      </c>
      <c r="O475" t="s">
        <v>6889</v>
      </c>
      <c r="P475" t="s">
        <v>6890</v>
      </c>
      <c r="Q475" t="s">
        <v>6889</v>
      </c>
      <c r="V475">
        <v>548</v>
      </c>
      <c r="W475">
        <v>2</v>
      </c>
      <c r="X475">
        <v>2017</v>
      </c>
      <c r="Y475">
        <v>2018</v>
      </c>
      <c r="Z475">
        <v>301.73</v>
      </c>
      <c r="AB475" t="s">
        <v>181</v>
      </c>
      <c r="AC475" t="s">
        <v>182</v>
      </c>
      <c r="AD475" t="s">
        <v>183</v>
      </c>
      <c r="AE475">
        <v>0</v>
      </c>
      <c r="AF475">
        <v>1</v>
      </c>
      <c r="AG475" t="s">
        <v>821</v>
      </c>
      <c r="AH475">
        <v>100</v>
      </c>
      <c r="AK475">
        <v>0</v>
      </c>
      <c r="AL475">
        <v>84731</v>
      </c>
      <c r="AM475">
        <v>40500</v>
      </c>
      <c r="AN475">
        <v>44231</v>
      </c>
      <c r="AO475">
        <v>241</v>
      </c>
      <c r="AP475">
        <v>2016</v>
      </c>
      <c r="AQ475">
        <v>0.36</v>
      </c>
      <c r="AS475" t="s">
        <v>6891</v>
      </c>
      <c r="AT475" t="s">
        <v>186</v>
      </c>
      <c r="AU475" t="s">
        <v>177</v>
      </c>
      <c r="AV475" t="s">
        <v>187</v>
      </c>
      <c r="AW475" t="s">
        <v>202</v>
      </c>
      <c r="AX475">
        <v>2</v>
      </c>
      <c r="AY475" t="s">
        <v>188</v>
      </c>
      <c r="AZ475" t="s">
        <v>189</v>
      </c>
      <c r="BA475" t="s">
        <v>190</v>
      </c>
      <c r="BB475" t="s">
        <v>191</v>
      </c>
      <c r="BC475" t="s">
        <v>182</v>
      </c>
      <c r="BD475" t="s">
        <v>5248</v>
      </c>
      <c r="BE475" t="s">
        <v>1912</v>
      </c>
      <c r="BF475">
        <v>1</v>
      </c>
      <c r="BG475">
        <v>1</v>
      </c>
      <c r="BH475">
        <v>1995</v>
      </c>
      <c r="BI475" t="s">
        <v>1080</v>
      </c>
      <c r="BJ475" t="s">
        <v>194</v>
      </c>
      <c r="BK475" t="s">
        <v>195</v>
      </c>
      <c r="BL475" t="s">
        <v>4647</v>
      </c>
      <c r="BM475" t="s">
        <v>1387</v>
      </c>
      <c r="BN475" t="s">
        <v>182</v>
      </c>
      <c r="BO475" t="s">
        <v>4339</v>
      </c>
      <c r="BP475" t="s">
        <v>6892</v>
      </c>
      <c r="BS475" t="s">
        <v>6893</v>
      </c>
      <c r="BT475" t="s">
        <v>198</v>
      </c>
      <c r="BU475" t="s">
        <v>182</v>
      </c>
      <c r="BV475" t="s">
        <v>198</v>
      </c>
      <c r="BW475" t="s">
        <v>198</v>
      </c>
      <c r="BX475" t="s">
        <v>199</v>
      </c>
      <c r="BY475" t="s">
        <v>198</v>
      </c>
      <c r="BZ475" t="s">
        <v>199</v>
      </c>
      <c r="CA475" t="s">
        <v>199</v>
      </c>
      <c r="CB475" t="s">
        <v>6894</v>
      </c>
      <c r="CC475" t="s">
        <v>201</v>
      </c>
      <c r="CD475" t="s">
        <v>182</v>
      </c>
      <c r="CE475" t="s">
        <v>6895</v>
      </c>
      <c r="CF475" t="s">
        <v>204</v>
      </c>
      <c r="CG475" t="s">
        <v>177</v>
      </c>
      <c r="CH475" t="s">
        <v>187</v>
      </c>
      <c r="CI475" t="s">
        <v>6896</v>
      </c>
      <c r="CJ475" t="s">
        <v>6756</v>
      </c>
      <c r="CK475" t="s">
        <v>292</v>
      </c>
      <c r="CL475" t="s">
        <v>293</v>
      </c>
      <c r="CM475" t="s">
        <v>6897</v>
      </c>
      <c r="CN475" t="s">
        <v>235</v>
      </c>
      <c r="CO475" t="s">
        <v>183</v>
      </c>
      <c r="CP475" t="s">
        <v>211</v>
      </c>
      <c r="CQ475" t="s">
        <v>199</v>
      </c>
      <c r="CS475" t="s">
        <v>3261</v>
      </c>
      <c r="DC475" t="s">
        <v>198</v>
      </c>
      <c r="DM475" t="s">
        <v>198</v>
      </c>
      <c r="DW475" t="s">
        <v>198</v>
      </c>
      <c r="EG475" t="s">
        <v>198</v>
      </c>
      <c r="EQ475" t="s">
        <v>198</v>
      </c>
      <c r="FA475" t="s">
        <v>198</v>
      </c>
      <c r="FK475" t="s">
        <v>198</v>
      </c>
      <c r="FU475" t="s">
        <v>198</v>
      </c>
    </row>
    <row r="476" spans="1:177">
      <c r="A476" s="1" t="str">
        <f>HYPERLINK("http://digipan.lumentumllc.com/apps/getLink/index.php?t=PropLink&amp;p=6461795","PL")</f>
        <v>PL</v>
      </c>
      <c r="B476" s="1" t="str">
        <f>HYPERLINK("http://digipan.lumentumllc.com/apps/getLink/index.php?t=TaxLink&amp;p=6461795","TL")</f>
        <v>TL</v>
      </c>
      <c r="C476" s="1" t="str">
        <f>HYPERLINK("http://digipan.lumentumllc.com/apps/getMap/index.php?p=6461795","Map")</f>
        <v>Map</v>
      </c>
      <c r="E476" t="s">
        <v>177</v>
      </c>
      <c r="F476" t="s">
        <v>178</v>
      </c>
      <c r="L476" t="s">
        <v>6898</v>
      </c>
      <c r="N476" t="s">
        <v>6898</v>
      </c>
      <c r="O476" t="s">
        <v>6898</v>
      </c>
      <c r="P476" t="s">
        <v>6899</v>
      </c>
      <c r="Q476" t="s">
        <v>6898</v>
      </c>
      <c r="V476">
        <v>549</v>
      </c>
      <c r="W476">
        <v>2</v>
      </c>
      <c r="X476">
        <v>2017</v>
      </c>
      <c r="Y476">
        <v>2018</v>
      </c>
      <c r="Z476">
        <v>747.94</v>
      </c>
      <c r="AB476" t="s">
        <v>181</v>
      </c>
      <c r="AC476" t="s">
        <v>182</v>
      </c>
      <c r="AD476" t="s">
        <v>183</v>
      </c>
      <c r="AE476">
        <v>0</v>
      </c>
      <c r="AF476">
        <v>3</v>
      </c>
      <c r="AG476" t="s">
        <v>381</v>
      </c>
      <c r="AH476">
        <v>100</v>
      </c>
      <c r="AK476">
        <v>0</v>
      </c>
      <c r="AL476">
        <v>47402</v>
      </c>
      <c r="AM476">
        <v>14040</v>
      </c>
      <c r="AN476">
        <v>33362</v>
      </c>
      <c r="AO476">
        <v>645</v>
      </c>
      <c r="AP476">
        <v>2016</v>
      </c>
      <c r="AQ476">
        <v>1.58</v>
      </c>
      <c r="AS476" t="s">
        <v>6900</v>
      </c>
      <c r="AT476" t="s">
        <v>186</v>
      </c>
      <c r="AU476" t="s">
        <v>177</v>
      </c>
      <c r="AV476" t="s">
        <v>187</v>
      </c>
      <c r="AW476" t="s">
        <v>182</v>
      </c>
      <c r="AX476">
        <v>48</v>
      </c>
      <c r="AY476" t="s">
        <v>5663</v>
      </c>
      <c r="AZ476" t="s">
        <v>1162</v>
      </c>
      <c r="BA476" t="s">
        <v>5947</v>
      </c>
      <c r="BB476" t="s">
        <v>191</v>
      </c>
      <c r="BC476" t="s">
        <v>182</v>
      </c>
      <c r="BD476" t="s">
        <v>182</v>
      </c>
      <c r="BE476" t="s">
        <v>5608</v>
      </c>
      <c r="BF476">
        <v>1</v>
      </c>
      <c r="BG476">
        <v>0</v>
      </c>
      <c r="BH476">
        <v>1950</v>
      </c>
      <c r="BI476" t="s">
        <v>6901</v>
      </c>
      <c r="BJ476" t="s">
        <v>194</v>
      </c>
      <c r="BK476" t="s">
        <v>195</v>
      </c>
      <c r="BL476" t="s">
        <v>199</v>
      </c>
      <c r="BM476" t="s">
        <v>238</v>
      </c>
      <c r="BN476" t="s">
        <v>182</v>
      </c>
      <c r="BO476" t="s">
        <v>198</v>
      </c>
      <c r="BP476" t="s">
        <v>198</v>
      </c>
      <c r="BQ476" t="s">
        <v>198</v>
      </c>
      <c r="BR476" t="s">
        <v>198</v>
      </c>
      <c r="BS476" t="s">
        <v>198</v>
      </c>
      <c r="BT476" t="s">
        <v>198</v>
      </c>
      <c r="BU476" t="s">
        <v>182</v>
      </c>
      <c r="BV476" t="s">
        <v>198</v>
      </c>
      <c r="BW476" t="s">
        <v>198</v>
      </c>
      <c r="BX476" t="s">
        <v>199</v>
      </c>
      <c r="BY476" t="s">
        <v>198</v>
      </c>
      <c r="BZ476" t="s">
        <v>199</v>
      </c>
      <c r="CA476" t="s">
        <v>199</v>
      </c>
      <c r="CB476" t="s">
        <v>5961</v>
      </c>
      <c r="CC476" t="s">
        <v>201</v>
      </c>
      <c r="CD476" t="s">
        <v>182</v>
      </c>
      <c r="CE476" t="s">
        <v>5962</v>
      </c>
      <c r="CF476" t="s">
        <v>204</v>
      </c>
      <c r="CG476" t="s">
        <v>177</v>
      </c>
      <c r="CH476" t="s">
        <v>187</v>
      </c>
      <c r="CI476" t="s">
        <v>6902</v>
      </c>
      <c r="CJ476" t="s">
        <v>6388</v>
      </c>
      <c r="CK476" t="s">
        <v>292</v>
      </c>
      <c r="CL476" t="s">
        <v>293</v>
      </c>
      <c r="CM476" t="s">
        <v>6903</v>
      </c>
      <c r="CN476" t="s">
        <v>235</v>
      </c>
      <c r="CO476" t="s">
        <v>183</v>
      </c>
      <c r="CP476" t="s">
        <v>211</v>
      </c>
      <c r="CQ476" t="s">
        <v>212</v>
      </c>
      <c r="CS476" t="s">
        <v>5965</v>
      </c>
      <c r="CT476" t="s">
        <v>6904</v>
      </c>
      <c r="CU476" t="s">
        <v>267</v>
      </c>
      <c r="CV476" t="s">
        <v>268</v>
      </c>
      <c r="CW476" t="s">
        <v>6905</v>
      </c>
      <c r="CX476" t="s">
        <v>235</v>
      </c>
      <c r="CY476" t="s">
        <v>183</v>
      </c>
      <c r="CZ476" t="s">
        <v>211</v>
      </c>
      <c r="DA476" t="s">
        <v>342</v>
      </c>
      <c r="DC476" t="s">
        <v>5967</v>
      </c>
      <c r="DD476" t="s">
        <v>6906</v>
      </c>
      <c r="DE476" t="s">
        <v>302</v>
      </c>
      <c r="DF476" t="s">
        <v>303</v>
      </c>
      <c r="DG476" t="s">
        <v>6907</v>
      </c>
      <c r="DH476" t="s">
        <v>436</v>
      </c>
      <c r="DI476" t="s">
        <v>183</v>
      </c>
      <c r="DJ476" t="s">
        <v>211</v>
      </c>
      <c r="DK476" t="s">
        <v>199</v>
      </c>
      <c r="DM476" t="s">
        <v>5970</v>
      </c>
      <c r="DW476" t="s">
        <v>198</v>
      </c>
      <c r="EG476" t="s">
        <v>198</v>
      </c>
      <c r="EQ476" t="s">
        <v>198</v>
      </c>
      <c r="FA476" t="s">
        <v>198</v>
      </c>
      <c r="FK476" t="s">
        <v>198</v>
      </c>
      <c r="FU476" t="s">
        <v>198</v>
      </c>
    </row>
    <row r="477" spans="1:177">
      <c r="A477" s="1" t="str">
        <f>HYPERLINK("http://digipan.lumentumllc.com/apps/getLink/index.php?t=PropLink&amp;p=6461796","PL")</f>
        <v>PL</v>
      </c>
      <c r="B477" s="1" t="str">
        <f>HYPERLINK("http://digipan.lumentumllc.com/apps/getLink/index.php?t=TaxLink&amp;p=6461796","TL")</f>
        <v>TL</v>
      </c>
      <c r="C477" s="1" t="str">
        <f>HYPERLINK("http://digipan.lumentumllc.com/apps/getMap/index.php?p=6461796","Map")</f>
        <v>Map</v>
      </c>
      <c r="E477" t="s">
        <v>177</v>
      </c>
      <c r="F477" t="s">
        <v>178</v>
      </c>
      <c r="L477" t="s">
        <v>6908</v>
      </c>
      <c r="N477" t="s">
        <v>6908</v>
      </c>
      <c r="O477" t="s">
        <v>6908</v>
      </c>
      <c r="P477" t="s">
        <v>6909</v>
      </c>
      <c r="Q477" t="s">
        <v>6908</v>
      </c>
      <c r="V477">
        <v>550</v>
      </c>
      <c r="W477">
        <v>2</v>
      </c>
      <c r="X477">
        <v>2017</v>
      </c>
      <c r="Y477">
        <v>2018</v>
      </c>
      <c r="Z477">
        <v>457.44</v>
      </c>
      <c r="AB477" t="s">
        <v>181</v>
      </c>
      <c r="AC477" t="s">
        <v>182</v>
      </c>
      <c r="AD477" t="s">
        <v>183</v>
      </c>
      <c r="AE477">
        <v>0</v>
      </c>
      <c r="AF477">
        <v>3</v>
      </c>
      <c r="AG477" t="s">
        <v>381</v>
      </c>
      <c r="AH477">
        <v>100</v>
      </c>
      <c r="AK477">
        <v>0</v>
      </c>
      <c r="AL477">
        <v>37301</v>
      </c>
      <c r="AM477">
        <v>9600</v>
      </c>
      <c r="AN477">
        <v>27701</v>
      </c>
      <c r="AO477">
        <v>359</v>
      </c>
      <c r="AP477">
        <v>2016</v>
      </c>
      <c r="AQ477">
        <v>1.23</v>
      </c>
      <c r="AS477" t="s">
        <v>6910</v>
      </c>
      <c r="AT477" t="s">
        <v>186</v>
      </c>
      <c r="AU477" t="s">
        <v>177</v>
      </c>
      <c r="AV477" t="s">
        <v>187</v>
      </c>
      <c r="AW477" t="s">
        <v>182</v>
      </c>
      <c r="AX477">
        <v>1</v>
      </c>
      <c r="AY477" t="s">
        <v>188</v>
      </c>
      <c r="AZ477" t="s">
        <v>206</v>
      </c>
      <c r="BA477" t="s">
        <v>355</v>
      </c>
      <c r="BB477" t="s">
        <v>191</v>
      </c>
      <c r="BC477" t="s">
        <v>182</v>
      </c>
      <c r="BD477" t="s">
        <v>182</v>
      </c>
      <c r="BE477" t="s">
        <v>3930</v>
      </c>
      <c r="BF477">
        <v>1</v>
      </c>
      <c r="BG477">
        <v>1</v>
      </c>
      <c r="BH477">
        <v>1948</v>
      </c>
      <c r="BI477" t="s">
        <v>6518</v>
      </c>
      <c r="BJ477" t="s">
        <v>194</v>
      </c>
      <c r="BK477" t="s">
        <v>195</v>
      </c>
      <c r="BL477" t="s">
        <v>199</v>
      </c>
      <c r="BM477" t="s">
        <v>238</v>
      </c>
      <c r="BN477" t="s">
        <v>182</v>
      </c>
      <c r="BO477" t="s">
        <v>198</v>
      </c>
      <c r="BP477" t="s">
        <v>198</v>
      </c>
      <c r="BQ477" t="s">
        <v>198</v>
      </c>
      <c r="BR477" t="s">
        <v>198</v>
      </c>
      <c r="BS477" t="s">
        <v>198</v>
      </c>
      <c r="BT477" t="s">
        <v>198</v>
      </c>
      <c r="BU477" t="s">
        <v>182</v>
      </c>
      <c r="BV477" t="s">
        <v>198</v>
      </c>
      <c r="BW477" t="s">
        <v>198</v>
      </c>
      <c r="BX477" t="s">
        <v>199</v>
      </c>
      <c r="BY477" t="s">
        <v>198</v>
      </c>
      <c r="BZ477" t="s">
        <v>199</v>
      </c>
      <c r="CA477" t="s">
        <v>199</v>
      </c>
      <c r="CB477" t="s">
        <v>5961</v>
      </c>
      <c r="CC477" t="s">
        <v>201</v>
      </c>
      <c r="CD477" t="s">
        <v>182</v>
      </c>
      <c r="CE477" t="s">
        <v>5962</v>
      </c>
      <c r="CF477" t="s">
        <v>204</v>
      </c>
      <c r="CG477" t="s">
        <v>177</v>
      </c>
      <c r="CH477" t="s">
        <v>187</v>
      </c>
      <c r="CI477" t="s">
        <v>610</v>
      </c>
      <c r="CJ477" t="s">
        <v>6790</v>
      </c>
      <c r="CK477" t="s">
        <v>292</v>
      </c>
      <c r="CL477" t="s">
        <v>293</v>
      </c>
      <c r="CM477" t="s">
        <v>6911</v>
      </c>
      <c r="CN477" t="s">
        <v>235</v>
      </c>
      <c r="CO477" t="s">
        <v>183</v>
      </c>
      <c r="CP477" t="s">
        <v>211</v>
      </c>
      <c r="CQ477" t="s">
        <v>212</v>
      </c>
      <c r="CS477" t="s">
        <v>5977</v>
      </c>
      <c r="CT477" t="s">
        <v>6871</v>
      </c>
      <c r="CU477" t="s">
        <v>267</v>
      </c>
      <c r="CV477" t="s">
        <v>268</v>
      </c>
      <c r="CW477" t="s">
        <v>6912</v>
      </c>
      <c r="CX477" t="s">
        <v>331</v>
      </c>
      <c r="CY477" t="s">
        <v>183</v>
      </c>
      <c r="CZ477" t="s">
        <v>211</v>
      </c>
      <c r="DA477" t="s">
        <v>342</v>
      </c>
      <c r="DC477" t="s">
        <v>5967</v>
      </c>
      <c r="DD477" t="s">
        <v>6913</v>
      </c>
      <c r="DE477" t="s">
        <v>302</v>
      </c>
      <c r="DF477" t="s">
        <v>303</v>
      </c>
      <c r="DG477" t="s">
        <v>6914</v>
      </c>
      <c r="DH477" t="s">
        <v>440</v>
      </c>
      <c r="DI477" t="s">
        <v>183</v>
      </c>
      <c r="DJ477" t="s">
        <v>211</v>
      </c>
      <c r="DK477" t="s">
        <v>212</v>
      </c>
      <c r="DM477" t="s">
        <v>4986</v>
      </c>
      <c r="DW477" t="s">
        <v>198</v>
      </c>
      <c r="EG477" t="s">
        <v>198</v>
      </c>
      <c r="EQ477" t="s">
        <v>198</v>
      </c>
      <c r="FA477" t="s">
        <v>198</v>
      </c>
      <c r="FK477" t="s">
        <v>198</v>
      </c>
      <c r="FU477" t="s">
        <v>198</v>
      </c>
    </row>
    <row r="478" spans="1:177">
      <c r="A478" s="1" t="str">
        <f>HYPERLINK("http://digipan.lumentumllc.com/apps/getLink/index.php?t=PropLink&amp;p=5245310","PL")</f>
        <v>PL</v>
      </c>
      <c r="B478" s="1" t="str">
        <f>HYPERLINK("http://digipan.lumentumllc.com/apps/getLink/index.php?t=TaxLink&amp;p=5245310","TL")</f>
        <v>TL</v>
      </c>
      <c r="C478" s="1" t="str">
        <f>HYPERLINK("http://digipan.lumentumllc.com/apps/getMap/index.php?p=5245310","Map")</f>
        <v>Map</v>
      </c>
      <c r="E478" t="s">
        <v>177</v>
      </c>
      <c r="F478" t="s">
        <v>178</v>
      </c>
      <c r="L478" t="s">
        <v>6915</v>
      </c>
      <c r="N478" t="s">
        <v>6915</v>
      </c>
      <c r="O478" t="s">
        <v>6915</v>
      </c>
      <c r="P478" t="s">
        <v>6916</v>
      </c>
      <c r="Q478" t="s">
        <v>6915</v>
      </c>
      <c r="V478">
        <v>551</v>
      </c>
      <c r="W478">
        <v>2</v>
      </c>
      <c r="X478">
        <v>2017</v>
      </c>
      <c r="Y478">
        <v>2018</v>
      </c>
      <c r="Z478">
        <v>155.69</v>
      </c>
      <c r="AB478" t="s">
        <v>181</v>
      </c>
      <c r="AC478" t="s">
        <v>182</v>
      </c>
      <c r="AD478" t="s">
        <v>183</v>
      </c>
      <c r="AE478">
        <v>0</v>
      </c>
      <c r="AF478">
        <v>6</v>
      </c>
      <c r="AG478" t="s">
        <v>3266</v>
      </c>
      <c r="AH478">
        <v>100</v>
      </c>
      <c r="AK478">
        <v>0</v>
      </c>
      <c r="AL478">
        <v>8190</v>
      </c>
      <c r="AM478">
        <v>8190</v>
      </c>
      <c r="AN478">
        <v>0</v>
      </c>
      <c r="AO478">
        <v>116</v>
      </c>
      <c r="AP478">
        <v>2016</v>
      </c>
      <c r="AQ478">
        <v>1.9</v>
      </c>
      <c r="AS478" t="s">
        <v>6917</v>
      </c>
      <c r="AT478" t="s">
        <v>186</v>
      </c>
      <c r="AU478" t="s">
        <v>177</v>
      </c>
      <c r="AV478" t="s">
        <v>187</v>
      </c>
      <c r="AW478" t="s">
        <v>182</v>
      </c>
      <c r="AX478">
        <v>0</v>
      </c>
      <c r="AY478" t="s">
        <v>312</v>
      </c>
      <c r="AZ478" t="s">
        <v>199</v>
      </c>
      <c r="BA478" t="s">
        <v>313</v>
      </c>
      <c r="BB478" t="s">
        <v>191</v>
      </c>
      <c r="BC478" t="s">
        <v>182</v>
      </c>
      <c r="BD478" t="s">
        <v>182</v>
      </c>
      <c r="BE478" t="s">
        <v>5975</v>
      </c>
      <c r="BF478">
        <v>0</v>
      </c>
      <c r="BG478">
        <v>0</v>
      </c>
      <c r="BH478">
        <v>0</v>
      </c>
      <c r="BI478" t="s">
        <v>199</v>
      </c>
      <c r="BJ478" t="s">
        <v>396</v>
      </c>
      <c r="BL478" t="s">
        <v>6918</v>
      </c>
      <c r="BM478" t="s">
        <v>1311</v>
      </c>
      <c r="BN478" t="s">
        <v>182</v>
      </c>
      <c r="BO478" t="s">
        <v>198</v>
      </c>
      <c r="BP478" t="s">
        <v>198</v>
      </c>
      <c r="BQ478" t="s">
        <v>198</v>
      </c>
      <c r="BR478" t="s">
        <v>198</v>
      </c>
      <c r="BS478" t="s">
        <v>198</v>
      </c>
      <c r="BT478" t="s">
        <v>198</v>
      </c>
      <c r="BU478" t="s">
        <v>182</v>
      </c>
      <c r="BV478" t="s">
        <v>198</v>
      </c>
      <c r="BW478" t="s">
        <v>198</v>
      </c>
      <c r="BX478" t="s">
        <v>199</v>
      </c>
      <c r="BY478" t="s">
        <v>198</v>
      </c>
      <c r="BZ478" t="s">
        <v>199</v>
      </c>
      <c r="CA478" t="s">
        <v>199</v>
      </c>
      <c r="CB478" t="s">
        <v>6919</v>
      </c>
      <c r="CC478" t="s">
        <v>201</v>
      </c>
      <c r="CD478" t="s">
        <v>182</v>
      </c>
      <c r="CE478" t="s">
        <v>6920</v>
      </c>
      <c r="CF478" t="s">
        <v>204</v>
      </c>
      <c r="CG478" t="s">
        <v>177</v>
      </c>
      <c r="CH478" t="s">
        <v>187</v>
      </c>
      <c r="CI478" t="s">
        <v>3818</v>
      </c>
      <c r="CJ478" t="s">
        <v>4989</v>
      </c>
      <c r="CK478" t="s">
        <v>292</v>
      </c>
      <c r="CL478" t="s">
        <v>293</v>
      </c>
      <c r="CM478" t="s">
        <v>6921</v>
      </c>
      <c r="CN478" t="s">
        <v>482</v>
      </c>
      <c r="CO478" t="s">
        <v>183</v>
      </c>
      <c r="CP478" t="s">
        <v>211</v>
      </c>
      <c r="CQ478" t="s">
        <v>270</v>
      </c>
      <c r="CS478" t="s">
        <v>6922</v>
      </c>
      <c r="CT478" t="s">
        <v>6923</v>
      </c>
      <c r="CU478" t="s">
        <v>267</v>
      </c>
      <c r="CV478" t="s">
        <v>268</v>
      </c>
      <c r="CW478" t="s">
        <v>6924</v>
      </c>
      <c r="CX478" t="s">
        <v>331</v>
      </c>
      <c r="CY478" t="s">
        <v>183</v>
      </c>
      <c r="CZ478" t="s">
        <v>211</v>
      </c>
      <c r="DA478" t="s">
        <v>298</v>
      </c>
      <c r="DC478" t="s">
        <v>459</v>
      </c>
      <c r="DD478" t="s">
        <v>6925</v>
      </c>
      <c r="DE478" t="s">
        <v>273</v>
      </c>
      <c r="DF478" t="s">
        <v>274</v>
      </c>
      <c r="DG478" t="s">
        <v>6926</v>
      </c>
      <c r="DH478" t="s">
        <v>1491</v>
      </c>
      <c r="DI478" t="s">
        <v>183</v>
      </c>
      <c r="DJ478" t="s">
        <v>211</v>
      </c>
      <c r="DK478" t="s">
        <v>298</v>
      </c>
      <c r="DM478" t="s">
        <v>5484</v>
      </c>
      <c r="DN478" t="s">
        <v>6927</v>
      </c>
      <c r="DO478" t="s">
        <v>302</v>
      </c>
      <c r="DP478" t="s">
        <v>303</v>
      </c>
      <c r="DQ478" t="s">
        <v>6928</v>
      </c>
      <c r="DR478" t="s">
        <v>295</v>
      </c>
      <c r="DS478" t="s">
        <v>183</v>
      </c>
      <c r="DT478" t="s">
        <v>211</v>
      </c>
      <c r="DU478" t="s">
        <v>298</v>
      </c>
      <c r="DW478" t="s">
        <v>3499</v>
      </c>
      <c r="DX478" t="s">
        <v>6929</v>
      </c>
      <c r="DY478" t="s">
        <v>346</v>
      </c>
      <c r="DZ478" t="s">
        <v>347</v>
      </c>
      <c r="EA478" t="s">
        <v>6930</v>
      </c>
      <c r="EB478" t="s">
        <v>615</v>
      </c>
      <c r="EC478" t="s">
        <v>183</v>
      </c>
      <c r="ED478" t="s">
        <v>211</v>
      </c>
      <c r="EE478" t="s">
        <v>296</v>
      </c>
      <c r="EG478" t="s">
        <v>3765</v>
      </c>
      <c r="EH478" t="s">
        <v>6931</v>
      </c>
      <c r="EI478" t="s">
        <v>207</v>
      </c>
      <c r="EJ478" t="s">
        <v>208</v>
      </c>
      <c r="EK478" t="s">
        <v>6932</v>
      </c>
      <c r="EL478" t="s">
        <v>576</v>
      </c>
      <c r="EM478" t="s">
        <v>183</v>
      </c>
      <c r="EN478" t="s">
        <v>211</v>
      </c>
      <c r="EO478" t="s">
        <v>306</v>
      </c>
      <c r="EQ478" t="s">
        <v>6933</v>
      </c>
      <c r="FA478" t="s">
        <v>198</v>
      </c>
      <c r="FK478" t="s">
        <v>198</v>
      </c>
      <c r="FU478" t="s">
        <v>198</v>
      </c>
    </row>
    <row r="479" spans="1:177">
      <c r="A479" s="1" t="str">
        <f>HYPERLINK("http://digipan.lumentumllc.com/apps/getLink/index.php?t=PropLink&amp;p=5245313","PL")</f>
        <v>PL</v>
      </c>
      <c r="B479" s="1" t="str">
        <f>HYPERLINK("http://digipan.lumentumllc.com/apps/getLink/index.php?t=TaxLink&amp;p=5245313","TL")</f>
        <v>TL</v>
      </c>
      <c r="C479" s="1" t="str">
        <f>HYPERLINK("http://digipan.lumentumllc.com/apps/getMap/index.php?p=5245313","Map")</f>
        <v>Map</v>
      </c>
      <c r="E479" t="s">
        <v>177</v>
      </c>
      <c r="F479" t="s">
        <v>178</v>
      </c>
      <c r="L479" t="s">
        <v>6934</v>
      </c>
      <c r="N479" t="s">
        <v>6934</v>
      </c>
      <c r="O479" t="s">
        <v>6934</v>
      </c>
      <c r="P479" t="s">
        <v>6935</v>
      </c>
      <c r="Q479" t="s">
        <v>6934</v>
      </c>
      <c r="V479">
        <v>552</v>
      </c>
      <c r="W479">
        <v>2</v>
      </c>
      <c r="X479">
        <v>2017</v>
      </c>
      <c r="Y479">
        <v>2018</v>
      </c>
      <c r="Z479">
        <v>536.41</v>
      </c>
      <c r="AB479" t="s">
        <v>181</v>
      </c>
      <c r="AC479" t="s">
        <v>182</v>
      </c>
      <c r="AD479" t="s">
        <v>183</v>
      </c>
      <c r="AE479">
        <v>1</v>
      </c>
      <c r="AF479">
        <v>7</v>
      </c>
      <c r="AG479" t="s">
        <v>418</v>
      </c>
      <c r="AH479">
        <v>86</v>
      </c>
      <c r="AI479">
        <v>531.58000000000004</v>
      </c>
      <c r="AJ479">
        <v>26.58</v>
      </c>
      <c r="AK479">
        <v>558.16</v>
      </c>
      <c r="AL479">
        <v>87389</v>
      </c>
      <c r="AM479">
        <v>17000</v>
      </c>
      <c r="AN479">
        <v>70389</v>
      </c>
      <c r="AO479">
        <v>467</v>
      </c>
      <c r="AP479">
        <v>2016</v>
      </c>
      <c r="AQ479">
        <v>0.61</v>
      </c>
      <c r="AR479">
        <v>0.64</v>
      </c>
      <c r="AS479" t="s">
        <v>6936</v>
      </c>
      <c r="AT479" t="s">
        <v>186</v>
      </c>
      <c r="AU479" t="s">
        <v>177</v>
      </c>
      <c r="AV479" t="s">
        <v>187</v>
      </c>
      <c r="AW479" t="s">
        <v>202</v>
      </c>
      <c r="AX479">
        <v>1</v>
      </c>
      <c r="AY479" t="s">
        <v>188</v>
      </c>
      <c r="AZ479" t="s">
        <v>206</v>
      </c>
      <c r="BA479" t="s">
        <v>355</v>
      </c>
      <c r="BB479" t="s">
        <v>191</v>
      </c>
      <c r="BC479" t="s">
        <v>182</v>
      </c>
      <c r="BD479" t="s">
        <v>182</v>
      </c>
      <c r="BE479" t="s">
        <v>3831</v>
      </c>
      <c r="BF479">
        <v>1</v>
      </c>
      <c r="BG479">
        <v>1</v>
      </c>
      <c r="BH479">
        <v>1970</v>
      </c>
      <c r="BI479" t="s">
        <v>6937</v>
      </c>
      <c r="BJ479" t="s">
        <v>194</v>
      </c>
      <c r="BK479" t="s">
        <v>195</v>
      </c>
      <c r="BL479" t="s">
        <v>4302</v>
      </c>
      <c r="BM479" t="s">
        <v>1598</v>
      </c>
      <c r="BN479" t="s">
        <v>182</v>
      </c>
      <c r="BO479" t="s">
        <v>198</v>
      </c>
      <c r="BP479" t="s">
        <v>198</v>
      </c>
      <c r="BQ479" t="s">
        <v>198</v>
      </c>
      <c r="BR479" t="s">
        <v>198</v>
      </c>
      <c r="BS479" t="s">
        <v>198</v>
      </c>
      <c r="BT479" t="s">
        <v>198</v>
      </c>
      <c r="BU479" t="s">
        <v>182</v>
      </c>
      <c r="BV479" t="s">
        <v>198</v>
      </c>
      <c r="BW479" t="s">
        <v>198</v>
      </c>
      <c r="BX479" t="s">
        <v>199</v>
      </c>
      <c r="BY479" t="s">
        <v>198</v>
      </c>
      <c r="BZ479" t="s">
        <v>199</v>
      </c>
      <c r="CA479" t="s">
        <v>199</v>
      </c>
      <c r="CB479" t="s">
        <v>6938</v>
      </c>
      <c r="CC479" t="s">
        <v>201</v>
      </c>
      <c r="CD479" t="s">
        <v>182</v>
      </c>
      <c r="CE479" t="s">
        <v>6939</v>
      </c>
      <c r="CF479" t="s">
        <v>204</v>
      </c>
      <c r="CG479" t="s">
        <v>177</v>
      </c>
      <c r="CH479" t="s">
        <v>187</v>
      </c>
      <c r="CI479" t="s">
        <v>6940</v>
      </c>
      <c r="CJ479" t="s">
        <v>6541</v>
      </c>
      <c r="CK479" t="s">
        <v>232</v>
      </c>
      <c r="CL479" t="s">
        <v>233</v>
      </c>
      <c r="CM479" t="s">
        <v>6941</v>
      </c>
      <c r="CN479" t="s">
        <v>235</v>
      </c>
      <c r="CO479" t="s">
        <v>183</v>
      </c>
      <c r="CP479" t="s">
        <v>266</v>
      </c>
      <c r="CS479" t="s">
        <v>198</v>
      </c>
      <c r="CT479" t="s">
        <v>6435</v>
      </c>
      <c r="CU479" t="s">
        <v>292</v>
      </c>
      <c r="CV479" t="s">
        <v>293</v>
      </c>
      <c r="CW479" t="s">
        <v>6942</v>
      </c>
      <c r="CX479" t="s">
        <v>235</v>
      </c>
      <c r="CY479" t="s">
        <v>183</v>
      </c>
      <c r="CZ479" t="s">
        <v>211</v>
      </c>
      <c r="DA479" t="s">
        <v>298</v>
      </c>
      <c r="DC479" t="s">
        <v>3703</v>
      </c>
      <c r="DD479" t="s">
        <v>6943</v>
      </c>
      <c r="DE479" t="s">
        <v>267</v>
      </c>
      <c r="DF479" t="s">
        <v>268</v>
      </c>
      <c r="DG479" t="s">
        <v>6944</v>
      </c>
      <c r="DH479" t="s">
        <v>235</v>
      </c>
      <c r="DI479" t="s">
        <v>183</v>
      </c>
      <c r="DJ479" t="s">
        <v>211</v>
      </c>
      <c r="DK479" t="s">
        <v>345</v>
      </c>
      <c r="DM479" t="s">
        <v>1068</v>
      </c>
      <c r="DN479" t="s">
        <v>6871</v>
      </c>
      <c r="DO479" t="s">
        <v>273</v>
      </c>
      <c r="DP479" t="s">
        <v>274</v>
      </c>
      <c r="DQ479" t="s">
        <v>6945</v>
      </c>
      <c r="DR479" t="s">
        <v>235</v>
      </c>
      <c r="DS479" t="s">
        <v>183</v>
      </c>
      <c r="DT479" t="s">
        <v>211</v>
      </c>
      <c r="DU479" t="s">
        <v>298</v>
      </c>
      <c r="DW479" t="s">
        <v>5484</v>
      </c>
      <c r="DX479" t="s">
        <v>6946</v>
      </c>
      <c r="DY479" t="s">
        <v>302</v>
      </c>
      <c r="DZ479" t="s">
        <v>303</v>
      </c>
      <c r="EA479" t="s">
        <v>6947</v>
      </c>
      <c r="EB479" t="s">
        <v>235</v>
      </c>
      <c r="EC479" t="s">
        <v>183</v>
      </c>
      <c r="ED479" t="s">
        <v>211</v>
      </c>
      <c r="EE479" t="s">
        <v>298</v>
      </c>
      <c r="EG479" t="s">
        <v>1616</v>
      </c>
      <c r="EH479" t="s">
        <v>5844</v>
      </c>
      <c r="EI479" t="s">
        <v>238</v>
      </c>
      <c r="EJ479" t="s">
        <v>239</v>
      </c>
      <c r="EK479" t="s">
        <v>6948</v>
      </c>
      <c r="EL479" t="s">
        <v>331</v>
      </c>
      <c r="EM479" t="s">
        <v>183</v>
      </c>
      <c r="EN479" t="s">
        <v>211</v>
      </c>
      <c r="EO479" t="s">
        <v>298</v>
      </c>
      <c r="EQ479" t="s">
        <v>1133</v>
      </c>
      <c r="ER479" t="s">
        <v>6949</v>
      </c>
      <c r="ES479" t="s">
        <v>346</v>
      </c>
      <c r="ET479" t="s">
        <v>347</v>
      </c>
      <c r="EU479" t="s">
        <v>6950</v>
      </c>
      <c r="EV479" t="s">
        <v>235</v>
      </c>
      <c r="EW479" t="s">
        <v>183</v>
      </c>
      <c r="EX479" t="s">
        <v>211</v>
      </c>
      <c r="EY479" t="s">
        <v>298</v>
      </c>
      <c r="FA479" t="s">
        <v>1622</v>
      </c>
      <c r="FB479" t="s">
        <v>6951</v>
      </c>
      <c r="FC479" t="s">
        <v>207</v>
      </c>
      <c r="FD479" t="s">
        <v>208</v>
      </c>
      <c r="FE479" t="s">
        <v>6952</v>
      </c>
      <c r="FF479" t="s">
        <v>688</v>
      </c>
      <c r="FG479" t="s">
        <v>183</v>
      </c>
      <c r="FH479" t="s">
        <v>211</v>
      </c>
      <c r="FI479" t="s">
        <v>298</v>
      </c>
      <c r="FK479" t="s">
        <v>474</v>
      </c>
      <c r="FU479" t="s">
        <v>198</v>
      </c>
    </row>
    <row r="480" spans="1:177">
      <c r="A480" s="1" t="str">
        <f>HYPERLINK("http://digipan.lumentumllc.com/apps/getLink/index.php?t=PropLink&amp;p=6461802","PL")</f>
        <v>PL</v>
      </c>
      <c r="B480" s="1" t="str">
        <f>HYPERLINK("http://digipan.lumentumllc.com/apps/getLink/index.php?t=TaxLink&amp;p=6461802","TL")</f>
        <v>TL</v>
      </c>
      <c r="C480" s="1" t="str">
        <f>HYPERLINK("http://digipan.lumentumllc.com/apps/getMap/index.php?p=6461802","Map")</f>
        <v>Map</v>
      </c>
      <c r="E480" t="s">
        <v>177</v>
      </c>
      <c r="F480" t="s">
        <v>178</v>
      </c>
      <c r="L480" t="s">
        <v>6953</v>
      </c>
      <c r="N480" t="s">
        <v>6953</v>
      </c>
      <c r="O480" t="s">
        <v>6953</v>
      </c>
      <c r="P480" t="s">
        <v>6954</v>
      </c>
      <c r="Q480" t="s">
        <v>6953</v>
      </c>
      <c r="V480">
        <v>553</v>
      </c>
      <c r="W480">
        <v>2</v>
      </c>
      <c r="X480">
        <v>2017</v>
      </c>
      <c r="Y480">
        <v>2018</v>
      </c>
      <c r="Z480">
        <v>1049</v>
      </c>
      <c r="AB480" t="s">
        <v>181</v>
      </c>
      <c r="AC480" t="s">
        <v>202</v>
      </c>
      <c r="AD480" t="s">
        <v>183</v>
      </c>
      <c r="AE480">
        <v>1</v>
      </c>
      <c r="AF480">
        <v>3</v>
      </c>
      <c r="AG480" t="s">
        <v>257</v>
      </c>
      <c r="AH480">
        <v>75</v>
      </c>
      <c r="AI480">
        <v>1030.8</v>
      </c>
      <c r="AJ480">
        <v>51.54</v>
      </c>
      <c r="AK480">
        <v>1082.3399999999999</v>
      </c>
      <c r="AL480">
        <v>110729</v>
      </c>
      <c r="AM480">
        <v>17100</v>
      </c>
      <c r="AN480">
        <v>93629</v>
      </c>
      <c r="AO480">
        <v>928</v>
      </c>
      <c r="AP480">
        <v>2016</v>
      </c>
      <c r="AQ480">
        <v>0.95</v>
      </c>
      <c r="AR480">
        <v>0.98</v>
      </c>
      <c r="AS480" t="s">
        <v>6955</v>
      </c>
      <c r="AT480" t="s">
        <v>186</v>
      </c>
      <c r="AU480" t="s">
        <v>177</v>
      </c>
      <c r="AV480" t="s">
        <v>187</v>
      </c>
      <c r="AW480" t="s">
        <v>202</v>
      </c>
      <c r="AX480">
        <v>1</v>
      </c>
      <c r="AY480" t="s">
        <v>188</v>
      </c>
      <c r="AZ480" t="s">
        <v>206</v>
      </c>
      <c r="BA480" t="s">
        <v>355</v>
      </c>
      <c r="BB480" t="s">
        <v>191</v>
      </c>
      <c r="BC480" t="s">
        <v>182</v>
      </c>
      <c r="BD480" t="s">
        <v>182</v>
      </c>
      <c r="BE480" t="s">
        <v>2393</v>
      </c>
      <c r="BF480">
        <v>1</v>
      </c>
      <c r="BG480">
        <v>1</v>
      </c>
      <c r="BH480">
        <v>1989</v>
      </c>
      <c r="BI480" t="s">
        <v>6956</v>
      </c>
      <c r="BJ480" t="s">
        <v>194</v>
      </c>
      <c r="BK480" t="s">
        <v>840</v>
      </c>
      <c r="BL480" t="s">
        <v>5540</v>
      </c>
      <c r="BM480" t="s">
        <v>302</v>
      </c>
      <c r="BN480" t="s">
        <v>182</v>
      </c>
      <c r="BO480" t="s">
        <v>6957</v>
      </c>
      <c r="BP480" t="s">
        <v>956</v>
      </c>
      <c r="BS480" t="s">
        <v>1301</v>
      </c>
      <c r="BT480" t="s">
        <v>198</v>
      </c>
      <c r="BU480" t="s">
        <v>182</v>
      </c>
      <c r="BV480" t="s">
        <v>198</v>
      </c>
      <c r="BW480" t="s">
        <v>198</v>
      </c>
      <c r="BX480" t="s">
        <v>199</v>
      </c>
      <c r="BY480" t="s">
        <v>198</v>
      </c>
      <c r="BZ480" t="s">
        <v>199</v>
      </c>
      <c r="CA480" t="s">
        <v>199</v>
      </c>
      <c r="CB480" t="s">
        <v>6958</v>
      </c>
      <c r="CC480" t="s">
        <v>201</v>
      </c>
      <c r="CD480" t="s">
        <v>182</v>
      </c>
      <c r="CE480" t="s">
        <v>6959</v>
      </c>
      <c r="CF480" t="s">
        <v>204</v>
      </c>
      <c r="CG480" t="s">
        <v>177</v>
      </c>
      <c r="CH480" t="s">
        <v>187</v>
      </c>
      <c r="CI480" t="s">
        <v>805</v>
      </c>
      <c r="CJ480" t="s">
        <v>6960</v>
      </c>
      <c r="CK480" t="s">
        <v>232</v>
      </c>
      <c r="CL480" t="s">
        <v>233</v>
      </c>
      <c r="CM480" t="s">
        <v>6961</v>
      </c>
      <c r="CN480" t="s">
        <v>235</v>
      </c>
      <c r="CO480" t="s">
        <v>183</v>
      </c>
      <c r="CP480" t="s">
        <v>266</v>
      </c>
      <c r="CS480" t="s">
        <v>198</v>
      </c>
      <c r="CT480" t="s">
        <v>6541</v>
      </c>
      <c r="CU480" t="s">
        <v>267</v>
      </c>
      <c r="CV480" t="s">
        <v>268</v>
      </c>
      <c r="CW480" t="s">
        <v>6962</v>
      </c>
      <c r="CX480" t="s">
        <v>235</v>
      </c>
      <c r="CY480" t="s">
        <v>183</v>
      </c>
      <c r="CZ480" t="s">
        <v>211</v>
      </c>
      <c r="DA480" t="s">
        <v>270</v>
      </c>
      <c r="DB480" t="s">
        <v>271</v>
      </c>
      <c r="DC480" t="s">
        <v>3650</v>
      </c>
      <c r="DD480" t="s">
        <v>6923</v>
      </c>
      <c r="DE480" t="s">
        <v>273</v>
      </c>
      <c r="DF480" t="s">
        <v>274</v>
      </c>
      <c r="DG480" t="s">
        <v>6963</v>
      </c>
      <c r="DH480" t="s">
        <v>235</v>
      </c>
      <c r="DI480" t="s">
        <v>183</v>
      </c>
      <c r="DJ480" t="s">
        <v>211</v>
      </c>
      <c r="DL480" t="s">
        <v>271</v>
      </c>
      <c r="DM480" t="s">
        <v>198</v>
      </c>
      <c r="DN480" t="s">
        <v>6964</v>
      </c>
      <c r="DO480" t="s">
        <v>302</v>
      </c>
      <c r="DP480" t="s">
        <v>303</v>
      </c>
      <c r="DQ480" t="s">
        <v>6965</v>
      </c>
      <c r="DR480" t="s">
        <v>235</v>
      </c>
      <c r="DS480" t="s">
        <v>183</v>
      </c>
      <c r="DT480" t="s">
        <v>211</v>
      </c>
      <c r="DU480" t="s">
        <v>847</v>
      </c>
      <c r="DW480" t="s">
        <v>6966</v>
      </c>
      <c r="EG480" t="s">
        <v>198</v>
      </c>
      <c r="EQ480" t="s">
        <v>198</v>
      </c>
      <c r="FA480" t="s">
        <v>198</v>
      </c>
      <c r="FK480" t="s">
        <v>198</v>
      </c>
      <c r="FU480" t="s">
        <v>198</v>
      </c>
    </row>
    <row r="481" spans="1:177">
      <c r="A481" s="1" t="str">
        <f>HYPERLINK("http://digipan.lumentumllc.com/apps/getLink/index.php?t=PropLink&amp;p=5245443","PL")</f>
        <v>PL</v>
      </c>
      <c r="B481" s="1" t="str">
        <f>HYPERLINK("http://digipan.lumentumllc.com/apps/getLink/index.php?t=TaxLink&amp;p=5245443","TL")</f>
        <v>TL</v>
      </c>
      <c r="C481" s="1" t="str">
        <f>HYPERLINK("http://digipan.lumentumllc.com/apps/getMap/index.php?p=5245443","Map")</f>
        <v>Map</v>
      </c>
      <c r="E481" t="s">
        <v>177</v>
      </c>
      <c r="F481" t="s">
        <v>178</v>
      </c>
      <c r="L481" t="s">
        <v>6967</v>
      </c>
      <c r="N481" t="s">
        <v>6967</v>
      </c>
      <c r="O481" t="s">
        <v>6967</v>
      </c>
      <c r="P481" t="s">
        <v>6968</v>
      </c>
      <c r="Q481" t="s">
        <v>6967</v>
      </c>
      <c r="V481">
        <v>554</v>
      </c>
      <c r="W481">
        <v>2</v>
      </c>
      <c r="X481">
        <v>2017</v>
      </c>
      <c r="Y481">
        <v>2018</v>
      </c>
      <c r="Z481">
        <v>100.88</v>
      </c>
      <c r="AB481" t="s">
        <v>181</v>
      </c>
      <c r="AC481" t="s">
        <v>202</v>
      </c>
      <c r="AD481" t="s">
        <v>183</v>
      </c>
      <c r="AE481">
        <v>0</v>
      </c>
      <c r="AF481">
        <v>6</v>
      </c>
      <c r="AG481" t="s">
        <v>3266</v>
      </c>
      <c r="AH481">
        <v>100</v>
      </c>
      <c r="AK481">
        <v>0</v>
      </c>
      <c r="AL481">
        <v>4560</v>
      </c>
      <c r="AM481">
        <v>4560</v>
      </c>
      <c r="AN481">
        <v>0</v>
      </c>
      <c r="AO481">
        <v>65</v>
      </c>
      <c r="AP481">
        <v>2016</v>
      </c>
      <c r="AQ481">
        <v>2.21</v>
      </c>
      <c r="AS481" t="s">
        <v>5862</v>
      </c>
      <c r="AT481" t="s">
        <v>186</v>
      </c>
      <c r="AU481" t="s">
        <v>177</v>
      </c>
      <c r="AV481" t="s">
        <v>187</v>
      </c>
      <c r="AW481" t="s">
        <v>182</v>
      </c>
      <c r="AX481">
        <v>0</v>
      </c>
      <c r="AY481" t="s">
        <v>312</v>
      </c>
      <c r="AZ481" t="s">
        <v>199</v>
      </c>
      <c r="BA481" t="s">
        <v>313</v>
      </c>
      <c r="BB481" t="s">
        <v>191</v>
      </c>
      <c r="BC481" t="s">
        <v>182</v>
      </c>
      <c r="BD481" t="s">
        <v>182</v>
      </c>
      <c r="BE481" t="s">
        <v>5992</v>
      </c>
      <c r="BF481">
        <v>0</v>
      </c>
      <c r="BG481">
        <v>0</v>
      </c>
      <c r="BH481">
        <v>0</v>
      </c>
      <c r="BI481" t="s">
        <v>199</v>
      </c>
      <c r="BJ481" t="s">
        <v>248</v>
      </c>
      <c r="BL481" t="s">
        <v>199</v>
      </c>
      <c r="BM481" t="s">
        <v>358</v>
      </c>
      <c r="BN481" t="s">
        <v>182</v>
      </c>
      <c r="BO481" t="s">
        <v>198</v>
      </c>
      <c r="BP481" t="s">
        <v>198</v>
      </c>
      <c r="BQ481" t="s">
        <v>198</v>
      </c>
      <c r="BR481" t="s">
        <v>198</v>
      </c>
      <c r="BS481" t="s">
        <v>198</v>
      </c>
      <c r="BT481" t="s">
        <v>198</v>
      </c>
      <c r="BU481" t="s">
        <v>182</v>
      </c>
      <c r="BV481" t="s">
        <v>198</v>
      </c>
      <c r="BW481" t="s">
        <v>198</v>
      </c>
      <c r="BX481" t="s">
        <v>199</v>
      </c>
      <c r="BY481" t="s">
        <v>198</v>
      </c>
      <c r="BZ481" t="s">
        <v>199</v>
      </c>
      <c r="CA481" t="s">
        <v>199</v>
      </c>
      <c r="CB481" t="s">
        <v>6969</v>
      </c>
      <c r="CC481" t="s">
        <v>201</v>
      </c>
      <c r="CD481" t="s">
        <v>202</v>
      </c>
      <c r="CE481" t="s">
        <v>6970</v>
      </c>
      <c r="CF481" t="s">
        <v>204</v>
      </c>
      <c r="CG481" t="s">
        <v>177</v>
      </c>
      <c r="CH481" t="s">
        <v>187</v>
      </c>
      <c r="CI481" t="s">
        <v>6971</v>
      </c>
      <c r="CJ481" t="s">
        <v>6501</v>
      </c>
      <c r="CK481" t="s">
        <v>292</v>
      </c>
      <c r="CL481" t="s">
        <v>293</v>
      </c>
      <c r="CM481" t="s">
        <v>6972</v>
      </c>
      <c r="CN481" t="s">
        <v>482</v>
      </c>
      <c r="CO481" t="s">
        <v>183</v>
      </c>
      <c r="CP481" t="s">
        <v>211</v>
      </c>
      <c r="CQ481" t="s">
        <v>212</v>
      </c>
      <c r="CR481" t="s">
        <v>271</v>
      </c>
      <c r="CS481" t="s">
        <v>6973</v>
      </c>
      <c r="CT481" t="s">
        <v>6960</v>
      </c>
      <c r="CU481" t="s">
        <v>267</v>
      </c>
      <c r="CV481" t="s">
        <v>268</v>
      </c>
      <c r="CW481" t="s">
        <v>6974</v>
      </c>
      <c r="CX481" t="s">
        <v>482</v>
      </c>
      <c r="CY481" t="s">
        <v>183</v>
      </c>
      <c r="CZ481" t="s">
        <v>211</v>
      </c>
      <c r="DA481" t="s">
        <v>334</v>
      </c>
      <c r="DB481" t="s">
        <v>271</v>
      </c>
      <c r="DC481" t="s">
        <v>6973</v>
      </c>
      <c r="DD481" t="s">
        <v>6975</v>
      </c>
      <c r="DE481" t="s">
        <v>302</v>
      </c>
      <c r="DF481" t="s">
        <v>303</v>
      </c>
      <c r="DG481" t="s">
        <v>6976</v>
      </c>
      <c r="DH481" t="s">
        <v>3342</v>
      </c>
      <c r="DI481" t="s">
        <v>183</v>
      </c>
      <c r="DJ481" t="s">
        <v>211</v>
      </c>
      <c r="DL481" t="s">
        <v>271</v>
      </c>
      <c r="DM481" t="s">
        <v>198</v>
      </c>
      <c r="DN481" t="s">
        <v>6977</v>
      </c>
      <c r="DO481" t="s">
        <v>238</v>
      </c>
      <c r="DP481" t="s">
        <v>239</v>
      </c>
      <c r="DQ481" t="s">
        <v>6978</v>
      </c>
      <c r="DR481" t="s">
        <v>247</v>
      </c>
      <c r="DS481" t="s">
        <v>183</v>
      </c>
      <c r="DT481" t="s">
        <v>211</v>
      </c>
      <c r="DU481" t="s">
        <v>199</v>
      </c>
      <c r="DW481" t="s">
        <v>6979</v>
      </c>
      <c r="DX481" t="s">
        <v>252</v>
      </c>
      <c r="DY481" t="s">
        <v>346</v>
      </c>
      <c r="DZ481" t="s">
        <v>347</v>
      </c>
      <c r="EA481" t="s">
        <v>6980</v>
      </c>
      <c r="EB481" t="s">
        <v>314</v>
      </c>
      <c r="EC481" t="s">
        <v>183</v>
      </c>
      <c r="ED481" t="s">
        <v>211</v>
      </c>
      <c r="EE481" t="s">
        <v>342</v>
      </c>
      <c r="EG481" t="s">
        <v>1703</v>
      </c>
      <c r="EH481" t="s">
        <v>6981</v>
      </c>
      <c r="EI481" t="s">
        <v>207</v>
      </c>
      <c r="EJ481" t="s">
        <v>208</v>
      </c>
      <c r="EK481" t="s">
        <v>6982</v>
      </c>
      <c r="EL481" t="s">
        <v>469</v>
      </c>
      <c r="EM481" t="s">
        <v>183</v>
      </c>
      <c r="EN481" t="s">
        <v>211</v>
      </c>
      <c r="EO481" t="s">
        <v>298</v>
      </c>
      <c r="EQ481" t="s">
        <v>474</v>
      </c>
      <c r="FA481" t="s">
        <v>198</v>
      </c>
      <c r="FK481" t="s">
        <v>198</v>
      </c>
      <c r="FU481" t="s">
        <v>198</v>
      </c>
    </row>
    <row r="482" spans="1:177">
      <c r="A482" s="1" t="str">
        <f>HYPERLINK("http://digipan.lumentumllc.com/apps/getLink/index.php?t=PropLink&amp;p=5245444","PL")</f>
        <v>PL</v>
      </c>
      <c r="B482" s="1" t="str">
        <f>HYPERLINK("http://digipan.lumentumllc.com/apps/getLink/index.php?t=TaxLink&amp;p=5245444","TL")</f>
        <v>TL</v>
      </c>
      <c r="C482" s="1" t="str">
        <f>HYPERLINK("http://digipan.lumentumllc.com/apps/getMap/index.php?p=5245444","Map")</f>
        <v>Map</v>
      </c>
      <c r="E482" t="s">
        <v>177</v>
      </c>
      <c r="F482" t="s">
        <v>178</v>
      </c>
      <c r="L482" t="s">
        <v>6983</v>
      </c>
      <c r="N482" t="s">
        <v>6983</v>
      </c>
      <c r="O482" t="s">
        <v>6983</v>
      </c>
      <c r="P482" t="s">
        <v>6984</v>
      </c>
      <c r="Q482" t="s">
        <v>6983</v>
      </c>
      <c r="V482">
        <v>555</v>
      </c>
      <c r="W482">
        <v>2</v>
      </c>
      <c r="X482">
        <v>2017</v>
      </c>
      <c r="Y482">
        <v>2018</v>
      </c>
      <c r="Z482">
        <v>60.33</v>
      </c>
      <c r="AB482" t="s">
        <v>181</v>
      </c>
      <c r="AC482" t="s">
        <v>182</v>
      </c>
      <c r="AD482" t="s">
        <v>1037</v>
      </c>
      <c r="AE482">
        <v>7</v>
      </c>
      <c r="AF482">
        <v>0</v>
      </c>
      <c r="AG482" t="s">
        <v>1038</v>
      </c>
      <c r="AH482">
        <v>0</v>
      </c>
      <c r="AI482">
        <v>430.02</v>
      </c>
      <c r="AJ482">
        <v>312</v>
      </c>
      <c r="AK482">
        <v>742.02</v>
      </c>
      <c r="AL482">
        <v>1875</v>
      </c>
      <c r="AM482">
        <v>1875</v>
      </c>
      <c r="AN482">
        <v>0</v>
      </c>
      <c r="AO482">
        <v>27</v>
      </c>
      <c r="AP482">
        <v>2016</v>
      </c>
      <c r="AQ482">
        <v>3.22</v>
      </c>
      <c r="AR482">
        <v>39.57</v>
      </c>
      <c r="AS482" t="s">
        <v>6985</v>
      </c>
      <c r="AT482" t="s">
        <v>186</v>
      </c>
      <c r="AU482" t="s">
        <v>177</v>
      </c>
      <c r="AV482" t="s">
        <v>187</v>
      </c>
      <c r="AW482" t="s">
        <v>182</v>
      </c>
      <c r="AX482">
        <v>0</v>
      </c>
      <c r="AY482" t="s">
        <v>312</v>
      </c>
      <c r="AZ482" t="s">
        <v>199</v>
      </c>
      <c r="BA482" t="s">
        <v>313</v>
      </c>
      <c r="BB482" t="s">
        <v>191</v>
      </c>
      <c r="BC482" t="s">
        <v>182</v>
      </c>
      <c r="BD482" t="s">
        <v>182</v>
      </c>
      <c r="BE482" t="s">
        <v>6986</v>
      </c>
      <c r="BF482">
        <v>0</v>
      </c>
      <c r="BG482">
        <v>0</v>
      </c>
      <c r="BH482">
        <v>0</v>
      </c>
      <c r="BI482" t="s">
        <v>199</v>
      </c>
      <c r="BJ482" t="s">
        <v>248</v>
      </c>
      <c r="BL482" t="s">
        <v>1225</v>
      </c>
      <c r="BM482" t="s">
        <v>1825</v>
      </c>
      <c r="BN482" t="s">
        <v>182</v>
      </c>
      <c r="BO482" t="s">
        <v>198</v>
      </c>
      <c r="BP482" t="s">
        <v>198</v>
      </c>
      <c r="BQ482" t="s">
        <v>198</v>
      </c>
      <c r="BR482" t="s">
        <v>198</v>
      </c>
      <c r="BS482" t="s">
        <v>198</v>
      </c>
      <c r="BT482" t="s">
        <v>198</v>
      </c>
      <c r="BU482" t="s">
        <v>182</v>
      </c>
      <c r="BV482" t="s">
        <v>198</v>
      </c>
      <c r="BW482" t="s">
        <v>198</v>
      </c>
      <c r="BX482" t="s">
        <v>199</v>
      </c>
      <c r="BY482" t="s">
        <v>198</v>
      </c>
      <c r="BZ482" t="s">
        <v>199</v>
      </c>
      <c r="CA482" t="s">
        <v>199</v>
      </c>
      <c r="CB482" t="s">
        <v>6987</v>
      </c>
      <c r="CC482" t="s">
        <v>201</v>
      </c>
      <c r="CD482" t="s">
        <v>182</v>
      </c>
      <c r="CE482" t="s">
        <v>6988</v>
      </c>
      <c r="CF482" t="s">
        <v>204</v>
      </c>
      <c r="CG482" t="s">
        <v>177</v>
      </c>
      <c r="CH482" t="s">
        <v>187</v>
      </c>
      <c r="CI482" t="s">
        <v>6989</v>
      </c>
      <c r="CJ482" t="s">
        <v>6583</v>
      </c>
      <c r="CK482" t="s">
        <v>232</v>
      </c>
      <c r="CL482" t="s">
        <v>233</v>
      </c>
      <c r="CM482" t="s">
        <v>6990</v>
      </c>
      <c r="CN482" t="s">
        <v>482</v>
      </c>
      <c r="CO482" t="s">
        <v>5</v>
      </c>
      <c r="CP482" t="s">
        <v>266</v>
      </c>
      <c r="CS482" t="s">
        <v>198</v>
      </c>
      <c r="CT482" t="s">
        <v>6884</v>
      </c>
      <c r="CU482" t="s">
        <v>292</v>
      </c>
      <c r="CV482" t="s">
        <v>293</v>
      </c>
      <c r="CW482" t="s">
        <v>6991</v>
      </c>
      <c r="CX482" t="s">
        <v>482</v>
      </c>
      <c r="CY482" t="s">
        <v>5</v>
      </c>
      <c r="CZ482" t="s">
        <v>266</v>
      </c>
      <c r="DC482" t="s">
        <v>198</v>
      </c>
      <c r="DD482" t="s">
        <v>6583</v>
      </c>
      <c r="DE482" t="s">
        <v>267</v>
      </c>
      <c r="DF482" t="s">
        <v>268</v>
      </c>
      <c r="DG482" t="s">
        <v>6992</v>
      </c>
      <c r="DH482" t="s">
        <v>482</v>
      </c>
      <c r="DI482" t="s">
        <v>183</v>
      </c>
      <c r="DJ482" t="s">
        <v>266</v>
      </c>
      <c r="DM482" t="s">
        <v>198</v>
      </c>
      <c r="DN482" t="s">
        <v>6943</v>
      </c>
      <c r="DO482" t="s">
        <v>273</v>
      </c>
      <c r="DP482" t="s">
        <v>274</v>
      </c>
      <c r="DQ482" t="s">
        <v>6993</v>
      </c>
      <c r="DR482" t="s">
        <v>482</v>
      </c>
      <c r="DS482" t="s">
        <v>183</v>
      </c>
      <c r="DT482" t="s">
        <v>266</v>
      </c>
      <c r="DW482" t="s">
        <v>198</v>
      </c>
      <c r="DX482" t="s">
        <v>6994</v>
      </c>
      <c r="DY482" t="s">
        <v>302</v>
      </c>
      <c r="DZ482" t="s">
        <v>303</v>
      </c>
      <c r="EA482" t="s">
        <v>1047</v>
      </c>
      <c r="EB482" t="s">
        <v>1615</v>
      </c>
      <c r="EC482" t="s">
        <v>183</v>
      </c>
      <c r="ED482" t="s">
        <v>266</v>
      </c>
      <c r="EG482" t="s">
        <v>198</v>
      </c>
      <c r="EH482" t="s">
        <v>6995</v>
      </c>
      <c r="EI482" t="s">
        <v>238</v>
      </c>
      <c r="EJ482" t="s">
        <v>239</v>
      </c>
      <c r="EK482" t="s">
        <v>6996</v>
      </c>
      <c r="EL482" t="s">
        <v>482</v>
      </c>
      <c r="EM482" t="s">
        <v>183</v>
      </c>
      <c r="EN482" t="s">
        <v>266</v>
      </c>
      <c r="EQ482" t="s">
        <v>198</v>
      </c>
      <c r="ER482" t="s">
        <v>276</v>
      </c>
      <c r="ES482" t="s">
        <v>346</v>
      </c>
      <c r="ET482" t="s">
        <v>347</v>
      </c>
      <c r="EU482" t="s">
        <v>6997</v>
      </c>
      <c r="EV482" t="s">
        <v>482</v>
      </c>
      <c r="EW482" t="s">
        <v>183</v>
      </c>
      <c r="EX482" t="s">
        <v>266</v>
      </c>
      <c r="FA482" t="s">
        <v>198</v>
      </c>
      <c r="FK482" t="s">
        <v>198</v>
      </c>
      <c r="FU482" t="s">
        <v>198</v>
      </c>
    </row>
    <row r="483" spans="1:177">
      <c r="A483" s="1" t="str">
        <f>HYPERLINK("http://digipan.lumentumllc.com/apps/getLink/index.php?t=PropLink&amp;p=15743431","PL")</f>
        <v>PL</v>
      </c>
      <c r="B483" s="1" t="str">
        <f>HYPERLINK("http://digipan.lumentumllc.com/apps/getLink/index.php?t=TaxLink&amp;p=15743431","TL")</f>
        <v>TL</v>
      </c>
      <c r="C483" s="1" t="str">
        <f>HYPERLINK("http://digipan.lumentumllc.com/apps/getMap/index.php?p=15743431","Map")</f>
        <v>Map</v>
      </c>
      <c r="E483" t="s">
        <v>177</v>
      </c>
      <c r="F483" t="s">
        <v>178</v>
      </c>
      <c r="L483" t="s">
        <v>6998</v>
      </c>
      <c r="N483" t="s">
        <v>6998</v>
      </c>
      <c r="O483" t="s">
        <v>6998</v>
      </c>
      <c r="Q483" t="s">
        <v>6998</v>
      </c>
      <c r="V483">
        <v>557</v>
      </c>
      <c r="W483">
        <v>2</v>
      </c>
      <c r="X483">
        <v>2017</v>
      </c>
      <c r="Y483">
        <v>2018</v>
      </c>
      <c r="Z483">
        <v>167.92</v>
      </c>
      <c r="AG483" t="s">
        <v>184</v>
      </c>
      <c r="AH483">
        <v>0</v>
      </c>
      <c r="AK483">
        <v>0</v>
      </c>
      <c r="AL483">
        <v>9000</v>
      </c>
      <c r="AM483">
        <v>9000</v>
      </c>
      <c r="AN483">
        <v>0</v>
      </c>
      <c r="AO483">
        <v>128</v>
      </c>
      <c r="AP483">
        <v>2016</v>
      </c>
      <c r="AQ483">
        <v>1.87</v>
      </c>
      <c r="AS483" t="s">
        <v>6999</v>
      </c>
      <c r="AT483" t="s">
        <v>186</v>
      </c>
      <c r="AU483" t="s">
        <v>177</v>
      </c>
      <c r="AV483" t="s">
        <v>187</v>
      </c>
      <c r="AW483" t="s">
        <v>182</v>
      </c>
      <c r="AX483">
        <v>0</v>
      </c>
      <c r="AY483" t="s">
        <v>312</v>
      </c>
      <c r="AZ483" t="s">
        <v>199</v>
      </c>
      <c r="BA483" t="s">
        <v>313</v>
      </c>
      <c r="BB483" t="s">
        <v>191</v>
      </c>
      <c r="BC483" t="s">
        <v>182</v>
      </c>
      <c r="BD483" t="s">
        <v>182</v>
      </c>
      <c r="BE483" t="s">
        <v>5975</v>
      </c>
      <c r="BF483">
        <v>0</v>
      </c>
      <c r="BG483">
        <v>0</v>
      </c>
      <c r="BH483">
        <v>0</v>
      </c>
      <c r="BI483" t="s">
        <v>199</v>
      </c>
      <c r="BJ483" t="s">
        <v>248</v>
      </c>
      <c r="BL483" t="s">
        <v>7000</v>
      </c>
      <c r="BM483" t="s">
        <v>325</v>
      </c>
      <c r="BN483" t="s">
        <v>182</v>
      </c>
      <c r="BO483" t="s">
        <v>198</v>
      </c>
      <c r="BP483" t="s">
        <v>198</v>
      </c>
      <c r="BQ483" t="s">
        <v>198</v>
      </c>
      <c r="BR483" t="s">
        <v>198</v>
      </c>
      <c r="BS483" t="s">
        <v>198</v>
      </c>
      <c r="BT483" t="s">
        <v>198</v>
      </c>
      <c r="BU483" t="s">
        <v>182</v>
      </c>
      <c r="BV483" t="s">
        <v>198</v>
      </c>
      <c r="BW483" t="s">
        <v>198</v>
      </c>
      <c r="BX483" t="s">
        <v>199</v>
      </c>
      <c r="BY483" t="s">
        <v>198</v>
      </c>
      <c r="BZ483" t="s">
        <v>199</v>
      </c>
      <c r="CA483" t="s">
        <v>199</v>
      </c>
      <c r="CB483" t="s">
        <v>7001</v>
      </c>
      <c r="CC483" t="s">
        <v>201</v>
      </c>
      <c r="CD483" t="s">
        <v>182</v>
      </c>
      <c r="CE483" t="s">
        <v>7002</v>
      </c>
      <c r="CF483" t="s">
        <v>204</v>
      </c>
      <c r="CG483" t="s">
        <v>177</v>
      </c>
      <c r="CH483" t="s">
        <v>187</v>
      </c>
      <c r="CI483" t="s">
        <v>7003</v>
      </c>
      <c r="CS483" t="s">
        <v>198</v>
      </c>
      <c r="DC483" t="s">
        <v>198</v>
      </c>
      <c r="DM483" t="s">
        <v>198</v>
      </c>
      <c r="DW483" t="s">
        <v>198</v>
      </c>
      <c r="EG483" t="s">
        <v>198</v>
      </c>
      <c r="EQ483" t="s">
        <v>198</v>
      </c>
      <c r="FA483" t="s">
        <v>198</v>
      </c>
      <c r="FK483" t="s">
        <v>198</v>
      </c>
      <c r="FU483" t="s">
        <v>198</v>
      </c>
    </row>
    <row r="484" spans="1:177">
      <c r="A484" s="1" t="str">
        <f>HYPERLINK("http://digipan.lumentumllc.com/apps/getLink/index.php?t=PropLink&amp;p=15743834","PL")</f>
        <v>PL</v>
      </c>
      <c r="B484" s="1" t="str">
        <f>HYPERLINK("http://digipan.lumentumllc.com/apps/getLink/index.php?t=TaxLink&amp;p=15743834","TL")</f>
        <v>TL</v>
      </c>
      <c r="C484" s="1" t="str">
        <f>HYPERLINK("http://digipan.lumentumllc.com/apps/getMap/index.php?p=15743834","Map")</f>
        <v>Map</v>
      </c>
      <c r="E484" t="s">
        <v>177</v>
      </c>
      <c r="F484" t="s">
        <v>178</v>
      </c>
      <c r="L484" t="s">
        <v>7004</v>
      </c>
      <c r="N484" t="s">
        <v>7004</v>
      </c>
      <c r="O484" t="s">
        <v>7004</v>
      </c>
      <c r="Q484" t="s">
        <v>7004</v>
      </c>
      <c r="V484">
        <v>558</v>
      </c>
      <c r="W484">
        <v>2</v>
      </c>
      <c r="X484">
        <v>2017</v>
      </c>
      <c r="Y484">
        <v>2018</v>
      </c>
      <c r="Z484">
        <v>252.72</v>
      </c>
      <c r="AB484" t="s">
        <v>181</v>
      </c>
      <c r="AC484" t="s">
        <v>182</v>
      </c>
      <c r="AD484" t="s">
        <v>183</v>
      </c>
      <c r="AE484">
        <v>0</v>
      </c>
      <c r="AF484">
        <v>2</v>
      </c>
      <c r="AG484" t="s">
        <v>821</v>
      </c>
      <c r="AH484">
        <v>100</v>
      </c>
      <c r="AK484">
        <v>0</v>
      </c>
      <c r="AL484">
        <v>47898</v>
      </c>
      <c r="AM484">
        <v>15900</v>
      </c>
      <c r="AN484">
        <v>31998</v>
      </c>
      <c r="AO484">
        <v>195</v>
      </c>
      <c r="AP484">
        <v>2016</v>
      </c>
      <c r="AQ484">
        <v>0.53</v>
      </c>
      <c r="AS484" t="s">
        <v>7005</v>
      </c>
      <c r="AT484" t="s">
        <v>186</v>
      </c>
      <c r="AU484" t="s">
        <v>177</v>
      </c>
      <c r="AV484" t="s">
        <v>187</v>
      </c>
      <c r="AW484" t="s">
        <v>202</v>
      </c>
      <c r="AX484">
        <v>2</v>
      </c>
      <c r="AY484" t="s">
        <v>188</v>
      </c>
      <c r="AZ484" t="s">
        <v>189</v>
      </c>
      <c r="BA484" t="s">
        <v>190</v>
      </c>
      <c r="BB484" t="s">
        <v>191</v>
      </c>
      <c r="BC484" t="s">
        <v>182</v>
      </c>
      <c r="BD484" t="s">
        <v>182</v>
      </c>
      <c r="BE484" t="s">
        <v>4906</v>
      </c>
      <c r="BF484">
        <v>1</v>
      </c>
      <c r="BG484">
        <v>1</v>
      </c>
      <c r="BH484">
        <v>1998</v>
      </c>
      <c r="BI484" t="s">
        <v>7006</v>
      </c>
      <c r="BJ484" t="s">
        <v>194</v>
      </c>
      <c r="BK484" t="s">
        <v>195</v>
      </c>
      <c r="BL484" t="s">
        <v>7007</v>
      </c>
      <c r="BM484" t="s">
        <v>1311</v>
      </c>
      <c r="BN484" t="s">
        <v>182</v>
      </c>
      <c r="BO484" t="s">
        <v>198</v>
      </c>
      <c r="BP484" t="s">
        <v>198</v>
      </c>
      <c r="BQ484" t="s">
        <v>198</v>
      </c>
      <c r="BR484" t="s">
        <v>198</v>
      </c>
      <c r="BS484" t="s">
        <v>198</v>
      </c>
      <c r="BT484" t="s">
        <v>198</v>
      </c>
      <c r="BU484" t="s">
        <v>182</v>
      </c>
      <c r="BV484" t="s">
        <v>198</v>
      </c>
      <c r="BW484" t="s">
        <v>198</v>
      </c>
      <c r="BX484" t="s">
        <v>199</v>
      </c>
      <c r="BY484" t="s">
        <v>198</v>
      </c>
      <c r="BZ484" t="s">
        <v>199</v>
      </c>
      <c r="CA484" t="s">
        <v>199</v>
      </c>
      <c r="CB484" t="s">
        <v>7008</v>
      </c>
      <c r="CC484" t="s">
        <v>201</v>
      </c>
      <c r="CD484" t="s">
        <v>182</v>
      </c>
      <c r="CE484" t="s">
        <v>7009</v>
      </c>
      <c r="CF484" t="s">
        <v>204</v>
      </c>
      <c r="CG484" t="s">
        <v>177</v>
      </c>
      <c r="CH484" t="s">
        <v>187</v>
      </c>
      <c r="CI484" t="s">
        <v>1955</v>
      </c>
      <c r="CJ484" t="s">
        <v>6904</v>
      </c>
      <c r="CK484" t="s">
        <v>292</v>
      </c>
      <c r="CL484" t="s">
        <v>293</v>
      </c>
      <c r="CM484" t="s">
        <v>7010</v>
      </c>
      <c r="CN484" t="s">
        <v>482</v>
      </c>
      <c r="CO484" t="s">
        <v>183</v>
      </c>
      <c r="CP484" t="s">
        <v>211</v>
      </c>
      <c r="CQ484" t="s">
        <v>329</v>
      </c>
      <c r="CS484" t="s">
        <v>7011</v>
      </c>
      <c r="CT484" t="s">
        <v>7012</v>
      </c>
      <c r="CU484" t="s">
        <v>207</v>
      </c>
      <c r="CV484" t="s">
        <v>208</v>
      </c>
      <c r="CW484" t="s">
        <v>7013</v>
      </c>
      <c r="CX484" t="s">
        <v>1966</v>
      </c>
      <c r="CY484" t="s">
        <v>183</v>
      </c>
      <c r="CZ484" t="s">
        <v>211</v>
      </c>
      <c r="DA484" t="s">
        <v>206</v>
      </c>
      <c r="DC484" t="s">
        <v>7014</v>
      </c>
      <c r="DM484" t="s">
        <v>198</v>
      </c>
      <c r="DW484" t="s">
        <v>198</v>
      </c>
      <c r="EG484" t="s">
        <v>198</v>
      </c>
      <c r="EQ484" t="s">
        <v>198</v>
      </c>
      <c r="FA484" t="s">
        <v>198</v>
      </c>
      <c r="FK484" t="s">
        <v>198</v>
      </c>
      <c r="FU484" t="s">
        <v>198</v>
      </c>
    </row>
    <row r="485" spans="1:177">
      <c r="A485" s="1" t="str">
        <f>HYPERLINK("http://digipan.lumentumllc.com/apps/getLink/index.php?t=PropLink&amp;p=6461808","PL")</f>
        <v>PL</v>
      </c>
      <c r="B485" s="1" t="str">
        <f>HYPERLINK("http://digipan.lumentumllc.com/apps/getLink/index.php?t=TaxLink&amp;p=6461808","TL")</f>
        <v>TL</v>
      </c>
      <c r="C485" s="1" t="str">
        <f>HYPERLINK("http://digipan.lumentumllc.com/apps/getMap/index.php?p=6461808","Map")</f>
        <v>Map</v>
      </c>
      <c r="E485" t="s">
        <v>177</v>
      </c>
      <c r="F485" t="s">
        <v>178</v>
      </c>
      <c r="L485" t="s">
        <v>7015</v>
      </c>
      <c r="N485" t="s">
        <v>7015</v>
      </c>
      <c r="O485" t="s">
        <v>7015</v>
      </c>
      <c r="P485" t="s">
        <v>7016</v>
      </c>
      <c r="Q485" t="s">
        <v>7015</v>
      </c>
      <c r="V485">
        <v>559</v>
      </c>
      <c r="W485">
        <v>2</v>
      </c>
      <c r="X485">
        <v>2017</v>
      </c>
      <c r="Y485">
        <v>2018</v>
      </c>
      <c r="Z485">
        <v>539.16</v>
      </c>
      <c r="AB485" t="s">
        <v>181</v>
      </c>
      <c r="AC485" t="s">
        <v>182</v>
      </c>
      <c r="AD485" t="s">
        <v>183</v>
      </c>
      <c r="AE485">
        <v>0</v>
      </c>
      <c r="AF485">
        <v>6</v>
      </c>
      <c r="AG485" t="s">
        <v>528</v>
      </c>
      <c r="AH485">
        <v>100</v>
      </c>
      <c r="AK485">
        <v>0</v>
      </c>
      <c r="AL485">
        <v>35538</v>
      </c>
      <c r="AM485">
        <v>16050</v>
      </c>
      <c r="AN485">
        <v>19488</v>
      </c>
      <c r="AO485">
        <v>383</v>
      </c>
      <c r="AP485">
        <v>2016</v>
      </c>
      <c r="AQ485">
        <v>1.52</v>
      </c>
      <c r="AS485" t="s">
        <v>7017</v>
      </c>
      <c r="AT485" t="s">
        <v>186</v>
      </c>
      <c r="AU485" t="s">
        <v>177</v>
      </c>
      <c r="AV485" t="s">
        <v>187</v>
      </c>
      <c r="AW485" t="s">
        <v>182</v>
      </c>
      <c r="AX485">
        <v>2</v>
      </c>
      <c r="AY485" t="s">
        <v>188</v>
      </c>
      <c r="AZ485" t="s">
        <v>189</v>
      </c>
      <c r="BA485" t="s">
        <v>190</v>
      </c>
      <c r="BB485" t="s">
        <v>191</v>
      </c>
      <c r="BC485" t="s">
        <v>182</v>
      </c>
      <c r="BD485" t="s">
        <v>182</v>
      </c>
      <c r="BE485" t="s">
        <v>3783</v>
      </c>
      <c r="BF485">
        <v>1</v>
      </c>
      <c r="BG485">
        <v>1</v>
      </c>
      <c r="BH485">
        <v>1993</v>
      </c>
      <c r="BI485" t="s">
        <v>1530</v>
      </c>
      <c r="BJ485" t="s">
        <v>194</v>
      </c>
      <c r="BK485" t="s">
        <v>195</v>
      </c>
      <c r="BL485" t="s">
        <v>7018</v>
      </c>
      <c r="BM485" t="s">
        <v>1311</v>
      </c>
      <c r="BN485" t="s">
        <v>182</v>
      </c>
      <c r="BO485" t="s">
        <v>198</v>
      </c>
      <c r="BP485" t="s">
        <v>198</v>
      </c>
      <c r="BQ485" t="s">
        <v>198</v>
      </c>
      <c r="BR485" t="s">
        <v>198</v>
      </c>
      <c r="BS485" t="s">
        <v>198</v>
      </c>
      <c r="BT485" t="s">
        <v>198</v>
      </c>
      <c r="BU485" t="s">
        <v>182</v>
      </c>
      <c r="BV485" t="s">
        <v>198</v>
      </c>
      <c r="BW485" t="s">
        <v>198</v>
      </c>
      <c r="BX485" t="s">
        <v>199</v>
      </c>
      <c r="BY485" t="s">
        <v>198</v>
      </c>
      <c r="BZ485" t="s">
        <v>199</v>
      </c>
      <c r="CA485" t="s">
        <v>199</v>
      </c>
      <c r="CB485" t="s">
        <v>7019</v>
      </c>
      <c r="CC485" t="s">
        <v>201</v>
      </c>
      <c r="CD485" t="s">
        <v>182</v>
      </c>
      <c r="CE485" t="s">
        <v>7020</v>
      </c>
      <c r="CF485" t="s">
        <v>204</v>
      </c>
      <c r="CG485" t="s">
        <v>177</v>
      </c>
      <c r="CH485" t="s">
        <v>187</v>
      </c>
      <c r="CI485" t="s">
        <v>4099</v>
      </c>
      <c r="CJ485" t="s">
        <v>6923</v>
      </c>
      <c r="CK485" t="s">
        <v>292</v>
      </c>
      <c r="CL485" t="s">
        <v>293</v>
      </c>
      <c r="CM485" t="s">
        <v>7021</v>
      </c>
      <c r="CN485" t="s">
        <v>473</v>
      </c>
      <c r="CO485" t="s">
        <v>183</v>
      </c>
      <c r="CP485" t="s">
        <v>211</v>
      </c>
      <c r="CQ485" t="s">
        <v>342</v>
      </c>
      <c r="CS485" t="s">
        <v>542</v>
      </c>
      <c r="CT485" t="s">
        <v>6639</v>
      </c>
      <c r="CU485" t="s">
        <v>267</v>
      </c>
      <c r="CV485" t="s">
        <v>268</v>
      </c>
      <c r="CW485" t="s">
        <v>7022</v>
      </c>
      <c r="CX485" t="s">
        <v>927</v>
      </c>
      <c r="CY485" t="s">
        <v>183</v>
      </c>
      <c r="CZ485" t="s">
        <v>211</v>
      </c>
      <c r="DA485" t="s">
        <v>298</v>
      </c>
      <c r="DC485" t="s">
        <v>7023</v>
      </c>
      <c r="DD485" t="s">
        <v>7024</v>
      </c>
      <c r="DE485" t="s">
        <v>302</v>
      </c>
      <c r="DF485" t="s">
        <v>303</v>
      </c>
      <c r="DG485" t="s">
        <v>7025</v>
      </c>
      <c r="DH485" t="s">
        <v>305</v>
      </c>
      <c r="DI485" t="s">
        <v>183</v>
      </c>
      <c r="DJ485" t="s">
        <v>211</v>
      </c>
      <c r="DK485" t="s">
        <v>1064</v>
      </c>
      <c r="DM485" t="s">
        <v>868</v>
      </c>
      <c r="DN485" t="s">
        <v>7026</v>
      </c>
      <c r="DO485" t="s">
        <v>238</v>
      </c>
      <c r="DP485" t="s">
        <v>303</v>
      </c>
      <c r="DQ485" t="s">
        <v>7027</v>
      </c>
      <c r="DR485" t="s">
        <v>440</v>
      </c>
      <c r="DS485" t="s">
        <v>183</v>
      </c>
      <c r="DT485" t="s">
        <v>211</v>
      </c>
      <c r="DU485" t="s">
        <v>1064</v>
      </c>
      <c r="DW485" t="s">
        <v>868</v>
      </c>
      <c r="DX485" t="s">
        <v>7028</v>
      </c>
      <c r="DY485" t="s">
        <v>346</v>
      </c>
      <c r="DZ485" t="s">
        <v>303</v>
      </c>
      <c r="EA485" t="s">
        <v>7029</v>
      </c>
      <c r="EB485" t="s">
        <v>440</v>
      </c>
      <c r="EC485" t="s">
        <v>183</v>
      </c>
      <c r="ED485" t="s">
        <v>211</v>
      </c>
      <c r="EE485" t="s">
        <v>298</v>
      </c>
      <c r="EG485" t="s">
        <v>3499</v>
      </c>
      <c r="EH485" t="s">
        <v>7030</v>
      </c>
      <c r="EI485" t="s">
        <v>207</v>
      </c>
      <c r="EJ485" t="s">
        <v>303</v>
      </c>
      <c r="EK485" t="s">
        <v>7031</v>
      </c>
      <c r="EL485" t="s">
        <v>440</v>
      </c>
      <c r="EM485" t="s">
        <v>183</v>
      </c>
      <c r="EN485" t="s">
        <v>211</v>
      </c>
      <c r="EO485" t="s">
        <v>329</v>
      </c>
      <c r="EQ485" t="s">
        <v>520</v>
      </c>
      <c r="FA485" t="s">
        <v>198</v>
      </c>
      <c r="FK485" t="s">
        <v>198</v>
      </c>
      <c r="FU485" t="s">
        <v>198</v>
      </c>
    </row>
    <row r="486" spans="1:177">
      <c r="A486" s="1" t="str">
        <f>HYPERLINK("http://digipan.lumentumllc.com/apps/getLink/index.php?t=PropLink&amp;p=6128954","PL")</f>
        <v>PL</v>
      </c>
      <c r="B486" s="1" t="str">
        <f>HYPERLINK("http://digipan.lumentumllc.com/apps/getLink/index.php?t=TaxLink&amp;p=6128954","TL")</f>
        <v>TL</v>
      </c>
      <c r="C486" s="1" t="str">
        <f>HYPERLINK("http://digipan.lumentumllc.com/apps/getMap/index.php?p=6128954","Map")</f>
        <v>Map</v>
      </c>
      <c r="E486" t="s">
        <v>177</v>
      </c>
      <c r="F486" t="s">
        <v>178</v>
      </c>
      <c r="L486" t="s">
        <v>7032</v>
      </c>
      <c r="N486" t="s">
        <v>7032</v>
      </c>
      <c r="O486" t="s">
        <v>7032</v>
      </c>
      <c r="P486" t="s">
        <v>7033</v>
      </c>
      <c r="Q486" t="s">
        <v>7032</v>
      </c>
      <c r="V486">
        <v>560</v>
      </c>
      <c r="W486">
        <v>2</v>
      </c>
      <c r="X486">
        <v>2017</v>
      </c>
      <c r="Y486">
        <v>2018</v>
      </c>
      <c r="Z486">
        <v>551.45000000000005</v>
      </c>
      <c r="AB486" t="s">
        <v>181</v>
      </c>
      <c r="AC486" t="s">
        <v>182</v>
      </c>
      <c r="AD486" t="s">
        <v>183</v>
      </c>
      <c r="AE486">
        <v>0</v>
      </c>
      <c r="AF486">
        <v>2</v>
      </c>
      <c r="AG486" t="s">
        <v>216</v>
      </c>
      <c r="AH486">
        <v>100</v>
      </c>
      <c r="AK486">
        <v>0</v>
      </c>
      <c r="AL486">
        <v>67581</v>
      </c>
      <c r="AM486">
        <v>24000</v>
      </c>
      <c r="AN486">
        <v>43581</v>
      </c>
      <c r="AO486">
        <v>479</v>
      </c>
      <c r="AP486">
        <v>2016</v>
      </c>
      <c r="AQ486">
        <v>0.82</v>
      </c>
      <c r="AS486" t="s">
        <v>7034</v>
      </c>
      <c r="AT486" t="s">
        <v>186</v>
      </c>
      <c r="AU486" t="s">
        <v>177</v>
      </c>
      <c r="AV486" t="s">
        <v>187</v>
      </c>
      <c r="AW486" t="s">
        <v>202</v>
      </c>
      <c r="AX486">
        <v>2</v>
      </c>
      <c r="AY486" t="s">
        <v>188</v>
      </c>
      <c r="AZ486" t="s">
        <v>189</v>
      </c>
      <c r="BA486" t="s">
        <v>190</v>
      </c>
      <c r="BB486" t="s">
        <v>191</v>
      </c>
      <c r="BC486" t="s">
        <v>182</v>
      </c>
      <c r="BD486" t="s">
        <v>182</v>
      </c>
      <c r="BE486" t="s">
        <v>796</v>
      </c>
      <c r="BF486">
        <v>2</v>
      </c>
      <c r="BG486">
        <v>2</v>
      </c>
      <c r="BH486">
        <v>1979</v>
      </c>
      <c r="BI486" t="s">
        <v>7035</v>
      </c>
      <c r="BJ486" t="s">
        <v>194</v>
      </c>
      <c r="BK486" t="s">
        <v>195</v>
      </c>
      <c r="BL486" t="s">
        <v>199</v>
      </c>
      <c r="BM486" t="s">
        <v>197</v>
      </c>
      <c r="BN486" t="s">
        <v>182</v>
      </c>
      <c r="BO486" t="s">
        <v>7036</v>
      </c>
      <c r="BP486" t="s">
        <v>7037</v>
      </c>
      <c r="BR486" t="s">
        <v>1123</v>
      </c>
      <c r="BS486" t="s">
        <v>7038</v>
      </c>
      <c r="BT486" t="s">
        <v>7039</v>
      </c>
      <c r="BU486" t="s">
        <v>182</v>
      </c>
      <c r="BV486" t="s">
        <v>198</v>
      </c>
      <c r="BW486" t="s">
        <v>198</v>
      </c>
      <c r="BX486" t="s">
        <v>199</v>
      </c>
      <c r="BY486" t="s">
        <v>198</v>
      </c>
      <c r="BZ486" t="s">
        <v>199</v>
      </c>
      <c r="CA486" t="s">
        <v>199</v>
      </c>
      <c r="CB486" t="s">
        <v>7040</v>
      </c>
      <c r="CC486" t="s">
        <v>201</v>
      </c>
      <c r="CD486" t="s">
        <v>202</v>
      </c>
      <c r="CE486" t="s">
        <v>7041</v>
      </c>
      <c r="CF486" t="s">
        <v>204</v>
      </c>
      <c r="CG486" t="s">
        <v>177</v>
      </c>
      <c r="CH486" t="s">
        <v>187</v>
      </c>
      <c r="CI486" t="s">
        <v>3835</v>
      </c>
      <c r="CJ486" t="s">
        <v>6960</v>
      </c>
      <c r="CK486" t="s">
        <v>273</v>
      </c>
      <c r="CL486" t="s">
        <v>274</v>
      </c>
      <c r="CM486" t="s">
        <v>7042</v>
      </c>
      <c r="CN486" t="s">
        <v>235</v>
      </c>
      <c r="CO486" t="s">
        <v>183</v>
      </c>
      <c r="CP486" t="s">
        <v>211</v>
      </c>
      <c r="CQ486" t="s">
        <v>342</v>
      </c>
      <c r="CS486" t="s">
        <v>7043</v>
      </c>
      <c r="CT486" t="s">
        <v>7044</v>
      </c>
      <c r="CU486" t="s">
        <v>238</v>
      </c>
      <c r="CV486" t="s">
        <v>239</v>
      </c>
      <c r="CW486" t="s">
        <v>7045</v>
      </c>
      <c r="CX486" t="s">
        <v>331</v>
      </c>
      <c r="CY486" t="s">
        <v>183</v>
      </c>
      <c r="CZ486" t="s">
        <v>211</v>
      </c>
      <c r="DA486" t="s">
        <v>345</v>
      </c>
      <c r="DC486" t="s">
        <v>1097</v>
      </c>
      <c r="DM486" t="s">
        <v>198</v>
      </c>
      <c r="DW486" t="s">
        <v>198</v>
      </c>
      <c r="EG486" t="s">
        <v>198</v>
      </c>
      <c r="EQ486" t="s">
        <v>198</v>
      </c>
      <c r="FA486" t="s">
        <v>198</v>
      </c>
      <c r="FK486" t="s">
        <v>198</v>
      </c>
      <c r="FU486" t="s">
        <v>198</v>
      </c>
    </row>
    <row r="487" spans="1:177">
      <c r="A487" s="1" t="str">
        <f>HYPERLINK("http://digipan.lumentumllc.com/apps/getLink/index.php?t=PropLink&amp;p=5245517","PL")</f>
        <v>PL</v>
      </c>
      <c r="B487" s="1" t="str">
        <f>HYPERLINK("http://digipan.lumentumllc.com/apps/getLink/index.php?t=TaxLink&amp;p=5245517","TL")</f>
        <v>TL</v>
      </c>
      <c r="C487" s="1" t="str">
        <f>HYPERLINK("http://digipan.lumentumllc.com/apps/getMap/index.php?p=5245517","Map")</f>
        <v>Map</v>
      </c>
      <c r="E487" t="s">
        <v>177</v>
      </c>
      <c r="F487" t="s">
        <v>178</v>
      </c>
      <c r="L487" t="s">
        <v>7046</v>
      </c>
      <c r="N487" t="s">
        <v>7046</v>
      </c>
      <c r="O487" t="s">
        <v>7046</v>
      </c>
      <c r="P487" t="s">
        <v>7047</v>
      </c>
      <c r="Q487" t="s">
        <v>7046</v>
      </c>
      <c r="V487">
        <v>561</v>
      </c>
      <c r="W487">
        <v>2</v>
      </c>
      <c r="X487">
        <v>2017</v>
      </c>
      <c r="Y487">
        <v>2018</v>
      </c>
      <c r="Z487">
        <v>546.54</v>
      </c>
      <c r="AB487" t="s">
        <v>181</v>
      </c>
      <c r="AC487" t="s">
        <v>182</v>
      </c>
      <c r="AD487" t="s">
        <v>183</v>
      </c>
      <c r="AE487">
        <v>2</v>
      </c>
      <c r="AF487">
        <v>5</v>
      </c>
      <c r="AG487" t="s">
        <v>282</v>
      </c>
      <c r="AH487">
        <v>67</v>
      </c>
      <c r="AI487">
        <v>970.03</v>
      </c>
      <c r="AJ487">
        <v>196.68</v>
      </c>
      <c r="AK487">
        <v>1166.71</v>
      </c>
      <c r="AL487">
        <v>35011</v>
      </c>
      <c r="AM487">
        <v>16800</v>
      </c>
      <c r="AN487">
        <v>18211</v>
      </c>
      <c r="AO487">
        <v>430</v>
      </c>
      <c r="AP487">
        <v>2016</v>
      </c>
      <c r="AQ487">
        <v>1.56</v>
      </c>
      <c r="AR487">
        <v>3.33</v>
      </c>
      <c r="AS487" t="s">
        <v>7048</v>
      </c>
      <c r="AT487" t="s">
        <v>186</v>
      </c>
      <c r="AU487" t="s">
        <v>177</v>
      </c>
      <c r="AV487" t="s">
        <v>187</v>
      </c>
      <c r="AW487" t="s">
        <v>182</v>
      </c>
      <c r="AX487">
        <v>2</v>
      </c>
      <c r="AY487" t="s">
        <v>188</v>
      </c>
      <c r="AZ487" t="s">
        <v>189</v>
      </c>
      <c r="BA487" t="s">
        <v>190</v>
      </c>
      <c r="BB487" t="s">
        <v>191</v>
      </c>
      <c r="BC487" t="s">
        <v>182</v>
      </c>
      <c r="BD487" t="s">
        <v>182</v>
      </c>
      <c r="BE487" t="s">
        <v>7049</v>
      </c>
      <c r="BF487">
        <v>1</v>
      </c>
      <c r="BG487">
        <v>1</v>
      </c>
      <c r="BH487">
        <v>1990</v>
      </c>
      <c r="BI487" t="s">
        <v>2209</v>
      </c>
      <c r="BJ487" t="s">
        <v>194</v>
      </c>
      <c r="BK487" t="s">
        <v>195</v>
      </c>
      <c r="BL487" t="s">
        <v>199</v>
      </c>
      <c r="BM487" t="s">
        <v>410</v>
      </c>
      <c r="BN487" t="s">
        <v>182</v>
      </c>
      <c r="BO487" t="s">
        <v>198</v>
      </c>
      <c r="BP487" t="s">
        <v>198</v>
      </c>
      <c r="BQ487" t="s">
        <v>198</v>
      </c>
      <c r="BR487" t="s">
        <v>198</v>
      </c>
      <c r="BS487" t="s">
        <v>198</v>
      </c>
      <c r="BT487" t="s">
        <v>198</v>
      </c>
      <c r="BU487" t="s">
        <v>182</v>
      </c>
      <c r="BV487" t="s">
        <v>198</v>
      </c>
      <c r="BW487" t="s">
        <v>198</v>
      </c>
      <c r="BX487" t="s">
        <v>199</v>
      </c>
      <c r="BY487" t="s">
        <v>198</v>
      </c>
      <c r="BZ487" t="s">
        <v>199</v>
      </c>
      <c r="CA487" t="s">
        <v>199</v>
      </c>
      <c r="CB487" t="s">
        <v>7050</v>
      </c>
      <c r="CC487" t="s">
        <v>201</v>
      </c>
      <c r="CD487" t="s">
        <v>182</v>
      </c>
      <c r="CE487" t="s">
        <v>7051</v>
      </c>
      <c r="CF487" t="s">
        <v>204</v>
      </c>
      <c r="CG487" t="s">
        <v>177</v>
      </c>
      <c r="CH487" t="s">
        <v>187</v>
      </c>
      <c r="CI487" t="s">
        <v>3835</v>
      </c>
      <c r="CJ487" t="s">
        <v>6651</v>
      </c>
      <c r="CK487" t="s">
        <v>232</v>
      </c>
      <c r="CL487" t="s">
        <v>233</v>
      </c>
      <c r="CM487" t="s">
        <v>7052</v>
      </c>
      <c r="CN487" t="s">
        <v>305</v>
      </c>
      <c r="CO487" t="s">
        <v>183</v>
      </c>
      <c r="CP487" t="s">
        <v>266</v>
      </c>
      <c r="CS487" t="s">
        <v>198</v>
      </c>
      <c r="CT487" t="s">
        <v>6515</v>
      </c>
      <c r="CU487" t="s">
        <v>292</v>
      </c>
      <c r="CV487" t="s">
        <v>293</v>
      </c>
      <c r="CW487" t="s">
        <v>7053</v>
      </c>
      <c r="CX487" t="s">
        <v>482</v>
      </c>
      <c r="CY487" t="s">
        <v>183</v>
      </c>
      <c r="CZ487" t="s">
        <v>266</v>
      </c>
      <c r="DC487" t="s">
        <v>198</v>
      </c>
      <c r="DD487" t="s">
        <v>6583</v>
      </c>
      <c r="DE487" t="s">
        <v>273</v>
      </c>
      <c r="DF487" t="s">
        <v>274</v>
      </c>
      <c r="DG487" t="s">
        <v>7054</v>
      </c>
      <c r="DH487" t="s">
        <v>833</v>
      </c>
      <c r="DI487" t="s">
        <v>183</v>
      </c>
      <c r="DJ487" t="s">
        <v>211</v>
      </c>
      <c r="DK487" t="s">
        <v>342</v>
      </c>
      <c r="DM487" t="s">
        <v>2598</v>
      </c>
      <c r="DN487" t="s">
        <v>7055</v>
      </c>
      <c r="DO487" t="s">
        <v>302</v>
      </c>
      <c r="DP487" t="s">
        <v>303</v>
      </c>
      <c r="DQ487" t="s">
        <v>7056</v>
      </c>
      <c r="DR487" t="s">
        <v>440</v>
      </c>
      <c r="DS487" t="s">
        <v>183</v>
      </c>
      <c r="DT487" t="s">
        <v>211</v>
      </c>
      <c r="DU487" t="s">
        <v>345</v>
      </c>
      <c r="DW487" t="s">
        <v>2598</v>
      </c>
      <c r="DX487" t="s">
        <v>7057</v>
      </c>
      <c r="DY487" t="s">
        <v>238</v>
      </c>
      <c r="DZ487" t="s">
        <v>239</v>
      </c>
      <c r="EA487" t="s">
        <v>7058</v>
      </c>
      <c r="EB487" t="s">
        <v>1074</v>
      </c>
      <c r="EC487" t="s">
        <v>183</v>
      </c>
      <c r="ED487" t="s">
        <v>211</v>
      </c>
      <c r="EE487" t="s">
        <v>865</v>
      </c>
      <c r="EG487" t="s">
        <v>2598</v>
      </c>
      <c r="EH487" t="s">
        <v>7059</v>
      </c>
      <c r="EI487" t="s">
        <v>346</v>
      </c>
      <c r="EJ487" t="s">
        <v>347</v>
      </c>
      <c r="EK487" t="s">
        <v>7060</v>
      </c>
      <c r="EL487" t="s">
        <v>469</v>
      </c>
      <c r="EM487" t="s">
        <v>183</v>
      </c>
      <c r="EN487" t="s">
        <v>211</v>
      </c>
      <c r="EO487" t="s">
        <v>1085</v>
      </c>
      <c r="EQ487" t="s">
        <v>2598</v>
      </c>
      <c r="ER487" t="s">
        <v>6949</v>
      </c>
      <c r="ES487" t="s">
        <v>207</v>
      </c>
      <c r="ET487" t="s">
        <v>208</v>
      </c>
      <c r="EU487" t="s">
        <v>7061</v>
      </c>
      <c r="EV487" t="s">
        <v>469</v>
      </c>
      <c r="EW487" t="s">
        <v>183</v>
      </c>
      <c r="EX487" t="s">
        <v>211</v>
      </c>
      <c r="EY487" t="s">
        <v>909</v>
      </c>
      <c r="FA487" t="s">
        <v>1352</v>
      </c>
      <c r="FK487" t="s">
        <v>198</v>
      </c>
      <c r="FU487" t="s">
        <v>198</v>
      </c>
    </row>
    <row r="488" spans="1:177">
      <c r="A488" s="1" t="str">
        <f>HYPERLINK("http://digipan.lumentumllc.com/apps/getLink/index.php?t=PropLink&amp;p=5245521","PL")</f>
        <v>PL</v>
      </c>
      <c r="B488" s="1" t="str">
        <f>HYPERLINK("http://digipan.lumentumllc.com/apps/getLink/index.php?t=TaxLink&amp;p=5245521","TL")</f>
        <v>TL</v>
      </c>
      <c r="C488" s="1" t="str">
        <f>HYPERLINK("http://digipan.lumentumllc.com/apps/getMap/index.php?p=5245521","Map")</f>
        <v>Map</v>
      </c>
      <c r="E488" t="s">
        <v>177</v>
      </c>
      <c r="F488" t="s">
        <v>178</v>
      </c>
      <c r="L488" t="s">
        <v>7062</v>
      </c>
      <c r="N488" t="s">
        <v>7062</v>
      </c>
      <c r="O488" t="s">
        <v>7062</v>
      </c>
      <c r="P488" t="s">
        <v>7063</v>
      </c>
      <c r="Q488" t="s">
        <v>7062</v>
      </c>
      <c r="V488">
        <v>565</v>
      </c>
      <c r="W488">
        <v>2</v>
      </c>
      <c r="X488">
        <v>2017</v>
      </c>
      <c r="Y488">
        <v>2018</v>
      </c>
      <c r="Z488">
        <v>917.02</v>
      </c>
      <c r="AB488" t="s">
        <v>181</v>
      </c>
      <c r="AC488" t="s">
        <v>182</v>
      </c>
      <c r="AD488" t="s">
        <v>183</v>
      </c>
      <c r="AE488">
        <v>0</v>
      </c>
      <c r="AF488">
        <v>4</v>
      </c>
      <c r="AG488" t="s">
        <v>381</v>
      </c>
      <c r="AH488">
        <v>100</v>
      </c>
      <c r="AK488">
        <v>0</v>
      </c>
      <c r="AL488">
        <v>55185</v>
      </c>
      <c r="AM488">
        <v>33240</v>
      </c>
      <c r="AN488">
        <v>21945</v>
      </c>
      <c r="AO488">
        <v>742</v>
      </c>
      <c r="AP488">
        <v>2016</v>
      </c>
      <c r="AQ488">
        <v>1.66</v>
      </c>
      <c r="AS488" t="s">
        <v>7064</v>
      </c>
      <c r="AT488" t="s">
        <v>186</v>
      </c>
      <c r="AU488" t="s">
        <v>177</v>
      </c>
      <c r="AV488" t="s">
        <v>187</v>
      </c>
      <c r="AW488" t="s">
        <v>182</v>
      </c>
      <c r="AX488">
        <v>2</v>
      </c>
      <c r="AY488" t="s">
        <v>188</v>
      </c>
      <c r="AZ488" t="s">
        <v>189</v>
      </c>
      <c r="BA488" t="s">
        <v>190</v>
      </c>
      <c r="BB488" t="s">
        <v>191</v>
      </c>
      <c r="BC488" t="s">
        <v>182</v>
      </c>
      <c r="BD488" t="s">
        <v>182</v>
      </c>
      <c r="BE488" t="s">
        <v>7065</v>
      </c>
      <c r="BF488">
        <v>1</v>
      </c>
      <c r="BG488">
        <v>1</v>
      </c>
      <c r="BH488">
        <v>1987</v>
      </c>
      <c r="BI488" t="s">
        <v>2716</v>
      </c>
      <c r="BJ488" t="s">
        <v>194</v>
      </c>
      <c r="BK488" t="s">
        <v>195</v>
      </c>
      <c r="BL488" t="s">
        <v>199</v>
      </c>
      <c r="BM488" t="s">
        <v>1041</v>
      </c>
      <c r="BN488" t="s">
        <v>182</v>
      </c>
      <c r="BO488" t="s">
        <v>198</v>
      </c>
      <c r="BP488" t="s">
        <v>198</v>
      </c>
      <c r="BQ488" t="s">
        <v>198</v>
      </c>
      <c r="BR488" t="s">
        <v>198</v>
      </c>
      <c r="BS488" t="s">
        <v>198</v>
      </c>
      <c r="BT488" t="s">
        <v>198</v>
      </c>
      <c r="BU488" t="s">
        <v>182</v>
      </c>
      <c r="BV488" t="s">
        <v>198</v>
      </c>
      <c r="BW488" t="s">
        <v>198</v>
      </c>
      <c r="BX488" t="s">
        <v>199</v>
      </c>
      <c r="BY488" t="s">
        <v>198</v>
      </c>
      <c r="BZ488" t="s">
        <v>199</v>
      </c>
      <c r="CA488" t="s">
        <v>199</v>
      </c>
      <c r="CB488" t="s">
        <v>7066</v>
      </c>
      <c r="CC488" t="s">
        <v>201</v>
      </c>
      <c r="CD488" t="s">
        <v>202</v>
      </c>
      <c r="CE488" t="s">
        <v>7067</v>
      </c>
      <c r="CF488" t="s">
        <v>204</v>
      </c>
      <c r="CG488" t="s">
        <v>177</v>
      </c>
      <c r="CH488" t="s">
        <v>187</v>
      </c>
      <c r="CI488" t="s">
        <v>7068</v>
      </c>
      <c r="CJ488" t="s">
        <v>6583</v>
      </c>
      <c r="CK488" t="s">
        <v>292</v>
      </c>
      <c r="CL488" t="s">
        <v>293</v>
      </c>
      <c r="CM488" t="s">
        <v>7069</v>
      </c>
      <c r="CN488" t="s">
        <v>235</v>
      </c>
      <c r="CO488" t="s">
        <v>183</v>
      </c>
      <c r="CP488" t="s">
        <v>211</v>
      </c>
      <c r="CQ488" t="s">
        <v>212</v>
      </c>
      <c r="CS488" t="s">
        <v>2337</v>
      </c>
      <c r="CT488" t="s">
        <v>7070</v>
      </c>
      <c r="CU488" t="s">
        <v>267</v>
      </c>
      <c r="CV488" t="s">
        <v>268</v>
      </c>
      <c r="CW488" t="s">
        <v>7071</v>
      </c>
      <c r="CX488" t="s">
        <v>235</v>
      </c>
      <c r="CY488" t="s">
        <v>183</v>
      </c>
      <c r="CZ488" t="s">
        <v>211</v>
      </c>
      <c r="DA488" t="s">
        <v>334</v>
      </c>
      <c r="DC488" t="s">
        <v>2337</v>
      </c>
      <c r="DD488" t="s">
        <v>6258</v>
      </c>
      <c r="DE488" t="s">
        <v>346</v>
      </c>
      <c r="DF488" t="s">
        <v>347</v>
      </c>
      <c r="DG488" t="s">
        <v>7072</v>
      </c>
      <c r="DH488" t="s">
        <v>816</v>
      </c>
      <c r="DI488" t="s">
        <v>183</v>
      </c>
      <c r="DJ488" t="s">
        <v>211</v>
      </c>
      <c r="DK488" t="s">
        <v>329</v>
      </c>
      <c r="DM488" t="s">
        <v>446</v>
      </c>
      <c r="DN488" t="s">
        <v>276</v>
      </c>
      <c r="DO488" t="s">
        <v>207</v>
      </c>
      <c r="DP488" t="s">
        <v>208</v>
      </c>
      <c r="DQ488" t="s">
        <v>7073</v>
      </c>
      <c r="DR488" t="s">
        <v>1676</v>
      </c>
      <c r="DS488" t="s">
        <v>183</v>
      </c>
      <c r="DT488" t="s">
        <v>211</v>
      </c>
      <c r="DU488" t="s">
        <v>298</v>
      </c>
      <c r="DW488" t="s">
        <v>446</v>
      </c>
      <c r="EG488" t="s">
        <v>198</v>
      </c>
      <c r="EQ488" t="s">
        <v>198</v>
      </c>
      <c r="FA488" t="s">
        <v>198</v>
      </c>
      <c r="FK488" t="s">
        <v>198</v>
      </c>
      <c r="FU488" t="s">
        <v>198</v>
      </c>
    </row>
    <row r="489" spans="1:177">
      <c r="A489" s="1" t="str">
        <f>HYPERLINK("http://digipan.lumentumllc.com/apps/getLink/index.php?t=PropLink&amp;p=15746440","PL")</f>
        <v>PL</v>
      </c>
      <c r="B489" s="1" t="str">
        <f>HYPERLINK("http://digipan.lumentumllc.com/apps/getLink/index.php?t=TaxLink&amp;p=15746440","TL")</f>
        <v>TL</v>
      </c>
      <c r="C489" s="1" t="str">
        <f>HYPERLINK("http://digipan.lumentumllc.com/apps/getMap/index.php?p=15746440","Map")</f>
        <v>Map</v>
      </c>
      <c r="E489" t="s">
        <v>177</v>
      </c>
      <c r="F489" t="s">
        <v>178</v>
      </c>
      <c r="L489" t="s">
        <v>7074</v>
      </c>
      <c r="N489" t="s">
        <v>7074</v>
      </c>
      <c r="O489" t="s">
        <v>7074</v>
      </c>
      <c r="Q489" t="s">
        <v>7074</v>
      </c>
      <c r="V489">
        <v>566</v>
      </c>
      <c r="W489">
        <v>2</v>
      </c>
      <c r="X489">
        <v>2017</v>
      </c>
      <c r="Y489">
        <v>2018</v>
      </c>
      <c r="Z489">
        <v>168.17</v>
      </c>
      <c r="AG489" t="s">
        <v>184</v>
      </c>
      <c r="AH489">
        <v>0</v>
      </c>
      <c r="AK489">
        <v>0</v>
      </c>
      <c r="AL489">
        <v>10260</v>
      </c>
      <c r="AM489">
        <v>10260</v>
      </c>
      <c r="AN489">
        <v>0</v>
      </c>
      <c r="AO489">
        <v>109</v>
      </c>
      <c r="AP489">
        <v>2016</v>
      </c>
      <c r="AQ489">
        <v>1.64</v>
      </c>
      <c r="AS489" t="s">
        <v>7075</v>
      </c>
      <c r="AT489" t="s">
        <v>186</v>
      </c>
      <c r="AU489" t="s">
        <v>177</v>
      </c>
      <c r="AV489" t="s">
        <v>187</v>
      </c>
      <c r="AW489" t="s">
        <v>182</v>
      </c>
      <c r="AX489">
        <v>0</v>
      </c>
      <c r="AY489" t="s">
        <v>312</v>
      </c>
      <c r="AZ489" t="s">
        <v>199</v>
      </c>
      <c r="BA489" t="s">
        <v>313</v>
      </c>
      <c r="BB489" t="s">
        <v>191</v>
      </c>
      <c r="BC489" t="s">
        <v>182</v>
      </c>
      <c r="BD489" t="s">
        <v>182</v>
      </c>
      <c r="BE489" t="s">
        <v>2393</v>
      </c>
      <c r="BF489">
        <v>0</v>
      </c>
      <c r="BG489">
        <v>0</v>
      </c>
      <c r="BH489">
        <v>0</v>
      </c>
      <c r="BI489" t="s">
        <v>199</v>
      </c>
      <c r="BJ489" t="s">
        <v>315</v>
      </c>
      <c r="BL489" t="s">
        <v>199</v>
      </c>
      <c r="BM489" t="s">
        <v>533</v>
      </c>
      <c r="BN489" t="s">
        <v>182</v>
      </c>
      <c r="BO489" t="s">
        <v>198</v>
      </c>
      <c r="BP489" t="s">
        <v>198</v>
      </c>
      <c r="BQ489" t="s">
        <v>198</v>
      </c>
      <c r="BR489" t="s">
        <v>198</v>
      </c>
      <c r="BS489" t="s">
        <v>198</v>
      </c>
      <c r="BT489" t="s">
        <v>198</v>
      </c>
      <c r="BU489" t="s">
        <v>182</v>
      </c>
      <c r="BV489" t="s">
        <v>198</v>
      </c>
      <c r="BW489" t="s">
        <v>198</v>
      </c>
      <c r="BX489" t="s">
        <v>199</v>
      </c>
      <c r="BY489" t="s">
        <v>198</v>
      </c>
      <c r="BZ489" t="s">
        <v>199</v>
      </c>
      <c r="CA489" t="s">
        <v>199</v>
      </c>
      <c r="CB489" t="s">
        <v>7076</v>
      </c>
      <c r="CC489" t="s">
        <v>201</v>
      </c>
      <c r="CD489" t="s">
        <v>182</v>
      </c>
      <c r="CE489" t="s">
        <v>7077</v>
      </c>
      <c r="CF489" t="s">
        <v>5215</v>
      </c>
      <c r="CG489" t="s">
        <v>177</v>
      </c>
      <c r="CH489" t="s">
        <v>5216</v>
      </c>
      <c r="CI489" t="s">
        <v>7078</v>
      </c>
      <c r="CS489" t="s">
        <v>198</v>
      </c>
      <c r="DC489" t="s">
        <v>198</v>
      </c>
      <c r="DM489" t="s">
        <v>198</v>
      </c>
      <c r="DW489" t="s">
        <v>198</v>
      </c>
      <c r="EG489" t="s">
        <v>198</v>
      </c>
      <c r="EQ489" t="s">
        <v>198</v>
      </c>
      <c r="FA489" t="s">
        <v>198</v>
      </c>
      <c r="FK489" t="s">
        <v>198</v>
      </c>
      <c r="FU489" t="s">
        <v>198</v>
      </c>
    </row>
    <row r="490" spans="1:177">
      <c r="A490" s="1" t="str">
        <f>HYPERLINK("http://digipan.lumentumllc.com/apps/getLink/index.php?t=PropLink&amp;p=15746443","PL")</f>
        <v>PL</v>
      </c>
      <c r="B490" s="1" t="str">
        <f>HYPERLINK("http://digipan.lumentumllc.com/apps/getLink/index.php?t=TaxLink&amp;p=15746443","TL")</f>
        <v>TL</v>
      </c>
      <c r="C490" s="1" t="str">
        <f>HYPERLINK("http://digipan.lumentumllc.com/apps/getMap/index.php?p=15746443","Map")</f>
        <v>Map</v>
      </c>
      <c r="E490" t="s">
        <v>177</v>
      </c>
      <c r="F490" t="s">
        <v>178</v>
      </c>
      <c r="L490" t="s">
        <v>7079</v>
      </c>
      <c r="N490" t="s">
        <v>7079</v>
      </c>
      <c r="O490" t="s">
        <v>7079</v>
      </c>
      <c r="Q490" t="s">
        <v>7079</v>
      </c>
      <c r="V490">
        <v>567</v>
      </c>
      <c r="W490">
        <v>2</v>
      </c>
      <c r="X490">
        <v>2017</v>
      </c>
      <c r="Y490">
        <v>2018</v>
      </c>
      <c r="Z490">
        <v>1893.83</v>
      </c>
      <c r="AG490" t="s">
        <v>184</v>
      </c>
      <c r="AH490">
        <v>0</v>
      </c>
      <c r="AK490">
        <v>0</v>
      </c>
      <c r="AL490">
        <v>113715</v>
      </c>
      <c r="AM490">
        <v>113715</v>
      </c>
      <c r="AN490">
        <v>0</v>
      </c>
      <c r="AO490">
        <v>1746</v>
      </c>
      <c r="AP490">
        <v>2016</v>
      </c>
      <c r="AQ490">
        <v>1.67</v>
      </c>
      <c r="AS490" t="s">
        <v>7080</v>
      </c>
      <c r="AT490" t="s">
        <v>186</v>
      </c>
      <c r="AU490" t="s">
        <v>177</v>
      </c>
      <c r="AV490" t="s">
        <v>187</v>
      </c>
      <c r="AW490" t="s">
        <v>182</v>
      </c>
      <c r="AX490">
        <v>0</v>
      </c>
      <c r="AY490" t="s">
        <v>312</v>
      </c>
      <c r="AZ490" t="s">
        <v>199</v>
      </c>
      <c r="BA490" t="s">
        <v>313</v>
      </c>
      <c r="BB490" t="s">
        <v>191</v>
      </c>
      <c r="BC490" t="s">
        <v>182</v>
      </c>
      <c r="BD490" t="s">
        <v>182</v>
      </c>
      <c r="BE490" t="s">
        <v>7081</v>
      </c>
      <c r="BF490">
        <v>0</v>
      </c>
      <c r="BG490">
        <v>0</v>
      </c>
      <c r="BH490">
        <v>0</v>
      </c>
      <c r="BI490" t="s">
        <v>199</v>
      </c>
      <c r="BJ490" t="s">
        <v>315</v>
      </c>
      <c r="BL490" t="s">
        <v>7082</v>
      </c>
      <c r="BM490" t="s">
        <v>410</v>
      </c>
      <c r="BN490" t="s">
        <v>182</v>
      </c>
      <c r="BO490" t="s">
        <v>198</v>
      </c>
      <c r="BP490" t="s">
        <v>198</v>
      </c>
      <c r="BQ490" t="s">
        <v>198</v>
      </c>
      <c r="BR490" t="s">
        <v>198</v>
      </c>
      <c r="BS490" t="s">
        <v>198</v>
      </c>
      <c r="BT490" t="s">
        <v>198</v>
      </c>
      <c r="BU490" t="s">
        <v>182</v>
      </c>
      <c r="BV490" t="s">
        <v>198</v>
      </c>
      <c r="BW490" t="s">
        <v>198</v>
      </c>
      <c r="BX490" t="s">
        <v>199</v>
      </c>
      <c r="BY490" t="s">
        <v>198</v>
      </c>
      <c r="BZ490" t="s">
        <v>199</v>
      </c>
      <c r="CA490" t="s">
        <v>199</v>
      </c>
      <c r="CB490" t="s">
        <v>7083</v>
      </c>
      <c r="CC490" t="s">
        <v>201</v>
      </c>
      <c r="CD490" t="s">
        <v>182</v>
      </c>
      <c r="CE490" t="s">
        <v>7077</v>
      </c>
      <c r="CF490" t="s">
        <v>5215</v>
      </c>
      <c r="CG490" t="s">
        <v>177</v>
      </c>
      <c r="CH490" t="s">
        <v>7084</v>
      </c>
      <c r="CI490" t="s">
        <v>7085</v>
      </c>
      <c r="CS490" t="s">
        <v>198</v>
      </c>
      <c r="DC490" t="s">
        <v>198</v>
      </c>
      <c r="DM490" t="s">
        <v>198</v>
      </c>
      <c r="DW490" t="s">
        <v>198</v>
      </c>
      <c r="EG490" t="s">
        <v>198</v>
      </c>
      <c r="EQ490" t="s">
        <v>198</v>
      </c>
      <c r="FA490" t="s">
        <v>198</v>
      </c>
      <c r="FK490" t="s">
        <v>198</v>
      </c>
      <c r="FU490" t="s">
        <v>198</v>
      </c>
    </row>
    <row r="491" spans="1:177">
      <c r="A491" s="1" t="str">
        <f>HYPERLINK("http://digipan.lumentumllc.com/apps/getLink/index.php?t=PropLink&amp;p=15746444","PL")</f>
        <v>PL</v>
      </c>
      <c r="B491" s="1" t="str">
        <f>HYPERLINK("http://digipan.lumentumllc.com/apps/getLink/index.php?t=TaxLink&amp;p=15746444","TL")</f>
        <v>TL</v>
      </c>
      <c r="C491" s="1" t="str">
        <f>HYPERLINK("http://digipan.lumentumllc.com/apps/getMap/index.php?p=15746444","Map")</f>
        <v>Map</v>
      </c>
      <c r="E491" t="s">
        <v>177</v>
      </c>
      <c r="F491" t="s">
        <v>178</v>
      </c>
      <c r="L491" t="s">
        <v>7086</v>
      </c>
      <c r="N491" t="s">
        <v>7086</v>
      </c>
      <c r="O491" t="s">
        <v>7086</v>
      </c>
      <c r="Q491" t="s">
        <v>7086</v>
      </c>
      <c r="V491">
        <v>568</v>
      </c>
      <c r="W491">
        <v>2</v>
      </c>
      <c r="X491">
        <v>2017</v>
      </c>
      <c r="Y491">
        <v>2018</v>
      </c>
      <c r="Z491">
        <v>47.11</v>
      </c>
      <c r="AG491" t="s">
        <v>184</v>
      </c>
      <c r="AH491">
        <v>0</v>
      </c>
      <c r="AK491">
        <v>0</v>
      </c>
      <c r="AL491">
        <v>1000</v>
      </c>
      <c r="AM491">
        <v>1000</v>
      </c>
      <c r="AN491">
        <v>0</v>
      </c>
      <c r="AO491">
        <v>14</v>
      </c>
      <c r="AP491">
        <v>2016</v>
      </c>
      <c r="AQ491">
        <v>4.71</v>
      </c>
      <c r="AS491" t="s">
        <v>7080</v>
      </c>
      <c r="AT491" t="s">
        <v>186</v>
      </c>
      <c r="AU491" t="s">
        <v>177</v>
      </c>
      <c r="AV491" t="s">
        <v>187</v>
      </c>
      <c r="AW491" t="s">
        <v>182</v>
      </c>
      <c r="AX491">
        <v>0</v>
      </c>
      <c r="AY491" t="s">
        <v>312</v>
      </c>
      <c r="AZ491" t="s">
        <v>199</v>
      </c>
      <c r="BA491" t="s">
        <v>313</v>
      </c>
      <c r="BB491" t="s">
        <v>191</v>
      </c>
      <c r="BC491" t="s">
        <v>182</v>
      </c>
      <c r="BD491" t="s">
        <v>182</v>
      </c>
      <c r="BE491" t="s">
        <v>5992</v>
      </c>
      <c r="BF491">
        <v>0</v>
      </c>
      <c r="BG491">
        <v>0</v>
      </c>
      <c r="BH491">
        <v>0</v>
      </c>
      <c r="BI491" t="s">
        <v>199</v>
      </c>
      <c r="BJ491" t="s">
        <v>315</v>
      </c>
      <c r="BL491" t="s">
        <v>7087</v>
      </c>
      <c r="BM491" t="s">
        <v>1332</v>
      </c>
      <c r="BN491" t="s">
        <v>182</v>
      </c>
      <c r="BO491" t="s">
        <v>198</v>
      </c>
      <c r="BP491" t="s">
        <v>198</v>
      </c>
      <c r="BQ491" t="s">
        <v>198</v>
      </c>
      <c r="BR491" t="s">
        <v>198</v>
      </c>
      <c r="BS491" t="s">
        <v>198</v>
      </c>
      <c r="BT491" t="s">
        <v>198</v>
      </c>
      <c r="BU491" t="s">
        <v>182</v>
      </c>
      <c r="BV491" t="s">
        <v>198</v>
      </c>
      <c r="BW491" t="s">
        <v>198</v>
      </c>
      <c r="BX491" t="s">
        <v>199</v>
      </c>
      <c r="BY491" t="s">
        <v>198</v>
      </c>
      <c r="BZ491" t="s">
        <v>199</v>
      </c>
      <c r="CA491" t="s">
        <v>199</v>
      </c>
      <c r="CB491" t="s">
        <v>7076</v>
      </c>
      <c r="CC491" t="s">
        <v>201</v>
      </c>
      <c r="CD491" t="s">
        <v>182</v>
      </c>
      <c r="CE491" t="s">
        <v>7077</v>
      </c>
      <c r="CF491" t="s">
        <v>5215</v>
      </c>
      <c r="CG491" t="s">
        <v>177</v>
      </c>
      <c r="CH491" t="s">
        <v>5216</v>
      </c>
      <c r="CI491" t="s">
        <v>7088</v>
      </c>
      <c r="CS491" t="s">
        <v>198</v>
      </c>
      <c r="DC491" t="s">
        <v>198</v>
      </c>
      <c r="DM491" t="s">
        <v>198</v>
      </c>
      <c r="DW491" t="s">
        <v>198</v>
      </c>
      <c r="EG491" t="s">
        <v>198</v>
      </c>
      <c r="EQ491" t="s">
        <v>198</v>
      </c>
      <c r="FA491" t="s">
        <v>198</v>
      </c>
      <c r="FK491" t="s">
        <v>198</v>
      </c>
      <c r="FU491" t="s">
        <v>198</v>
      </c>
    </row>
    <row r="492" spans="1:177">
      <c r="A492" s="1" t="str">
        <f>HYPERLINK("http://digipan.lumentumllc.com/apps/getLink/index.php?t=PropLink&amp;p=15746445","PL")</f>
        <v>PL</v>
      </c>
      <c r="B492" s="1" t="str">
        <f>HYPERLINK("http://digipan.lumentumllc.com/apps/getLink/index.php?t=TaxLink&amp;p=15746445","TL")</f>
        <v>TL</v>
      </c>
      <c r="C492" s="1" t="str">
        <f>HYPERLINK("http://digipan.lumentumllc.com/apps/getMap/index.php?p=15746445","Map")</f>
        <v>Map</v>
      </c>
      <c r="E492" t="s">
        <v>177</v>
      </c>
      <c r="F492" t="s">
        <v>178</v>
      </c>
      <c r="L492" t="s">
        <v>7089</v>
      </c>
      <c r="N492" t="s">
        <v>7089</v>
      </c>
      <c r="O492" t="s">
        <v>7089</v>
      </c>
      <c r="Q492" t="s">
        <v>7089</v>
      </c>
      <c r="V492">
        <v>569</v>
      </c>
      <c r="W492">
        <v>2</v>
      </c>
      <c r="X492">
        <v>2017</v>
      </c>
      <c r="Y492">
        <v>2018</v>
      </c>
      <c r="Z492">
        <v>158.62</v>
      </c>
      <c r="AG492" t="s">
        <v>184</v>
      </c>
      <c r="AH492">
        <v>0</v>
      </c>
      <c r="AK492">
        <v>0</v>
      </c>
      <c r="AL492">
        <v>9540</v>
      </c>
      <c r="AM492">
        <v>9540</v>
      </c>
      <c r="AN492">
        <v>0</v>
      </c>
      <c r="AO492">
        <v>101</v>
      </c>
      <c r="AP492">
        <v>2016</v>
      </c>
      <c r="AQ492">
        <v>1.66</v>
      </c>
      <c r="AS492" t="s">
        <v>7090</v>
      </c>
      <c r="AT492" t="s">
        <v>186</v>
      </c>
      <c r="AU492" t="s">
        <v>177</v>
      </c>
      <c r="AV492" t="s">
        <v>187</v>
      </c>
      <c r="AW492" t="s">
        <v>182</v>
      </c>
      <c r="AX492">
        <v>0</v>
      </c>
      <c r="AY492" t="s">
        <v>312</v>
      </c>
      <c r="AZ492" t="s">
        <v>199</v>
      </c>
      <c r="BA492" t="s">
        <v>313</v>
      </c>
      <c r="BB492" t="s">
        <v>191</v>
      </c>
      <c r="BC492" t="s">
        <v>182</v>
      </c>
      <c r="BD492" t="s">
        <v>182</v>
      </c>
      <c r="BE492" t="s">
        <v>4906</v>
      </c>
      <c r="BF492">
        <v>0</v>
      </c>
      <c r="BG492">
        <v>0</v>
      </c>
      <c r="BH492">
        <v>0</v>
      </c>
      <c r="BI492" t="s">
        <v>199</v>
      </c>
      <c r="BJ492" t="s">
        <v>315</v>
      </c>
      <c r="BL492" t="s">
        <v>199</v>
      </c>
      <c r="BM492" t="s">
        <v>410</v>
      </c>
      <c r="BN492" t="s">
        <v>182</v>
      </c>
      <c r="BO492" t="s">
        <v>198</v>
      </c>
      <c r="BP492" t="s">
        <v>198</v>
      </c>
      <c r="BQ492" t="s">
        <v>198</v>
      </c>
      <c r="BR492" t="s">
        <v>198</v>
      </c>
      <c r="BS492" t="s">
        <v>198</v>
      </c>
      <c r="BT492" t="s">
        <v>198</v>
      </c>
      <c r="BU492" t="s">
        <v>182</v>
      </c>
      <c r="BV492" t="s">
        <v>198</v>
      </c>
      <c r="BW492" t="s">
        <v>198</v>
      </c>
      <c r="BX492" t="s">
        <v>199</v>
      </c>
      <c r="BY492" t="s">
        <v>198</v>
      </c>
      <c r="BZ492" t="s">
        <v>199</v>
      </c>
      <c r="CA492" t="s">
        <v>199</v>
      </c>
      <c r="CB492" t="s">
        <v>7076</v>
      </c>
      <c r="CC492" t="s">
        <v>201</v>
      </c>
      <c r="CD492" t="s">
        <v>182</v>
      </c>
      <c r="CE492" t="s">
        <v>7077</v>
      </c>
      <c r="CF492" t="s">
        <v>5215</v>
      </c>
      <c r="CG492" t="s">
        <v>177</v>
      </c>
      <c r="CH492" t="s">
        <v>5216</v>
      </c>
      <c r="CI492" t="s">
        <v>7078</v>
      </c>
      <c r="CS492" t="s">
        <v>198</v>
      </c>
      <c r="DC492" t="s">
        <v>198</v>
      </c>
      <c r="DM492" t="s">
        <v>198</v>
      </c>
      <c r="DW492" t="s">
        <v>198</v>
      </c>
      <c r="EG492" t="s">
        <v>198</v>
      </c>
      <c r="EQ492" t="s">
        <v>198</v>
      </c>
      <c r="FA492" t="s">
        <v>198</v>
      </c>
      <c r="FK492" t="s">
        <v>198</v>
      </c>
      <c r="FU492" t="s">
        <v>198</v>
      </c>
    </row>
    <row r="493" spans="1:177">
      <c r="A493" s="1" t="str">
        <f>HYPERLINK("http://digipan.lumentumllc.com/apps/getLink/index.php?t=PropLink&amp;p=15746456","PL")</f>
        <v>PL</v>
      </c>
      <c r="B493" s="1" t="str">
        <f>HYPERLINK("http://digipan.lumentumllc.com/apps/getLink/index.php?t=TaxLink&amp;p=15746456","TL")</f>
        <v>TL</v>
      </c>
      <c r="C493" s="1" t="str">
        <f>HYPERLINK("http://digipan.lumentumllc.com/apps/getMap/index.php?p=15746456","Map")</f>
        <v>Map</v>
      </c>
      <c r="E493" t="s">
        <v>177</v>
      </c>
      <c r="F493" t="s">
        <v>178</v>
      </c>
      <c r="L493" t="s">
        <v>7091</v>
      </c>
      <c r="N493" t="s">
        <v>7091</v>
      </c>
      <c r="O493" t="s">
        <v>7091</v>
      </c>
      <c r="Q493" t="s">
        <v>7091</v>
      </c>
      <c r="V493">
        <v>570</v>
      </c>
      <c r="W493">
        <v>2</v>
      </c>
      <c r="X493">
        <v>2017</v>
      </c>
      <c r="Y493">
        <v>2018</v>
      </c>
      <c r="Z493">
        <v>2367.12</v>
      </c>
      <c r="AG493" t="s">
        <v>184</v>
      </c>
      <c r="AH493">
        <v>0</v>
      </c>
      <c r="AK493">
        <v>0</v>
      </c>
      <c r="AL493">
        <v>142624</v>
      </c>
      <c r="AM493">
        <v>63702</v>
      </c>
      <c r="AN493">
        <v>78922</v>
      </c>
      <c r="AO493">
        <v>2201</v>
      </c>
      <c r="AP493">
        <v>2016</v>
      </c>
      <c r="AQ493">
        <v>1.66</v>
      </c>
      <c r="AS493" t="s">
        <v>7092</v>
      </c>
      <c r="AT493" t="s">
        <v>186</v>
      </c>
      <c r="AU493" t="s">
        <v>177</v>
      </c>
      <c r="AV493" t="s">
        <v>187</v>
      </c>
      <c r="AW493" t="s">
        <v>182</v>
      </c>
      <c r="AX493">
        <v>12</v>
      </c>
      <c r="AY493" t="s">
        <v>3641</v>
      </c>
      <c r="AZ493" t="s">
        <v>427</v>
      </c>
      <c r="BA493" t="s">
        <v>7093</v>
      </c>
      <c r="BB493" t="s">
        <v>191</v>
      </c>
      <c r="BC493" t="s">
        <v>182</v>
      </c>
      <c r="BD493" t="s">
        <v>182</v>
      </c>
      <c r="BE493" t="s">
        <v>383</v>
      </c>
      <c r="BF493">
        <v>2</v>
      </c>
      <c r="BG493">
        <v>1</v>
      </c>
      <c r="BH493">
        <v>1950</v>
      </c>
      <c r="BI493" t="s">
        <v>1474</v>
      </c>
      <c r="BJ493" t="s">
        <v>194</v>
      </c>
      <c r="BK493" t="s">
        <v>840</v>
      </c>
      <c r="BL493" t="s">
        <v>199</v>
      </c>
      <c r="BM493" t="s">
        <v>410</v>
      </c>
      <c r="BN493" t="s">
        <v>182</v>
      </c>
      <c r="BO493" t="s">
        <v>198</v>
      </c>
      <c r="BP493" t="s">
        <v>198</v>
      </c>
      <c r="BQ493" t="s">
        <v>198</v>
      </c>
      <c r="BR493" t="s">
        <v>198</v>
      </c>
      <c r="BS493" t="s">
        <v>198</v>
      </c>
      <c r="BT493" t="s">
        <v>198</v>
      </c>
      <c r="BU493" t="s">
        <v>182</v>
      </c>
      <c r="BV493" t="s">
        <v>198</v>
      </c>
      <c r="BW493" t="s">
        <v>198</v>
      </c>
      <c r="BX493" t="s">
        <v>199</v>
      </c>
      <c r="BY493" t="s">
        <v>198</v>
      </c>
      <c r="BZ493" t="s">
        <v>199</v>
      </c>
      <c r="CA493" t="s">
        <v>199</v>
      </c>
      <c r="CB493" t="s">
        <v>7094</v>
      </c>
      <c r="CC493" t="s">
        <v>201</v>
      </c>
      <c r="CD493" t="s">
        <v>202</v>
      </c>
      <c r="CE493" t="s">
        <v>7095</v>
      </c>
      <c r="CF493" t="s">
        <v>204</v>
      </c>
      <c r="CG493" t="s">
        <v>177</v>
      </c>
      <c r="CH493" t="s">
        <v>187</v>
      </c>
      <c r="CI493" t="s">
        <v>7096</v>
      </c>
      <c r="CS493" t="s">
        <v>198</v>
      </c>
      <c r="DC493" t="s">
        <v>198</v>
      </c>
      <c r="DM493" t="s">
        <v>198</v>
      </c>
      <c r="DW493" t="s">
        <v>198</v>
      </c>
      <c r="EG493" t="s">
        <v>198</v>
      </c>
      <c r="EQ493" t="s">
        <v>198</v>
      </c>
      <c r="FA493" t="s">
        <v>198</v>
      </c>
      <c r="FK493" t="s">
        <v>198</v>
      </c>
      <c r="FU493" t="s">
        <v>198</v>
      </c>
    </row>
    <row r="494" spans="1:177">
      <c r="A494" s="1" t="str">
        <f>HYPERLINK("http://digipan.lumentumllc.com/apps/getLink/index.php?t=PropLink&amp;p=4637632","PL")</f>
        <v>PL</v>
      </c>
      <c r="B494" s="1" t="str">
        <f>HYPERLINK("http://digipan.lumentumllc.com/apps/getLink/index.php?t=TaxLink&amp;p=4637632","TL")</f>
        <v>TL</v>
      </c>
      <c r="C494" s="1" t="str">
        <f>HYPERLINK("http://digipan.lumentumllc.com/apps/getMap/index.php?p=4637632","Map")</f>
        <v>Map</v>
      </c>
      <c r="E494" t="s">
        <v>177</v>
      </c>
      <c r="F494" t="s">
        <v>178</v>
      </c>
      <c r="L494" t="s">
        <v>7097</v>
      </c>
      <c r="N494" t="s">
        <v>7097</v>
      </c>
      <c r="O494" t="s">
        <v>7097</v>
      </c>
      <c r="P494" t="s">
        <v>7098</v>
      </c>
      <c r="Q494" t="s">
        <v>7097</v>
      </c>
      <c r="V494">
        <v>571</v>
      </c>
      <c r="W494">
        <v>2</v>
      </c>
      <c r="X494">
        <v>2017</v>
      </c>
      <c r="Y494">
        <v>2018</v>
      </c>
      <c r="Z494">
        <v>3052.54</v>
      </c>
      <c r="AB494" t="s">
        <v>181</v>
      </c>
      <c r="AC494" t="s">
        <v>182</v>
      </c>
      <c r="AD494" t="s">
        <v>183</v>
      </c>
      <c r="AE494">
        <v>0</v>
      </c>
      <c r="AF494">
        <v>3</v>
      </c>
      <c r="AG494" t="s">
        <v>381</v>
      </c>
      <c r="AH494">
        <v>100</v>
      </c>
      <c r="AK494">
        <v>0</v>
      </c>
      <c r="AL494">
        <v>184488</v>
      </c>
      <c r="AM494">
        <v>51875</v>
      </c>
      <c r="AN494">
        <v>132613</v>
      </c>
      <c r="AO494">
        <v>2844</v>
      </c>
      <c r="AP494">
        <v>2016</v>
      </c>
      <c r="AQ494">
        <v>1.65</v>
      </c>
      <c r="AS494" t="s">
        <v>7099</v>
      </c>
      <c r="AT494" t="s">
        <v>186</v>
      </c>
      <c r="AU494" t="s">
        <v>177</v>
      </c>
      <c r="AV494" t="s">
        <v>187</v>
      </c>
      <c r="AW494" t="s">
        <v>182</v>
      </c>
      <c r="AX494">
        <v>3</v>
      </c>
      <c r="AY494" t="s">
        <v>3641</v>
      </c>
      <c r="AZ494" t="s">
        <v>250</v>
      </c>
      <c r="BA494" t="s">
        <v>7100</v>
      </c>
      <c r="BB494" t="s">
        <v>191</v>
      </c>
      <c r="BC494" t="s">
        <v>182</v>
      </c>
      <c r="BD494" t="s">
        <v>182</v>
      </c>
      <c r="BE494" t="s">
        <v>7101</v>
      </c>
      <c r="BF494">
        <v>10</v>
      </c>
      <c r="BG494">
        <v>10</v>
      </c>
      <c r="BH494">
        <v>1942</v>
      </c>
      <c r="BI494" t="s">
        <v>7102</v>
      </c>
      <c r="BJ494" t="s">
        <v>285</v>
      </c>
      <c r="BK494" t="s">
        <v>195</v>
      </c>
      <c r="BL494" t="s">
        <v>199</v>
      </c>
      <c r="BM494" t="s">
        <v>286</v>
      </c>
      <c r="BN494" t="s">
        <v>182</v>
      </c>
      <c r="BO494" t="s">
        <v>982</v>
      </c>
      <c r="BP494" t="s">
        <v>7103</v>
      </c>
      <c r="BS494" t="s">
        <v>7104</v>
      </c>
      <c r="BT494" t="s">
        <v>198</v>
      </c>
      <c r="BU494" t="s">
        <v>182</v>
      </c>
      <c r="BV494" t="s">
        <v>198</v>
      </c>
      <c r="BW494" t="s">
        <v>198</v>
      </c>
      <c r="BX494" t="s">
        <v>199</v>
      </c>
      <c r="BY494" t="s">
        <v>198</v>
      </c>
      <c r="BZ494" t="s">
        <v>199</v>
      </c>
      <c r="CA494" t="s">
        <v>199</v>
      </c>
      <c r="CB494" t="s">
        <v>7105</v>
      </c>
      <c r="CC494" t="s">
        <v>201</v>
      </c>
      <c r="CD494" t="s">
        <v>182</v>
      </c>
      <c r="CE494" t="s">
        <v>7106</v>
      </c>
      <c r="CF494" t="s">
        <v>413</v>
      </c>
      <c r="CG494" t="s">
        <v>177</v>
      </c>
      <c r="CH494" t="s">
        <v>7107</v>
      </c>
      <c r="CI494" t="s">
        <v>7108</v>
      </c>
      <c r="CJ494" t="s">
        <v>6599</v>
      </c>
      <c r="CK494" t="s">
        <v>292</v>
      </c>
      <c r="CL494" t="s">
        <v>293</v>
      </c>
      <c r="CM494" t="s">
        <v>7109</v>
      </c>
      <c r="CN494" t="s">
        <v>235</v>
      </c>
      <c r="CO494" t="s">
        <v>183</v>
      </c>
      <c r="CP494" t="s">
        <v>211</v>
      </c>
      <c r="CQ494" t="s">
        <v>342</v>
      </c>
      <c r="CS494" t="s">
        <v>542</v>
      </c>
      <c r="CT494" t="s">
        <v>7110</v>
      </c>
      <c r="CU494" t="s">
        <v>267</v>
      </c>
      <c r="CV494" t="s">
        <v>268</v>
      </c>
      <c r="CW494" t="s">
        <v>7111</v>
      </c>
      <c r="CX494" t="s">
        <v>235</v>
      </c>
      <c r="CY494" t="s">
        <v>183</v>
      </c>
      <c r="CZ494" t="s">
        <v>211</v>
      </c>
      <c r="DA494" t="s">
        <v>342</v>
      </c>
      <c r="DC494" t="s">
        <v>3676</v>
      </c>
      <c r="DD494" t="s">
        <v>7112</v>
      </c>
      <c r="DE494" t="s">
        <v>302</v>
      </c>
      <c r="DF494" t="s">
        <v>303</v>
      </c>
      <c r="DG494" t="s">
        <v>7113</v>
      </c>
      <c r="DH494" t="s">
        <v>235</v>
      </c>
      <c r="DI494" t="s">
        <v>183</v>
      </c>
      <c r="DJ494" t="s">
        <v>211</v>
      </c>
      <c r="DK494" t="s">
        <v>212</v>
      </c>
      <c r="DM494" t="s">
        <v>7114</v>
      </c>
      <c r="DW494" t="s">
        <v>198</v>
      </c>
      <c r="EG494" t="s">
        <v>198</v>
      </c>
      <c r="EQ494" t="s">
        <v>198</v>
      </c>
      <c r="FA494" t="s">
        <v>198</v>
      </c>
      <c r="FK494" t="s">
        <v>198</v>
      </c>
      <c r="FU494" t="s">
        <v>198</v>
      </c>
    </row>
    <row r="495" spans="1:177">
      <c r="A495" s="1" t="str">
        <f>HYPERLINK("http://digipan.lumentumllc.com/apps/getLink/index.php?t=PropLink&amp;p=5246158","PL")</f>
        <v>PL</v>
      </c>
      <c r="B495" s="1" t="str">
        <f>HYPERLINK("http://digipan.lumentumllc.com/apps/getLink/index.php?t=TaxLink&amp;p=5246158","TL")</f>
        <v>TL</v>
      </c>
      <c r="C495" s="1" t="str">
        <f>HYPERLINK("http://digipan.lumentumllc.com/apps/getMap/index.php?p=5246158","Map")</f>
        <v>Map</v>
      </c>
      <c r="E495" t="s">
        <v>177</v>
      </c>
      <c r="F495" t="s">
        <v>178</v>
      </c>
      <c r="L495" t="s">
        <v>7115</v>
      </c>
      <c r="N495" t="s">
        <v>7115</v>
      </c>
      <c r="O495" t="s">
        <v>7115</v>
      </c>
      <c r="P495" t="s">
        <v>7116</v>
      </c>
      <c r="Q495" t="s">
        <v>7115</v>
      </c>
      <c r="V495">
        <v>572</v>
      </c>
      <c r="W495">
        <v>2</v>
      </c>
      <c r="X495">
        <v>2017</v>
      </c>
      <c r="Y495">
        <v>2018</v>
      </c>
      <c r="Z495">
        <v>769.23</v>
      </c>
      <c r="AB495" t="s">
        <v>181</v>
      </c>
      <c r="AC495" t="s">
        <v>182</v>
      </c>
      <c r="AD495" t="s">
        <v>183</v>
      </c>
      <c r="AE495">
        <v>0</v>
      </c>
      <c r="AF495">
        <v>7</v>
      </c>
      <c r="AG495" t="s">
        <v>1059</v>
      </c>
      <c r="AH495">
        <v>100</v>
      </c>
      <c r="AK495">
        <v>0</v>
      </c>
      <c r="AL495">
        <v>108668</v>
      </c>
      <c r="AM495">
        <v>16350</v>
      </c>
      <c r="AN495">
        <v>92318</v>
      </c>
      <c r="AO495">
        <v>670</v>
      </c>
      <c r="AP495">
        <v>2016</v>
      </c>
      <c r="AQ495">
        <v>0.71</v>
      </c>
      <c r="AS495" t="s">
        <v>7117</v>
      </c>
      <c r="AT495" t="s">
        <v>186</v>
      </c>
      <c r="AU495" t="s">
        <v>177</v>
      </c>
      <c r="AV495" t="s">
        <v>187</v>
      </c>
      <c r="AW495" t="s">
        <v>202</v>
      </c>
      <c r="AX495">
        <v>1</v>
      </c>
      <c r="AY495" t="s">
        <v>188</v>
      </c>
      <c r="AZ495" t="s">
        <v>206</v>
      </c>
      <c r="BA495" t="s">
        <v>355</v>
      </c>
      <c r="BB495" t="s">
        <v>191</v>
      </c>
      <c r="BC495" t="s">
        <v>182</v>
      </c>
      <c r="BD495" t="s">
        <v>182</v>
      </c>
      <c r="BE495" t="s">
        <v>7118</v>
      </c>
      <c r="BF495">
        <v>1</v>
      </c>
      <c r="BG495">
        <v>1</v>
      </c>
      <c r="BH495">
        <v>1997</v>
      </c>
      <c r="BI495" t="s">
        <v>5238</v>
      </c>
      <c r="BJ495" t="s">
        <v>194</v>
      </c>
      <c r="BK495" t="s">
        <v>195</v>
      </c>
      <c r="BL495" t="s">
        <v>764</v>
      </c>
      <c r="BM495" t="s">
        <v>533</v>
      </c>
      <c r="BN495" t="s">
        <v>182</v>
      </c>
      <c r="BO495" t="s">
        <v>198</v>
      </c>
      <c r="BP495" t="s">
        <v>198</v>
      </c>
      <c r="BQ495" t="s">
        <v>198</v>
      </c>
      <c r="BR495" t="s">
        <v>198</v>
      </c>
      <c r="BS495" t="s">
        <v>198</v>
      </c>
      <c r="BT495" t="s">
        <v>198</v>
      </c>
      <c r="BU495" t="s">
        <v>182</v>
      </c>
      <c r="BV495" t="s">
        <v>198</v>
      </c>
      <c r="BW495" t="s">
        <v>198</v>
      </c>
      <c r="BX495" t="s">
        <v>199</v>
      </c>
      <c r="BY495" t="s">
        <v>198</v>
      </c>
      <c r="BZ495" t="s">
        <v>199</v>
      </c>
      <c r="CA495" t="s">
        <v>199</v>
      </c>
      <c r="CB495" t="s">
        <v>7119</v>
      </c>
      <c r="CC495" t="s">
        <v>201</v>
      </c>
      <c r="CD495" t="s">
        <v>182</v>
      </c>
      <c r="CE495" t="s">
        <v>7120</v>
      </c>
      <c r="CF495" t="s">
        <v>204</v>
      </c>
      <c r="CG495" t="s">
        <v>177</v>
      </c>
      <c r="CH495" t="s">
        <v>187</v>
      </c>
      <c r="CI495" t="s">
        <v>7121</v>
      </c>
      <c r="CJ495" t="s">
        <v>7110</v>
      </c>
      <c r="CK495" t="s">
        <v>232</v>
      </c>
      <c r="CL495" t="s">
        <v>233</v>
      </c>
      <c r="CM495" t="s">
        <v>7122</v>
      </c>
      <c r="CN495" t="s">
        <v>235</v>
      </c>
      <c r="CO495" t="s">
        <v>183</v>
      </c>
      <c r="CP495" t="s">
        <v>211</v>
      </c>
      <c r="CQ495" t="s">
        <v>296</v>
      </c>
      <c r="CS495" t="s">
        <v>7123</v>
      </c>
      <c r="CT495" t="s">
        <v>6639</v>
      </c>
      <c r="CU495" t="s">
        <v>292</v>
      </c>
      <c r="CV495" t="s">
        <v>293</v>
      </c>
      <c r="CW495" t="s">
        <v>7124</v>
      </c>
      <c r="CX495" t="s">
        <v>235</v>
      </c>
      <c r="CY495" t="s">
        <v>183</v>
      </c>
      <c r="CZ495" t="s">
        <v>211</v>
      </c>
      <c r="DA495" t="s">
        <v>444</v>
      </c>
      <c r="DC495" t="s">
        <v>7123</v>
      </c>
      <c r="DD495" t="s">
        <v>7125</v>
      </c>
      <c r="DE495" t="s">
        <v>267</v>
      </c>
      <c r="DF495" t="s">
        <v>268</v>
      </c>
      <c r="DG495" t="s">
        <v>7126</v>
      </c>
      <c r="DH495" t="s">
        <v>235</v>
      </c>
      <c r="DI495" t="s">
        <v>183</v>
      </c>
      <c r="DJ495" t="s">
        <v>211</v>
      </c>
      <c r="DK495" t="s">
        <v>523</v>
      </c>
      <c r="DM495" t="s">
        <v>3894</v>
      </c>
      <c r="DN495" t="s">
        <v>7127</v>
      </c>
      <c r="DO495" t="s">
        <v>273</v>
      </c>
      <c r="DP495" t="s">
        <v>274</v>
      </c>
      <c r="DQ495" t="s">
        <v>7128</v>
      </c>
      <c r="DR495" t="s">
        <v>235</v>
      </c>
      <c r="DS495" t="s">
        <v>183</v>
      </c>
      <c r="DT495" t="s">
        <v>211</v>
      </c>
      <c r="DU495" t="s">
        <v>264</v>
      </c>
      <c r="DW495" t="s">
        <v>7129</v>
      </c>
      <c r="DX495" t="s">
        <v>7130</v>
      </c>
      <c r="DY495" t="s">
        <v>302</v>
      </c>
      <c r="DZ495" t="s">
        <v>303</v>
      </c>
      <c r="EA495" t="s">
        <v>7131</v>
      </c>
      <c r="EB495" t="s">
        <v>235</v>
      </c>
      <c r="EC495" t="s">
        <v>183</v>
      </c>
      <c r="ED495" t="s">
        <v>211</v>
      </c>
      <c r="EE495" t="s">
        <v>471</v>
      </c>
      <c r="EG495" t="s">
        <v>7129</v>
      </c>
      <c r="EH495" t="s">
        <v>7132</v>
      </c>
      <c r="EI495" t="s">
        <v>238</v>
      </c>
      <c r="EJ495" t="s">
        <v>239</v>
      </c>
      <c r="EK495" t="s">
        <v>7133</v>
      </c>
      <c r="EL495" t="s">
        <v>235</v>
      </c>
      <c r="EM495" t="s">
        <v>183</v>
      </c>
      <c r="EN495" t="s">
        <v>211</v>
      </c>
      <c r="EO495" t="s">
        <v>189</v>
      </c>
      <c r="EQ495" t="s">
        <v>895</v>
      </c>
      <c r="ER495" t="s">
        <v>7134</v>
      </c>
      <c r="ES495" t="s">
        <v>346</v>
      </c>
      <c r="ET495" t="s">
        <v>347</v>
      </c>
      <c r="EU495" t="s">
        <v>7135</v>
      </c>
      <c r="EV495" t="s">
        <v>235</v>
      </c>
      <c r="EW495" t="s">
        <v>183</v>
      </c>
      <c r="EX495" t="s">
        <v>211</v>
      </c>
      <c r="EY495" t="s">
        <v>264</v>
      </c>
      <c r="FA495" t="s">
        <v>2066</v>
      </c>
      <c r="FK495" t="s">
        <v>198</v>
      </c>
      <c r="FU495" t="s">
        <v>198</v>
      </c>
    </row>
    <row r="496" spans="1:177">
      <c r="A496" s="1" t="str">
        <f>HYPERLINK("http://digipan.lumentumllc.com/apps/getLink/index.php?t=PropLink&amp;p=5246159","PL")</f>
        <v>PL</v>
      </c>
      <c r="B496" s="1" t="str">
        <f>HYPERLINK("http://digipan.lumentumllc.com/apps/getLink/index.php?t=TaxLink&amp;p=5246159","TL")</f>
        <v>TL</v>
      </c>
      <c r="C496" s="1" t="str">
        <f>HYPERLINK("http://digipan.lumentumllc.com/apps/getMap/index.php?p=5246159","Map")</f>
        <v>Map</v>
      </c>
      <c r="E496" t="s">
        <v>177</v>
      </c>
      <c r="F496" t="s">
        <v>178</v>
      </c>
      <c r="L496" t="s">
        <v>7136</v>
      </c>
      <c r="N496" t="s">
        <v>7136</v>
      </c>
      <c r="O496" t="s">
        <v>7136</v>
      </c>
      <c r="P496" t="s">
        <v>7137</v>
      </c>
      <c r="Q496" t="s">
        <v>7136</v>
      </c>
      <c r="V496">
        <v>573</v>
      </c>
      <c r="W496">
        <v>2</v>
      </c>
      <c r="X496">
        <v>2017</v>
      </c>
      <c r="Y496">
        <v>2018</v>
      </c>
      <c r="Z496">
        <v>321.79000000000002</v>
      </c>
      <c r="AB496" t="s">
        <v>181</v>
      </c>
      <c r="AC496" t="s">
        <v>182</v>
      </c>
      <c r="AD496" t="s">
        <v>183</v>
      </c>
      <c r="AE496">
        <v>1</v>
      </c>
      <c r="AF496">
        <v>5</v>
      </c>
      <c r="AG496" t="s">
        <v>322</v>
      </c>
      <c r="AH496">
        <v>83</v>
      </c>
      <c r="AI496">
        <v>263.55</v>
      </c>
      <c r="AJ496">
        <v>13.18</v>
      </c>
      <c r="AK496">
        <v>276.73</v>
      </c>
      <c r="AL496">
        <v>21708</v>
      </c>
      <c r="AM496">
        <v>15000</v>
      </c>
      <c r="AN496">
        <v>6708</v>
      </c>
      <c r="AO496">
        <v>219</v>
      </c>
      <c r="AP496">
        <v>2016</v>
      </c>
      <c r="AQ496">
        <v>1.48</v>
      </c>
      <c r="AR496">
        <v>1.27</v>
      </c>
      <c r="AS496" t="s">
        <v>7117</v>
      </c>
      <c r="AT496" t="s">
        <v>186</v>
      </c>
      <c r="AU496" t="s">
        <v>177</v>
      </c>
      <c r="AV496" t="s">
        <v>187</v>
      </c>
      <c r="AW496" t="s">
        <v>182</v>
      </c>
      <c r="AX496">
        <v>0</v>
      </c>
      <c r="AY496" t="s">
        <v>312</v>
      </c>
      <c r="AZ496" t="s">
        <v>199</v>
      </c>
      <c r="BA496" t="s">
        <v>313</v>
      </c>
      <c r="BB496" t="s">
        <v>191</v>
      </c>
      <c r="BC496" t="s">
        <v>182</v>
      </c>
      <c r="BD496" t="s">
        <v>182</v>
      </c>
      <c r="BE496" t="s">
        <v>383</v>
      </c>
      <c r="BF496">
        <v>0</v>
      </c>
      <c r="BG496">
        <v>0</v>
      </c>
      <c r="BH496">
        <v>0</v>
      </c>
      <c r="BI496" t="s">
        <v>199</v>
      </c>
      <c r="BJ496" t="s">
        <v>248</v>
      </c>
      <c r="BL496" t="s">
        <v>199</v>
      </c>
      <c r="BM496" t="s">
        <v>679</v>
      </c>
      <c r="BN496" t="s">
        <v>182</v>
      </c>
      <c r="BO496" t="s">
        <v>198</v>
      </c>
      <c r="BP496" t="s">
        <v>198</v>
      </c>
      <c r="BQ496" t="s">
        <v>198</v>
      </c>
      <c r="BR496" t="s">
        <v>198</v>
      </c>
      <c r="BS496" t="s">
        <v>198</v>
      </c>
      <c r="BT496" t="s">
        <v>198</v>
      </c>
      <c r="BU496" t="s">
        <v>182</v>
      </c>
      <c r="BV496" t="s">
        <v>198</v>
      </c>
      <c r="BW496" t="s">
        <v>198</v>
      </c>
      <c r="BX496" t="s">
        <v>199</v>
      </c>
      <c r="BY496" t="s">
        <v>198</v>
      </c>
      <c r="BZ496" t="s">
        <v>199</v>
      </c>
      <c r="CA496" t="s">
        <v>199</v>
      </c>
      <c r="CB496" t="s">
        <v>7138</v>
      </c>
      <c r="CC496" t="s">
        <v>201</v>
      </c>
      <c r="CD496" t="s">
        <v>182</v>
      </c>
      <c r="CE496" t="s">
        <v>7120</v>
      </c>
      <c r="CF496" t="s">
        <v>204</v>
      </c>
      <c r="CG496" t="s">
        <v>177</v>
      </c>
      <c r="CH496" t="s">
        <v>187</v>
      </c>
      <c r="CI496" t="s">
        <v>7121</v>
      </c>
      <c r="CJ496" t="s">
        <v>6712</v>
      </c>
      <c r="CK496" t="s">
        <v>232</v>
      </c>
      <c r="CL496" t="s">
        <v>233</v>
      </c>
      <c r="CM496" t="s">
        <v>7139</v>
      </c>
      <c r="CN496" t="s">
        <v>331</v>
      </c>
      <c r="CO496" t="s">
        <v>183</v>
      </c>
      <c r="CP496" t="s">
        <v>266</v>
      </c>
      <c r="CS496" t="s">
        <v>198</v>
      </c>
      <c r="CT496" t="s">
        <v>6726</v>
      </c>
      <c r="CU496" t="s">
        <v>267</v>
      </c>
      <c r="CV496" t="s">
        <v>268</v>
      </c>
      <c r="CW496" t="s">
        <v>7140</v>
      </c>
      <c r="CX496" t="s">
        <v>331</v>
      </c>
      <c r="CY496" t="s">
        <v>183</v>
      </c>
      <c r="CZ496" t="s">
        <v>211</v>
      </c>
      <c r="DA496" t="s">
        <v>329</v>
      </c>
      <c r="DC496" t="s">
        <v>7141</v>
      </c>
      <c r="DD496" t="s">
        <v>6639</v>
      </c>
      <c r="DE496" t="s">
        <v>273</v>
      </c>
      <c r="DF496" t="s">
        <v>274</v>
      </c>
      <c r="DG496" t="s">
        <v>7142</v>
      </c>
      <c r="DH496" t="s">
        <v>1491</v>
      </c>
      <c r="DI496" t="s">
        <v>183</v>
      </c>
      <c r="DJ496" t="s">
        <v>211</v>
      </c>
      <c r="DK496" t="s">
        <v>523</v>
      </c>
      <c r="DM496" t="s">
        <v>7143</v>
      </c>
      <c r="DN496" t="s">
        <v>7144</v>
      </c>
      <c r="DO496" t="s">
        <v>302</v>
      </c>
      <c r="DP496" t="s">
        <v>303</v>
      </c>
      <c r="DQ496" t="s">
        <v>7145</v>
      </c>
      <c r="DR496" t="s">
        <v>278</v>
      </c>
      <c r="DS496" t="s">
        <v>183</v>
      </c>
      <c r="DT496" t="s">
        <v>211</v>
      </c>
      <c r="DU496" t="s">
        <v>460</v>
      </c>
      <c r="DW496" t="s">
        <v>7146</v>
      </c>
      <c r="DX496" t="s">
        <v>7147</v>
      </c>
      <c r="DY496" t="s">
        <v>238</v>
      </c>
      <c r="DZ496" t="s">
        <v>239</v>
      </c>
      <c r="EA496" t="s">
        <v>7148</v>
      </c>
      <c r="EB496" t="s">
        <v>278</v>
      </c>
      <c r="EC496" t="s">
        <v>183</v>
      </c>
      <c r="ED496" t="s">
        <v>211</v>
      </c>
      <c r="EE496" t="s">
        <v>189</v>
      </c>
      <c r="EG496" t="s">
        <v>895</v>
      </c>
      <c r="EH496" t="s">
        <v>7149</v>
      </c>
      <c r="EI496" t="s">
        <v>346</v>
      </c>
      <c r="EJ496" t="s">
        <v>347</v>
      </c>
      <c r="EK496" t="s">
        <v>7150</v>
      </c>
      <c r="EL496" t="s">
        <v>469</v>
      </c>
      <c r="EM496" t="s">
        <v>183</v>
      </c>
      <c r="EN496" t="s">
        <v>211</v>
      </c>
      <c r="EO496" t="s">
        <v>264</v>
      </c>
      <c r="EQ496" t="s">
        <v>2066</v>
      </c>
      <c r="FA496" t="s">
        <v>198</v>
      </c>
      <c r="FK496" t="s">
        <v>198</v>
      </c>
      <c r="FU496" t="s">
        <v>198</v>
      </c>
    </row>
    <row r="497" spans="1:177">
      <c r="A497" s="1" t="str">
        <f>HYPERLINK("http://digipan.lumentumllc.com/apps/getLink/index.php?t=PropLink&amp;p=5246160","PL")</f>
        <v>PL</v>
      </c>
      <c r="B497" s="1" t="str">
        <f>HYPERLINK("http://digipan.lumentumllc.com/apps/getLink/index.php?t=TaxLink&amp;p=5246160","TL")</f>
        <v>TL</v>
      </c>
      <c r="C497" s="1" t="str">
        <f>HYPERLINK("http://digipan.lumentumllc.com/apps/getMap/index.php?p=5246160","Map")</f>
        <v>Map</v>
      </c>
      <c r="E497" t="s">
        <v>177</v>
      </c>
      <c r="F497" t="s">
        <v>178</v>
      </c>
      <c r="L497" t="s">
        <v>7151</v>
      </c>
      <c r="N497" t="s">
        <v>7151</v>
      </c>
      <c r="O497" t="s">
        <v>7151</v>
      </c>
      <c r="P497" t="s">
        <v>7152</v>
      </c>
      <c r="Q497" t="s">
        <v>7151</v>
      </c>
      <c r="V497">
        <v>574</v>
      </c>
      <c r="W497">
        <v>2</v>
      </c>
      <c r="X497">
        <v>2017</v>
      </c>
      <c r="Y497">
        <v>2018</v>
      </c>
      <c r="Z497">
        <v>294.92</v>
      </c>
      <c r="AG497" t="s">
        <v>184</v>
      </c>
      <c r="AH497">
        <v>0</v>
      </c>
      <c r="AK497">
        <v>0</v>
      </c>
      <c r="AL497">
        <v>18585</v>
      </c>
      <c r="AM497">
        <v>18585</v>
      </c>
      <c r="AN497">
        <v>0</v>
      </c>
      <c r="AO497">
        <v>211</v>
      </c>
      <c r="AP497">
        <v>2016</v>
      </c>
      <c r="AQ497">
        <v>1.59</v>
      </c>
      <c r="AS497" t="s">
        <v>7153</v>
      </c>
      <c r="AT497" t="s">
        <v>186</v>
      </c>
      <c r="AU497" t="s">
        <v>177</v>
      </c>
      <c r="AV497" t="s">
        <v>187</v>
      </c>
      <c r="AW497" t="s">
        <v>182</v>
      </c>
      <c r="AX497">
        <v>0</v>
      </c>
      <c r="AY497" t="s">
        <v>312</v>
      </c>
      <c r="AZ497" t="s">
        <v>199</v>
      </c>
      <c r="BA497" t="s">
        <v>313</v>
      </c>
      <c r="BB497" t="s">
        <v>191</v>
      </c>
      <c r="BC497" t="s">
        <v>182</v>
      </c>
      <c r="BD497" t="s">
        <v>182</v>
      </c>
      <c r="BE497" t="s">
        <v>7154</v>
      </c>
      <c r="BF497">
        <v>0</v>
      </c>
      <c r="BG497">
        <v>0</v>
      </c>
      <c r="BH497">
        <v>0</v>
      </c>
      <c r="BI497" t="s">
        <v>199</v>
      </c>
      <c r="BJ497" t="s">
        <v>248</v>
      </c>
      <c r="BL497" t="s">
        <v>1225</v>
      </c>
      <c r="BM497" t="s">
        <v>7155</v>
      </c>
      <c r="BN497" t="s">
        <v>182</v>
      </c>
      <c r="BO497" t="s">
        <v>198</v>
      </c>
      <c r="BP497" t="s">
        <v>198</v>
      </c>
      <c r="BQ497" t="s">
        <v>198</v>
      </c>
      <c r="BR497" t="s">
        <v>198</v>
      </c>
      <c r="BS497" t="s">
        <v>198</v>
      </c>
      <c r="BT497" t="s">
        <v>198</v>
      </c>
      <c r="BU497" t="s">
        <v>182</v>
      </c>
      <c r="BV497" t="s">
        <v>198</v>
      </c>
      <c r="BW497" t="s">
        <v>198</v>
      </c>
      <c r="BX497" t="s">
        <v>199</v>
      </c>
      <c r="BY497" t="s">
        <v>198</v>
      </c>
      <c r="BZ497" t="s">
        <v>199</v>
      </c>
      <c r="CA497" t="s">
        <v>199</v>
      </c>
      <c r="CB497" t="s">
        <v>7156</v>
      </c>
      <c r="CC497" t="s">
        <v>201</v>
      </c>
      <c r="CD497" t="s">
        <v>182</v>
      </c>
      <c r="CE497" t="s">
        <v>7157</v>
      </c>
      <c r="CF497" t="s">
        <v>204</v>
      </c>
      <c r="CG497" t="s">
        <v>177</v>
      </c>
      <c r="CH497" t="s">
        <v>187</v>
      </c>
      <c r="CI497" t="s">
        <v>7158</v>
      </c>
      <c r="CS497" t="s">
        <v>198</v>
      </c>
      <c r="DC497" t="s">
        <v>198</v>
      </c>
      <c r="DM497" t="s">
        <v>198</v>
      </c>
      <c r="DW497" t="s">
        <v>198</v>
      </c>
      <c r="EG497" t="s">
        <v>198</v>
      </c>
      <c r="EQ497" t="s">
        <v>198</v>
      </c>
      <c r="FA497" t="s">
        <v>198</v>
      </c>
      <c r="FK497" t="s">
        <v>198</v>
      </c>
      <c r="FU497" t="s">
        <v>198</v>
      </c>
    </row>
    <row r="498" spans="1:177">
      <c r="A498" s="1" t="str">
        <f>HYPERLINK("http://digipan.lumentumllc.com/apps/getLink/index.php?t=PropLink&amp;p=4637694","PL")</f>
        <v>PL</v>
      </c>
      <c r="B498" s="1" t="str">
        <f>HYPERLINK("http://digipan.lumentumllc.com/apps/getLink/index.php?t=TaxLink&amp;p=4637694","TL")</f>
        <v>TL</v>
      </c>
      <c r="C498" s="1" t="str">
        <f>HYPERLINK("http://digipan.lumentumllc.com/apps/getMap/index.php?p=4637694","Map")</f>
        <v>Map</v>
      </c>
      <c r="E498" t="s">
        <v>177</v>
      </c>
      <c r="F498" t="s">
        <v>178</v>
      </c>
      <c r="L498" t="s">
        <v>7159</v>
      </c>
      <c r="N498" t="s">
        <v>7159</v>
      </c>
      <c r="O498" t="s">
        <v>7159</v>
      </c>
      <c r="P498" t="s">
        <v>7160</v>
      </c>
      <c r="Q498" t="s">
        <v>7159</v>
      </c>
      <c r="V498">
        <v>575</v>
      </c>
      <c r="W498">
        <v>2</v>
      </c>
      <c r="X498">
        <v>2017</v>
      </c>
      <c r="Y498">
        <v>2018</v>
      </c>
      <c r="Z498">
        <v>636.15</v>
      </c>
      <c r="AB498" t="s">
        <v>181</v>
      </c>
      <c r="AC498" t="s">
        <v>182</v>
      </c>
      <c r="AD498" t="s">
        <v>183</v>
      </c>
      <c r="AE498">
        <v>1</v>
      </c>
      <c r="AF498">
        <v>0</v>
      </c>
      <c r="AG498" t="s">
        <v>1200</v>
      </c>
      <c r="AH498">
        <v>0</v>
      </c>
      <c r="AI498">
        <v>641.29999999999995</v>
      </c>
      <c r="AJ498">
        <v>32.07</v>
      </c>
      <c r="AK498">
        <v>673.37</v>
      </c>
      <c r="AL498">
        <v>40000</v>
      </c>
      <c r="AM498">
        <v>40000</v>
      </c>
      <c r="AN498">
        <v>0</v>
      </c>
      <c r="AO498">
        <v>568</v>
      </c>
      <c r="AP498">
        <v>2016</v>
      </c>
      <c r="AQ498">
        <v>1.59</v>
      </c>
      <c r="AR498">
        <v>1.68</v>
      </c>
      <c r="AS498" t="s">
        <v>7161</v>
      </c>
      <c r="AT498" t="s">
        <v>186</v>
      </c>
      <c r="AU498" t="s">
        <v>177</v>
      </c>
      <c r="AV498" t="s">
        <v>187</v>
      </c>
      <c r="AW498" t="s">
        <v>182</v>
      </c>
      <c r="AX498">
        <v>0</v>
      </c>
      <c r="AY498" t="s">
        <v>312</v>
      </c>
      <c r="AZ498" t="s">
        <v>199</v>
      </c>
      <c r="BA498" t="s">
        <v>313</v>
      </c>
      <c r="BB498" t="s">
        <v>191</v>
      </c>
      <c r="BC498" t="s">
        <v>182</v>
      </c>
      <c r="BD498" t="s">
        <v>182</v>
      </c>
      <c r="BE498" t="s">
        <v>247</v>
      </c>
      <c r="BF498">
        <v>0</v>
      </c>
      <c r="BG498">
        <v>0</v>
      </c>
      <c r="BH498">
        <v>0</v>
      </c>
      <c r="BI498" t="s">
        <v>199</v>
      </c>
      <c r="BJ498" t="s">
        <v>315</v>
      </c>
      <c r="BL498" t="s">
        <v>199</v>
      </c>
      <c r="BM498" t="s">
        <v>232</v>
      </c>
      <c r="BN498" t="s">
        <v>182</v>
      </c>
      <c r="BO498" t="s">
        <v>2976</v>
      </c>
      <c r="BP498" t="s">
        <v>7162</v>
      </c>
      <c r="BQ498" t="s">
        <v>800</v>
      </c>
      <c r="BR498" t="s">
        <v>563</v>
      </c>
      <c r="BS498" t="s">
        <v>198</v>
      </c>
      <c r="BT498" t="s">
        <v>7163</v>
      </c>
      <c r="BU498" t="s">
        <v>182</v>
      </c>
      <c r="BV498" t="s">
        <v>198</v>
      </c>
      <c r="BW498" t="s">
        <v>198</v>
      </c>
      <c r="BX498" t="s">
        <v>199</v>
      </c>
      <c r="BY498" t="s">
        <v>198</v>
      </c>
      <c r="BZ498" t="s">
        <v>199</v>
      </c>
      <c r="CA498" t="s">
        <v>199</v>
      </c>
      <c r="CB498" t="s">
        <v>7164</v>
      </c>
      <c r="CC498" t="s">
        <v>201</v>
      </c>
      <c r="CD498" t="s">
        <v>202</v>
      </c>
      <c r="CE498" t="s">
        <v>7165</v>
      </c>
      <c r="CF498" t="s">
        <v>204</v>
      </c>
      <c r="CG498" t="s">
        <v>177</v>
      </c>
      <c r="CH498" t="s">
        <v>187</v>
      </c>
      <c r="CI498" t="s">
        <v>7166</v>
      </c>
      <c r="CJ498" t="s">
        <v>7125</v>
      </c>
      <c r="CK498" t="s">
        <v>232</v>
      </c>
      <c r="CL498" t="s">
        <v>233</v>
      </c>
      <c r="CM498" t="s">
        <v>7167</v>
      </c>
      <c r="CN498" t="s">
        <v>235</v>
      </c>
      <c r="CO498" t="s">
        <v>183</v>
      </c>
      <c r="CP498" t="s">
        <v>266</v>
      </c>
      <c r="CS498" t="s">
        <v>198</v>
      </c>
      <c r="DC498" t="s">
        <v>198</v>
      </c>
      <c r="DM498" t="s">
        <v>198</v>
      </c>
      <c r="DW498" t="s">
        <v>198</v>
      </c>
      <c r="EG498" t="s">
        <v>198</v>
      </c>
      <c r="EQ498" t="s">
        <v>198</v>
      </c>
      <c r="FA498" t="s">
        <v>198</v>
      </c>
      <c r="FK498" t="s">
        <v>198</v>
      </c>
      <c r="FU498" t="s">
        <v>198</v>
      </c>
    </row>
    <row r="499" spans="1:177">
      <c r="A499" s="1" t="str">
        <f>HYPERLINK("http://digipan.lumentumllc.com/apps/getLink/index.php?t=PropLink&amp;p=5246161","PL")</f>
        <v>PL</v>
      </c>
      <c r="B499" s="1" t="str">
        <f>HYPERLINK("http://digipan.lumentumllc.com/apps/getLink/index.php?t=TaxLink&amp;p=5246161","TL")</f>
        <v>TL</v>
      </c>
      <c r="C499" s="1" t="str">
        <f>HYPERLINK("http://digipan.lumentumllc.com/apps/getMap/index.php?p=5246161","Map")</f>
        <v>Map</v>
      </c>
      <c r="E499" t="s">
        <v>177</v>
      </c>
      <c r="F499" t="s">
        <v>178</v>
      </c>
      <c r="L499" t="s">
        <v>7168</v>
      </c>
      <c r="N499" t="s">
        <v>7168</v>
      </c>
      <c r="O499" t="s">
        <v>7168</v>
      </c>
      <c r="P499" t="s">
        <v>7169</v>
      </c>
      <c r="Q499" t="s">
        <v>7168</v>
      </c>
      <c r="V499">
        <v>576</v>
      </c>
      <c r="W499">
        <v>2</v>
      </c>
      <c r="X499">
        <v>2017</v>
      </c>
      <c r="Y499">
        <v>2018</v>
      </c>
      <c r="Z499">
        <v>229.54</v>
      </c>
      <c r="AB499" t="s">
        <v>181</v>
      </c>
      <c r="AC499" t="s">
        <v>182</v>
      </c>
      <c r="AD499" t="s">
        <v>183</v>
      </c>
      <c r="AE499">
        <v>0</v>
      </c>
      <c r="AF499">
        <v>5</v>
      </c>
      <c r="AG499" t="s">
        <v>744</v>
      </c>
      <c r="AH499">
        <v>100</v>
      </c>
      <c r="AK499">
        <v>0</v>
      </c>
      <c r="AL499">
        <v>13079</v>
      </c>
      <c r="AM499">
        <v>13079</v>
      </c>
      <c r="AN499">
        <v>0</v>
      </c>
      <c r="AO499">
        <v>186</v>
      </c>
      <c r="AP499">
        <v>2016</v>
      </c>
      <c r="AQ499">
        <v>1.76</v>
      </c>
      <c r="AS499" t="s">
        <v>7170</v>
      </c>
      <c r="AT499" t="s">
        <v>186</v>
      </c>
      <c r="AU499" t="s">
        <v>177</v>
      </c>
      <c r="AV499" t="s">
        <v>187</v>
      </c>
      <c r="AW499" t="s">
        <v>182</v>
      </c>
      <c r="AX499">
        <v>40</v>
      </c>
      <c r="AY499" t="s">
        <v>7171</v>
      </c>
      <c r="AZ499" t="s">
        <v>988</v>
      </c>
      <c r="BA499" t="s">
        <v>7172</v>
      </c>
      <c r="BB499" t="s">
        <v>191</v>
      </c>
      <c r="BC499" t="s">
        <v>182</v>
      </c>
      <c r="BD499" t="s">
        <v>182</v>
      </c>
      <c r="BE499" t="s">
        <v>383</v>
      </c>
      <c r="BF499">
        <v>0</v>
      </c>
      <c r="BG499">
        <v>0</v>
      </c>
      <c r="BH499">
        <v>0</v>
      </c>
      <c r="BI499" t="s">
        <v>199</v>
      </c>
      <c r="BJ499" t="s">
        <v>396</v>
      </c>
      <c r="BL499" t="s">
        <v>6226</v>
      </c>
      <c r="BM499" t="s">
        <v>292</v>
      </c>
      <c r="BN499" t="s">
        <v>182</v>
      </c>
      <c r="BO499" t="s">
        <v>198</v>
      </c>
      <c r="BP499" t="s">
        <v>198</v>
      </c>
      <c r="BQ499" t="s">
        <v>198</v>
      </c>
      <c r="BR499" t="s">
        <v>198</v>
      </c>
      <c r="BS499" t="s">
        <v>198</v>
      </c>
      <c r="BT499" t="s">
        <v>198</v>
      </c>
      <c r="BU499" t="s">
        <v>182</v>
      </c>
      <c r="BV499" t="s">
        <v>198</v>
      </c>
      <c r="BW499" t="s">
        <v>198</v>
      </c>
      <c r="BX499" t="s">
        <v>199</v>
      </c>
      <c r="BY499" t="s">
        <v>198</v>
      </c>
      <c r="BZ499" t="s">
        <v>199</v>
      </c>
      <c r="CA499" t="s">
        <v>199</v>
      </c>
      <c r="CB499" t="s">
        <v>7173</v>
      </c>
      <c r="CC499" t="s">
        <v>201</v>
      </c>
      <c r="CD499" t="s">
        <v>182</v>
      </c>
      <c r="CE499" t="s">
        <v>7174</v>
      </c>
      <c r="CF499" t="s">
        <v>7175</v>
      </c>
      <c r="CG499" t="s">
        <v>177</v>
      </c>
      <c r="CH499" t="s">
        <v>7176</v>
      </c>
      <c r="CI499" t="s">
        <v>7177</v>
      </c>
      <c r="CJ499" t="s">
        <v>6651</v>
      </c>
      <c r="CK499" t="s">
        <v>273</v>
      </c>
      <c r="CL499" t="s">
        <v>274</v>
      </c>
      <c r="CM499" t="s">
        <v>7178</v>
      </c>
      <c r="CN499" t="s">
        <v>1491</v>
      </c>
      <c r="CO499" t="s">
        <v>183</v>
      </c>
      <c r="CP499" t="s">
        <v>211</v>
      </c>
      <c r="CQ499" t="s">
        <v>342</v>
      </c>
      <c r="CS499" t="s">
        <v>2598</v>
      </c>
      <c r="CT499" t="s">
        <v>7179</v>
      </c>
      <c r="CU499" t="s">
        <v>302</v>
      </c>
      <c r="CV499" t="s">
        <v>303</v>
      </c>
      <c r="CW499" t="s">
        <v>7180</v>
      </c>
      <c r="CX499" t="s">
        <v>295</v>
      </c>
      <c r="CY499" t="s">
        <v>183</v>
      </c>
      <c r="CZ499" t="s">
        <v>211</v>
      </c>
      <c r="DA499" t="s">
        <v>345</v>
      </c>
      <c r="DC499" t="s">
        <v>2598</v>
      </c>
      <c r="DD499" t="s">
        <v>532</v>
      </c>
      <c r="DE499" t="s">
        <v>238</v>
      </c>
      <c r="DF499" t="s">
        <v>239</v>
      </c>
      <c r="DG499" t="s">
        <v>7181</v>
      </c>
      <c r="DH499" t="s">
        <v>254</v>
      </c>
      <c r="DI499" t="s">
        <v>183</v>
      </c>
      <c r="DJ499" t="s">
        <v>211</v>
      </c>
      <c r="DK499" t="s">
        <v>345</v>
      </c>
      <c r="DM499" t="s">
        <v>2676</v>
      </c>
      <c r="DN499" t="s">
        <v>7182</v>
      </c>
      <c r="DO499" t="s">
        <v>346</v>
      </c>
      <c r="DP499" t="s">
        <v>347</v>
      </c>
      <c r="DQ499" t="s">
        <v>7183</v>
      </c>
      <c r="DR499" t="s">
        <v>615</v>
      </c>
      <c r="DS499" t="s">
        <v>183</v>
      </c>
      <c r="DT499" t="s">
        <v>211</v>
      </c>
      <c r="DU499" t="s">
        <v>298</v>
      </c>
      <c r="DW499" t="s">
        <v>1100</v>
      </c>
      <c r="DX499" t="s">
        <v>376</v>
      </c>
      <c r="DY499" t="s">
        <v>207</v>
      </c>
      <c r="DZ499" t="s">
        <v>208</v>
      </c>
      <c r="EA499" t="s">
        <v>7184</v>
      </c>
      <c r="EB499" t="s">
        <v>469</v>
      </c>
      <c r="EC499" t="s">
        <v>183</v>
      </c>
      <c r="ED499" t="s">
        <v>211</v>
      </c>
      <c r="EE499" t="s">
        <v>345</v>
      </c>
      <c r="EG499" t="s">
        <v>619</v>
      </c>
      <c r="EQ499" t="s">
        <v>198</v>
      </c>
      <c r="FA499" t="s">
        <v>198</v>
      </c>
      <c r="FK499" t="s">
        <v>198</v>
      </c>
      <c r="FU499" t="s">
        <v>198</v>
      </c>
    </row>
    <row r="500" spans="1:177">
      <c r="A500" s="1" t="str">
        <f>HYPERLINK("http://digipan.lumentumllc.com/apps/getLink/index.php?t=PropLink&amp;p=5246163","PL")</f>
        <v>PL</v>
      </c>
      <c r="B500" s="1" t="str">
        <f>HYPERLINK("http://digipan.lumentumllc.com/apps/getLink/index.php?t=TaxLink&amp;p=5246163","TL")</f>
        <v>TL</v>
      </c>
      <c r="C500" s="1" t="str">
        <f>HYPERLINK("http://digipan.lumentumllc.com/apps/getMap/index.php?p=5246163","Map")</f>
        <v>Map</v>
      </c>
      <c r="E500" t="s">
        <v>177</v>
      </c>
      <c r="F500" t="s">
        <v>178</v>
      </c>
      <c r="L500" t="s">
        <v>7185</v>
      </c>
      <c r="N500" t="s">
        <v>7185</v>
      </c>
      <c r="O500" t="s">
        <v>7185</v>
      </c>
      <c r="P500" t="s">
        <v>7186</v>
      </c>
      <c r="Q500" t="s">
        <v>7185</v>
      </c>
      <c r="V500">
        <v>577</v>
      </c>
      <c r="W500">
        <v>2</v>
      </c>
      <c r="X500">
        <v>2017</v>
      </c>
      <c r="Y500">
        <v>2018</v>
      </c>
      <c r="Z500">
        <v>1768.56</v>
      </c>
      <c r="AB500" t="s">
        <v>181</v>
      </c>
      <c r="AC500" t="s">
        <v>182</v>
      </c>
      <c r="AD500" t="s">
        <v>183</v>
      </c>
      <c r="AE500">
        <v>0</v>
      </c>
      <c r="AF500">
        <v>1</v>
      </c>
      <c r="AG500" t="s">
        <v>821</v>
      </c>
      <c r="AH500">
        <v>100</v>
      </c>
      <c r="AK500">
        <v>0</v>
      </c>
      <c r="AL500">
        <v>114976</v>
      </c>
      <c r="AM500">
        <v>10000</v>
      </c>
      <c r="AN500">
        <v>104976</v>
      </c>
      <c r="AO500">
        <v>1586</v>
      </c>
      <c r="AP500">
        <v>2016</v>
      </c>
      <c r="AQ500">
        <v>1.54</v>
      </c>
      <c r="AS500" t="s">
        <v>7187</v>
      </c>
      <c r="AT500" t="s">
        <v>186</v>
      </c>
      <c r="AU500" t="s">
        <v>177</v>
      </c>
      <c r="AV500" t="s">
        <v>187</v>
      </c>
      <c r="AW500" t="s">
        <v>182</v>
      </c>
      <c r="AX500">
        <v>1</v>
      </c>
      <c r="AY500" t="s">
        <v>188</v>
      </c>
      <c r="AZ500" t="s">
        <v>206</v>
      </c>
      <c r="BA500" t="s">
        <v>355</v>
      </c>
      <c r="BB500" t="s">
        <v>191</v>
      </c>
      <c r="BC500" t="s">
        <v>182</v>
      </c>
      <c r="BD500" t="s">
        <v>182</v>
      </c>
      <c r="BE500" t="s">
        <v>7188</v>
      </c>
      <c r="BF500">
        <v>1</v>
      </c>
      <c r="BG500">
        <v>1</v>
      </c>
      <c r="BH500">
        <v>2001</v>
      </c>
      <c r="BI500" t="s">
        <v>7189</v>
      </c>
      <c r="BJ500" t="s">
        <v>194</v>
      </c>
      <c r="BK500" t="s">
        <v>195</v>
      </c>
      <c r="BL500" t="s">
        <v>7190</v>
      </c>
      <c r="BM500" t="s">
        <v>207</v>
      </c>
      <c r="BN500" t="s">
        <v>182</v>
      </c>
      <c r="BO500" t="s">
        <v>7191</v>
      </c>
      <c r="BP500" t="s">
        <v>7192</v>
      </c>
      <c r="BQ500" t="s">
        <v>1520</v>
      </c>
      <c r="BS500" t="s">
        <v>198</v>
      </c>
      <c r="BT500" t="s">
        <v>7193</v>
      </c>
      <c r="BU500" t="s">
        <v>182</v>
      </c>
      <c r="BV500" t="s">
        <v>198</v>
      </c>
      <c r="BW500" t="s">
        <v>198</v>
      </c>
      <c r="BX500" t="s">
        <v>199</v>
      </c>
      <c r="BY500" t="s">
        <v>198</v>
      </c>
      <c r="BZ500" t="s">
        <v>199</v>
      </c>
      <c r="CA500" t="s">
        <v>199</v>
      </c>
      <c r="CB500" t="s">
        <v>7194</v>
      </c>
      <c r="CC500" t="s">
        <v>201</v>
      </c>
      <c r="CD500" t="s">
        <v>182</v>
      </c>
      <c r="CE500" t="s">
        <v>7195</v>
      </c>
      <c r="CF500" t="s">
        <v>204</v>
      </c>
      <c r="CG500" t="s">
        <v>177</v>
      </c>
      <c r="CH500" t="s">
        <v>187</v>
      </c>
      <c r="CI500" t="s">
        <v>629</v>
      </c>
      <c r="CJ500" t="s">
        <v>7196</v>
      </c>
      <c r="CK500" t="s">
        <v>346</v>
      </c>
      <c r="CL500" t="s">
        <v>347</v>
      </c>
      <c r="CM500" t="s">
        <v>7197</v>
      </c>
      <c r="CN500" t="s">
        <v>235</v>
      </c>
      <c r="CO500" t="s">
        <v>183</v>
      </c>
      <c r="CP500" t="s">
        <v>211</v>
      </c>
      <c r="CQ500" t="s">
        <v>199</v>
      </c>
      <c r="CS500" t="s">
        <v>7198</v>
      </c>
      <c r="DC500" t="s">
        <v>198</v>
      </c>
      <c r="DM500" t="s">
        <v>198</v>
      </c>
      <c r="DW500" t="s">
        <v>198</v>
      </c>
      <c r="EG500" t="s">
        <v>198</v>
      </c>
      <c r="EQ500" t="s">
        <v>198</v>
      </c>
      <c r="FA500" t="s">
        <v>198</v>
      </c>
      <c r="FK500" t="s">
        <v>198</v>
      </c>
      <c r="FU500" t="s">
        <v>198</v>
      </c>
    </row>
    <row r="501" spans="1:177">
      <c r="A501" s="1" t="str">
        <f>HYPERLINK("http://digipan.lumentumllc.com/apps/getLink/index.php?t=PropLink&amp;p=6594191","PL")</f>
        <v>PL</v>
      </c>
      <c r="B501" s="1" t="str">
        <f>HYPERLINK("http://digipan.lumentumllc.com/apps/getLink/index.php?t=TaxLink&amp;p=6594191","TL")</f>
        <v>TL</v>
      </c>
      <c r="C501" s="1" t="str">
        <f>HYPERLINK("http://digipan.lumentumllc.com/apps/getMap/index.php?p=6594191","Map")</f>
        <v>Map</v>
      </c>
      <c r="E501" t="s">
        <v>177</v>
      </c>
      <c r="F501" t="s">
        <v>178</v>
      </c>
      <c r="L501" t="s">
        <v>7199</v>
      </c>
      <c r="N501" t="s">
        <v>7199</v>
      </c>
      <c r="O501" t="s">
        <v>7199</v>
      </c>
      <c r="P501" t="s">
        <v>7200</v>
      </c>
      <c r="Q501" t="s">
        <v>7199</v>
      </c>
      <c r="V501">
        <v>578</v>
      </c>
      <c r="W501">
        <v>2</v>
      </c>
      <c r="X501">
        <v>2017</v>
      </c>
      <c r="Y501">
        <v>2018</v>
      </c>
      <c r="Z501">
        <v>1487.87</v>
      </c>
      <c r="AB501" t="s">
        <v>181</v>
      </c>
      <c r="AC501" t="s">
        <v>182</v>
      </c>
      <c r="AD501" t="s">
        <v>183</v>
      </c>
      <c r="AE501">
        <v>0</v>
      </c>
      <c r="AF501">
        <v>2</v>
      </c>
      <c r="AG501" t="s">
        <v>821</v>
      </c>
      <c r="AH501">
        <v>100</v>
      </c>
      <c r="AK501">
        <v>0</v>
      </c>
      <c r="AL501">
        <v>96393</v>
      </c>
      <c r="AM501">
        <v>10000</v>
      </c>
      <c r="AN501">
        <v>86393</v>
      </c>
      <c r="AO501">
        <v>1350</v>
      </c>
      <c r="AP501">
        <v>2016</v>
      </c>
      <c r="AQ501">
        <v>1.54</v>
      </c>
      <c r="AS501" t="s">
        <v>7201</v>
      </c>
      <c r="AT501" t="s">
        <v>186</v>
      </c>
      <c r="AU501" t="s">
        <v>177</v>
      </c>
      <c r="AV501" t="s">
        <v>187</v>
      </c>
      <c r="AW501" t="s">
        <v>182</v>
      </c>
      <c r="AX501">
        <v>1</v>
      </c>
      <c r="AY501" t="s">
        <v>188</v>
      </c>
      <c r="AZ501" t="s">
        <v>206</v>
      </c>
      <c r="BA501" t="s">
        <v>355</v>
      </c>
      <c r="BB501" t="s">
        <v>191</v>
      </c>
      <c r="BC501" t="s">
        <v>182</v>
      </c>
      <c r="BD501" t="s">
        <v>182</v>
      </c>
      <c r="BE501" t="s">
        <v>3682</v>
      </c>
      <c r="BF501">
        <v>1</v>
      </c>
      <c r="BG501">
        <v>1</v>
      </c>
      <c r="BH501">
        <v>1994</v>
      </c>
      <c r="BI501" t="s">
        <v>7202</v>
      </c>
      <c r="BJ501" t="s">
        <v>194</v>
      </c>
      <c r="BK501" t="s">
        <v>195</v>
      </c>
      <c r="BL501" t="s">
        <v>7203</v>
      </c>
      <c r="BM501" t="s">
        <v>559</v>
      </c>
      <c r="BN501" t="s">
        <v>182</v>
      </c>
      <c r="BO501" t="s">
        <v>7204</v>
      </c>
      <c r="BP501" t="s">
        <v>7205</v>
      </c>
      <c r="BQ501" t="s">
        <v>562</v>
      </c>
      <c r="BS501" t="s">
        <v>198</v>
      </c>
      <c r="BT501" t="s">
        <v>7206</v>
      </c>
      <c r="BU501" t="s">
        <v>182</v>
      </c>
      <c r="BV501" t="s">
        <v>198</v>
      </c>
      <c r="BW501" t="s">
        <v>198</v>
      </c>
      <c r="BX501" t="s">
        <v>199</v>
      </c>
      <c r="BY501" t="s">
        <v>198</v>
      </c>
      <c r="BZ501" t="s">
        <v>199</v>
      </c>
      <c r="CA501" t="s">
        <v>199</v>
      </c>
      <c r="CB501" t="s">
        <v>7207</v>
      </c>
      <c r="CC501" t="s">
        <v>201</v>
      </c>
      <c r="CD501" t="s">
        <v>182</v>
      </c>
      <c r="CE501" t="s">
        <v>7208</v>
      </c>
      <c r="CF501" t="s">
        <v>204</v>
      </c>
      <c r="CG501" t="s">
        <v>177</v>
      </c>
      <c r="CH501" t="s">
        <v>187</v>
      </c>
      <c r="CI501" t="s">
        <v>3818</v>
      </c>
      <c r="CJ501" t="s">
        <v>6661</v>
      </c>
      <c r="CK501" t="s">
        <v>273</v>
      </c>
      <c r="CL501" t="s">
        <v>274</v>
      </c>
      <c r="CM501" t="s">
        <v>7209</v>
      </c>
      <c r="CN501" t="s">
        <v>235</v>
      </c>
      <c r="CO501" t="s">
        <v>183</v>
      </c>
      <c r="CP501" t="s">
        <v>211</v>
      </c>
      <c r="CQ501" t="s">
        <v>212</v>
      </c>
      <c r="CS501" t="s">
        <v>7210</v>
      </c>
      <c r="CT501" t="s">
        <v>7211</v>
      </c>
      <c r="CU501" t="s">
        <v>207</v>
      </c>
      <c r="CV501" t="s">
        <v>208</v>
      </c>
      <c r="CW501" t="s">
        <v>7212</v>
      </c>
      <c r="CX501" t="s">
        <v>235</v>
      </c>
      <c r="CY501" t="s">
        <v>183</v>
      </c>
      <c r="CZ501" t="s">
        <v>211</v>
      </c>
      <c r="DA501" t="s">
        <v>329</v>
      </c>
      <c r="DC501" t="s">
        <v>7213</v>
      </c>
      <c r="DM501" t="s">
        <v>198</v>
      </c>
      <c r="DW501" t="s">
        <v>198</v>
      </c>
      <c r="EG501" t="s">
        <v>198</v>
      </c>
      <c r="EQ501" t="s">
        <v>198</v>
      </c>
      <c r="FA501" t="s">
        <v>198</v>
      </c>
      <c r="FK501" t="s">
        <v>198</v>
      </c>
      <c r="FU501" t="s">
        <v>198</v>
      </c>
    </row>
    <row r="502" spans="1:177">
      <c r="A502" s="1" t="str">
        <f>HYPERLINK("http://digipan.lumentumllc.com/apps/getLink/index.php?t=PropLink&amp;p=7112420","PL")</f>
        <v>PL</v>
      </c>
      <c r="B502" s="1" t="str">
        <f>HYPERLINK("http://digipan.lumentumllc.com/apps/getLink/index.php?t=TaxLink&amp;p=7112420","TL")</f>
        <v>TL</v>
      </c>
      <c r="C502" s="1" t="str">
        <f>HYPERLINK("http://digipan.lumentumllc.com/apps/getMap/index.php?p=7112420","Map")</f>
        <v>Map</v>
      </c>
      <c r="E502" t="s">
        <v>177</v>
      </c>
      <c r="F502" t="s">
        <v>178</v>
      </c>
      <c r="L502" t="s">
        <v>7214</v>
      </c>
      <c r="N502" t="s">
        <v>7214</v>
      </c>
      <c r="O502" t="s">
        <v>7214</v>
      </c>
      <c r="P502" t="s">
        <v>7215</v>
      </c>
      <c r="Q502" t="s">
        <v>7214</v>
      </c>
      <c r="V502">
        <v>579</v>
      </c>
      <c r="W502">
        <v>2</v>
      </c>
      <c r="X502">
        <v>2017</v>
      </c>
      <c r="Y502">
        <v>2018</v>
      </c>
      <c r="Z502">
        <v>886.31</v>
      </c>
      <c r="AB502" t="s">
        <v>181</v>
      </c>
      <c r="AC502" t="s">
        <v>182</v>
      </c>
      <c r="AD502" t="s">
        <v>183</v>
      </c>
      <c r="AE502">
        <v>0</v>
      </c>
      <c r="AF502">
        <v>1</v>
      </c>
      <c r="AG502" t="s">
        <v>821</v>
      </c>
      <c r="AH502">
        <v>100</v>
      </c>
      <c r="AK502">
        <v>0</v>
      </c>
      <c r="AL502">
        <v>56563</v>
      </c>
      <c r="AM502">
        <v>30037</v>
      </c>
      <c r="AN502">
        <v>26526</v>
      </c>
      <c r="AO502">
        <v>806</v>
      </c>
      <c r="AP502">
        <v>2016</v>
      </c>
      <c r="AQ502">
        <v>1.57</v>
      </c>
      <c r="AS502" t="s">
        <v>7216</v>
      </c>
      <c r="AT502" t="s">
        <v>186</v>
      </c>
      <c r="AU502" t="s">
        <v>177</v>
      </c>
      <c r="AV502" t="s">
        <v>187</v>
      </c>
      <c r="AW502" t="s">
        <v>182</v>
      </c>
      <c r="AX502">
        <v>1</v>
      </c>
      <c r="AY502" t="s">
        <v>188</v>
      </c>
      <c r="AZ502" t="s">
        <v>206</v>
      </c>
      <c r="BA502" t="s">
        <v>355</v>
      </c>
      <c r="BB502" t="s">
        <v>191</v>
      </c>
      <c r="BC502" t="s">
        <v>182</v>
      </c>
      <c r="BD502" t="s">
        <v>182</v>
      </c>
      <c r="BE502" t="s">
        <v>5948</v>
      </c>
      <c r="BF502">
        <v>2</v>
      </c>
      <c r="BG502">
        <v>2</v>
      </c>
      <c r="BH502">
        <v>1958</v>
      </c>
      <c r="BI502" t="s">
        <v>207</v>
      </c>
      <c r="BJ502" t="s">
        <v>194</v>
      </c>
      <c r="BK502" t="s">
        <v>195</v>
      </c>
      <c r="BL502" t="s">
        <v>199</v>
      </c>
      <c r="BM502" t="s">
        <v>358</v>
      </c>
      <c r="BN502" t="s">
        <v>182</v>
      </c>
      <c r="BO502" t="s">
        <v>198</v>
      </c>
      <c r="BP502" t="s">
        <v>198</v>
      </c>
      <c r="BQ502" t="s">
        <v>198</v>
      </c>
      <c r="BR502" t="s">
        <v>198</v>
      </c>
      <c r="BS502" t="s">
        <v>198</v>
      </c>
      <c r="BT502" t="s">
        <v>198</v>
      </c>
      <c r="BU502" t="s">
        <v>182</v>
      </c>
      <c r="BV502" t="s">
        <v>198</v>
      </c>
      <c r="BW502" t="s">
        <v>198</v>
      </c>
      <c r="BX502" t="s">
        <v>199</v>
      </c>
      <c r="BY502" t="s">
        <v>198</v>
      </c>
      <c r="BZ502" t="s">
        <v>199</v>
      </c>
      <c r="CA502" t="s">
        <v>199</v>
      </c>
      <c r="CB502" t="s">
        <v>7217</v>
      </c>
      <c r="CC502" t="s">
        <v>201</v>
      </c>
      <c r="CD502" t="s">
        <v>202</v>
      </c>
      <c r="CE502" t="s">
        <v>7218</v>
      </c>
      <c r="CF502" t="s">
        <v>1029</v>
      </c>
      <c r="CG502" t="s">
        <v>177</v>
      </c>
      <c r="CH502" t="s">
        <v>1030</v>
      </c>
      <c r="CI502" t="s">
        <v>7219</v>
      </c>
      <c r="CJ502" t="s">
        <v>6651</v>
      </c>
      <c r="CK502" t="s">
        <v>292</v>
      </c>
      <c r="CL502" t="s">
        <v>293</v>
      </c>
      <c r="CM502" t="s">
        <v>7220</v>
      </c>
      <c r="CN502" t="s">
        <v>235</v>
      </c>
      <c r="CO502" t="s">
        <v>183</v>
      </c>
      <c r="CP502" t="s">
        <v>211</v>
      </c>
      <c r="CQ502" t="s">
        <v>199</v>
      </c>
      <c r="CS502" t="s">
        <v>7221</v>
      </c>
      <c r="DC502" t="s">
        <v>198</v>
      </c>
      <c r="DM502" t="s">
        <v>198</v>
      </c>
      <c r="DW502" t="s">
        <v>198</v>
      </c>
      <c r="EG502" t="s">
        <v>198</v>
      </c>
      <c r="EQ502" t="s">
        <v>198</v>
      </c>
      <c r="FA502" t="s">
        <v>198</v>
      </c>
      <c r="FK502" t="s">
        <v>198</v>
      </c>
      <c r="FU502" t="s">
        <v>198</v>
      </c>
    </row>
    <row r="503" spans="1:177">
      <c r="A503" s="1" t="str">
        <f>HYPERLINK("http://digipan.lumentumllc.com/apps/getLink/index.php?t=PropLink&amp;p=7112421","PL")</f>
        <v>PL</v>
      </c>
      <c r="B503" s="1" t="str">
        <f>HYPERLINK("http://digipan.lumentumllc.com/apps/getLink/index.php?t=TaxLink&amp;p=7112421","TL")</f>
        <v>TL</v>
      </c>
      <c r="C503" s="1" t="str">
        <f>HYPERLINK("http://digipan.lumentumllc.com/apps/getMap/index.php?p=7112421","Map")</f>
        <v>Map</v>
      </c>
      <c r="E503" t="s">
        <v>177</v>
      </c>
      <c r="F503" t="s">
        <v>178</v>
      </c>
      <c r="L503" t="s">
        <v>7222</v>
      </c>
      <c r="N503" t="s">
        <v>7222</v>
      </c>
      <c r="O503" t="s">
        <v>7222</v>
      </c>
      <c r="P503" t="s">
        <v>7223</v>
      </c>
      <c r="Q503" t="s">
        <v>7222</v>
      </c>
      <c r="V503">
        <v>580</v>
      </c>
      <c r="W503">
        <v>2</v>
      </c>
      <c r="X503">
        <v>2017</v>
      </c>
      <c r="Y503">
        <v>2018</v>
      </c>
      <c r="Z503">
        <v>594.09</v>
      </c>
      <c r="AB503" t="s">
        <v>181</v>
      </c>
      <c r="AC503" t="s">
        <v>182</v>
      </c>
      <c r="AD503" t="s">
        <v>183</v>
      </c>
      <c r="AE503">
        <v>0</v>
      </c>
      <c r="AF503">
        <v>1</v>
      </c>
      <c r="AG503" t="s">
        <v>821</v>
      </c>
      <c r="AH503">
        <v>100</v>
      </c>
      <c r="AK503">
        <v>0</v>
      </c>
      <c r="AL503">
        <v>37215</v>
      </c>
      <c r="AM503">
        <v>37215</v>
      </c>
      <c r="AN503">
        <v>0</v>
      </c>
      <c r="AO503">
        <v>529</v>
      </c>
      <c r="AP503">
        <v>2016</v>
      </c>
      <c r="AQ503">
        <v>1.6</v>
      </c>
      <c r="AS503" t="s">
        <v>7224</v>
      </c>
      <c r="AT503" t="s">
        <v>186</v>
      </c>
      <c r="AU503" t="s">
        <v>177</v>
      </c>
      <c r="AV503" t="s">
        <v>187</v>
      </c>
      <c r="AW503" t="s">
        <v>182</v>
      </c>
      <c r="AX503">
        <v>0</v>
      </c>
      <c r="AY503" t="s">
        <v>312</v>
      </c>
      <c r="AZ503" t="s">
        <v>199</v>
      </c>
      <c r="BA503" t="s">
        <v>313</v>
      </c>
      <c r="BB503" t="s">
        <v>191</v>
      </c>
      <c r="BC503" t="s">
        <v>182</v>
      </c>
      <c r="BD503" t="s">
        <v>182</v>
      </c>
      <c r="BE503" t="s">
        <v>7225</v>
      </c>
      <c r="BF503">
        <v>0</v>
      </c>
      <c r="BG503">
        <v>0</v>
      </c>
      <c r="BH503">
        <v>0</v>
      </c>
      <c r="BI503" t="s">
        <v>199</v>
      </c>
      <c r="BJ503" t="s">
        <v>396</v>
      </c>
      <c r="BL503" t="s">
        <v>7226</v>
      </c>
      <c r="BM503" t="s">
        <v>1742</v>
      </c>
      <c r="BN503" t="s">
        <v>182</v>
      </c>
      <c r="BO503" t="s">
        <v>198</v>
      </c>
      <c r="BP503" t="s">
        <v>198</v>
      </c>
      <c r="BQ503" t="s">
        <v>198</v>
      </c>
      <c r="BR503" t="s">
        <v>198</v>
      </c>
      <c r="BS503" t="s">
        <v>198</v>
      </c>
      <c r="BT503" t="s">
        <v>198</v>
      </c>
      <c r="BU503" t="s">
        <v>182</v>
      </c>
      <c r="BV503" t="s">
        <v>198</v>
      </c>
      <c r="BW503" t="s">
        <v>198</v>
      </c>
      <c r="BX503" t="s">
        <v>199</v>
      </c>
      <c r="BY503" t="s">
        <v>198</v>
      </c>
      <c r="BZ503" t="s">
        <v>199</v>
      </c>
      <c r="CA503" t="s">
        <v>199</v>
      </c>
      <c r="CB503" t="s">
        <v>7227</v>
      </c>
      <c r="CC503" t="s">
        <v>201</v>
      </c>
      <c r="CD503" t="s">
        <v>182</v>
      </c>
      <c r="CE503" t="s">
        <v>7228</v>
      </c>
      <c r="CF503" t="s">
        <v>413</v>
      </c>
      <c r="CG503" t="s">
        <v>177</v>
      </c>
      <c r="CH503" t="s">
        <v>804</v>
      </c>
      <c r="CI503" t="s">
        <v>7229</v>
      </c>
      <c r="CJ503" t="s">
        <v>6661</v>
      </c>
      <c r="CK503" t="s">
        <v>292</v>
      </c>
      <c r="CL503" t="s">
        <v>293</v>
      </c>
      <c r="CM503" t="s">
        <v>7230</v>
      </c>
      <c r="CN503" t="s">
        <v>295</v>
      </c>
      <c r="CO503" t="s">
        <v>183</v>
      </c>
      <c r="CP503" t="s">
        <v>211</v>
      </c>
      <c r="CQ503" t="s">
        <v>329</v>
      </c>
      <c r="CS503" t="s">
        <v>2428</v>
      </c>
      <c r="DC503" t="s">
        <v>198</v>
      </c>
      <c r="DM503" t="s">
        <v>198</v>
      </c>
      <c r="DW503" t="s">
        <v>198</v>
      </c>
      <c r="EG503" t="s">
        <v>198</v>
      </c>
      <c r="EQ503" t="s">
        <v>198</v>
      </c>
      <c r="FA503" t="s">
        <v>198</v>
      </c>
      <c r="FK503" t="s">
        <v>198</v>
      </c>
      <c r="FU503" t="s">
        <v>198</v>
      </c>
    </row>
    <row r="504" spans="1:177">
      <c r="A504" s="1" t="str">
        <f>HYPERLINK("http://digipan.lumentumllc.com/apps/getLink/index.php?t=PropLink&amp;p=7112422","PL")</f>
        <v>PL</v>
      </c>
      <c r="B504" s="1" t="str">
        <f>HYPERLINK("http://digipan.lumentumllc.com/apps/getLink/index.php?t=TaxLink&amp;p=7112422","TL")</f>
        <v>TL</v>
      </c>
      <c r="C504" s="1" t="str">
        <f>HYPERLINK("http://digipan.lumentumllc.com/apps/getMap/index.php?p=7112422","Map")</f>
        <v>Map</v>
      </c>
      <c r="E504" t="s">
        <v>177</v>
      </c>
      <c r="F504" t="s">
        <v>178</v>
      </c>
      <c r="L504" t="s">
        <v>7231</v>
      </c>
      <c r="N504" t="s">
        <v>7231</v>
      </c>
      <c r="O504" t="s">
        <v>7231</v>
      </c>
      <c r="P504" t="s">
        <v>7232</v>
      </c>
      <c r="Q504" t="s">
        <v>7231</v>
      </c>
      <c r="V504">
        <v>581</v>
      </c>
      <c r="W504">
        <v>2</v>
      </c>
      <c r="X504">
        <v>2017</v>
      </c>
      <c r="Y504">
        <v>2018</v>
      </c>
      <c r="Z504">
        <v>244.22</v>
      </c>
      <c r="AB504" t="s">
        <v>181</v>
      </c>
      <c r="AC504" t="s">
        <v>182</v>
      </c>
      <c r="AD504" t="s">
        <v>183</v>
      </c>
      <c r="AE504">
        <v>0</v>
      </c>
      <c r="AF504">
        <v>1</v>
      </c>
      <c r="AG504" t="s">
        <v>821</v>
      </c>
      <c r="AH504">
        <v>100</v>
      </c>
      <c r="AK504">
        <v>0</v>
      </c>
      <c r="AL504">
        <v>15000</v>
      </c>
      <c r="AM504">
        <v>15000</v>
      </c>
      <c r="AN504">
        <v>0</v>
      </c>
      <c r="AO504">
        <v>171</v>
      </c>
      <c r="AP504">
        <v>2016</v>
      </c>
      <c r="AQ504">
        <v>1.63</v>
      </c>
      <c r="AS504" t="s">
        <v>7233</v>
      </c>
      <c r="AT504" t="s">
        <v>186</v>
      </c>
      <c r="AU504" t="s">
        <v>177</v>
      </c>
      <c r="AV504" t="s">
        <v>187</v>
      </c>
      <c r="AW504" t="s">
        <v>182</v>
      </c>
      <c r="AX504">
        <v>0</v>
      </c>
      <c r="AY504" t="s">
        <v>312</v>
      </c>
      <c r="AZ504" t="s">
        <v>199</v>
      </c>
      <c r="BA504" t="s">
        <v>313</v>
      </c>
      <c r="BB504" t="s">
        <v>191</v>
      </c>
      <c r="BC504" t="s">
        <v>182</v>
      </c>
      <c r="BD504" t="s">
        <v>182</v>
      </c>
      <c r="BE504" t="s">
        <v>3878</v>
      </c>
      <c r="BF504">
        <v>0</v>
      </c>
      <c r="BG504">
        <v>0</v>
      </c>
      <c r="BH504">
        <v>0</v>
      </c>
      <c r="BI504" t="s">
        <v>199</v>
      </c>
      <c r="BJ504" t="s">
        <v>315</v>
      </c>
      <c r="BL504" t="s">
        <v>199</v>
      </c>
      <c r="BM504" t="s">
        <v>358</v>
      </c>
      <c r="BN504" t="s">
        <v>182</v>
      </c>
      <c r="BO504" t="s">
        <v>198</v>
      </c>
      <c r="BP504" t="s">
        <v>198</v>
      </c>
      <c r="BQ504" t="s">
        <v>198</v>
      </c>
      <c r="BR504" t="s">
        <v>198</v>
      </c>
      <c r="BS504" t="s">
        <v>198</v>
      </c>
      <c r="BT504" t="s">
        <v>198</v>
      </c>
      <c r="BU504" t="s">
        <v>182</v>
      </c>
      <c r="BV504" t="s">
        <v>198</v>
      </c>
      <c r="BW504" t="s">
        <v>198</v>
      </c>
      <c r="BX504" t="s">
        <v>199</v>
      </c>
      <c r="BY504" t="s">
        <v>198</v>
      </c>
      <c r="BZ504" t="s">
        <v>199</v>
      </c>
      <c r="CA504" t="s">
        <v>199</v>
      </c>
      <c r="CB504" t="s">
        <v>7227</v>
      </c>
      <c r="CC504" t="s">
        <v>201</v>
      </c>
      <c r="CD504" t="s">
        <v>182</v>
      </c>
      <c r="CE504" t="s">
        <v>7228</v>
      </c>
      <c r="CF504" t="s">
        <v>413</v>
      </c>
      <c r="CG504" t="s">
        <v>177</v>
      </c>
      <c r="CH504" t="s">
        <v>804</v>
      </c>
      <c r="CI504" t="s">
        <v>7234</v>
      </c>
      <c r="CJ504" t="s">
        <v>6680</v>
      </c>
      <c r="CK504" t="s">
        <v>292</v>
      </c>
      <c r="CL504" t="s">
        <v>293</v>
      </c>
      <c r="CM504" t="s">
        <v>7235</v>
      </c>
      <c r="CN504" t="s">
        <v>387</v>
      </c>
      <c r="CO504" t="s">
        <v>183</v>
      </c>
      <c r="CP504" t="s">
        <v>211</v>
      </c>
      <c r="CQ504" t="s">
        <v>329</v>
      </c>
      <c r="CS504" t="s">
        <v>2428</v>
      </c>
      <c r="DC504" t="s">
        <v>198</v>
      </c>
      <c r="DM504" t="s">
        <v>198</v>
      </c>
      <c r="DW504" t="s">
        <v>198</v>
      </c>
      <c r="EG504" t="s">
        <v>198</v>
      </c>
      <c r="EQ504" t="s">
        <v>198</v>
      </c>
      <c r="FA504" t="s">
        <v>198</v>
      </c>
      <c r="FK504" t="s">
        <v>198</v>
      </c>
      <c r="FU504" t="s">
        <v>198</v>
      </c>
    </row>
    <row r="505" spans="1:177">
      <c r="A505" s="1" t="str">
        <f>HYPERLINK("http://digipan.lumentumllc.com/apps/getLink/index.php?t=PropLink&amp;p=15747087","PL")</f>
        <v>PL</v>
      </c>
      <c r="B505" s="1" t="str">
        <f>HYPERLINK("http://digipan.lumentumllc.com/apps/getLink/index.php?t=TaxLink&amp;p=15747087","TL")</f>
        <v>TL</v>
      </c>
      <c r="C505" s="1" t="str">
        <f>HYPERLINK("http://digipan.lumentumllc.com/apps/getMap/index.php?p=15747087","Map")</f>
        <v>Map</v>
      </c>
      <c r="E505" t="s">
        <v>177</v>
      </c>
      <c r="F505" t="s">
        <v>178</v>
      </c>
      <c r="L505" t="s">
        <v>7236</v>
      </c>
      <c r="N505" t="s">
        <v>7236</v>
      </c>
      <c r="O505" t="s">
        <v>7236</v>
      </c>
      <c r="Q505" t="s">
        <v>7236</v>
      </c>
      <c r="V505">
        <v>582</v>
      </c>
      <c r="W505">
        <v>2</v>
      </c>
      <c r="X505">
        <v>2017</v>
      </c>
      <c r="Y505">
        <v>2018</v>
      </c>
      <c r="Z505">
        <v>379.41</v>
      </c>
      <c r="AG505" t="s">
        <v>184</v>
      </c>
      <c r="AH505">
        <v>0</v>
      </c>
      <c r="AK505">
        <v>0</v>
      </c>
      <c r="AL505">
        <v>35429</v>
      </c>
      <c r="AM505">
        <v>34720</v>
      </c>
      <c r="AN505">
        <v>709</v>
      </c>
      <c r="AO505">
        <v>321</v>
      </c>
      <c r="AP505">
        <v>2016</v>
      </c>
      <c r="AQ505">
        <v>1.07</v>
      </c>
      <c r="AS505" t="s">
        <v>7237</v>
      </c>
      <c r="AT505" t="s">
        <v>186</v>
      </c>
      <c r="AU505" t="s">
        <v>177</v>
      </c>
      <c r="AV505" t="s">
        <v>187</v>
      </c>
      <c r="AW505" t="s">
        <v>182</v>
      </c>
      <c r="AX505">
        <v>0</v>
      </c>
      <c r="AY505" t="s">
        <v>312</v>
      </c>
      <c r="AZ505" t="s">
        <v>199</v>
      </c>
      <c r="BA505" t="s">
        <v>313</v>
      </c>
      <c r="BB505" t="s">
        <v>191</v>
      </c>
      <c r="BC505" t="s">
        <v>182</v>
      </c>
      <c r="BD505" t="s">
        <v>182</v>
      </c>
      <c r="BE505" t="s">
        <v>4093</v>
      </c>
      <c r="BF505">
        <v>0</v>
      </c>
      <c r="BG505">
        <v>0</v>
      </c>
      <c r="BH505">
        <v>0</v>
      </c>
      <c r="BI505" t="s">
        <v>199</v>
      </c>
      <c r="BJ505" t="s">
        <v>315</v>
      </c>
      <c r="BL505" t="s">
        <v>7087</v>
      </c>
      <c r="BM505" t="s">
        <v>1332</v>
      </c>
      <c r="BN505" t="s">
        <v>182</v>
      </c>
      <c r="BO505" t="s">
        <v>198</v>
      </c>
      <c r="BP505" t="s">
        <v>198</v>
      </c>
      <c r="BQ505" t="s">
        <v>198</v>
      </c>
      <c r="BR505" t="s">
        <v>198</v>
      </c>
      <c r="BS505" t="s">
        <v>198</v>
      </c>
      <c r="BT505" t="s">
        <v>198</v>
      </c>
      <c r="BU505" t="s">
        <v>182</v>
      </c>
      <c r="BV505" t="s">
        <v>198</v>
      </c>
      <c r="BW505" t="s">
        <v>198</v>
      </c>
      <c r="BX505" t="s">
        <v>199</v>
      </c>
      <c r="BY505" t="s">
        <v>198</v>
      </c>
      <c r="BZ505" t="s">
        <v>199</v>
      </c>
      <c r="CA505" t="s">
        <v>199</v>
      </c>
      <c r="CB505" t="s">
        <v>7076</v>
      </c>
      <c r="CC505" t="s">
        <v>201</v>
      </c>
      <c r="CD505" t="s">
        <v>182</v>
      </c>
      <c r="CE505" t="s">
        <v>7077</v>
      </c>
      <c r="CF505" t="s">
        <v>5215</v>
      </c>
      <c r="CG505" t="s">
        <v>177</v>
      </c>
      <c r="CH505" t="s">
        <v>5216</v>
      </c>
      <c r="CI505" t="s">
        <v>7238</v>
      </c>
      <c r="CS505" t="s">
        <v>198</v>
      </c>
      <c r="DC505" t="s">
        <v>198</v>
      </c>
      <c r="DM505" t="s">
        <v>198</v>
      </c>
      <c r="DW505" t="s">
        <v>198</v>
      </c>
      <c r="EG505" t="s">
        <v>198</v>
      </c>
      <c r="EQ505" t="s">
        <v>198</v>
      </c>
      <c r="FA505" t="s">
        <v>198</v>
      </c>
      <c r="FK505" t="s">
        <v>198</v>
      </c>
      <c r="FU505" t="s">
        <v>198</v>
      </c>
    </row>
    <row r="506" spans="1:177">
      <c r="A506" s="1" t="str">
        <f>HYPERLINK("http://digipan.lumentumllc.com/apps/getLink/index.php?t=PropLink&amp;p=7112423","PL")</f>
        <v>PL</v>
      </c>
      <c r="B506" s="1" t="str">
        <f>HYPERLINK("http://digipan.lumentumllc.com/apps/getLink/index.php?t=TaxLink&amp;p=7112423","TL")</f>
        <v>TL</v>
      </c>
      <c r="C506" s="1" t="str">
        <f>HYPERLINK("http://digipan.lumentumllc.com/apps/getMap/index.php?p=7112423","Map")</f>
        <v>Map</v>
      </c>
      <c r="E506" t="s">
        <v>177</v>
      </c>
      <c r="F506" t="s">
        <v>178</v>
      </c>
      <c r="L506" t="s">
        <v>7239</v>
      </c>
      <c r="N506" t="s">
        <v>7239</v>
      </c>
      <c r="O506" t="s">
        <v>7239</v>
      </c>
      <c r="P506" t="s">
        <v>7240</v>
      </c>
      <c r="Q506" t="s">
        <v>7239</v>
      </c>
      <c r="V506">
        <v>583</v>
      </c>
      <c r="W506">
        <v>2</v>
      </c>
      <c r="X506">
        <v>2017</v>
      </c>
      <c r="Y506">
        <v>2018</v>
      </c>
      <c r="Z506">
        <v>80.83</v>
      </c>
      <c r="AB506" t="s">
        <v>181</v>
      </c>
      <c r="AC506" t="s">
        <v>182</v>
      </c>
      <c r="AD506" t="s">
        <v>183</v>
      </c>
      <c r="AE506">
        <v>0</v>
      </c>
      <c r="AF506">
        <v>1</v>
      </c>
      <c r="AG506" t="s">
        <v>821</v>
      </c>
      <c r="AH506">
        <v>100</v>
      </c>
      <c r="AK506">
        <v>0</v>
      </c>
      <c r="AL506">
        <v>3450</v>
      </c>
      <c r="AM506">
        <v>3450</v>
      </c>
      <c r="AN506">
        <v>0</v>
      </c>
      <c r="AO506">
        <v>39</v>
      </c>
      <c r="AP506">
        <v>2016</v>
      </c>
      <c r="AQ506">
        <v>2.34</v>
      </c>
      <c r="AS506" t="s">
        <v>7233</v>
      </c>
      <c r="AT506" t="s">
        <v>186</v>
      </c>
      <c r="AU506" t="s">
        <v>177</v>
      </c>
      <c r="AV506" t="s">
        <v>187</v>
      </c>
      <c r="AW506" t="s">
        <v>182</v>
      </c>
      <c r="AX506">
        <v>0</v>
      </c>
      <c r="AY506" t="s">
        <v>312</v>
      </c>
      <c r="AZ506" t="s">
        <v>199</v>
      </c>
      <c r="BA506" t="s">
        <v>313</v>
      </c>
      <c r="BB506" t="s">
        <v>191</v>
      </c>
      <c r="BC506" t="s">
        <v>182</v>
      </c>
      <c r="BD506" t="s">
        <v>182</v>
      </c>
      <c r="BE506" t="s">
        <v>3956</v>
      </c>
      <c r="BF506">
        <v>0</v>
      </c>
      <c r="BG506">
        <v>0</v>
      </c>
      <c r="BH506">
        <v>0</v>
      </c>
      <c r="BI506" t="s">
        <v>199</v>
      </c>
      <c r="BJ506" t="s">
        <v>315</v>
      </c>
      <c r="BL506" t="s">
        <v>199</v>
      </c>
      <c r="BM506" t="s">
        <v>358</v>
      </c>
      <c r="BN506" t="s">
        <v>182</v>
      </c>
      <c r="BO506" t="s">
        <v>198</v>
      </c>
      <c r="BP506" t="s">
        <v>198</v>
      </c>
      <c r="BQ506" t="s">
        <v>198</v>
      </c>
      <c r="BR506" t="s">
        <v>198</v>
      </c>
      <c r="BS506" t="s">
        <v>198</v>
      </c>
      <c r="BT506" t="s">
        <v>198</v>
      </c>
      <c r="BU506" t="s">
        <v>182</v>
      </c>
      <c r="BV506" t="s">
        <v>198</v>
      </c>
      <c r="BW506" t="s">
        <v>198</v>
      </c>
      <c r="BX506" t="s">
        <v>199</v>
      </c>
      <c r="BY506" t="s">
        <v>198</v>
      </c>
      <c r="BZ506" t="s">
        <v>199</v>
      </c>
      <c r="CA506" t="s">
        <v>199</v>
      </c>
      <c r="CB506" t="s">
        <v>7227</v>
      </c>
      <c r="CC506" t="s">
        <v>201</v>
      </c>
      <c r="CD506" t="s">
        <v>182</v>
      </c>
      <c r="CE506" t="s">
        <v>7228</v>
      </c>
      <c r="CF506" t="s">
        <v>413</v>
      </c>
      <c r="CG506" t="s">
        <v>177</v>
      </c>
      <c r="CH506" t="s">
        <v>804</v>
      </c>
      <c r="CI506" t="s">
        <v>7241</v>
      </c>
      <c r="CJ506" t="s">
        <v>7070</v>
      </c>
      <c r="CK506" t="s">
        <v>292</v>
      </c>
      <c r="CL506" t="s">
        <v>293</v>
      </c>
      <c r="CM506" t="s">
        <v>7242</v>
      </c>
      <c r="CN506" t="s">
        <v>482</v>
      </c>
      <c r="CO506" t="s">
        <v>183</v>
      </c>
      <c r="CP506" t="s">
        <v>211</v>
      </c>
      <c r="CQ506" t="s">
        <v>329</v>
      </c>
      <c r="CS506" t="s">
        <v>2428</v>
      </c>
      <c r="DC506" t="s">
        <v>198</v>
      </c>
      <c r="DM506" t="s">
        <v>198</v>
      </c>
      <c r="DW506" t="s">
        <v>198</v>
      </c>
      <c r="EG506" t="s">
        <v>198</v>
      </c>
      <c r="EQ506" t="s">
        <v>198</v>
      </c>
      <c r="FA506" t="s">
        <v>198</v>
      </c>
      <c r="FK506" t="s">
        <v>198</v>
      </c>
      <c r="FU506" t="s">
        <v>198</v>
      </c>
    </row>
    <row r="507" spans="1:177">
      <c r="A507" s="1" t="str">
        <f>HYPERLINK("http://digipan.lumentumllc.com/apps/getLink/index.php?t=PropLink&amp;p=4637696","PL")</f>
        <v>PL</v>
      </c>
      <c r="B507" s="1" t="str">
        <f>HYPERLINK("http://digipan.lumentumllc.com/apps/getLink/index.php?t=TaxLink&amp;p=4637696","TL")</f>
        <v>TL</v>
      </c>
      <c r="C507" s="1" t="str">
        <f>HYPERLINK("http://digipan.lumentumllc.com/apps/getMap/index.php?p=4637696","Map")</f>
        <v>Map</v>
      </c>
      <c r="E507" t="s">
        <v>177</v>
      </c>
      <c r="F507" t="s">
        <v>178</v>
      </c>
      <c r="L507" t="s">
        <v>7243</v>
      </c>
      <c r="N507" t="s">
        <v>7243</v>
      </c>
      <c r="O507" t="s">
        <v>7243</v>
      </c>
      <c r="P507" t="s">
        <v>7244</v>
      </c>
      <c r="Q507" t="s">
        <v>7243</v>
      </c>
      <c r="V507">
        <v>584</v>
      </c>
      <c r="W507">
        <v>2</v>
      </c>
      <c r="X507">
        <v>2017</v>
      </c>
      <c r="Y507">
        <v>2018</v>
      </c>
      <c r="Z507">
        <v>872.88</v>
      </c>
      <c r="AB507" t="s">
        <v>181</v>
      </c>
      <c r="AC507" t="s">
        <v>182</v>
      </c>
      <c r="AD507" t="s">
        <v>183</v>
      </c>
      <c r="AE507">
        <v>0</v>
      </c>
      <c r="AF507">
        <v>1</v>
      </c>
      <c r="AG507" t="s">
        <v>821</v>
      </c>
      <c r="AH507">
        <v>100</v>
      </c>
      <c r="AK507">
        <v>0</v>
      </c>
      <c r="AL507">
        <v>95518</v>
      </c>
      <c r="AM507">
        <v>12000</v>
      </c>
      <c r="AN507">
        <v>83518</v>
      </c>
      <c r="AO507">
        <v>766</v>
      </c>
      <c r="AP507">
        <v>2016</v>
      </c>
      <c r="AQ507">
        <v>0.91</v>
      </c>
      <c r="AS507" t="s">
        <v>7245</v>
      </c>
      <c r="AT507" t="s">
        <v>186</v>
      </c>
      <c r="AU507" t="s">
        <v>177</v>
      </c>
      <c r="AV507" t="s">
        <v>187</v>
      </c>
      <c r="AW507" t="s">
        <v>202</v>
      </c>
      <c r="AX507">
        <v>1</v>
      </c>
      <c r="AY507" t="s">
        <v>188</v>
      </c>
      <c r="AZ507" t="s">
        <v>206</v>
      </c>
      <c r="BA507" t="s">
        <v>355</v>
      </c>
      <c r="BB507" t="s">
        <v>191</v>
      </c>
      <c r="BC507" t="s">
        <v>182</v>
      </c>
      <c r="BD507" t="s">
        <v>182</v>
      </c>
      <c r="BE507" t="s">
        <v>7246</v>
      </c>
      <c r="BF507">
        <v>1</v>
      </c>
      <c r="BG507">
        <v>1</v>
      </c>
      <c r="BH507">
        <v>1977</v>
      </c>
      <c r="BI507" t="s">
        <v>7247</v>
      </c>
      <c r="BJ507" t="s">
        <v>194</v>
      </c>
      <c r="BK507" t="s">
        <v>195</v>
      </c>
      <c r="BL507" t="s">
        <v>5405</v>
      </c>
      <c r="BM507" t="s">
        <v>292</v>
      </c>
      <c r="BN507" t="s">
        <v>182</v>
      </c>
      <c r="BO507" t="s">
        <v>7248</v>
      </c>
      <c r="BP507" t="s">
        <v>7249</v>
      </c>
      <c r="BQ507" t="s">
        <v>562</v>
      </c>
      <c r="BR507" t="s">
        <v>563</v>
      </c>
      <c r="BS507" t="s">
        <v>198</v>
      </c>
      <c r="BT507" t="s">
        <v>7250</v>
      </c>
      <c r="BU507" t="s">
        <v>182</v>
      </c>
      <c r="BV507" t="s">
        <v>198</v>
      </c>
      <c r="BW507" t="s">
        <v>198</v>
      </c>
      <c r="BX507" t="s">
        <v>199</v>
      </c>
      <c r="BY507" t="s">
        <v>198</v>
      </c>
      <c r="BZ507" t="s">
        <v>199</v>
      </c>
      <c r="CA507" t="s">
        <v>199</v>
      </c>
      <c r="CB507" t="s">
        <v>7251</v>
      </c>
      <c r="CC507" t="s">
        <v>201</v>
      </c>
      <c r="CD507" t="s">
        <v>182</v>
      </c>
      <c r="CE507" t="s">
        <v>7252</v>
      </c>
      <c r="CF507" t="s">
        <v>204</v>
      </c>
      <c r="CG507" t="s">
        <v>177</v>
      </c>
      <c r="CH507" t="s">
        <v>187</v>
      </c>
      <c r="CI507" t="s">
        <v>7253</v>
      </c>
      <c r="CJ507" t="s">
        <v>6726</v>
      </c>
      <c r="CK507" t="s">
        <v>232</v>
      </c>
      <c r="CL507" t="s">
        <v>233</v>
      </c>
      <c r="CM507" t="s">
        <v>7254</v>
      </c>
      <c r="CN507" t="s">
        <v>235</v>
      </c>
      <c r="CO507" t="s">
        <v>183</v>
      </c>
      <c r="CP507" t="s">
        <v>211</v>
      </c>
      <c r="CQ507" t="s">
        <v>342</v>
      </c>
      <c r="CS507" t="s">
        <v>7255</v>
      </c>
      <c r="DC507" t="s">
        <v>198</v>
      </c>
      <c r="DM507" t="s">
        <v>198</v>
      </c>
      <c r="DW507" t="s">
        <v>198</v>
      </c>
      <c r="EG507" t="s">
        <v>198</v>
      </c>
      <c r="EQ507" t="s">
        <v>198</v>
      </c>
      <c r="FA507" t="s">
        <v>198</v>
      </c>
      <c r="FK507" t="s">
        <v>198</v>
      </c>
      <c r="FU507" t="s">
        <v>198</v>
      </c>
    </row>
    <row r="508" spans="1:177">
      <c r="A508" s="1" t="str">
        <f>HYPERLINK("http://digipan.lumentumllc.com/apps/getLink/index.php?t=PropLink&amp;p=15747416","PL")</f>
        <v>PL</v>
      </c>
      <c r="B508" s="1" t="str">
        <f>HYPERLINK("http://digipan.lumentumllc.com/apps/getLink/index.php?t=TaxLink&amp;p=15747416","TL")</f>
        <v>TL</v>
      </c>
      <c r="C508" s="1" t="str">
        <f>HYPERLINK("http://digipan.lumentumllc.com/apps/getMap/index.php?p=15747416","Map")</f>
        <v>Map</v>
      </c>
      <c r="E508" t="s">
        <v>177</v>
      </c>
      <c r="F508" t="s">
        <v>178</v>
      </c>
      <c r="L508" t="s">
        <v>7256</v>
      </c>
      <c r="N508" t="s">
        <v>7256</v>
      </c>
      <c r="O508" t="s">
        <v>7256</v>
      </c>
      <c r="Q508" t="s">
        <v>7256</v>
      </c>
      <c r="V508">
        <v>585</v>
      </c>
      <c r="W508">
        <v>2</v>
      </c>
      <c r="X508">
        <v>2017</v>
      </c>
      <c r="Y508">
        <v>2018</v>
      </c>
      <c r="Z508">
        <v>539.23</v>
      </c>
      <c r="AG508" t="s">
        <v>184</v>
      </c>
      <c r="AH508">
        <v>0</v>
      </c>
      <c r="AK508">
        <v>0</v>
      </c>
      <c r="AL508">
        <v>83285</v>
      </c>
      <c r="AM508">
        <v>15750</v>
      </c>
      <c r="AN508">
        <v>67535</v>
      </c>
      <c r="AO508">
        <v>469</v>
      </c>
      <c r="AP508">
        <v>2016</v>
      </c>
      <c r="AQ508">
        <v>0.65</v>
      </c>
      <c r="AS508" t="s">
        <v>7257</v>
      </c>
      <c r="AT508" t="s">
        <v>186</v>
      </c>
      <c r="AU508" t="s">
        <v>177</v>
      </c>
      <c r="AV508" t="s">
        <v>187</v>
      </c>
      <c r="AW508" t="s">
        <v>202</v>
      </c>
      <c r="AX508">
        <v>1</v>
      </c>
      <c r="AY508" t="s">
        <v>188</v>
      </c>
      <c r="AZ508" t="s">
        <v>206</v>
      </c>
      <c r="BA508" t="s">
        <v>355</v>
      </c>
      <c r="BB508" t="s">
        <v>191</v>
      </c>
      <c r="BC508" t="s">
        <v>182</v>
      </c>
      <c r="BD508" t="s">
        <v>182</v>
      </c>
      <c r="BE508" t="s">
        <v>7258</v>
      </c>
      <c r="BF508">
        <v>1</v>
      </c>
      <c r="BG508">
        <v>1</v>
      </c>
      <c r="BH508">
        <v>1994</v>
      </c>
      <c r="BI508" t="s">
        <v>7259</v>
      </c>
      <c r="BJ508" t="s">
        <v>194</v>
      </c>
      <c r="BK508" t="s">
        <v>195</v>
      </c>
      <c r="BL508" t="s">
        <v>2075</v>
      </c>
      <c r="BM508" t="s">
        <v>197</v>
      </c>
      <c r="BN508" t="s">
        <v>182</v>
      </c>
      <c r="BO508" t="s">
        <v>7260</v>
      </c>
      <c r="BP508" t="s">
        <v>6704</v>
      </c>
      <c r="BQ508" t="s">
        <v>800</v>
      </c>
      <c r="BR508" t="s">
        <v>563</v>
      </c>
      <c r="BS508" t="s">
        <v>198</v>
      </c>
      <c r="BT508" t="s">
        <v>7261</v>
      </c>
      <c r="BU508" t="s">
        <v>182</v>
      </c>
      <c r="BV508" t="s">
        <v>198</v>
      </c>
      <c r="BW508" t="s">
        <v>198</v>
      </c>
      <c r="BX508" t="s">
        <v>199</v>
      </c>
      <c r="BY508" t="s">
        <v>198</v>
      </c>
      <c r="BZ508" t="s">
        <v>199</v>
      </c>
      <c r="CA508" t="s">
        <v>199</v>
      </c>
      <c r="CB508" t="s">
        <v>7262</v>
      </c>
      <c r="CC508" t="s">
        <v>201</v>
      </c>
      <c r="CD508" t="s">
        <v>202</v>
      </c>
      <c r="CE508" t="s">
        <v>7263</v>
      </c>
      <c r="CF508" t="s">
        <v>413</v>
      </c>
      <c r="CG508" t="s">
        <v>177</v>
      </c>
      <c r="CH508" t="s">
        <v>1579</v>
      </c>
      <c r="CI508" t="s">
        <v>7264</v>
      </c>
      <c r="CS508" t="s">
        <v>198</v>
      </c>
      <c r="DC508" t="s">
        <v>198</v>
      </c>
      <c r="DM508" t="s">
        <v>198</v>
      </c>
      <c r="DW508" t="s">
        <v>198</v>
      </c>
      <c r="EG508" t="s">
        <v>198</v>
      </c>
      <c r="EQ508" t="s">
        <v>198</v>
      </c>
      <c r="FA508" t="s">
        <v>198</v>
      </c>
      <c r="FK508" t="s">
        <v>198</v>
      </c>
      <c r="FU508" t="s">
        <v>198</v>
      </c>
    </row>
    <row r="509" spans="1:177">
      <c r="A509" s="1" t="str">
        <f>HYPERLINK("http://digipan.lumentumllc.com/apps/getLink/index.php?t=PropLink&amp;p=5246207","PL")</f>
        <v>PL</v>
      </c>
      <c r="B509" s="1" t="str">
        <f>HYPERLINK("http://digipan.lumentumllc.com/apps/getLink/index.php?t=TaxLink&amp;p=5246207","TL")</f>
        <v>TL</v>
      </c>
      <c r="C509" s="1" t="str">
        <f>HYPERLINK("http://digipan.lumentumllc.com/apps/getMap/index.php?p=5246207","Map")</f>
        <v>Map</v>
      </c>
      <c r="E509" t="s">
        <v>177</v>
      </c>
      <c r="F509" t="s">
        <v>178</v>
      </c>
      <c r="L509" t="s">
        <v>7265</v>
      </c>
      <c r="N509" t="s">
        <v>7265</v>
      </c>
      <c r="O509" t="s">
        <v>7265</v>
      </c>
      <c r="P509" t="s">
        <v>7266</v>
      </c>
      <c r="Q509" t="s">
        <v>7265</v>
      </c>
      <c r="V509">
        <v>586</v>
      </c>
      <c r="W509">
        <v>2</v>
      </c>
      <c r="X509">
        <v>2017</v>
      </c>
      <c r="Y509">
        <v>2018</v>
      </c>
      <c r="Z509">
        <v>627.28</v>
      </c>
      <c r="AB509" t="s">
        <v>181</v>
      </c>
      <c r="AC509" t="s">
        <v>182</v>
      </c>
      <c r="AD509" t="s">
        <v>183</v>
      </c>
      <c r="AE509">
        <v>0</v>
      </c>
      <c r="AF509">
        <v>1</v>
      </c>
      <c r="AG509" t="s">
        <v>184</v>
      </c>
      <c r="AH509">
        <v>0</v>
      </c>
      <c r="AK509">
        <v>0</v>
      </c>
      <c r="AL509">
        <v>141998</v>
      </c>
      <c r="AM509">
        <v>66000</v>
      </c>
      <c r="AN509">
        <v>75998</v>
      </c>
      <c r="AO509">
        <v>539</v>
      </c>
      <c r="AP509">
        <v>2016</v>
      </c>
      <c r="AQ509">
        <v>0.44</v>
      </c>
      <c r="AS509" t="s">
        <v>7267</v>
      </c>
      <c r="AT509" t="s">
        <v>186</v>
      </c>
      <c r="AU509" t="s">
        <v>177</v>
      </c>
      <c r="AV509" t="s">
        <v>187</v>
      </c>
      <c r="AW509" t="s">
        <v>202</v>
      </c>
      <c r="AX509">
        <v>1</v>
      </c>
      <c r="AY509" t="s">
        <v>188</v>
      </c>
      <c r="AZ509" t="s">
        <v>206</v>
      </c>
      <c r="BA509" t="s">
        <v>355</v>
      </c>
      <c r="BB509" t="s">
        <v>191</v>
      </c>
      <c r="BC509" t="s">
        <v>182</v>
      </c>
      <c r="BD509" t="s">
        <v>182</v>
      </c>
      <c r="BE509" t="s">
        <v>576</v>
      </c>
      <c r="BF509">
        <v>1</v>
      </c>
      <c r="BG509">
        <v>1</v>
      </c>
      <c r="BH509">
        <v>1995</v>
      </c>
      <c r="BI509" t="s">
        <v>7268</v>
      </c>
      <c r="BJ509" t="s">
        <v>194</v>
      </c>
      <c r="BK509" t="s">
        <v>195</v>
      </c>
      <c r="BL509" t="s">
        <v>199</v>
      </c>
      <c r="BM509" t="s">
        <v>4724</v>
      </c>
      <c r="BN509" t="s">
        <v>182</v>
      </c>
      <c r="BO509" t="s">
        <v>198</v>
      </c>
      <c r="BP509" t="s">
        <v>198</v>
      </c>
      <c r="BQ509" t="s">
        <v>198</v>
      </c>
      <c r="BR509" t="s">
        <v>198</v>
      </c>
      <c r="BS509" t="s">
        <v>198</v>
      </c>
      <c r="BT509" t="s">
        <v>198</v>
      </c>
      <c r="BU509" t="s">
        <v>182</v>
      </c>
      <c r="BV509" t="s">
        <v>198</v>
      </c>
      <c r="BW509" t="s">
        <v>198</v>
      </c>
      <c r="BX509" t="s">
        <v>199</v>
      </c>
      <c r="BY509" t="s">
        <v>198</v>
      </c>
      <c r="BZ509" t="s">
        <v>199</v>
      </c>
      <c r="CA509" t="s">
        <v>199</v>
      </c>
      <c r="CB509" t="s">
        <v>7269</v>
      </c>
      <c r="CC509" t="s">
        <v>201</v>
      </c>
      <c r="CD509" t="s">
        <v>182</v>
      </c>
      <c r="CE509" t="s">
        <v>7270</v>
      </c>
      <c r="CF509" t="s">
        <v>204</v>
      </c>
      <c r="CG509" t="s">
        <v>177</v>
      </c>
      <c r="CH509" t="s">
        <v>187</v>
      </c>
      <c r="CI509" t="s">
        <v>7271</v>
      </c>
      <c r="CJ509" t="s">
        <v>7272</v>
      </c>
      <c r="CK509" t="s">
        <v>207</v>
      </c>
      <c r="CL509" t="s">
        <v>208</v>
      </c>
      <c r="CM509" t="s">
        <v>7273</v>
      </c>
      <c r="CN509" t="s">
        <v>235</v>
      </c>
      <c r="CO509" t="s">
        <v>183</v>
      </c>
      <c r="CP509" t="s">
        <v>211</v>
      </c>
      <c r="CQ509" t="s">
        <v>189</v>
      </c>
      <c r="CS509" t="s">
        <v>957</v>
      </c>
      <c r="DC509" t="s">
        <v>198</v>
      </c>
      <c r="DM509" t="s">
        <v>198</v>
      </c>
      <c r="DW509" t="s">
        <v>198</v>
      </c>
      <c r="EG509" t="s">
        <v>198</v>
      </c>
      <c r="EQ509" t="s">
        <v>198</v>
      </c>
      <c r="FA509" t="s">
        <v>198</v>
      </c>
      <c r="FK509" t="s">
        <v>198</v>
      </c>
      <c r="FU509" t="s">
        <v>198</v>
      </c>
    </row>
    <row r="510" spans="1:177">
      <c r="A510" s="1" t="str">
        <f>HYPERLINK("http://digipan.lumentumllc.com/apps/getLink/index.php?t=PropLink&amp;p=5246210","PL")</f>
        <v>PL</v>
      </c>
      <c r="B510" s="1" t="str">
        <f>HYPERLINK("http://digipan.lumentumllc.com/apps/getLink/index.php?t=TaxLink&amp;p=5246210","TL")</f>
        <v>TL</v>
      </c>
      <c r="C510" s="1" t="str">
        <f>HYPERLINK("http://digipan.lumentumllc.com/apps/getMap/index.php?p=5246210","Map")</f>
        <v>Map</v>
      </c>
      <c r="E510" t="s">
        <v>177</v>
      </c>
      <c r="F510" t="s">
        <v>178</v>
      </c>
      <c r="L510" t="s">
        <v>7274</v>
      </c>
      <c r="N510" t="s">
        <v>7274</v>
      </c>
      <c r="O510" t="s">
        <v>7274</v>
      </c>
      <c r="P510" t="s">
        <v>7275</v>
      </c>
      <c r="Q510" t="s">
        <v>7274</v>
      </c>
      <c r="V510">
        <v>587</v>
      </c>
      <c r="W510">
        <v>2</v>
      </c>
      <c r="X510">
        <v>2017</v>
      </c>
      <c r="Y510">
        <v>2018</v>
      </c>
      <c r="Z510">
        <v>230.95</v>
      </c>
      <c r="AB510" t="s">
        <v>181</v>
      </c>
      <c r="AC510" t="s">
        <v>182</v>
      </c>
      <c r="AD510" t="s">
        <v>183</v>
      </c>
      <c r="AE510">
        <v>3</v>
      </c>
      <c r="AF510">
        <v>3</v>
      </c>
      <c r="AG510" t="s">
        <v>7276</v>
      </c>
      <c r="AH510">
        <v>40</v>
      </c>
      <c r="AI510">
        <v>665.73</v>
      </c>
      <c r="AJ510">
        <v>94.2</v>
      </c>
      <c r="AK510">
        <v>759.93</v>
      </c>
      <c r="AL510">
        <v>14062</v>
      </c>
      <c r="AM510">
        <v>14062</v>
      </c>
      <c r="AN510">
        <v>0</v>
      </c>
      <c r="AO510">
        <v>160</v>
      </c>
      <c r="AP510">
        <v>2016</v>
      </c>
      <c r="AQ510">
        <v>1.64</v>
      </c>
      <c r="AR510">
        <v>5.4</v>
      </c>
      <c r="AS510" t="s">
        <v>7277</v>
      </c>
      <c r="AT510" t="s">
        <v>186</v>
      </c>
      <c r="AU510" t="s">
        <v>177</v>
      </c>
      <c r="AV510" t="s">
        <v>187</v>
      </c>
      <c r="AW510" t="s">
        <v>182</v>
      </c>
      <c r="AX510">
        <v>0</v>
      </c>
      <c r="AY510" t="s">
        <v>312</v>
      </c>
      <c r="AZ510" t="s">
        <v>199</v>
      </c>
      <c r="BA510" t="s">
        <v>313</v>
      </c>
      <c r="BB510" t="s">
        <v>191</v>
      </c>
      <c r="BC510" t="s">
        <v>182</v>
      </c>
      <c r="BD510" t="s">
        <v>182</v>
      </c>
      <c r="BE510" t="s">
        <v>7278</v>
      </c>
      <c r="BF510">
        <v>0</v>
      </c>
      <c r="BG510">
        <v>0</v>
      </c>
      <c r="BH510">
        <v>0</v>
      </c>
      <c r="BI510" t="s">
        <v>199</v>
      </c>
      <c r="BJ510" t="s">
        <v>248</v>
      </c>
      <c r="BL510" t="s">
        <v>7279</v>
      </c>
      <c r="BM510" t="s">
        <v>533</v>
      </c>
      <c r="BN510" t="s">
        <v>182</v>
      </c>
      <c r="BO510" t="s">
        <v>198</v>
      </c>
      <c r="BP510" t="s">
        <v>198</v>
      </c>
      <c r="BQ510" t="s">
        <v>198</v>
      </c>
      <c r="BR510" t="s">
        <v>198</v>
      </c>
      <c r="BS510" t="s">
        <v>198</v>
      </c>
      <c r="BT510" t="s">
        <v>198</v>
      </c>
      <c r="BU510" t="s">
        <v>182</v>
      </c>
      <c r="BV510" t="s">
        <v>198</v>
      </c>
      <c r="BW510" t="s">
        <v>198</v>
      </c>
      <c r="BX510" t="s">
        <v>199</v>
      </c>
      <c r="BY510" t="s">
        <v>198</v>
      </c>
      <c r="BZ510" t="s">
        <v>199</v>
      </c>
      <c r="CA510" t="s">
        <v>199</v>
      </c>
      <c r="CB510" t="s">
        <v>7280</v>
      </c>
      <c r="CC510" t="s">
        <v>201</v>
      </c>
      <c r="CD510" t="s">
        <v>182</v>
      </c>
      <c r="CE510" t="s">
        <v>7281</v>
      </c>
      <c r="CF510" t="s">
        <v>204</v>
      </c>
      <c r="CG510" t="s">
        <v>177</v>
      </c>
      <c r="CH510" t="s">
        <v>187</v>
      </c>
      <c r="CI510" t="s">
        <v>7282</v>
      </c>
      <c r="CJ510" t="s">
        <v>7283</v>
      </c>
      <c r="CK510" t="s">
        <v>232</v>
      </c>
      <c r="CL510" t="s">
        <v>233</v>
      </c>
      <c r="CM510" t="s">
        <v>7284</v>
      </c>
      <c r="CN510" t="s">
        <v>1606</v>
      </c>
      <c r="CO510" t="s">
        <v>183</v>
      </c>
      <c r="CP510" t="s">
        <v>266</v>
      </c>
      <c r="CS510" t="s">
        <v>198</v>
      </c>
      <c r="CT510" t="s">
        <v>7285</v>
      </c>
      <c r="CU510" t="s">
        <v>292</v>
      </c>
      <c r="CV510" t="s">
        <v>233</v>
      </c>
      <c r="CW510" t="s">
        <v>7286</v>
      </c>
      <c r="CX510" t="s">
        <v>484</v>
      </c>
      <c r="CY510" t="s">
        <v>183</v>
      </c>
      <c r="CZ510" t="s">
        <v>266</v>
      </c>
      <c r="DC510" t="s">
        <v>198</v>
      </c>
      <c r="DD510" t="s">
        <v>7287</v>
      </c>
      <c r="DE510" t="s">
        <v>267</v>
      </c>
      <c r="DF510" t="s">
        <v>233</v>
      </c>
      <c r="DG510" t="s">
        <v>7288</v>
      </c>
      <c r="DH510" t="s">
        <v>484</v>
      </c>
      <c r="DI510" t="s">
        <v>183</v>
      </c>
      <c r="DJ510" t="s">
        <v>266</v>
      </c>
      <c r="DM510" t="s">
        <v>198</v>
      </c>
      <c r="DN510" t="s">
        <v>7289</v>
      </c>
      <c r="DO510" t="s">
        <v>302</v>
      </c>
      <c r="DP510" t="s">
        <v>303</v>
      </c>
      <c r="DQ510" t="s">
        <v>7290</v>
      </c>
      <c r="DR510" t="s">
        <v>341</v>
      </c>
      <c r="DS510" t="s">
        <v>183</v>
      </c>
      <c r="DT510" t="s">
        <v>211</v>
      </c>
      <c r="DU510" t="s">
        <v>342</v>
      </c>
      <c r="DW510" t="s">
        <v>4408</v>
      </c>
      <c r="DX510" t="s">
        <v>916</v>
      </c>
      <c r="DY510" t="s">
        <v>346</v>
      </c>
      <c r="DZ510" t="s">
        <v>347</v>
      </c>
      <c r="EA510" t="s">
        <v>7291</v>
      </c>
      <c r="EB510" t="s">
        <v>482</v>
      </c>
      <c r="EC510" t="s">
        <v>183</v>
      </c>
      <c r="ED510" t="s">
        <v>211</v>
      </c>
      <c r="EE510" t="s">
        <v>329</v>
      </c>
      <c r="EG510" t="s">
        <v>1324</v>
      </c>
      <c r="EH510" t="s">
        <v>7292</v>
      </c>
      <c r="EI510" t="s">
        <v>207</v>
      </c>
      <c r="EJ510" t="s">
        <v>208</v>
      </c>
      <c r="EK510" t="s">
        <v>7293</v>
      </c>
      <c r="EL510" t="s">
        <v>469</v>
      </c>
      <c r="EM510" t="s">
        <v>183</v>
      </c>
      <c r="EN510" t="s">
        <v>211</v>
      </c>
      <c r="EO510" t="s">
        <v>298</v>
      </c>
      <c r="EQ510" t="s">
        <v>1324</v>
      </c>
      <c r="FA510" t="s">
        <v>198</v>
      </c>
      <c r="FK510" t="s">
        <v>198</v>
      </c>
      <c r="FU510" t="s">
        <v>198</v>
      </c>
    </row>
    <row r="511" spans="1:177">
      <c r="A511" s="1" t="str">
        <f>HYPERLINK("http://digipan.lumentumllc.com/apps/getLink/index.php?t=PropLink&amp;p=41029612","PL")</f>
        <v>PL</v>
      </c>
      <c r="B511" s="1" t="str">
        <f>HYPERLINK("http://digipan.lumentumllc.com/apps/getLink/index.php?t=TaxLink&amp;p=41029612","TL")</f>
        <v>TL</v>
      </c>
      <c r="C511" s="1" t="str">
        <f>HYPERLINK("","")</f>
        <v/>
      </c>
      <c r="E511" t="s">
        <v>177</v>
      </c>
      <c r="F511" t="s">
        <v>178</v>
      </c>
      <c r="L511" t="s">
        <v>7294</v>
      </c>
      <c r="N511" t="s">
        <v>7294</v>
      </c>
      <c r="O511" t="s">
        <v>7294</v>
      </c>
      <c r="Q511" t="s">
        <v>7294</v>
      </c>
      <c r="V511">
        <v>588</v>
      </c>
      <c r="W511">
        <v>2</v>
      </c>
      <c r="X511">
        <v>2017</v>
      </c>
      <c r="Y511">
        <v>2018</v>
      </c>
      <c r="Z511">
        <v>1209.71</v>
      </c>
      <c r="AG511" t="s">
        <v>184</v>
      </c>
      <c r="AH511">
        <v>0</v>
      </c>
      <c r="AK511">
        <v>0</v>
      </c>
      <c r="AL511">
        <v>77974</v>
      </c>
      <c r="AM511">
        <v>15000</v>
      </c>
      <c r="AN511">
        <v>62974</v>
      </c>
      <c r="AQ511">
        <v>1.55</v>
      </c>
      <c r="AS511" t="s">
        <v>7295</v>
      </c>
      <c r="AT511" t="s">
        <v>186</v>
      </c>
      <c r="AU511" t="s">
        <v>177</v>
      </c>
      <c r="AV511" t="s">
        <v>187</v>
      </c>
      <c r="AW511" t="s">
        <v>182</v>
      </c>
      <c r="AX511">
        <v>1</v>
      </c>
      <c r="AY511" t="s">
        <v>188</v>
      </c>
      <c r="AZ511" t="s">
        <v>206</v>
      </c>
      <c r="BA511" t="s">
        <v>355</v>
      </c>
      <c r="BB511" t="s">
        <v>191</v>
      </c>
      <c r="BC511" t="s">
        <v>202</v>
      </c>
      <c r="BD511" t="s">
        <v>182</v>
      </c>
      <c r="BE511" t="s">
        <v>383</v>
      </c>
      <c r="BF511">
        <v>1</v>
      </c>
      <c r="BG511">
        <v>1</v>
      </c>
      <c r="BH511">
        <v>1968</v>
      </c>
      <c r="BI511" t="s">
        <v>4861</v>
      </c>
      <c r="BJ511" t="s">
        <v>194</v>
      </c>
      <c r="BK511" t="s">
        <v>840</v>
      </c>
      <c r="BL511" t="s">
        <v>1720</v>
      </c>
      <c r="BM511" t="s">
        <v>232</v>
      </c>
      <c r="BN511" t="s">
        <v>182</v>
      </c>
      <c r="BO511" t="s">
        <v>198</v>
      </c>
      <c r="BP511" t="s">
        <v>198</v>
      </c>
      <c r="BQ511" t="s">
        <v>198</v>
      </c>
      <c r="BR511" t="s">
        <v>198</v>
      </c>
      <c r="BS511" t="s">
        <v>198</v>
      </c>
      <c r="BT511" t="s">
        <v>198</v>
      </c>
      <c r="BU511" t="s">
        <v>182</v>
      </c>
      <c r="BV511" t="s">
        <v>198</v>
      </c>
      <c r="BW511" t="s">
        <v>198</v>
      </c>
      <c r="BX511" t="s">
        <v>199</v>
      </c>
      <c r="BY511" t="s">
        <v>198</v>
      </c>
      <c r="CB511" t="s">
        <v>7296</v>
      </c>
      <c r="CC511" t="s">
        <v>201</v>
      </c>
      <c r="CD511" t="s">
        <v>182</v>
      </c>
      <c r="CE511" t="s">
        <v>7297</v>
      </c>
      <c r="CF511" t="s">
        <v>204</v>
      </c>
      <c r="CG511" t="s">
        <v>177</v>
      </c>
      <c r="CH511" t="s">
        <v>187</v>
      </c>
      <c r="CI511" t="s">
        <v>7298</v>
      </c>
      <c r="CS511" t="s">
        <v>198</v>
      </c>
      <c r="DC511" t="s">
        <v>198</v>
      </c>
      <c r="DM511" t="s">
        <v>198</v>
      </c>
      <c r="DW511" t="s">
        <v>198</v>
      </c>
      <c r="EG511" t="s">
        <v>198</v>
      </c>
      <c r="EQ511" t="s">
        <v>198</v>
      </c>
      <c r="FA511" t="s">
        <v>198</v>
      </c>
      <c r="FK511" t="s">
        <v>198</v>
      </c>
      <c r="FU511" t="s">
        <v>198</v>
      </c>
    </row>
    <row r="512" spans="1:177">
      <c r="A512" s="1" t="str">
        <f>HYPERLINK("http://digipan.lumentumllc.com/apps/getLink/index.php?t=PropLink&amp;p=6594194","PL")</f>
        <v>PL</v>
      </c>
      <c r="B512" s="1" t="str">
        <f>HYPERLINK("http://digipan.lumentumllc.com/apps/getLink/index.php?t=TaxLink&amp;p=6594194","TL")</f>
        <v>TL</v>
      </c>
      <c r="C512" s="1" t="str">
        <f>HYPERLINK("http://digipan.lumentumllc.com/apps/getMap/index.php?p=6594194","Map")</f>
        <v>Map</v>
      </c>
      <c r="E512" t="s">
        <v>177</v>
      </c>
      <c r="F512" t="s">
        <v>178</v>
      </c>
      <c r="L512" t="s">
        <v>7299</v>
      </c>
      <c r="N512" t="s">
        <v>7299</v>
      </c>
      <c r="O512" t="s">
        <v>7299</v>
      </c>
      <c r="P512" t="s">
        <v>7300</v>
      </c>
      <c r="Q512" t="s">
        <v>7299</v>
      </c>
      <c r="V512">
        <v>589</v>
      </c>
      <c r="W512">
        <v>2</v>
      </c>
      <c r="X512">
        <v>2017</v>
      </c>
      <c r="Y512">
        <v>2018</v>
      </c>
      <c r="Z512">
        <v>6057.88</v>
      </c>
      <c r="AB512" t="s">
        <v>181</v>
      </c>
      <c r="AC512" t="s">
        <v>182</v>
      </c>
      <c r="AD512" t="s">
        <v>183</v>
      </c>
      <c r="AE512">
        <v>1</v>
      </c>
      <c r="AF512">
        <v>0</v>
      </c>
      <c r="AG512" t="s">
        <v>1200</v>
      </c>
      <c r="AH512">
        <v>0</v>
      </c>
      <c r="AI512">
        <v>6098.73</v>
      </c>
      <c r="AJ512">
        <v>304.94</v>
      </c>
      <c r="AK512">
        <v>6403.67</v>
      </c>
      <c r="AL512">
        <v>398970</v>
      </c>
      <c r="AM512">
        <v>160000</v>
      </c>
      <c r="AN512">
        <v>238970</v>
      </c>
      <c r="AO512">
        <v>5614</v>
      </c>
      <c r="AP512">
        <v>2016</v>
      </c>
      <c r="AQ512">
        <v>1.52</v>
      </c>
      <c r="AR512">
        <v>1.61</v>
      </c>
      <c r="AS512" t="s">
        <v>7301</v>
      </c>
      <c r="AT512" t="s">
        <v>186</v>
      </c>
      <c r="AU512" t="s">
        <v>177</v>
      </c>
      <c r="AV512" t="s">
        <v>187</v>
      </c>
      <c r="AW512" t="s">
        <v>182</v>
      </c>
      <c r="AX512">
        <v>28</v>
      </c>
      <c r="AY512" t="s">
        <v>3641</v>
      </c>
      <c r="AZ512" t="s">
        <v>635</v>
      </c>
      <c r="BA512" t="s">
        <v>6374</v>
      </c>
      <c r="BB512" t="s">
        <v>191</v>
      </c>
      <c r="BC512" t="s">
        <v>182</v>
      </c>
      <c r="BD512" t="s">
        <v>182</v>
      </c>
      <c r="BE512" t="s">
        <v>2105</v>
      </c>
      <c r="BF512">
        <v>11</v>
      </c>
      <c r="BG512">
        <v>11</v>
      </c>
      <c r="BH512">
        <v>1980</v>
      </c>
      <c r="BI512" t="s">
        <v>7302</v>
      </c>
      <c r="BJ512" t="s">
        <v>285</v>
      </c>
      <c r="BK512" t="s">
        <v>195</v>
      </c>
      <c r="BL512" t="s">
        <v>824</v>
      </c>
      <c r="BM512" t="s">
        <v>325</v>
      </c>
      <c r="BN512" t="s">
        <v>182</v>
      </c>
      <c r="BO512" t="s">
        <v>7303</v>
      </c>
      <c r="BP512" t="s">
        <v>7304</v>
      </c>
      <c r="BR512" t="s">
        <v>1123</v>
      </c>
      <c r="BS512" t="s">
        <v>7305</v>
      </c>
      <c r="BT512" t="s">
        <v>198</v>
      </c>
      <c r="BU512" t="s">
        <v>182</v>
      </c>
      <c r="BV512" t="s">
        <v>198</v>
      </c>
      <c r="BW512" t="s">
        <v>198</v>
      </c>
      <c r="BX512" t="s">
        <v>199</v>
      </c>
      <c r="BY512" t="s">
        <v>198</v>
      </c>
      <c r="BZ512" t="s">
        <v>199</v>
      </c>
      <c r="CA512" t="s">
        <v>199</v>
      </c>
      <c r="CB512" t="s">
        <v>7306</v>
      </c>
      <c r="CC512" t="s">
        <v>201</v>
      </c>
      <c r="CD512" t="s">
        <v>182</v>
      </c>
      <c r="CE512" t="s">
        <v>7307</v>
      </c>
      <c r="CF512" t="s">
        <v>413</v>
      </c>
      <c r="CG512" t="s">
        <v>177</v>
      </c>
      <c r="CH512" t="s">
        <v>3799</v>
      </c>
      <c r="CI512" t="s">
        <v>7308</v>
      </c>
      <c r="CJ512" t="s">
        <v>7309</v>
      </c>
      <c r="CK512" t="s">
        <v>232</v>
      </c>
      <c r="CL512" t="s">
        <v>233</v>
      </c>
      <c r="CM512" t="s">
        <v>7310</v>
      </c>
      <c r="CN512" t="s">
        <v>235</v>
      </c>
      <c r="CO512" t="s">
        <v>183</v>
      </c>
      <c r="CP512" t="s">
        <v>266</v>
      </c>
      <c r="CS512" t="s">
        <v>198</v>
      </c>
      <c r="DC512" t="s">
        <v>198</v>
      </c>
      <c r="DM512" t="s">
        <v>198</v>
      </c>
      <c r="DW512" t="s">
        <v>198</v>
      </c>
      <c r="EG512" t="s">
        <v>198</v>
      </c>
      <c r="EQ512" t="s">
        <v>198</v>
      </c>
      <c r="FA512" t="s">
        <v>198</v>
      </c>
      <c r="FK512" t="s">
        <v>198</v>
      </c>
      <c r="FU512" t="s">
        <v>198</v>
      </c>
    </row>
    <row r="513" spans="1:177">
      <c r="A513" s="1" t="str">
        <f>HYPERLINK("http://digipan.lumentumllc.com/apps/getLink/index.php?t=PropLink&amp;p=6461917","PL")</f>
        <v>PL</v>
      </c>
      <c r="B513" s="1" t="str">
        <f>HYPERLINK("http://digipan.lumentumllc.com/apps/getLink/index.php?t=TaxLink&amp;p=6461917","TL")</f>
        <v>TL</v>
      </c>
      <c r="C513" s="1" t="str">
        <f>HYPERLINK("http://digipan.lumentumllc.com/apps/getMap/index.php?p=6461917","Map")</f>
        <v>Map</v>
      </c>
      <c r="E513" t="s">
        <v>177</v>
      </c>
      <c r="F513" t="s">
        <v>178</v>
      </c>
      <c r="L513" t="s">
        <v>7311</v>
      </c>
      <c r="N513" t="s">
        <v>7311</v>
      </c>
      <c r="O513" t="s">
        <v>7311</v>
      </c>
      <c r="P513" t="s">
        <v>7312</v>
      </c>
      <c r="Q513" t="s">
        <v>7311</v>
      </c>
      <c r="V513">
        <v>590</v>
      </c>
      <c r="W513">
        <v>2</v>
      </c>
      <c r="X513">
        <v>2017</v>
      </c>
      <c r="Y513">
        <v>2018</v>
      </c>
      <c r="Z513">
        <v>46.86</v>
      </c>
      <c r="AB513" t="s">
        <v>181</v>
      </c>
      <c r="AC513" t="s">
        <v>182</v>
      </c>
      <c r="AD513" t="s">
        <v>1037</v>
      </c>
      <c r="AE513">
        <v>5</v>
      </c>
      <c r="AF513">
        <v>0</v>
      </c>
      <c r="AG513" t="s">
        <v>7313</v>
      </c>
      <c r="AH513">
        <v>0</v>
      </c>
      <c r="AI513">
        <v>174.47</v>
      </c>
      <c r="AJ513">
        <v>78.08</v>
      </c>
      <c r="AK513">
        <v>252.55</v>
      </c>
      <c r="AL513">
        <v>1050</v>
      </c>
      <c r="AM513">
        <v>1050</v>
      </c>
      <c r="AN513">
        <v>0</v>
      </c>
      <c r="AO513">
        <v>12</v>
      </c>
      <c r="AP513">
        <v>2016</v>
      </c>
      <c r="AQ513">
        <v>4.46</v>
      </c>
      <c r="AR513">
        <v>24.05</v>
      </c>
      <c r="AS513" t="s">
        <v>7314</v>
      </c>
      <c r="AT513" t="s">
        <v>186</v>
      </c>
      <c r="AU513" t="s">
        <v>177</v>
      </c>
      <c r="AV513" t="s">
        <v>187</v>
      </c>
      <c r="AW513" t="s">
        <v>182</v>
      </c>
      <c r="AX513">
        <v>0</v>
      </c>
      <c r="AY513" t="s">
        <v>312</v>
      </c>
      <c r="AZ513" t="s">
        <v>199</v>
      </c>
      <c r="BA513" t="s">
        <v>313</v>
      </c>
      <c r="BB513" t="s">
        <v>191</v>
      </c>
      <c r="BC513" t="s">
        <v>182</v>
      </c>
      <c r="BD513" t="s">
        <v>182</v>
      </c>
      <c r="BE513" t="s">
        <v>3918</v>
      </c>
      <c r="BF513">
        <v>0</v>
      </c>
      <c r="BG513">
        <v>0</v>
      </c>
      <c r="BH513">
        <v>0</v>
      </c>
      <c r="BI513" t="s">
        <v>199</v>
      </c>
      <c r="BJ513" t="s">
        <v>315</v>
      </c>
      <c r="BL513" t="s">
        <v>199</v>
      </c>
      <c r="BM513" t="s">
        <v>358</v>
      </c>
      <c r="BN513" t="s">
        <v>182</v>
      </c>
      <c r="BO513" t="s">
        <v>198</v>
      </c>
      <c r="BP513" t="s">
        <v>198</v>
      </c>
      <c r="BQ513" t="s">
        <v>198</v>
      </c>
      <c r="BR513" t="s">
        <v>198</v>
      </c>
      <c r="BS513" t="s">
        <v>198</v>
      </c>
      <c r="BT513" t="s">
        <v>198</v>
      </c>
      <c r="BU513" t="s">
        <v>182</v>
      </c>
      <c r="BV513" t="s">
        <v>198</v>
      </c>
      <c r="BW513" t="s">
        <v>198</v>
      </c>
      <c r="BX513" t="s">
        <v>199</v>
      </c>
      <c r="BY513" t="s">
        <v>198</v>
      </c>
      <c r="BZ513" t="s">
        <v>199</v>
      </c>
      <c r="CA513" t="s">
        <v>199</v>
      </c>
      <c r="CB513" t="s">
        <v>7315</v>
      </c>
      <c r="CC513" t="s">
        <v>201</v>
      </c>
      <c r="CD513" t="s">
        <v>182</v>
      </c>
      <c r="CE513" t="s">
        <v>7316</v>
      </c>
      <c r="CF513" t="s">
        <v>7317</v>
      </c>
      <c r="CG513" t="s">
        <v>6753</v>
      </c>
      <c r="CH513" t="s">
        <v>7318</v>
      </c>
      <c r="CI513" t="s">
        <v>7319</v>
      </c>
      <c r="CJ513" t="s">
        <v>6760</v>
      </c>
      <c r="CK513" t="s">
        <v>232</v>
      </c>
      <c r="CL513" t="s">
        <v>233</v>
      </c>
      <c r="CM513" t="s">
        <v>7320</v>
      </c>
      <c r="CN513" t="s">
        <v>482</v>
      </c>
      <c r="CO513" t="s">
        <v>5</v>
      </c>
      <c r="CP513" t="s">
        <v>266</v>
      </c>
      <c r="CS513" t="s">
        <v>198</v>
      </c>
      <c r="CT513" t="s">
        <v>6712</v>
      </c>
      <c r="CU513" t="s">
        <v>292</v>
      </c>
      <c r="CV513" t="s">
        <v>293</v>
      </c>
      <c r="CW513" t="s">
        <v>7321</v>
      </c>
      <c r="CX513" t="s">
        <v>482</v>
      </c>
      <c r="CY513" t="s">
        <v>5</v>
      </c>
      <c r="CZ513" t="s">
        <v>266</v>
      </c>
      <c r="DC513" t="s">
        <v>198</v>
      </c>
      <c r="DD513" t="s">
        <v>7322</v>
      </c>
      <c r="DE513" t="s">
        <v>267</v>
      </c>
      <c r="DF513" t="s">
        <v>268</v>
      </c>
      <c r="DG513" t="s">
        <v>7323</v>
      </c>
      <c r="DH513" t="s">
        <v>482</v>
      </c>
      <c r="DI513" t="s">
        <v>5</v>
      </c>
      <c r="DJ513" t="s">
        <v>266</v>
      </c>
      <c r="DM513" t="s">
        <v>198</v>
      </c>
      <c r="DN513" t="s">
        <v>7110</v>
      </c>
      <c r="DO513" t="s">
        <v>273</v>
      </c>
      <c r="DP513" t="s">
        <v>274</v>
      </c>
      <c r="DQ513" t="s">
        <v>7324</v>
      </c>
      <c r="DR513" t="s">
        <v>482</v>
      </c>
      <c r="DS513" t="s">
        <v>5</v>
      </c>
      <c r="DT513" t="s">
        <v>266</v>
      </c>
      <c r="DW513" t="s">
        <v>198</v>
      </c>
      <c r="DX513" t="s">
        <v>7325</v>
      </c>
      <c r="DY513" t="s">
        <v>302</v>
      </c>
      <c r="DZ513" t="s">
        <v>303</v>
      </c>
      <c r="EA513" t="s">
        <v>7326</v>
      </c>
      <c r="EB513" t="s">
        <v>576</v>
      </c>
      <c r="EC513" t="s">
        <v>183</v>
      </c>
      <c r="ED513" t="s">
        <v>266</v>
      </c>
      <c r="EG513" t="s">
        <v>198</v>
      </c>
      <c r="EQ513" t="s">
        <v>198</v>
      </c>
      <c r="FA513" t="s">
        <v>198</v>
      </c>
      <c r="FK513" t="s">
        <v>198</v>
      </c>
      <c r="FU513" t="s">
        <v>198</v>
      </c>
    </row>
    <row r="514" spans="1:177">
      <c r="A514" s="1" t="str">
        <f>HYPERLINK("http://digipan.lumentumllc.com/apps/getLink/index.php?t=PropLink&amp;p=6461931","PL")</f>
        <v>PL</v>
      </c>
      <c r="B514" s="1" t="str">
        <f>HYPERLINK("http://digipan.lumentumllc.com/apps/getLink/index.php?t=TaxLink&amp;p=6461931","TL")</f>
        <v>TL</v>
      </c>
      <c r="C514" s="1" t="str">
        <f>HYPERLINK("http://digipan.lumentumllc.com/apps/getMap/index.php?p=6461931","Map")</f>
        <v>Map</v>
      </c>
      <c r="E514" t="s">
        <v>177</v>
      </c>
      <c r="F514" t="s">
        <v>178</v>
      </c>
      <c r="L514" t="s">
        <v>7327</v>
      </c>
      <c r="N514" t="s">
        <v>7327</v>
      </c>
      <c r="O514" t="s">
        <v>7327</v>
      </c>
      <c r="P514" t="s">
        <v>7328</v>
      </c>
      <c r="Q514" t="s">
        <v>7327</v>
      </c>
      <c r="V514">
        <v>591</v>
      </c>
      <c r="W514">
        <v>2</v>
      </c>
      <c r="X514">
        <v>2017</v>
      </c>
      <c r="Y514">
        <v>2018</v>
      </c>
      <c r="Z514">
        <v>945.36</v>
      </c>
      <c r="AB514" t="s">
        <v>181</v>
      </c>
      <c r="AC514" t="s">
        <v>182</v>
      </c>
      <c r="AD514" t="s">
        <v>183</v>
      </c>
      <c r="AE514">
        <v>1</v>
      </c>
      <c r="AF514">
        <v>5</v>
      </c>
      <c r="AG514" t="s">
        <v>951</v>
      </c>
      <c r="AH514">
        <v>80</v>
      </c>
      <c r="AI514">
        <v>808.28</v>
      </c>
      <c r="AJ514">
        <v>40.409999999999997</v>
      </c>
      <c r="AK514">
        <v>848.69</v>
      </c>
      <c r="AL514">
        <v>60988</v>
      </c>
      <c r="AM514">
        <v>23800</v>
      </c>
      <c r="AN514">
        <v>37188</v>
      </c>
      <c r="AO514">
        <v>722</v>
      </c>
      <c r="AP514">
        <v>2016</v>
      </c>
      <c r="AQ514">
        <v>1.55</v>
      </c>
      <c r="AR514">
        <v>1.39</v>
      </c>
      <c r="AS514" t="s">
        <v>7329</v>
      </c>
      <c r="AT514" t="s">
        <v>186</v>
      </c>
      <c r="AU514" t="s">
        <v>177</v>
      </c>
      <c r="AV514" t="s">
        <v>187</v>
      </c>
      <c r="AW514" t="s">
        <v>182</v>
      </c>
      <c r="AX514">
        <v>2</v>
      </c>
      <c r="AY514" t="s">
        <v>188</v>
      </c>
      <c r="AZ514" t="s">
        <v>189</v>
      </c>
      <c r="BA514" t="s">
        <v>190</v>
      </c>
      <c r="BB514" t="s">
        <v>191</v>
      </c>
      <c r="BC514" t="s">
        <v>182</v>
      </c>
      <c r="BD514" t="s">
        <v>182</v>
      </c>
      <c r="BE514" t="s">
        <v>436</v>
      </c>
      <c r="BF514">
        <v>1</v>
      </c>
      <c r="BG514">
        <v>1</v>
      </c>
      <c r="BH514">
        <v>1991</v>
      </c>
      <c r="BI514" t="s">
        <v>4694</v>
      </c>
      <c r="BJ514" t="s">
        <v>194</v>
      </c>
      <c r="BK514" t="s">
        <v>195</v>
      </c>
      <c r="BL514" t="s">
        <v>841</v>
      </c>
      <c r="BM514" t="s">
        <v>302</v>
      </c>
      <c r="BN514" t="s">
        <v>182</v>
      </c>
      <c r="BO514" t="s">
        <v>7330</v>
      </c>
      <c r="BP514" t="s">
        <v>7331</v>
      </c>
      <c r="BS514" t="s">
        <v>7332</v>
      </c>
      <c r="BT514" t="s">
        <v>198</v>
      </c>
      <c r="BU514" t="s">
        <v>182</v>
      </c>
      <c r="BV514" t="s">
        <v>198</v>
      </c>
      <c r="BW514" t="s">
        <v>198</v>
      </c>
      <c r="BX514" t="s">
        <v>199</v>
      </c>
      <c r="BY514" t="s">
        <v>198</v>
      </c>
      <c r="BZ514" t="s">
        <v>199</v>
      </c>
      <c r="CA514" t="s">
        <v>199</v>
      </c>
      <c r="CB514" t="s">
        <v>7333</v>
      </c>
      <c r="CC514" t="s">
        <v>201</v>
      </c>
      <c r="CD514" t="s">
        <v>182</v>
      </c>
      <c r="CE514" t="s">
        <v>7334</v>
      </c>
      <c r="CF514" t="s">
        <v>204</v>
      </c>
      <c r="CG514" t="s">
        <v>177</v>
      </c>
      <c r="CH514" t="s">
        <v>187</v>
      </c>
      <c r="CI514" t="s">
        <v>7335</v>
      </c>
      <c r="CJ514" t="s">
        <v>7336</v>
      </c>
      <c r="CK514" t="s">
        <v>232</v>
      </c>
      <c r="CL514" t="s">
        <v>233</v>
      </c>
      <c r="CM514" t="s">
        <v>7337</v>
      </c>
      <c r="CN514" t="s">
        <v>235</v>
      </c>
      <c r="CO514" t="s">
        <v>183</v>
      </c>
      <c r="CP514" t="s">
        <v>266</v>
      </c>
      <c r="CS514" t="s">
        <v>198</v>
      </c>
      <c r="CT514" t="s">
        <v>7125</v>
      </c>
      <c r="CU514" t="s">
        <v>292</v>
      </c>
      <c r="CV514" t="s">
        <v>293</v>
      </c>
      <c r="CW514" t="s">
        <v>7338</v>
      </c>
      <c r="CX514" t="s">
        <v>235</v>
      </c>
      <c r="CY514" t="s">
        <v>183</v>
      </c>
      <c r="CZ514" t="s">
        <v>211</v>
      </c>
      <c r="DA514" t="s">
        <v>298</v>
      </c>
      <c r="DC514" t="s">
        <v>3703</v>
      </c>
      <c r="DD514" t="s">
        <v>7339</v>
      </c>
      <c r="DE514" t="s">
        <v>267</v>
      </c>
      <c r="DF514" t="s">
        <v>268</v>
      </c>
      <c r="DG514" t="s">
        <v>7340</v>
      </c>
      <c r="DH514" t="s">
        <v>235</v>
      </c>
      <c r="DI514" t="s">
        <v>183</v>
      </c>
      <c r="DJ514" t="s">
        <v>211</v>
      </c>
      <c r="DK514" t="s">
        <v>298</v>
      </c>
      <c r="DM514" t="s">
        <v>1611</v>
      </c>
      <c r="DN514" t="s">
        <v>6726</v>
      </c>
      <c r="DO514" t="s">
        <v>273</v>
      </c>
      <c r="DP514" t="s">
        <v>274</v>
      </c>
      <c r="DQ514" t="s">
        <v>7341</v>
      </c>
      <c r="DR514" t="s">
        <v>235</v>
      </c>
      <c r="DS514" t="s">
        <v>183</v>
      </c>
      <c r="DT514" t="s">
        <v>211</v>
      </c>
      <c r="DU514" t="s">
        <v>523</v>
      </c>
      <c r="DW514" t="s">
        <v>7342</v>
      </c>
      <c r="DX514" t="s">
        <v>7343</v>
      </c>
      <c r="DY514" t="s">
        <v>302</v>
      </c>
      <c r="DZ514" t="s">
        <v>303</v>
      </c>
      <c r="EA514" t="s">
        <v>7344</v>
      </c>
      <c r="EB514" t="s">
        <v>796</v>
      </c>
      <c r="EC514" t="s">
        <v>183</v>
      </c>
      <c r="ED514" t="s">
        <v>211</v>
      </c>
      <c r="EE514" t="s">
        <v>342</v>
      </c>
      <c r="EG514" t="s">
        <v>4408</v>
      </c>
      <c r="EH514" t="s">
        <v>7134</v>
      </c>
      <c r="EI514" t="s">
        <v>207</v>
      </c>
      <c r="EJ514" t="s">
        <v>208</v>
      </c>
      <c r="EK514" t="s">
        <v>7345</v>
      </c>
      <c r="EL514" t="s">
        <v>1676</v>
      </c>
      <c r="EM514" t="s">
        <v>183</v>
      </c>
      <c r="EN514" t="s">
        <v>211</v>
      </c>
      <c r="EO514" t="s">
        <v>199</v>
      </c>
      <c r="EQ514" t="s">
        <v>2023</v>
      </c>
      <c r="FA514" t="s">
        <v>198</v>
      </c>
      <c r="FK514" t="s">
        <v>198</v>
      </c>
      <c r="FU514" t="s">
        <v>198</v>
      </c>
    </row>
    <row r="515" spans="1:177">
      <c r="A515" s="1" t="str">
        <f>HYPERLINK("http://digipan.lumentumllc.com/apps/getLink/index.php?t=PropLink&amp;p=4637754","PL")</f>
        <v>PL</v>
      </c>
      <c r="B515" s="1" t="str">
        <f>HYPERLINK("http://digipan.lumentumllc.com/apps/getLink/index.php?t=TaxLink&amp;p=4637754","TL")</f>
        <v>TL</v>
      </c>
      <c r="C515" s="1" t="str">
        <f>HYPERLINK("http://digipan.lumentumllc.com/apps/getMap/index.php?p=4637754","Map")</f>
        <v>Map</v>
      </c>
      <c r="E515" t="s">
        <v>177</v>
      </c>
      <c r="F515" t="s">
        <v>178</v>
      </c>
      <c r="L515" t="s">
        <v>7346</v>
      </c>
      <c r="N515" t="s">
        <v>7346</v>
      </c>
      <c r="O515" t="s">
        <v>7346</v>
      </c>
      <c r="P515" t="s">
        <v>7347</v>
      </c>
      <c r="Q515" t="s">
        <v>7346</v>
      </c>
      <c r="V515">
        <v>592</v>
      </c>
      <c r="W515">
        <v>2</v>
      </c>
      <c r="X515">
        <v>2017</v>
      </c>
      <c r="Y515">
        <v>2018</v>
      </c>
      <c r="Z515">
        <v>766.23</v>
      </c>
      <c r="AB515" t="s">
        <v>181</v>
      </c>
      <c r="AC515" t="s">
        <v>182</v>
      </c>
      <c r="AD515" t="s">
        <v>183</v>
      </c>
      <c r="AE515">
        <v>1</v>
      </c>
      <c r="AF515">
        <v>3</v>
      </c>
      <c r="AG515" t="s">
        <v>257</v>
      </c>
      <c r="AH515">
        <v>75</v>
      </c>
      <c r="AI515">
        <v>760.35</v>
      </c>
      <c r="AJ515">
        <v>38.020000000000003</v>
      </c>
      <c r="AK515">
        <v>798.37</v>
      </c>
      <c r="AL515">
        <v>97820</v>
      </c>
      <c r="AM515">
        <v>32000</v>
      </c>
      <c r="AN515">
        <v>65820</v>
      </c>
      <c r="AO515">
        <v>678</v>
      </c>
      <c r="AP515">
        <v>2016</v>
      </c>
      <c r="AQ515">
        <v>0.78</v>
      </c>
      <c r="AR515">
        <v>0.82</v>
      </c>
      <c r="AS515" t="s">
        <v>7348</v>
      </c>
      <c r="AT515" t="s">
        <v>186</v>
      </c>
      <c r="AU515" t="s">
        <v>177</v>
      </c>
      <c r="AV515" t="s">
        <v>187</v>
      </c>
      <c r="AW515" t="s">
        <v>202</v>
      </c>
      <c r="AX515">
        <v>1</v>
      </c>
      <c r="AY515" t="s">
        <v>188</v>
      </c>
      <c r="AZ515" t="s">
        <v>206</v>
      </c>
      <c r="BA515" t="s">
        <v>355</v>
      </c>
      <c r="BB515" t="s">
        <v>191</v>
      </c>
      <c r="BC515" t="s">
        <v>182</v>
      </c>
      <c r="BD515" t="s">
        <v>182</v>
      </c>
      <c r="BE515" t="s">
        <v>927</v>
      </c>
      <c r="BF515">
        <v>1</v>
      </c>
      <c r="BG515">
        <v>1</v>
      </c>
      <c r="BH515">
        <v>1922</v>
      </c>
      <c r="BI515" t="s">
        <v>7349</v>
      </c>
      <c r="BJ515" t="s">
        <v>194</v>
      </c>
      <c r="BK515" t="s">
        <v>195</v>
      </c>
      <c r="BL515" t="s">
        <v>199</v>
      </c>
      <c r="BM515" t="s">
        <v>2351</v>
      </c>
      <c r="BN515" t="s">
        <v>182</v>
      </c>
      <c r="BO515" t="s">
        <v>198</v>
      </c>
      <c r="BP515" t="s">
        <v>198</v>
      </c>
      <c r="BQ515" t="s">
        <v>198</v>
      </c>
      <c r="BR515" t="s">
        <v>198</v>
      </c>
      <c r="BS515" t="s">
        <v>198</v>
      </c>
      <c r="BT515" t="s">
        <v>198</v>
      </c>
      <c r="BU515" t="s">
        <v>182</v>
      </c>
      <c r="BV515" t="s">
        <v>198</v>
      </c>
      <c r="BW515" t="s">
        <v>198</v>
      </c>
      <c r="BX515" t="s">
        <v>199</v>
      </c>
      <c r="BY515" t="s">
        <v>198</v>
      </c>
      <c r="BZ515" t="s">
        <v>199</v>
      </c>
      <c r="CA515" t="s">
        <v>199</v>
      </c>
      <c r="CB515" t="s">
        <v>7333</v>
      </c>
      <c r="CC515" t="s">
        <v>201</v>
      </c>
      <c r="CD515" t="s">
        <v>182</v>
      </c>
      <c r="CE515" t="s">
        <v>7334</v>
      </c>
      <c r="CF515" t="s">
        <v>204</v>
      </c>
      <c r="CG515" t="s">
        <v>177</v>
      </c>
      <c r="CH515" t="s">
        <v>187</v>
      </c>
      <c r="CI515" t="s">
        <v>7335</v>
      </c>
      <c r="CJ515" t="s">
        <v>7350</v>
      </c>
      <c r="CK515" t="s">
        <v>232</v>
      </c>
      <c r="CL515" t="s">
        <v>233</v>
      </c>
      <c r="CM515" t="s">
        <v>7351</v>
      </c>
      <c r="CN515" t="s">
        <v>235</v>
      </c>
      <c r="CO515" t="s">
        <v>183</v>
      </c>
      <c r="CP515" t="s">
        <v>266</v>
      </c>
      <c r="CS515" t="s">
        <v>198</v>
      </c>
      <c r="CT515" t="s">
        <v>7352</v>
      </c>
      <c r="CU515" t="s">
        <v>267</v>
      </c>
      <c r="CV515" t="s">
        <v>268</v>
      </c>
      <c r="CW515" t="s">
        <v>7353</v>
      </c>
      <c r="CX515" t="s">
        <v>235</v>
      </c>
      <c r="CY515" t="s">
        <v>183</v>
      </c>
      <c r="CZ515" t="s">
        <v>211</v>
      </c>
      <c r="DA515" t="s">
        <v>329</v>
      </c>
      <c r="DC515" t="s">
        <v>2430</v>
      </c>
      <c r="DD515" t="s">
        <v>7283</v>
      </c>
      <c r="DE515" t="s">
        <v>273</v>
      </c>
      <c r="DF515" t="s">
        <v>274</v>
      </c>
      <c r="DG515" t="s">
        <v>7354</v>
      </c>
      <c r="DH515" t="s">
        <v>235</v>
      </c>
      <c r="DI515" t="s">
        <v>183</v>
      </c>
      <c r="DJ515" t="s">
        <v>211</v>
      </c>
      <c r="DK515" t="s">
        <v>296</v>
      </c>
      <c r="DM515" t="s">
        <v>7355</v>
      </c>
      <c r="DN515" t="s">
        <v>7356</v>
      </c>
      <c r="DO515" t="s">
        <v>302</v>
      </c>
      <c r="DP515" t="s">
        <v>303</v>
      </c>
      <c r="DQ515" t="s">
        <v>7357</v>
      </c>
      <c r="DR515" t="s">
        <v>235</v>
      </c>
      <c r="DS515" t="s">
        <v>183</v>
      </c>
      <c r="DT515" t="s">
        <v>211</v>
      </c>
      <c r="DU515" t="s">
        <v>342</v>
      </c>
      <c r="DW515" t="s">
        <v>4408</v>
      </c>
      <c r="EG515" t="s">
        <v>198</v>
      </c>
      <c r="EQ515" t="s">
        <v>198</v>
      </c>
      <c r="FA515" t="s">
        <v>198</v>
      </c>
      <c r="FK515" t="s">
        <v>198</v>
      </c>
      <c r="FU515" t="s">
        <v>198</v>
      </c>
    </row>
    <row r="516" spans="1:177">
      <c r="A516" s="1" t="str">
        <f>HYPERLINK("http://digipan.lumentumllc.com/apps/getLink/index.php?t=PropLink&amp;p=41029624","PL")</f>
        <v>PL</v>
      </c>
      <c r="B516" s="1" t="str">
        <f>HYPERLINK("http://digipan.lumentumllc.com/apps/getLink/index.php?t=TaxLink&amp;p=41029624","TL")</f>
        <v>TL</v>
      </c>
      <c r="C516" s="1" t="str">
        <f>HYPERLINK("","")</f>
        <v/>
      </c>
      <c r="E516" t="s">
        <v>177</v>
      </c>
      <c r="F516" t="s">
        <v>178</v>
      </c>
      <c r="L516" t="s">
        <v>7358</v>
      </c>
      <c r="N516" t="s">
        <v>7358</v>
      </c>
      <c r="O516" t="s">
        <v>7358</v>
      </c>
      <c r="Q516" t="s">
        <v>7358</v>
      </c>
      <c r="V516">
        <v>593</v>
      </c>
      <c r="W516">
        <v>2</v>
      </c>
      <c r="X516">
        <v>2017</v>
      </c>
      <c r="Y516">
        <v>2018</v>
      </c>
      <c r="Z516">
        <v>1003.6</v>
      </c>
      <c r="AG516" t="s">
        <v>184</v>
      </c>
      <c r="AH516">
        <v>0</v>
      </c>
      <c r="AK516">
        <v>0</v>
      </c>
      <c r="AL516">
        <v>98447</v>
      </c>
      <c r="AM516">
        <v>27120</v>
      </c>
      <c r="AN516">
        <v>71327</v>
      </c>
      <c r="AQ516">
        <v>1.02</v>
      </c>
      <c r="AS516" t="s">
        <v>7359</v>
      </c>
      <c r="AT516" t="s">
        <v>186</v>
      </c>
      <c r="AU516" t="s">
        <v>177</v>
      </c>
      <c r="AV516" t="s">
        <v>187</v>
      </c>
      <c r="AW516" t="s">
        <v>202</v>
      </c>
      <c r="AX516">
        <v>2</v>
      </c>
      <c r="AY516" t="s">
        <v>188</v>
      </c>
      <c r="AZ516" t="s">
        <v>189</v>
      </c>
      <c r="BA516" t="s">
        <v>190</v>
      </c>
      <c r="BB516" t="s">
        <v>191</v>
      </c>
      <c r="BC516" t="s">
        <v>202</v>
      </c>
      <c r="BD516" t="s">
        <v>182</v>
      </c>
      <c r="BE516" t="s">
        <v>3230</v>
      </c>
      <c r="BF516">
        <v>1</v>
      </c>
      <c r="BG516">
        <v>1</v>
      </c>
      <c r="BH516">
        <v>2000</v>
      </c>
      <c r="BI516" t="s">
        <v>883</v>
      </c>
      <c r="BJ516" t="s">
        <v>248</v>
      </c>
      <c r="BK516" t="s">
        <v>195</v>
      </c>
      <c r="BL516" t="s">
        <v>592</v>
      </c>
      <c r="BM516" t="s">
        <v>232</v>
      </c>
      <c r="BN516" t="s">
        <v>182</v>
      </c>
      <c r="BO516" t="s">
        <v>198</v>
      </c>
      <c r="BP516" t="s">
        <v>198</v>
      </c>
      <c r="BQ516" t="s">
        <v>198</v>
      </c>
      <c r="BR516" t="s">
        <v>198</v>
      </c>
      <c r="BS516" t="s">
        <v>198</v>
      </c>
      <c r="BT516" t="s">
        <v>198</v>
      </c>
      <c r="BU516" t="s">
        <v>182</v>
      </c>
      <c r="BV516" t="s">
        <v>198</v>
      </c>
      <c r="BW516" t="s">
        <v>198</v>
      </c>
      <c r="BX516" t="s">
        <v>199</v>
      </c>
      <c r="BY516" t="s">
        <v>198</v>
      </c>
      <c r="CB516" t="s">
        <v>7360</v>
      </c>
      <c r="CC516" t="s">
        <v>201</v>
      </c>
      <c r="CD516" t="s">
        <v>182</v>
      </c>
      <c r="CE516" t="s">
        <v>7361</v>
      </c>
      <c r="CF516" t="s">
        <v>204</v>
      </c>
      <c r="CG516" t="s">
        <v>177</v>
      </c>
      <c r="CH516" t="s">
        <v>187</v>
      </c>
      <c r="CI516" t="s">
        <v>7362</v>
      </c>
      <c r="CS516" t="s">
        <v>198</v>
      </c>
      <c r="DC516" t="s">
        <v>198</v>
      </c>
      <c r="DM516" t="s">
        <v>198</v>
      </c>
      <c r="DW516" t="s">
        <v>198</v>
      </c>
      <c r="EG516" t="s">
        <v>198</v>
      </c>
      <c r="EQ516" t="s">
        <v>198</v>
      </c>
      <c r="FA516" t="s">
        <v>198</v>
      </c>
      <c r="FK516" t="s">
        <v>198</v>
      </c>
      <c r="FU516" t="s">
        <v>198</v>
      </c>
    </row>
    <row r="517" spans="1:177">
      <c r="A517" s="1" t="str">
        <f>HYPERLINK("http://digipan.lumentumllc.com/apps/getLink/index.php?t=PropLink&amp;p=6129064","PL")</f>
        <v>PL</v>
      </c>
      <c r="B517" s="1" t="str">
        <f>HYPERLINK("http://digipan.lumentumllc.com/apps/getLink/index.php?t=TaxLink&amp;p=6129064","TL")</f>
        <v>TL</v>
      </c>
      <c r="C517" s="1" t="str">
        <f>HYPERLINK("http://digipan.lumentumllc.com/apps/getMap/index.php?p=6129064","Map")</f>
        <v>Map</v>
      </c>
      <c r="E517" t="s">
        <v>177</v>
      </c>
      <c r="F517" t="s">
        <v>178</v>
      </c>
      <c r="L517" t="s">
        <v>7363</v>
      </c>
      <c r="N517" t="s">
        <v>7363</v>
      </c>
      <c r="O517" t="s">
        <v>7363</v>
      </c>
      <c r="P517" t="s">
        <v>7364</v>
      </c>
      <c r="Q517" t="s">
        <v>7363</v>
      </c>
      <c r="V517">
        <v>594</v>
      </c>
      <c r="W517">
        <v>2</v>
      </c>
      <c r="X517">
        <v>2017</v>
      </c>
      <c r="Y517">
        <v>2018</v>
      </c>
      <c r="Z517">
        <v>488.08</v>
      </c>
      <c r="AB517" t="s">
        <v>181</v>
      </c>
      <c r="AC517" t="s">
        <v>182</v>
      </c>
      <c r="AD517" t="s">
        <v>183</v>
      </c>
      <c r="AE517">
        <v>0</v>
      </c>
      <c r="AF517">
        <v>3</v>
      </c>
      <c r="AG517" t="s">
        <v>381</v>
      </c>
      <c r="AH517">
        <v>100</v>
      </c>
      <c r="AK517">
        <v>0</v>
      </c>
      <c r="AL517">
        <v>129203</v>
      </c>
      <c r="AM517">
        <v>32320</v>
      </c>
      <c r="AN517">
        <v>96883</v>
      </c>
      <c r="AO517">
        <v>385</v>
      </c>
      <c r="AP517">
        <v>2016</v>
      </c>
      <c r="AQ517">
        <v>0.38</v>
      </c>
      <c r="AS517" t="s">
        <v>7365</v>
      </c>
      <c r="AT517" t="s">
        <v>186</v>
      </c>
      <c r="AU517" t="s">
        <v>177</v>
      </c>
      <c r="AV517" t="s">
        <v>187</v>
      </c>
      <c r="AW517" t="s">
        <v>202</v>
      </c>
      <c r="AX517">
        <v>50</v>
      </c>
      <c r="AY517" t="s">
        <v>218</v>
      </c>
      <c r="AZ517" t="s">
        <v>589</v>
      </c>
      <c r="BA517" t="s">
        <v>590</v>
      </c>
      <c r="BB517" t="s">
        <v>191</v>
      </c>
      <c r="BC517" t="s">
        <v>182</v>
      </c>
      <c r="BD517" t="s">
        <v>182</v>
      </c>
      <c r="BE517" t="s">
        <v>576</v>
      </c>
      <c r="BF517">
        <v>2</v>
      </c>
      <c r="BG517">
        <v>2</v>
      </c>
      <c r="BH517">
        <v>1997</v>
      </c>
      <c r="BI517" t="s">
        <v>1332</v>
      </c>
      <c r="BJ517" t="s">
        <v>194</v>
      </c>
      <c r="BK517" t="s">
        <v>195</v>
      </c>
      <c r="BL517" t="s">
        <v>199</v>
      </c>
      <c r="BM517" t="s">
        <v>410</v>
      </c>
      <c r="BN517" t="s">
        <v>182</v>
      </c>
      <c r="BO517" t="s">
        <v>3842</v>
      </c>
      <c r="BP517" t="s">
        <v>7366</v>
      </c>
      <c r="BS517" t="s">
        <v>7367</v>
      </c>
      <c r="BT517" t="s">
        <v>198</v>
      </c>
      <c r="BU517" t="s">
        <v>182</v>
      </c>
      <c r="BV517" t="s">
        <v>198</v>
      </c>
      <c r="BW517" t="s">
        <v>198</v>
      </c>
      <c r="BX517" t="s">
        <v>199</v>
      </c>
      <c r="BY517" t="s">
        <v>198</v>
      </c>
      <c r="BZ517" t="s">
        <v>199</v>
      </c>
      <c r="CA517" t="s">
        <v>199</v>
      </c>
      <c r="CB517" t="s">
        <v>7368</v>
      </c>
      <c r="CC517" t="s">
        <v>201</v>
      </c>
      <c r="CD517" t="s">
        <v>202</v>
      </c>
      <c r="CE517" t="s">
        <v>7369</v>
      </c>
      <c r="CF517" t="s">
        <v>204</v>
      </c>
      <c r="CG517" t="s">
        <v>177</v>
      </c>
      <c r="CH517" t="s">
        <v>187</v>
      </c>
      <c r="CI517" t="s">
        <v>7370</v>
      </c>
      <c r="CJ517" t="s">
        <v>7371</v>
      </c>
      <c r="CK517" t="s">
        <v>273</v>
      </c>
      <c r="CL517" t="s">
        <v>274</v>
      </c>
      <c r="CM517" t="s">
        <v>7372</v>
      </c>
      <c r="CN517" t="s">
        <v>235</v>
      </c>
      <c r="CO517" t="s">
        <v>183</v>
      </c>
      <c r="CP517" t="s">
        <v>211</v>
      </c>
      <c r="CQ517" t="s">
        <v>342</v>
      </c>
      <c r="CS517" t="s">
        <v>1372</v>
      </c>
      <c r="CT517" t="s">
        <v>7373</v>
      </c>
      <c r="CU517" t="s">
        <v>302</v>
      </c>
      <c r="CV517" t="s">
        <v>303</v>
      </c>
      <c r="CW517" t="s">
        <v>7374</v>
      </c>
      <c r="CX517" t="s">
        <v>796</v>
      </c>
      <c r="CY517" t="s">
        <v>183</v>
      </c>
      <c r="CZ517" t="s">
        <v>211</v>
      </c>
      <c r="DA517" t="s">
        <v>270</v>
      </c>
      <c r="DC517" t="s">
        <v>7375</v>
      </c>
      <c r="DD517" t="s">
        <v>7376</v>
      </c>
      <c r="DE517" t="s">
        <v>238</v>
      </c>
      <c r="DF517" t="s">
        <v>239</v>
      </c>
      <c r="DG517" t="s">
        <v>7377</v>
      </c>
      <c r="DH517" t="s">
        <v>278</v>
      </c>
      <c r="DI517" t="s">
        <v>183</v>
      </c>
      <c r="DJ517" t="s">
        <v>211</v>
      </c>
      <c r="DK517" t="s">
        <v>206</v>
      </c>
      <c r="DM517" t="s">
        <v>7378</v>
      </c>
      <c r="DW517" t="s">
        <v>198</v>
      </c>
      <c r="EG517" t="s">
        <v>198</v>
      </c>
      <c r="EQ517" t="s">
        <v>198</v>
      </c>
      <c r="FA517" t="s">
        <v>198</v>
      </c>
      <c r="FK517" t="s">
        <v>198</v>
      </c>
      <c r="FU517" t="s">
        <v>198</v>
      </c>
    </row>
    <row r="518" spans="1:177">
      <c r="A518" s="1" t="str">
        <f>HYPERLINK("http://digipan.lumentumllc.com/apps/getLink/index.php?t=PropLink&amp;p=5246342","PL")</f>
        <v>PL</v>
      </c>
      <c r="B518" s="1" t="str">
        <f>HYPERLINK("http://digipan.lumentumllc.com/apps/getLink/index.php?t=TaxLink&amp;p=5246342","TL")</f>
        <v>TL</v>
      </c>
      <c r="C518" s="1" t="str">
        <f>HYPERLINK("http://digipan.lumentumllc.com/apps/getMap/index.php?p=5246342","Map")</f>
        <v>Map</v>
      </c>
      <c r="E518" t="s">
        <v>177</v>
      </c>
      <c r="F518" t="s">
        <v>178</v>
      </c>
      <c r="L518" t="s">
        <v>7379</v>
      </c>
      <c r="N518" t="s">
        <v>7379</v>
      </c>
      <c r="O518" t="s">
        <v>7379</v>
      </c>
      <c r="P518" t="s">
        <v>7380</v>
      </c>
      <c r="Q518" t="s">
        <v>7379</v>
      </c>
      <c r="V518">
        <v>595</v>
      </c>
      <c r="W518">
        <v>2</v>
      </c>
      <c r="X518">
        <v>2017</v>
      </c>
      <c r="Y518">
        <v>2018</v>
      </c>
      <c r="Z518">
        <v>519.33000000000004</v>
      </c>
      <c r="AB518" t="s">
        <v>181</v>
      </c>
      <c r="AC518" t="s">
        <v>182</v>
      </c>
      <c r="AD518" t="s">
        <v>183</v>
      </c>
      <c r="AE518">
        <v>0</v>
      </c>
      <c r="AF518">
        <v>6</v>
      </c>
      <c r="AG518" t="s">
        <v>3266</v>
      </c>
      <c r="AH518">
        <v>100</v>
      </c>
      <c r="AK518">
        <v>0</v>
      </c>
      <c r="AL518">
        <v>73458</v>
      </c>
      <c r="AM518">
        <v>60000</v>
      </c>
      <c r="AN518">
        <v>13458</v>
      </c>
      <c r="AO518">
        <v>450</v>
      </c>
      <c r="AP518">
        <v>2016</v>
      </c>
      <c r="AQ518">
        <v>0.71</v>
      </c>
      <c r="AS518" t="s">
        <v>7381</v>
      </c>
      <c r="AT518" t="s">
        <v>186</v>
      </c>
      <c r="AU518" t="s">
        <v>177</v>
      </c>
      <c r="AV518" t="s">
        <v>187</v>
      </c>
      <c r="AW518" t="s">
        <v>202</v>
      </c>
      <c r="AX518">
        <v>2</v>
      </c>
      <c r="AY518" t="s">
        <v>188</v>
      </c>
      <c r="AZ518" t="s">
        <v>189</v>
      </c>
      <c r="BA518" t="s">
        <v>190</v>
      </c>
      <c r="BB518" t="s">
        <v>191</v>
      </c>
      <c r="BC518" t="s">
        <v>182</v>
      </c>
      <c r="BD518" t="s">
        <v>182</v>
      </c>
      <c r="BE518" t="s">
        <v>576</v>
      </c>
      <c r="BF518">
        <v>1</v>
      </c>
      <c r="BG518">
        <v>1</v>
      </c>
      <c r="BH518">
        <v>1972</v>
      </c>
      <c r="BI518" t="s">
        <v>611</v>
      </c>
      <c r="BJ518" t="s">
        <v>194</v>
      </c>
      <c r="BK518" t="s">
        <v>195</v>
      </c>
      <c r="BL518" t="s">
        <v>199</v>
      </c>
      <c r="BM518" t="s">
        <v>559</v>
      </c>
      <c r="BN518" t="s">
        <v>182</v>
      </c>
      <c r="BO518" t="s">
        <v>2660</v>
      </c>
      <c r="BP518" t="s">
        <v>7382</v>
      </c>
      <c r="BS518" t="s">
        <v>7383</v>
      </c>
      <c r="BT518" t="s">
        <v>198</v>
      </c>
      <c r="BU518" t="s">
        <v>182</v>
      </c>
      <c r="BV518" t="s">
        <v>198</v>
      </c>
      <c r="BW518" t="s">
        <v>198</v>
      </c>
      <c r="BX518" t="s">
        <v>199</v>
      </c>
      <c r="BY518" t="s">
        <v>198</v>
      </c>
      <c r="BZ518" t="s">
        <v>199</v>
      </c>
      <c r="CA518" t="s">
        <v>199</v>
      </c>
      <c r="CB518" t="s">
        <v>7384</v>
      </c>
      <c r="CC518" t="s">
        <v>201</v>
      </c>
      <c r="CD518" t="s">
        <v>182</v>
      </c>
      <c r="CE518" t="s">
        <v>7385</v>
      </c>
      <c r="CF518" t="s">
        <v>204</v>
      </c>
      <c r="CG518" t="s">
        <v>177</v>
      </c>
      <c r="CH518" t="s">
        <v>187</v>
      </c>
      <c r="CI518" t="s">
        <v>7386</v>
      </c>
      <c r="CJ518" t="s">
        <v>7283</v>
      </c>
      <c r="CK518" t="s">
        <v>292</v>
      </c>
      <c r="CL518" t="s">
        <v>293</v>
      </c>
      <c r="CM518" t="s">
        <v>7387</v>
      </c>
      <c r="CN518" t="s">
        <v>235</v>
      </c>
      <c r="CO518" t="s">
        <v>183</v>
      </c>
      <c r="CP518" t="s">
        <v>211</v>
      </c>
      <c r="CQ518" t="s">
        <v>264</v>
      </c>
      <c r="CS518" t="s">
        <v>7388</v>
      </c>
      <c r="CT518" t="s">
        <v>7389</v>
      </c>
      <c r="CU518" t="s">
        <v>267</v>
      </c>
      <c r="CV518" t="s">
        <v>268</v>
      </c>
      <c r="CW518" t="s">
        <v>7390</v>
      </c>
      <c r="CX518" t="s">
        <v>235</v>
      </c>
      <c r="CY518" t="s">
        <v>183</v>
      </c>
      <c r="CZ518" t="s">
        <v>211</v>
      </c>
      <c r="DA518" t="s">
        <v>471</v>
      </c>
      <c r="DC518" t="s">
        <v>7388</v>
      </c>
      <c r="DD518" t="s">
        <v>7336</v>
      </c>
      <c r="DE518" t="s">
        <v>273</v>
      </c>
      <c r="DF518" t="s">
        <v>274</v>
      </c>
      <c r="DG518" t="s">
        <v>2725</v>
      </c>
      <c r="DH518" t="s">
        <v>514</v>
      </c>
      <c r="DI518" t="s">
        <v>183</v>
      </c>
      <c r="DJ518" t="s">
        <v>211</v>
      </c>
      <c r="DK518" t="s">
        <v>298</v>
      </c>
      <c r="DM518" t="s">
        <v>3275</v>
      </c>
      <c r="DN518" t="s">
        <v>7391</v>
      </c>
      <c r="DO518" t="s">
        <v>302</v>
      </c>
      <c r="DP518" t="s">
        <v>303</v>
      </c>
      <c r="DQ518" t="s">
        <v>7392</v>
      </c>
      <c r="DR518" t="s">
        <v>436</v>
      </c>
      <c r="DS518" t="s">
        <v>183</v>
      </c>
      <c r="DT518" t="s">
        <v>211</v>
      </c>
      <c r="DU518" t="s">
        <v>298</v>
      </c>
      <c r="DW518" t="s">
        <v>3499</v>
      </c>
      <c r="DX518" t="s">
        <v>4767</v>
      </c>
      <c r="DY518" t="s">
        <v>346</v>
      </c>
      <c r="DZ518" t="s">
        <v>347</v>
      </c>
      <c r="EA518" t="s">
        <v>7393</v>
      </c>
      <c r="EB518" t="s">
        <v>469</v>
      </c>
      <c r="EC518" t="s">
        <v>183</v>
      </c>
      <c r="ED518" t="s">
        <v>211</v>
      </c>
      <c r="EE518" t="s">
        <v>212</v>
      </c>
      <c r="EG518" t="s">
        <v>7394</v>
      </c>
      <c r="EH518" t="s">
        <v>7395</v>
      </c>
      <c r="EI518" t="s">
        <v>207</v>
      </c>
      <c r="EJ518" t="s">
        <v>208</v>
      </c>
      <c r="EK518" t="s">
        <v>7396</v>
      </c>
      <c r="EL518" t="s">
        <v>1676</v>
      </c>
      <c r="EM518" t="s">
        <v>183</v>
      </c>
      <c r="EN518" t="s">
        <v>211</v>
      </c>
      <c r="EO518" t="s">
        <v>206</v>
      </c>
      <c r="EQ518" t="s">
        <v>7397</v>
      </c>
      <c r="FA518" t="s">
        <v>198</v>
      </c>
      <c r="FK518" t="s">
        <v>198</v>
      </c>
      <c r="FU518" t="s">
        <v>198</v>
      </c>
    </row>
    <row r="519" spans="1:177">
      <c r="A519" s="1" t="str">
        <f>HYPERLINK("http://digipan.lumentumllc.com/apps/getLink/index.php?t=PropLink&amp;p=15748577","PL")</f>
        <v>PL</v>
      </c>
      <c r="B519" s="1" t="str">
        <f>HYPERLINK("http://digipan.lumentumllc.com/apps/getLink/index.php?t=TaxLink&amp;p=15748577","TL")</f>
        <v>TL</v>
      </c>
      <c r="C519" s="1" t="str">
        <f>HYPERLINK("http://digipan.lumentumllc.com/apps/getMap/index.php?p=15748577","Map")</f>
        <v>Map</v>
      </c>
      <c r="E519" t="s">
        <v>177</v>
      </c>
      <c r="F519" t="s">
        <v>178</v>
      </c>
      <c r="L519" t="s">
        <v>7398</v>
      </c>
      <c r="N519" t="s">
        <v>7398</v>
      </c>
      <c r="O519" t="s">
        <v>7398</v>
      </c>
      <c r="Q519" t="s">
        <v>7398</v>
      </c>
      <c r="V519">
        <v>598</v>
      </c>
      <c r="W519">
        <v>2</v>
      </c>
      <c r="X519">
        <v>2017</v>
      </c>
      <c r="Y519">
        <v>2018</v>
      </c>
      <c r="Z519">
        <v>771.01</v>
      </c>
      <c r="AG519" t="s">
        <v>184</v>
      </c>
      <c r="AH519">
        <v>0</v>
      </c>
      <c r="AK519">
        <v>0</v>
      </c>
      <c r="AL519">
        <v>45137</v>
      </c>
      <c r="AM519">
        <v>24000</v>
      </c>
      <c r="AN519">
        <v>21137</v>
      </c>
      <c r="AO519">
        <v>309</v>
      </c>
      <c r="AP519">
        <v>2016</v>
      </c>
      <c r="AQ519">
        <v>1.71</v>
      </c>
      <c r="AS519" t="s">
        <v>7399</v>
      </c>
      <c r="AT519" t="s">
        <v>3747</v>
      </c>
      <c r="AU519" t="s">
        <v>177</v>
      </c>
      <c r="AV519" t="s">
        <v>1030</v>
      </c>
      <c r="AW519" t="s">
        <v>182</v>
      </c>
      <c r="AX519">
        <v>1</v>
      </c>
      <c r="AY519" t="s">
        <v>188</v>
      </c>
      <c r="AZ519" t="s">
        <v>206</v>
      </c>
      <c r="BA519" t="s">
        <v>355</v>
      </c>
      <c r="BB519" t="s">
        <v>191</v>
      </c>
      <c r="BC519" t="s">
        <v>182</v>
      </c>
      <c r="BD519" t="s">
        <v>182</v>
      </c>
      <c r="BE519" t="s">
        <v>796</v>
      </c>
      <c r="BF519">
        <v>1</v>
      </c>
      <c r="BG519">
        <v>1</v>
      </c>
      <c r="BH519">
        <v>1960</v>
      </c>
      <c r="BI519" t="s">
        <v>465</v>
      </c>
      <c r="BJ519" t="s">
        <v>315</v>
      </c>
      <c r="BK519" t="s">
        <v>195</v>
      </c>
      <c r="BL519" t="s">
        <v>199</v>
      </c>
      <c r="BM519" t="s">
        <v>1414</v>
      </c>
      <c r="BN519" t="s">
        <v>182</v>
      </c>
      <c r="BO519" t="s">
        <v>198</v>
      </c>
      <c r="BP519" t="s">
        <v>198</v>
      </c>
      <c r="BQ519" t="s">
        <v>198</v>
      </c>
      <c r="BR519" t="s">
        <v>198</v>
      </c>
      <c r="BS519" t="s">
        <v>198</v>
      </c>
      <c r="BT519" t="s">
        <v>198</v>
      </c>
      <c r="BU519" t="s">
        <v>182</v>
      </c>
      <c r="BV519" t="s">
        <v>198</v>
      </c>
      <c r="BW519" t="s">
        <v>198</v>
      </c>
      <c r="BX519" t="s">
        <v>199</v>
      </c>
      <c r="BY519" t="s">
        <v>198</v>
      </c>
      <c r="BZ519" t="s">
        <v>199</v>
      </c>
      <c r="CA519" t="s">
        <v>199</v>
      </c>
      <c r="CB519" t="s">
        <v>7400</v>
      </c>
      <c r="CC519" t="s">
        <v>201</v>
      </c>
      <c r="CD519" t="s">
        <v>202</v>
      </c>
      <c r="CE519" t="s">
        <v>7401</v>
      </c>
      <c r="CF519" t="s">
        <v>5331</v>
      </c>
      <c r="CG519" t="s">
        <v>177</v>
      </c>
      <c r="CH519" t="s">
        <v>371</v>
      </c>
      <c r="CI519" t="s">
        <v>7402</v>
      </c>
      <c r="CS519" t="s">
        <v>198</v>
      </c>
      <c r="DC519" t="s">
        <v>198</v>
      </c>
      <c r="DM519" t="s">
        <v>198</v>
      </c>
      <c r="DW519" t="s">
        <v>198</v>
      </c>
      <c r="EG519" t="s">
        <v>198</v>
      </c>
      <c r="EQ519" t="s">
        <v>198</v>
      </c>
      <c r="FA519" t="s">
        <v>198</v>
      </c>
      <c r="FK519" t="s">
        <v>198</v>
      </c>
      <c r="FU519" t="s">
        <v>198</v>
      </c>
    </row>
    <row r="520" spans="1:177">
      <c r="A520" s="1" t="str">
        <f>HYPERLINK("http://digipan.lumentumllc.com/apps/getLink/index.php?t=PropLink&amp;p=7112438","PL")</f>
        <v>PL</v>
      </c>
      <c r="B520" s="1" t="str">
        <f>HYPERLINK("http://digipan.lumentumllc.com/apps/getLink/index.php?t=TaxLink&amp;p=7112438","TL")</f>
        <v>TL</v>
      </c>
      <c r="C520" s="1" t="str">
        <f>HYPERLINK("http://digipan.lumentumllc.com/apps/getMap/index.php?p=7112438","Map")</f>
        <v>Map</v>
      </c>
      <c r="E520" t="s">
        <v>177</v>
      </c>
      <c r="F520" t="s">
        <v>178</v>
      </c>
      <c r="L520" t="s">
        <v>7403</v>
      </c>
      <c r="N520" t="s">
        <v>7403</v>
      </c>
      <c r="O520" t="s">
        <v>7403</v>
      </c>
      <c r="P520" t="s">
        <v>7404</v>
      </c>
      <c r="Q520" t="s">
        <v>7403</v>
      </c>
      <c r="V520">
        <v>599</v>
      </c>
      <c r="W520">
        <v>2</v>
      </c>
      <c r="X520">
        <v>2017</v>
      </c>
      <c r="Y520">
        <v>2018</v>
      </c>
      <c r="Z520">
        <v>1328.25</v>
      </c>
      <c r="AB520" t="s">
        <v>181</v>
      </c>
      <c r="AC520" t="s">
        <v>182</v>
      </c>
      <c r="AD520" t="s">
        <v>183</v>
      </c>
      <c r="AE520">
        <v>0</v>
      </c>
      <c r="AF520">
        <v>1</v>
      </c>
      <c r="AG520" t="s">
        <v>821</v>
      </c>
      <c r="AH520">
        <v>100</v>
      </c>
      <c r="AK520">
        <v>0</v>
      </c>
      <c r="AL520">
        <v>79171</v>
      </c>
      <c r="AM520">
        <v>33871</v>
      </c>
      <c r="AN520">
        <v>45300</v>
      </c>
      <c r="AO520">
        <v>1189</v>
      </c>
      <c r="AP520">
        <v>2016</v>
      </c>
      <c r="AQ520">
        <v>1.68</v>
      </c>
      <c r="AS520" t="s">
        <v>7405</v>
      </c>
      <c r="AT520" t="s">
        <v>186</v>
      </c>
      <c r="AU520" t="s">
        <v>177</v>
      </c>
      <c r="AV520" t="s">
        <v>187</v>
      </c>
      <c r="AW520" t="s">
        <v>182</v>
      </c>
      <c r="AX520">
        <v>33</v>
      </c>
      <c r="AY520" t="s">
        <v>3641</v>
      </c>
      <c r="AZ520" t="s">
        <v>865</v>
      </c>
      <c r="BA520" t="s">
        <v>7406</v>
      </c>
      <c r="BB520" t="s">
        <v>191</v>
      </c>
      <c r="BC520" t="s">
        <v>182</v>
      </c>
      <c r="BD520" t="s">
        <v>182</v>
      </c>
      <c r="BE520" t="s">
        <v>7407</v>
      </c>
      <c r="BF520">
        <v>2</v>
      </c>
      <c r="BG520">
        <v>1</v>
      </c>
      <c r="BH520">
        <v>1954</v>
      </c>
      <c r="BI520" t="s">
        <v>7408</v>
      </c>
      <c r="BJ520" t="s">
        <v>194</v>
      </c>
      <c r="BK520" t="s">
        <v>840</v>
      </c>
      <c r="BL520" t="s">
        <v>5405</v>
      </c>
      <c r="BM520" t="s">
        <v>286</v>
      </c>
      <c r="BN520" t="s">
        <v>182</v>
      </c>
      <c r="BO520" t="s">
        <v>7409</v>
      </c>
      <c r="BP520" t="s">
        <v>2421</v>
      </c>
      <c r="BS520" t="s">
        <v>7410</v>
      </c>
      <c r="BT520" t="s">
        <v>198</v>
      </c>
      <c r="BU520" t="s">
        <v>182</v>
      </c>
      <c r="BV520" t="s">
        <v>198</v>
      </c>
      <c r="BW520" t="s">
        <v>198</v>
      </c>
      <c r="BX520" t="s">
        <v>199</v>
      </c>
      <c r="BY520" t="s">
        <v>198</v>
      </c>
      <c r="BZ520" t="s">
        <v>199</v>
      </c>
      <c r="CA520" t="s">
        <v>199</v>
      </c>
      <c r="CB520" t="s">
        <v>6053</v>
      </c>
      <c r="CC520" t="s">
        <v>201</v>
      </c>
      <c r="CD520" t="s">
        <v>182</v>
      </c>
      <c r="CE520" t="s">
        <v>7411</v>
      </c>
      <c r="CF520" t="s">
        <v>204</v>
      </c>
      <c r="CG520" t="s">
        <v>177</v>
      </c>
      <c r="CH520" t="s">
        <v>187</v>
      </c>
      <c r="CI520" t="s">
        <v>7412</v>
      </c>
      <c r="CJ520" t="s">
        <v>7413</v>
      </c>
      <c r="CK520" t="s">
        <v>292</v>
      </c>
      <c r="CL520" t="s">
        <v>293</v>
      </c>
      <c r="CM520" t="s">
        <v>7414</v>
      </c>
      <c r="CN520" t="s">
        <v>235</v>
      </c>
      <c r="CO520" t="s">
        <v>183</v>
      </c>
      <c r="CP520" t="s">
        <v>211</v>
      </c>
      <c r="CQ520" t="s">
        <v>345</v>
      </c>
      <c r="CS520" t="s">
        <v>1088</v>
      </c>
      <c r="DC520" t="s">
        <v>198</v>
      </c>
      <c r="DM520" t="s">
        <v>198</v>
      </c>
      <c r="DW520" t="s">
        <v>198</v>
      </c>
      <c r="EG520" t="s">
        <v>198</v>
      </c>
      <c r="EQ520" t="s">
        <v>198</v>
      </c>
      <c r="FA520" t="s">
        <v>198</v>
      </c>
      <c r="FK520" t="s">
        <v>198</v>
      </c>
      <c r="FU520" t="s">
        <v>198</v>
      </c>
    </row>
    <row r="521" spans="1:177">
      <c r="A521" s="1" t="str">
        <f>HYPERLINK("http://digipan.lumentumllc.com/apps/getLink/index.php?t=PropLink&amp;p=5246688","PL")</f>
        <v>PL</v>
      </c>
      <c r="B521" s="1" t="str">
        <f>HYPERLINK("http://digipan.lumentumllc.com/apps/getLink/index.php?t=TaxLink&amp;p=5246688","TL")</f>
        <v>TL</v>
      </c>
      <c r="C521" s="1" t="str">
        <f>HYPERLINK("http://digipan.lumentumllc.com/apps/getMap/index.php?p=5246688","Map")</f>
        <v>Map</v>
      </c>
      <c r="E521" t="s">
        <v>177</v>
      </c>
      <c r="F521" t="s">
        <v>178</v>
      </c>
      <c r="L521" t="s">
        <v>7415</v>
      </c>
      <c r="N521" t="s">
        <v>7415</v>
      </c>
      <c r="O521" t="s">
        <v>7415</v>
      </c>
      <c r="P521" t="s">
        <v>7416</v>
      </c>
      <c r="Q521" t="s">
        <v>7415</v>
      </c>
      <c r="V521">
        <v>603</v>
      </c>
      <c r="W521">
        <v>2</v>
      </c>
      <c r="X521">
        <v>2017</v>
      </c>
      <c r="Y521">
        <v>2018</v>
      </c>
      <c r="Z521">
        <v>477.33</v>
      </c>
      <c r="AB521" t="s">
        <v>181</v>
      </c>
      <c r="AC521" t="s">
        <v>182</v>
      </c>
      <c r="AD521" t="s">
        <v>183</v>
      </c>
      <c r="AE521">
        <v>2</v>
      </c>
      <c r="AF521">
        <v>3</v>
      </c>
      <c r="AG521" t="s">
        <v>762</v>
      </c>
      <c r="AH521">
        <v>50</v>
      </c>
      <c r="AI521">
        <v>929.19</v>
      </c>
      <c r="AJ521">
        <v>46.46</v>
      </c>
      <c r="AK521">
        <v>975.65</v>
      </c>
      <c r="AL521">
        <v>64871</v>
      </c>
      <c r="AM521">
        <v>30000</v>
      </c>
      <c r="AN521">
        <v>34871</v>
      </c>
      <c r="AO521">
        <v>401</v>
      </c>
      <c r="AP521">
        <v>2016</v>
      </c>
      <c r="AQ521">
        <v>0.74</v>
      </c>
      <c r="AR521">
        <v>1.5</v>
      </c>
      <c r="AS521" t="s">
        <v>7417</v>
      </c>
      <c r="AT521" t="s">
        <v>3747</v>
      </c>
      <c r="AU521" t="s">
        <v>177</v>
      </c>
      <c r="AV521" t="s">
        <v>1030</v>
      </c>
      <c r="AW521" t="s">
        <v>202</v>
      </c>
      <c r="AX521">
        <v>2</v>
      </c>
      <c r="AY521" t="s">
        <v>188</v>
      </c>
      <c r="AZ521" t="s">
        <v>189</v>
      </c>
      <c r="BA521" t="s">
        <v>190</v>
      </c>
      <c r="BB521" t="s">
        <v>191</v>
      </c>
      <c r="BC521" t="s">
        <v>182</v>
      </c>
      <c r="BD521" t="s">
        <v>182</v>
      </c>
      <c r="BE521" t="s">
        <v>838</v>
      </c>
      <c r="BF521">
        <v>2</v>
      </c>
      <c r="BG521">
        <v>2</v>
      </c>
      <c r="BH521">
        <v>1973</v>
      </c>
      <c r="BI521" t="s">
        <v>7418</v>
      </c>
      <c r="BJ521" t="s">
        <v>194</v>
      </c>
      <c r="BK521" t="s">
        <v>195</v>
      </c>
      <c r="BL521" t="s">
        <v>2075</v>
      </c>
      <c r="BM521" t="s">
        <v>325</v>
      </c>
      <c r="BN521" t="s">
        <v>182</v>
      </c>
      <c r="BO521" t="s">
        <v>7419</v>
      </c>
      <c r="BP521" t="s">
        <v>7420</v>
      </c>
      <c r="BQ521" t="s">
        <v>562</v>
      </c>
      <c r="BR521" t="s">
        <v>563</v>
      </c>
      <c r="BS521" t="s">
        <v>198</v>
      </c>
      <c r="BT521" t="s">
        <v>7421</v>
      </c>
      <c r="BU521" t="s">
        <v>182</v>
      </c>
      <c r="BV521" t="s">
        <v>198</v>
      </c>
      <c r="BW521" t="s">
        <v>198</v>
      </c>
      <c r="BX521" t="s">
        <v>199</v>
      </c>
      <c r="BY521" t="s">
        <v>198</v>
      </c>
      <c r="BZ521" t="s">
        <v>199</v>
      </c>
      <c r="CA521" t="s">
        <v>199</v>
      </c>
      <c r="CB521" t="s">
        <v>7422</v>
      </c>
      <c r="CC521" t="s">
        <v>201</v>
      </c>
      <c r="CD521" t="s">
        <v>202</v>
      </c>
      <c r="CE521" t="s">
        <v>7423</v>
      </c>
      <c r="CF521" t="s">
        <v>1029</v>
      </c>
      <c r="CG521" t="s">
        <v>177</v>
      </c>
      <c r="CH521" t="s">
        <v>1030</v>
      </c>
      <c r="CI521" t="s">
        <v>7424</v>
      </c>
      <c r="CJ521" t="s">
        <v>6792</v>
      </c>
      <c r="CK521" t="s">
        <v>232</v>
      </c>
      <c r="CL521" t="s">
        <v>233</v>
      </c>
      <c r="CM521" t="s">
        <v>7425</v>
      </c>
      <c r="CN521" t="s">
        <v>235</v>
      </c>
      <c r="CO521" t="s">
        <v>183</v>
      </c>
      <c r="CP521" t="s">
        <v>266</v>
      </c>
      <c r="CS521" t="s">
        <v>198</v>
      </c>
      <c r="CT521" t="s">
        <v>7336</v>
      </c>
      <c r="CU521" t="s">
        <v>292</v>
      </c>
      <c r="CV521" t="s">
        <v>293</v>
      </c>
      <c r="CW521" t="s">
        <v>7426</v>
      </c>
      <c r="CX521" t="s">
        <v>235</v>
      </c>
      <c r="CY521" t="s">
        <v>183</v>
      </c>
      <c r="CZ521" t="s">
        <v>266</v>
      </c>
      <c r="DC521" t="s">
        <v>198</v>
      </c>
      <c r="DD521" t="s">
        <v>7352</v>
      </c>
      <c r="DE521" t="s">
        <v>273</v>
      </c>
      <c r="DF521" t="s">
        <v>274</v>
      </c>
      <c r="DG521" t="s">
        <v>7427</v>
      </c>
      <c r="DH521" t="s">
        <v>235</v>
      </c>
      <c r="DI521" t="s">
        <v>183</v>
      </c>
      <c r="DJ521" t="s">
        <v>211</v>
      </c>
      <c r="DK521" t="s">
        <v>345</v>
      </c>
      <c r="DM521" t="s">
        <v>7428</v>
      </c>
      <c r="DN521" t="s">
        <v>7429</v>
      </c>
      <c r="DO521" t="s">
        <v>346</v>
      </c>
      <c r="DP521" t="s">
        <v>347</v>
      </c>
      <c r="DQ521" t="s">
        <v>7430</v>
      </c>
      <c r="DR521" t="s">
        <v>469</v>
      </c>
      <c r="DS521" t="s">
        <v>183</v>
      </c>
      <c r="DT521" t="s">
        <v>211</v>
      </c>
      <c r="DU521" t="s">
        <v>342</v>
      </c>
      <c r="DW521" t="s">
        <v>619</v>
      </c>
      <c r="DX521" t="s">
        <v>893</v>
      </c>
      <c r="DY521" t="s">
        <v>207</v>
      </c>
      <c r="DZ521" t="s">
        <v>208</v>
      </c>
      <c r="EA521" t="s">
        <v>7431</v>
      </c>
      <c r="EB521" t="s">
        <v>1676</v>
      </c>
      <c r="EC521" t="s">
        <v>183</v>
      </c>
      <c r="ED521" t="s">
        <v>211</v>
      </c>
      <c r="EE521" t="s">
        <v>493</v>
      </c>
      <c r="EG521" t="s">
        <v>1590</v>
      </c>
      <c r="EQ521" t="s">
        <v>198</v>
      </c>
      <c r="FA521" t="s">
        <v>198</v>
      </c>
      <c r="FK521" t="s">
        <v>198</v>
      </c>
      <c r="FU521" t="s">
        <v>198</v>
      </c>
    </row>
    <row r="522" spans="1:177">
      <c r="A522" s="1" t="str">
        <f>HYPERLINK("http://digipan.lumentumllc.com/apps/getLink/index.php?t=PropLink&amp;p=15750922","PL")</f>
        <v>PL</v>
      </c>
      <c r="B522" s="1" t="str">
        <f>HYPERLINK("http://digipan.lumentumllc.com/apps/getLink/index.php?t=TaxLink&amp;p=15750922","TL")</f>
        <v>TL</v>
      </c>
      <c r="C522" s="1" t="str">
        <f>HYPERLINK("http://digipan.lumentumllc.com/apps/getMap/index.php?p=15750922","Map")</f>
        <v>Map</v>
      </c>
      <c r="E522" t="s">
        <v>177</v>
      </c>
      <c r="F522" t="s">
        <v>178</v>
      </c>
      <c r="L522" t="s">
        <v>7432</v>
      </c>
      <c r="N522" t="s">
        <v>7432</v>
      </c>
      <c r="O522" t="s">
        <v>7432</v>
      </c>
      <c r="Q522" t="s">
        <v>7432</v>
      </c>
      <c r="V522">
        <v>606</v>
      </c>
      <c r="W522">
        <v>2</v>
      </c>
      <c r="X522">
        <v>2017</v>
      </c>
      <c r="Y522">
        <v>2018</v>
      </c>
      <c r="Z522">
        <v>1065.21</v>
      </c>
      <c r="AG522" t="s">
        <v>184</v>
      </c>
      <c r="AH522">
        <v>0</v>
      </c>
      <c r="AK522">
        <v>0</v>
      </c>
      <c r="AL522">
        <v>63106</v>
      </c>
      <c r="AM522">
        <v>15000</v>
      </c>
      <c r="AN522">
        <v>48106</v>
      </c>
      <c r="AO522">
        <v>715</v>
      </c>
      <c r="AP522">
        <v>2016</v>
      </c>
      <c r="AQ522">
        <v>1.69</v>
      </c>
      <c r="AS522" t="s">
        <v>7433</v>
      </c>
      <c r="AT522" t="s">
        <v>3747</v>
      </c>
      <c r="AU522" t="s">
        <v>177</v>
      </c>
      <c r="AV522" t="s">
        <v>1030</v>
      </c>
      <c r="AW522" t="s">
        <v>182</v>
      </c>
      <c r="AX522">
        <v>2</v>
      </c>
      <c r="AY522" t="s">
        <v>188</v>
      </c>
      <c r="AZ522" t="s">
        <v>189</v>
      </c>
      <c r="BA522" t="s">
        <v>190</v>
      </c>
      <c r="BB522" t="s">
        <v>191</v>
      </c>
      <c r="BC522" t="s">
        <v>182</v>
      </c>
      <c r="BD522" t="s">
        <v>182</v>
      </c>
      <c r="BE522" t="s">
        <v>383</v>
      </c>
      <c r="BF522">
        <v>1</v>
      </c>
      <c r="BG522">
        <v>1</v>
      </c>
      <c r="BH522">
        <v>2001</v>
      </c>
      <c r="BI522" t="s">
        <v>7434</v>
      </c>
      <c r="BJ522" t="s">
        <v>194</v>
      </c>
      <c r="BK522" t="s">
        <v>195</v>
      </c>
      <c r="BL522" t="s">
        <v>2717</v>
      </c>
      <c r="BM522" t="s">
        <v>232</v>
      </c>
      <c r="BN522" t="s">
        <v>182</v>
      </c>
      <c r="BO522" t="s">
        <v>1855</v>
      </c>
      <c r="BP522" t="s">
        <v>7435</v>
      </c>
      <c r="BQ522" t="s">
        <v>800</v>
      </c>
      <c r="BR522" t="s">
        <v>4682</v>
      </c>
      <c r="BS522" t="s">
        <v>198</v>
      </c>
      <c r="BT522" t="s">
        <v>7436</v>
      </c>
      <c r="BU522" t="s">
        <v>182</v>
      </c>
      <c r="BV522" t="s">
        <v>198</v>
      </c>
      <c r="BW522" t="s">
        <v>198</v>
      </c>
      <c r="BX522" t="s">
        <v>199</v>
      </c>
      <c r="BY522" t="s">
        <v>198</v>
      </c>
      <c r="BZ522" t="s">
        <v>199</v>
      </c>
      <c r="CA522" t="s">
        <v>199</v>
      </c>
      <c r="CB522" t="s">
        <v>7437</v>
      </c>
      <c r="CC522" t="s">
        <v>201</v>
      </c>
      <c r="CD522" t="s">
        <v>202</v>
      </c>
      <c r="CE522" t="s">
        <v>7438</v>
      </c>
      <c r="CF522" t="s">
        <v>1029</v>
      </c>
      <c r="CG522" t="s">
        <v>177</v>
      </c>
      <c r="CH522" t="s">
        <v>1030</v>
      </c>
      <c r="CI522" t="s">
        <v>7439</v>
      </c>
      <c r="CS522" t="s">
        <v>198</v>
      </c>
      <c r="DC522" t="s">
        <v>198</v>
      </c>
      <c r="DM522" t="s">
        <v>198</v>
      </c>
      <c r="DW522" t="s">
        <v>198</v>
      </c>
      <c r="EG522" t="s">
        <v>198</v>
      </c>
      <c r="EQ522" t="s">
        <v>198</v>
      </c>
      <c r="FA522" t="s">
        <v>198</v>
      </c>
      <c r="FK522" t="s">
        <v>198</v>
      </c>
      <c r="FU522" t="s">
        <v>198</v>
      </c>
    </row>
    <row r="523" spans="1:177">
      <c r="A523" s="1" t="str">
        <f>HYPERLINK("http://digipan.lumentumllc.com/apps/getLink/index.php?t=PropLink&amp;p=5246749","PL")</f>
        <v>PL</v>
      </c>
      <c r="B523" s="1" t="str">
        <f>HYPERLINK("http://digipan.lumentumllc.com/apps/getLink/index.php?t=TaxLink&amp;p=5246749","TL")</f>
        <v>TL</v>
      </c>
      <c r="C523" s="1" t="str">
        <f>HYPERLINK("http://digipan.lumentumllc.com/apps/getMap/index.php?p=5246749","Map")</f>
        <v>Map</v>
      </c>
      <c r="E523" t="s">
        <v>177</v>
      </c>
      <c r="F523" t="s">
        <v>178</v>
      </c>
      <c r="L523" t="s">
        <v>7440</v>
      </c>
      <c r="N523" t="s">
        <v>7440</v>
      </c>
      <c r="O523" t="s">
        <v>7440</v>
      </c>
      <c r="P523" t="s">
        <v>7441</v>
      </c>
      <c r="Q523" t="s">
        <v>7440</v>
      </c>
      <c r="V523">
        <v>607</v>
      </c>
      <c r="W523">
        <v>2</v>
      </c>
      <c r="X523">
        <v>2017</v>
      </c>
      <c r="Y523">
        <v>2018</v>
      </c>
      <c r="Z523">
        <v>662.29</v>
      </c>
      <c r="AB523" t="s">
        <v>181</v>
      </c>
      <c r="AC523" t="s">
        <v>182</v>
      </c>
      <c r="AD523" t="s">
        <v>183</v>
      </c>
      <c r="AE523">
        <v>0</v>
      </c>
      <c r="AF523">
        <v>5</v>
      </c>
      <c r="AG523" t="s">
        <v>3266</v>
      </c>
      <c r="AH523">
        <v>100</v>
      </c>
      <c r="AK523">
        <v>0</v>
      </c>
      <c r="AL523">
        <v>90677</v>
      </c>
      <c r="AM523">
        <v>24000</v>
      </c>
      <c r="AN523">
        <v>66677</v>
      </c>
      <c r="AO523">
        <v>569</v>
      </c>
      <c r="AP523">
        <v>2016</v>
      </c>
      <c r="AQ523">
        <v>0.73</v>
      </c>
      <c r="AS523" t="s">
        <v>7442</v>
      </c>
      <c r="AT523" t="s">
        <v>3747</v>
      </c>
      <c r="AU523" t="s">
        <v>177</v>
      </c>
      <c r="AV523" t="s">
        <v>1030</v>
      </c>
      <c r="AW523" t="s">
        <v>202</v>
      </c>
      <c r="AX523">
        <v>1</v>
      </c>
      <c r="AY523" t="s">
        <v>188</v>
      </c>
      <c r="AZ523" t="s">
        <v>206</v>
      </c>
      <c r="BA523" t="s">
        <v>355</v>
      </c>
      <c r="BB523" t="s">
        <v>191</v>
      </c>
      <c r="BC523" t="s">
        <v>182</v>
      </c>
      <c r="BD523" t="s">
        <v>182</v>
      </c>
      <c r="BE523" t="s">
        <v>365</v>
      </c>
      <c r="BF523">
        <v>1</v>
      </c>
      <c r="BG523">
        <v>1</v>
      </c>
      <c r="BH523">
        <v>1970</v>
      </c>
      <c r="BI523" t="s">
        <v>7443</v>
      </c>
      <c r="BJ523" t="s">
        <v>194</v>
      </c>
      <c r="BK523" t="s">
        <v>840</v>
      </c>
      <c r="BL523" t="s">
        <v>199</v>
      </c>
      <c r="BM523" t="s">
        <v>286</v>
      </c>
      <c r="BN523" t="s">
        <v>182</v>
      </c>
      <c r="BO523" t="s">
        <v>2660</v>
      </c>
      <c r="BP523" t="s">
        <v>7444</v>
      </c>
      <c r="BS523" t="s">
        <v>7445</v>
      </c>
      <c r="BT523" t="s">
        <v>198</v>
      </c>
      <c r="BU523" t="s">
        <v>182</v>
      </c>
      <c r="BV523" t="s">
        <v>198</v>
      </c>
      <c r="BW523" t="s">
        <v>198</v>
      </c>
      <c r="BX523" t="s">
        <v>199</v>
      </c>
      <c r="BY523" t="s">
        <v>198</v>
      </c>
      <c r="BZ523" t="s">
        <v>199</v>
      </c>
      <c r="CA523" t="s">
        <v>199</v>
      </c>
      <c r="CB523" t="s">
        <v>7446</v>
      </c>
      <c r="CC523" t="s">
        <v>201</v>
      </c>
      <c r="CD523" t="s">
        <v>182</v>
      </c>
      <c r="CE523" t="s">
        <v>7447</v>
      </c>
      <c r="CF523" t="s">
        <v>1029</v>
      </c>
      <c r="CG523" t="s">
        <v>177</v>
      </c>
      <c r="CH523" t="s">
        <v>1030</v>
      </c>
      <c r="CI523" t="s">
        <v>7448</v>
      </c>
      <c r="CJ523" t="s">
        <v>7449</v>
      </c>
      <c r="CK523" t="s">
        <v>232</v>
      </c>
      <c r="CL523" t="s">
        <v>233</v>
      </c>
      <c r="CM523" t="s">
        <v>7450</v>
      </c>
      <c r="CN523" t="s">
        <v>235</v>
      </c>
      <c r="CO523" t="s">
        <v>183</v>
      </c>
      <c r="CP523" t="s">
        <v>211</v>
      </c>
      <c r="CQ523" t="s">
        <v>329</v>
      </c>
      <c r="CS523" t="s">
        <v>7451</v>
      </c>
      <c r="CT523" t="s">
        <v>7322</v>
      </c>
      <c r="CU523" t="s">
        <v>292</v>
      </c>
      <c r="CV523" t="s">
        <v>293</v>
      </c>
      <c r="CW523" t="s">
        <v>7452</v>
      </c>
      <c r="CX523" t="s">
        <v>235</v>
      </c>
      <c r="CY523" t="s">
        <v>183</v>
      </c>
      <c r="CZ523" t="s">
        <v>211</v>
      </c>
      <c r="DA523" t="s">
        <v>342</v>
      </c>
      <c r="DC523" t="s">
        <v>7453</v>
      </c>
      <c r="DD523" t="s">
        <v>6841</v>
      </c>
      <c r="DE523" t="s">
        <v>267</v>
      </c>
      <c r="DF523" t="s">
        <v>268</v>
      </c>
      <c r="DG523" t="s">
        <v>7454</v>
      </c>
      <c r="DH523" t="s">
        <v>235</v>
      </c>
      <c r="DI523" t="s">
        <v>183</v>
      </c>
      <c r="DJ523" t="s">
        <v>211</v>
      </c>
      <c r="DK523" t="s">
        <v>329</v>
      </c>
      <c r="DM523" t="s">
        <v>1811</v>
      </c>
      <c r="DN523" t="s">
        <v>5206</v>
      </c>
      <c r="DO523" t="s">
        <v>302</v>
      </c>
      <c r="DP523" t="s">
        <v>303</v>
      </c>
      <c r="DQ523" t="s">
        <v>7455</v>
      </c>
      <c r="DR523" t="s">
        <v>235</v>
      </c>
      <c r="DS523" t="s">
        <v>183</v>
      </c>
      <c r="DT523" t="s">
        <v>211</v>
      </c>
      <c r="DU523" t="s">
        <v>212</v>
      </c>
      <c r="DW523" t="s">
        <v>892</v>
      </c>
      <c r="DX523" t="s">
        <v>7456</v>
      </c>
      <c r="DY523" t="s">
        <v>346</v>
      </c>
      <c r="DZ523" t="s">
        <v>347</v>
      </c>
      <c r="EA523" t="s">
        <v>7457</v>
      </c>
      <c r="EB523" t="s">
        <v>235</v>
      </c>
      <c r="EC523" t="s">
        <v>183</v>
      </c>
      <c r="ED523" t="s">
        <v>211</v>
      </c>
      <c r="EE523" t="s">
        <v>270</v>
      </c>
      <c r="EG523" t="s">
        <v>5777</v>
      </c>
      <c r="EQ523" t="s">
        <v>198</v>
      </c>
      <c r="FA523" t="s">
        <v>198</v>
      </c>
      <c r="FK523" t="s">
        <v>198</v>
      </c>
      <c r="FU523" t="s">
        <v>198</v>
      </c>
    </row>
    <row r="524" spans="1:177">
      <c r="A524" s="1" t="str">
        <f>HYPERLINK("http://digipan.lumentumllc.com/apps/getLink/index.php?t=PropLink&amp;p=15751683","PL")</f>
        <v>PL</v>
      </c>
      <c r="B524" s="1" t="str">
        <f>HYPERLINK("http://digipan.lumentumllc.com/apps/getLink/index.php?t=TaxLink&amp;p=15751683","TL")</f>
        <v>TL</v>
      </c>
      <c r="C524" s="1" t="str">
        <f>HYPERLINK("http://digipan.lumentumllc.com/apps/getMap/index.php?p=15751683","Map")</f>
        <v>Map</v>
      </c>
      <c r="E524" t="s">
        <v>177</v>
      </c>
      <c r="F524" t="s">
        <v>178</v>
      </c>
      <c r="L524" t="s">
        <v>7458</v>
      </c>
      <c r="N524" t="s">
        <v>7458</v>
      </c>
      <c r="O524" t="s">
        <v>7458</v>
      </c>
      <c r="Q524" t="s">
        <v>7458</v>
      </c>
      <c r="V524">
        <v>608</v>
      </c>
      <c r="W524">
        <v>2</v>
      </c>
      <c r="X524">
        <v>2017</v>
      </c>
      <c r="Y524">
        <v>2018</v>
      </c>
      <c r="Z524">
        <v>1297.8</v>
      </c>
      <c r="AB524" t="s">
        <v>181</v>
      </c>
      <c r="AC524" t="s">
        <v>182</v>
      </c>
      <c r="AD524" t="s">
        <v>183</v>
      </c>
      <c r="AE524">
        <v>0</v>
      </c>
      <c r="AF524">
        <v>1</v>
      </c>
      <c r="AG524" t="s">
        <v>821</v>
      </c>
      <c r="AH524">
        <v>100</v>
      </c>
      <c r="AK524">
        <v>0</v>
      </c>
      <c r="AL524">
        <v>81634</v>
      </c>
      <c r="AM524">
        <v>60000</v>
      </c>
      <c r="AN524">
        <v>21634</v>
      </c>
      <c r="AO524">
        <v>1049</v>
      </c>
      <c r="AP524">
        <v>2016</v>
      </c>
      <c r="AQ524">
        <v>1.59</v>
      </c>
      <c r="AS524" t="s">
        <v>7459</v>
      </c>
      <c r="AT524" t="s">
        <v>3747</v>
      </c>
      <c r="AU524" t="s">
        <v>177</v>
      </c>
      <c r="AV524" t="s">
        <v>1030</v>
      </c>
      <c r="AW524" t="s">
        <v>182</v>
      </c>
      <c r="AX524">
        <v>2</v>
      </c>
      <c r="AY524" t="s">
        <v>188</v>
      </c>
      <c r="AZ524" t="s">
        <v>189</v>
      </c>
      <c r="BA524" t="s">
        <v>190</v>
      </c>
      <c r="BB524" t="s">
        <v>191</v>
      </c>
      <c r="BC524" t="s">
        <v>182</v>
      </c>
      <c r="BD524" t="s">
        <v>182</v>
      </c>
      <c r="BE524" t="s">
        <v>576</v>
      </c>
      <c r="BF524">
        <v>1</v>
      </c>
      <c r="BG524">
        <v>1</v>
      </c>
      <c r="BH524">
        <v>1978</v>
      </c>
      <c r="BI524" t="s">
        <v>5941</v>
      </c>
      <c r="BJ524" t="s">
        <v>396</v>
      </c>
      <c r="BK524" t="s">
        <v>195</v>
      </c>
      <c r="BL524" t="s">
        <v>196</v>
      </c>
      <c r="BM524" t="s">
        <v>273</v>
      </c>
      <c r="BN524" t="s">
        <v>182</v>
      </c>
      <c r="BO524" t="s">
        <v>7460</v>
      </c>
      <c r="BP524" t="s">
        <v>7461</v>
      </c>
      <c r="BQ524" t="s">
        <v>226</v>
      </c>
      <c r="BR524" t="s">
        <v>227</v>
      </c>
      <c r="BS524" t="s">
        <v>198</v>
      </c>
      <c r="BT524" t="s">
        <v>7462</v>
      </c>
      <c r="BU524" t="s">
        <v>182</v>
      </c>
      <c r="BV524" t="s">
        <v>198</v>
      </c>
      <c r="BW524" t="s">
        <v>198</v>
      </c>
      <c r="BX524" t="s">
        <v>199</v>
      </c>
      <c r="BY524" t="s">
        <v>198</v>
      </c>
      <c r="BZ524" t="s">
        <v>199</v>
      </c>
      <c r="CA524" t="s">
        <v>199</v>
      </c>
      <c r="CB524" t="s">
        <v>7463</v>
      </c>
      <c r="CC524" t="s">
        <v>201</v>
      </c>
      <c r="CD524" t="s">
        <v>202</v>
      </c>
      <c r="CE524" t="s">
        <v>7464</v>
      </c>
      <c r="CF524" t="s">
        <v>413</v>
      </c>
      <c r="CG524" t="s">
        <v>177</v>
      </c>
      <c r="CH524" t="s">
        <v>7465</v>
      </c>
      <c r="CI524" t="s">
        <v>7448</v>
      </c>
      <c r="CJ524" t="s">
        <v>6814</v>
      </c>
      <c r="CK524" t="s">
        <v>232</v>
      </c>
      <c r="CL524" t="s">
        <v>233</v>
      </c>
      <c r="CM524" t="s">
        <v>7466</v>
      </c>
      <c r="CN524" t="s">
        <v>235</v>
      </c>
      <c r="CO524" t="s">
        <v>183</v>
      </c>
      <c r="CP524" t="s">
        <v>211</v>
      </c>
      <c r="CQ524" t="s">
        <v>199</v>
      </c>
      <c r="CS524" t="s">
        <v>7467</v>
      </c>
      <c r="DC524" t="s">
        <v>198</v>
      </c>
      <c r="DM524" t="s">
        <v>198</v>
      </c>
      <c r="DW524" t="s">
        <v>198</v>
      </c>
      <c r="EG524" t="s">
        <v>198</v>
      </c>
      <c r="EQ524" t="s">
        <v>198</v>
      </c>
      <c r="FA524" t="s">
        <v>198</v>
      </c>
      <c r="FK524" t="s">
        <v>198</v>
      </c>
      <c r="FU524" t="s">
        <v>198</v>
      </c>
    </row>
    <row r="525" spans="1:177">
      <c r="A525" s="1" t="str">
        <f>HYPERLINK("http://digipan.lumentumllc.com/apps/getLink/index.php?t=PropLink&amp;p=5246750","PL")</f>
        <v>PL</v>
      </c>
      <c r="B525" s="1" t="str">
        <f>HYPERLINK("http://digipan.lumentumllc.com/apps/getLink/index.php?t=TaxLink&amp;p=5246750","TL")</f>
        <v>TL</v>
      </c>
      <c r="C525" s="1" t="str">
        <f>HYPERLINK("http://digipan.lumentumllc.com/apps/getMap/index.php?p=5246750","Map")</f>
        <v>Map</v>
      </c>
      <c r="E525" t="s">
        <v>177</v>
      </c>
      <c r="F525" t="s">
        <v>178</v>
      </c>
      <c r="L525" t="s">
        <v>7468</v>
      </c>
      <c r="N525" t="s">
        <v>7468</v>
      </c>
      <c r="O525" t="s">
        <v>7468</v>
      </c>
      <c r="P525" t="s">
        <v>7469</v>
      </c>
      <c r="Q525" t="s">
        <v>7468</v>
      </c>
      <c r="V525">
        <v>609</v>
      </c>
      <c r="W525">
        <v>2</v>
      </c>
      <c r="X525">
        <v>2017</v>
      </c>
      <c r="Y525">
        <v>2018</v>
      </c>
      <c r="Z525">
        <v>666.05</v>
      </c>
      <c r="AB525" t="s">
        <v>181</v>
      </c>
      <c r="AC525" t="s">
        <v>182</v>
      </c>
      <c r="AD525" t="s">
        <v>183</v>
      </c>
      <c r="AE525">
        <v>0</v>
      </c>
      <c r="AF525">
        <v>6</v>
      </c>
      <c r="AG525" t="s">
        <v>3266</v>
      </c>
      <c r="AH525">
        <v>100</v>
      </c>
      <c r="AK525">
        <v>0</v>
      </c>
      <c r="AL525">
        <v>89704</v>
      </c>
      <c r="AM525">
        <v>24800</v>
      </c>
      <c r="AN525">
        <v>64904</v>
      </c>
      <c r="AO525">
        <v>573</v>
      </c>
      <c r="AP525">
        <v>2016</v>
      </c>
      <c r="AQ525">
        <v>0.74</v>
      </c>
      <c r="AS525" t="s">
        <v>7470</v>
      </c>
      <c r="AT525" t="s">
        <v>3747</v>
      </c>
      <c r="AU525" t="s">
        <v>177</v>
      </c>
      <c r="AV525" t="s">
        <v>1030</v>
      </c>
      <c r="AW525" t="s">
        <v>202</v>
      </c>
      <c r="AX525">
        <v>2</v>
      </c>
      <c r="AY525" t="s">
        <v>188</v>
      </c>
      <c r="AZ525" t="s">
        <v>189</v>
      </c>
      <c r="BA525" t="s">
        <v>190</v>
      </c>
      <c r="BB525" t="s">
        <v>191</v>
      </c>
      <c r="BC525" t="s">
        <v>182</v>
      </c>
      <c r="BD525" t="s">
        <v>182</v>
      </c>
      <c r="BE525" t="s">
        <v>7471</v>
      </c>
      <c r="BF525">
        <v>1</v>
      </c>
      <c r="BG525">
        <v>1</v>
      </c>
      <c r="BH525">
        <v>1997</v>
      </c>
      <c r="BI525" t="s">
        <v>883</v>
      </c>
      <c r="BJ525" t="s">
        <v>194</v>
      </c>
      <c r="BK525" t="s">
        <v>195</v>
      </c>
      <c r="BL525" t="s">
        <v>199</v>
      </c>
      <c r="BM525" t="s">
        <v>679</v>
      </c>
      <c r="BN525" t="s">
        <v>182</v>
      </c>
      <c r="BO525" t="s">
        <v>198</v>
      </c>
      <c r="BP525" t="s">
        <v>198</v>
      </c>
      <c r="BQ525" t="s">
        <v>198</v>
      </c>
      <c r="BR525" t="s">
        <v>198</v>
      </c>
      <c r="BS525" t="s">
        <v>198</v>
      </c>
      <c r="BT525" t="s">
        <v>198</v>
      </c>
      <c r="BU525" t="s">
        <v>182</v>
      </c>
      <c r="BV525" t="s">
        <v>198</v>
      </c>
      <c r="BW525" t="s">
        <v>198</v>
      </c>
      <c r="BX525" t="s">
        <v>199</v>
      </c>
      <c r="BY525" t="s">
        <v>198</v>
      </c>
      <c r="BZ525" t="s">
        <v>199</v>
      </c>
      <c r="CA525" t="s">
        <v>199</v>
      </c>
      <c r="CB525" t="s">
        <v>7472</v>
      </c>
      <c r="CC525" t="s">
        <v>201</v>
      </c>
      <c r="CD525" t="s">
        <v>182</v>
      </c>
      <c r="CE525" t="s">
        <v>7473</v>
      </c>
      <c r="CF525" t="s">
        <v>1029</v>
      </c>
      <c r="CG525" t="s">
        <v>177</v>
      </c>
      <c r="CH525" t="s">
        <v>1030</v>
      </c>
      <c r="CI525" t="s">
        <v>7474</v>
      </c>
      <c r="CJ525" t="s">
        <v>6858</v>
      </c>
      <c r="CK525" t="s">
        <v>267</v>
      </c>
      <c r="CL525" t="s">
        <v>268</v>
      </c>
      <c r="CM525" t="s">
        <v>7475</v>
      </c>
      <c r="CN525" t="s">
        <v>235</v>
      </c>
      <c r="CO525" t="s">
        <v>183</v>
      </c>
      <c r="CP525" t="s">
        <v>211</v>
      </c>
      <c r="CQ525" t="s">
        <v>342</v>
      </c>
      <c r="CS525" t="s">
        <v>7476</v>
      </c>
      <c r="CT525" t="s">
        <v>7477</v>
      </c>
      <c r="CU525" t="s">
        <v>273</v>
      </c>
      <c r="CV525" t="s">
        <v>274</v>
      </c>
      <c r="CW525" t="s">
        <v>7478</v>
      </c>
      <c r="CX525" t="s">
        <v>235</v>
      </c>
      <c r="CY525" t="s">
        <v>183</v>
      </c>
      <c r="CZ525" t="s">
        <v>211</v>
      </c>
      <c r="DA525" t="s">
        <v>345</v>
      </c>
      <c r="DC525" t="s">
        <v>7476</v>
      </c>
      <c r="DD525" t="s">
        <v>7479</v>
      </c>
      <c r="DE525" t="s">
        <v>302</v>
      </c>
      <c r="DF525" t="s">
        <v>303</v>
      </c>
      <c r="DG525" t="s">
        <v>7480</v>
      </c>
      <c r="DH525" t="s">
        <v>796</v>
      </c>
      <c r="DI525" t="s">
        <v>183</v>
      </c>
      <c r="DJ525" t="s">
        <v>211</v>
      </c>
      <c r="DK525" t="s">
        <v>298</v>
      </c>
      <c r="DM525" t="s">
        <v>1131</v>
      </c>
      <c r="DN525" t="s">
        <v>2225</v>
      </c>
      <c r="DO525" t="s">
        <v>238</v>
      </c>
      <c r="DP525" t="s">
        <v>239</v>
      </c>
      <c r="DQ525" t="s">
        <v>7481</v>
      </c>
      <c r="DR525" t="s">
        <v>7482</v>
      </c>
      <c r="DS525" t="s">
        <v>183</v>
      </c>
      <c r="DT525" t="s">
        <v>211</v>
      </c>
      <c r="DU525" t="s">
        <v>460</v>
      </c>
      <c r="DW525" t="s">
        <v>1864</v>
      </c>
      <c r="DX525" t="s">
        <v>7483</v>
      </c>
      <c r="DY525" t="s">
        <v>346</v>
      </c>
      <c r="DZ525" t="s">
        <v>347</v>
      </c>
      <c r="EA525" t="s">
        <v>7484</v>
      </c>
      <c r="EB525" t="s">
        <v>247</v>
      </c>
      <c r="EC525" t="s">
        <v>183</v>
      </c>
      <c r="ED525" t="s">
        <v>211</v>
      </c>
      <c r="EE525" t="s">
        <v>847</v>
      </c>
      <c r="EG525" t="s">
        <v>1864</v>
      </c>
      <c r="EH525" t="s">
        <v>916</v>
      </c>
      <c r="EI525" t="s">
        <v>207</v>
      </c>
      <c r="EJ525" t="s">
        <v>208</v>
      </c>
      <c r="EK525" t="s">
        <v>7485</v>
      </c>
      <c r="EL525" t="s">
        <v>1966</v>
      </c>
      <c r="EM525" t="s">
        <v>183</v>
      </c>
      <c r="EN525" t="s">
        <v>211</v>
      </c>
      <c r="EO525" t="s">
        <v>963</v>
      </c>
      <c r="EQ525" t="s">
        <v>7486</v>
      </c>
      <c r="FA525" t="s">
        <v>198</v>
      </c>
      <c r="FK525" t="s">
        <v>198</v>
      </c>
      <c r="FU525" t="s">
        <v>198</v>
      </c>
    </row>
    <row r="526" spans="1:177">
      <c r="A526" s="1" t="str">
        <f>HYPERLINK("http://digipan.lumentumllc.com/apps/getLink/index.php?t=PropLink&amp;p=5246751","PL")</f>
        <v>PL</v>
      </c>
      <c r="B526" s="1" t="str">
        <f>HYPERLINK("http://digipan.lumentumllc.com/apps/getLink/index.php?t=TaxLink&amp;p=5246751","TL")</f>
        <v>TL</v>
      </c>
      <c r="C526" s="1" t="str">
        <f>HYPERLINK("http://digipan.lumentumllc.com/apps/getMap/index.php?p=5246751","Map")</f>
        <v>Map</v>
      </c>
      <c r="E526" t="s">
        <v>177</v>
      </c>
      <c r="F526" t="s">
        <v>178</v>
      </c>
      <c r="L526" t="s">
        <v>7487</v>
      </c>
      <c r="N526" t="s">
        <v>7487</v>
      </c>
      <c r="O526" t="s">
        <v>7487</v>
      </c>
      <c r="P526" t="s">
        <v>7488</v>
      </c>
      <c r="Q526" t="s">
        <v>7487</v>
      </c>
      <c r="V526">
        <v>610</v>
      </c>
      <c r="W526">
        <v>2</v>
      </c>
      <c r="X526">
        <v>2017</v>
      </c>
      <c r="Y526">
        <v>2018</v>
      </c>
      <c r="Z526">
        <v>406.27</v>
      </c>
      <c r="AB526" t="s">
        <v>181</v>
      </c>
      <c r="AC526" t="s">
        <v>182</v>
      </c>
      <c r="AD526" t="s">
        <v>183</v>
      </c>
      <c r="AE526">
        <v>1</v>
      </c>
      <c r="AF526">
        <v>6</v>
      </c>
      <c r="AG526" t="s">
        <v>322</v>
      </c>
      <c r="AH526">
        <v>83</v>
      </c>
      <c r="AI526">
        <v>390.18</v>
      </c>
      <c r="AJ526">
        <v>19.510000000000002</v>
      </c>
      <c r="AK526">
        <v>409.69</v>
      </c>
      <c r="AL526">
        <v>59432</v>
      </c>
      <c r="AM526">
        <v>41220</v>
      </c>
      <c r="AN526">
        <v>18212</v>
      </c>
      <c r="AO526">
        <v>336</v>
      </c>
      <c r="AP526">
        <v>2016</v>
      </c>
      <c r="AQ526">
        <v>0.68</v>
      </c>
      <c r="AR526">
        <v>0.69</v>
      </c>
      <c r="AS526" t="s">
        <v>7489</v>
      </c>
      <c r="AT526" t="s">
        <v>3747</v>
      </c>
      <c r="AU526" t="s">
        <v>177</v>
      </c>
      <c r="AV526" t="s">
        <v>1030</v>
      </c>
      <c r="AW526" t="s">
        <v>202</v>
      </c>
      <c r="AX526">
        <v>2</v>
      </c>
      <c r="AY526" t="s">
        <v>188</v>
      </c>
      <c r="AZ526" t="s">
        <v>189</v>
      </c>
      <c r="BA526" t="s">
        <v>190</v>
      </c>
      <c r="BB526" t="s">
        <v>191</v>
      </c>
      <c r="BC526" t="s">
        <v>182</v>
      </c>
      <c r="BD526" t="s">
        <v>182</v>
      </c>
      <c r="BE526" t="s">
        <v>7490</v>
      </c>
      <c r="BF526">
        <v>1</v>
      </c>
      <c r="BG526">
        <v>1</v>
      </c>
      <c r="BH526">
        <v>1996</v>
      </c>
      <c r="BI526" t="s">
        <v>7149</v>
      </c>
      <c r="BJ526" t="s">
        <v>194</v>
      </c>
      <c r="BK526" t="s">
        <v>195</v>
      </c>
      <c r="BL526" t="s">
        <v>7491</v>
      </c>
      <c r="BM526" t="s">
        <v>533</v>
      </c>
      <c r="BN526" t="s">
        <v>182</v>
      </c>
      <c r="BO526" t="s">
        <v>1710</v>
      </c>
      <c r="BP526" t="s">
        <v>7492</v>
      </c>
      <c r="BQ526" t="s">
        <v>603</v>
      </c>
      <c r="BR526" t="s">
        <v>563</v>
      </c>
      <c r="BS526" t="s">
        <v>198</v>
      </c>
      <c r="BT526" t="s">
        <v>7493</v>
      </c>
      <c r="BU526" t="s">
        <v>182</v>
      </c>
      <c r="BV526" t="s">
        <v>198</v>
      </c>
      <c r="BW526" t="s">
        <v>198</v>
      </c>
      <c r="BX526" t="s">
        <v>199</v>
      </c>
      <c r="BY526" t="s">
        <v>198</v>
      </c>
      <c r="BZ526" t="s">
        <v>199</v>
      </c>
      <c r="CA526" t="s">
        <v>199</v>
      </c>
      <c r="CB526" t="s">
        <v>7494</v>
      </c>
      <c r="CC526" t="s">
        <v>201</v>
      </c>
      <c r="CD526" t="s">
        <v>182</v>
      </c>
      <c r="CE526" t="s">
        <v>7495</v>
      </c>
      <c r="CF526" t="s">
        <v>204</v>
      </c>
      <c r="CG526" t="s">
        <v>177</v>
      </c>
      <c r="CH526" t="s">
        <v>187</v>
      </c>
      <c r="CI526" t="s">
        <v>7496</v>
      </c>
      <c r="CJ526" t="s">
        <v>6831</v>
      </c>
      <c r="CK526" t="s">
        <v>232</v>
      </c>
      <c r="CL526" t="s">
        <v>233</v>
      </c>
      <c r="CM526" t="s">
        <v>7497</v>
      </c>
      <c r="CN526" t="s">
        <v>235</v>
      </c>
      <c r="CO526" t="s">
        <v>183</v>
      </c>
      <c r="CP526" t="s">
        <v>266</v>
      </c>
      <c r="CS526" t="s">
        <v>198</v>
      </c>
      <c r="CT526" t="s">
        <v>7339</v>
      </c>
      <c r="CU526" t="s">
        <v>292</v>
      </c>
      <c r="CV526" t="s">
        <v>293</v>
      </c>
      <c r="CW526" t="s">
        <v>7498</v>
      </c>
      <c r="CX526" t="s">
        <v>235</v>
      </c>
      <c r="CY526" t="s">
        <v>183</v>
      </c>
      <c r="CZ526" t="s">
        <v>211</v>
      </c>
      <c r="DA526" t="s">
        <v>298</v>
      </c>
      <c r="DC526" t="s">
        <v>3204</v>
      </c>
      <c r="DD526" t="s">
        <v>7499</v>
      </c>
      <c r="DE526" t="s">
        <v>267</v>
      </c>
      <c r="DF526" t="s">
        <v>268</v>
      </c>
      <c r="DG526" t="s">
        <v>7500</v>
      </c>
      <c r="DH526" t="s">
        <v>235</v>
      </c>
      <c r="DI526" t="s">
        <v>183</v>
      </c>
      <c r="DJ526" t="s">
        <v>211</v>
      </c>
      <c r="DK526" t="s">
        <v>298</v>
      </c>
      <c r="DM526" t="s">
        <v>7501</v>
      </c>
      <c r="DN526" t="s">
        <v>7389</v>
      </c>
      <c r="DO526" t="s">
        <v>273</v>
      </c>
      <c r="DP526" t="s">
        <v>274</v>
      </c>
      <c r="DQ526" t="s">
        <v>7502</v>
      </c>
      <c r="DR526" t="s">
        <v>235</v>
      </c>
      <c r="DS526" t="s">
        <v>183</v>
      </c>
      <c r="DT526" t="s">
        <v>211</v>
      </c>
      <c r="DU526" t="s">
        <v>298</v>
      </c>
      <c r="DW526" t="s">
        <v>7503</v>
      </c>
      <c r="DX526" t="s">
        <v>7504</v>
      </c>
      <c r="DY526" t="s">
        <v>238</v>
      </c>
      <c r="DZ526" t="s">
        <v>239</v>
      </c>
      <c r="EA526" t="s">
        <v>7505</v>
      </c>
      <c r="EB526" t="s">
        <v>440</v>
      </c>
      <c r="EC526" t="s">
        <v>183</v>
      </c>
      <c r="ED526" t="s">
        <v>211</v>
      </c>
      <c r="EE526" t="s">
        <v>345</v>
      </c>
      <c r="EG526" t="s">
        <v>5888</v>
      </c>
      <c r="EH526" t="s">
        <v>7506</v>
      </c>
      <c r="EI526" t="s">
        <v>346</v>
      </c>
      <c r="EJ526" t="s">
        <v>347</v>
      </c>
      <c r="EK526" t="s">
        <v>7507</v>
      </c>
      <c r="EL526" t="s">
        <v>469</v>
      </c>
      <c r="EM526" t="s">
        <v>183</v>
      </c>
      <c r="EN526" t="s">
        <v>211</v>
      </c>
      <c r="EO526" t="s">
        <v>339</v>
      </c>
      <c r="EQ526" t="s">
        <v>7508</v>
      </c>
      <c r="ER526" t="s">
        <v>7509</v>
      </c>
      <c r="ES526" t="s">
        <v>207</v>
      </c>
      <c r="ET526" t="s">
        <v>208</v>
      </c>
      <c r="EU526" t="s">
        <v>7510</v>
      </c>
      <c r="EV526" t="s">
        <v>1966</v>
      </c>
      <c r="EW526" t="s">
        <v>183</v>
      </c>
      <c r="EX526" t="s">
        <v>211</v>
      </c>
      <c r="EY526" t="s">
        <v>493</v>
      </c>
      <c r="FA526" t="s">
        <v>7508</v>
      </c>
      <c r="FK526" t="s">
        <v>198</v>
      </c>
      <c r="FU526" t="s">
        <v>198</v>
      </c>
    </row>
    <row r="527" spans="1:177">
      <c r="A527" s="1" t="str">
        <f>HYPERLINK("http://digipan.lumentumllc.com/apps/getLink/index.php?t=PropLink&amp;p=5246753","PL")</f>
        <v>PL</v>
      </c>
      <c r="B527" s="1" t="str">
        <f>HYPERLINK("http://digipan.lumentumllc.com/apps/getLink/index.php?t=TaxLink&amp;p=5246753","TL")</f>
        <v>TL</v>
      </c>
      <c r="C527" s="1" t="str">
        <f>HYPERLINK("http://digipan.lumentumllc.com/apps/getMap/index.php?p=5246753","Map")</f>
        <v>Map</v>
      </c>
      <c r="E527" t="s">
        <v>177</v>
      </c>
      <c r="F527" t="s">
        <v>178</v>
      </c>
      <c r="L527" t="s">
        <v>7511</v>
      </c>
      <c r="N527" t="s">
        <v>7511</v>
      </c>
      <c r="O527" t="s">
        <v>7511</v>
      </c>
      <c r="P527" t="s">
        <v>7512</v>
      </c>
      <c r="Q527" t="s">
        <v>7511</v>
      </c>
      <c r="V527">
        <v>612</v>
      </c>
      <c r="W527">
        <v>2</v>
      </c>
      <c r="X527">
        <v>2017</v>
      </c>
      <c r="Y527">
        <v>2018</v>
      </c>
      <c r="Z527">
        <v>816.98</v>
      </c>
      <c r="AB527" t="s">
        <v>181</v>
      </c>
      <c r="AC527" t="s">
        <v>202</v>
      </c>
      <c r="AD527" t="s">
        <v>183</v>
      </c>
      <c r="AE527">
        <v>0</v>
      </c>
      <c r="AF527">
        <v>7</v>
      </c>
      <c r="AG527" t="s">
        <v>528</v>
      </c>
      <c r="AH527">
        <v>100</v>
      </c>
      <c r="AK527">
        <v>0</v>
      </c>
      <c r="AL527">
        <v>156456</v>
      </c>
      <c r="AM527">
        <v>82500</v>
      </c>
      <c r="AN527">
        <v>73956</v>
      </c>
      <c r="AO527">
        <v>943</v>
      </c>
      <c r="AP527">
        <v>2016</v>
      </c>
      <c r="AQ527">
        <v>0.52</v>
      </c>
      <c r="AS527" t="s">
        <v>7513</v>
      </c>
      <c r="AT527" t="s">
        <v>3747</v>
      </c>
      <c r="AU527" t="s">
        <v>177</v>
      </c>
      <c r="AV527" t="s">
        <v>1030</v>
      </c>
      <c r="AW527" t="s">
        <v>202</v>
      </c>
      <c r="AX527">
        <v>2</v>
      </c>
      <c r="AY527" t="s">
        <v>188</v>
      </c>
      <c r="AZ527" t="s">
        <v>189</v>
      </c>
      <c r="BA527" t="s">
        <v>190</v>
      </c>
      <c r="BB527" t="s">
        <v>191</v>
      </c>
      <c r="BC527" t="s">
        <v>182</v>
      </c>
      <c r="BD527" t="s">
        <v>182</v>
      </c>
      <c r="BE527" t="s">
        <v>408</v>
      </c>
      <c r="BF527">
        <v>2</v>
      </c>
      <c r="BG527">
        <v>2</v>
      </c>
      <c r="BH527">
        <v>1995</v>
      </c>
      <c r="BI527" t="s">
        <v>7514</v>
      </c>
      <c r="BJ527" t="s">
        <v>1945</v>
      </c>
      <c r="BK527" t="s">
        <v>195</v>
      </c>
      <c r="BL527" t="s">
        <v>1801</v>
      </c>
      <c r="BM527" t="s">
        <v>1779</v>
      </c>
      <c r="BN527" t="s">
        <v>182</v>
      </c>
      <c r="BO527" t="s">
        <v>7515</v>
      </c>
      <c r="BP527" t="s">
        <v>7516</v>
      </c>
      <c r="BQ527" t="s">
        <v>581</v>
      </c>
      <c r="BR527" t="s">
        <v>6200</v>
      </c>
      <c r="BS527" t="s">
        <v>198</v>
      </c>
      <c r="BT527" t="s">
        <v>7517</v>
      </c>
      <c r="BU527" t="s">
        <v>182</v>
      </c>
      <c r="BV527" t="s">
        <v>198</v>
      </c>
      <c r="BW527" t="s">
        <v>198</v>
      </c>
      <c r="BX527" t="s">
        <v>199</v>
      </c>
      <c r="BY527" t="s">
        <v>198</v>
      </c>
      <c r="BZ527" t="s">
        <v>199</v>
      </c>
      <c r="CA527" t="s">
        <v>199</v>
      </c>
      <c r="CB527" t="s">
        <v>7518</v>
      </c>
      <c r="CC527" t="s">
        <v>201</v>
      </c>
      <c r="CD527" t="s">
        <v>182</v>
      </c>
      <c r="CE527" t="s">
        <v>7519</v>
      </c>
      <c r="CF527" t="s">
        <v>1029</v>
      </c>
      <c r="CG527" t="s">
        <v>177</v>
      </c>
      <c r="CH527" t="s">
        <v>1030</v>
      </c>
      <c r="CI527" t="s">
        <v>7520</v>
      </c>
      <c r="CJ527" t="s">
        <v>6841</v>
      </c>
      <c r="CK527" t="s">
        <v>232</v>
      </c>
      <c r="CL527" t="s">
        <v>233</v>
      </c>
      <c r="CM527" t="s">
        <v>7521</v>
      </c>
      <c r="CN527" t="s">
        <v>235</v>
      </c>
      <c r="CO527" t="s">
        <v>183</v>
      </c>
      <c r="CP527" t="s">
        <v>211</v>
      </c>
      <c r="CQ527" t="s">
        <v>199</v>
      </c>
      <c r="CS527" t="s">
        <v>3403</v>
      </c>
      <c r="CT527" t="s">
        <v>7522</v>
      </c>
      <c r="CU527" t="s">
        <v>267</v>
      </c>
      <c r="CV527" t="s">
        <v>268</v>
      </c>
      <c r="CW527" t="s">
        <v>7523</v>
      </c>
      <c r="CX527" t="s">
        <v>235</v>
      </c>
      <c r="CY527" t="s">
        <v>183</v>
      </c>
      <c r="CZ527" t="s">
        <v>211</v>
      </c>
      <c r="DA527" t="s">
        <v>270</v>
      </c>
      <c r="DB527" t="s">
        <v>271</v>
      </c>
      <c r="DC527" t="s">
        <v>272</v>
      </c>
      <c r="DD527" t="s">
        <v>6792</v>
      </c>
      <c r="DE527" t="s">
        <v>273</v>
      </c>
      <c r="DF527" t="s">
        <v>274</v>
      </c>
      <c r="DG527" t="s">
        <v>7524</v>
      </c>
      <c r="DH527" t="s">
        <v>235</v>
      </c>
      <c r="DI527" t="s">
        <v>183</v>
      </c>
      <c r="DJ527" t="s">
        <v>211</v>
      </c>
      <c r="DL527" t="s">
        <v>271</v>
      </c>
      <c r="DM527" t="s">
        <v>198</v>
      </c>
      <c r="DN527" t="s">
        <v>7525</v>
      </c>
      <c r="DO527" t="s">
        <v>302</v>
      </c>
      <c r="DP527" t="s">
        <v>303</v>
      </c>
      <c r="DQ527" t="s">
        <v>7526</v>
      </c>
      <c r="DR527" t="s">
        <v>511</v>
      </c>
      <c r="DS527" t="s">
        <v>183</v>
      </c>
      <c r="DT527" t="s">
        <v>211</v>
      </c>
      <c r="DU527" t="s">
        <v>329</v>
      </c>
      <c r="DW527" t="s">
        <v>7527</v>
      </c>
      <c r="DX527" t="s">
        <v>7528</v>
      </c>
      <c r="DY527" t="s">
        <v>238</v>
      </c>
      <c r="DZ527" t="s">
        <v>239</v>
      </c>
      <c r="EA527" t="s">
        <v>7529</v>
      </c>
      <c r="EB527" t="s">
        <v>816</v>
      </c>
      <c r="EC527" t="s">
        <v>183</v>
      </c>
      <c r="ED527" t="s">
        <v>211</v>
      </c>
      <c r="EE527" t="s">
        <v>298</v>
      </c>
      <c r="EG527" t="s">
        <v>7527</v>
      </c>
      <c r="EH527" t="s">
        <v>7530</v>
      </c>
      <c r="EI527" t="s">
        <v>346</v>
      </c>
      <c r="EJ527" t="s">
        <v>347</v>
      </c>
      <c r="EK527" t="s">
        <v>7531</v>
      </c>
      <c r="EL527" t="s">
        <v>469</v>
      </c>
      <c r="EM527" t="s">
        <v>183</v>
      </c>
      <c r="EN527" t="s">
        <v>211</v>
      </c>
      <c r="EO527" t="s">
        <v>345</v>
      </c>
      <c r="EQ527" t="s">
        <v>5179</v>
      </c>
      <c r="ER527" t="s">
        <v>7532</v>
      </c>
      <c r="ES527" t="s">
        <v>207</v>
      </c>
      <c r="ET527" t="s">
        <v>208</v>
      </c>
      <c r="EU527" t="s">
        <v>7533</v>
      </c>
      <c r="EV527" t="s">
        <v>1676</v>
      </c>
      <c r="EW527" t="s">
        <v>183</v>
      </c>
      <c r="EX527" t="s">
        <v>211</v>
      </c>
      <c r="EY527" t="s">
        <v>250</v>
      </c>
      <c r="FA527" t="s">
        <v>7534</v>
      </c>
      <c r="FK527" t="s">
        <v>198</v>
      </c>
      <c r="FU527" t="s">
        <v>198</v>
      </c>
    </row>
    <row r="528" spans="1:177">
      <c r="A528" s="1" t="str">
        <f>HYPERLINK("http://digipan.lumentumllc.com/apps/getLink/index.php?t=PropLink&amp;p=5246755","PL")</f>
        <v>PL</v>
      </c>
      <c r="B528" s="1" t="str">
        <f>HYPERLINK("http://digipan.lumentumllc.com/apps/getLink/index.php?t=TaxLink&amp;p=5246755","TL")</f>
        <v>TL</v>
      </c>
      <c r="C528" s="1" t="str">
        <f>HYPERLINK("http://digipan.lumentumllc.com/apps/getMap/index.php?p=5246755","Map")</f>
        <v>Map</v>
      </c>
      <c r="E528" t="s">
        <v>177</v>
      </c>
      <c r="F528" t="s">
        <v>178</v>
      </c>
      <c r="L528" t="s">
        <v>7535</v>
      </c>
      <c r="N528" t="s">
        <v>7535</v>
      </c>
      <c r="O528" t="s">
        <v>7535</v>
      </c>
      <c r="P528" t="s">
        <v>7536</v>
      </c>
      <c r="Q528" t="s">
        <v>7535</v>
      </c>
      <c r="V528">
        <v>613</v>
      </c>
      <c r="W528">
        <v>2</v>
      </c>
      <c r="X528">
        <v>2017</v>
      </c>
      <c r="Y528">
        <v>2018</v>
      </c>
      <c r="Z528">
        <v>2735.35</v>
      </c>
      <c r="AB528" t="s">
        <v>181</v>
      </c>
      <c r="AC528" t="s">
        <v>182</v>
      </c>
      <c r="AD528" t="s">
        <v>183</v>
      </c>
      <c r="AE528">
        <v>0</v>
      </c>
      <c r="AF528">
        <v>7</v>
      </c>
      <c r="AG528" t="s">
        <v>1059</v>
      </c>
      <c r="AH528">
        <v>100</v>
      </c>
      <c r="AK528">
        <v>0</v>
      </c>
      <c r="AL528">
        <v>165114</v>
      </c>
      <c r="AM528">
        <v>60000</v>
      </c>
      <c r="AN528">
        <v>105114</v>
      </c>
      <c r="AO528">
        <v>2546</v>
      </c>
      <c r="AP528">
        <v>2016</v>
      </c>
      <c r="AQ528">
        <v>1.66</v>
      </c>
      <c r="AS528" t="s">
        <v>7537</v>
      </c>
      <c r="AT528" t="s">
        <v>3747</v>
      </c>
      <c r="AU528" t="s">
        <v>177</v>
      </c>
      <c r="AV528" t="s">
        <v>1030</v>
      </c>
      <c r="AW528" t="s">
        <v>182</v>
      </c>
      <c r="AX528">
        <v>1</v>
      </c>
      <c r="AY528" t="s">
        <v>188</v>
      </c>
      <c r="AZ528" t="s">
        <v>206</v>
      </c>
      <c r="BA528" t="s">
        <v>355</v>
      </c>
      <c r="BB528" t="s">
        <v>191</v>
      </c>
      <c r="BC528" t="s">
        <v>182</v>
      </c>
      <c r="BD528" t="s">
        <v>182</v>
      </c>
      <c r="BE528" t="s">
        <v>576</v>
      </c>
      <c r="BF528">
        <v>1</v>
      </c>
      <c r="BG528">
        <v>1</v>
      </c>
      <c r="BH528">
        <v>1976</v>
      </c>
      <c r="BI528" t="s">
        <v>7538</v>
      </c>
      <c r="BJ528" t="s">
        <v>194</v>
      </c>
      <c r="BK528" t="s">
        <v>195</v>
      </c>
      <c r="BL528" t="s">
        <v>7539</v>
      </c>
      <c r="BM528" t="s">
        <v>1779</v>
      </c>
      <c r="BN528" t="s">
        <v>182</v>
      </c>
      <c r="BO528" t="s">
        <v>7540</v>
      </c>
      <c r="BP528" t="s">
        <v>5459</v>
      </c>
      <c r="BR528" t="s">
        <v>1461</v>
      </c>
      <c r="BS528" t="s">
        <v>7541</v>
      </c>
      <c r="BT528" t="s">
        <v>198</v>
      </c>
      <c r="BU528" t="s">
        <v>182</v>
      </c>
      <c r="BV528" t="s">
        <v>198</v>
      </c>
      <c r="BW528" t="s">
        <v>198</v>
      </c>
      <c r="BX528" t="s">
        <v>199</v>
      </c>
      <c r="BY528" t="s">
        <v>198</v>
      </c>
      <c r="BZ528" t="s">
        <v>199</v>
      </c>
      <c r="CA528" t="s">
        <v>199</v>
      </c>
      <c r="CB528" t="s">
        <v>7542</v>
      </c>
      <c r="CC528" t="s">
        <v>201</v>
      </c>
      <c r="CD528" t="s">
        <v>182</v>
      </c>
      <c r="CE528" t="s">
        <v>7543</v>
      </c>
      <c r="CF528" t="s">
        <v>1029</v>
      </c>
      <c r="CG528" t="s">
        <v>177</v>
      </c>
      <c r="CH528" t="s">
        <v>1030</v>
      </c>
      <c r="CI528" t="s">
        <v>7544</v>
      </c>
      <c r="CJ528" t="s">
        <v>6858</v>
      </c>
      <c r="CK528" t="s">
        <v>232</v>
      </c>
      <c r="CL528" t="s">
        <v>233</v>
      </c>
      <c r="CM528" t="s">
        <v>7545</v>
      </c>
      <c r="CN528" t="s">
        <v>235</v>
      </c>
      <c r="CO528" t="s">
        <v>183</v>
      </c>
      <c r="CP528" t="s">
        <v>211</v>
      </c>
      <c r="CQ528" t="s">
        <v>329</v>
      </c>
      <c r="CS528" t="s">
        <v>430</v>
      </c>
      <c r="CT528" t="s">
        <v>7352</v>
      </c>
      <c r="CU528" t="s">
        <v>292</v>
      </c>
      <c r="CV528" t="s">
        <v>293</v>
      </c>
      <c r="CW528" t="s">
        <v>7546</v>
      </c>
      <c r="CX528" t="s">
        <v>235</v>
      </c>
      <c r="CY528" t="s">
        <v>183</v>
      </c>
      <c r="CZ528" t="s">
        <v>211</v>
      </c>
      <c r="DA528" t="s">
        <v>342</v>
      </c>
      <c r="DC528" t="s">
        <v>7547</v>
      </c>
      <c r="DD528" t="s">
        <v>7548</v>
      </c>
      <c r="DE528" t="s">
        <v>267</v>
      </c>
      <c r="DF528" t="s">
        <v>268</v>
      </c>
      <c r="DG528" t="s">
        <v>7549</v>
      </c>
      <c r="DH528" t="s">
        <v>235</v>
      </c>
      <c r="DI528" t="s">
        <v>183</v>
      </c>
      <c r="DJ528" t="s">
        <v>211</v>
      </c>
      <c r="DK528" t="s">
        <v>342</v>
      </c>
      <c r="DM528" t="s">
        <v>7476</v>
      </c>
      <c r="DN528" t="s">
        <v>7449</v>
      </c>
      <c r="DO528" t="s">
        <v>273</v>
      </c>
      <c r="DP528" t="s">
        <v>274</v>
      </c>
      <c r="DQ528" t="s">
        <v>7550</v>
      </c>
      <c r="DR528" t="s">
        <v>235</v>
      </c>
      <c r="DS528" t="s">
        <v>183</v>
      </c>
      <c r="DT528" t="s">
        <v>211</v>
      </c>
      <c r="DU528" t="s">
        <v>342</v>
      </c>
      <c r="DW528" t="s">
        <v>5580</v>
      </c>
      <c r="DX528" t="s">
        <v>5221</v>
      </c>
      <c r="DY528" t="s">
        <v>302</v>
      </c>
      <c r="DZ528" t="s">
        <v>303</v>
      </c>
      <c r="EA528" t="s">
        <v>7551</v>
      </c>
      <c r="EB528" t="s">
        <v>235</v>
      </c>
      <c r="EC528" t="s">
        <v>183</v>
      </c>
      <c r="ED528" t="s">
        <v>211</v>
      </c>
      <c r="EE528" t="s">
        <v>342</v>
      </c>
      <c r="EG528" t="s">
        <v>2753</v>
      </c>
      <c r="EH528" t="s">
        <v>7552</v>
      </c>
      <c r="EI528" t="s">
        <v>238</v>
      </c>
      <c r="EJ528" t="s">
        <v>239</v>
      </c>
      <c r="EK528" t="s">
        <v>7553</v>
      </c>
      <c r="EL528" t="s">
        <v>235</v>
      </c>
      <c r="EM528" t="s">
        <v>183</v>
      </c>
      <c r="EN528" t="s">
        <v>211</v>
      </c>
      <c r="EO528" t="s">
        <v>523</v>
      </c>
      <c r="EQ528" t="s">
        <v>7554</v>
      </c>
      <c r="ER528" t="s">
        <v>7555</v>
      </c>
      <c r="ES528" t="s">
        <v>346</v>
      </c>
      <c r="ET528" t="s">
        <v>347</v>
      </c>
      <c r="EU528" t="s">
        <v>7556</v>
      </c>
      <c r="EV528" t="s">
        <v>235</v>
      </c>
      <c r="EW528" t="s">
        <v>183</v>
      </c>
      <c r="EX528" t="s">
        <v>211</v>
      </c>
      <c r="EY528" t="s">
        <v>342</v>
      </c>
      <c r="FA528" t="s">
        <v>7557</v>
      </c>
      <c r="FK528" t="s">
        <v>198</v>
      </c>
      <c r="FU528" t="s">
        <v>198</v>
      </c>
    </row>
    <row r="529" spans="1:177">
      <c r="A529" s="1" t="str">
        <f>HYPERLINK("http://digipan.lumentumllc.com/apps/getLink/index.php?t=PropLink&amp;p=15752076","PL")</f>
        <v>PL</v>
      </c>
      <c r="B529" s="1" t="str">
        <f>HYPERLINK("http://digipan.lumentumllc.com/apps/getLink/index.php?t=TaxLink&amp;p=15752076","TL")</f>
        <v>TL</v>
      </c>
      <c r="C529" s="1" t="str">
        <f>HYPERLINK("http://digipan.lumentumllc.com/apps/getMap/index.php?p=15752076","Map")</f>
        <v>Map</v>
      </c>
      <c r="E529" t="s">
        <v>177</v>
      </c>
      <c r="F529" t="s">
        <v>178</v>
      </c>
      <c r="L529" t="s">
        <v>7558</v>
      </c>
      <c r="N529" t="s">
        <v>7558</v>
      </c>
      <c r="O529" t="s">
        <v>7558</v>
      </c>
      <c r="Q529" t="s">
        <v>7558</v>
      </c>
      <c r="V529">
        <v>615</v>
      </c>
      <c r="W529">
        <v>2</v>
      </c>
      <c r="X529">
        <v>2017</v>
      </c>
      <c r="Y529">
        <v>2018</v>
      </c>
      <c r="Z529">
        <v>538.03</v>
      </c>
      <c r="AB529" t="s">
        <v>181</v>
      </c>
      <c r="AC529" t="s">
        <v>182</v>
      </c>
      <c r="AD529" t="s">
        <v>6467</v>
      </c>
      <c r="AE529">
        <v>0</v>
      </c>
      <c r="AF529">
        <v>1</v>
      </c>
      <c r="AG529" t="s">
        <v>821</v>
      </c>
      <c r="AH529">
        <v>100</v>
      </c>
      <c r="AK529">
        <v>0</v>
      </c>
      <c r="AL529">
        <v>34350</v>
      </c>
      <c r="AM529">
        <v>28350</v>
      </c>
      <c r="AN529">
        <v>6000</v>
      </c>
      <c r="AO529">
        <v>394</v>
      </c>
      <c r="AP529">
        <v>2016</v>
      </c>
      <c r="AQ529">
        <v>1.57</v>
      </c>
      <c r="AS529" t="s">
        <v>7559</v>
      </c>
      <c r="AT529" t="s">
        <v>186</v>
      </c>
      <c r="AU529" t="s">
        <v>177</v>
      </c>
      <c r="AV529" t="s">
        <v>187</v>
      </c>
      <c r="AW529" t="s">
        <v>182</v>
      </c>
      <c r="AX529">
        <v>0</v>
      </c>
      <c r="AY529" t="s">
        <v>312</v>
      </c>
      <c r="AZ529" t="s">
        <v>199</v>
      </c>
      <c r="BA529" t="s">
        <v>313</v>
      </c>
      <c r="BB529" t="s">
        <v>191</v>
      </c>
      <c r="BC529" t="s">
        <v>182</v>
      </c>
      <c r="BD529" t="s">
        <v>182</v>
      </c>
      <c r="BE529" t="s">
        <v>5549</v>
      </c>
      <c r="BF529">
        <v>0</v>
      </c>
      <c r="BG529">
        <v>0</v>
      </c>
      <c r="BH529">
        <v>0</v>
      </c>
      <c r="BI529" t="s">
        <v>199</v>
      </c>
      <c r="BJ529" t="s">
        <v>248</v>
      </c>
      <c r="BL529" t="s">
        <v>4647</v>
      </c>
      <c r="BM529" t="s">
        <v>368</v>
      </c>
      <c r="BN529" t="s">
        <v>182</v>
      </c>
      <c r="BO529" t="s">
        <v>198</v>
      </c>
      <c r="BP529" t="s">
        <v>198</v>
      </c>
      <c r="BQ529" t="s">
        <v>198</v>
      </c>
      <c r="BR529" t="s">
        <v>198</v>
      </c>
      <c r="BS529" t="s">
        <v>198</v>
      </c>
      <c r="BT529" t="s">
        <v>198</v>
      </c>
      <c r="BU529" t="s">
        <v>182</v>
      </c>
      <c r="BV529" t="s">
        <v>198</v>
      </c>
      <c r="BW529" t="s">
        <v>198</v>
      </c>
      <c r="BX529" t="s">
        <v>199</v>
      </c>
      <c r="BY529" t="s">
        <v>198</v>
      </c>
      <c r="BZ529" t="s">
        <v>199</v>
      </c>
      <c r="CA529" t="s">
        <v>199</v>
      </c>
      <c r="CB529" t="s">
        <v>7560</v>
      </c>
      <c r="CC529" t="s">
        <v>201</v>
      </c>
      <c r="CD529" t="s">
        <v>182</v>
      </c>
      <c r="CE529" t="s">
        <v>7561</v>
      </c>
      <c r="CF529" t="s">
        <v>1029</v>
      </c>
      <c r="CG529" t="s">
        <v>177</v>
      </c>
      <c r="CH529" t="s">
        <v>1030</v>
      </c>
      <c r="CI529" t="s">
        <v>7562</v>
      </c>
      <c r="CJ529" t="s">
        <v>7563</v>
      </c>
      <c r="CK529" t="s">
        <v>273</v>
      </c>
      <c r="CL529" t="s">
        <v>274</v>
      </c>
      <c r="CM529" t="s">
        <v>7564</v>
      </c>
      <c r="CN529" t="s">
        <v>482</v>
      </c>
      <c r="CO529" t="s">
        <v>5</v>
      </c>
      <c r="CP529" t="s">
        <v>211</v>
      </c>
      <c r="CQ529" t="s">
        <v>206</v>
      </c>
      <c r="CS529" t="s">
        <v>7565</v>
      </c>
      <c r="DC529" t="s">
        <v>198</v>
      </c>
      <c r="DM529" t="s">
        <v>198</v>
      </c>
      <c r="DW529" t="s">
        <v>198</v>
      </c>
      <c r="EG529" t="s">
        <v>198</v>
      </c>
      <c r="EQ529" t="s">
        <v>198</v>
      </c>
      <c r="FA529" t="s">
        <v>198</v>
      </c>
      <c r="FK529" t="s">
        <v>198</v>
      </c>
      <c r="FU529" t="s">
        <v>198</v>
      </c>
    </row>
    <row r="530" spans="1:177">
      <c r="A530" s="1" t="str">
        <f>HYPERLINK("http://digipan.lumentumllc.com/apps/getLink/index.php?t=PropLink&amp;p=6594257","PL")</f>
        <v>PL</v>
      </c>
      <c r="B530" s="1" t="str">
        <f>HYPERLINK("http://digipan.lumentumllc.com/apps/getLink/index.php?t=TaxLink&amp;p=6594257","TL")</f>
        <v>TL</v>
      </c>
      <c r="C530" s="1" t="str">
        <f>HYPERLINK("http://digipan.lumentumllc.com/apps/getMap/index.php?p=6594257","Map")</f>
        <v>Map</v>
      </c>
      <c r="E530" t="s">
        <v>177</v>
      </c>
      <c r="F530" t="s">
        <v>178</v>
      </c>
      <c r="L530" t="s">
        <v>7566</v>
      </c>
      <c r="N530" t="s">
        <v>7566</v>
      </c>
      <c r="O530" t="s">
        <v>7566</v>
      </c>
      <c r="P530" t="s">
        <v>7567</v>
      </c>
      <c r="Q530" t="s">
        <v>7566</v>
      </c>
      <c r="V530">
        <v>616</v>
      </c>
      <c r="W530">
        <v>2</v>
      </c>
      <c r="X530">
        <v>2017</v>
      </c>
      <c r="Y530">
        <v>2018</v>
      </c>
      <c r="Z530">
        <v>422.52</v>
      </c>
      <c r="AB530" t="s">
        <v>181</v>
      </c>
      <c r="AC530" t="s">
        <v>182</v>
      </c>
      <c r="AD530" t="s">
        <v>183</v>
      </c>
      <c r="AE530">
        <v>0</v>
      </c>
      <c r="AF530">
        <v>1</v>
      </c>
      <c r="AG530" t="s">
        <v>821</v>
      </c>
      <c r="AH530">
        <v>100</v>
      </c>
      <c r="AK530">
        <v>0</v>
      </c>
      <c r="AL530">
        <v>27042</v>
      </c>
      <c r="AM530">
        <v>15000</v>
      </c>
      <c r="AN530">
        <v>12042</v>
      </c>
      <c r="AO530">
        <v>298</v>
      </c>
      <c r="AP530">
        <v>2016</v>
      </c>
      <c r="AQ530">
        <v>1.56</v>
      </c>
      <c r="AS530" t="s">
        <v>7568</v>
      </c>
      <c r="AT530" t="s">
        <v>186</v>
      </c>
      <c r="AU530" t="s">
        <v>177</v>
      </c>
      <c r="AV530" t="s">
        <v>187</v>
      </c>
      <c r="AW530" t="s">
        <v>182</v>
      </c>
      <c r="AX530">
        <v>2</v>
      </c>
      <c r="AY530" t="s">
        <v>188</v>
      </c>
      <c r="AZ530" t="s">
        <v>189</v>
      </c>
      <c r="BA530" t="s">
        <v>190</v>
      </c>
      <c r="BB530" t="s">
        <v>191</v>
      </c>
      <c r="BC530" t="s">
        <v>182</v>
      </c>
      <c r="BD530" t="s">
        <v>182</v>
      </c>
      <c r="BE530" t="s">
        <v>383</v>
      </c>
      <c r="BF530">
        <v>1</v>
      </c>
      <c r="BG530">
        <v>1</v>
      </c>
      <c r="BH530">
        <v>1993</v>
      </c>
      <c r="BI530" t="s">
        <v>7569</v>
      </c>
      <c r="BJ530" t="s">
        <v>194</v>
      </c>
      <c r="BK530" t="s">
        <v>195</v>
      </c>
      <c r="BL530" t="s">
        <v>2191</v>
      </c>
      <c r="BM530" t="s">
        <v>1041</v>
      </c>
      <c r="BN530" t="s">
        <v>182</v>
      </c>
      <c r="BO530" t="s">
        <v>198</v>
      </c>
      <c r="BP530" t="s">
        <v>198</v>
      </c>
      <c r="BQ530" t="s">
        <v>198</v>
      </c>
      <c r="BR530" t="s">
        <v>198</v>
      </c>
      <c r="BS530" t="s">
        <v>198</v>
      </c>
      <c r="BT530" t="s">
        <v>198</v>
      </c>
      <c r="BU530" t="s">
        <v>182</v>
      </c>
      <c r="BV530" t="s">
        <v>198</v>
      </c>
      <c r="BW530" t="s">
        <v>198</v>
      </c>
      <c r="BX530" t="s">
        <v>199</v>
      </c>
      <c r="BY530" t="s">
        <v>198</v>
      </c>
      <c r="BZ530" t="s">
        <v>199</v>
      </c>
      <c r="CA530" t="s">
        <v>199</v>
      </c>
      <c r="CB530" t="s">
        <v>7560</v>
      </c>
      <c r="CC530" t="s">
        <v>201</v>
      </c>
      <c r="CD530" t="s">
        <v>182</v>
      </c>
      <c r="CE530" t="s">
        <v>7561</v>
      </c>
      <c r="CF530" t="s">
        <v>1029</v>
      </c>
      <c r="CG530" t="s">
        <v>177</v>
      </c>
      <c r="CH530" t="s">
        <v>1030</v>
      </c>
      <c r="CI530" t="s">
        <v>7562</v>
      </c>
      <c r="CJ530" t="s">
        <v>7522</v>
      </c>
      <c r="CK530" t="s">
        <v>273</v>
      </c>
      <c r="CL530" t="s">
        <v>274</v>
      </c>
      <c r="CM530" t="s">
        <v>7570</v>
      </c>
      <c r="CN530" t="s">
        <v>235</v>
      </c>
      <c r="CO530" t="s">
        <v>183</v>
      </c>
      <c r="CP530" t="s">
        <v>211</v>
      </c>
      <c r="CQ530" t="s">
        <v>206</v>
      </c>
      <c r="CS530" t="s">
        <v>7565</v>
      </c>
      <c r="DC530" t="s">
        <v>198</v>
      </c>
      <c r="DM530" t="s">
        <v>198</v>
      </c>
      <c r="DW530" t="s">
        <v>198</v>
      </c>
      <c r="EG530" t="s">
        <v>198</v>
      </c>
      <c r="EQ530" t="s">
        <v>198</v>
      </c>
      <c r="FA530" t="s">
        <v>198</v>
      </c>
      <c r="FK530" t="s">
        <v>198</v>
      </c>
      <c r="FU530" t="s">
        <v>198</v>
      </c>
    </row>
    <row r="531" spans="1:177">
      <c r="A531" s="1" t="str">
        <f>HYPERLINK("http://digipan.lumentumllc.com/apps/getLink/index.php?t=PropLink&amp;p=6594259","PL")</f>
        <v>PL</v>
      </c>
      <c r="B531" s="1" t="str">
        <f>HYPERLINK("http://digipan.lumentumllc.com/apps/getLink/index.php?t=TaxLink&amp;p=6594259","TL")</f>
        <v>TL</v>
      </c>
      <c r="C531" s="1" t="str">
        <f>HYPERLINK("http://digipan.lumentumllc.com/apps/getMap/index.php?p=6594259","Map")</f>
        <v>Map</v>
      </c>
      <c r="E531" t="s">
        <v>177</v>
      </c>
      <c r="F531" t="s">
        <v>178</v>
      </c>
      <c r="L531" t="s">
        <v>7571</v>
      </c>
      <c r="N531" t="s">
        <v>7571</v>
      </c>
      <c r="O531" t="s">
        <v>7571</v>
      </c>
      <c r="P531" t="s">
        <v>7572</v>
      </c>
      <c r="Q531" t="s">
        <v>7571</v>
      </c>
      <c r="V531">
        <v>617</v>
      </c>
      <c r="W531">
        <v>2</v>
      </c>
      <c r="X531">
        <v>2017</v>
      </c>
      <c r="Y531">
        <v>2018</v>
      </c>
      <c r="Z531">
        <v>420.93</v>
      </c>
      <c r="AB531" t="s">
        <v>181</v>
      </c>
      <c r="AC531" t="s">
        <v>182</v>
      </c>
      <c r="AD531" t="s">
        <v>183</v>
      </c>
      <c r="AE531">
        <v>3</v>
      </c>
      <c r="AF531">
        <v>0</v>
      </c>
      <c r="AG531" t="s">
        <v>6413</v>
      </c>
      <c r="AH531">
        <v>0</v>
      </c>
      <c r="AI531">
        <v>1123.8</v>
      </c>
      <c r="AJ531">
        <v>278.95999999999998</v>
      </c>
      <c r="AK531">
        <v>1402.76</v>
      </c>
      <c r="AL531">
        <v>26280</v>
      </c>
      <c r="AM531">
        <v>26280</v>
      </c>
      <c r="AN531">
        <v>0</v>
      </c>
      <c r="AO531">
        <v>348</v>
      </c>
      <c r="AP531">
        <v>2016</v>
      </c>
      <c r="AQ531">
        <v>1.6</v>
      </c>
      <c r="AR531">
        <v>5.34</v>
      </c>
      <c r="AS531" t="s">
        <v>7573</v>
      </c>
      <c r="AT531" t="s">
        <v>186</v>
      </c>
      <c r="AU531" t="s">
        <v>177</v>
      </c>
      <c r="AV531" t="s">
        <v>187</v>
      </c>
      <c r="AW531" t="s">
        <v>182</v>
      </c>
      <c r="AX531">
        <v>0</v>
      </c>
      <c r="AY531" t="s">
        <v>312</v>
      </c>
      <c r="AZ531" t="s">
        <v>199</v>
      </c>
      <c r="BA531" t="s">
        <v>313</v>
      </c>
      <c r="BB531" t="s">
        <v>191</v>
      </c>
      <c r="BC531" t="s">
        <v>182</v>
      </c>
      <c r="BD531" t="s">
        <v>182</v>
      </c>
      <c r="BE531" t="s">
        <v>7574</v>
      </c>
      <c r="BF531">
        <v>0</v>
      </c>
      <c r="BG531">
        <v>0</v>
      </c>
      <c r="BH531">
        <v>0</v>
      </c>
      <c r="BI531" t="s">
        <v>199</v>
      </c>
      <c r="BJ531" t="s">
        <v>315</v>
      </c>
      <c r="BL531" t="s">
        <v>2281</v>
      </c>
      <c r="BM531" t="s">
        <v>238</v>
      </c>
      <c r="BN531" t="s">
        <v>182</v>
      </c>
      <c r="BO531" t="s">
        <v>198</v>
      </c>
      <c r="BP531" t="s">
        <v>198</v>
      </c>
      <c r="BQ531" t="s">
        <v>198</v>
      </c>
      <c r="BR531" t="s">
        <v>198</v>
      </c>
      <c r="BS531" t="s">
        <v>198</v>
      </c>
      <c r="BT531" t="s">
        <v>198</v>
      </c>
      <c r="BU531" t="s">
        <v>182</v>
      </c>
      <c r="BV531" t="s">
        <v>198</v>
      </c>
      <c r="BW531" t="s">
        <v>198</v>
      </c>
      <c r="BX531" t="s">
        <v>199</v>
      </c>
      <c r="BY531" t="s">
        <v>198</v>
      </c>
      <c r="BZ531" t="s">
        <v>199</v>
      </c>
      <c r="CA531" t="s">
        <v>199</v>
      </c>
      <c r="CB531" t="s">
        <v>7575</v>
      </c>
      <c r="CC531" t="s">
        <v>201</v>
      </c>
      <c r="CD531" t="s">
        <v>182</v>
      </c>
      <c r="CE531" t="s">
        <v>7576</v>
      </c>
      <c r="CF531" t="s">
        <v>204</v>
      </c>
      <c r="CG531" t="s">
        <v>177</v>
      </c>
      <c r="CH531" t="s">
        <v>187</v>
      </c>
      <c r="CI531" t="s">
        <v>7577</v>
      </c>
      <c r="CJ531" t="s">
        <v>7578</v>
      </c>
      <c r="CK531" t="s">
        <v>232</v>
      </c>
      <c r="CL531" t="s">
        <v>233</v>
      </c>
      <c r="CM531" t="s">
        <v>7579</v>
      </c>
      <c r="CN531" t="s">
        <v>1966</v>
      </c>
      <c r="CO531" t="s">
        <v>183</v>
      </c>
      <c r="CP531" t="s">
        <v>266</v>
      </c>
      <c r="CS531" t="s">
        <v>198</v>
      </c>
      <c r="CT531" t="s">
        <v>7449</v>
      </c>
      <c r="CU531" t="s">
        <v>292</v>
      </c>
      <c r="CV531" t="s">
        <v>293</v>
      </c>
      <c r="CW531" t="s">
        <v>7580</v>
      </c>
      <c r="CX531" t="s">
        <v>387</v>
      </c>
      <c r="CY531" t="s">
        <v>183</v>
      </c>
      <c r="CZ531" t="s">
        <v>266</v>
      </c>
      <c r="DC531" t="s">
        <v>198</v>
      </c>
      <c r="DD531" t="s">
        <v>6887</v>
      </c>
      <c r="DE531" t="s">
        <v>267</v>
      </c>
      <c r="DF531" t="s">
        <v>268</v>
      </c>
      <c r="DG531" t="s">
        <v>7581</v>
      </c>
      <c r="DH531" t="s">
        <v>3395</v>
      </c>
      <c r="DI531" t="s">
        <v>183</v>
      </c>
      <c r="DJ531" t="s">
        <v>266</v>
      </c>
      <c r="DM531" t="s">
        <v>198</v>
      </c>
      <c r="DW531" t="s">
        <v>198</v>
      </c>
      <c r="EG531" t="s">
        <v>198</v>
      </c>
      <c r="EQ531" t="s">
        <v>198</v>
      </c>
      <c r="FA531" t="s">
        <v>198</v>
      </c>
      <c r="FK531" t="s">
        <v>198</v>
      </c>
      <c r="FU531" t="s">
        <v>198</v>
      </c>
    </row>
    <row r="532" spans="1:177">
      <c r="A532" s="1" t="str">
        <f>HYPERLINK("http://digipan.lumentumllc.com/apps/getLink/index.php?t=PropLink&amp;p=6129162","PL")</f>
        <v>PL</v>
      </c>
      <c r="B532" s="1" t="str">
        <f>HYPERLINK("http://digipan.lumentumllc.com/apps/getLink/index.php?t=TaxLink&amp;p=6129162","TL")</f>
        <v>TL</v>
      </c>
      <c r="C532" s="1" t="str">
        <f>HYPERLINK("http://digipan.lumentumllc.com/apps/getMap/index.php?p=6129162","Map")</f>
        <v>Map</v>
      </c>
      <c r="E532" t="s">
        <v>177</v>
      </c>
      <c r="F532" t="s">
        <v>178</v>
      </c>
      <c r="L532" t="s">
        <v>7582</v>
      </c>
      <c r="N532" t="s">
        <v>7582</v>
      </c>
      <c r="O532" t="s">
        <v>7582</v>
      </c>
      <c r="P532" t="s">
        <v>7583</v>
      </c>
      <c r="Q532" t="s">
        <v>7582</v>
      </c>
      <c r="V532">
        <v>618</v>
      </c>
      <c r="W532">
        <v>2</v>
      </c>
      <c r="X532">
        <v>2017</v>
      </c>
      <c r="Y532">
        <v>2018</v>
      </c>
      <c r="Z532">
        <v>857.39</v>
      </c>
      <c r="AB532" t="s">
        <v>181</v>
      </c>
      <c r="AC532" t="s">
        <v>202</v>
      </c>
      <c r="AD532" t="s">
        <v>183</v>
      </c>
      <c r="AE532">
        <v>0</v>
      </c>
      <c r="AF532">
        <v>3</v>
      </c>
      <c r="AG532" t="s">
        <v>381</v>
      </c>
      <c r="AH532">
        <v>100</v>
      </c>
      <c r="AK532">
        <v>0</v>
      </c>
      <c r="AL532">
        <v>56025</v>
      </c>
      <c r="AM532">
        <v>29550</v>
      </c>
      <c r="AN532">
        <v>26475</v>
      </c>
      <c r="AO532">
        <v>657</v>
      </c>
      <c r="AP532">
        <v>2016</v>
      </c>
      <c r="AQ532">
        <v>1.53</v>
      </c>
      <c r="AS532" t="s">
        <v>7584</v>
      </c>
      <c r="AT532" t="s">
        <v>186</v>
      </c>
      <c r="AU532" t="s">
        <v>177</v>
      </c>
      <c r="AV532" t="s">
        <v>187</v>
      </c>
      <c r="AW532" t="s">
        <v>182</v>
      </c>
      <c r="AX532">
        <v>2</v>
      </c>
      <c r="AY532" t="s">
        <v>188</v>
      </c>
      <c r="AZ532" t="s">
        <v>189</v>
      </c>
      <c r="BA532" t="s">
        <v>190</v>
      </c>
      <c r="BB532" t="s">
        <v>191</v>
      </c>
      <c r="BC532" t="s">
        <v>182</v>
      </c>
      <c r="BD532" t="s">
        <v>182</v>
      </c>
      <c r="BE532" t="s">
        <v>7585</v>
      </c>
      <c r="BF532">
        <v>1</v>
      </c>
      <c r="BG532">
        <v>1</v>
      </c>
      <c r="BH532">
        <v>1997</v>
      </c>
      <c r="BI532" t="s">
        <v>1271</v>
      </c>
      <c r="BJ532" t="s">
        <v>194</v>
      </c>
      <c r="BK532" t="s">
        <v>195</v>
      </c>
      <c r="BL532" t="s">
        <v>7586</v>
      </c>
      <c r="BM532" t="s">
        <v>273</v>
      </c>
      <c r="BN532" t="s">
        <v>182</v>
      </c>
      <c r="BO532" t="s">
        <v>198</v>
      </c>
      <c r="BP532" t="s">
        <v>198</v>
      </c>
      <c r="BQ532" t="s">
        <v>198</v>
      </c>
      <c r="BR532" t="s">
        <v>198</v>
      </c>
      <c r="BS532" t="s">
        <v>198</v>
      </c>
      <c r="BT532" t="s">
        <v>198</v>
      </c>
      <c r="BU532" t="s">
        <v>182</v>
      </c>
      <c r="BV532" t="s">
        <v>198</v>
      </c>
      <c r="BW532" t="s">
        <v>198</v>
      </c>
      <c r="BX532" t="s">
        <v>199</v>
      </c>
      <c r="BY532" t="s">
        <v>198</v>
      </c>
      <c r="BZ532" t="s">
        <v>199</v>
      </c>
      <c r="CA532" t="s">
        <v>199</v>
      </c>
      <c r="CB532" t="s">
        <v>7575</v>
      </c>
      <c r="CC532" t="s">
        <v>201</v>
      </c>
      <c r="CD532" t="s">
        <v>182</v>
      </c>
      <c r="CE532" t="s">
        <v>7576</v>
      </c>
      <c r="CF532" t="s">
        <v>204</v>
      </c>
      <c r="CG532" t="s">
        <v>177</v>
      </c>
      <c r="CH532" t="s">
        <v>187</v>
      </c>
      <c r="CI532" t="s">
        <v>7587</v>
      </c>
      <c r="CJ532" t="s">
        <v>6887</v>
      </c>
      <c r="CK532" t="s">
        <v>232</v>
      </c>
      <c r="CL532" t="s">
        <v>233</v>
      </c>
      <c r="CM532" t="s">
        <v>7588</v>
      </c>
      <c r="CN532" t="s">
        <v>235</v>
      </c>
      <c r="CO532" t="s">
        <v>183</v>
      </c>
      <c r="CP532" t="s">
        <v>211</v>
      </c>
      <c r="CQ532" t="s">
        <v>199</v>
      </c>
      <c r="CR532" t="s">
        <v>271</v>
      </c>
      <c r="CS532" t="s">
        <v>735</v>
      </c>
      <c r="CT532" t="s">
        <v>6814</v>
      </c>
      <c r="CU532" t="s">
        <v>292</v>
      </c>
      <c r="CV532" t="s">
        <v>293</v>
      </c>
      <c r="CW532" t="s">
        <v>7589</v>
      </c>
      <c r="CX532" t="s">
        <v>235</v>
      </c>
      <c r="CY532" t="s">
        <v>183</v>
      </c>
      <c r="CZ532" t="s">
        <v>211</v>
      </c>
      <c r="DA532" t="s">
        <v>427</v>
      </c>
      <c r="DB532" t="s">
        <v>271</v>
      </c>
      <c r="DC532" t="s">
        <v>735</v>
      </c>
      <c r="DD532" t="s">
        <v>6906</v>
      </c>
      <c r="DE532" t="s">
        <v>267</v>
      </c>
      <c r="DF532" t="s">
        <v>268</v>
      </c>
      <c r="DG532" t="s">
        <v>7590</v>
      </c>
      <c r="DH532" t="s">
        <v>235</v>
      </c>
      <c r="DI532" t="s">
        <v>183</v>
      </c>
      <c r="DJ532" t="s">
        <v>211</v>
      </c>
      <c r="DL532" t="s">
        <v>271</v>
      </c>
      <c r="DM532" t="s">
        <v>198</v>
      </c>
      <c r="DW532" t="s">
        <v>198</v>
      </c>
      <c r="EG532" t="s">
        <v>198</v>
      </c>
      <c r="EQ532" t="s">
        <v>198</v>
      </c>
      <c r="FA532" t="s">
        <v>198</v>
      </c>
      <c r="FK532" t="s">
        <v>198</v>
      </c>
      <c r="FU532" t="s">
        <v>198</v>
      </c>
    </row>
    <row r="533" spans="1:177">
      <c r="A533" s="1" t="str">
        <f>HYPERLINK("http://digipan.lumentumllc.com/apps/getLink/index.php?t=PropLink&amp;p=15752659","PL")</f>
        <v>PL</v>
      </c>
      <c r="B533" s="1" t="str">
        <f>HYPERLINK("http://digipan.lumentumllc.com/apps/getLink/index.php?t=TaxLink&amp;p=15752659","TL")</f>
        <v>TL</v>
      </c>
      <c r="C533" s="1" t="str">
        <f>HYPERLINK("http://digipan.lumentumllc.com/apps/getMap/index.php?p=15752659","Map")</f>
        <v>Map</v>
      </c>
      <c r="E533" t="s">
        <v>177</v>
      </c>
      <c r="F533" t="s">
        <v>178</v>
      </c>
      <c r="L533" t="s">
        <v>7591</v>
      </c>
      <c r="N533" t="s">
        <v>7591</v>
      </c>
      <c r="O533" t="s">
        <v>7591</v>
      </c>
      <c r="Q533" t="s">
        <v>7591</v>
      </c>
      <c r="V533">
        <v>619</v>
      </c>
      <c r="W533">
        <v>2</v>
      </c>
      <c r="X533">
        <v>2017</v>
      </c>
      <c r="Y533">
        <v>2018</v>
      </c>
      <c r="Z533">
        <v>1198.18</v>
      </c>
      <c r="AG533" t="s">
        <v>184</v>
      </c>
      <c r="AH533">
        <v>0</v>
      </c>
      <c r="AK533">
        <v>0</v>
      </c>
      <c r="AL533">
        <v>71227</v>
      </c>
      <c r="AM533">
        <v>20700</v>
      </c>
      <c r="AN533">
        <v>50527</v>
      </c>
      <c r="AO533">
        <v>1016</v>
      </c>
      <c r="AP533">
        <v>2016</v>
      </c>
      <c r="AQ533">
        <v>1.68</v>
      </c>
      <c r="AS533" t="s">
        <v>7592</v>
      </c>
      <c r="AT533" t="s">
        <v>186</v>
      </c>
      <c r="AU533" t="s">
        <v>177</v>
      </c>
      <c r="AV533" t="s">
        <v>187</v>
      </c>
      <c r="AW533" t="s">
        <v>182</v>
      </c>
      <c r="AX533">
        <v>1</v>
      </c>
      <c r="AY533" t="s">
        <v>188</v>
      </c>
      <c r="AZ533" t="s">
        <v>206</v>
      </c>
      <c r="BA533" t="s">
        <v>355</v>
      </c>
      <c r="BB533" t="s">
        <v>191</v>
      </c>
      <c r="BC533" t="s">
        <v>182</v>
      </c>
      <c r="BD533" t="s">
        <v>182</v>
      </c>
      <c r="BE533" t="s">
        <v>2280</v>
      </c>
      <c r="BF533">
        <v>1</v>
      </c>
      <c r="BG533">
        <v>1</v>
      </c>
      <c r="BH533">
        <v>1990</v>
      </c>
      <c r="BI533" t="s">
        <v>7593</v>
      </c>
      <c r="BJ533" t="s">
        <v>194</v>
      </c>
      <c r="BK533" t="s">
        <v>195</v>
      </c>
      <c r="BL533" t="s">
        <v>199</v>
      </c>
      <c r="BM533" t="s">
        <v>945</v>
      </c>
      <c r="BN533" t="s">
        <v>182</v>
      </c>
      <c r="BO533" t="s">
        <v>3012</v>
      </c>
      <c r="BP533" t="s">
        <v>2911</v>
      </c>
      <c r="BQ533" t="s">
        <v>800</v>
      </c>
      <c r="BS533" t="s">
        <v>198</v>
      </c>
      <c r="BT533" t="s">
        <v>7594</v>
      </c>
      <c r="BU533" t="s">
        <v>182</v>
      </c>
      <c r="BV533" t="s">
        <v>198</v>
      </c>
      <c r="BW533" t="s">
        <v>198</v>
      </c>
      <c r="BX533" t="s">
        <v>199</v>
      </c>
      <c r="BY533" t="s">
        <v>198</v>
      </c>
      <c r="BZ533" t="s">
        <v>199</v>
      </c>
      <c r="CA533" t="s">
        <v>199</v>
      </c>
      <c r="CB533" t="s">
        <v>7595</v>
      </c>
      <c r="CC533" t="s">
        <v>201</v>
      </c>
      <c r="CD533" t="s">
        <v>202</v>
      </c>
      <c r="CE533" t="s">
        <v>7596</v>
      </c>
      <c r="CF533" t="s">
        <v>204</v>
      </c>
      <c r="CG533" t="s">
        <v>177</v>
      </c>
      <c r="CH533" t="s">
        <v>187</v>
      </c>
      <c r="CI533" t="s">
        <v>7597</v>
      </c>
      <c r="CS533" t="s">
        <v>198</v>
      </c>
      <c r="DC533" t="s">
        <v>198</v>
      </c>
      <c r="DM533" t="s">
        <v>198</v>
      </c>
      <c r="DW533" t="s">
        <v>198</v>
      </c>
      <c r="EG533" t="s">
        <v>198</v>
      </c>
      <c r="EQ533" t="s">
        <v>198</v>
      </c>
      <c r="FA533" t="s">
        <v>198</v>
      </c>
      <c r="FK533" t="s">
        <v>198</v>
      </c>
      <c r="FU533" t="s">
        <v>198</v>
      </c>
    </row>
    <row r="534" spans="1:177">
      <c r="A534" s="1" t="str">
        <f>HYPERLINK("http://digipan.lumentumllc.com/apps/getLink/index.php?t=PropLink&amp;p=15752664","PL")</f>
        <v>PL</v>
      </c>
      <c r="B534" s="1" t="str">
        <f>HYPERLINK("http://digipan.lumentumllc.com/apps/getLink/index.php?t=TaxLink&amp;p=15752664","TL")</f>
        <v>TL</v>
      </c>
      <c r="C534" s="1" t="str">
        <f>HYPERLINK("http://digipan.lumentumllc.com/apps/getMap/index.php?p=15752664","Map")</f>
        <v>Map</v>
      </c>
      <c r="E534" t="s">
        <v>177</v>
      </c>
      <c r="F534" t="s">
        <v>178</v>
      </c>
      <c r="L534" t="s">
        <v>7598</v>
      </c>
      <c r="N534" t="s">
        <v>7598</v>
      </c>
      <c r="O534" t="s">
        <v>7598</v>
      </c>
      <c r="Q534" t="s">
        <v>7598</v>
      </c>
      <c r="V534">
        <v>620</v>
      </c>
      <c r="W534">
        <v>2</v>
      </c>
      <c r="X534">
        <v>2017</v>
      </c>
      <c r="Y534">
        <v>2018</v>
      </c>
      <c r="Z534">
        <v>288.42</v>
      </c>
      <c r="AB534" t="s">
        <v>181</v>
      </c>
      <c r="AC534" t="s">
        <v>182</v>
      </c>
      <c r="AD534" t="s">
        <v>183</v>
      </c>
      <c r="AE534">
        <v>1</v>
      </c>
      <c r="AF534">
        <v>0</v>
      </c>
      <c r="AG534" t="s">
        <v>1200</v>
      </c>
      <c r="AH534">
        <v>0</v>
      </c>
      <c r="AI534">
        <v>287</v>
      </c>
      <c r="AJ534">
        <v>40.18</v>
      </c>
      <c r="AK534">
        <v>327.18</v>
      </c>
      <c r="AL534">
        <v>15661</v>
      </c>
      <c r="AM534">
        <v>10080</v>
      </c>
      <c r="AN534">
        <v>5581</v>
      </c>
      <c r="AO534">
        <v>240</v>
      </c>
      <c r="AP534">
        <v>2016</v>
      </c>
      <c r="AQ534">
        <v>1.84</v>
      </c>
      <c r="AR534">
        <v>2.09</v>
      </c>
      <c r="AS534" t="s">
        <v>7599</v>
      </c>
      <c r="AT534" t="s">
        <v>186</v>
      </c>
      <c r="AU534" t="s">
        <v>177</v>
      </c>
      <c r="AV534" t="s">
        <v>187</v>
      </c>
      <c r="AW534" t="s">
        <v>182</v>
      </c>
      <c r="AX534">
        <v>2</v>
      </c>
      <c r="AY534" t="s">
        <v>188</v>
      </c>
      <c r="AZ534" t="s">
        <v>189</v>
      </c>
      <c r="BA534" t="s">
        <v>190</v>
      </c>
      <c r="BB534" t="s">
        <v>191</v>
      </c>
      <c r="BC534" t="s">
        <v>182</v>
      </c>
      <c r="BD534" t="s">
        <v>182</v>
      </c>
      <c r="BE534" t="s">
        <v>7600</v>
      </c>
      <c r="BF534">
        <v>1</v>
      </c>
      <c r="BG534">
        <v>1</v>
      </c>
      <c r="BH534">
        <v>1970</v>
      </c>
      <c r="BI534" t="s">
        <v>7601</v>
      </c>
      <c r="BJ534" t="s">
        <v>194</v>
      </c>
      <c r="BK534" t="s">
        <v>195</v>
      </c>
      <c r="BL534" t="s">
        <v>1002</v>
      </c>
      <c r="BM534" t="s">
        <v>207</v>
      </c>
      <c r="BN534" t="s">
        <v>182</v>
      </c>
      <c r="BO534" t="s">
        <v>198</v>
      </c>
      <c r="BP534" t="s">
        <v>198</v>
      </c>
      <c r="BQ534" t="s">
        <v>198</v>
      </c>
      <c r="BR534" t="s">
        <v>198</v>
      </c>
      <c r="BS534" t="s">
        <v>198</v>
      </c>
      <c r="BT534" t="s">
        <v>198</v>
      </c>
      <c r="BU534" t="s">
        <v>182</v>
      </c>
      <c r="BV534" t="s">
        <v>198</v>
      </c>
      <c r="BW534" t="s">
        <v>198</v>
      </c>
      <c r="BX534" t="s">
        <v>199</v>
      </c>
      <c r="BY534" t="s">
        <v>198</v>
      </c>
      <c r="BZ534" t="s">
        <v>199</v>
      </c>
      <c r="CA534" t="s">
        <v>199</v>
      </c>
      <c r="CB534" t="s">
        <v>7602</v>
      </c>
      <c r="CC534" t="s">
        <v>201</v>
      </c>
      <c r="CD534" t="s">
        <v>202</v>
      </c>
      <c r="CE534" t="s">
        <v>7603</v>
      </c>
      <c r="CF534" t="s">
        <v>413</v>
      </c>
      <c r="CG534" t="s">
        <v>177</v>
      </c>
      <c r="CH534" t="s">
        <v>7604</v>
      </c>
      <c r="CI534" t="s">
        <v>7605</v>
      </c>
      <c r="CJ534" t="s">
        <v>6906</v>
      </c>
      <c r="CK534" t="s">
        <v>232</v>
      </c>
      <c r="CL534" t="s">
        <v>233</v>
      </c>
      <c r="CM534" t="s">
        <v>7606</v>
      </c>
      <c r="CN534" t="s">
        <v>484</v>
      </c>
      <c r="CO534" t="s">
        <v>183</v>
      </c>
      <c r="CP534" t="s">
        <v>266</v>
      </c>
      <c r="CS534" t="s">
        <v>198</v>
      </c>
      <c r="DC534" t="s">
        <v>198</v>
      </c>
      <c r="DM534" t="s">
        <v>198</v>
      </c>
      <c r="DW534" t="s">
        <v>198</v>
      </c>
      <c r="EG534" t="s">
        <v>198</v>
      </c>
      <c r="EQ534" t="s">
        <v>198</v>
      </c>
      <c r="FA534" t="s">
        <v>198</v>
      </c>
      <c r="FK534" t="s">
        <v>198</v>
      </c>
      <c r="FU534" t="s">
        <v>198</v>
      </c>
    </row>
    <row r="535" spans="1:177">
      <c r="A535" s="1" t="str">
        <f>HYPERLINK("http://digipan.lumentumllc.com/apps/getLink/index.php?t=PropLink&amp;p=42091041","PL")</f>
        <v>PL</v>
      </c>
      <c r="B535" s="1" t="str">
        <f>HYPERLINK("http://digipan.lumentumllc.com/apps/getLink/index.php?t=TaxLink&amp;p=42091041","TL")</f>
        <v>TL</v>
      </c>
      <c r="C535" s="1" t="str">
        <f>HYPERLINK("","")</f>
        <v/>
      </c>
      <c r="E535" t="s">
        <v>177</v>
      </c>
      <c r="F535" t="s">
        <v>178</v>
      </c>
      <c r="L535" t="s">
        <v>7607</v>
      </c>
      <c r="N535" t="s">
        <v>7607</v>
      </c>
      <c r="O535" t="s">
        <v>7607</v>
      </c>
      <c r="Q535" t="s">
        <v>7607</v>
      </c>
      <c r="V535">
        <v>621</v>
      </c>
      <c r="W535">
        <v>2</v>
      </c>
      <c r="X535">
        <v>2017</v>
      </c>
      <c r="Y535">
        <v>2018</v>
      </c>
      <c r="Z535">
        <v>2957.17</v>
      </c>
      <c r="AG535" t="s">
        <v>184</v>
      </c>
      <c r="AH535">
        <v>0</v>
      </c>
      <c r="AK535">
        <v>0</v>
      </c>
      <c r="AS535" t="s">
        <v>7608</v>
      </c>
      <c r="AT535" t="s">
        <v>7608</v>
      </c>
      <c r="AU535" t="s">
        <v>177</v>
      </c>
      <c r="AW535" t="s">
        <v>182</v>
      </c>
      <c r="BA535" t="s">
        <v>7608</v>
      </c>
      <c r="BB535" t="s">
        <v>191</v>
      </c>
      <c r="BD535" t="s">
        <v>182</v>
      </c>
      <c r="BN535" t="s">
        <v>182</v>
      </c>
      <c r="BO535" t="s">
        <v>198</v>
      </c>
      <c r="BP535" t="s">
        <v>198</v>
      </c>
      <c r="BQ535" t="s">
        <v>198</v>
      </c>
      <c r="BR535" t="s">
        <v>198</v>
      </c>
      <c r="BS535" t="s">
        <v>198</v>
      </c>
      <c r="BT535" t="s">
        <v>198</v>
      </c>
      <c r="BU535" t="s">
        <v>182</v>
      </c>
      <c r="BV535" t="s">
        <v>198</v>
      </c>
      <c r="BW535" t="s">
        <v>198</v>
      </c>
      <c r="BX535" t="s">
        <v>199</v>
      </c>
      <c r="BY535" t="s">
        <v>198</v>
      </c>
      <c r="CB535" t="s">
        <v>7608</v>
      </c>
      <c r="CS535" t="s">
        <v>198</v>
      </c>
      <c r="DC535" t="s">
        <v>198</v>
      </c>
      <c r="DM535" t="s">
        <v>198</v>
      </c>
      <c r="DW535" t="s">
        <v>198</v>
      </c>
      <c r="EG535" t="s">
        <v>198</v>
      </c>
      <c r="EQ535" t="s">
        <v>198</v>
      </c>
      <c r="FA535" t="s">
        <v>198</v>
      </c>
      <c r="FK535" t="s">
        <v>198</v>
      </c>
      <c r="FU535" t="s">
        <v>198</v>
      </c>
    </row>
    <row r="536" spans="1:177">
      <c r="A536" s="1" t="str">
        <f>HYPERLINK("http://digipan.lumentumllc.com/apps/getLink/index.php?t=PropLink&amp;p=6886771","PL")</f>
        <v>PL</v>
      </c>
      <c r="B536" s="1" t="str">
        <f>HYPERLINK("http://digipan.lumentumllc.com/apps/getLink/index.php?t=TaxLink&amp;p=6886771","TL")</f>
        <v>TL</v>
      </c>
      <c r="C536" s="1" t="str">
        <f>HYPERLINK("http://digipan.lumentumllc.com/apps/getMap/index.php?p=6886771","Map")</f>
        <v>Map</v>
      </c>
      <c r="E536" t="s">
        <v>177</v>
      </c>
      <c r="F536" t="s">
        <v>178</v>
      </c>
      <c r="L536" t="s">
        <v>7609</v>
      </c>
      <c r="N536" t="s">
        <v>7609</v>
      </c>
      <c r="O536" t="s">
        <v>7609</v>
      </c>
      <c r="P536" t="s">
        <v>7610</v>
      </c>
      <c r="Q536" t="s">
        <v>7609</v>
      </c>
      <c r="V536">
        <v>622</v>
      </c>
      <c r="W536">
        <v>2</v>
      </c>
      <c r="X536">
        <v>2017</v>
      </c>
      <c r="Y536">
        <v>2018</v>
      </c>
      <c r="Z536">
        <v>1623.55</v>
      </c>
      <c r="AB536" t="s">
        <v>181</v>
      </c>
      <c r="AC536" t="s">
        <v>182</v>
      </c>
      <c r="AD536" t="s">
        <v>183</v>
      </c>
      <c r="AE536">
        <v>0</v>
      </c>
      <c r="AF536">
        <v>1</v>
      </c>
      <c r="AG536" t="s">
        <v>821</v>
      </c>
      <c r="AH536">
        <v>100</v>
      </c>
      <c r="AK536">
        <v>0</v>
      </c>
      <c r="AL536">
        <v>145581</v>
      </c>
      <c r="AM536">
        <v>41280</v>
      </c>
      <c r="AN536">
        <v>104301</v>
      </c>
      <c r="AO536">
        <v>1452</v>
      </c>
      <c r="AP536">
        <v>2016</v>
      </c>
      <c r="AQ536">
        <v>1.1200000000000001</v>
      </c>
      <c r="AS536" t="s">
        <v>7611</v>
      </c>
      <c r="AT536" t="s">
        <v>186</v>
      </c>
      <c r="AU536" t="s">
        <v>177</v>
      </c>
      <c r="AV536" t="s">
        <v>187</v>
      </c>
      <c r="AW536" t="s">
        <v>202</v>
      </c>
      <c r="AX536">
        <v>1</v>
      </c>
      <c r="AY536" t="s">
        <v>188</v>
      </c>
      <c r="AZ536" t="s">
        <v>206</v>
      </c>
      <c r="BA536" t="s">
        <v>355</v>
      </c>
      <c r="BB536" t="s">
        <v>191</v>
      </c>
      <c r="BC536" t="s">
        <v>182</v>
      </c>
      <c r="BD536" t="s">
        <v>182</v>
      </c>
      <c r="BE536" t="s">
        <v>7612</v>
      </c>
      <c r="BF536">
        <v>1</v>
      </c>
      <c r="BG536">
        <v>1</v>
      </c>
      <c r="BH536">
        <v>2004</v>
      </c>
      <c r="BI536" t="s">
        <v>7613</v>
      </c>
      <c r="BJ536" t="s">
        <v>194</v>
      </c>
      <c r="BK536" t="s">
        <v>195</v>
      </c>
      <c r="BL536" t="s">
        <v>7614</v>
      </c>
      <c r="BM536" t="s">
        <v>232</v>
      </c>
      <c r="BN536" t="s">
        <v>182</v>
      </c>
      <c r="BO536" t="s">
        <v>7615</v>
      </c>
      <c r="BP536" t="s">
        <v>7616</v>
      </c>
      <c r="BQ536" t="s">
        <v>5784</v>
      </c>
      <c r="BS536" t="s">
        <v>7617</v>
      </c>
      <c r="BT536" t="s">
        <v>198</v>
      </c>
      <c r="BU536" t="s">
        <v>182</v>
      </c>
      <c r="BV536" t="s">
        <v>198</v>
      </c>
      <c r="BW536" t="s">
        <v>198</v>
      </c>
      <c r="BX536" t="s">
        <v>199</v>
      </c>
      <c r="BY536" t="s">
        <v>198</v>
      </c>
      <c r="BZ536" t="s">
        <v>199</v>
      </c>
      <c r="CA536" t="s">
        <v>199</v>
      </c>
      <c r="CB536" t="s">
        <v>7618</v>
      </c>
      <c r="CC536" t="s">
        <v>201</v>
      </c>
      <c r="CD536" t="s">
        <v>202</v>
      </c>
      <c r="CE536" t="s">
        <v>3550</v>
      </c>
      <c r="CF536" t="s">
        <v>204</v>
      </c>
      <c r="CG536" t="s">
        <v>177</v>
      </c>
      <c r="CH536" t="s">
        <v>187</v>
      </c>
      <c r="CI536" t="s">
        <v>7619</v>
      </c>
      <c r="CJ536" t="s">
        <v>7620</v>
      </c>
      <c r="CK536" t="s">
        <v>267</v>
      </c>
      <c r="CL536" t="s">
        <v>268</v>
      </c>
      <c r="CM536" t="s">
        <v>7621</v>
      </c>
      <c r="CN536" t="s">
        <v>235</v>
      </c>
      <c r="CO536" t="s">
        <v>183</v>
      </c>
      <c r="CP536" t="s">
        <v>211</v>
      </c>
      <c r="CQ536" t="s">
        <v>290</v>
      </c>
      <c r="CS536" t="s">
        <v>7622</v>
      </c>
      <c r="DC536" t="s">
        <v>198</v>
      </c>
      <c r="DM536" t="s">
        <v>198</v>
      </c>
      <c r="DW536" t="s">
        <v>198</v>
      </c>
      <c r="EG536" t="s">
        <v>198</v>
      </c>
      <c r="EQ536" t="s">
        <v>198</v>
      </c>
      <c r="FA536" t="s">
        <v>198</v>
      </c>
      <c r="FK536" t="s">
        <v>198</v>
      </c>
      <c r="FU536" t="s">
        <v>198</v>
      </c>
    </row>
    <row r="537" spans="1:177">
      <c r="A537" s="1" t="str">
        <f>HYPERLINK("http://digipan.lumentumllc.com/apps/getLink/index.php?t=PropLink&amp;p=6886772","PL")</f>
        <v>PL</v>
      </c>
      <c r="B537" s="1" t="str">
        <f>HYPERLINK("http://digipan.lumentumllc.com/apps/getLink/index.php?t=TaxLink&amp;p=6886772","TL")</f>
        <v>TL</v>
      </c>
      <c r="C537" s="1" t="str">
        <f>HYPERLINK("http://digipan.lumentumllc.com/apps/getMap/index.php?p=6886772","Map")</f>
        <v>Map</v>
      </c>
      <c r="E537" t="s">
        <v>177</v>
      </c>
      <c r="F537" t="s">
        <v>178</v>
      </c>
      <c r="L537" t="s">
        <v>7623</v>
      </c>
      <c r="N537" t="s">
        <v>7623</v>
      </c>
      <c r="O537" t="s">
        <v>7623</v>
      </c>
      <c r="P537" t="s">
        <v>7624</v>
      </c>
      <c r="Q537" t="s">
        <v>7623</v>
      </c>
      <c r="V537">
        <v>623</v>
      </c>
      <c r="W537">
        <v>2</v>
      </c>
      <c r="X537">
        <v>2017</v>
      </c>
      <c r="Y537">
        <v>2018</v>
      </c>
      <c r="Z537">
        <v>373.15</v>
      </c>
      <c r="AB537" t="s">
        <v>181</v>
      </c>
      <c r="AC537" t="s">
        <v>182</v>
      </c>
      <c r="AD537" t="s">
        <v>183</v>
      </c>
      <c r="AE537">
        <v>0</v>
      </c>
      <c r="AF537">
        <v>2</v>
      </c>
      <c r="AG537" t="s">
        <v>216</v>
      </c>
      <c r="AH537">
        <v>100</v>
      </c>
      <c r="AK537">
        <v>0</v>
      </c>
      <c r="AL537">
        <v>22350</v>
      </c>
      <c r="AM537">
        <v>22350</v>
      </c>
      <c r="AN537">
        <v>0</v>
      </c>
      <c r="AO537">
        <v>274</v>
      </c>
      <c r="AP537">
        <v>2016</v>
      </c>
      <c r="AQ537">
        <v>1.67</v>
      </c>
      <c r="AS537" t="s">
        <v>7314</v>
      </c>
      <c r="AT537" t="s">
        <v>186</v>
      </c>
      <c r="AU537" t="s">
        <v>177</v>
      </c>
      <c r="AV537" t="s">
        <v>187</v>
      </c>
      <c r="AW537" t="s">
        <v>182</v>
      </c>
      <c r="AX537">
        <v>0</v>
      </c>
      <c r="AY537" t="s">
        <v>312</v>
      </c>
      <c r="AZ537" t="s">
        <v>199</v>
      </c>
      <c r="BA537" t="s">
        <v>313</v>
      </c>
      <c r="BB537" t="s">
        <v>191</v>
      </c>
      <c r="BC537" t="s">
        <v>182</v>
      </c>
      <c r="BD537" t="s">
        <v>182</v>
      </c>
      <c r="BE537" t="s">
        <v>7625</v>
      </c>
      <c r="BF537">
        <v>0</v>
      </c>
      <c r="BG537">
        <v>0</v>
      </c>
      <c r="BH537">
        <v>0</v>
      </c>
      <c r="BI537" t="s">
        <v>199</v>
      </c>
      <c r="BJ537" t="s">
        <v>315</v>
      </c>
      <c r="BL537" t="s">
        <v>6226</v>
      </c>
      <c r="BM537" t="s">
        <v>267</v>
      </c>
      <c r="BN537" t="s">
        <v>182</v>
      </c>
      <c r="BO537" t="s">
        <v>198</v>
      </c>
      <c r="BP537" t="s">
        <v>198</v>
      </c>
      <c r="BQ537" t="s">
        <v>198</v>
      </c>
      <c r="BR537" t="s">
        <v>198</v>
      </c>
      <c r="BS537" t="s">
        <v>198</v>
      </c>
      <c r="BT537" t="s">
        <v>198</v>
      </c>
      <c r="BU537" t="s">
        <v>182</v>
      </c>
      <c r="BV537" t="s">
        <v>198</v>
      </c>
      <c r="BW537" t="s">
        <v>198</v>
      </c>
      <c r="BX537" t="s">
        <v>199</v>
      </c>
      <c r="BY537" t="s">
        <v>198</v>
      </c>
      <c r="BZ537" t="s">
        <v>199</v>
      </c>
      <c r="CA537" t="s">
        <v>199</v>
      </c>
      <c r="CB537" t="s">
        <v>3549</v>
      </c>
      <c r="CC537" t="s">
        <v>201</v>
      </c>
      <c r="CD537" t="s">
        <v>182</v>
      </c>
      <c r="CE537" t="s">
        <v>3550</v>
      </c>
      <c r="CF537" t="s">
        <v>204</v>
      </c>
      <c r="CG537" t="s">
        <v>177</v>
      </c>
      <c r="CH537" t="s">
        <v>187</v>
      </c>
      <c r="CI537" t="s">
        <v>7626</v>
      </c>
      <c r="CJ537" t="s">
        <v>6841</v>
      </c>
      <c r="CK537" t="s">
        <v>292</v>
      </c>
      <c r="CL537" t="s">
        <v>293</v>
      </c>
      <c r="CM537" t="s">
        <v>7627</v>
      </c>
      <c r="CN537" t="s">
        <v>387</v>
      </c>
      <c r="CO537" t="s">
        <v>183</v>
      </c>
      <c r="CP537" t="s">
        <v>211</v>
      </c>
      <c r="CQ537" t="s">
        <v>329</v>
      </c>
      <c r="CS537" t="s">
        <v>432</v>
      </c>
      <c r="CT537" t="s">
        <v>6927</v>
      </c>
      <c r="CU537" t="s">
        <v>267</v>
      </c>
      <c r="CV537" t="s">
        <v>268</v>
      </c>
      <c r="CW537" t="s">
        <v>7628</v>
      </c>
      <c r="CX537" t="s">
        <v>1164</v>
      </c>
      <c r="CY537" t="s">
        <v>183</v>
      </c>
      <c r="CZ537" t="s">
        <v>211</v>
      </c>
      <c r="DA537" t="s">
        <v>298</v>
      </c>
      <c r="DC537" t="s">
        <v>432</v>
      </c>
      <c r="DM537" t="s">
        <v>198</v>
      </c>
      <c r="DW537" t="s">
        <v>198</v>
      </c>
      <c r="EG537" t="s">
        <v>198</v>
      </c>
      <c r="EQ537" t="s">
        <v>198</v>
      </c>
      <c r="FA537" t="s">
        <v>198</v>
      </c>
      <c r="FK537" t="s">
        <v>198</v>
      </c>
      <c r="FU537" t="s">
        <v>198</v>
      </c>
    </row>
    <row r="538" spans="1:177">
      <c r="A538" s="1" t="str">
        <f>HYPERLINK("http://digipan.lumentumllc.com/apps/getLink/index.php?t=PropLink&amp;p=5246869","PL")</f>
        <v>PL</v>
      </c>
      <c r="B538" s="1" t="str">
        <f>HYPERLINK("http://digipan.lumentumllc.com/apps/getLink/index.php?t=TaxLink&amp;p=5246869","TL")</f>
        <v>TL</v>
      </c>
      <c r="C538" s="1" t="str">
        <f>HYPERLINK("http://digipan.lumentumllc.com/apps/getMap/index.php?p=5246869","Map")</f>
        <v>Map</v>
      </c>
      <c r="E538" t="s">
        <v>177</v>
      </c>
      <c r="F538" t="s">
        <v>178</v>
      </c>
      <c r="L538" t="s">
        <v>7629</v>
      </c>
      <c r="N538" t="s">
        <v>7629</v>
      </c>
      <c r="O538" t="s">
        <v>7629</v>
      </c>
      <c r="P538" t="s">
        <v>7630</v>
      </c>
      <c r="Q538" t="s">
        <v>7629</v>
      </c>
      <c r="V538">
        <v>624</v>
      </c>
      <c r="W538">
        <v>2</v>
      </c>
      <c r="X538">
        <v>2017</v>
      </c>
      <c r="Y538">
        <v>2018</v>
      </c>
      <c r="Z538">
        <v>41.85</v>
      </c>
      <c r="AB538" t="s">
        <v>181</v>
      </c>
      <c r="AC538" t="s">
        <v>182</v>
      </c>
      <c r="AD538" t="s">
        <v>1037</v>
      </c>
      <c r="AE538">
        <v>7</v>
      </c>
      <c r="AF538">
        <v>0</v>
      </c>
      <c r="AG538" t="s">
        <v>1038</v>
      </c>
      <c r="AH538">
        <v>0</v>
      </c>
      <c r="AI538">
        <v>238.74</v>
      </c>
      <c r="AJ538">
        <v>165.39</v>
      </c>
      <c r="AK538">
        <v>404.13</v>
      </c>
      <c r="AL538">
        <v>645</v>
      </c>
      <c r="AM538">
        <v>645</v>
      </c>
      <c r="AN538">
        <v>0</v>
      </c>
      <c r="AO538">
        <v>8</v>
      </c>
      <c r="AP538">
        <v>2016</v>
      </c>
      <c r="AQ538">
        <v>6.49</v>
      </c>
      <c r="AR538">
        <v>62.66</v>
      </c>
      <c r="AS538" t="s">
        <v>7631</v>
      </c>
      <c r="AT538" t="s">
        <v>186</v>
      </c>
      <c r="AU538" t="s">
        <v>177</v>
      </c>
      <c r="AV538" t="s">
        <v>187</v>
      </c>
      <c r="AW538" t="s">
        <v>182</v>
      </c>
      <c r="AX538">
        <v>0</v>
      </c>
      <c r="AY538" t="s">
        <v>312</v>
      </c>
      <c r="AZ538" t="s">
        <v>199</v>
      </c>
      <c r="BA538" t="s">
        <v>313</v>
      </c>
      <c r="BB538" t="s">
        <v>191</v>
      </c>
      <c r="BC538" t="s">
        <v>182</v>
      </c>
      <c r="BD538" t="s">
        <v>182</v>
      </c>
      <c r="BE538" t="s">
        <v>6305</v>
      </c>
      <c r="BF538">
        <v>0</v>
      </c>
      <c r="BG538">
        <v>0</v>
      </c>
      <c r="BH538">
        <v>0</v>
      </c>
      <c r="BI538" t="s">
        <v>199</v>
      </c>
      <c r="BJ538" t="s">
        <v>315</v>
      </c>
      <c r="BL538" t="s">
        <v>199</v>
      </c>
      <c r="BM538" t="s">
        <v>358</v>
      </c>
      <c r="BN538" t="s">
        <v>182</v>
      </c>
      <c r="BO538" t="s">
        <v>7632</v>
      </c>
      <c r="BP538" t="s">
        <v>4313</v>
      </c>
      <c r="BS538" t="s">
        <v>7633</v>
      </c>
      <c r="BT538" t="s">
        <v>198</v>
      </c>
      <c r="BU538" t="s">
        <v>182</v>
      </c>
      <c r="BV538" t="s">
        <v>198</v>
      </c>
      <c r="BW538" t="s">
        <v>198</v>
      </c>
      <c r="BX538" t="s">
        <v>199</v>
      </c>
      <c r="BY538" t="s">
        <v>198</v>
      </c>
      <c r="BZ538" t="s">
        <v>199</v>
      </c>
      <c r="CA538" t="s">
        <v>199</v>
      </c>
      <c r="CB538" t="s">
        <v>7634</v>
      </c>
      <c r="CC538" t="s">
        <v>201</v>
      </c>
      <c r="CD538" t="s">
        <v>182</v>
      </c>
      <c r="CE538" t="s">
        <v>7635</v>
      </c>
      <c r="CF538" t="s">
        <v>7636</v>
      </c>
      <c r="CG538" t="s">
        <v>5598</v>
      </c>
      <c r="CH538" t="s">
        <v>7637</v>
      </c>
      <c r="CI538" t="s">
        <v>5270</v>
      </c>
      <c r="CJ538" t="s">
        <v>7620</v>
      </c>
      <c r="CK538" t="s">
        <v>232</v>
      </c>
      <c r="CL538" t="s">
        <v>233</v>
      </c>
      <c r="CM538" t="s">
        <v>7638</v>
      </c>
      <c r="CN538" t="s">
        <v>482</v>
      </c>
      <c r="CO538" t="s">
        <v>5</v>
      </c>
      <c r="CP538" t="s">
        <v>266</v>
      </c>
      <c r="CS538" t="s">
        <v>198</v>
      </c>
      <c r="CT538" t="s">
        <v>6858</v>
      </c>
      <c r="CU538" t="s">
        <v>292</v>
      </c>
      <c r="CV538" t="s">
        <v>293</v>
      </c>
      <c r="CW538" t="s">
        <v>7639</v>
      </c>
      <c r="CX538" t="s">
        <v>482</v>
      </c>
      <c r="CY538" t="s">
        <v>183</v>
      </c>
      <c r="CZ538" t="s">
        <v>266</v>
      </c>
      <c r="DC538" t="s">
        <v>198</v>
      </c>
      <c r="DD538" t="s">
        <v>6946</v>
      </c>
      <c r="DE538" t="s">
        <v>267</v>
      </c>
      <c r="DF538" t="s">
        <v>268</v>
      </c>
      <c r="DG538" t="s">
        <v>7640</v>
      </c>
      <c r="DH538" t="s">
        <v>482</v>
      </c>
      <c r="DI538" t="s">
        <v>5</v>
      </c>
      <c r="DJ538" t="s">
        <v>266</v>
      </c>
      <c r="DM538" t="s">
        <v>198</v>
      </c>
      <c r="DN538" t="s">
        <v>7641</v>
      </c>
      <c r="DO538" t="s">
        <v>273</v>
      </c>
      <c r="DP538" t="s">
        <v>274</v>
      </c>
      <c r="DQ538" t="s">
        <v>7642</v>
      </c>
      <c r="DR538" t="s">
        <v>482</v>
      </c>
      <c r="DS538" t="s">
        <v>183</v>
      </c>
      <c r="DT538" t="s">
        <v>266</v>
      </c>
      <c r="DW538" t="s">
        <v>198</v>
      </c>
      <c r="DX538" t="s">
        <v>7643</v>
      </c>
      <c r="DY538" t="s">
        <v>302</v>
      </c>
      <c r="DZ538" t="s">
        <v>303</v>
      </c>
      <c r="EA538" t="s">
        <v>7644</v>
      </c>
      <c r="EB538" t="s">
        <v>1615</v>
      </c>
      <c r="EC538" t="s">
        <v>183</v>
      </c>
      <c r="ED538" t="s">
        <v>266</v>
      </c>
      <c r="EG538" t="s">
        <v>198</v>
      </c>
      <c r="EH538" t="s">
        <v>7645</v>
      </c>
      <c r="EI538" t="s">
        <v>238</v>
      </c>
      <c r="EJ538" t="s">
        <v>239</v>
      </c>
      <c r="EK538" t="s">
        <v>7646</v>
      </c>
      <c r="EL538" t="s">
        <v>482</v>
      </c>
      <c r="EM538" t="s">
        <v>183</v>
      </c>
      <c r="EN538" t="s">
        <v>266</v>
      </c>
      <c r="EQ538" t="s">
        <v>198</v>
      </c>
      <c r="ER538" t="s">
        <v>7647</v>
      </c>
      <c r="ES538" t="s">
        <v>346</v>
      </c>
      <c r="ET538" t="s">
        <v>347</v>
      </c>
      <c r="EU538" t="s">
        <v>7648</v>
      </c>
      <c r="EV538" t="s">
        <v>482</v>
      </c>
      <c r="EW538" t="s">
        <v>183</v>
      </c>
      <c r="EX538" t="s">
        <v>266</v>
      </c>
      <c r="FA538" t="s">
        <v>198</v>
      </c>
      <c r="FK538" t="s">
        <v>198</v>
      </c>
      <c r="FU538" t="s">
        <v>198</v>
      </c>
    </row>
    <row r="539" spans="1:177">
      <c r="A539" s="1" t="str">
        <f>HYPERLINK("http://digipan.lumentumllc.com/apps/getLink/index.php?t=PropLink&amp;p=6129254","PL")</f>
        <v>PL</v>
      </c>
      <c r="B539" s="1" t="str">
        <f>HYPERLINK("http://digipan.lumentumllc.com/apps/getLink/index.php?t=TaxLink&amp;p=6129254","TL")</f>
        <v>TL</v>
      </c>
      <c r="C539" s="1" t="str">
        <f>HYPERLINK("http://digipan.lumentumllc.com/apps/getMap/index.php?p=6129254","Map")</f>
        <v>Map</v>
      </c>
      <c r="E539" t="s">
        <v>177</v>
      </c>
      <c r="F539" t="s">
        <v>178</v>
      </c>
      <c r="L539" t="s">
        <v>7649</v>
      </c>
      <c r="N539" t="s">
        <v>7649</v>
      </c>
      <c r="O539" t="s">
        <v>7649</v>
      </c>
      <c r="P539" t="s">
        <v>7650</v>
      </c>
      <c r="Q539" t="s">
        <v>7649</v>
      </c>
      <c r="V539">
        <v>625</v>
      </c>
      <c r="W539">
        <v>2</v>
      </c>
      <c r="X539">
        <v>2017</v>
      </c>
      <c r="Y539">
        <v>2018</v>
      </c>
      <c r="Z539">
        <v>2248.6</v>
      </c>
      <c r="AB539" t="s">
        <v>181</v>
      </c>
      <c r="AC539" t="s">
        <v>182</v>
      </c>
      <c r="AD539" t="s">
        <v>183</v>
      </c>
      <c r="AE539">
        <v>1</v>
      </c>
      <c r="AF539">
        <v>5</v>
      </c>
      <c r="AG539" t="s">
        <v>322</v>
      </c>
      <c r="AH539">
        <v>83</v>
      </c>
      <c r="AI539">
        <v>2163.29</v>
      </c>
      <c r="AJ539">
        <v>108.16</v>
      </c>
      <c r="AK539">
        <v>2271.4499999999998</v>
      </c>
      <c r="AL539">
        <v>345653</v>
      </c>
      <c r="AM539">
        <v>41732</v>
      </c>
      <c r="AN539">
        <v>303921</v>
      </c>
      <c r="AO539">
        <v>1975</v>
      </c>
      <c r="AP539">
        <v>2016</v>
      </c>
      <c r="AQ539">
        <v>0.65</v>
      </c>
      <c r="AR539">
        <v>0.66</v>
      </c>
      <c r="AS539" t="s">
        <v>7651</v>
      </c>
      <c r="AT539" t="s">
        <v>3747</v>
      </c>
      <c r="AU539" t="s">
        <v>177</v>
      </c>
      <c r="AV539" t="s">
        <v>1030</v>
      </c>
      <c r="AW539" t="s">
        <v>182</v>
      </c>
      <c r="AX539">
        <v>50</v>
      </c>
      <c r="AY539" t="s">
        <v>218</v>
      </c>
      <c r="AZ539" t="s">
        <v>589</v>
      </c>
      <c r="BA539" t="s">
        <v>590</v>
      </c>
      <c r="BB539" t="s">
        <v>191</v>
      </c>
      <c r="BC539" t="s">
        <v>182</v>
      </c>
      <c r="BD539" t="s">
        <v>182</v>
      </c>
      <c r="BE539" t="s">
        <v>7652</v>
      </c>
      <c r="BF539">
        <v>1</v>
      </c>
      <c r="BG539">
        <v>1</v>
      </c>
      <c r="BH539">
        <v>1987</v>
      </c>
      <c r="BI539" t="s">
        <v>7653</v>
      </c>
      <c r="BJ539" t="s">
        <v>248</v>
      </c>
      <c r="BK539" t="s">
        <v>195</v>
      </c>
      <c r="BL539" t="s">
        <v>199</v>
      </c>
      <c r="BM539" t="s">
        <v>679</v>
      </c>
      <c r="BN539" t="s">
        <v>182</v>
      </c>
      <c r="BO539" t="s">
        <v>198</v>
      </c>
      <c r="BP539" t="s">
        <v>198</v>
      </c>
      <c r="BQ539" t="s">
        <v>198</v>
      </c>
      <c r="BR539" t="s">
        <v>198</v>
      </c>
      <c r="BS539" t="s">
        <v>198</v>
      </c>
      <c r="BT539" t="s">
        <v>198</v>
      </c>
      <c r="BU539" t="s">
        <v>182</v>
      </c>
      <c r="BV539" t="s">
        <v>198</v>
      </c>
      <c r="BW539" t="s">
        <v>198</v>
      </c>
      <c r="BX539" t="s">
        <v>199</v>
      </c>
      <c r="BY539" t="s">
        <v>198</v>
      </c>
      <c r="BZ539" t="s">
        <v>199</v>
      </c>
      <c r="CA539" t="s">
        <v>199</v>
      </c>
      <c r="CB539" t="s">
        <v>7654</v>
      </c>
      <c r="CC539" t="s">
        <v>201</v>
      </c>
      <c r="CD539" t="s">
        <v>182</v>
      </c>
      <c r="CE539" t="s">
        <v>7655</v>
      </c>
      <c r="CF539" t="s">
        <v>1029</v>
      </c>
      <c r="CG539" t="s">
        <v>177</v>
      </c>
      <c r="CH539" t="s">
        <v>1030</v>
      </c>
      <c r="CI539" t="s">
        <v>7656</v>
      </c>
      <c r="CJ539" t="s">
        <v>6994</v>
      </c>
      <c r="CK539" t="s">
        <v>232</v>
      </c>
      <c r="CL539" t="s">
        <v>233</v>
      </c>
      <c r="CM539" t="s">
        <v>7657</v>
      </c>
      <c r="CN539" t="s">
        <v>235</v>
      </c>
      <c r="CO539" t="s">
        <v>183</v>
      </c>
      <c r="CP539" t="s">
        <v>266</v>
      </c>
      <c r="CS539" t="s">
        <v>198</v>
      </c>
      <c r="CT539" t="s">
        <v>7499</v>
      </c>
      <c r="CU539" t="s">
        <v>292</v>
      </c>
      <c r="CV539" t="s">
        <v>293</v>
      </c>
      <c r="CW539" t="s">
        <v>7658</v>
      </c>
      <c r="CX539" t="s">
        <v>235</v>
      </c>
      <c r="CY539" t="s">
        <v>183</v>
      </c>
      <c r="CZ539" t="s">
        <v>211</v>
      </c>
      <c r="DA539" t="s">
        <v>345</v>
      </c>
      <c r="DC539" t="s">
        <v>7659</v>
      </c>
      <c r="DD539" t="s">
        <v>6975</v>
      </c>
      <c r="DE539" t="s">
        <v>267</v>
      </c>
      <c r="DF539" t="s">
        <v>268</v>
      </c>
      <c r="DG539" t="s">
        <v>7660</v>
      </c>
      <c r="DH539" t="s">
        <v>235</v>
      </c>
      <c r="DI539" t="s">
        <v>183</v>
      </c>
      <c r="DJ539" t="s">
        <v>211</v>
      </c>
      <c r="DK539" t="s">
        <v>298</v>
      </c>
      <c r="DM539" t="s">
        <v>459</v>
      </c>
      <c r="DN539" t="s">
        <v>6946</v>
      </c>
      <c r="DO539" t="s">
        <v>273</v>
      </c>
      <c r="DP539" t="s">
        <v>274</v>
      </c>
      <c r="DQ539" t="s">
        <v>7661</v>
      </c>
      <c r="DR539" t="s">
        <v>235</v>
      </c>
      <c r="DS539" t="s">
        <v>183</v>
      </c>
      <c r="DT539" t="s">
        <v>211</v>
      </c>
      <c r="DU539" t="s">
        <v>298</v>
      </c>
      <c r="DW539" t="s">
        <v>7662</v>
      </c>
      <c r="DX539" t="s">
        <v>7663</v>
      </c>
      <c r="DY539" t="s">
        <v>302</v>
      </c>
      <c r="DZ539" t="s">
        <v>303</v>
      </c>
      <c r="EA539" t="s">
        <v>7664</v>
      </c>
      <c r="EB539" t="s">
        <v>235</v>
      </c>
      <c r="EC539" t="s">
        <v>183</v>
      </c>
      <c r="ED539" t="s">
        <v>211</v>
      </c>
      <c r="EE539" t="s">
        <v>345</v>
      </c>
      <c r="EG539" t="s">
        <v>2432</v>
      </c>
      <c r="EH539" t="s">
        <v>7665</v>
      </c>
      <c r="EI539" t="s">
        <v>238</v>
      </c>
      <c r="EJ539" t="s">
        <v>239</v>
      </c>
      <c r="EK539" t="s">
        <v>7666</v>
      </c>
      <c r="EL539" t="s">
        <v>235</v>
      </c>
      <c r="EM539" t="s">
        <v>183</v>
      </c>
      <c r="EN539" t="s">
        <v>211</v>
      </c>
      <c r="EO539" t="s">
        <v>298</v>
      </c>
      <c r="EQ539" t="s">
        <v>467</v>
      </c>
      <c r="FA539" t="s">
        <v>198</v>
      </c>
      <c r="FK539" t="s">
        <v>198</v>
      </c>
      <c r="FU539" t="s">
        <v>198</v>
      </c>
    </row>
    <row r="540" spans="1:177">
      <c r="A540" s="1" t="str">
        <f>HYPERLINK("http://digipan.lumentumllc.com/apps/getLink/index.php?t=PropLink&amp;p=5247500","PL")</f>
        <v>PL</v>
      </c>
      <c r="B540" s="1" t="str">
        <f>HYPERLINK("http://digipan.lumentumllc.com/apps/getLink/index.php?t=TaxLink&amp;p=5247500","TL")</f>
        <v>TL</v>
      </c>
      <c r="C540" s="1" t="str">
        <f>HYPERLINK("http://digipan.lumentumllc.com/apps/getMap/index.php?p=5247500","Map")</f>
        <v>Map</v>
      </c>
      <c r="E540" t="s">
        <v>177</v>
      </c>
      <c r="F540" t="s">
        <v>178</v>
      </c>
      <c r="L540" t="s">
        <v>7667</v>
      </c>
      <c r="N540" t="s">
        <v>7667</v>
      </c>
      <c r="O540" t="s">
        <v>7667</v>
      </c>
      <c r="P540" t="s">
        <v>7668</v>
      </c>
      <c r="Q540" t="s">
        <v>7667</v>
      </c>
      <c r="V540">
        <v>626</v>
      </c>
      <c r="W540">
        <v>2</v>
      </c>
      <c r="X540">
        <v>2017</v>
      </c>
      <c r="Y540">
        <v>2018</v>
      </c>
      <c r="Z540">
        <v>2907.04</v>
      </c>
      <c r="AB540" t="s">
        <v>181</v>
      </c>
      <c r="AC540" t="s">
        <v>182</v>
      </c>
      <c r="AD540" t="s">
        <v>183</v>
      </c>
      <c r="AE540">
        <v>1</v>
      </c>
      <c r="AF540">
        <v>3</v>
      </c>
      <c r="AG540" t="s">
        <v>363</v>
      </c>
      <c r="AH540">
        <v>67</v>
      </c>
      <c r="AI540">
        <v>2803.57</v>
      </c>
      <c r="AJ540">
        <v>140.18</v>
      </c>
      <c r="AK540">
        <v>2943.75</v>
      </c>
      <c r="AL540">
        <v>185261</v>
      </c>
      <c r="AM540">
        <v>32000</v>
      </c>
      <c r="AN540">
        <v>153261</v>
      </c>
      <c r="AO540">
        <v>2567</v>
      </c>
      <c r="AP540">
        <v>2016</v>
      </c>
      <c r="AQ540">
        <v>1.57</v>
      </c>
      <c r="AR540">
        <v>1.59</v>
      </c>
      <c r="AS540" t="s">
        <v>7669</v>
      </c>
      <c r="AT540" t="s">
        <v>3747</v>
      </c>
      <c r="AU540" t="s">
        <v>177</v>
      </c>
      <c r="AV540" t="s">
        <v>1030</v>
      </c>
      <c r="AW540" t="s">
        <v>182</v>
      </c>
      <c r="AX540">
        <v>11</v>
      </c>
      <c r="AY540" t="s">
        <v>3641</v>
      </c>
      <c r="AZ540" t="s">
        <v>212</v>
      </c>
      <c r="BA540" t="s">
        <v>5959</v>
      </c>
      <c r="BB540" t="s">
        <v>191</v>
      </c>
      <c r="BC540" t="s">
        <v>182</v>
      </c>
      <c r="BD540" t="s">
        <v>182</v>
      </c>
      <c r="BE540" t="s">
        <v>1930</v>
      </c>
      <c r="BF540">
        <v>1</v>
      </c>
      <c r="BG540">
        <v>0</v>
      </c>
      <c r="BH540">
        <v>1956</v>
      </c>
      <c r="BI540" t="s">
        <v>7670</v>
      </c>
      <c r="BJ540" t="s">
        <v>194</v>
      </c>
      <c r="BK540" t="s">
        <v>840</v>
      </c>
      <c r="BL540" t="s">
        <v>7671</v>
      </c>
      <c r="BM540" t="s">
        <v>410</v>
      </c>
      <c r="BN540" t="s">
        <v>182</v>
      </c>
      <c r="BO540" t="s">
        <v>198</v>
      </c>
      <c r="BP540" t="s">
        <v>198</v>
      </c>
      <c r="BQ540" t="s">
        <v>198</v>
      </c>
      <c r="BR540" t="s">
        <v>198</v>
      </c>
      <c r="BS540" t="s">
        <v>198</v>
      </c>
      <c r="BT540" t="s">
        <v>198</v>
      </c>
      <c r="BU540" t="s">
        <v>182</v>
      </c>
      <c r="BV540" t="s">
        <v>198</v>
      </c>
      <c r="BW540" t="s">
        <v>198</v>
      </c>
      <c r="BX540" t="s">
        <v>199</v>
      </c>
      <c r="BY540" t="s">
        <v>198</v>
      </c>
      <c r="BZ540" t="s">
        <v>199</v>
      </c>
      <c r="CA540" t="s">
        <v>199</v>
      </c>
      <c r="CB540" t="s">
        <v>7672</v>
      </c>
      <c r="CC540" t="s">
        <v>201</v>
      </c>
      <c r="CD540" t="s">
        <v>182</v>
      </c>
      <c r="CE540" t="s">
        <v>7673</v>
      </c>
      <c r="CF540" t="s">
        <v>1029</v>
      </c>
      <c r="CG540" t="s">
        <v>177</v>
      </c>
      <c r="CH540" t="s">
        <v>1030</v>
      </c>
      <c r="CI540" t="s">
        <v>7674</v>
      </c>
      <c r="CJ540" t="s">
        <v>5738</v>
      </c>
      <c r="CK540" t="s">
        <v>232</v>
      </c>
      <c r="CL540" t="s">
        <v>233</v>
      </c>
      <c r="CM540" t="s">
        <v>7675</v>
      </c>
      <c r="CN540" t="s">
        <v>235</v>
      </c>
      <c r="CO540" t="s">
        <v>183</v>
      </c>
      <c r="CP540" t="s">
        <v>266</v>
      </c>
      <c r="CS540" t="s">
        <v>198</v>
      </c>
      <c r="CT540" t="s">
        <v>7676</v>
      </c>
      <c r="CU540" t="s">
        <v>238</v>
      </c>
      <c r="CV540" t="s">
        <v>239</v>
      </c>
      <c r="CW540" t="s">
        <v>7677</v>
      </c>
      <c r="CX540" t="s">
        <v>436</v>
      </c>
      <c r="CY540" t="s">
        <v>183</v>
      </c>
      <c r="CZ540" t="s">
        <v>211</v>
      </c>
      <c r="DA540" t="s">
        <v>339</v>
      </c>
      <c r="DC540" t="s">
        <v>3635</v>
      </c>
      <c r="DD540" t="s">
        <v>7678</v>
      </c>
      <c r="DE540" t="s">
        <v>346</v>
      </c>
      <c r="DF540" t="s">
        <v>347</v>
      </c>
      <c r="DG540" t="s">
        <v>7679</v>
      </c>
      <c r="DH540" t="s">
        <v>235</v>
      </c>
      <c r="DI540" t="s">
        <v>183</v>
      </c>
      <c r="DJ540" t="s">
        <v>211</v>
      </c>
      <c r="DK540" t="s">
        <v>493</v>
      </c>
      <c r="DM540" t="s">
        <v>3635</v>
      </c>
      <c r="DN540" t="s">
        <v>7680</v>
      </c>
      <c r="DO540" t="s">
        <v>207</v>
      </c>
      <c r="DP540" t="s">
        <v>208</v>
      </c>
      <c r="DQ540" t="s">
        <v>7681</v>
      </c>
      <c r="DR540" t="s">
        <v>391</v>
      </c>
      <c r="DS540" t="s">
        <v>183</v>
      </c>
      <c r="DT540" t="s">
        <v>211</v>
      </c>
      <c r="DU540" t="s">
        <v>523</v>
      </c>
      <c r="DW540" t="s">
        <v>7682</v>
      </c>
      <c r="EG540" t="s">
        <v>198</v>
      </c>
      <c r="EQ540" t="s">
        <v>198</v>
      </c>
      <c r="FA540" t="s">
        <v>198</v>
      </c>
      <c r="FK540" t="s">
        <v>198</v>
      </c>
      <c r="FU540" t="s">
        <v>198</v>
      </c>
    </row>
    <row r="541" spans="1:177">
      <c r="A541" s="1" t="str">
        <f>HYPERLINK("http://digipan.lumentumllc.com/apps/getLink/index.php?t=PropLink&amp;p=5247502","PL")</f>
        <v>PL</v>
      </c>
      <c r="B541" s="1" t="str">
        <f>HYPERLINK("http://digipan.lumentumllc.com/apps/getLink/index.php?t=TaxLink&amp;p=5247502","TL")</f>
        <v>TL</v>
      </c>
      <c r="C541" s="1" t="str">
        <f>HYPERLINK("http://digipan.lumentumllc.com/apps/getMap/index.php?p=5247502","Map")</f>
        <v>Map</v>
      </c>
      <c r="E541" t="s">
        <v>177</v>
      </c>
      <c r="F541" t="s">
        <v>178</v>
      </c>
      <c r="L541" t="s">
        <v>7683</v>
      </c>
      <c r="N541" t="s">
        <v>7683</v>
      </c>
      <c r="O541" t="s">
        <v>7683</v>
      </c>
      <c r="P541" t="s">
        <v>7684</v>
      </c>
      <c r="Q541" t="s">
        <v>7683</v>
      </c>
      <c r="V541">
        <v>627</v>
      </c>
      <c r="W541">
        <v>2</v>
      </c>
      <c r="X541">
        <v>2017</v>
      </c>
      <c r="Y541">
        <v>2018</v>
      </c>
      <c r="Z541">
        <v>221.93</v>
      </c>
      <c r="AB541" t="s">
        <v>181</v>
      </c>
      <c r="AC541" t="s">
        <v>182</v>
      </c>
      <c r="AD541" t="s">
        <v>183</v>
      </c>
      <c r="AE541">
        <v>1</v>
      </c>
      <c r="AF541">
        <v>7</v>
      </c>
      <c r="AG541" t="s">
        <v>418</v>
      </c>
      <c r="AH541">
        <v>86</v>
      </c>
      <c r="AI541">
        <v>219.59</v>
      </c>
      <c r="AJ541">
        <v>30.74</v>
      </c>
      <c r="AK541">
        <v>250.33</v>
      </c>
      <c r="AL541">
        <v>11600</v>
      </c>
      <c r="AM541">
        <v>11600</v>
      </c>
      <c r="AN541">
        <v>0</v>
      </c>
      <c r="AO541">
        <v>178</v>
      </c>
      <c r="AP541">
        <v>2016</v>
      </c>
      <c r="AQ541">
        <v>1.91</v>
      </c>
      <c r="AR541">
        <v>2.16</v>
      </c>
      <c r="AS541" t="s">
        <v>3209</v>
      </c>
      <c r="AT541" t="s">
        <v>3747</v>
      </c>
      <c r="AU541" t="s">
        <v>177</v>
      </c>
      <c r="AV541" t="s">
        <v>1030</v>
      </c>
      <c r="AW541" t="s">
        <v>182</v>
      </c>
      <c r="AX541">
        <v>10</v>
      </c>
      <c r="AY541" t="s">
        <v>3211</v>
      </c>
      <c r="AZ541" t="s">
        <v>270</v>
      </c>
      <c r="BA541" t="s">
        <v>3212</v>
      </c>
      <c r="BB541" t="s">
        <v>191</v>
      </c>
      <c r="BC541" t="s">
        <v>182</v>
      </c>
      <c r="BD541" t="s">
        <v>182</v>
      </c>
      <c r="BE541" t="s">
        <v>7685</v>
      </c>
      <c r="BF541">
        <v>0</v>
      </c>
      <c r="BG541">
        <v>0</v>
      </c>
      <c r="BH541">
        <v>0</v>
      </c>
      <c r="BI541" t="s">
        <v>199</v>
      </c>
      <c r="BJ541" t="s">
        <v>248</v>
      </c>
      <c r="BL541" t="s">
        <v>199</v>
      </c>
      <c r="BM541" t="s">
        <v>1825</v>
      </c>
      <c r="BN541" t="s">
        <v>182</v>
      </c>
      <c r="BO541" t="s">
        <v>198</v>
      </c>
      <c r="BP541" t="s">
        <v>198</v>
      </c>
      <c r="BQ541" t="s">
        <v>198</v>
      </c>
      <c r="BR541" t="s">
        <v>198</v>
      </c>
      <c r="BS541" t="s">
        <v>198</v>
      </c>
      <c r="BT541" t="s">
        <v>198</v>
      </c>
      <c r="BU541" t="s">
        <v>182</v>
      </c>
      <c r="BV541" t="s">
        <v>198</v>
      </c>
      <c r="BW541" t="s">
        <v>198</v>
      </c>
      <c r="BX541" t="s">
        <v>199</v>
      </c>
      <c r="BY541" t="s">
        <v>198</v>
      </c>
      <c r="BZ541" t="s">
        <v>199</v>
      </c>
      <c r="CA541" t="s">
        <v>199</v>
      </c>
      <c r="CB541" t="s">
        <v>7686</v>
      </c>
      <c r="CC541" t="s">
        <v>201</v>
      </c>
      <c r="CD541" t="s">
        <v>182</v>
      </c>
      <c r="CE541" t="s">
        <v>7687</v>
      </c>
      <c r="CF541" t="s">
        <v>1029</v>
      </c>
      <c r="CG541" t="s">
        <v>177</v>
      </c>
      <c r="CH541" t="s">
        <v>1030</v>
      </c>
      <c r="CI541" t="s">
        <v>7688</v>
      </c>
      <c r="CJ541" t="s">
        <v>7689</v>
      </c>
      <c r="CK541" t="s">
        <v>232</v>
      </c>
      <c r="CL541" t="s">
        <v>233</v>
      </c>
      <c r="CM541" t="s">
        <v>7690</v>
      </c>
      <c r="CN541" t="s">
        <v>484</v>
      </c>
      <c r="CO541" t="s">
        <v>183</v>
      </c>
      <c r="CP541" t="s">
        <v>266</v>
      </c>
      <c r="CS541" t="s">
        <v>198</v>
      </c>
      <c r="CT541" t="s">
        <v>7522</v>
      </c>
      <c r="CU541" t="s">
        <v>292</v>
      </c>
      <c r="CV541" t="s">
        <v>293</v>
      </c>
      <c r="CW541" t="s">
        <v>7691</v>
      </c>
      <c r="CX541" t="s">
        <v>482</v>
      </c>
      <c r="CY541" t="s">
        <v>183</v>
      </c>
      <c r="CZ541" t="s">
        <v>211</v>
      </c>
      <c r="DA541" t="s">
        <v>298</v>
      </c>
      <c r="DC541" t="s">
        <v>4023</v>
      </c>
      <c r="DD541" t="s">
        <v>6994</v>
      </c>
      <c r="DE541" t="s">
        <v>267</v>
      </c>
      <c r="DF541" t="s">
        <v>268</v>
      </c>
      <c r="DG541" t="s">
        <v>7692</v>
      </c>
      <c r="DH541" t="s">
        <v>331</v>
      </c>
      <c r="DI541" t="s">
        <v>183</v>
      </c>
      <c r="DJ541" t="s">
        <v>211</v>
      </c>
      <c r="DK541" t="s">
        <v>298</v>
      </c>
      <c r="DM541" t="s">
        <v>2096</v>
      </c>
      <c r="DN541" t="s">
        <v>6964</v>
      </c>
      <c r="DO541" t="s">
        <v>273</v>
      </c>
      <c r="DP541" t="s">
        <v>274</v>
      </c>
      <c r="DQ541" t="s">
        <v>7693</v>
      </c>
      <c r="DR541" t="s">
        <v>1491</v>
      </c>
      <c r="DS541" t="s">
        <v>183</v>
      </c>
      <c r="DT541" t="s">
        <v>211</v>
      </c>
      <c r="DU541" t="s">
        <v>298</v>
      </c>
      <c r="DW541" t="s">
        <v>1645</v>
      </c>
      <c r="DX541" t="s">
        <v>5243</v>
      </c>
      <c r="DY541" t="s">
        <v>302</v>
      </c>
      <c r="DZ541" t="s">
        <v>303</v>
      </c>
      <c r="EA541" t="s">
        <v>7694</v>
      </c>
      <c r="EB541" t="s">
        <v>440</v>
      </c>
      <c r="EC541" t="s">
        <v>183</v>
      </c>
      <c r="ED541" t="s">
        <v>211</v>
      </c>
      <c r="EE541" t="s">
        <v>298</v>
      </c>
      <c r="EG541" t="s">
        <v>3499</v>
      </c>
      <c r="EH541" t="s">
        <v>3373</v>
      </c>
      <c r="EI541" t="s">
        <v>238</v>
      </c>
      <c r="EJ541" t="s">
        <v>239</v>
      </c>
      <c r="EK541" t="s">
        <v>7695</v>
      </c>
      <c r="EL541" t="s">
        <v>400</v>
      </c>
      <c r="EM541" t="s">
        <v>183</v>
      </c>
      <c r="EN541" t="s">
        <v>211</v>
      </c>
      <c r="EO541" t="s">
        <v>298</v>
      </c>
      <c r="EQ541" t="s">
        <v>546</v>
      </c>
      <c r="ER541" t="s">
        <v>7696</v>
      </c>
      <c r="ES541" t="s">
        <v>346</v>
      </c>
      <c r="ET541" t="s">
        <v>347</v>
      </c>
      <c r="EU541" t="s">
        <v>7697</v>
      </c>
      <c r="EV541" t="s">
        <v>341</v>
      </c>
      <c r="EW541" t="s">
        <v>183</v>
      </c>
      <c r="EX541" t="s">
        <v>211</v>
      </c>
      <c r="EY541" t="s">
        <v>298</v>
      </c>
      <c r="FA541" t="s">
        <v>4631</v>
      </c>
      <c r="FB541" t="s">
        <v>7698</v>
      </c>
      <c r="FC541" t="s">
        <v>207</v>
      </c>
      <c r="FD541" t="s">
        <v>208</v>
      </c>
      <c r="FE541" t="s">
        <v>7699</v>
      </c>
      <c r="FF541" t="s">
        <v>576</v>
      </c>
      <c r="FG541" t="s">
        <v>183</v>
      </c>
      <c r="FH541" t="s">
        <v>211</v>
      </c>
      <c r="FI541" t="s">
        <v>298</v>
      </c>
      <c r="FK541" t="s">
        <v>7700</v>
      </c>
      <c r="FU541" t="s">
        <v>198</v>
      </c>
    </row>
    <row r="542" spans="1:177">
      <c r="A542" s="1" t="str">
        <f>HYPERLINK("http://digipan.lumentumllc.com/apps/getLink/index.php?t=PropLink&amp;p=5247503","PL")</f>
        <v>PL</v>
      </c>
      <c r="B542" s="1" t="str">
        <f>HYPERLINK("http://digipan.lumentumllc.com/apps/getLink/index.php?t=TaxLink&amp;p=5247503","TL")</f>
        <v>TL</v>
      </c>
      <c r="C542" s="1" t="str">
        <f>HYPERLINK("http://digipan.lumentumllc.com/apps/getMap/index.php?p=5247503","Map")</f>
        <v>Map</v>
      </c>
      <c r="E542" t="s">
        <v>177</v>
      </c>
      <c r="F542" t="s">
        <v>178</v>
      </c>
      <c r="L542" t="s">
        <v>7701</v>
      </c>
      <c r="N542" t="s">
        <v>7701</v>
      </c>
      <c r="O542" t="s">
        <v>7701</v>
      </c>
      <c r="P542" t="s">
        <v>7702</v>
      </c>
      <c r="Q542" t="s">
        <v>7701</v>
      </c>
      <c r="V542">
        <v>628</v>
      </c>
      <c r="W542">
        <v>2</v>
      </c>
      <c r="X542">
        <v>2017</v>
      </c>
      <c r="Y542">
        <v>2018</v>
      </c>
      <c r="Z542">
        <v>1243.3399999999999</v>
      </c>
      <c r="AB542" t="s">
        <v>181</v>
      </c>
      <c r="AC542" t="s">
        <v>182</v>
      </c>
      <c r="AD542" t="s">
        <v>183</v>
      </c>
      <c r="AE542">
        <v>1</v>
      </c>
      <c r="AF542">
        <v>6</v>
      </c>
      <c r="AG542" t="s">
        <v>418</v>
      </c>
      <c r="AH542">
        <v>86</v>
      </c>
      <c r="AI542">
        <v>1272.04</v>
      </c>
      <c r="AJ542">
        <v>63.6</v>
      </c>
      <c r="AK542">
        <v>1335.64</v>
      </c>
      <c r="AL542">
        <v>73986</v>
      </c>
      <c r="AM542">
        <v>20400</v>
      </c>
      <c r="AN542">
        <v>53586</v>
      </c>
      <c r="AO542">
        <v>1151</v>
      </c>
      <c r="AP542">
        <v>2016</v>
      </c>
      <c r="AQ542">
        <v>1.68</v>
      </c>
      <c r="AR542">
        <v>1.81</v>
      </c>
      <c r="AS542" t="s">
        <v>7703</v>
      </c>
      <c r="AT542" t="s">
        <v>3747</v>
      </c>
      <c r="AU542" t="s">
        <v>177</v>
      </c>
      <c r="AV542" t="s">
        <v>1030</v>
      </c>
      <c r="AW542" t="s">
        <v>182</v>
      </c>
      <c r="AX542">
        <v>8</v>
      </c>
      <c r="AY542" t="s">
        <v>188</v>
      </c>
      <c r="AZ542" t="s">
        <v>329</v>
      </c>
      <c r="BA542" t="s">
        <v>6773</v>
      </c>
      <c r="BB542" t="s">
        <v>191</v>
      </c>
      <c r="BC542" t="s">
        <v>182</v>
      </c>
      <c r="BD542" t="s">
        <v>182</v>
      </c>
      <c r="BE542" t="s">
        <v>5145</v>
      </c>
      <c r="BF542">
        <v>1</v>
      </c>
      <c r="BG542">
        <v>9</v>
      </c>
      <c r="BH542">
        <v>1958</v>
      </c>
      <c r="BI542" t="s">
        <v>7704</v>
      </c>
      <c r="BJ542" t="s">
        <v>194</v>
      </c>
      <c r="BK542" t="s">
        <v>840</v>
      </c>
      <c r="BL542" t="s">
        <v>199</v>
      </c>
      <c r="BM542" t="s">
        <v>533</v>
      </c>
      <c r="BN542" t="s">
        <v>182</v>
      </c>
      <c r="BO542" t="s">
        <v>198</v>
      </c>
      <c r="BP542" t="s">
        <v>198</v>
      </c>
      <c r="BQ542" t="s">
        <v>198</v>
      </c>
      <c r="BR542" t="s">
        <v>198</v>
      </c>
      <c r="BS542" t="s">
        <v>198</v>
      </c>
      <c r="BT542" t="s">
        <v>198</v>
      </c>
      <c r="BU542" t="s">
        <v>182</v>
      </c>
      <c r="BV542" t="s">
        <v>198</v>
      </c>
      <c r="BW542" t="s">
        <v>198</v>
      </c>
      <c r="BX542" t="s">
        <v>199</v>
      </c>
      <c r="BY542" t="s">
        <v>198</v>
      </c>
      <c r="BZ542" t="s">
        <v>199</v>
      </c>
      <c r="CA542" t="s">
        <v>199</v>
      </c>
      <c r="CB542" t="s">
        <v>7686</v>
      </c>
      <c r="CC542" t="s">
        <v>201</v>
      </c>
      <c r="CD542" t="s">
        <v>182</v>
      </c>
      <c r="CE542" t="s">
        <v>7705</v>
      </c>
      <c r="CF542" t="s">
        <v>1029</v>
      </c>
      <c r="CG542" t="s">
        <v>177</v>
      </c>
      <c r="CH542" t="s">
        <v>1030</v>
      </c>
      <c r="CI542" t="s">
        <v>7706</v>
      </c>
      <c r="CJ542" t="s">
        <v>7707</v>
      </c>
      <c r="CK542" t="s">
        <v>232</v>
      </c>
      <c r="CL542" t="s">
        <v>233</v>
      </c>
      <c r="CM542" t="s">
        <v>7708</v>
      </c>
      <c r="CN542" t="s">
        <v>235</v>
      </c>
      <c r="CO542" t="s">
        <v>183</v>
      </c>
      <c r="CP542" t="s">
        <v>266</v>
      </c>
      <c r="CS542" t="s">
        <v>198</v>
      </c>
      <c r="CT542" t="s">
        <v>7548</v>
      </c>
      <c r="CU542" t="s">
        <v>292</v>
      </c>
      <c r="CV542" t="s">
        <v>293</v>
      </c>
      <c r="CW542" t="s">
        <v>7709</v>
      </c>
      <c r="CX542" t="s">
        <v>235</v>
      </c>
      <c r="CY542" t="s">
        <v>183</v>
      </c>
      <c r="CZ542" t="s">
        <v>211</v>
      </c>
      <c r="DA542" t="s">
        <v>298</v>
      </c>
      <c r="DC542" t="s">
        <v>4023</v>
      </c>
      <c r="DD542" t="s">
        <v>7710</v>
      </c>
      <c r="DE542" t="s">
        <v>267</v>
      </c>
      <c r="DF542" t="s">
        <v>268</v>
      </c>
      <c r="DG542" t="s">
        <v>7711</v>
      </c>
      <c r="DH542" t="s">
        <v>235</v>
      </c>
      <c r="DI542" t="s">
        <v>183</v>
      </c>
      <c r="DJ542" t="s">
        <v>211</v>
      </c>
      <c r="DK542" t="s">
        <v>298</v>
      </c>
      <c r="DM542" t="s">
        <v>2096</v>
      </c>
      <c r="DN542" t="s">
        <v>6975</v>
      </c>
      <c r="DO542" t="s">
        <v>273</v>
      </c>
      <c r="DP542" t="s">
        <v>274</v>
      </c>
      <c r="DQ542" t="s">
        <v>7712</v>
      </c>
      <c r="DR542" t="s">
        <v>235</v>
      </c>
      <c r="DS542" t="s">
        <v>183</v>
      </c>
      <c r="DT542" t="s">
        <v>211</v>
      </c>
      <c r="DU542" t="s">
        <v>298</v>
      </c>
      <c r="DW542" t="s">
        <v>1645</v>
      </c>
      <c r="DX542" t="s">
        <v>5262</v>
      </c>
      <c r="DY542" t="s">
        <v>302</v>
      </c>
      <c r="DZ542" t="s">
        <v>303</v>
      </c>
      <c r="EA542" t="s">
        <v>7713</v>
      </c>
      <c r="EB542" t="s">
        <v>235</v>
      </c>
      <c r="EC542" t="s">
        <v>183</v>
      </c>
      <c r="ED542" t="s">
        <v>211</v>
      </c>
      <c r="EE542" t="s">
        <v>298</v>
      </c>
      <c r="EG542" t="s">
        <v>3499</v>
      </c>
      <c r="EH542" t="s">
        <v>7714</v>
      </c>
      <c r="EI542" t="s">
        <v>238</v>
      </c>
      <c r="EJ542" t="s">
        <v>239</v>
      </c>
      <c r="EK542" t="s">
        <v>7715</v>
      </c>
      <c r="EL542" t="s">
        <v>235</v>
      </c>
      <c r="EM542" t="s">
        <v>183</v>
      </c>
      <c r="EN542" t="s">
        <v>211</v>
      </c>
      <c r="EO542" t="s">
        <v>298</v>
      </c>
      <c r="EQ542" t="s">
        <v>546</v>
      </c>
      <c r="ER542" t="s">
        <v>7716</v>
      </c>
      <c r="ES542" t="s">
        <v>346</v>
      </c>
      <c r="ET542" t="s">
        <v>347</v>
      </c>
      <c r="EU542" t="s">
        <v>7717</v>
      </c>
      <c r="EV542" t="s">
        <v>235</v>
      </c>
      <c r="EW542" t="s">
        <v>183</v>
      </c>
      <c r="EX542" t="s">
        <v>211</v>
      </c>
      <c r="EY542" t="s">
        <v>298</v>
      </c>
      <c r="FA542" t="s">
        <v>4631</v>
      </c>
      <c r="FK542" t="s">
        <v>198</v>
      </c>
      <c r="FU542" t="s">
        <v>198</v>
      </c>
    </row>
    <row r="543" spans="1:177">
      <c r="A543" s="1" t="str">
        <f>HYPERLINK("http://digipan.lumentumllc.com/apps/getLink/index.php?t=PropLink&amp;p=6462029","PL")</f>
        <v>PL</v>
      </c>
      <c r="B543" s="1" t="str">
        <f>HYPERLINK("http://digipan.lumentumllc.com/apps/getLink/index.php?t=TaxLink&amp;p=6462029","TL")</f>
        <v>TL</v>
      </c>
      <c r="C543" s="1" t="str">
        <f>HYPERLINK("http://digipan.lumentumllc.com/apps/getMap/index.php?p=6462029","Map")</f>
        <v>Map</v>
      </c>
      <c r="E543" t="s">
        <v>177</v>
      </c>
      <c r="F543" t="s">
        <v>178</v>
      </c>
      <c r="L543" t="s">
        <v>7718</v>
      </c>
      <c r="N543" t="s">
        <v>7718</v>
      </c>
      <c r="O543" t="s">
        <v>7718</v>
      </c>
      <c r="P543" t="s">
        <v>7719</v>
      </c>
      <c r="Q543" t="s">
        <v>7718</v>
      </c>
      <c r="V543">
        <v>629</v>
      </c>
      <c r="W543">
        <v>2</v>
      </c>
      <c r="X543">
        <v>2017</v>
      </c>
      <c r="Y543">
        <v>2018</v>
      </c>
      <c r="Z543">
        <v>334.35</v>
      </c>
      <c r="AB543" t="s">
        <v>181</v>
      </c>
      <c r="AC543" t="s">
        <v>182</v>
      </c>
      <c r="AD543" t="s">
        <v>183</v>
      </c>
      <c r="AE543">
        <v>0</v>
      </c>
      <c r="AF543">
        <v>6</v>
      </c>
      <c r="AG543" t="s">
        <v>3266</v>
      </c>
      <c r="AH543">
        <v>100</v>
      </c>
      <c r="AK543">
        <v>0</v>
      </c>
      <c r="AL543">
        <v>61917</v>
      </c>
      <c r="AM543">
        <v>30600</v>
      </c>
      <c r="AN543">
        <v>31317</v>
      </c>
      <c r="AO543">
        <v>270</v>
      </c>
      <c r="AP543">
        <v>2016</v>
      </c>
      <c r="AQ543">
        <v>0.54</v>
      </c>
      <c r="AS543" t="s">
        <v>7720</v>
      </c>
      <c r="AT543" t="s">
        <v>3747</v>
      </c>
      <c r="AU543" t="s">
        <v>177</v>
      </c>
      <c r="AV543" t="s">
        <v>1030</v>
      </c>
      <c r="AW543" t="s">
        <v>202</v>
      </c>
      <c r="AX543">
        <v>2</v>
      </c>
      <c r="AY543" t="s">
        <v>188</v>
      </c>
      <c r="AZ543" t="s">
        <v>189</v>
      </c>
      <c r="BA543" t="s">
        <v>190</v>
      </c>
      <c r="BB543" t="s">
        <v>191</v>
      </c>
      <c r="BC543" t="s">
        <v>182</v>
      </c>
      <c r="BD543" t="s">
        <v>182</v>
      </c>
      <c r="BE543" t="s">
        <v>7721</v>
      </c>
      <c r="BF543">
        <v>1</v>
      </c>
      <c r="BG543">
        <v>1</v>
      </c>
      <c r="BH543">
        <v>1990</v>
      </c>
      <c r="BI543" t="s">
        <v>7722</v>
      </c>
      <c r="BJ543" t="s">
        <v>194</v>
      </c>
      <c r="BK543" t="s">
        <v>195</v>
      </c>
      <c r="BL543" t="s">
        <v>199</v>
      </c>
      <c r="BM543" t="s">
        <v>1825</v>
      </c>
      <c r="BN543" t="s">
        <v>182</v>
      </c>
      <c r="BO543" t="s">
        <v>7723</v>
      </c>
      <c r="BP543" t="s">
        <v>7724</v>
      </c>
      <c r="BS543" t="s">
        <v>7725</v>
      </c>
      <c r="BT543" t="s">
        <v>198</v>
      </c>
      <c r="BU543" t="s">
        <v>182</v>
      </c>
      <c r="BV543" t="s">
        <v>198</v>
      </c>
      <c r="BW543" t="s">
        <v>198</v>
      </c>
      <c r="BX543" t="s">
        <v>199</v>
      </c>
      <c r="BY543" t="s">
        <v>198</v>
      </c>
      <c r="BZ543" t="s">
        <v>199</v>
      </c>
      <c r="CA543" t="s">
        <v>199</v>
      </c>
      <c r="CB543" t="s">
        <v>7726</v>
      </c>
      <c r="CC543" t="s">
        <v>201</v>
      </c>
      <c r="CD543" t="s">
        <v>182</v>
      </c>
      <c r="CE543" t="s">
        <v>7727</v>
      </c>
      <c r="CF543" t="s">
        <v>1029</v>
      </c>
      <c r="CG543" t="s">
        <v>177</v>
      </c>
      <c r="CH543" t="s">
        <v>1030</v>
      </c>
      <c r="CI543" t="s">
        <v>7728</v>
      </c>
      <c r="CJ543" t="s">
        <v>7024</v>
      </c>
      <c r="CK543" t="s">
        <v>232</v>
      </c>
      <c r="CL543" t="s">
        <v>233</v>
      </c>
      <c r="CM543" t="s">
        <v>7729</v>
      </c>
      <c r="CN543" t="s">
        <v>235</v>
      </c>
      <c r="CO543" t="s">
        <v>183</v>
      </c>
      <c r="CP543" t="s">
        <v>211</v>
      </c>
      <c r="CQ543" t="s">
        <v>199</v>
      </c>
      <c r="CS543" t="s">
        <v>1008</v>
      </c>
      <c r="CT543" t="s">
        <v>6873</v>
      </c>
      <c r="CU543" t="s">
        <v>292</v>
      </c>
      <c r="CV543" t="s">
        <v>293</v>
      </c>
      <c r="CW543" t="s">
        <v>7730</v>
      </c>
      <c r="CX543" t="s">
        <v>235</v>
      </c>
      <c r="CY543" t="s">
        <v>183</v>
      </c>
      <c r="CZ543" t="s">
        <v>211</v>
      </c>
      <c r="DA543" t="s">
        <v>189</v>
      </c>
      <c r="DC543" t="s">
        <v>7731</v>
      </c>
      <c r="DD543" t="s">
        <v>5738</v>
      </c>
      <c r="DE543" t="s">
        <v>267</v>
      </c>
      <c r="DF543" t="s">
        <v>268</v>
      </c>
      <c r="DG543" t="s">
        <v>7732</v>
      </c>
      <c r="DH543" t="s">
        <v>235</v>
      </c>
      <c r="DI543" t="s">
        <v>183</v>
      </c>
      <c r="DJ543" t="s">
        <v>211</v>
      </c>
      <c r="DK543" t="s">
        <v>460</v>
      </c>
      <c r="DM543" t="s">
        <v>7731</v>
      </c>
      <c r="DN543" t="s">
        <v>6994</v>
      </c>
      <c r="DO543" t="s">
        <v>273</v>
      </c>
      <c r="DP543" t="s">
        <v>274</v>
      </c>
      <c r="DQ543" t="s">
        <v>7733</v>
      </c>
      <c r="DR543" t="s">
        <v>235</v>
      </c>
      <c r="DS543" t="s">
        <v>183</v>
      </c>
      <c r="DT543" t="s">
        <v>211</v>
      </c>
      <c r="DU543" t="s">
        <v>250</v>
      </c>
      <c r="DW543" t="s">
        <v>7734</v>
      </c>
      <c r="DX543" t="s">
        <v>7735</v>
      </c>
      <c r="DY543" t="s">
        <v>302</v>
      </c>
      <c r="DZ543" t="s">
        <v>303</v>
      </c>
      <c r="EA543" t="s">
        <v>7736</v>
      </c>
      <c r="EB543" t="s">
        <v>436</v>
      </c>
      <c r="EC543" t="s">
        <v>183</v>
      </c>
      <c r="ED543" t="s">
        <v>211</v>
      </c>
      <c r="EE543" t="s">
        <v>296</v>
      </c>
      <c r="EG543" t="s">
        <v>7737</v>
      </c>
      <c r="EH543" t="s">
        <v>4723</v>
      </c>
      <c r="EI543" t="s">
        <v>207</v>
      </c>
      <c r="EJ543" t="s">
        <v>208</v>
      </c>
      <c r="EK543" t="s">
        <v>7738</v>
      </c>
      <c r="EL543" t="s">
        <v>1676</v>
      </c>
      <c r="EM543" t="s">
        <v>183</v>
      </c>
      <c r="EN543" t="s">
        <v>211</v>
      </c>
      <c r="EO543" t="s">
        <v>199</v>
      </c>
      <c r="EQ543" t="s">
        <v>7739</v>
      </c>
      <c r="FA543" t="s">
        <v>198</v>
      </c>
      <c r="FK543" t="s">
        <v>198</v>
      </c>
      <c r="FU543" t="s">
        <v>198</v>
      </c>
    </row>
    <row r="544" spans="1:177">
      <c r="A544" s="1" t="str">
        <f>HYPERLINK("http://digipan.lumentumllc.com/apps/getLink/index.php?t=PropLink&amp;p=7112539","PL")</f>
        <v>PL</v>
      </c>
      <c r="B544" s="1" t="str">
        <f>HYPERLINK("http://digipan.lumentumllc.com/apps/getLink/index.php?t=TaxLink&amp;p=7112539","TL")</f>
        <v>TL</v>
      </c>
      <c r="C544" s="1" t="str">
        <f>HYPERLINK("http://digipan.lumentumllc.com/apps/getMap/index.php?p=7112539","Map")</f>
        <v>Map</v>
      </c>
      <c r="E544" t="s">
        <v>177</v>
      </c>
      <c r="F544" t="s">
        <v>178</v>
      </c>
      <c r="L544" t="s">
        <v>7740</v>
      </c>
      <c r="N544" t="s">
        <v>7740</v>
      </c>
      <c r="O544" t="s">
        <v>7740</v>
      </c>
      <c r="P544" t="s">
        <v>7741</v>
      </c>
      <c r="Q544" t="s">
        <v>7740</v>
      </c>
      <c r="V544">
        <v>630</v>
      </c>
      <c r="W544">
        <v>2</v>
      </c>
      <c r="X544">
        <v>2017</v>
      </c>
      <c r="Y544">
        <v>2018</v>
      </c>
      <c r="Z544">
        <v>845.26</v>
      </c>
      <c r="AG544" t="s">
        <v>184</v>
      </c>
      <c r="AH544">
        <v>0</v>
      </c>
      <c r="AK544">
        <v>0</v>
      </c>
      <c r="AL544">
        <v>49672</v>
      </c>
      <c r="AM544">
        <v>25680</v>
      </c>
      <c r="AN544">
        <v>23992</v>
      </c>
      <c r="AO544">
        <v>767</v>
      </c>
      <c r="AP544">
        <v>2016</v>
      </c>
      <c r="AQ544">
        <v>1.7</v>
      </c>
      <c r="AS544" t="s">
        <v>7742</v>
      </c>
      <c r="AT544" t="s">
        <v>3747</v>
      </c>
      <c r="AU544" t="s">
        <v>177</v>
      </c>
      <c r="AV544" t="s">
        <v>1030</v>
      </c>
      <c r="AW544" t="s">
        <v>182</v>
      </c>
      <c r="AX544">
        <v>1</v>
      </c>
      <c r="AY544" t="s">
        <v>188</v>
      </c>
      <c r="AZ544" t="s">
        <v>206</v>
      </c>
      <c r="BA544" t="s">
        <v>355</v>
      </c>
      <c r="BB544" t="s">
        <v>191</v>
      </c>
      <c r="BC544" t="s">
        <v>182</v>
      </c>
      <c r="BD544" t="s">
        <v>182</v>
      </c>
      <c r="BE544" t="s">
        <v>7743</v>
      </c>
      <c r="BF544">
        <v>1</v>
      </c>
      <c r="BG544">
        <v>1</v>
      </c>
      <c r="BH544">
        <v>1980</v>
      </c>
      <c r="BI544" t="s">
        <v>3943</v>
      </c>
      <c r="BJ544" t="s">
        <v>194</v>
      </c>
      <c r="BK544" t="s">
        <v>195</v>
      </c>
      <c r="BL544" t="s">
        <v>199</v>
      </c>
      <c r="BM544" t="s">
        <v>267</v>
      </c>
      <c r="BN544" t="s">
        <v>182</v>
      </c>
      <c r="BO544" t="s">
        <v>198</v>
      </c>
      <c r="BP544" t="s">
        <v>198</v>
      </c>
      <c r="BQ544" t="s">
        <v>198</v>
      </c>
      <c r="BR544" t="s">
        <v>198</v>
      </c>
      <c r="BS544" t="s">
        <v>198</v>
      </c>
      <c r="BT544" t="s">
        <v>198</v>
      </c>
      <c r="BU544" t="s">
        <v>182</v>
      </c>
      <c r="BV544" t="s">
        <v>198</v>
      </c>
      <c r="BW544" t="s">
        <v>198</v>
      </c>
      <c r="BX544" t="s">
        <v>199</v>
      </c>
      <c r="BY544" t="s">
        <v>198</v>
      </c>
      <c r="BZ544" t="s">
        <v>199</v>
      </c>
      <c r="CA544" t="s">
        <v>199</v>
      </c>
      <c r="CB544" t="s">
        <v>7744</v>
      </c>
      <c r="CC544" t="s">
        <v>1407</v>
      </c>
      <c r="CD544" t="s">
        <v>182</v>
      </c>
      <c r="CE544" t="s">
        <v>7745</v>
      </c>
      <c r="CF544" t="s">
        <v>1029</v>
      </c>
      <c r="CG544" t="s">
        <v>177</v>
      </c>
      <c r="CH544" t="s">
        <v>1030</v>
      </c>
      <c r="CI544" t="s">
        <v>7728</v>
      </c>
      <c r="CS544" t="s">
        <v>198</v>
      </c>
      <c r="DC544" t="s">
        <v>198</v>
      </c>
      <c r="DM544" t="s">
        <v>198</v>
      </c>
      <c r="DW544" t="s">
        <v>198</v>
      </c>
      <c r="EG544" t="s">
        <v>198</v>
      </c>
      <c r="EQ544" t="s">
        <v>198</v>
      </c>
      <c r="FA544" t="s">
        <v>198</v>
      </c>
      <c r="FK544" t="s">
        <v>198</v>
      </c>
      <c r="FU544" t="s">
        <v>198</v>
      </c>
    </row>
    <row r="545" spans="1:177">
      <c r="A545" s="1" t="str">
        <f>HYPERLINK("http://digipan.lumentumllc.com/apps/getLink/index.php?t=PropLink&amp;p=5247508","PL")</f>
        <v>PL</v>
      </c>
      <c r="B545" s="1" t="str">
        <f>HYPERLINK("http://digipan.lumentumllc.com/apps/getLink/index.php?t=TaxLink&amp;p=5247508","TL")</f>
        <v>TL</v>
      </c>
      <c r="C545" s="1" t="str">
        <f>HYPERLINK("http://digipan.lumentumllc.com/apps/getMap/index.php?p=5247508","Map")</f>
        <v>Map</v>
      </c>
      <c r="E545" t="s">
        <v>177</v>
      </c>
      <c r="F545" t="s">
        <v>178</v>
      </c>
      <c r="L545" t="s">
        <v>7746</v>
      </c>
      <c r="N545" t="s">
        <v>7746</v>
      </c>
      <c r="O545" t="s">
        <v>7746</v>
      </c>
      <c r="P545" t="s">
        <v>7747</v>
      </c>
      <c r="Q545" t="s">
        <v>7746</v>
      </c>
      <c r="V545">
        <v>631</v>
      </c>
      <c r="W545">
        <v>2</v>
      </c>
      <c r="X545">
        <v>2017</v>
      </c>
      <c r="Y545">
        <v>2018</v>
      </c>
      <c r="Z545">
        <v>872.09</v>
      </c>
      <c r="AB545" t="s">
        <v>181</v>
      </c>
      <c r="AC545" t="s">
        <v>182</v>
      </c>
      <c r="AD545" t="s">
        <v>183</v>
      </c>
      <c r="AE545">
        <v>7</v>
      </c>
      <c r="AF545">
        <v>0</v>
      </c>
      <c r="AG545" t="s">
        <v>1038</v>
      </c>
      <c r="AH545">
        <v>0</v>
      </c>
      <c r="AI545">
        <v>6817.93</v>
      </c>
      <c r="AJ545">
        <v>3549.88</v>
      </c>
      <c r="AK545">
        <v>10367.81</v>
      </c>
      <c r="AL545">
        <v>51311</v>
      </c>
      <c r="AM545">
        <v>25000</v>
      </c>
      <c r="AN545">
        <v>26311</v>
      </c>
      <c r="AO545">
        <v>750</v>
      </c>
      <c r="AP545">
        <v>2016</v>
      </c>
      <c r="AQ545">
        <v>1.7</v>
      </c>
      <c r="AR545">
        <v>20.21</v>
      </c>
      <c r="AS545" t="s">
        <v>7748</v>
      </c>
      <c r="AT545" t="s">
        <v>3747</v>
      </c>
      <c r="AU545" t="s">
        <v>177</v>
      </c>
      <c r="AV545" t="s">
        <v>1030</v>
      </c>
      <c r="AW545" t="s">
        <v>182</v>
      </c>
      <c r="AX545">
        <v>11</v>
      </c>
      <c r="AY545" t="s">
        <v>3641</v>
      </c>
      <c r="AZ545" t="s">
        <v>212</v>
      </c>
      <c r="BA545" t="s">
        <v>5959</v>
      </c>
      <c r="BB545" t="s">
        <v>1868</v>
      </c>
      <c r="BC545" t="s">
        <v>182</v>
      </c>
      <c r="BD545" t="s">
        <v>182</v>
      </c>
      <c r="BE545" t="s">
        <v>383</v>
      </c>
      <c r="BF545">
        <v>1</v>
      </c>
      <c r="BG545">
        <v>0</v>
      </c>
      <c r="BH545">
        <v>1962</v>
      </c>
      <c r="BI545" t="s">
        <v>7749</v>
      </c>
      <c r="BJ545" t="s">
        <v>315</v>
      </c>
      <c r="BK545" t="s">
        <v>840</v>
      </c>
      <c r="BL545" t="s">
        <v>2191</v>
      </c>
      <c r="BM545" t="s">
        <v>533</v>
      </c>
      <c r="BN545" t="s">
        <v>182</v>
      </c>
      <c r="BO545" t="s">
        <v>198</v>
      </c>
      <c r="BP545" t="s">
        <v>198</v>
      </c>
      <c r="BQ545" t="s">
        <v>198</v>
      </c>
      <c r="BR545" t="s">
        <v>198</v>
      </c>
      <c r="BS545" t="s">
        <v>198</v>
      </c>
      <c r="BT545" t="s">
        <v>198</v>
      </c>
      <c r="BU545" t="s">
        <v>182</v>
      </c>
      <c r="BV545" t="s">
        <v>198</v>
      </c>
      <c r="BW545" t="s">
        <v>198</v>
      </c>
      <c r="BX545" t="s">
        <v>199</v>
      </c>
      <c r="BY545" t="s">
        <v>198</v>
      </c>
      <c r="BZ545" t="s">
        <v>199</v>
      </c>
      <c r="CA545" t="s">
        <v>199</v>
      </c>
      <c r="CB545" t="s">
        <v>7750</v>
      </c>
      <c r="CC545" t="s">
        <v>201</v>
      </c>
      <c r="CD545" t="s">
        <v>202</v>
      </c>
      <c r="CE545" t="s">
        <v>7751</v>
      </c>
      <c r="CF545" t="s">
        <v>204</v>
      </c>
      <c r="CG545" t="s">
        <v>177</v>
      </c>
      <c r="CH545" t="s">
        <v>187</v>
      </c>
      <c r="CI545" t="s">
        <v>7752</v>
      </c>
      <c r="CJ545" t="s">
        <v>7753</v>
      </c>
      <c r="CK545" t="s">
        <v>232</v>
      </c>
      <c r="CL545" t="s">
        <v>233</v>
      </c>
      <c r="CM545" t="s">
        <v>7754</v>
      </c>
      <c r="CN545" t="s">
        <v>482</v>
      </c>
      <c r="CO545" t="s">
        <v>183</v>
      </c>
      <c r="CP545" t="s">
        <v>266</v>
      </c>
      <c r="CS545" t="s">
        <v>198</v>
      </c>
      <c r="CT545" t="s">
        <v>7578</v>
      </c>
      <c r="CU545" t="s">
        <v>292</v>
      </c>
      <c r="CV545" t="s">
        <v>293</v>
      </c>
      <c r="CW545" t="s">
        <v>7755</v>
      </c>
      <c r="CX545" t="s">
        <v>482</v>
      </c>
      <c r="CY545" t="s">
        <v>183</v>
      </c>
      <c r="CZ545" t="s">
        <v>266</v>
      </c>
      <c r="DC545" t="s">
        <v>198</v>
      </c>
      <c r="DD545" t="s">
        <v>7689</v>
      </c>
      <c r="DE545" t="s">
        <v>267</v>
      </c>
      <c r="DF545" t="s">
        <v>268</v>
      </c>
      <c r="DG545" t="s">
        <v>7756</v>
      </c>
      <c r="DH545" t="s">
        <v>482</v>
      </c>
      <c r="DI545" t="s">
        <v>183</v>
      </c>
      <c r="DJ545" t="s">
        <v>266</v>
      </c>
      <c r="DM545" t="s">
        <v>198</v>
      </c>
      <c r="DN545" t="s">
        <v>7710</v>
      </c>
      <c r="DO545" t="s">
        <v>273</v>
      </c>
      <c r="DP545" t="s">
        <v>274</v>
      </c>
      <c r="DQ545" t="s">
        <v>7757</v>
      </c>
      <c r="DR545" t="s">
        <v>4595</v>
      </c>
      <c r="DS545" t="s">
        <v>183</v>
      </c>
      <c r="DT545" t="s">
        <v>266</v>
      </c>
      <c r="DW545" t="s">
        <v>198</v>
      </c>
      <c r="DX545" t="s">
        <v>7758</v>
      </c>
      <c r="DY545" t="s">
        <v>302</v>
      </c>
      <c r="DZ545" t="s">
        <v>303</v>
      </c>
      <c r="EA545" t="s">
        <v>7759</v>
      </c>
      <c r="EB545" t="s">
        <v>331</v>
      </c>
      <c r="EC545" t="s">
        <v>183</v>
      </c>
      <c r="ED545" t="s">
        <v>266</v>
      </c>
      <c r="EG545" t="s">
        <v>198</v>
      </c>
      <c r="EH545" t="s">
        <v>7760</v>
      </c>
      <c r="EI545" t="s">
        <v>238</v>
      </c>
      <c r="EJ545" t="s">
        <v>239</v>
      </c>
      <c r="EK545" t="s">
        <v>7761</v>
      </c>
      <c r="EL545" t="s">
        <v>333</v>
      </c>
      <c r="EM545" t="s">
        <v>183</v>
      </c>
      <c r="EN545" t="s">
        <v>266</v>
      </c>
      <c r="EQ545" t="s">
        <v>198</v>
      </c>
      <c r="ER545" t="s">
        <v>7762</v>
      </c>
      <c r="ES545" t="s">
        <v>346</v>
      </c>
      <c r="ET545" t="s">
        <v>347</v>
      </c>
      <c r="EU545" t="s">
        <v>7763</v>
      </c>
      <c r="EV545" t="s">
        <v>576</v>
      </c>
      <c r="EW545" t="s">
        <v>183</v>
      </c>
      <c r="EX545" t="s">
        <v>266</v>
      </c>
      <c r="FA545" t="s">
        <v>198</v>
      </c>
      <c r="FK545" t="s">
        <v>198</v>
      </c>
      <c r="FU545" t="s">
        <v>198</v>
      </c>
    </row>
    <row r="546" spans="1:177">
      <c r="A546" s="1" t="str">
        <f>HYPERLINK("http://digipan.lumentumllc.com/apps/getLink/index.php?t=PropLink&amp;p=5247509","PL")</f>
        <v>PL</v>
      </c>
      <c r="B546" s="1" t="str">
        <f>HYPERLINK("http://digipan.lumentumllc.com/apps/getLink/index.php?t=TaxLink&amp;p=5247509","TL")</f>
        <v>TL</v>
      </c>
      <c r="C546" s="1" t="str">
        <f>HYPERLINK("http://digipan.lumentumllc.com/apps/getMap/index.php?p=5247509","Map")</f>
        <v>Map</v>
      </c>
      <c r="E546" t="s">
        <v>177</v>
      </c>
      <c r="F546" t="s">
        <v>178</v>
      </c>
      <c r="L546" t="s">
        <v>7764</v>
      </c>
      <c r="N546" t="s">
        <v>7764</v>
      </c>
      <c r="O546" t="s">
        <v>7764</v>
      </c>
      <c r="P546" t="s">
        <v>7765</v>
      </c>
      <c r="Q546" t="s">
        <v>7764</v>
      </c>
      <c r="V546">
        <v>632</v>
      </c>
      <c r="W546">
        <v>2</v>
      </c>
      <c r="X546">
        <v>2017</v>
      </c>
      <c r="Y546">
        <v>2018</v>
      </c>
      <c r="Z546">
        <v>329.4</v>
      </c>
      <c r="AB546" t="s">
        <v>181</v>
      </c>
      <c r="AC546" t="s">
        <v>182</v>
      </c>
      <c r="AD546" t="s">
        <v>183</v>
      </c>
      <c r="AE546">
        <v>1</v>
      </c>
      <c r="AF546">
        <v>7</v>
      </c>
      <c r="AG546" t="s">
        <v>418</v>
      </c>
      <c r="AH546">
        <v>86</v>
      </c>
      <c r="AI546">
        <v>313.83</v>
      </c>
      <c r="AJ546">
        <v>15.69</v>
      </c>
      <c r="AK546">
        <v>329.52</v>
      </c>
      <c r="AL546">
        <v>59690</v>
      </c>
      <c r="AM546">
        <v>18000</v>
      </c>
      <c r="AN546">
        <v>41690</v>
      </c>
      <c r="AO546">
        <v>265</v>
      </c>
      <c r="AP546">
        <v>2016</v>
      </c>
      <c r="AQ546">
        <v>0.55000000000000004</v>
      </c>
      <c r="AR546">
        <v>0.55000000000000004</v>
      </c>
      <c r="AS546" t="s">
        <v>7766</v>
      </c>
      <c r="AT546" t="s">
        <v>3747</v>
      </c>
      <c r="AU546" t="s">
        <v>177</v>
      </c>
      <c r="AV546" t="s">
        <v>1030</v>
      </c>
      <c r="AW546" t="s">
        <v>202</v>
      </c>
      <c r="AX546">
        <v>2</v>
      </c>
      <c r="AY546" t="s">
        <v>188</v>
      </c>
      <c r="AZ546" t="s">
        <v>189</v>
      </c>
      <c r="BA546" t="s">
        <v>190</v>
      </c>
      <c r="BB546" t="s">
        <v>191</v>
      </c>
      <c r="BC546" t="s">
        <v>182</v>
      </c>
      <c r="BD546" t="s">
        <v>182</v>
      </c>
      <c r="BE546" t="s">
        <v>7767</v>
      </c>
      <c r="BF546">
        <v>1</v>
      </c>
      <c r="BG546">
        <v>1</v>
      </c>
      <c r="BH546">
        <v>1994</v>
      </c>
      <c r="BI546" t="s">
        <v>7189</v>
      </c>
      <c r="BJ546" t="s">
        <v>194</v>
      </c>
      <c r="BK546" t="s">
        <v>195</v>
      </c>
      <c r="BL546" t="s">
        <v>199</v>
      </c>
      <c r="BM546" t="s">
        <v>1825</v>
      </c>
      <c r="BN546" t="s">
        <v>182</v>
      </c>
      <c r="BO546" t="s">
        <v>198</v>
      </c>
      <c r="BP546" t="s">
        <v>198</v>
      </c>
      <c r="BQ546" t="s">
        <v>198</v>
      </c>
      <c r="BR546" t="s">
        <v>198</v>
      </c>
      <c r="BS546" t="s">
        <v>198</v>
      </c>
      <c r="BT546" t="s">
        <v>198</v>
      </c>
      <c r="BU546" t="s">
        <v>182</v>
      </c>
      <c r="BV546" t="s">
        <v>198</v>
      </c>
      <c r="BW546" t="s">
        <v>198</v>
      </c>
      <c r="BX546" t="s">
        <v>199</v>
      </c>
      <c r="BY546" t="s">
        <v>198</v>
      </c>
      <c r="BZ546" t="s">
        <v>199</v>
      </c>
      <c r="CA546" t="s">
        <v>199</v>
      </c>
      <c r="CB546" t="s">
        <v>7768</v>
      </c>
      <c r="CC546" t="s">
        <v>201</v>
      </c>
      <c r="CD546" t="s">
        <v>182</v>
      </c>
      <c r="CE546" t="s">
        <v>7769</v>
      </c>
      <c r="CF546" t="s">
        <v>1029</v>
      </c>
      <c r="CG546" t="s">
        <v>177</v>
      </c>
      <c r="CH546" t="s">
        <v>1030</v>
      </c>
      <c r="CI546" t="s">
        <v>1972</v>
      </c>
      <c r="CJ546" t="s">
        <v>7770</v>
      </c>
      <c r="CK546" t="s">
        <v>232</v>
      </c>
      <c r="CL546" t="s">
        <v>233</v>
      </c>
      <c r="CM546" t="s">
        <v>7771</v>
      </c>
      <c r="CN546" t="s">
        <v>235</v>
      </c>
      <c r="CO546" t="s">
        <v>183</v>
      </c>
      <c r="CP546" t="s">
        <v>266</v>
      </c>
      <c r="CS546" t="s">
        <v>198</v>
      </c>
      <c r="CT546" t="s">
        <v>6887</v>
      </c>
      <c r="CU546" t="s">
        <v>292</v>
      </c>
      <c r="CV546" t="s">
        <v>293</v>
      </c>
      <c r="CW546" t="s">
        <v>7772</v>
      </c>
      <c r="CX546" t="s">
        <v>235</v>
      </c>
      <c r="CY546" t="s">
        <v>183</v>
      </c>
      <c r="CZ546" t="s">
        <v>211</v>
      </c>
      <c r="DA546" t="s">
        <v>298</v>
      </c>
      <c r="DC546" t="s">
        <v>3204</v>
      </c>
      <c r="DD546" t="s">
        <v>7707</v>
      </c>
      <c r="DE546" t="s">
        <v>267</v>
      </c>
      <c r="DF546" t="s">
        <v>268</v>
      </c>
      <c r="DG546" t="s">
        <v>7773</v>
      </c>
      <c r="DH546" t="s">
        <v>235</v>
      </c>
      <c r="DI546" t="s">
        <v>183</v>
      </c>
      <c r="DJ546" t="s">
        <v>211</v>
      </c>
      <c r="DK546" t="s">
        <v>298</v>
      </c>
      <c r="DM546" t="s">
        <v>868</v>
      </c>
      <c r="DN546" t="s">
        <v>5738</v>
      </c>
      <c r="DO546" t="s">
        <v>273</v>
      </c>
      <c r="DP546" t="s">
        <v>274</v>
      </c>
      <c r="DQ546" t="s">
        <v>7774</v>
      </c>
      <c r="DR546" t="s">
        <v>838</v>
      </c>
      <c r="DS546" t="s">
        <v>183</v>
      </c>
      <c r="DT546" t="s">
        <v>211</v>
      </c>
      <c r="DU546" t="s">
        <v>298</v>
      </c>
      <c r="DW546" t="s">
        <v>2749</v>
      </c>
      <c r="DX546" t="s">
        <v>5321</v>
      </c>
      <c r="DY546" t="s">
        <v>302</v>
      </c>
      <c r="DZ546" t="s">
        <v>303</v>
      </c>
      <c r="EA546" t="s">
        <v>7775</v>
      </c>
      <c r="EB546" t="s">
        <v>796</v>
      </c>
      <c r="EC546" t="s">
        <v>183</v>
      </c>
      <c r="ED546" t="s">
        <v>211</v>
      </c>
      <c r="EE546" t="s">
        <v>298</v>
      </c>
      <c r="EG546" t="s">
        <v>1071</v>
      </c>
      <c r="EH546" t="s">
        <v>7776</v>
      </c>
      <c r="EI546" t="s">
        <v>238</v>
      </c>
      <c r="EJ546" t="s">
        <v>239</v>
      </c>
      <c r="EK546" t="s">
        <v>7777</v>
      </c>
      <c r="EL546" t="s">
        <v>278</v>
      </c>
      <c r="EM546" t="s">
        <v>183</v>
      </c>
      <c r="EN546" t="s">
        <v>211</v>
      </c>
      <c r="EO546" t="s">
        <v>298</v>
      </c>
      <c r="EQ546" t="s">
        <v>875</v>
      </c>
      <c r="ER546" t="s">
        <v>7778</v>
      </c>
      <c r="ES546" t="s">
        <v>346</v>
      </c>
      <c r="ET546" t="s">
        <v>347</v>
      </c>
      <c r="EU546" t="s">
        <v>7779</v>
      </c>
      <c r="EV546" t="s">
        <v>247</v>
      </c>
      <c r="EW546" t="s">
        <v>183</v>
      </c>
      <c r="EX546" t="s">
        <v>211</v>
      </c>
      <c r="EY546" t="s">
        <v>298</v>
      </c>
      <c r="FA546" t="s">
        <v>7780</v>
      </c>
      <c r="FB546" t="s">
        <v>7429</v>
      </c>
      <c r="FC546" t="s">
        <v>207</v>
      </c>
      <c r="FD546" t="s">
        <v>208</v>
      </c>
      <c r="FE546" t="s">
        <v>7781</v>
      </c>
      <c r="FF546" t="s">
        <v>576</v>
      </c>
      <c r="FG546" t="s">
        <v>183</v>
      </c>
      <c r="FH546" t="s">
        <v>211</v>
      </c>
      <c r="FI546" t="s">
        <v>199</v>
      </c>
      <c r="FK546" t="s">
        <v>7782</v>
      </c>
      <c r="FU546" t="s">
        <v>198</v>
      </c>
    </row>
    <row r="547" spans="1:177">
      <c r="A547" s="1" t="str">
        <f>HYPERLINK("http://digipan.lumentumllc.com/apps/getLink/index.php?t=PropLink&amp;p=6129298","PL")</f>
        <v>PL</v>
      </c>
      <c r="B547" s="1" t="str">
        <f>HYPERLINK("http://digipan.lumentumllc.com/apps/getLink/index.php?t=TaxLink&amp;p=6129298","TL")</f>
        <v>TL</v>
      </c>
      <c r="C547" s="1" t="str">
        <f>HYPERLINK("http://digipan.lumentumllc.com/apps/getMap/index.php?p=6129298","Map")</f>
        <v>Map</v>
      </c>
      <c r="E547" t="s">
        <v>177</v>
      </c>
      <c r="F547" t="s">
        <v>178</v>
      </c>
      <c r="L547" t="s">
        <v>7783</v>
      </c>
      <c r="N547" t="s">
        <v>7783</v>
      </c>
      <c r="O547" t="s">
        <v>7783</v>
      </c>
      <c r="P547" t="s">
        <v>7784</v>
      </c>
      <c r="Q547" t="s">
        <v>7783</v>
      </c>
      <c r="V547">
        <v>633</v>
      </c>
      <c r="W547">
        <v>2</v>
      </c>
      <c r="X547">
        <v>2017</v>
      </c>
      <c r="Y547">
        <v>2018</v>
      </c>
      <c r="Z547">
        <v>1209</v>
      </c>
      <c r="AB547" t="s">
        <v>181</v>
      </c>
      <c r="AC547" t="s">
        <v>182</v>
      </c>
      <c r="AD547" t="s">
        <v>183</v>
      </c>
      <c r="AE547">
        <v>1</v>
      </c>
      <c r="AF547">
        <v>0</v>
      </c>
      <c r="AG547" t="s">
        <v>1200</v>
      </c>
      <c r="AH547">
        <v>0</v>
      </c>
      <c r="AI547">
        <v>1814.71</v>
      </c>
      <c r="AJ547">
        <v>90.74</v>
      </c>
      <c r="AK547">
        <v>1905.45</v>
      </c>
      <c r="AL547">
        <v>110993</v>
      </c>
      <c r="AM547">
        <v>18900</v>
      </c>
      <c r="AN547">
        <v>92093</v>
      </c>
      <c r="AO547">
        <v>1653</v>
      </c>
      <c r="AP547">
        <v>2016</v>
      </c>
      <c r="AQ547">
        <v>1.0900000000000001</v>
      </c>
      <c r="AR547">
        <v>1.72</v>
      </c>
      <c r="AS547" t="s">
        <v>7785</v>
      </c>
      <c r="AT547" t="s">
        <v>3747</v>
      </c>
      <c r="AU547" t="s">
        <v>177</v>
      </c>
      <c r="AV547" t="s">
        <v>1030</v>
      </c>
      <c r="AW547" t="s">
        <v>202</v>
      </c>
      <c r="AX547">
        <v>1</v>
      </c>
      <c r="AY547" t="s">
        <v>188</v>
      </c>
      <c r="AZ547" t="s">
        <v>206</v>
      </c>
      <c r="BA547" t="s">
        <v>355</v>
      </c>
      <c r="BB547" t="s">
        <v>191</v>
      </c>
      <c r="BC547" t="s">
        <v>182</v>
      </c>
      <c r="BD547" t="s">
        <v>182</v>
      </c>
      <c r="BE547" t="s">
        <v>1844</v>
      </c>
      <c r="BF547">
        <v>1</v>
      </c>
      <c r="BG547">
        <v>1</v>
      </c>
      <c r="BH547">
        <v>2007</v>
      </c>
      <c r="BI547" t="s">
        <v>4954</v>
      </c>
      <c r="BJ547" t="s">
        <v>194</v>
      </c>
      <c r="BK547" t="s">
        <v>195</v>
      </c>
      <c r="BL547" t="s">
        <v>5504</v>
      </c>
      <c r="BM547" t="s">
        <v>292</v>
      </c>
      <c r="BN547" t="s">
        <v>182</v>
      </c>
      <c r="BO547" t="s">
        <v>7786</v>
      </c>
      <c r="BP547" t="s">
        <v>7787</v>
      </c>
      <c r="BQ547" t="s">
        <v>226</v>
      </c>
      <c r="BR547" t="s">
        <v>227</v>
      </c>
      <c r="BS547" t="s">
        <v>7788</v>
      </c>
      <c r="BT547" t="s">
        <v>7789</v>
      </c>
      <c r="BU547" t="s">
        <v>182</v>
      </c>
      <c r="BV547" t="s">
        <v>198</v>
      </c>
      <c r="BW547" t="s">
        <v>198</v>
      </c>
      <c r="BX547" t="s">
        <v>199</v>
      </c>
      <c r="BY547" t="s">
        <v>198</v>
      </c>
      <c r="BZ547" t="s">
        <v>199</v>
      </c>
      <c r="CA547" t="s">
        <v>199</v>
      </c>
      <c r="CB547" t="s">
        <v>7790</v>
      </c>
      <c r="CC547" t="s">
        <v>201</v>
      </c>
      <c r="CD547" t="s">
        <v>182</v>
      </c>
      <c r="CE547" t="s">
        <v>7791</v>
      </c>
      <c r="CF547" t="s">
        <v>1029</v>
      </c>
      <c r="CG547" t="s">
        <v>177</v>
      </c>
      <c r="CH547" t="s">
        <v>1030</v>
      </c>
      <c r="CI547" t="s">
        <v>610</v>
      </c>
      <c r="CJ547" t="s">
        <v>7055</v>
      </c>
      <c r="CK547" t="s">
        <v>232</v>
      </c>
      <c r="CL547" t="s">
        <v>233</v>
      </c>
      <c r="CM547" t="s">
        <v>7792</v>
      </c>
      <c r="CN547" t="s">
        <v>235</v>
      </c>
      <c r="CO547" t="s">
        <v>183</v>
      </c>
      <c r="CP547" t="s">
        <v>266</v>
      </c>
      <c r="CS547" t="s">
        <v>198</v>
      </c>
      <c r="DC547" t="s">
        <v>198</v>
      </c>
      <c r="DM547" t="s">
        <v>198</v>
      </c>
      <c r="DW547" t="s">
        <v>198</v>
      </c>
      <c r="EG547" t="s">
        <v>198</v>
      </c>
      <c r="EQ547" t="s">
        <v>198</v>
      </c>
      <c r="FA547" t="s">
        <v>198</v>
      </c>
      <c r="FK547" t="s">
        <v>198</v>
      </c>
      <c r="FU547" t="s">
        <v>198</v>
      </c>
    </row>
    <row r="548" spans="1:177">
      <c r="A548" s="1" t="str">
        <f>HYPERLINK("http://digipan.lumentumllc.com/apps/getLink/index.php?t=PropLink&amp;p=6462030","PL")</f>
        <v>PL</v>
      </c>
      <c r="B548" s="1" t="str">
        <f>HYPERLINK("http://digipan.lumentumllc.com/apps/getLink/index.php?t=TaxLink&amp;p=6462030","TL")</f>
        <v>TL</v>
      </c>
      <c r="C548" s="1" t="str">
        <f>HYPERLINK("http://digipan.lumentumllc.com/apps/getMap/index.php?p=6462030","Map")</f>
        <v>Map</v>
      </c>
      <c r="E548" t="s">
        <v>177</v>
      </c>
      <c r="F548" t="s">
        <v>178</v>
      </c>
      <c r="L548" t="s">
        <v>7793</v>
      </c>
      <c r="N548" t="s">
        <v>7793</v>
      </c>
      <c r="O548" t="s">
        <v>7793</v>
      </c>
      <c r="P548" t="s">
        <v>7794</v>
      </c>
      <c r="Q548" t="s">
        <v>7793</v>
      </c>
      <c r="V548">
        <v>634</v>
      </c>
      <c r="W548">
        <v>2</v>
      </c>
      <c r="X548">
        <v>2017</v>
      </c>
      <c r="Y548">
        <v>2018</v>
      </c>
      <c r="Z548">
        <v>325.57</v>
      </c>
      <c r="AB548" t="s">
        <v>181</v>
      </c>
      <c r="AC548" t="s">
        <v>182</v>
      </c>
      <c r="AD548" t="s">
        <v>183</v>
      </c>
      <c r="AE548">
        <v>0</v>
      </c>
      <c r="AF548">
        <v>5</v>
      </c>
      <c r="AG548" t="s">
        <v>744</v>
      </c>
      <c r="AH548">
        <v>100</v>
      </c>
      <c r="AK548">
        <v>0</v>
      </c>
      <c r="AL548">
        <v>24771</v>
      </c>
      <c r="AM548">
        <v>15000</v>
      </c>
      <c r="AN548">
        <v>9771</v>
      </c>
      <c r="AO548">
        <v>0</v>
      </c>
      <c r="AP548">
        <v>0</v>
      </c>
      <c r="AQ548">
        <v>1.31</v>
      </c>
      <c r="AS548" t="s">
        <v>7795</v>
      </c>
      <c r="AT548" t="s">
        <v>3747</v>
      </c>
      <c r="AU548" t="s">
        <v>177</v>
      </c>
      <c r="AV548" t="s">
        <v>1030</v>
      </c>
      <c r="AW548" t="s">
        <v>182</v>
      </c>
      <c r="AX548">
        <v>2</v>
      </c>
      <c r="AY548" t="s">
        <v>188</v>
      </c>
      <c r="AZ548" t="s">
        <v>189</v>
      </c>
      <c r="BA548" t="s">
        <v>190</v>
      </c>
      <c r="BB548" t="s">
        <v>191</v>
      </c>
      <c r="BC548" t="s">
        <v>182</v>
      </c>
      <c r="BD548" t="s">
        <v>182</v>
      </c>
      <c r="BE548" t="s">
        <v>383</v>
      </c>
      <c r="BF548">
        <v>1</v>
      </c>
      <c r="BG548">
        <v>1</v>
      </c>
      <c r="BH548">
        <v>1985</v>
      </c>
      <c r="BI548" t="s">
        <v>1752</v>
      </c>
      <c r="BJ548" t="s">
        <v>194</v>
      </c>
      <c r="BK548" t="s">
        <v>195</v>
      </c>
      <c r="BL548" t="s">
        <v>7796</v>
      </c>
      <c r="BM548" t="s">
        <v>410</v>
      </c>
      <c r="BN548" t="s">
        <v>182</v>
      </c>
      <c r="BO548" t="s">
        <v>7797</v>
      </c>
      <c r="BP548" t="s">
        <v>7798</v>
      </c>
      <c r="BQ548" t="s">
        <v>800</v>
      </c>
      <c r="BR548" t="s">
        <v>563</v>
      </c>
      <c r="BS548" t="s">
        <v>198</v>
      </c>
      <c r="BT548" t="s">
        <v>7799</v>
      </c>
      <c r="BU548" t="s">
        <v>182</v>
      </c>
      <c r="BV548" t="s">
        <v>198</v>
      </c>
      <c r="BW548" t="s">
        <v>198</v>
      </c>
      <c r="BX548" t="s">
        <v>199</v>
      </c>
      <c r="BY548" t="s">
        <v>198</v>
      </c>
      <c r="BZ548" t="s">
        <v>199</v>
      </c>
      <c r="CA548" t="s">
        <v>199</v>
      </c>
      <c r="CB548" t="s">
        <v>7800</v>
      </c>
      <c r="CC548" t="s">
        <v>201</v>
      </c>
      <c r="CD548" t="s">
        <v>182</v>
      </c>
      <c r="CE548" t="s">
        <v>7801</v>
      </c>
      <c r="CF548" t="s">
        <v>1029</v>
      </c>
      <c r="CG548" t="s">
        <v>177</v>
      </c>
      <c r="CH548" t="s">
        <v>1030</v>
      </c>
      <c r="CI548" t="s">
        <v>7802</v>
      </c>
      <c r="CJ548" t="s">
        <v>6906</v>
      </c>
      <c r="CK548" t="s">
        <v>292</v>
      </c>
      <c r="CL548" t="s">
        <v>293</v>
      </c>
      <c r="CM548" t="s">
        <v>7803</v>
      </c>
      <c r="CN548" t="s">
        <v>235</v>
      </c>
      <c r="CO548" t="s">
        <v>183</v>
      </c>
      <c r="CP548" t="s">
        <v>211</v>
      </c>
      <c r="CQ548" t="s">
        <v>298</v>
      </c>
      <c r="CS548" t="s">
        <v>457</v>
      </c>
      <c r="CT548" t="s">
        <v>7024</v>
      </c>
      <c r="CU548" t="s">
        <v>267</v>
      </c>
      <c r="CV548" t="s">
        <v>268</v>
      </c>
      <c r="CW548" t="s">
        <v>7804</v>
      </c>
      <c r="CX548" t="s">
        <v>235</v>
      </c>
      <c r="CY548" t="s">
        <v>183</v>
      </c>
      <c r="CZ548" t="s">
        <v>211</v>
      </c>
      <c r="DA548" t="s">
        <v>270</v>
      </c>
      <c r="DC548" t="s">
        <v>7805</v>
      </c>
      <c r="DD548" t="s">
        <v>7689</v>
      </c>
      <c r="DE548" t="s">
        <v>273</v>
      </c>
      <c r="DF548" t="s">
        <v>274</v>
      </c>
      <c r="DG548" t="s">
        <v>7806</v>
      </c>
      <c r="DH548" t="s">
        <v>235</v>
      </c>
      <c r="DI548" t="s">
        <v>183</v>
      </c>
      <c r="DJ548" t="s">
        <v>211</v>
      </c>
      <c r="DK548" t="s">
        <v>290</v>
      </c>
      <c r="DM548" t="s">
        <v>7807</v>
      </c>
      <c r="DN548" t="s">
        <v>7808</v>
      </c>
      <c r="DO548" t="s">
        <v>302</v>
      </c>
      <c r="DP548" t="s">
        <v>303</v>
      </c>
      <c r="DQ548" t="s">
        <v>7809</v>
      </c>
      <c r="DR548" t="s">
        <v>1586</v>
      </c>
      <c r="DS548" t="s">
        <v>183</v>
      </c>
      <c r="DT548" t="s">
        <v>211</v>
      </c>
      <c r="DU548" t="s">
        <v>264</v>
      </c>
      <c r="DW548" t="s">
        <v>7810</v>
      </c>
      <c r="DX548" t="s">
        <v>7456</v>
      </c>
      <c r="DY548" t="s">
        <v>207</v>
      </c>
      <c r="DZ548" t="s">
        <v>208</v>
      </c>
      <c r="EA548" t="s">
        <v>7811</v>
      </c>
      <c r="EB548" t="s">
        <v>576</v>
      </c>
      <c r="EC548" t="s">
        <v>183</v>
      </c>
      <c r="ED548" t="s">
        <v>211</v>
      </c>
      <c r="EE548" t="s">
        <v>270</v>
      </c>
      <c r="EG548" t="s">
        <v>7812</v>
      </c>
      <c r="EQ548" t="s">
        <v>198</v>
      </c>
      <c r="FA548" t="s">
        <v>198</v>
      </c>
      <c r="FK548" t="s">
        <v>198</v>
      </c>
      <c r="FU548" t="s">
        <v>198</v>
      </c>
    </row>
    <row r="549" spans="1:177">
      <c r="A549" s="1" t="str">
        <f>HYPERLINK("http://digipan.lumentumllc.com/apps/getLink/index.php?t=PropLink&amp;p=15756134","PL")</f>
        <v>PL</v>
      </c>
      <c r="B549" s="1" t="str">
        <f>HYPERLINK("http://digipan.lumentumllc.com/apps/getLink/index.php?t=TaxLink&amp;p=15756134","TL")</f>
        <v>TL</v>
      </c>
      <c r="C549" s="1" t="str">
        <f>HYPERLINK("http://digipan.lumentumllc.com/apps/getMap/index.php?p=15756134","Map")</f>
        <v>Map</v>
      </c>
      <c r="E549" t="s">
        <v>177</v>
      </c>
      <c r="F549" t="s">
        <v>178</v>
      </c>
      <c r="L549" t="s">
        <v>7813</v>
      </c>
      <c r="N549" t="s">
        <v>7813</v>
      </c>
      <c r="O549" t="s">
        <v>7813</v>
      </c>
      <c r="Q549" t="s">
        <v>7813</v>
      </c>
      <c r="V549">
        <v>635</v>
      </c>
      <c r="W549">
        <v>2</v>
      </c>
      <c r="X549">
        <v>2017</v>
      </c>
      <c r="Y549">
        <v>2018</v>
      </c>
      <c r="Z549">
        <v>671.52</v>
      </c>
      <c r="AG549" t="s">
        <v>184</v>
      </c>
      <c r="AH549">
        <v>0</v>
      </c>
      <c r="AK549">
        <v>0</v>
      </c>
      <c r="AL549">
        <v>39060</v>
      </c>
      <c r="AM549">
        <v>28960</v>
      </c>
      <c r="AN549">
        <v>10100</v>
      </c>
      <c r="AO549">
        <v>600</v>
      </c>
      <c r="AP549">
        <v>2016</v>
      </c>
      <c r="AQ549">
        <v>1.72</v>
      </c>
      <c r="AS549" t="s">
        <v>7814</v>
      </c>
      <c r="AT549" t="s">
        <v>3747</v>
      </c>
      <c r="AU549" t="s">
        <v>177</v>
      </c>
      <c r="AV549" t="s">
        <v>1030</v>
      </c>
      <c r="AW549" t="s">
        <v>182</v>
      </c>
      <c r="AX549">
        <v>2</v>
      </c>
      <c r="AY549" t="s">
        <v>188</v>
      </c>
      <c r="AZ549" t="s">
        <v>189</v>
      </c>
      <c r="BA549" t="s">
        <v>190</v>
      </c>
      <c r="BB549" t="s">
        <v>191</v>
      </c>
      <c r="BC549" t="s">
        <v>182</v>
      </c>
      <c r="BD549" t="s">
        <v>182</v>
      </c>
      <c r="BE549" t="s">
        <v>7815</v>
      </c>
      <c r="BF549">
        <v>1</v>
      </c>
      <c r="BG549">
        <v>1</v>
      </c>
      <c r="BH549">
        <v>1983</v>
      </c>
      <c r="BI549" t="s">
        <v>2209</v>
      </c>
      <c r="BJ549" t="s">
        <v>194</v>
      </c>
      <c r="BK549" t="s">
        <v>195</v>
      </c>
      <c r="BL549" t="s">
        <v>7816</v>
      </c>
      <c r="BM549" t="s">
        <v>945</v>
      </c>
      <c r="BN549" t="s">
        <v>182</v>
      </c>
      <c r="BO549" t="s">
        <v>198</v>
      </c>
      <c r="BP549" t="s">
        <v>198</v>
      </c>
      <c r="BQ549" t="s">
        <v>198</v>
      </c>
      <c r="BR549" t="s">
        <v>198</v>
      </c>
      <c r="BS549" t="s">
        <v>198</v>
      </c>
      <c r="BT549" t="s">
        <v>198</v>
      </c>
      <c r="BU549" t="s">
        <v>182</v>
      </c>
      <c r="BV549" t="s">
        <v>198</v>
      </c>
      <c r="BW549" t="s">
        <v>198</v>
      </c>
      <c r="BX549" t="s">
        <v>199</v>
      </c>
      <c r="BY549" t="s">
        <v>198</v>
      </c>
      <c r="BZ549" t="s">
        <v>199</v>
      </c>
      <c r="CA549" t="s">
        <v>199</v>
      </c>
      <c r="CB549" t="s">
        <v>7817</v>
      </c>
      <c r="CC549" t="s">
        <v>201</v>
      </c>
      <c r="CD549" t="s">
        <v>202</v>
      </c>
      <c r="CE549" t="s">
        <v>7818</v>
      </c>
      <c r="CF549" t="s">
        <v>1029</v>
      </c>
      <c r="CG549" t="s">
        <v>177</v>
      </c>
      <c r="CH549" t="s">
        <v>1030</v>
      </c>
      <c r="CI549" t="s">
        <v>7819</v>
      </c>
      <c r="CS549" t="s">
        <v>198</v>
      </c>
      <c r="DC549" t="s">
        <v>198</v>
      </c>
      <c r="DM549" t="s">
        <v>198</v>
      </c>
      <c r="DW549" t="s">
        <v>198</v>
      </c>
      <c r="EG549" t="s">
        <v>198</v>
      </c>
      <c r="EQ549" t="s">
        <v>198</v>
      </c>
      <c r="FA549" t="s">
        <v>198</v>
      </c>
      <c r="FK549" t="s">
        <v>198</v>
      </c>
      <c r="FU549" t="s">
        <v>198</v>
      </c>
    </row>
    <row r="550" spans="1:177">
      <c r="A550" s="1" t="str">
        <f>HYPERLINK("http://digipan.lumentumllc.com/apps/getLink/index.php?t=PropLink&amp;p=4638300","PL")</f>
        <v>PL</v>
      </c>
      <c r="B550" s="1" t="str">
        <f>HYPERLINK("http://digipan.lumentumllc.com/apps/getLink/index.php?t=TaxLink&amp;p=4638300","TL")</f>
        <v>TL</v>
      </c>
      <c r="C550" s="1" t="str">
        <f>HYPERLINK("http://digipan.lumentumllc.com/apps/getMap/index.php?p=4638300","Map")</f>
        <v>Map</v>
      </c>
      <c r="E550" t="s">
        <v>177</v>
      </c>
      <c r="F550" t="s">
        <v>178</v>
      </c>
      <c r="L550" t="s">
        <v>7820</v>
      </c>
      <c r="N550" t="s">
        <v>7820</v>
      </c>
      <c r="O550" t="s">
        <v>7820</v>
      </c>
      <c r="P550" t="s">
        <v>7821</v>
      </c>
      <c r="Q550" t="s">
        <v>7820</v>
      </c>
      <c r="V550">
        <v>636</v>
      </c>
      <c r="W550">
        <v>2</v>
      </c>
      <c r="X550">
        <v>2017</v>
      </c>
      <c r="Y550">
        <v>2018</v>
      </c>
      <c r="Z550">
        <v>549.59</v>
      </c>
      <c r="AB550" t="s">
        <v>181</v>
      </c>
      <c r="AC550" t="s">
        <v>182</v>
      </c>
      <c r="AD550" t="s">
        <v>1037</v>
      </c>
      <c r="AE550">
        <v>0</v>
      </c>
      <c r="AF550">
        <v>5</v>
      </c>
      <c r="AG550" t="s">
        <v>744</v>
      </c>
      <c r="AH550">
        <v>100</v>
      </c>
      <c r="AK550">
        <v>0</v>
      </c>
      <c r="AL550">
        <v>35939</v>
      </c>
      <c r="AM550">
        <v>17250</v>
      </c>
      <c r="AN550">
        <v>18689</v>
      </c>
      <c r="AO550">
        <v>395</v>
      </c>
      <c r="AP550">
        <v>2016</v>
      </c>
      <c r="AQ550">
        <v>1.53</v>
      </c>
      <c r="AS550" t="s">
        <v>7822</v>
      </c>
      <c r="AT550" t="s">
        <v>3747</v>
      </c>
      <c r="AU550" t="s">
        <v>177</v>
      </c>
      <c r="AV550" t="s">
        <v>1030</v>
      </c>
      <c r="AW550" t="s">
        <v>182</v>
      </c>
      <c r="AX550">
        <v>2</v>
      </c>
      <c r="AY550" t="s">
        <v>188</v>
      </c>
      <c r="AZ550" t="s">
        <v>189</v>
      </c>
      <c r="BA550" t="s">
        <v>190</v>
      </c>
      <c r="BB550" t="s">
        <v>191</v>
      </c>
      <c r="BC550" t="s">
        <v>182</v>
      </c>
      <c r="BD550" t="s">
        <v>182</v>
      </c>
      <c r="BE550" t="s">
        <v>882</v>
      </c>
      <c r="BF550">
        <v>1</v>
      </c>
      <c r="BG550">
        <v>1</v>
      </c>
      <c r="BH550">
        <v>1989</v>
      </c>
      <c r="BI550" t="s">
        <v>7823</v>
      </c>
      <c r="BJ550" t="s">
        <v>194</v>
      </c>
      <c r="BK550" t="s">
        <v>195</v>
      </c>
      <c r="BL550" t="s">
        <v>1144</v>
      </c>
      <c r="BM550" t="s">
        <v>346</v>
      </c>
      <c r="BN550" t="s">
        <v>182</v>
      </c>
      <c r="BO550" t="s">
        <v>198</v>
      </c>
      <c r="BP550" t="s">
        <v>198</v>
      </c>
      <c r="BQ550" t="s">
        <v>198</v>
      </c>
      <c r="BR550" t="s">
        <v>198</v>
      </c>
      <c r="BS550" t="s">
        <v>198</v>
      </c>
      <c r="BT550" t="s">
        <v>198</v>
      </c>
      <c r="BU550" t="s">
        <v>182</v>
      </c>
      <c r="BV550" t="s">
        <v>198</v>
      </c>
      <c r="BW550" t="s">
        <v>198</v>
      </c>
      <c r="BX550" t="s">
        <v>199</v>
      </c>
      <c r="BY550" t="s">
        <v>198</v>
      </c>
      <c r="BZ550" t="s">
        <v>199</v>
      </c>
      <c r="CA550" t="s">
        <v>199</v>
      </c>
      <c r="CB550" t="s">
        <v>7824</v>
      </c>
      <c r="CC550" t="s">
        <v>201</v>
      </c>
      <c r="CD550" t="s">
        <v>182</v>
      </c>
      <c r="CE550" t="s">
        <v>7825</v>
      </c>
      <c r="CF550" t="s">
        <v>204</v>
      </c>
      <c r="CG550" t="s">
        <v>177</v>
      </c>
      <c r="CH550" t="s">
        <v>187</v>
      </c>
      <c r="CI550" t="s">
        <v>4659</v>
      </c>
      <c r="CJ550" t="s">
        <v>7753</v>
      </c>
      <c r="CK550" t="s">
        <v>267</v>
      </c>
      <c r="CL550" t="s">
        <v>268</v>
      </c>
      <c r="CM550" t="s">
        <v>7826</v>
      </c>
      <c r="CN550" t="s">
        <v>511</v>
      </c>
      <c r="CO550" t="s">
        <v>183</v>
      </c>
      <c r="CP550" t="s">
        <v>211</v>
      </c>
      <c r="CQ550" t="s">
        <v>444</v>
      </c>
      <c r="CS550" t="s">
        <v>7827</v>
      </c>
      <c r="CT550" t="s">
        <v>7707</v>
      </c>
      <c r="CU550" t="s">
        <v>273</v>
      </c>
      <c r="CV550" t="s">
        <v>274</v>
      </c>
      <c r="CW550" t="s">
        <v>7828</v>
      </c>
      <c r="CX550" t="s">
        <v>833</v>
      </c>
      <c r="CY550" t="s">
        <v>183</v>
      </c>
      <c r="CZ550" t="s">
        <v>211</v>
      </c>
      <c r="DA550" t="s">
        <v>635</v>
      </c>
      <c r="DC550" t="s">
        <v>7827</v>
      </c>
      <c r="DD550" t="s">
        <v>7829</v>
      </c>
      <c r="DE550" t="s">
        <v>302</v>
      </c>
      <c r="DF550" t="s">
        <v>303</v>
      </c>
      <c r="DG550" t="s">
        <v>7830</v>
      </c>
      <c r="DH550" t="s">
        <v>511</v>
      </c>
      <c r="DI550" t="s">
        <v>183</v>
      </c>
      <c r="DJ550" t="s">
        <v>211</v>
      </c>
      <c r="DK550" t="s">
        <v>298</v>
      </c>
      <c r="DM550" t="s">
        <v>464</v>
      </c>
      <c r="DN550" t="s">
        <v>7831</v>
      </c>
      <c r="DO550" t="s">
        <v>238</v>
      </c>
      <c r="DP550" t="s">
        <v>239</v>
      </c>
      <c r="DQ550" t="s">
        <v>7832</v>
      </c>
      <c r="DR550" t="s">
        <v>278</v>
      </c>
      <c r="DS550" t="s">
        <v>183</v>
      </c>
      <c r="DT550" t="s">
        <v>211</v>
      </c>
      <c r="DU550" t="s">
        <v>298</v>
      </c>
      <c r="DW550" t="s">
        <v>875</v>
      </c>
      <c r="DX550" t="s">
        <v>7833</v>
      </c>
      <c r="DY550" t="s">
        <v>207</v>
      </c>
      <c r="DZ550" t="s">
        <v>208</v>
      </c>
      <c r="EA550" t="s">
        <v>7834</v>
      </c>
      <c r="EB550" t="s">
        <v>482</v>
      </c>
      <c r="EC550" t="s">
        <v>5</v>
      </c>
      <c r="ED550" t="s">
        <v>211</v>
      </c>
      <c r="EE550" t="s">
        <v>199</v>
      </c>
      <c r="EG550" t="s">
        <v>7835</v>
      </c>
      <c r="EQ550" t="s">
        <v>198</v>
      </c>
      <c r="FA550" t="s">
        <v>198</v>
      </c>
      <c r="FK550" t="s">
        <v>198</v>
      </c>
      <c r="FU550" t="s">
        <v>198</v>
      </c>
    </row>
    <row r="551" spans="1:177">
      <c r="A551" s="1" t="str">
        <f>HYPERLINK("http://digipan.lumentumllc.com/apps/getLink/index.php?t=PropLink&amp;p=15756144","PL")</f>
        <v>PL</v>
      </c>
      <c r="B551" s="1" t="str">
        <f>HYPERLINK("http://digipan.lumentumllc.com/apps/getLink/index.php?t=TaxLink&amp;p=15756144","TL")</f>
        <v>TL</v>
      </c>
      <c r="C551" s="1" t="str">
        <f>HYPERLINK("http://digipan.lumentumllc.com/apps/getMap/index.php?p=15756144","Map")</f>
        <v>Map</v>
      </c>
      <c r="E551" t="s">
        <v>177</v>
      </c>
      <c r="F551" t="s">
        <v>178</v>
      </c>
      <c r="L551" t="s">
        <v>7836</v>
      </c>
      <c r="N551" t="s">
        <v>7836</v>
      </c>
      <c r="O551" t="s">
        <v>7836</v>
      </c>
      <c r="Q551" t="s">
        <v>7836</v>
      </c>
      <c r="V551">
        <v>638</v>
      </c>
      <c r="W551">
        <v>2</v>
      </c>
      <c r="X551">
        <v>2017</v>
      </c>
      <c r="Y551">
        <v>2018</v>
      </c>
      <c r="Z551">
        <v>146.49</v>
      </c>
      <c r="AB551" t="s">
        <v>181</v>
      </c>
      <c r="AC551" t="s">
        <v>182</v>
      </c>
      <c r="AD551" t="s">
        <v>183</v>
      </c>
      <c r="AE551">
        <v>1</v>
      </c>
      <c r="AF551">
        <v>0</v>
      </c>
      <c r="AG551" t="s">
        <v>1200</v>
      </c>
      <c r="AH551">
        <v>0</v>
      </c>
      <c r="AI551">
        <v>126.61</v>
      </c>
      <c r="AJ551">
        <v>20.57</v>
      </c>
      <c r="AK551">
        <v>147.18</v>
      </c>
      <c r="AL551">
        <v>7500</v>
      </c>
      <c r="AM551">
        <v>7500</v>
      </c>
      <c r="AN551">
        <v>0</v>
      </c>
      <c r="AO551">
        <v>92</v>
      </c>
      <c r="AP551">
        <v>2016</v>
      </c>
      <c r="AQ551">
        <v>1.95</v>
      </c>
      <c r="AR551">
        <v>1.96</v>
      </c>
      <c r="AS551" t="s">
        <v>7837</v>
      </c>
      <c r="AT551" t="s">
        <v>3747</v>
      </c>
      <c r="AU551" t="s">
        <v>177</v>
      </c>
      <c r="AV551" t="s">
        <v>1030</v>
      </c>
      <c r="AW551" t="s">
        <v>182</v>
      </c>
      <c r="AX551">
        <v>0</v>
      </c>
      <c r="AY551" t="s">
        <v>312</v>
      </c>
      <c r="AZ551" t="s">
        <v>199</v>
      </c>
      <c r="BA551" t="s">
        <v>313</v>
      </c>
      <c r="BB551" t="s">
        <v>191</v>
      </c>
      <c r="BC551" t="s">
        <v>182</v>
      </c>
      <c r="BD551" t="s">
        <v>182</v>
      </c>
      <c r="BE551" t="s">
        <v>6618</v>
      </c>
      <c r="BF551">
        <v>0</v>
      </c>
      <c r="BG551">
        <v>0</v>
      </c>
      <c r="BH551">
        <v>0</v>
      </c>
      <c r="BI551" t="s">
        <v>199</v>
      </c>
      <c r="BJ551" t="s">
        <v>315</v>
      </c>
      <c r="BL551" t="s">
        <v>199</v>
      </c>
      <c r="BM551" t="s">
        <v>232</v>
      </c>
      <c r="BN551" t="s">
        <v>182</v>
      </c>
      <c r="BO551" t="s">
        <v>198</v>
      </c>
      <c r="BP551" t="s">
        <v>198</v>
      </c>
      <c r="BQ551" t="s">
        <v>198</v>
      </c>
      <c r="BR551" t="s">
        <v>198</v>
      </c>
      <c r="BS551" t="s">
        <v>198</v>
      </c>
      <c r="BT551" t="s">
        <v>198</v>
      </c>
      <c r="BU551" t="s">
        <v>182</v>
      </c>
      <c r="BV551" t="s">
        <v>198</v>
      </c>
      <c r="BW551" t="s">
        <v>198</v>
      </c>
      <c r="BX551" t="s">
        <v>199</v>
      </c>
      <c r="BY551" t="s">
        <v>198</v>
      </c>
      <c r="BZ551" t="s">
        <v>199</v>
      </c>
      <c r="CA551" t="s">
        <v>199</v>
      </c>
      <c r="CB551" t="s">
        <v>7838</v>
      </c>
      <c r="CC551" t="s">
        <v>201</v>
      </c>
      <c r="CD551" t="s">
        <v>202</v>
      </c>
      <c r="CE551" t="s">
        <v>7839</v>
      </c>
      <c r="CF551" t="s">
        <v>1029</v>
      </c>
      <c r="CG551" t="s">
        <v>177</v>
      </c>
      <c r="CH551" t="s">
        <v>1030</v>
      </c>
      <c r="CI551" t="s">
        <v>7840</v>
      </c>
      <c r="CJ551" t="s">
        <v>7841</v>
      </c>
      <c r="CK551" t="s">
        <v>232</v>
      </c>
      <c r="CL551" t="s">
        <v>233</v>
      </c>
      <c r="CM551" t="s">
        <v>7842</v>
      </c>
      <c r="CN551" t="s">
        <v>1074</v>
      </c>
      <c r="CO551" t="s">
        <v>183</v>
      </c>
      <c r="CP551" t="s">
        <v>266</v>
      </c>
      <c r="CS551" t="s">
        <v>198</v>
      </c>
      <c r="DC551" t="s">
        <v>198</v>
      </c>
      <c r="DM551" t="s">
        <v>198</v>
      </c>
      <c r="DW551" t="s">
        <v>198</v>
      </c>
      <c r="EG551" t="s">
        <v>198</v>
      </c>
      <c r="EQ551" t="s">
        <v>198</v>
      </c>
      <c r="FA551" t="s">
        <v>198</v>
      </c>
      <c r="FK551" t="s">
        <v>198</v>
      </c>
      <c r="FU551" t="s">
        <v>198</v>
      </c>
    </row>
    <row r="552" spans="1:177">
      <c r="A552" s="1" t="str">
        <f>HYPERLINK("http://digipan.lumentumllc.com/apps/getLink/index.php?t=PropLink&amp;p=5247584","PL")</f>
        <v>PL</v>
      </c>
      <c r="B552" s="1" t="str">
        <f>HYPERLINK("http://digipan.lumentumllc.com/apps/getLink/index.php?t=TaxLink&amp;p=5247584","TL")</f>
        <v>TL</v>
      </c>
      <c r="C552" s="1" t="str">
        <f>HYPERLINK("http://digipan.lumentumllc.com/apps/getMap/index.php?p=5247584","Map")</f>
        <v>Map</v>
      </c>
      <c r="E552" t="s">
        <v>177</v>
      </c>
      <c r="F552" t="s">
        <v>178</v>
      </c>
      <c r="L552" t="s">
        <v>7843</v>
      </c>
      <c r="N552" t="s">
        <v>7843</v>
      </c>
      <c r="O552" t="s">
        <v>7843</v>
      </c>
      <c r="P552" t="s">
        <v>7844</v>
      </c>
      <c r="Q552" t="s">
        <v>7843</v>
      </c>
      <c r="V552">
        <v>639</v>
      </c>
      <c r="W552">
        <v>2</v>
      </c>
      <c r="X552">
        <v>2017</v>
      </c>
      <c r="Y552">
        <v>2018</v>
      </c>
      <c r="Z552">
        <v>470.57</v>
      </c>
      <c r="AB552" t="s">
        <v>181</v>
      </c>
      <c r="AC552" t="s">
        <v>182</v>
      </c>
      <c r="AD552" t="s">
        <v>183</v>
      </c>
      <c r="AE552">
        <v>3</v>
      </c>
      <c r="AF552">
        <v>5</v>
      </c>
      <c r="AG552" t="s">
        <v>1776</v>
      </c>
      <c r="AH552">
        <v>57</v>
      </c>
      <c r="AI552">
        <v>1136.69</v>
      </c>
      <c r="AJ552">
        <v>271.31</v>
      </c>
      <c r="AK552">
        <v>1408</v>
      </c>
      <c r="AL552">
        <v>31530</v>
      </c>
      <c r="AM552">
        <v>24030</v>
      </c>
      <c r="AN552">
        <v>7500</v>
      </c>
      <c r="AO552">
        <v>323</v>
      </c>
      <c r="AP552">
        <v>2016</v>
      </c>
      <c r="AQ552">
        <v>1.49</v>
      </c>
      <c r="AR552">
        <v>4.47</v>
      </c>
      <c r="AS552" t="s">
        <v>7845</v>
      </c>
      <c r="AT552" t="s">
        <v>3747</v>
      </c>
      <c r="AU552" t="s">
        <v>177</v>
      </c>
      <c r="AV552" t="s">
        <v>1030</v>
      </c>
      <c r="AW552" t="s">
        <v>182</v>
      </c>
      <c r="AX552">
        <v>0</v>
      </c>
      <c r="AY552" t="s">
        <v>312</v>
      </c>
      <c r="AZ552" t="s">
        <v>199</v>
      </c>
      <c r="BA552" t="s">
        <v>313</v>
      </c>
      <c r="BB552" t="s">
        <v>191</v>
      </c>
      <c r="BC552" t="s">
        <v>182</v>
      </c>
      <c r="BD552" t="s">
        <v>182</v>
      </c>
      <c r="BE552" t="s">
        <v>2974</v>
      </c>
      <c r="BF552">
        <v>0</v>
      </c>
      <c r="BG552">
        <v>0</v>
      </c>
      <c r="BH552">
        <v>0</v>
      </c>
      <c r="BI552" t="s">
        <v>199</v>
      </c>
      <c r="BJ552" t="s">
        <v>248</v>
      </c>
      <c r="BL552" t="s">
        <v>199</v>
      </c>
      <c r="BM552" t="s">
        <v>451</v>
      </c>
      <c r="BN552" t="s">
        <v>182</v>
      </c>
      <c r="BO552" t="s">
        <v>198</v>
      </c>
      <c r="BP552" t="s">
        <v>198</v>
      </c>
      <c r="BQ552" t="s">
        <v>198</v>
      </c>
      <c r="BR552" t="s">
        <v>198</v>
      </c>
      <c r="BS552" t="s">
        <v>198</v>
      </c>
      <c r="BT552" t="s">
        <v>198</v>
      </c>
      <c r="BU552" t="s">
        <v>182</v>
      </c>
      <c r="BV552" t="s">
        <v>198</v>
      </c>
      <c r="BW552" t="s">
        <v>198</v>
      </c>
      <c r="BX552" t="s">
        <v>199</v>
      </c>
      <c r="BY552" t="s">
        <v>198</v>
      </c>
      <c r="BZ552" t="s">
        <v>199</v>
      </c>
      <c r="CA552" t="s">
        <v>199</v>
      </c>
      <c r="CB552" t="s">
        <v>7846</v>
      </c>
      <c r="CC552" t="s">
        <v>201</v>
      </c>
      <c r="CD552" t="s">
        <v>182</v>
      </c>
      <c r="CE552" t="s">
        <v>7847</v>
      </c>
      <c r="CF552" t="s">
        <v>1029</v>
      </c>
      <c r="CG552" t="s">
        <v>177</v>
      </c>
      <c r="CH552" t="s">
        <v>1030</v>
      </c>
      <c r="CI552" t="s">
        <v>7848</v>
      </c>
      <c r="CJ552" t="s">
        <v>7849</v>
      </c>
      <c r="CK552" t="s">
        <v>232</v>
      </c>
      <c r="CL552" t="s">
        <v>233</v>
      </c>
      <c r="CM552" t="s">
        <v>7850</v>
      </c>
      <c r="CN552" t="s">
        <v>484</v>
      </c>
      <c r="CO552" t="s">
        <v>183</v>
      </c>
      <c r="CP552" t="s">
        <v>266</v>
      </c>
      <c r="CS552" t="s">
        <v>198</v>
      </c>
      <c r="CT552" t="s">
        <v>7641</v>
      </c>
      <c r="CU552" t="s">
        <v>292</v>
      </c>
      <c r="CV552" t="s">
        <v>293</v>
      </c>
      <c r="CW552" t="s">
        <v>7851</v>
      </c>
      <c r="CX552" t="s">
        <v>387</v>
      </c>
      <c r="CY552" t="s">
        <v>183</v>
      </c>
      <c r="CZ552" t="s">
        <v>266</v>
      </c>
      <c r="DC552" t="s">
        <v>198</v>
      </c>
      <c r="DD552" t="s">
        <v>7055</v>
      </c>
      <c r="DE552" t="s">
        <v>267</v>
      </c>
      <c r="DF552" t="s">
        <v>268</v>
      </c>
      <c r="DG552" t="s">
        <v>7852</v>
      </c>
      <c r="DH552" t="s">
        <v>1966</v>
      </c>
      <c r="DI552" t="s">
        <v>183</v>
      </c>
      <c r="DJ552" t="s">
        <v>266</v>
      </c>
      <c r="DM552" t="s">
        <v>198</v>
      </c>
      <c r="DN552" t="s">
        <v>7753</v>
      </c>
      <c r="DO552" t="s">
        <v>273</v>
      </c>
      <c r="DP552" t="s">
        <v>274</v>
      </c>
      <c r="DQ552" t="s">
        <v>7853</v>
      </c>
      <c r="DR552" t="s">
        <v>833</v>
      </c>
      <c r="DS552" t="s">
        <v>183</v>
      </c>
      <c r="DT552" t="s">
        <v>211</v>
      </c>
      <c r="DU552" t="s">
        <v>1128</v>
      </c>
      <c r="DW552" t="s">
        <v>6024</v>
      </c>
      <c r="DX552" t="s">
        <v>5160</v>
      </c>
      <c r="DY552" t="s">
        <v>302</v>
      </c>
      <c r="DZ552" t="s">
        <v>303</v>
      </c>
      <c r="EA552" t="s">
        <v>7854</v>
      </c>
      <c r="EB552" t="s">
        <v>331</v>
      </c>
      <c r="EC552" t="s">
        <v>183</v>
      </c>
      <c r="ED552" t="s">
        <v>211</v>
      </c>
      <c r="EE552" t="s">
        <v>334</v>
      </c>
      <c r="EG552" t="s">
        <v>7855</v>
      </c>
      <c r="EH552" t="s">
        <v>7856</v>
      </c>
      <c r="EI552" t="s">
        <v>238</v>
      </c>
      <c r="EJ552" t="s">
        <v>239</v>
      </c>
      <c r="EK552" t="s">
        <v>7857</v>
      </c>
      <c r="EL552" t="s">
        <v>278</v>
      </c>
      <c r="EM552" t="s">
        <v>183</v>
      </c>
      <c r="EN552" t="s">
        <v>211</v>
      </c>
      <c r="EO552" t="s">
        <v>1067</v>
      </c>
      <c r="EQ552" t="s">
        <v>7855</v>
      </c>
      <c r="ER552" t="s">
        <v>7858</v>
      </c>
      <c r="ES552" t="s">
        <v>346</v>
      </c>
      <c r="ET552" t="s">
        <v>347</v>
      </c>
      <c r="EU552" t="s">
        <v>7859</v>
      </c>
      <c r="EV552" t="s">
        <v>469</v>
      </c>
      <c r="EW552" t="s">
        <v>183</v>
      </c>
      <c r="EX552" t="s">
        <v>211</v>
      </c>
      <c r="EY552" t="s">
        <v>298</v>
      </c>
      <c r="FA552" t="s">
        <v>878</v>
      </c>
      <c r="FB552" t="s">
        <v>7530</v>
      </c>
      <c r="FC552" t="s">
        <v>207</v>
      </c>
      <c r="FD552" t="s">
        <v>208</v>
      </c>
      <c r="FE552" t="s">
        <v>7860</v>
      </c>
      <c r="FF552" t="s">
        <v>402</v>
      </c>
      <c r="FG552" t="s">
        <v>183</v>
      </c>
      <c r="FH552" t="s">
        <v>211</v>
      </c>
      <c r="FI552" t="s">
        <v>345</v>
      </c>
      <c r="FK552" t="s">
        <v>7861</v>
      </c>
      <c r="FU552" t="s">
        <v>198</v>
      </c>
    </row>
    <row r="553" spans="1:177">
      <c r="A553" s="1" t="str">
        <f>HYPERLINK("http://digipan.lumentumllc.com/apps/getLink/index.php?t=PropLink&amp;p=15757444","PL")</f>
        <v>PL</v>
      </c>
      <c r="B553" s="1" t="str">
        <f>HYPERLINK("http://digipan.lumentumllc.com/apps/getLink/index.php?t=TaxLink&amp;p=15757444","TL")</f>
        <v>TL</v>
      </c>
      <c r="C553" s="1" t="str">
        <f>HYPERLINK("http://digipan.lumentumllc.com/apps/getMap/index.php?p=15757444","Map")</f>
        <v>Map</v>
      </c>
      <c r="E553" t="s">
        <v>177</v>
      </c>
      <c r="F553" t="s">
        <v>178</v>
      </c>
      <c r="L553" t="s">
        <v>7862</v>
      </c>
      <c r="N553" t="s">
        <v>7862</v>
      </c>
      <c r="O553" t="s">
        <v>7862</v>
      </c>
      <c r="Q553" t="s">
        <v>7862</v>
      </c>
      <c r="V553">
        <v>640</v>
      </c>
      <c r="W553">
        <v>2</v>
      </c>
      <c r="X553">
        <v>2017</v>
      </c>
      <c r="Y553">
        <v>2018</v>
      </c>
      <c r="Z553">
        <v>537.71</v>
      </c>
      <c r="AB553" t="s">
        <v>181</v>
      </c>
      <c r="AC553" t="s">
        <v>182</v>
      </c>
      <c r="AD553" t="s">
        <v>183</v>
      </c>
      <c r="AE553">
        <v>1</v>
      </c>
      <c r="AF553">
        <v>0</v>
      </c>
      <c r="AG553" t="s">
        <v>1200</v>
      </c>
      <c r="AH553">
        <v>0</v>
      </c>
      <c r="AI553">
        <v>531.71</v>
      </c>
      <c r="AJ553">
        <v>26.59</v>
      </c>
      <c r="AK553">
        <v>558.29999999999995</v>
      </c>
      <c r="AL553">
        <v>80582</v>
      </c>
      <c r="AM553">
        <v>31680</v>
      </c>
      <c r="AN553">
        <v>48902</v>
      </c>
      <c r="AO553">
        <v>467</v>
      </c>
      <c r="AP553">
        <v>2016</v>
      </c>
      <c r="AQ553">
        <v>0.67</v>
      </c>
      <c r="AR553">
        <v>0.69</v>
      </c>
      <c r="AS553" t="s">
        <v>7863</v>
      </c>
      <c r="AT553" t="s">
        <v>3747</v>
      </c>
      <c r="AU553" t="s">
        <v>177</v>
      </c>
      <c r="AV553" t="s">
        <v>1030</v>
      </c>
      <c r="AW553" t="s">
        <v>202</v>
      </c>
      <c r="AX553">
        <v>1</v>
      </c>
      <c r="AY553" t="s">
        <v>188</v>
      </c>
      <c r="AZ553" t="s">
        <v>206</v>
      </c>
      <c r="BA553" t="s">
        <v>355</v>
      </c>
      <c r="BB553" t="s">
        <v>191</v>
      </c>
      <c r="BC553" t="s">
        <v>182</v>
      </c>
      <c r="BD553" t="s">
        <v>182</v>
      </c>
      <c r="BE553" t="s">
        <v>1536</v>
      </c>
      <c r="BF553">
        <v>1</v>
      </c>
      <c r="BG553">
        <v>1</v>
      </c>
      <c r="BH553">
        <v>1960</v>
      </c>
      <c r="BI553" t="s">
        <v>7864</v>
      </c>
      <c r="BJ553" t="s">
        <v>194</v>
      </c>
      <c r="BK553" t="s">
        <v>195</v>
      </c>
      <c r="BL553" t="s">
        <v>199</v>
      </c>
      <c r="BM553" t="s">
        <v>4554</v>
      </c>
      <c r="BN553" t="s">
        <v>182</v>
      </c>
      <c r="BO553" t="s">
        <v>7865</v>
      </c>
      <c r="BP553" t="s">
        <v>7866</v>
      </c>
      <c r="BQ553" t="s">
        <v>1896</v>
      </c>
      <c r="BR553" t="s">
        <v>563</v>
      </c>
      <c r="BS553" t="s">
        <v>198</v>
      </c>
      <c r="BT553" t="s">
        <v>7867</v>
      </c>
      <c r="BU553" t="s">
        <v>182</v>
      </c>
      <c r="BV553" t="s">
        <v>198</v>
      </c>
      <c r="BW553" t="s">
        <v>198</v>
      </c>
      <c r="BX553" t="s">
        <v>199</v>
      </c>
      <c r="BY553" t="s">
        <v>198</v>
      </c>
      <c r="BZ553" t="s">
        <v>199</v>
      </c>
      <c r="CA553" t="s">
        <v>199</v>
      </c>
      <c r="CB553" t="s">
        <v>7846</v>
      </c>
      <c r="CC553" t="s">
        <v>201</v>
      </c>
      <c r="CD553" t="s">
        <v>182</v>
      </c>
      <c r="CE553" t="s">
        <v>7847</v>
      </c>
      <c r="CF553" t="s">
        <v>1029</v>
      </c>
      <c r="CG553" t="s">
        <v>177</v>
      </c>
      <c r="CH553" t="s">
        <v>1030</v>
      </c>
      <c r="CI553" t="s">
        <v>7868</v>
      </c>
      <c r="CJ553" t="s">
        <v>7112</v>
      </c>
      <c r="CK553" t="s">
        <v>232</v>
      </c>
      <c r="CL553" t="s">
        <v>233</v>
      </c>
      <c r="CM553" t="s">
        <v>7869</v>
      </c>
      <c r="CN553" t="s">
        <v>235</v>
      </c>
      <c r="CO553" t="s">
        <v>183</v>
      </c>
      <c r="CP553" t="s">
        <v>266</v>
      </c>
      <c r="CS553" t="s">
        <v>198</v>
      </c>
      <c r="DC553" t="s">
        <v>198</v>
      </c>
      <c r="DM553" t="s">
        <v>198</v>
      </c>
      <c r="DW553" t="s">
        <v>198</v>
      </c>
      <c r="EG553" t="s">
        <v>198</v>
      </c>
      <c r="EQ553" t="s">
        <v>198</v>
      </c>
      <c r="FA553" t="s">
        <v>198</v>
      </c>
      <c r="FK553" t="s">
        <v>198</v>
      </c>
      <c r="FU553" t="s">
        <v>198</v>
      </c>
    </row>
    <row r="554" spans="1:177">
      <c r="A554" s="1" t="str">
        <f>HYPERLINK("http://digipan.lumentumllc.com/apps/getLink/index.php?t=PropLink&amp;p=6594137","PL")</f>
        <v>PL</v>
      </c>
      <c r="B554" s="1" t="str">
        <f>HYPERLINK("http://digipan.lumentumllc.com/apps/getLink/index.php?t=TaxLink&amp;p=6594137","TL")</f>
        <v>TL</v>
      </c>
      <c r="C554" s="1" t="str">
        <f>HYPERLINK("http://digipan.lumentumllc.com/apps/getMap/index.php?p=6594137","Map")</f>
        <v>Map</v>
      </c>
      <c r="E554" t="s">
        <v>177</v>
      </c>
      <c r="F554" t="s">
        <v>178</v>
      </c>
      <c r="L554" t="s">
        <v>7870</v>
      </c>
      <c r="N554" t="s">
        <v>7870</v>
      </c>
      <c r="O554" t="s">
        <v>7870</v>
      </c>
      <c r="P554" t="s">
        <v>7871</v>
      </c>
      <c r="Q554" t="s">
        <v>7870</v>
      </c>
      <c r="V554">
        <v>641</v>
      </c>
      <c r="W554">
        <v>2</v>
      </c>
      <c r="X554">
        <v>2017</v>
      </c>
      <c r="Y554">
        <v>2018</v>
      </c>
      <c r="Z554">
        <v>74.739999999999995</v>
      </c>
      <c r="AB554" t="s">
        <v>181</v>
      </c>
      <c r="AC554" t="s">
        <v>182</v>
      </c>
      <c r="AD554" t="s">
        <v>183</v>
      </c>
      <c r="AE554">
        <v>0</v>
      </c>
      <c r="AF554">
        <v>1</v>
      </c>
      <c r="AG554" t="s">
        <v>821</v>
      </c>
      <c r="AH554">
        <v>100</v>
      </c>
      <c r="AK554">
        <v>0</v>
      </c>
      <c r="AL554">
        <v>54000</v>
      </c>
      <c r="AM554">
        <v>2610</v>
      </c>
      <c r="AN554">
        <v>51390</v>
      </c>
      <c r="AO554">
        <v>40</v>
      </c>
      <c r="AP554">
        <v>2016</v>
      </c>
      <c r="AQ554">
        <v>0.14000000000000001</v>
      </c>
      <c r="AS554" t="s">
        <v>7872</v>
      </c>
      <c r="AT554" t="s">
        <v>186</v>
      </c>
      <c r="AU554" t="s">
        <v>177</v>
      </c>
      <c r="AV554" t="s">
        <v>187</v>
      </c>
      <c r="AW554" t="s">
        <v>182</v>
      </c>
      <c r="AX554">
        <v>56</v>
      </c>
      <c r="AY554" t="s">
        <v>218</v>
      </c>
      <c r="AZ554" t="s">
        <v>219</v>
      </c>
      <c r="BA554" t="s">
        <v>220</v>
      </c>
      <c r="BB554" t="s">
        <v>191</v>
      </c>
      <c r="BC554" t="s">
        <v>182</v>
      </c>
      <c r="BD554" t="s">
        <v>1528</v>
      </c>
      <c r="BE554" t="s">
        <v>1966</v>
      </c>
      <c r="BF554">
        <v>0</v>
      </c>
      <c r="BG554">
        <v>0</v>
      </c>
      <c r="BH554">
        <v>0</v>
      </c>
      <c r="BI554" t="s">
        <v>199</v>
      </c>
      <c r="BJ554" t="s">
        <v>315</v>
      </c>
      <c r="BL554" t="s">
        <v>199</v>
      </c>
      <c r="BM554" t="s">
        <v>232</v>
      </c>
      <c r="BN554" t="s">
        <v>182</v>
      </c>
      <c r="BO554" t="s">
        <v>198</v>
      </c>
      <c r="BP554" t="s">
        <v>198</v>
      </c>
      <c r="BQ554" t="s">
        <v>198</v>
      </c>
      <c r="BR554" t="s">
        <v>198</v>
      </c>
      <c r="BS554" t="s">
        <v>198</v>
      </c>
      <c r="BT554" t="s">
        <v>198</v>
      </c>
      <c r="BU554" t="s">
        <v>182</v>
      </c>
      <c r="BV554" t="s">
        <v>198</v>
      </c>
      <c r="BW554" t="s">
        <v>198</v>
      </c>
      <c r="BX554" t="s">
        <v>199</v>
      </c>
      <c r="BY554" t="s">
        <v>198</v>
      </c>
      <c r="BZ554" t="s">
        <v>199</v>
      </c>
      <c r="CA554" t="s">
        <v>199</v>
      </c>
      <c r="CB554" t="s">
        <v>7873</v>
      </c>
      <c r="CC554" t="s">
        <v>201</v>
      </c>
      <c r="CD554" t="s">
        <v>202</v>
      </c>
      <c r="CE554" t="s">
        <v>7411</v>
      </c>
      <c r="CF554" t="s">
        <v>204</v>
      </c>
      <c r="CG554" t="s">
        <v>177</v>
      </c>
      <c r="CH554" t="s">
        <v>187</v>
      </c>
      <c r="CI554" t="s">
        <v>7874</v>
      </c>
      <c r="CJ554" t="s">
        <v>7770</v>
      </c>
      <c r="CK554" t="s">
        <v>273</v>
      </c>
      <c r="CL554" t="s">
        <v>274</v>
      </c>
      <c r="CM554" t="s">
        <v>7875</v>
      </c>
      <c r="CN554" t="s">
        <v>482</v>
      </c>
      <c r="CO554" t="s">
        <v>183</v>
      </c>
      <c r="CP554" t="s">
        <v>211</v>
      </c>
      <c r="CQ554" t="s">
        <v>270</v>
      </c>
      <c r="CS554" t="s">
        <v>4984</v>
      </c>
      <c r="DC554" t="s">
        <v>198</v>
      </c>
      <c r="DM554" t="s">
        <v>198</v>
      </c>
      <c r="DW554" t="s">
        <v>198</v>
      </c>
      <c r="EG554" t="s">
        <v>198</v>
      </c>
      <c r="EQ554" t="s">
        <v>198</v>
      </c>
      <c r="FA554" t="s">
        <v>198</v>
      </c>
      <c r="FK554" t="s">
        <v>198</v>
      </c>
      <c r="FU554" t="s">
        <v>198</v>
      </c>
    </row>
    <row r="555" spans="1:177">
      <c r="A555" s="1" t="str">
        <f>HYPERLINK("http://digipan.lumentumllc.com/apps/getLink/index.php?t=PropLink&amp;p=41029387","PL")</f>
        <v>PL</v>
      </c>
      <c r="B555" s="1" t="str">
        <f>HYPERLINK("http://digipan.lumentumllc.com/apps/getLink/index.php?t=TaxLink&amp;p=41029387","TL")</f>
        <v>TL</v>
      </c>
      <c r="C555" s="1" t="str">
        <f>HYPERLINK("","")</f>
        <v/>
      </c>
      <c r="E555" t="s">
        <v>177</v>
      </c>
      <c r="F555" t="s">
        <v>178</v>
      </c>
      <c r="L555" t="s">
        <v>7876</v>
      </c>
      <c r="N555" t="s">
        <v>7876</v>
      </c>
      <c r="O555" t="s">
        <v>7876</v>
      </c>
      <c r="Q555" t="s">
        <v>7876</v>
      </c>
      <c r="V555">
        <v>642</v>
      </c>
      <c r="W555">
        <v>2</v>
      </c>
      <c r="X555">
        <v>2017</v>
      </c>
      <c r="Y555">
        <v>2018</v>
      </c>
      <c r="Z555">
        <v>199</v>
      </c>
      <c r="AG555" t="s">
        <v>184</v>
      </c>
      <c r="AH555">
        <v>0</v>
      </c>
      <c r="AK555">
        <v>0</v>
      </c>
      <c r="AL555">
        <v>10200</v>
      </c>
      <c r="AM555">
        <v>10200</v>
      </c>
      <c r="AN555">
        <v>0</v>
      </c>
      <c r="AQ555">
        <v>1.95</v>
      </c>
      <c r="AS555" t="s">
        <v>7872</v>
      </c>
      <c r="AT555" t="s">
        <v>186</v>
      </c>
      <c r="AU555" t="s">
        <v>177</v>
      </c>
      <c r="AV555" t="s">
        <v>187</v>
      </c>
      <c r="AW555" t="s">
        <v>182</v>
      </c>
      <c r="AX555">
        <v>0</v>
      </c>
      <c r="AY555" t="s">
        <v>312</v>
      </c>
      <c r="AZ555" t="s">
        <v>199</v>
      </c>
      <c r="BA555" t="s">
        <v>313</v>
      </c>
      <c r="BB555" t="s">
        <v>191</v>
      </c>
      <c r="BC555" t="s">
        <v>202</v>
      </c>
      <c r="BD555" t="s">
        <v>182</v>
      </c>
      <c r="BE555" t="s">
        <v>3897</v>
      </c>
      <c r="BI555" t="s">
        <v>199</v>
      </c>
      <c r="BL555" t="s">
        <v>592</v>
      </c>
      <c r="BM555" t="s">
        <v>232</v>
      </c>
      <c r="BN555" t="s">
        <v>182</v>
      </c>
      <c r="BO555" t="s">
        <v>198</v>
      </c>
      <c r="BP555" t="s">
        <v>198</v>
      </c>
      <c r="BQ555" t="s">
        <v>198</v>
      </c>
      <c r="BR555" t="s">
        <v>198</v>
      </c>
      <c r="BS555" t="s">
        <v>198</v>
      </c>
      <c r="BT555" t="s">
        <v>198</v>
      </c>
      <c r="BU555" t="s">
        <v>182</v>
      </c>
      <c r="BV555" t="s">
        <v>198</v>
      </c>
      <c r="BW555" t="s">
        <v>198</v>
      </c>
      <c r="BX555" t="s">
        <v>199</v>
      </c>
      <c r="BY555" t="s">
        <v>198</v>
      </c>
      <c r="CB555" t="s">
        <v>7877</v>
      </c>
      <c r="CC555" t="s">
        <v>201</v>
      </c>
      <c r="CD555" t="s">
        <v>182</v>
      </c>
      <c r="CE555" t="s">
        <v>7878</v>
      </c>
      <c r="CF555" t="s">
        <v>204</v>
      </c>
      <c r="CG555" t="s">
        <v>177</v>
      </c>
      <c r="CH555" t="s">
        <v>187</v>
      </c>
      <c r="CI555" t="s">
        <v>7879</v>
      </c>
      <c r="CS555" t="s">
        <v>198</v>
      </c>
      <c r="DC555" t="s">
        <v>198</v>
      </c>
      <c r="DM555" t="s">
        <v>198</v>
      </c>
      <c r="DW555" t="s">
        <v>198</v>
      </c>
      <c r="EG555" t="s">
        <v>198</v>
      </c>
      <c r="EQ555" t="s">
        <v>198</v>
      </c>
      <c r="FA555" t="s">
        <v>198</v>
      </c>
      <c r="FK555" t="s">
        <v>198</v>
      </c>
      <c r="FU555" t="s">
        <v>198</v>
      </c>
    </row>
    <row r="556" spans="1:177">
      <c r="A556" s="1" t="str">
        <f>HYPERLINK("http://digipan.lumentumllc.com/apps/getLink/index.php?t=PropLink&amp;p=6594138","PL")</f>
        <v>PL</v>
      </c>
      <c r="B556" s="1" t="str">
        <f>HYPERLINK("http://digipan.lumentumllc.com/apps/getLink/index.php?t=TaxLink&amp;p=6594138","TL")</f>
        <v>TL</v>
      </c>
      <c r="C556" s="1" t="str">
        <f>HYPERLINK("http://digipan.lumentumllc.com/apps/getMap/index.php?p=6594138","Map")</f>
        <v>Map</v>
      </c>
      <c r="E556" t="s">
        <v>177</v>
      </c>
      <c r="F556" t="s">
        <v>178</v>
      </c>
      <c r="L556" t="s">
        <v>7880</v>
      </c>
      <c r="N556" t="s">
        <v>7880</v>
      </c>
      <c r="O556" t="s">
        <v>7880</v>
      </c>
      <c r="P556" t="s">
        <v>7881</v>
      </c>
      <c r="Q556" t="s">
        <v>7880</v>
      </c>
      <c r="V556">
        <v>643</v>
      </c>
      <c r="W556">
        <v>2</v>
      </c>
      <c r="X556">
        <v>2017</v>
      </c>
      <c r="Y556">
        <v>2018</v>
      </c>
      <c r="Z556">
        <v>79.48</v>
      </c>
      <c r="AB556" t="s">
        <v>181</v>
      </c>
      <c r="AC556" t="s">
        <v>182</v>
      </c>
      <c r="AD556" t="s">
        <v>183</v>
      </c>
      <c r="AE556">
        <v>0</v>
      </c>
      <c r="AF556">
        <v>1</v>
      </c>
      <c r="AG556" t="s">
        <v>821</v>
      </c>
      <c r="AH556">
        <v>100</v>
      </c>
      <c r="AK556">
        <v>0</v>
      </c>
      <c r="AL556">
        <v>60000</v>
      </c>
      <c r="AM556">
        <v>2900</v>
      </c>
      <c r="AN556">
        <v>57100</v>
      </c>
      <c r="AO556">
        <v>41</v>
      </c>
      <c r="AP556">
        <v>2016</v>
      </c>
      <c r="AQ556">
        <v>0.13</v>
      </c>
      <c r="AS556" t="s">
        <v>7872</v>
      </c>
      <c r="AT556" t="s">
        <v>186</v>
      </c>
      <c r="AU556" t="s">
        <v>177</v>
      </c>
      <c r="AV556" t="s">
        <v>187</v>
      </c>
      <c r="AW556" t="s">
        <v>182</v>
      </c>
      <c r="AX556">
        <v>56</v>
      </c>
      <c r="AY556" t="s">
        <v>218</v>
      </c>
      <c r="AZ556" t="s">
        <v>219</v>
      </c>
      <c r="BA556" t="s">
        <v>220</v>
      </c>
      <c r="BB556" t="s">
        <v>191</v>
      </c>
      <c r="BC556" t="s">
        <v>182</v>
      </c>
      <c r="BD556" t="s">
        <v>182</v>
      </c>
      <c r="BE556" t="s">
        <v>576</v>
      </c>
      <c r="BF556">
        <v>0</v>
      </c>
      <c r="BG556">
        <v>0</v>
      </c>
      <c r="BH556">
        <v>0</v>
      </c>
      <c r="BI556" t="s">
        <v>199</v>
      </c>
      <c r="BJ556" t="s">
        <v>315</v>
      </c>
      <c r="BL556" t="s">
        <v>2801</v>
      </c>
      <c r="BM556" t="s">
        <v>286</v>
      </c>
      <c r="BN556" t="s">
        <v>182</v>
      </c>
      <c r="BO556" t="s">
        <v>198</v>
      </c>
      <c r="BP556" t="s">
        <v>198</v>
      </c>
      <c r="BQ556" t="s">
        <v>198</v>
      </c>
      <c r="BR556" t="s">
        <v>198</v>
      </c>
      <c r="BS556" t="s">
        <v>198</v>
      </c>
      <c r="BT556" t="s">
        <v>198</v>
      </c>
      <c r="BU556" t="s">
        <v>182</v>
      </c>
      <c r="BV556" t="s">
        <v>198</v>
      </c>
      <c r="BW556" t="s">
        <v>198</v>
      </c>
      <c r="BX556" t="s">
        <v>199</v>
      </c>
      <c r="BY556" t="s">
        <v>198</v>
      </c>
      <c r="BZ556" t="s">
        <v>199</v>
      </c>
      <c r="CA556" t="s">
        <v>199</v>
      </c>
      <c r="CB556" t="s">
        <v>7873</v>
      </c>
      <c r="CC556" t="s">
        <v>201</v>
      </c>
      <c r="CD556" t="s">
        <v>202</v>
      </c>
      <c r="CE556" t="s">
        <v>7411</v>
      </c>
      <c r="CF556" t="s">
        <v>204</v>
      </c>
      <c r="CG556" t="s">
        <v>177</v>
      </c>
      <c r="CH556" t="s">
        <v>187</v>
      </c>
      <c r="CI556" t="s">
        <v>7882</v>
      </c>
      <c r="CJ556" t="s">
        <v>7055</v>
      </c>
      <c r="CK556" t="s">
        <v>273</v>
      </c>
      <c r="CL556" t="s">
        <v>274</v>
      </c>
      <c r="CM556" t="s">
        <v>7883</v>
      </c>
      <c r="CN556" t="s">
        <v>482</v>
      </c>
      <c r="CO556" t="s">
        <v>183</v>
      </c>
      <c r="CP556" t="s">
        <v>211</v>
      </c>
      <c r="CQ556" t="s">
        <v>270</v>
      </c>
      <c r="CS556" t="s">
        <v>4984</v>
      </c>
      <c r="DC556" t="s">
        <v>198</v>
      </c>
      <c r="DM556" t="s">
        <v>198</v>
      </c>
      <c r="DW556" t="s">
        <v>198</v>
      </c>
      <c r="EG556" t="s">
        <v>198</v>
      </c>
      <c r="EQ556" t="s">
        <v>198</v>
      </c>
      <c r="FA556" t="s">
        <v>198</v>
      </c>
      <c r="FK556" t="s">
        <v>198</v>
      </c>
      <c r="FU556" t="s">
        <v>198</v>
      </c>
    </row>
    <row r="557" spans="1:177">
      <c r="A557" s="1" t="str">
        <f>HYPERLINK("http://digipan.lumentumllc.com/apps/getLink/index.php?t=PropLink&amp;p=6128871","PL")</f>
        <v>PL</v>
      </c>
      <c r="B557" s="1" t="str">
        <f>HYPERLINK("http://digipan.lumentumllc.com/apps/getLink/index.php?t=TaxLink&amp;p=6128871","TL")</f>
        <v>TL</v>
      </c>
      <c r="C557" s="1" t="str">
        <f>HYPERLINK("http://digipan.lumentumllc.com/apps/getMap/index.php?p=6128871","Map")</f>
        <v>Map</v>
      </c>
      <c r="E557" t="s">
        <v>177</v>
      </c>
      <c r="F557" t="s">
        <v>178</v>
      </c>
      <c r="L557" t="s">
        <v>7884</v>
      </c>
      <c r="N557" t="s">
        <v>7884</v>
      </c>
      <c r="O557" t="s">
        <v>7884</v>
      </c>
      <c r="P557" t="s">
        <v>7885</v>
      </c>
      <c r="Q557" t="s">
        <v>7884</v>
      </c>
      <c r="V557">
        <v>644</v>
      </c>
      <c r="W557">
        <v>2</v>
      </c>
      <c r="X557">
        <v>2017</v>
      </c>
      <c r="Y557">
        <v>2018</v>
      </c>
      <c r="Z557">
        <v>532.05999999999995</v>
      </c>
      <c r="AB557" t="s">
        <v>181</v>
      </c>
      <c r="AC557" t="s">
        <v>182</v>
      </c>
      <c r="AD557" t="s">
        <v>183</v>
      </c>
      <c r="AE557">
        <v>0</v>
      </c>
      <c r="AF557">
        <v>2</v>
      </c>
      <c r="AG557" t="s">
        <v>216</v>
      </c>
      <c r="AH557">
        <v>100</v>
      </c>
      <c r="AK557">
        <v>0</v>
      </c>
      <c r="AL557">
        <v>101475</v>
      </c>
      <c r="AM557">
        <v>18770</v>
      </c>
      <c r="AN557">
        <v>82705</v>
      </c>
      <c r="AO557">
        <v>393</v>
      </c>
      <c r="AP557">
        <v>2016</v>
      </c>
      <c r="AQ557">
        <v>0.52</v>
      </c>
      <c r="AS557" t="s">
        <v>7886</v>
      </c>
      <c r="AT557" t="s">
        <v>186</v>
      </c>
      <c r="AU557" t="s">
        <v>177</v>
      </c>
      <c r="AV557" t="s">
        <v>187</v>
      </c>
      <c r="AW557" t="s">
        <v>182</v>
      </c>
      <c r="AX557">
        <v>50</v>
      </c>
      <c r="AY557" t="s">
        <v>218</v>
      </c>
      <c r="AZ557" t="s">
        <v>589</v>
      </c>
      <c r="BA557" t="s">
        <v>590</v>
      </c>
      <c r="BB557" t="s">
        <v>191</v>
      </c>
      <c r="BC557" t="s">
        <v>182</v>
      </c>
      <c r="BD557" t="s">
        <v>182</v>
      </c>
      <c r="BE557" t="s">
        <v>484</v>
      </c>
      <c r="BF557">
        <v>1</v>
      </c>
      <c r="BG557">
        <v>1</v>
      </c>
      <c r="BH557">
        <v>1988</v>
      </c>
      <c r="BI557" t="s">
        <v>2209</v>
      </c>
      <c r="BJ557" t="s">
        <v>194</v>
      </c>
      <c r="BK557" t="s">
        <v>195</v>
      </c>
      <c r="BL557" t="s">
        <v>7887</v>
      </c>
      <c r="BM557" t="s">
        <v>559</v>
      </c>
      <c r="BN557" t="s">
        <v>182</v>
      </c>
      <c r="BO557" t="s">
        <v>198</v>
      </c>
      <c r="BP557" t="s">
        <v>198</v>
      </c>
      <c r="BQ557" t="s">
        <v>198</v>
      </c>
      <c r="BR557" t="s">
        <v>198</v>
      </c>
      <c r="BS557" t="s">
        <v>198</v>
      </c>
      <c r="BT557" t="s">
        <v>198</v>
      </c>
      <c r="BU557" t="s">
        <v>182</v>
      </c>
      <c r="BV557" t="s">
        <v>198</v>
      </c>
      <c r="BW557" t="s">
        <v>198</v>
      </c>
      <c r="BX557" t="s">
        <v>199</v>
      </c>
      <c r="BY557" t="s">
        <v>198</v>
      </c>
      <c r="BZ557" t="s">
        <v>199</v>
      </c>
      <c r="CA557" t="s">
        <v>199</v>
      </c>
      <c r="CB557" t="s">
        <v>6053</v>
      </c>
      <c r="CC557" t="s">
        <v>201</v>
      </c>
      <c r="CD557" t="s">
        <v>182</v>
      </c>
      <c r="CE557" t="s">
        <v>7411</v>
      </c>
      <c r="CF557" t="s">
        <v>204</v>
      </c>
      <c r="CG557" t="s">
        <v>177</v>
      </c>
      <c r="CH557" t="s">
        <v>187</v>
      </c>
      <c r="CI557" t="s">
        <v>7597</v>
      </c>
      <c r="CJ557" t="s">
        <v>7620</v>
      </c>
      <c r="CK557" t="s">
        <v>292</v>
      </c>
      <c r="CL557" t="s">
        <v>293</v>
      </c>
      <c r="CM557" t="s">
        <v>7888</v>
      </c>
      <c r="CN557" t="s">
        <v>235</v>
      </c>
      <c r="CO557" t="s">
        <v>183</v>
      </c>
      <c r="CP557" t="s">
        <v>211</v>
      </c>
      <c r="CQ557" t="s">
        <v>345</v>
      </c>
      <c r="CS557" t="s">
        <v>1088</v>
      </c>
      <c r="CT557" t="s">
        <v>7889</v>
      </c>
      <c r="CU557" t="s">
        <v>273</v>
      </c>
      <c r="CV557" t="s">
        <v>274</v>
      </c>
      <c r="CW557" t="s">
        <v>7890</v>
      </c>
      <c r="CX557" t="s">
        <v>235</v>
      </c>
      <c r="CY557" t="s">
        <v>183</v>
      </c>
      <c r="CZ557" t="s">
        <v>211</v>
      </c>
      <c r="DA557" t="s">
        <v>270</v>
      </c>
      <c r="DC557" t="s">
        <v>1486</v>
      </c>
      <c r="DM557" t="s">
        <v>198</v>
      </c>
      <c r="DW557" t="s">
        <v>198</v>
      </c>
      <c r="EG557" t="s">
        <v>198</v>
      </c>
      <c r="EQ557" t="s">
        <v>198</v>
      </c>
      <c r="FA557" t="s">
        <v>198</v>
      </c>
      <c r="FK557" t="s">
        <v>198</v>
      </c>
      <c r="FU557" t="s">
        <v>198</v>
      </c>
    </row>
    <row r="558" spans="1:177">
      <c r="A558" s="1" t="str">
        <f>HYPERLINK("http://digipan.lumentumllc.com/apps/getLink/index.php?t=PropLink&amp;p=5245119","PL")</f>
        <v>PL</v>
      </c>
      <c r="B558" s="1" t="str">
        <f>HYPERLINK("http://digipan.lumentumllc.com/apps/getLink/index.php?t=TaxLink&amp;p=5245119","TL")</f>
        <v>TL</v>
      </c>
      <c r="C558" s="1" t="str">
        <f>HYPERLINK("http://digipan.lumentumllc.com/apps/getMap/index.php?p=5245119","Map")</f>
        <v>Map</v>
      </c>
      <c r="E558" t="s">
        <v>177</v>
      </c>
      <c r="F558" t="s">
        <v>178</v>
      </c>
      <c r="L558" t="s">
        <v>7891</v>
      </c>
      <c r="N558" t="s">
        <v>7891</v>
      </c>
      <c r="O558" t="s">
        <v>7891</v>
      </c>
      <c r="P558" t="s">
        <v>7892</v>
      </c>
      <c r="Q558" t="s">
        <v>7891</v>
      </c>
      <c r="V558">
        <v>645</v>
      </c>
      <c r="W558">
        <v>2</v>
      </c>
      <c r="X558">
        <v>2017</v>
      </c>
      <c r="Y558">
        <v>2018</v>
      </c>
      <c r="Z558">
        <v>500.13</v>
      </c>
      <c r="AB558" t="s">
        <v>181</v>
      </c>
      <c r="AC558" t="s">
        <v>182</v>
      </c>
      <c r="AD558" t="s">
        <v>183</v>
      </c>
      <c r="AE558">
        <v>1</v>
      </c>
      <c r="AF558">
        <v>7</v>
      </c>
      <c r="AG558" t="s">
        <v>418</v>
      </c>
      <c r="AH558">
        <v>86</v>
      </c>
      <c r="AI558">
        <v>453.85</v>
      </c>
      <c r="AJ558">
        <v>22.69</v>
      </c>
      <c r="AK558">
        <v>476.54</v>
      </c>
      <c r="AL558">
        <v>143740</v>
      </c>
      <c r="AM558">
        <v>22577</v>
      </c>
      <c r="AN558">
        <v>121163</v>
      </c>
      <c r="AO558">
        <v>395</v>
      </c>
      <c r="AP558">
        <v>2016</v>
      </c>
      <c r="AQ558">
        <v>0.35</v>
      </c>
      <c r="AR558">
        <v>0.33</v>
      </c>
      <c r="AS558" t="s">
        <v>7893</v>
      </c>
      <c r="AT558" t="s">
        <v>186</v>
      </c>
      <c r="AU558" t="s">
        <v>177</v>
      </c>
      <c r="AV558" t="s">
        <v>187</v>
      </c>
      <c r="AW558" t="s">
        <v>182</v>
      </c>
      <c r="AX558">
        <v>50</v>
      </c>
      <c r="AY558" t="s">
        <v>218</v>
      </c>
      <c r="AZ558" t="s">
        <v>589</v>
      </c>
      <c r="BA558" t="s">
        <v>590</v>
      </c>
      <c r="BB558" t="s">
        <v>191</v>
      </c>
      <c r="BC558" t="s">
        <v>182</v>
      </c>
      <c r="BD558" t="s">
        <v>182</v>
      </c>
      <c r="BE558" t="s">
        <v>7894</v>
      </c>
      <c r="BF558">
        <v>1</v>
      </c>
      <c r="BG558">
        <v>1</v>
      </c>
      <c r="BH558">
        <v>1970</v>
      </c>
      <c r="BI558" t="s">
        <v>7456</v>
      </c>
      <c r="BJ558" t="s">
        <v>194</v>
      </c>
      <c r="BK558" t="s">
        <v>195</v>
      </c>
      <c r="BL558" t="s">
        <v>7895</v>
      </c>
      <c r="BM558" t="s">
        <v>1387</v>
      </c>
      <c r="BN558" t="s">
        <v>182</v>
      </c>
      <c r="BO558" t="s">
        <v>198</v>
      </c>
      <c r="BP558" t="s">
        <v>198</v>
      </c>
      <c r="BQ558" t="s">
        <v>198</v>
      </c>
      <c r="BR558" t="s">
        <v>198</v>
      </c>
      <c r="BS558" t="s">
        <v>198</v>
      </c>
      <c r="BT558" t="s">
        <v>198</v>
      </c>
      <c r="BU558" t="s">
        <v>182</v>
      </c>
      <c r="BV558" t="s">
        <v>198</v>
      </c>
      <c r="BW558" t="s">
        <v>198</v>
      </c>
      <c r="BX558" t="s">
        <v>199</v>
      </c>
      <c r="BY558" t="s">
        <v>198</v>
      </c>
      <c r="BZ558" t="s">
        <v>199</v>
      </c>
      <c r="CA558" t="s">
        <v>199</v>
      </c>
      <c r="CB558" t="s">
        <v>7896</v>
      </c>
      <c r="CC558" t="s">
        <v>201</v>
      </c>
      <c r="CD558" t="s">
        <v>202</v>
      </c>
      <c r="CE558" t="s">
        <v>7897</v>
      </c>
      <c r="CF558" t="s">
        <v>204</v>
      </c>
      <c r="CG558" t="s">
        <v>177</v>
      </c>
      <c r="CH558" t="s">
        <v>187</v>
      </c>
      <c r="CI558" t="s">
        <v>7898</v>
      </c>
      <c r="CJ558" t="s">
        <v>7899</v>
      </c>
      <c r="CK558" t="s">
        <v>232</v>
      </c>
      <c r="CL558" t="s">
        <v>233</v>
      </c>
      <c r="CM558" t="s">
        <v>7900</v>
      </c>
      <c r="CN558" t="s">
        <v>235</v>
      </c>
      <c r="CO558" t="s">
        <v>183</v>
      </c>
      <c r="CP558" t="s">
        <v>266</v>
      </c>
      <c r="CS558" t="s">
        <v>198</v>
      </c>
      <c r="CT558" t="s">
        <v>6927</v>
      </c>
      <c r="CU558" t="s">
        <v>292</v>
      </c>
      <c r="CV558" t="s">
        <v>293</v>
      </c>
      <c r="CW558" t="s">
        <v>7901</v>
      </c>
      <c r="CX558" t="s">
        <v>235</v>
      </c>
      <c r="CY558" t="s">
        <v>183</v>
      </c>
      <c r="CZ558" t="s">
        <v>211</v>
      </c>
      <c r="DA558" t="s">
        <v>298</v>
      </c>
      <c r="DC558" t="s">
        <v>1760</v>
      </c>
      <c r="DD558" t="s">
        <v>7841</v>
      </c>
      <c r="DE558" t="s">
        <v>267</v>
      </c>
      <c r="DF558" t="s">
        <v>268</v>
      </c>
      <c r="DG558" t="s">
        <v>7902</v>
      </c>
      <c r="DH558" t="s">
        <v>331</v>
      </c>
      <c r="DI558" t="s">
        <v>183</v>
      </c>
      <c r="DJ558" t="s">
        <v>211</v>
      </c>
      <c r="DK558" t="s">
        <v>298</v>
      </c>
      <c r="DM558" t="s">
        <v>459</v>
      </c>
      <c r="DN558" t="s">
        <v>7841</v>
      </c>
      <c r="DO558" t="s">
        <v>273</v>
      </c>
      <c r="DP558" t="s">
        <v>274</v>
      </c>
      <c r="DQ558" t="s">
        <v>7903</v>
      </c>
      <c r="DR558" t="s">
        <v>833</v>
      </c>
      <c r="DS558" t="s">
        <v>183</v>
      </c>
      <c r="DT558" t="s">
        <v>211</v>
      </c>
      <c r="DU558" t="s">
        <v>298</v>
      </c>
      <c r="DW558" t="s">
        <v>462</v>
      </c>
      <c r="DX558" t="s">
        <v>5204</v>
      </c>
      <c r="DY558" t="s">
        <v>302</v>
      </c>
      <c r="DZ558" t="s">
        <v>303</v>
      </c>
      <c r="EA558" t="s">
        <v>7904</v>
      </c>
      <c r="EB558" t="s">
        <v>331</v>
      </c>
      <c r="EC558" t="s">
        <v>183</v>
      </c>
      <c r="ED558" t="s">
        <v>211</v>
      </c>
      <c r="EE558" t="s">
        <v>298</v>
      </c>
      <c r="EG558" t="s">
        <v>437</v>
      </c>
      <c r="EH558" t="s">
        <v>7905</v>
      </c>
      <c r="EI558" t="s">
        <v>238</v>
      </c>
      <c r="EJ558" t="s">
        <v>239</v>
      </c>
      <c r="EK558" t="s">
        <v>7906</v>
      </c>
      <c r="EL558" t="s">
        <v>278</v>
      </c>
      <c r="EM558" t="s">
        <v>183</v>
      </c>
      <c r="EN558" t="s">
        <v>211</v>
      </c>
      <c r="EO558" t="s">
        <v>298</v>
      </c>
      <c r="EQ558" t="s">
        <v>467</v>
      </c>
      <c r="ER558" t="s">
        <v>7907</v>
      </c>
      <c r="ES558" t="s">
        <v>346</v>
      </c>
      <c r="ET558" t="s">
        <v>347</v>
      </c>
      <c r="EU558" t="s">
        <v>7908</v>
      </c>
      <c r="EV558" t="s">
        <v>1491</v>
      </c>
      <c r="EW558" t="s">
        <v>183</v>
      </c>
      <c r="EX558" t="s">
        <v>211</v>
      </c>
      <c r="EY558" t="s">
        <v>298</v>
      </c>
      <c r="FA558" t="s">
        <v>522</v>
      </c>
      <c r="FB558" t="s">
        <v>7555</v>
      </c>
      <c r="FC558" t="s">
        <v>207</v>
      </c>
      <c r="FD558" t="s">
        <v>208</v>
      </c>
      <c r="FE558" t="s">
        <v>7909</v>
      </c>
      <c r="FF558" t="s">
        <v>1676</v>
      </c>
      <c r="FG558" t="s">
        <v>183</v>
      </c>
      <c r="FH558" t="s">
        <v>211</v>
      </c>
      <c r="FI558" t="s">
        <v>337</v>
      </c>
      <c r="FK558" t="s">
        <v>4656</v>
      </c>
      <c r="FU558" t="s">
        <v>198</v>
      </c>
    </row>
    <row r="559" spans="1:177">
      <c r="A559" s="1" t="str">
        <f>HYPERLINK("http://digipan.lumentumllc.com/apps/getLink/index.php?t=PropLink&amp;p=15741398","PL")</f>
        <v>PL</v>
      </c>
      <c r="B559" s="1" t="str">
        <f>HYPERLINK("http://digipan.lumentumllc.com/apps/getLink/index.php?t=TaxLink&amp;p=15741398","TL")</f>
        <v>TL</v>
      </c>
      <c r="C559" s="1" t="str">
        <f>HYPERLINK("http://digipan.lumentumllc.com/apps/getMap/index.php?p=15741398","Map")</f>
        <v>Map</v>
      </c>
      <c r="E559" t="s">
        <v>177</v>
      </c>
      <c r="F559" t="s">
        <v>178</v>
      </c>
      <c r="L559" t="s">
        <v>7910</v>
      </c>
      <c r="N559" t="s">
        <v>7910</v>
      </c>
      <c r="O559" t="s">
        <v>7910</v>
      </c>
      <c r="Q559" t="s">
        <v>7910</v>
      </c>
      <c r="V559">
        <v>646</v>
      </c>
      <c r="W559">
        <v>2</v>
      </c>
      <c r="X559">
        <v>2017</v>
      </c>
      <c r="Y559">
        <v>2018</v>
      </c>
      <c r="Z559">
        <v>780.01</v>
      </c>
      <c r="AG559" t="s">
        <v>184</v>
      </c>
      <c r="AH559">
        <v>0</v>
      </c>
      <c r="AK559">
        <v>0</v>
      </c>
      <c r="AL559">
        <v>136753</v>
      </c>
      <c r="AM559">
        <v>21235</v>
      </c>
      <c r="AN559">
        <v>115518</v>
      </c>
      <c r="AO559">
        <v>565</v>
      </c>
      <c r="AP559">
        <v>2016</v>
      </c>
      <c r="AQ559">
        <v>0.56999999999999995</v>
      </c>
      <c r="AS559" t="s">
        <v>7911</v>
      </c>
      <c r="AT559" t="s">
        <v>186</v>
      </c>
      <c r="AU559" t="s">
        <v>177</v>
      </c>
      <c r="AV559" t="s">
        <v>187</v>
      </c>
      <c r="AW559" t="s">
        <v>182</v>
      </c>
      <c r="AX559">
        <v>60</v>
      </c>
      <c r="AY559" t="s">
        <v>218</v>
      </c>
      <c r="AZ559" t="s">
        <v>245</v>
      </c>
      <c r="BA559" t="s">
        <v>246</v>
      </c>
      <c r="BB559" t="s">
        <v>191</v>
      </c>
      <c r="BC559" t="s">
        <v>182</v>
      </c>
      <c r="BD559" t="s">
        <v>182</v>
      </c>
      <c r="BE559" t="s">
        <v>7912</v>
      </c>
      <c r="BF559">
        <v>1</v>
      </c>
      <c r="BG559">
        <v>1</v>
      </c>
      <c r="BH559">
        <v>1992</v>
      </c>
      <c r="BI559" t="s">
        <v>1271</v>
      </c>
      <c r="BJ559" t="s">
        <v>194</v>
      </c>
      <c r="BK559" t="s">
        <v>195</v>
      </c>
      <c r="BL559" t="s">
        <v>199</v>
      </c>
      <c r="BM559" t="s">
        <v>325</v>
      </c>
      <c r="BN559" t="s">
        <v>182</v>
      </c>
      <c r="BO559" t="s">
        <v>198</v>
      </c>
      <c r="BP559" t="s">
        <v>198</v>
      </c>
      <c r="BQ559" t="s">
        <v>198</v>
      </c>
      <c r="BR559" t="s">
        <v>198</v>
      </c>
      <c r="BS559" t="s">
        <v>198</v>
      </c>
      <c r="BT559" t="s">
        <v>198</v>
      </c>
      <c r="BU559" t="s">
        <v>182</v>
      </c>
      <c r="BV559" t="s">
        <v>198</v>
      </c>
      <c r="BW559" t="s">
        <v>198</v>
      </c>
      <c r="BX559" t="s">
        <v>199</v>
      </c>
      <c r="BY559" t="s">
        <v>198</v>
      </c>
      <c r="BZ559" t="s">
        <v>199</v>
      </c>
      <c r="CA559" t="s">
        <v>199</v>
      </c>
      <c r="CB559" t="s">
        <v>5950</v>
      </c>
      <c r="CC559" t="s">
        <v>201</v>
      </c>
      <c r="CD559" t="s">
        <v>182</v>
      </c>
      <c r="CE559" t="s">
        <v>5951</v>
      </c>
      <c r="CF559" t="s">
        <v>204</v>
      </c>
      <c r="CG559" t="s">
        <v>177</v>
      </c>
      <c r="CH559" t="s">
        <v>187</v>
      </c>
      <c r="CI559" t="s">
        <v>7913</v>
      </c>
      <c r="CS559" t="s">
        <v>198</v>
      </c>
      <c r="DC559" t="s">
        <v>198</v>
      </c>
      <c r="DM559" t="s">
        <v>198</v>
      </c>
      <c r="DW559" t="s">
        <v>198</v>
      </c>
      <c r="EG559" t="s">
        <v>198</v>
      </c>
      <c r="EQ559" t="s">
        <v>198</v>
      </c>
      <c r="FA559" t="s">
        <v>198</v>
      </c>
      <c r="FK559" t="s">
        <v>198</v>
      </c>
      <c r="FU559" t="s">
        <v>198</v>
      </c>
    </row>
    <row r="560" spans="1:177">
      <c r="A560" s="1" t="str">
        <f>HYPERLINK("http://digipan.lumentumllc.com/apps/getLink/index.php?t=PropLink&amp;p=15741822","PL")</f>
        <v>PL</v>
      </c>
      <c r="B560" s="1" t="str">
        <f>HYPERLINK("http://digipan.lumentumllc.com/apps/getLink/index.php?t=TaxLink&amp;p=15741822","TL")</f>
        <v>TL</v>
      </c>
      <c r="C560" s="1" t="str">
        <f>HYPERLINK("http://digipan.lumentumllc.com/apps/getMap/index.php?p=15741822","Map")</f>
        <v>Map</v>
      </c>
      <c r="E560" t="s">
        <v>177</v>
      </c>
      <c r="F560" t="s">
        <v>178</v>
      </c>
      <c r="L560" t="s">
        <v>7914</v>
      </c>
      <c r="N560" t="s">
        <v>7914</v>
      </c>
      <c r="O560" t="s">
        <v>7914</v>
      </c>
      <c r="Q560" t="s">
        <v>7914</v>
      </c>
      <c r="V560">
        <v>647</v>
      </c>
      <c r="W560">
        <v>2</v>
      </c>
      <c r="X560">
        <v>2017</v>
      </c>
      <c r="Y560">
        <v>2018</v>
      </c>
      <c r="Z560">
        <v>664.7</v>
      </c>
      <c r="AG560" t="s">
        <v>184</v>
      </c>
      <c r="AH560">
        <v>0</v>
      </c>
      <c r="AK560">
        <v>0</v>
      </c>
      <c r="AL560">
        <v>43231</v>
      </c>
      <c r="AM560">
        <v>18750</v>
      </c>
      <c r="AN560">
        <v>24481</v>
      </c>
      <c r="AO560">
        <v>490</v>
      </c>
      <c r="AP560">
        <v>2016</v>
      </c>
      <c r="AQ560">
        <v>1.54</v>
      </c>
      <c r="AS560" t="s">
        <v>7915</v>
      </c>
      <c r="AT560" t="s">
        <v>186</v>
      </c>
      <c r="AU560" t="s">
        <v>177</v>
      </c>
      <c r="AV560" t="s">
        <v>187</v>
      </c>
      <c r="AW560" t="s">
        <v>182</v>
      </c>
      <c r="AX560">
        <v>2</v>
      </c>
      <c r="AY560" t="s">
        <v>188</v>
      </c>
      <c r="AZ560" t="s">
        <v>189</v>
      </c>
      <c r="BA560" t="s">
        <v>190</v>
      </c>
      <c r="BB560" t="s">
        <v>191</v>
      </c>
      <c r="BC560" t="s">
        <v>182</v>
      </c>
      <c r="BD560" t="s">
        <v>182</v>
      </c>
      <c r="BE560" t="s">
        <v>3878</v>
      </c>
      <c r="BF560">
        <v>1</v>
      </c>
      <c r="BG560">
        <v>1</v>
      </c>
      <c r="BH560">
        <v>2001</v>
      </c>
      <c r="BI560" t="s">
        <v>2190</v>
      </c>
      <c r="BJ560" t="s">
        <v>194</v>
      </c>
      <c r="BK560" t="s">
        <v>195</v>
      </c>
      <c r="BL560" t="s">
        <v>7916</v>
      </c>
      <c r="BM560" t="s">
        <v>197</v>
      </c>
      <c r="BN560" t="s">
        <v>182</v>
      </c>
      <c r="BO560" t="s">
        <v>7917</v>
      </c>
      <c r="BP560" t="s">
        <v>7918</v>
      </c>
      <c r="BQ560" t="s">
        <v>603</v>
      </c>
      <c r="BR560" t="s">
        <v>563</v>
      </c>
      <c r="BS560" t="s">
        <v>198</v>
      </c>
      <c r="BT560" t="s">
        <v>228</v>
      </c>
      <c r="BU560" t="s">
        <v>182</v>
      </c>
      <c r="BV560" t="s">
        <v>198</v>
      </c>
      <c r="BW560" t="s">
        <v>198</v>
      </c>
      <c r="BX560" t="s">
        <v>199</v>
      </c>
      <c r="BY560" t="s">
        <v>198</v>
      </c>
      <c r="BZ560" t="s">
        <v>199</v>
      </c>
      <c r="CA560" t="s">
        <v>199</v>
      </c>
      <c r="CB560" t="s">
        <v>7919</v>
      </c>
      <c r="CC560" t="s">
        <v>201</v>
      </c>
      <c r="CD560" t="s">
        <v>202</v>
      </c>
      <c r="CE560" t="s">
        <v>7920</v>
      </c>
      <c r="CF560" t="s">
        <v>1029</v>
      </c>
      <c r="CG560" t="s">
        <v>177</v>
      </c>
      <c r="CH560" t="s">
        <v>1030</v>
      </c>
      <c r="CI560" t="s">
        <v>7921</v>
      </c>
      <c r="CS560" t="s">
        <v>198</v>
      </c>
      <c r="DC560" t="s">
        <v>198</v>
      </c>
      <c r="DM560" t="s">
        <v>198</v>
      </c>
      <c r="DW560" t="s">
        <v>198</v>
      </c>
      <c r="EG560" t="s">
        <v>198</v>
      </c>
      <c r="EQ560" t="s">
        <v>198</v>
      </c>
      <c r="FA560" t="s">
        <v>198</v>
      </c>
      <c r="FK560" t="s">
        <v>198</v>
      </c>
      <c r="FU560" t="s">
        <v>198</v>
      </c>
    </row>
    <row r="561" spans="1:177">
      <c r="A561" s="1" t="str">
        <f>HYPERLINK("http://digipan.lumentumllc.com/apps/getLink/index.php?t=PropLink&amp;p=4637428","PL")</f>
        <v>PL</v>
      </c>
      <c r="B561" s="1" t="str">
        <f>HYPERLINK("http://digipan.lumentumllc.com/apps/getLink/index.php?t=TaxLink&amp;p=4637428","TL")</f>
        <v>TL</v>
      </c>
      <c r="C561" s="1" t="str">
        <f>HYPERLINK("http://digipan.lumentumllc.com/apps/getMap/index.php?p=4637428","Map")</f>
        <v>Map</v>
      </c>
      <c r="E561" t="s">
        <v>177</v>
      </c>
      <c r="F561" t="s">
        <v>178</v>
      </c>
      <c r="L561" t="s">
        <v>7922</v>
      </c>
      <c r="N561" t="s">
        <v>7922</v>
      </c>
      <c r="O561" t="s">
        <v>7922</v>
      </c>
      <c r="P561" t="s">
        <v>7923</v>
      </c>
      <c r="Q561" t="s">
        <v>7922</v>
      </c>
      <c r="V561">
        <v>648</v>
      </c>
      <c r="W561">
        <v>2</v>
      </c>
      <c r="X561">
        <v>2017</v>
      </c>
      <c r="Y561">
        <v>2018</v>
      </c>
      <c r="Z561">
        <v>346.15</v>
      </c>
      <c r="AB561" t="s">
        <v>181</v>
      </c>
      <c r="AC561" t="s">
        <v>182</v>
      </c>
      <c r="AD561" t="s">
        <v>183</v>
      </c>
      <c r="AE561">
        <v>0</v>
      </c>
      <c r="AF561">
        <v>6</v>
      </c>
      <c r="AG561" t="s">
        <v>3266</v>
      </c>
      <c r="AH561">
        <v>100</v>
      </c>
      <c r="AK561">
        <v>0</v>
      </c>
      <c r="AL561">
        <v>19188</v>
      </c>
      <c r="AM561">
        <v>19188</v>
      </c>
      <c r="AN561">
        <v>0</v>
      </c>
      <c r="AO561">
        <v>295</v>
      </c>
      <c r="AP561">
        <v>2016</v>
      </c>
      <c r="AQ561">
        <v>1.8</v>
      </c>
      <c r="AS561" t="s">
        <v>7924</v>
      </c>
      <c r="AT561" t="s">
        <v>186</v>
      </c>
      <c r="AU561" t="s">
        <v>177</v>
      </c>
      <c r="AV561" t="s">
        <v>187</v>
      </c>
      <c r="AW561" t="s">
        <v>182</v>
      </c>
      <c r="AX561">
        <v>0</v>
      </c>
      <c r="AY561" t="s">
        <v>312</v>
      </c>
      <c r="AZ561" t="s">
        <v>199</v>
      </c>
      <c r="BA561" t="s">
        <v>313</v>
      </c>
      <c r="BB561" t="s">
        <v>191</v>
      </c>
      <c r="BC561" t="s">
        <v>182</v>
      </c>
      <c r="BD561" t="s">
        <v>182</v>
      </c>
      <c r="BE561" t="s">
        <v>7925</v>
      </c>
      <c r="BF561">
        <v>0</v>
      </c>
      <c r="BG561">
        <v>0</v>
      </c>
      <c r="BH561">
        <v>0</v>
      </c>
      <c r="BI561" t="s">
        <v>199</v>
      </c>
      <c r="BJ561" t="s">
        <v>248</v>
      </c>
      <c r="BL561" t="s">
        <v>7926</v>
      </c>
      <c r="BM561" t="s">
        <v>286</v>
      </c>
      <c r="BN561" t="s">
        <v>182</v>
      </c>
      <c r="BO561" t="s">
        <v>198</v>
      </c>
      <c r="BP561" t="s">
        <v>198</v>
      </c>
      <c r="BQ561" t="s">
        <v>198</v>
      </c>
      <c r="BR561" t="s">
        <v>198</v>
      </c>
      <c r="BS561" t="s">
        <v>198</v>
      </c>
      <c r="BT561" t="s">
        <v>198</v>
      </c>
      <c r="BU561" t="s">
        <v>182</v>
      </c>
      <c r="BV561" t="s">
        <v>198</v>
      </c>
      <c r="BW561" t="s">
        <v>198</v>
      </c>
      <c r="BX561" t="s">
        <v>199</v>
      </c>
      <c r="BY561" t="s">
        <v>198</v>
      </c>
      <c r="BZ561" t="s">
        <v>199</v>
      </c>
      <c r="CA561" t="s">
        <v>199</v>
      </c>
      <c r="CB561" t="s">
        <v>7927</v>
      </c>
      <c r="CC561" t="s">
        <v>201</v>
      </c>
      <c r="CD561" t="s">
        <v>182</v>
      </c>
      <c r="CE561" t="s">
        <v>7928</v>
      </c>
      <c r="CF561" t="s">
        <v>204</v>
      </c>
      <c r="CG561" t="s">
        <v>177</v>
      </c>
      <c r="CH561" t="s">
        <v>187</v>
      </c>
      <c r="CI561" t="s">
        <v>7929</v>
      </c>
      <c r="CJ561" t="s">
        <v>6946</v>
      </c>
      <c r="CK561" t="s">
        <v>292</v>
      </c>
      <c r="CL561" t="s">
        <v>293</v>
      </c>
      <c r="CM561" t="s">
        <v>7930</v>
      </c>
      <c r="CN561" t="s">
        <v>387</v>
      </c>
      <c r="CO561" t="s">
        <v>183</v>
      </c>
      <c r="CP561" t="s">
        <v>211</v>
      </c>
      <c r="CQ561" t="s">
        <v>270</v>
      </c>
      <c r="CS561" t="s">
        <v>3319</v>
      </c>
      <c r="CT561" t="s">
        <v>7849</v>
      </c>
      <c r="CU561" t="s">
        <v>267</v>
      </c>
      <c r="CV561" t="s">
        <v>268</v>
      </c>
      <c r="CW561" t="s">
        <v>7931</v>
      </c>
      <c r="CX561" t="s">
        <v>331</v>
      </c>
      <c r="CY561" t="s">
        <v>183</v>
      </c>
      <c r="CZ561" t="s">
        <v>211</v>
      </c>
      <c r="DA561" t="s">
        <v>345</v>
      </c>
      <c r="DC561" t="s">
        <v>2917</v>
      </c>
      <c r="DD561" t="s">
        <v>7849</v>
      </c>
      <c r="DE561" t="s">
        <v>273</v>
      </c>
      <c r="DF561" t="s">
        <v>274</v>
      </c>
      <c r="DG561" t="s">
        <v>7932</v>
      </c>
      <c r="DH561" t="s">
        <v>1491</v>
      </c>
      <c r="DI561" t="s">
        <v>183</v>
      </c>
      <c r="DJ561" t="s">
        <v>211</v>
      </c>
      <c r="DK561" t="s">
        <v>635</v>
      </c>
      <c r="DM561" t="s">
        <v>3055</v>
      </c>
      <c r="DN561" t="s">
        <v>7933</v>
      </c>
      <c r="DO561" t="s">
        <v>302</v>
      </c>
      <c r="DP561" t="s">
        <v>303</v>
      </c>
      <c r="DQ561" t="s">
        <v>7934</v>
      </c>
      <c r="DR561" t="s">
        <v>440</v>
      </c>
      <c r="DS561" t="s">
        <v>183</v>
      </c>
      <c r="DT561" t="s">
        <v>211</v>
      </c>
      <c r="DU561" t="s">
        <v>334</v>
      </c>
      <c r="DW561" t="s">
        <v>4247</v>
      </c>
      <c r="DX561" t="s">
        <v>7935</v>
      </c>
      <c r="DY561" t="s">
        <v>238</v>
      </c>
      <c r="DZ561" t="s">
        <v>239</v>
      </c>
      <c r="EA561" t="s">
        <v>7936</v>
      </c>
      <c r="EB561" t="s">
        <v>295</v>
      </c>
      <c r="EC561" t="s">
        <v>183</v>
      </c>
      <c r="ED561" t="s">
        <v>211</v>
      </c>
      <c r="EE561" t="s">
        <v>298</v>
      </c>
      <c r="EG561" t="s">
        <v>467</v>
      </c>
      <c r="EH561" t="s">
        <v>7937</v>
      </c>
      <c r="EI561" t="s">
        <v>207</v>
      </c>
      <c r="EJ561" t="s">
        <v>208</v>
      </c>
      <c r="EK561" t="s">
        <v>7938</v>
      </c>
      <c r="EL561" t="s">
        <v>576</v>
      </c>
      <c r="EM561" t="s">
        <v>183</v>
      </c>
      <c r="EN561" t="s">
        <v>211</v>
      </c>
      <c r="EO561" t="s">
        <v>199</v>
      </c>
      <c r="EQ561" t="s">
        <v>7939</v>
      </c>
      <c r="FA561" t="s">
        <v>198</v>
      </c>
      <c r="FK561" t="s">
        <v>198</v>
      </c>
      <c r="FU561" t="s">
        <v>198</v>
      </c>
    </row>
    <row r="562" spans="1:177">
      <c r="A562" s="1" t="str">
        <f>HYPERLINK("http://digipan.lumentumllc.com/apps/getLink/index.php?t=PropLink&amp;p=6461803","PL")</f>
        <v>PL</v>
      </c>
      <c r="B562" s="1" t="str">
        <f>HYPERLINK("http://digipan.lumentumllc.com/apps/getLink/index.php?t=TaxLink&amp;p=6461803","TL")</f>
        <v>TL</v>
      </c>
      <c r="C562" s="1" t="str">
        <f>HYPERLINK("http://digipan.lumentumllc.com/apps/getMap/index.php?p=6461803","Map")</f>
        <v>Map</v>
      </c>
      <c r="E562" t="s">
        <v>177</v>
      </c>
      <c r="F562" t="s">
        <v>178</v>
      </c>
      <c r="L562" t="s">
        <v>7940</v>
      </c>
      <c r="N562" t="s">
        <v>7940</v>
      </c>
      <c r="O562" t="s">
        <v>7940</v>
      </c>
      <c r="P562" t="s">
        <v>7941</v>
      </c>
      <c r="Q562" t="s">
        <v>7940</v>
      </c>
      <c r="V562">
        <v>649</v>
      </c>
      <c r="W562">
        <v>2</v>
      </c>
      <c r="X562">
        <v>2017</v>
      </c>
      <c r="Y562">
        <v>2018</v>
      </c>
      <c r="Z562">
        <v>2104.79</v>
      </c>
      <c r="AB562" t="s">
        <v>181</v>
      </c>
      <c r="AC562" t="s">
        <v>182</v>
      </c>
      <c r="AD562" t="s">
        <v>183</v>
      </c>
      <c r="AE562">
        <v>1</v>
      </c>
      <c r="AF562">
        <v>3</v>
      </c>
      <c r="AG562" t="s">
        <v>257</v>
      </c>
      <c r="AH562">
        <v>75</v>
      </c>
      <c r="AI562">
        <v>2048.9899999999998</v>
      </c>
      <c r="AJ562">
        <v>102.45</v>
      </c>
      <c r="AK562">
        <v>2151.44</v>
      </c>
      <c r="AL562">
        <v>126601</v>
      </c>
      <c r="AM562">
        <v>48000</v>
      </c>
      <c r="AN562">
        <v>78601</v>
      </c>
      <c r="AO562">
        <v>1870</v>
      </c>
      <c r="AP562">
        <v>2016</v>
      </c>
      <c r="AQ562">
        <v>1.66</v>
      </c>
      <c r="AR562">
        <v>1.7</v>
      </c>
      <c r="AS562" t="s">
        <v>7942</v>
      </c>
      <c r="AT562" t="s">
        <v>186</v>
      </c>
      <c r="AU562" t="s">
        <v>177</v>
      </c>
      <c r="AV562" t="s">
        <v>187</v>
      </c>
      <c r="AW562" t="s">
        <v>182</v>
      </c>
      <c r="AX562">
        <v>2</v>
      </c>
      <c r="AY562" t="s">
        <v>188</v>
      </c>
      <c r="AZ562" t="s">
        <v>189</v>
      </c>
      <c r="BA562" t="s">
        <v>190</v>
      </c>
      <c r="BB562" t="s">
        <v>191</v>
      </c>
      <c r="BC562" t="s">
        <v>182</v>
      </c>
      <c r="BD562" t="s">
        <v>182</v>
      </c>
      <c r="BE562" t="s">
        <v>576</v>
      </c>
      <c r="BF562">
        <v>2</v>
      </c>
      <c r="BG562">
        <v>2</v>
      </c>
      <c r="BH562">
        <v>1981</v>
      </c>
      <c r="BI562" t="s">
        <v>7943</v>
      </c>
      <c r="BJ562" t="s">
        <v>194</v>
      </c>
      <c r="BK562" t="s">
        <v>195</v>
      </c>
      <c r="BL562" t="s">
        <v>7944</v>
      </c>
      <c r="BM562" t="s">
        <v>292</v>
      </c>
      <c r="BN562" t="s">
        <v>182</v>
      </c>
      <c r="BO562" t="s">
        <v>2660</v>
      </c>
      <c r="BP562" t="s">
        <v>7945</v>
      </c>
      <c r="BS562" t="s">
        <v>7946</v>
      </c>
      <c r="BT562" t="s">
        <v>198</v>
      </c>
      <c r="BU562" t="s">
        <v>182</v>
      </c>
      <c r="BV562" t="s">
        <v>198</v>
      </c>
      <c r="BW562" t="s">
        <v>198</v>
      </c>
      <c r="BX562" t="s">
        <v>199</v>
      </c>
      <c r="BY562" t="s">
        <v>198</v>
      </c>
      <c r="BZ562" t="s">
        <v>199</v>
      </c>
      <c r="CA562" t="s">
        <v>199</v>
      </c>
      <c r="CB562" t="s">
        <v>7947</v>
      </c>
      <c r="CC562" t="s">
        <v>201</v>
      </c>
      <c r="CD562" t="s">
        <v>202</v>
      </c>
      <c r="CE562" t="s">
        <v>7948</v>
      </c>
      <c r="CF562" t="s">
        <v>204</v>
      </c>
      <c r="CG562" t="s">
        <v>177</v>
      </c>
      <c r="CH562" t="s">
        <v>187</v>
      </c>
      <c r="CI562" t="s">
        <v>7949</v>
      </c>
      <c r="CJ562" t="s">
        <v>7950</v>
      </c>
      <c r="CK562" t="s">
        <v>232</v>
      </c>
      <c r="CL562" t="s">
        <v>233</v>
      </c>
      <c r="CM562" t="s">
        <v>7951</v>
      </c>
      <c r="CN562" t="s">
        <v>235</v>
      </c>
      <c r="CO562" t="s">
        <v>183</v>
      </c>
      <c r="CP562" t="s">
        <v>266</v>
      </c>
      <c r="CS562" t="s">
        <v>198</v>
      </c>
      <c r="CT562" t="s">
        <v>6975</v>
      </c>
      <c r="CU562" t="s">
        <v>292</v>
      </c>
      <c r="CV562" t="s">
        <v>293</v>
      </c>
      <c r="CW562" t="s">
        <v>7952</v>
      </c>
      <c r="CX562" t="s">
        <v>235</v>
      </c>
      <c r="CY562" t="s">
        <v>183</v>
      </c>
      <c r="CZ562" t="s">
        <v>211</v>
      </c>
      <c r="DA562" t="s">
        <v>298</v>
      </c>
      <c r="DC562" t="s">
        <v>457</v>
      </c>
      <c r="DD562" t="s">
        <v>7953</v>
      </c>
      <c r="DE562" t="s">
        <v>267</v>
      </c>
      <c r="DF562" t="s">
        <v>268</v>
      </c>
      <c r="DG562" t="s">
        <v>7954</v>
      </c>
      <c r="DH562" t="s">
        <v>235</v>
      </c>
      <c r="DI562" t="s">
        <v>183</v>
      </c>
      <c r="DJ562" t="s">
        <v>211</v>
      </c>
      <c r="DK562" t="s">
        <v>345</v>
      </c>
      <c r="DM562" t="s">
        <v>542</v>
      </c>
      <c r="DN562" t="s">
        <v>7899</v>
      </c>
      <c r="DO562" t="s">
        <v>273</v>
      </c>
      <c r="DP562" t="s">
        <v>274</v>
      </c>
      <c r="DQ562" t="s">
        <v>7955</v>
      </c>
      <c r="DR562" t="s">
        <v>235</v>
      </c>
      <c r="DS562" t="s">
        <v>183</v>
      </c>
      <c r="DT562" t="s">
        <v>211</v>
      </c>
      <c r="DU562" t="s">
        <v>345</v>
      </c>
      <c r="DW562" t="s">
        <v>3539</v>
      </c>
      <c r="EG562" t="s">
        <v>198</v>
      </c>
      <c r="EQ562" t="s">
        <v>198</v>
      </c>
      <c r="FA562" t="s">
        <v>198</v>
      </c>
      <c r="FK562" t="s">
        <v>198</v>
      </c>
      <c r="FU562" t="s">
        <v>198</v>
      </c>
    </row>
    <row r="563" spans="1:177">
      <c r="A563" s="1" t="str">
        <f>HYPERLINK("http://digipan.lumentumllc.com/apps/getLink/index.php?t=PropLink&amp;p=5245453","PL")</f>
        <v>PL</v>
      </c>
      <c r="B563" s="1" t="str">
        <f>HYPERLINK("http://digipan.lumentumllc.com/apps/getLink/index.php?t=TaxLink&amp;p=5245453","TL")</f>
        <v>TL</v>
      </c>
      <c r="C563" s="1" t="str">
        <f>HYPERLINK("http://digipan.lumentumllc.com/apps/getMap/index.php?p=5245453","Map")</f>
        <v>Map</v>
      </c>
      <c r="E563" t="s">
        <v>177</v>
      </c>
      <c r="F563" t="s">
        <v>178</v>
      </c>
      <c r="L563" t="s">
        <v>7956</v>
      </c>
      <c r="N563" t="s">
        <v>7956</v>
      </c>
      <c r="O563" t="s">
        <v>7956</v>
      </c>
      <c r="P563" t="s">
        <v>7957</v>
      </c>
      <c r="Q563" t="s">
        <v>7956</v>
      </c>
      <c r="V563">
        <v>650</v>
      </c>
      <c r="W563">
        <v>2</v>
      </c>
      <c r="X563">
        <v>2017</v>
      </c>
      <c r="Y563">
        <v>2018</v>
      </c>
      <c r="Z563">
        <v>521</v>
      </c>
      <c r="AB563" t="s">
        <v>181</v>
      </c>
      <c r="AC563" t="s">
        <v>182</v>
      </c>
      <c r="AD563" t="s">
        <v>183</v>
      </c>
      <c r="AE563">
        <v>0</v>
      </c>
      <c r="AF563">
        <v>7</v>
      </c>
      <c r="AG563" t="s">
        <v>528</v>
      </c>
      <c r="AH563">
        <v>100</v>
      </c>
      <c r="AK563">
        <v>0</v>
      </c>
      <c r="AL563">
        <v>76128</v>
      </c>
      <c r="AM563">
        <v>23808</v>
      </c>
      <c r="AN563">
        <v>52320</v>
      </c>
      <c r="AO563">
        <v>451</v>
      </c>
      <c r="AP563">
        <v>2016</v>
      </c>
      <c r="AQ563">
        <v>0.68</v>
      </c>
      <c r="AS563" t="s">
        <v>7958</v>
      </c>
      <c r="AT563" t="s">
        <v>186</v>
      </c>
      <c r="AU563" t="s">
        <v>177</v>
      </c>
      <c r="AV563" t="s">
        <v>187</v>
      </c>
      <c r="AW563" t="s">
        <v>202</v>
      </c>
      <c r="AX563">
        <v>2</v>
      </c>
      <c r="AY563" t="s">
        <v>188</v>
      </c>
      <c r="AZ563" t="s">
        <v>189</v>
      </c>
      <c r="BA563" t="s">
        <v>190</v>
      </c>
      <c r="BB563" t="s">
        <v>191</v>
      </c>
      <c r="BC563" t="s">
        <v>182</v>
      </c>
      <c r="BD563" t="s">
        <v>182</v>
      </c>
      <c r="BE563" t="s">
        <v>7959</v>
      </c>
      <c r="BF563">
        <v>1</v>
      </c>
      <c r="BG563">
        <v>1</v>
      </c>
      <c r="BH563">
        <v>2001</v>
      </c>
      <c r="BI563" t="s">
        <v>7960</v>
      </c>
      <c r="BJ563" t="s">
        <v>194</v>
      </c>
      <c r="BK563" t="s">
        <v>195</v>
      </c>
      <c r="BL563" t="s">
        <v>7961</v>
      </c>
      <c r="BM563" t="s">
        <v>1311</v>
      </c>
      <c r="BN563" t="s">
        <v>182</v>
      </c>
      <c r="BO563" t="s">
        <v>198</v>
      </c>
      <c r="BP563" t="s">
        <v>198</v>
      </c>
      <c r="BQ563" t="s">
        <v>198</v>
      </c>
      <c r="BR563" t="s">
        <v>198</v>
      </c>
      <c r="BS563" t="s">
        <v>198</v>
      </c>
      <c r="BT563" t="s">
        <v>198</v>
      </c>
      <c r="BU563" t="s">
        <v>182</v>
      </c>
      <c r="BV563" t="s">
        <v>198</v>
      </c>
      <c r="BW563" t="s">
        <v>198</v>
      </c>
      <c r="BX563" t="s">
        <v>199</v>
      </c>
      <c r="BY563" t="s">
        <v>198</v>
      </c>
      <c r="BZ563" t="s">
        <v>199</v>
      </c>
      <c r="CA563" t="s">
        <v>199</v>
      </c>
      <c r="CB563" t="s">
        <v>7962</v>
      </c>
      <c r="CC563" t="s">
        <v>201</v>
      </c>
      <c r="CD563" t="s">
        <v>182</v>
      </c>
      <c r="CE563" t="s">
        <v>7963</v>
      </c>
      <c r="CF563" t="s">
        <v>204</v>
      </c>
      <c r="CG563" t="s">
        <v>177</v>
      </c>
      <c r="CH563" t="s">
        <v>187</v>
      </c>
      <c r="CI563" t="s">
        <v>7964</v>
      </c>
      <c r="CJ563" t="s">
        <v>6994</v>
      </c>
      <c r="CK563" t="s">
        <v>292</v>
      </c>
      <c r="CL563" t="s">
        <v>293</v>
      </c>
      <c r="CM563" t="s">
        <v>7965</v>
      </c>
      <c r="CN563" t="s">
        <v>235</v>
      </c>
      <c r="CO563" t="s">
        <v>183</v>
      </c>
      <c r="CP563" t="s">
        <v>211</v>
      </c>
      <c r="CQ563" t="s">
        <v>298</v>
      </c>
      <c r="CS563" t="s">
        <v>430</v>
      </c>
      <c r="CT563" t="s">
        <v>7950</v>
      </c>
      <c r="CU563" t="s">
        <v>267</v>
      </c>
      <c r="CV563" t="s">
        <v>268</v>
      </c>
      <c r="CW563" t="s">
        <v>7966</v>
      </c>
      <c r="CX563" t="s">
        <v>235</v>
      </c>
      <c r="CY563" t="s">
        <v>183</v>
      </c>
      <c r="CZ563" t="s">
        <v>211</v>
      </c>
      <c r="DA563" t="s">
        <v>808</v>
      </c>
      <c r="DC563" t="s">
        <v>7967</v>
      </c>
      <c r="DD563" t="s">
        <v>7953</v>
      </c>
      <c r="DE563" t="s">
        <v>273</v>
      </c>
      <c r="DF563" t="s">
        <v>274</v>
      </c>
      <c r="DG563" t="s">
        <v>7968</v>
      </c>
      <c r="DH563" t="s">
        <v>235</v>
      </c>
      <c r="DI563" t="s">
        <v>183</v>
      </c>
      <c r="DJ563" t="s">
        <v>211</v>
      </c>
      <c r="DK563" t="s">
        <v>298</v>
      </c>
      <c r="DM563" t="s">
        <v>462</v>
      </c>
      <c r="DN563" t="s">
        <v>7969</v>
      </c>
      <c r="DO563" t="s">
        <v>302</v>
      </c>
      <c r="DP563" t="s">
        <v>303</v>
      </c>
      <c r="DQ563" t="s">
        <v>7230</v>
      </c>
      <c r="DR563" t="s">
        <v>796</v>
      </c>
      <c r="DS563" t="s">
        <v>183</v>
      </c>
      <c r="DT563" t="s">
        <v>211</v>
      </c>
      <c r="DU563" t="s">
        <v>298</v>
      </c>
      <c r="DW563" t="s">
        <v>2359</v>
      </c>
      <c r="DX563" t="s">
        <v>7970</v>
      </c>
      <c r="DY563" t="s">
        <v>238</v>
      </c>
      <c r="DZ563" t="s">
        <v>239</v>
      </c>
      <c r="EA563" t="s">
        <v>7971</v>
      </c>
      <c r="EB563" t="s">
        <v>440</v>
      </c>
      <c r="EC563" t="s">
        <v>183</v>
      </c>
      <c r="ED563" t="s">
        <v>211</v>
      </c>
      <c r="EE563" t="s">
        <v>298</v>
      </c>
      <c r="EG563" t="s">
        <v>467</v>
      </c>
      <c r="EH563" t="s">
        <v>1202</v>
      </c>
      <c r="EI563" t="s">
        <v>346</v>
      </c>
      <c r="EJ563" t="s">
        <v>347</v>
      </c>
      <c r="EK563" t="s">
        <v>7972</v>
      </c>
      <c r="EL563" t="s">
        <v>247</v>
      </c>
      <c r="EM563" t="s">
        <v>183</v>
      </c>
      <c r="EN563" t="s">
        <v>211</v>
      </c>
      <c r="EO563" t="s">
        <v>298</v>
      </c>
      <c r="EQ563" t="s">
        <v>1622</v>
      </c>
      <c r="ER563" t="s">
        <v>7678</v>
      </c>
      <c r="ES563" t="s">
        <v>207</v>
      </c>
      <c r="ET563" t="s">
        <v>208</v>
      </c>
      <c r="EU563" t="s">
        <v>7973</v>
      </c>
      <c r="EV563" t="s">
        <v>1966</v>
      </c>
      <c r="EW563" t="s">
        <v>183</v>
      </c>
      <c r="EX563" t="s">
        <v>211</v>
      </c>
      <c r="EY563" t="s">
        <v>212</v>
      </c>
      <c r="FA563" t="s">
        <v>7974</v>
      </c>
      <c r="FK563" t="s">
        <v>198</v>
      </c>
      <c r="FU563" t="s">
        <v>198</v>
      </c>
    </row>
    <row r="564" spans="1:177">
      <c r="A564" s="1" t="str">
        <f>HYPERLINK("http://digipan.lumentumllc.com/apps/getLink/index.php?t=PropLink&amp;p=5246170","PL")</f>
        <v>PL</v>
      </c>
      <c r="B564" s="1" t="str">
        <f>HYPERLINK("http://digipan.lumentumllc.com/apps/getLink/index.php?t=TaxLink&amp;p=5246170","TL")</f>
        <v>TL</v>
      </c>
      <c r="C564" s="1" t="str">
        <f>HYPERLINK("http://digipan.lumentumllc.com/apps/getMap/index.php?p=5246170","Map")</f>
        <v>Map</v>
      </c>
      <c r="E564" t="s">
        <v>177</v>
      </c>
      <c r="F564" t="s">
        <v>178</v>
      </c>
      <c r="L564" t="s">
        <v>7975</v>
      </c>
      <c r="N564" t="s">
        <v>7975</v>
      </c>
      <c r="O564" t="s">
        <v>7975</v>
      </c>
      <c r="P564" t="s">
        <v>7976</v>
      </c>
      <c r="Q564" t="s">
        <v>7975</v>
      </c>
      <c r="V564">
        <v>651</v>
      </c>
      <c r="W564">
        <v>2</v>
      </c>
      <c r="X564">
        <v>2017</v>
      </c>
      <c r="Y564">
        <v>2018</v>
      </c>
      <c r="Z564">
        <v>329.66</v>
      </c>
      <c r="AB564" t="s">
        <v>181</v>
      </c>
      <c r="AC564" t="s">
        <v>182</v>
      </c>
      <c r="AD564" t="s">
        <v>183</v>
      </c>
      <c r="AE564">
        <v>1</v>
      </c>
      <c r="AF564">
        <v>6</v>
      </c>
      <c r="AG564" t="s">
        <v>322</v>
      </c>
      <c r="AH564">
        <v>83</v>
      </c>
      <c r="AI564">
        <v>285.99</v>
      </c>
      <c r="AJ564">
        <v>14.3</v>
      </c>
      <c r="AK564">
        <v>300.29000000000002</v>
      </c>
      <c r="AL564">
        <v>19500</v>
      </c>
      <c r="AM564">
        <v>19500</v>
      </c>
      <c r="AN564">
        <v>0</v>
      </c>
      <c r="AO564">
        <v>239</v>
      </c>
      <c r="AP564">
        <v>2016</v>
      </c>
      <c r="AQ564">
        <v>1.69</v>
      </c>
      <c r="AR564">
        <v>1.54</v>
      </c>
      <c r="AS564" t="s">
        <v>7977</v>
      </c>
      <c r="AT564" t="s">
        <v>186</v>
      </c>
      <c r="AU564" t="s">
        <v>177</v>
      </c>
      <c r="AV564" t="s">
        <v>187</v>
      </c>
      <c r="AW564" t="s">
        <v>182</v>
      </c>
      <c r="AX564">
        <v>0</v>
      </c>
      <c r="AY564" t="s">
        <v>312</v>
      </c>
      <c r="AZ564" t="s">
        <v>199</v>
      </c>
      <c r="BA564" t="s">
        <v>313</v>
      </c>
      <c r="BB564" t="s">
        <v>191</v>
      </c>
      <c r="BC564" t="s">
        <v>182</v>
      </c>
      <c r="BD564" t="s">
        <v>182</v>
      </c>
      <c r="BE564" t="s">
        <v>1495</v>
      </c>
      <c r="BF564">
        <v>0</v>
      </c>
      <c r="BG564">
        <v>0</v>
      </c>
      <c r="BH564">
        <v>0</v>
      </c>
      <c r="BI564" t="s">
        <v>199</v>
      </c>
      <c r="BJ564" t="s">
        <v>315</v>
      </c>
      <c r="BL564" t="s">
        <v>2191</v>
      </c>
      <c r="BM564" t="s">
        <v>368</v>
      </c>
      <c r="BN564" t="s">
        <v>182</v>
      </c>
      <c r="BO564" t="s">
        <v>7978</v>
      </c>
      <c r="BP564" t="s">
        <v>2542</v>
      </c>
      <c r="BQ564" t="s">
        <v>226</v>
      </c>
      <c r="BR564" t="s">
        <v>227</v>
      </c>
      <c r="BS564" t="s">
        <v>198</v>
      </c>
      <c r="BT564" t="s">
        <v>228</v>
      </c>
      <c r="BU564" t="s">
        <v>182</v>
      </c>
      <c r="BV564" t="s">
        <v>198</v>
      </c>
      <c r="BW564" t="s">
        <v>198</v>
      </c>
      <c r="BX564" t="s">
        <v>199</v>
      </c>
      <c r="BY564" t="s">
        <v>198</v>
      </c>
      <c r="BZ564" t="s">
        <v>199</v>
      </c>
      <c r="CA564" t="s">
        <v>199</v>
      </c>
      <c r="CB564" t="s">
        <v>7979</v>
      </c>
      <c r="CC564" t="s">
        <v>201</v>
      </c>
      <c r="CD564" t="s">
        <v>182</v>
      </c>
      <c r="CE564" t="s">
        <v>7980</v>
      </c>
      <c r="CF564" t="s">
        <v>413</v>
      </c>
      <c r="CG564" t="s">
        <v>177</v>
      </c>
      <c r="CH564" t="s">
        <v>414</v>
      </c>
      <c r="CI564" t="s">
        <v>7981</v>
      </c>
      <c r="CJ564" t="s">
        <v>7179</v>
      </c>
      <c r="CK564" t="s">
        <v>232</v>
      </c>
      <c r="CL564" t="s">
        <v>233</v>
      </c>
      <c r="CM564" t="s">
        <v>1500</v>
      </c>
      <c r="CN564" t="s">
        <v>331</v>
      </c>
      <c r="CO564" t="s">
        <v>183</v>
      </c>
      <c r="CP564" t="s">
        <v>266</v>
      </c>
      <c r="CS564" t="s">
        <v>198</v>
      </c>
      <c r="CT564" t="s">
        <v>7707</v>
      </c>
      <c r="CU564" t="s">
        <v>292</v>
      </c>
      <c r="CV564" t="s">
        <v>293</v>
      </c>
      <c r="CW564" t="s">
        <v>7982</v>
      </c>
      <c r="CX564" t="s">
        <v>235</v>
      </c>
      <c r="CY564" t="s">
        <v>183</v>
      </c>
      <c r="CZ564" t="s">
        <v>211</v>
      </c>
      <c r="DA564" t="s">
        <v>337</v>
      </c>
      <c r="DC564" t="s">
        <v>7983</v>
      </c>
      <c r="DD564" t="s">
        <v>7130</v>
      </c>
      <c r="DE564" t="s">
        <v>273</v>
      </c>
      <c r="DF564" t="s">
        <v>274</v>
      </c>
      <c r="DG564" t="s">
        <v>5618</v>
      </c>
      <c r="DH564" t="s">
        <v>1491</v>
      </c>
      <c r="DI564" t="s">
        <v>183</v>
      </c>
      <c r="DJ564" t="s">
        <v>211</v>
      </c>
      <c r="DK564" t="s">
        <v>212</v>
      </c>
      <c r="DM564" t="s">
        <v>4967</v>
      </c>
      <c r="DN564" t="s">
        <v>7984</v>
      </c>
      <c r="DO564" t="s">
        <v>302</v>
      </c>
      <c r="DP564" t="s">
        <v>303</v>
      </c>
      <c r="DQ564" t="s">
        <v>7985</v>
      </c>
      <c r="DR564" t="s">
        <v>440</v>
      </c>
      <c r="DS564" t="s">
        <v>183</v>
      </c>
      <c r="DT564" t="s">
        <v>211</v>
      </c>
      <c r="DU564" t="s">
        <v>298</v>
      </c>
      <c r="DW564" t="s">
        <v>3499</v>
      </c>
      <c r="DX564" t="s">
        <v>7986</v>
      </c>
      <c r="DY564" t="s">
        <v>238</v>
      </c>
      <c r="DZ564" t="s">
        <v>239</v>
      </c>
      <c r="EA564" t="s">
        <v>7987</v>
      </c>
      <c r="EB564" t="s">
        <v>278</v>
      </c>
      <c r="EC564" t="s">
        <v>183</v>
      </c>
      <c r="ED564" t="s">
        <v>211</v>
      </c>
      <c r="EE564" t="s">
        <v>337</v>
      </c>
      <c r="EG564" t="s">
        <v>7988</v>
      </c>
      <c r="EH564" t="s">
        <v>7989</v>
      </c>
      <c r="EI564" t="s">
        <v>346</v>
      </c>
      <c r="EJ564" t="s">
        <v>347</v>
      </c>
      <c r="EK564" t="s">
        <v>1503</v>
      </c>
      <c r="EL564" t="s">
        <v>615</v>
      </c>
      <c r="EM564" t="s">
        <v>183</v>
      </c>
      <c r="EN564" t="s">
        <v>211</v>
      </c>
      <c r="EO564" t="s">
        <v>298</v>
      </c>
      <c r="EQ564" t="s">
        <v>522</v>
      </c>
      <c r="ER564" t="s">
        <v>7716</v>
      </c>
      <c r="ES564" t="s">
        <v>207</v>
      </c>
      <c r="ET564" t="s">
        <v>208</v>
      </c>
      <c r="EU564" t="s">
        <v>7990</v>
      </c>
      <c r="EV564" t="s">
        <v>469</v>
      </c>
      <c r="EW564" t="s">
        <v>183</v>
      </c>
      <c r="EX564" t="s">
        <v>211</v>
      </c>
      <c r="EY564" t="s">
        <v>337</v>
      </c>
      <c r="FA564" t="s">
        <v>4656</v>
      </c>
      <c r="FK564" t="s">
        <v>198</v>
      </c>
      <c r="FU564" t="s">
        <v>198</v>
      </c>
    </row>
    <row r="565" spans="1:177">
      <c r="A565" s="1" t="str">
        <f>HYPERLINK("http://digipan.lumentumllc.com/apps/getLink/index.php?t=PropLink&amp;p=15747161","PL")</f>
        <v>PL</v>
      </c>
      <c r="B565" s="1" t="str">
        <f>HYPERLINK("http://digipan.lumentumllc.com/apps/getLink/index.php?t=TaxLink&amp;p=15747161","TL")</f>
        <v>TL</v>
      </c>
      <c r="C565" s="1" t="str">
        <f>HYPERLINK("http://digipan.lumentumllc.com/apps/getMap/index.php?p=15747161","Map")</f>
        <v>Map</v>
      </c>
      <c r="E565" t="s">
        <v>177</v>
      </c>
      <c r="F565" t="s">
        <v>178</v>
      </c>
      <c r="L565" t="s">
        <v>7991</v>
      </c>
      <c r="N565" t="s">
        <v>7991</v>
      </c>
      <c r="O565" t="s">
        <v>7991</v>
      </c>
      <c r="Q565" t="s">
        <v>7991</v>
      </c>
      <c r="V565">
        <v>652</v>
      </c>
      <c r="W565">
        <v>2</v>
      </c>
      <c r="X565">
        <v>2017</v>
      </c>
      <c r="Y565">
        <v>2018</v>
      </c>
      <c r="Z565">
        <v>662.64</v>
      </c>
      <c r="AG565" t="s">
        <v>184</v>
      </c>
      <c r="AH565">
        <v>0</v>
      </c>
      <c r="AK565">
        <v>0</v>
      </c>
      <c r="AL565">
        <v>46414</v>
      </c>
      <c r="AM565">
        <v>24750</v>
      </c>
      <c r="AN565">
        <v>21664</v>
      </c>
      <c r="AO565">
        <v>467</v>
      </c>
      <c r="AP565">
        <v>2016</v>
      </c>
      <c r="AQ565">
        <v>1.43</v>
      </c>
      <c r="AS565" t="s">
        <v>7992</v>
      </c>
      <c r="AT565" t="s">
        <v>186</v>
      </c>
      <c r="AU565" t="s">
        <v>177</v>
      </c>
      <c r="AV565" t="s">
        <v>187</v>
      </c>
      <c r="AW565" t="s">
        <v>182</v>
      </c>
      <c r="AX565">
        <v>2</v>
      </c>
      <c r="AY565" t="s">
        <v>188</v>
      </c>
      <c r="AZ565" t="s">
        <v>189</v>
      </c>
      <c r="BA565" t="s">
        <v>190</v>
      </c>
      <c r="BB565" t="s">
        <v>191</v>
      </c>
      <c r="BC565" t="s">
        <v>182</v>
      </c>
      <c r="BD565" t="s">
        <v>182</v>
      </c>
      <c r="BE565" t="s">
        <v>4331</v>
      </c>
      <c r="BF565">
        <v>1</v>
      </c>
      <c r="BG565">
        <v>1</v>
      </c>
      <c r="BH565">
        <v>1987</v>
      </c>
      <c r="BI565" t="s">
        <v>7993</v>
      </c>
      <c r="BJ565" t="s">
        <v>194</v>
      </c>
      <c r="BK565" t="s">
        <v>195</v>
      </c>
      <c r="BL565" t="s">
        <v>7796</v>
      </c>
      <c r="BM565" t="s">
        <v>1311</v>
      </c>
      <c r="BN565" t="s">
        <v>182</v>
      </c>
      <c r="BO565" t="s">
        <v>198</v>
      </c>
      <c r="BP565" t="s">
        <v>198</v>
      </c>
      <c r="BQ565" t="s">
        <v>198</v>
      </c>
      <c r="BR565" t="s">
        <v>198</v>
      </c>
      <c r="BS565" t="s">
        <v>198</v>
      </c>
      <c r="BT565" t="s">
        <v>198</v>
      </c>
      <c r="BU565" t="s">
        <v>182</v>
      </c>
      <c r="BV565" t="s">
        <v>198</v>
      </c>
      <c r="BW565" t="s">
        <v>198</v>
      </c>
      <c r="BX565" t="s">
        <v>199</v>
      </c>
      <c r="BY565" t="s">
        <v>198</v>
      </c>
      <c r="BZ565" t="s">
        <v>199</v>
      </c>
      <c r="CA565" t="s">
        <v>199</v>
      </c>
      <c r="CB565" t="s">
        <v>7994</v>
      </c>
      <c r="CC565" t="s">
        <v>201</v>
      </c>
      <c r="CD565" t="s">
        <v>182</v>
      </c>
      <c r="CE565" t="s">
        <v>6577</v>
      </c>
      <c r="CF565" t="s">
        <v>204</v>
      </c>
      <c r="CG565" t="s">
        <v>177</v>
      </c>
      <c r="CH565" t="s">
        <v>187</v>
      </c>
      <c r="CI565" t="s">
        <v>7995</v>
      </c>
      <c r="CS565" t="s">
        <v>198</v>
      </c>
      <c r="DC565" t="s">
        <v>198</v>
      </c>
      <c r="DM565" t="s">
        <v>198</v>
      </c>
      <c r="DW565" t="s">
        <v>198</v>
      </c>
      <c r="EG565" t="s">
        <v>198</v>
      </c>
      <c r="EQ565" t="s">
        <v>198</v>
      </c>
      <c r="FA565" t="s">
        <v>198</v>
      </c>
      <c r="FK565" t="s">
        <v>198</v>
      </c>
      <c r="FU565" t="s">
        <v>198</v>
      </c>
    </row>
    <row r="566" spans="1:177">
      <c r="A566" s="1" t="str">
        <f>HYPERLINK("http://digipan.lumentumllc.com/apps/getLink/index.php?t=PropLink&amp;p=5246172","PL")</f>
        <v>PL</v>
      </c>
      <c r="B566" s="1" t="str">
        <f>HYPERLINK("http://digipan.lumentumllc.com/apps/getLink/index.php?t=TaxLink&amp;p=5246172","TL")</f>
        <v>TL</v>
      </c>
      <c r="C566" s="1" t="str">
        <f>HYPERLINK("http://digipan.lumentumllc.com/apps/getMap/index.php?p=5246172","Map")</f>
        <v>Map</v>
      </c>
      <c r="E566" t="s">
        <v>177</v>
      </c>
      <c r="F566" t="s">
        <v>178</v>
      </c>
      <c r="L566" t="s">
        <v>7996</v>
      </c>
      <c r="N566" t="s">
        <v>7996</v>
      </c>
      <c r="O566" t="s">
        <v>7996</v>
      </c>
      <c r="P566" t="s">
        <v>7997</v>
      </c>
      <c r="Q566" t="s">
        <v>7996</v>
      </c>
      <c r="V566">
        <v>653</v>
      </c>
      <c r="W566">
        <v>2</v>
      </c>
      <c r="X566">
        <v>2017</v>
      </c>
      <c r="Y566">
        <v>2018</v>
      </c>
      <c r="Z566">
        <v>644.07000000000005</v>
      </c>
      <c r="AB566" t="s">
        <v>181</v>
      </c>
      <c r="AC566" t="s">
        <v>182</v>
      </c>
      <c r="AD566" t="s">
        <v>183</v>
      </c>
      <c r="AE566">
        <v>1</v>
      </c>
      <c r="AF566">
        <v>7</v>
      </c>
      <c r="AG566" t="s">
        <v>418</v>
      </c>
      <c r="AH566">
        <v>86</v>
      </c>
      <c r="AI566">
        <v>535.58000000000004</v>
      </c>
      <c r="AJ566">
        <v>26.78</v>
      </c>
      <c r="AK566">
        <v>562.36</v>
      </c>
      <c r="AL566">
        <v>42156</v>
      </c>
      <c r="AM566">
        <v>24750</v>
      </c>
      <c r="AN566">
        <v>17406</v>
      </c>
      <c r="AO566">
        <v>470</v>
      </c>
      <c r="AP566">
        <v>2016</v>
      </c>
      <c r="AQ566">
        <v>1.53</v>
      </c>
      <c r="AR566">
        <v>1.33</v>
      </c>
      <c r="AS566" t="s">
        <v>7998</v>
      </c>
      <c r="AT566" t="s">
        <v>186</v>
      </c>
      <c r="AU566" t="s">
        <v>177</v>
      </c>
      <c r="AV566" t="s">
        <v>187</v>
      </c>
      <c r="AW566" t="s">
        <v>182</v>
      </c>
      <c r="AX566">
        <v>2</v>
      </c>
      <c r="AY566" t="s">
        <v>188</v>
      </c>
      <c r="AZ566" t="s">
        <v>189</v>
      </c>
      <c r="BA566" t="s">
        <v>190</v>
      </c>
      <c r="BB566" t="s">
        <v>191</v>
      </c>
      <c r="BC566" t="s">
        <v>182</v>
      </c>
      <c r="BD566" t="s">
        <v>182</v>
      </c>
      <c r="BE566" t="s">
        <v>4331</v>
      </c>
      <c r="BF566">
        <v>1</v>
      </c>
      <c r="BG566">
        <v>1</v>
      </c>
      <c r="BH566">
        <v>1993</v>
      </c>
      <c r="BI566" t="s">
        <v>2563</v>
      </c>
      <c r="BJ566" t="s">
        <v>194</v>
      </c>
      <c r="BK566" t="s">
        <v>195</v>
      </c>
      <c r="BL566" t="s">
        <v>199</v>
      </c>
      <c r="BM566" t="s">
        <v>1311</v>
      </c>
      <c r="BN566" t="s">
        <v>182</v>
      </c>
      <c r="BO566" t="s">
        <v>198</v>
      </c>
      <c r="BP566" t="s">
        <v>198</v>
      </c>
      <c r="BQ566" t="s">
        <v>198</v>
      </c>
      <c r="BR566" t="s">
        <v>198</v>
      </c>
      <c r="BS566" t="s">
        <v>198</v>
      </c>
      <c r="BT566" t="s">
        <v>198</v>
      </c>
      <c r="BU566" t="s">
        <v>182</v>
      </c>
      <c r="BV566" t="s">
        <v>198</v>
      </c>
      <c r="BW566" t="s">
        <v>198</v>
      </c>
      <c r="BX566" t="s">
        <v>199</v>
      </c>
      <c r="BY566" t="s">
        <v>198</v>
      </c>
      <c r="BZ566" t="s">
        <v>199</v>
      </c>
      <c r="CA566" t="s">
        <v>199</v>
      </c>
      <c r="CB566" t="s">
        <v>7999</v>
      </c>
      <c r="CC566" t="s">
        <v>201</v>
      </c>
      <c r="CD566" t="s">
        <v>182</v>
      </c>
      <c r="CE566" t="s">
        <v>8000</v>
      </c>
      <c r="CF566" t="s">
        <v>1029</v>
      </c>
      <c r="CG566" t="s">
        <v>177</v>
      </c>
      <c r="CH566" t="s">
        <v>1030</v>
      </c>
      <c r="CI566" t="s">
        <v>4099</v>
      </c>
      <c r="CJ566" t="s">
        <v>8001</v>
      </c>
      <c r="CK566" t="s">
        <v>232</v>
      </c>
      <c r="CL566" t="s">
        <v>233</v>
      </c>
      <c r="CM566" t="s">
        <v>8002</v>
      </c>
      <c r="CN566" t="s">
        <v>235</v>
      </c>
      <c r="CO566" t="s">
        <v>183</v>
      </c>
      <c r="CP566" t="s">
        <v>266</v>
      </c>
      <c r="CS566" t="s">
        <v>198</v>
      </c>
      <c r="CT566" t="s">
        <v>7024</v>
      </c>
      <c r="CU566" t="s">
        <v>292</v>
      </c>
      <c r="CV566" t="s">
        <v>293</v>
      </c>
      <c r="CW566" t="s">
        <v>8003</v>
      </c>
      <c r="CX566" t="s">
        <v>235</v>
      </c>
      <c r="CY566" t="s">
        <v>183</v>
      </c>
      <c r="CZ566" t="s">
        <v>211</v>
      </c>
      <c r="DA566" t="s">
        <v>345</v>
      </c>
      <c r="DC566" t="s">
        <v>8004</v>
      </c>
      <c r="DD566" t="s">
        <v>7179</v>
      </c>
      <c r="DE566" t="s">
        <v>267</v>
      </c>
      <c r="DF566" t="s">
        <v>268</v>
      </c>
      <c r="DG566" t="s">
        <v>8005</v>
      </c>
      <c r="DH566" t="s">
        <v>511</v>
      </c>
      <c r="DI566" t="s">
        <v>183</v>
      </c>
      <c r="DJ566" t="s">
        <v>211</v>
      </c>
      <c r="DK566" t="s">
        <v>298</v>
      </c>
      <c r="DM566" t="s">
        <v>2096</v>
      </c>
      <c r="DN566" t="s">
        <v>7144</v>
      </c>
      <c r="DO566" t="s">
        <v>273</v>
      </c>
      <c r="DP566" t="s">
        <v>274</v>
      </c>
      <c r="DQ566" t="s">
        <v>8006</v>
      </c>
      <c r="DR566" t="s">
        <v>514</v>
      </c>
      <c r="DS566" t="s">
        <v>183</v>
      </c>
      <c r="DT566" t="s">
        <v>211</v>
      </c>
      <c r="DU566" t="s">
        <v>523</v>
      </c>
      <c r="DW566" t="s">
        <v>8007</v>
      </c>
      <c r="DX566" t="s">
        <v>8008</v>
      </c>
      <c r="DY566" t="s">
        <v>302</v>
      </c>
      <c r="DZ566" t="s">
        <v>303</v>
      </c>
      <c r="EA566" t="s">
        <v>8009</v>
      </c>
      <c r="EB566" t="s">
        <v>1586</v>
      </c>
      <c r="EC566" t="s">
        <v>183</v>
      </c>
      <c r="ED566" t="s">
        <v>211</v>
      </c>
      <c r="EE566" t="s">
        <v>298</v>
      </c>
      <c r="EG566" t="s">
        <v>437</v>
      </c>
      <c r="EH566" t="s">
        <v>8010</v>
      </c>
      <c r="EI566" t="s">
        <v>238</v>
      </c>
      <c r="EJ566" t="s">
        <v>239</v>
      </c>
      <c r="EK566" t="s">
        <v>8011</v>
      </c>
      <c r="EL566" t="s">
        <v>278</v>
      </c>
      <c r="EM566" t="s">
        <v>183</v>
      </c>
      <c r="EN566" t="s">
        <v>211</v>
      </c>
      <c r="EO566" t="s">
        <v>298</v>
      </c>
      <c r="EQ566" t="s">
        <v>1815</v>
      </c>
      <c r="ER566" t="s">
        <v>2385</v>
      </c>
      <c r="ES566" t="s">
        <v>346</v>
      </c>
      <c r="ET566" t="s">
        <v>347</v>
      </c>
      <c r="EU566" t="s">
        <v>8012</v>
      </c>
      <c r="EV566" t="s">
        <v>2515</v>
      </c>
      <c r="EW566" t="s">
        <v>183</v>
      </c>
      <c r="EX566" t="s">
        <v>211</v>
      </c>
      <c r="EY566" t="s">
        <v>199</v>
      </c>
      <c r="FA566" t="s">
        <v>5839</v>
      </c>
      <c r="FB566" t="s">
        <v>8013</v>
      </c>
      <c r="FC566" t="s">
        <v>207</v>
      </c>
      <c r="FD566" t="s">
        <v>208</v>
      </c>
      <c r="FE566" t="s">
        <v>8014</v>
      </c>
      <c r="FF566" t="s">
        <v>469</v>
      </c>
      <c r="FG566" t="s">
        <v>183</v>
      </c>
      <c r="FH566" t="s">
        <v>211</v>
      </c>
      <c r="FI566" t="s">
        <v>427</v>
      </c>
      <c r="FK566" t="s">
        <v>5839</v>
      </c>
      <c r="FU566" t="s">
        <v>198</v>
      </c>
    </row>
    <row r="567" spans="1:177">
      <c r="A567" s="1" t="str">
        <f>HYPERLINK("http://digipan.lumentumllc.com/apps/getLink/index.php?t=PropLink&amp;p=5246211","PL")</f>
        <v>PL</v>
      </c>
      <c r="B567" s="1" t="str">
        <f>HYPERLINK("http://digipan.lumentumllc.com/apps/getLink/index.php?t=TaxLink&amp;p=5246211","TL")</f>
        <v>TL</v>
      </c>
      <c r="C567" s="1" t="str">
        <f>HYPERLINK("http://digipan.lumentumllc.com/apps/getMap/index.php?p=5246211","Map")</f>
        <v>Map</v>
      </c>
      <c r="E567" t="s">
        <v>177</v>
      </c>
      <c r="F567" t="s">
        <v>178</v>
      </c>
      <c r="L567" t="s">
        <v>8015</v>
      </c>
      <c r="N567" t="s">
        <v>8015</v>
      </c>
      <c r="O567" t="s">
        <v>8015</v>
      </c>
      <c r="P567" t="s">
        <v>8016</v>
      </c>
      <c r="Q567" t="s">
        <v>8015</v>
      </c>
      <c r="V567">
        <v>654</v>
      </c>
      <c r="W567">
        <v>2</v>
      </c>
      <c r="X567">
        <v>2017</v>
      </c>
      <c r="Y567">
        <v>2018</v>
      </c>
      <c r="Z567">
        <v>954.82</v>
      </c>
      <c r="AB567" t="s">
        <v>181</v>
      </c>
      <c r="AC567" t="s">
        <v>182</v>
      </c>
      <c r="AD567" t="s">
        <v>183</v>
      </c>
      <c r="AE567">
        <v>0</v>
      </c>
      <c r="AF567">
        <v>1</v>
      </c>
      <c r="AG567" t="s">
        <v>821</v>
      </c>
      <c r="AH567">
        <v>100</v>
      </c>
      <c r="AK567">
        <v>0</v>
      </c>
      <c r="AL567">
        <v>119850</v>
      </c>
      <c r="AM567">
        <v>32000</v>
      </c>
      <c r="AN567">
        <v>87850</v>
      </c>
      <c r="AO567">
        <v>842</v>
      </c>
      <c r="AP567">
        <v>2016</v>
      </c>
      <c r="AQ567">
        <v>0.8</v>
      </c>
      <c r="AS567" t="s">
        <v>8017</v>
      </c>
      <c r="AT567" t="s">
        <v>186</v>
      </c>
      <c r="AU567" t="s">
        <v>177</v>
      </c>
      <c r="AV567" t="s">
        <v>187</v>
      </c>
      <c r="AW567" t="s">
        <v>202</v>
      </c>
      <c r="AX567">
        <v>1</v>
      </c>
      <c r="AY567" t="s">
        <v>188</v>
      </c>
      <c r="AZ567" t="s">
        <v>206</v>
      </c>
      <c r="BA567" t="s">
        <v>355</v>
      </c>
      <c r="BB567" t="s">
        <v>191</v>
      </c>
      <c r="BC567" t="s">
        <v>182</v>
      </c>
      <c r="BD567" t="s">
        <v>182</v>
      </c>
      <c r="BE567" t="s">
        <v>927</v>
      </c>
      <c r="BF567">
        <v>1</v>
      </c>
      <c r="BG567">
        <v>1</v>
      </c>
      <c r="BH567">
        <v>1968</v>
      </c>
      <c r="BI567" t="s">
        <v>2951</v>
      </c>
      <c r="BJ567" t="s">
        <v>194</v>
      </c>
      <c r="BK567" t="s">
        <v>195</v>
      </c>
      <c r="BL567" t="s">
        <v>199</v>
      </c>
      <c r="BM567" t="s">
        <v>533</v>
      </c>
      <c r="BN567" t="s">
        <v>182</v>
      </c>
      <c r="BO567" t="s">
        <v>8018</v>
      </c>
      <c r="BP567" t="s">
        <v>8019</v>
      </c>
      <c r="BQ567" t="s">
        <v>800</v>
      </c>
      <c r="BR567" t="s">
        <v>563</v>
      </c>
      <c r="BS567" t="s">
        <v>198</v>
      </c>
      <c r="BT567" t="s">
        <v>8020</v>
      </c>
      <c r="BU567" t="s">
        <v>182</v>
      </c>
      <c r="BV567" t="s">
        <v>198</v>
      </c>
      <c r="BW567" t="s">
        <v>198</v>
      </c>
      <c r="BX567" t="s">
        <v>199</v>
      </c>
      <c r="BY567" t="s">
        <v>198</v>
      </c>
      <c r="BZ567" t="s">
        <v>199</v>
      </c>
      <c r="CA567" t="s">
        <v>199</v>
      </c>
      <c r="CB567" t="s">
        <v>8021</v>
      </c>
      <c r="CC567" t="s">
        <v>201</v>
      </c>
      <c r="CD567" t="s">
        <v>202</v>
      </c>
      <c r="CE567" t="s">
        <v>8022</v>
      </c>
      <c r="CF567" t="s">
        <v>204</v>
      </c>
      <c r="CG567" t="s">
        <v>177</v>
      </c>
      <c r="CH567" t="s">
        <v>187</v>
      </c>
      <c r="CI567" t="s">
        <v>7964</v>
      </c>
      <c r="CJ567" t="s">
        <v>8001</v>
      </c>
      <c r="CK567" t="s">
        <v>267</v>
      </c>
      <c r="CL567" t="s">
        <v>268</v>
      </c>
      <c r="CM567" t="s">
        <v>8023</v>
      </c>
      <c r="CN567" t="s">
        <v>235</v>
      </c>
      <c r="CO567" t="s">
        <v>183</v>
      </c>
      <c r="CP567" t="s">
        <v>211</v>
      </c>
      <c r="CQ567" t="s">
        <v>298</v>
      </c>
      <c r="CS567" t="s">
        <v>2096</v>
      </c>
      <c r="DC567" t="s">
        <v>198</v>
      </c>
      <c r="DM567" t="s">
        <v>198</v>
      </c>
      <c r="DW567" t="s">
        <v>198</v>
      </c>
      <c r="EG567" t="s">
        <v>198</v>
      </c>
      <c r="EQ567" t="s">
        <v>198</v>
      </c>
      <c r="FA567" t="s">
        <v>198</v>
      </c>
      <c r="FK567" t="s">
        <v>198</v>
      </c>
      <c r="FU567" t="s">
        <v>198</v>
      </c>
    </row>
    <row r="568" spans="1:177">
      <c r="A568" s="1" t="str">
        <f>HYPERLINK("http://digipan.lumentumllc.com/apps/getLink/index.php?t=PropLink&amp;p=5246214","PL")</f>
        <v>PL</v>
      </c>
      <c r="B568" s="1" t="str">
        <f>HYPERLINK("http://digipan.lumentumllc.com/apps/getLink/index.php?t=TaxLink&amp;p=5246214","TL")</f>
        <v>TL</v>
      </c>
      <c r="C568" s="1" t="str">
        <f>HYPERLINK("http://digipan.lumentumllc.com/apps/getMap/index.php?p=5246214","Map")</f>
        <v>Map</v>
      </c>
      <c r="E568" t="s">
        <v>177</v>
      </c>
      <c r="F568" t="s">
        <v>178</v>
      </c>
      <c r="L568" t="s">
        <v>8024</v>
      </c>
      <c r="N568" t="s">
        <v>8024</v>
      </c>
      <c r="O568" t="s">
        <v>8024</v>
      </c>
      <c r="P568" t="s">
        <v>8025</v>
      </c>
      <c r="Q568" t="s">
        <v>8024</v>
      </c>
      <c r="V568">
        <v>655</v>
      </c>
      <c r="W568">
        <v>2</v>
      </c>
      <c r="X568">
        <v>2017</v>
      </c>
      <c r="Y568">
        <v>2018</v>
      </c>
      <c r="Z568">
        <v>459.74</v>
      </c>
      <c r="AB568" t="s">
        <v>181</v>
      </c>
      <c r="AC568" t="s">
        <v>182</v>
      </c>
      <c r="AD568" t="s">
        <v>1037</v>
      </c>
      <c r="AE568">
        <v>0</v>
      </c>
      <c r="AF568">
        <v>6</v>
      </c>
      <c r="AG568" t="s">
        <v>528</v>
      </c>
      <c r="AH568">
        <v>100</v>
      </c>
      <c r="AK568">
        <v>0</v>
      </c>
      <c r="AL568">
        <v>26124</v>
      </c>
      <c r="AM568">
        <v>12000</v>
      </c>
      <c r="AN568">
        <v>14124</v>
      </c>
      <c r="AO568">
        <v>365</v>
      </c>
      <c r="AP568">
        <v>2016</v>
      </c>
      <c r="AQ568">
        <v>1.76</v>
      </c>
      <c r="AS568" t="s">
        <v>8026</v>
      </c>
      <c r="AT568" t="s">
        <v>186</v>
      </c>
      <c r="AU568" t="s">
        <v>177</v>
      </c>
      <c r="AV568" t="s">
        <v>187</v>
      </c>
      <c r="AW568" t="s">
        <v>182</v>
      </c>
      <c r="AX568">
        <v>2</v>
      </c>
      <c r="AY568" t="s">
        <v>188</v>
      </c>
      <c r="AZ568" t="s">
        <v>189</v>
      </c>
      <c r="BA568" t="s">
        <v>190</v>
      </c>
      <c r="BB568" t="s">
        <v>191</v>
      </c>
      <c r="BC568" t="s">
        <v>182</v>
      </c>
      <c r="BD568" t="s">
        <v>182</v>
      </c>
      <c r="BE568" t="s">
        <v>7685</v>
      </c>
      <c r="BF568">
        <v>2</v>
      </c>
      <c r="BG568">
        <v>2</v>
      </c>
      <c r="BH568">
        <v>1966</v>
      </c>
      <c r="BI568" t="s">
        <v>1311</v>
      </c>
      <c r="BJ568" t="s">
        <v>194</v>
      </c>
      <c r="BK568" t="s">
        <v>195</v>
      </c>
      <c r="BL568" t="s">
        <v>1002</v>
      </c>
      <c r="BM568" t="s">
        <v>1779</v>
      </c>
      <c r="BN568" t="s">
        <v>182</v>
      </c>
      <c r="BO568" t="s">
        <v>198</v>
      </c>
      <c r="BP568" t="s">
        <v>198</v>
      </c>
      <c r="BQ568" t="s">
        <v>198</v>
      </c>
      <c r="BR568" t="s">
        <v>198</v>
      </c>
      <c r="BS568" t="s">
        <v>198</v>
      </c>
      <c r="BT568" t="s">
        <v>198</v>
      </c>
      <c r="BU568" t="s">
        <v>182</v>
      </c>
      <c r="BV568" t="s">
        <v>198</v>
      </c>
      <c r="BW568" t="s">
        <v>198</v>
      </c>
      <c r="BX568" t="s">
        <v>199</v>
      </c>
      <c r="BY568" t="s">
        <v>198</v>
      </c>
      <c r="BZ568" t="s">
        <v>199</v>
      </c>
      <c r="CA568" t="s">
        <v>199</v>
      </c>
      <c r="CB568" t="s">
        <v>8027</v>
      </c>
      <c r="CC568" t="s">
        <v>201</v>
      </c>
      <c r="CD568" t="s">
        <v>202</v>
      </c>
      <c r="CE568" t="s">
        <v>8028</v>
      </c>
      <c r="CF568" t="s">
        <v>204</v>
      </c>
      <c r="CG568" t="s">
        <v>177</v>
      </c>
      <c r="CH568" t="s">
        <v>187</v>
      </c>
      <c r="CI568" t="s">
        <v>8029</v>
      </c>
      <c r="CJ568" t="s">
        <v>8030</v>
      </c>
      <c r="CK568" t="s">
        <v>232</v>
      </c>
      <c r="CL568" t="s">
        <v>233</v>
      </c>
      <c r="CM568" t="s">
        <v>8031</v>
      </c>
      <c r="CN568" t="s">
        <v>305</v>
      </c>
      <c r="CO568" t="s">
        <v>183</v>
      </c>
      <c r="CP568" t="s">
        <v>211</v>
      </c>
      <c r="CQ568" t="s">
        <v>342</v>
      </c>
      <c r="CS568" t="s">
        <v>1088</v>
      </c>
      <c r="CT568" t="s">
        <v>7753</v>
      </c>
      <c r="CU568" t="s">
        <v>292</v>
      </c>
      <c r="CV568" t="s">
        <v>293</v>
      </c>
      <c r="CW568" t="s">
        <v>8032</v>
      </c>
      <c r="CX568" t="s">
        <v>278</v>
      </c>
      <c r="CY568" t="s">
        <v>183</v>
      </c>
      <c r="CZ568" t="s">
        <v>211</v>
      </c>
      <c r="DA568" t="s">
        <v>298</v>
      </c>
      <c r="DC568" t="s">
        <v>457</v>
      </c>
      <c r="DD568" t="s">
        <v>5099</v>
      </c>
      <c r="DE568" t="s">
        <v>267</v>
      </c>
      <c r="DF568" t="s">
        <v>268</v>
      </c>
      <c r="DG568" t="s">
        <v>8033</v>
      </c>
      <c r="DH568" t="s">
        <v>511</v>
      </c>
      <c r="DI568" t="s">
        <v>183</v>
      </c>
      <c r="DJ568" t="s">
        <v>211</v>
      </c>
      <c r="DK568" t="s">
        <v>264</v>
      </c>
      <c r="DM568" t="s">
        <v>6043</v>
      </c>
      <c r="DN568" t="s">
        <v>7179</v>
      </c>
      <c r="DO568" t="s">
        <v>273</v>
      </c>
      <c r="DP568" t="s">
        <v>274</v>
      </c>
      <c r="DQ568" t="s">
        <v>8034</v>
      </c>
      <c r="DR568" t="s">
        <v>235</v>
      </c>
      <c r="DS568" t="s">
        <v>183</v>
      </c>
      <c r="DT568" t="s">
        <v>211</v>
      </c>
      <c r="DU568" t="s">
        <v>212</v>
      </c>
      <c r="DW568" t="s">
        <v>8035</v>
      </c>
      <c r="DX568" t="s">
        <v>8036</v>
      </c>
      <c r="DY568" t="s">
        <v>238</v>
      </c>
      <c r="DZ568" t="s">
        <v>239</v>
      </c>
      <c r="EA568" t="s">
        <v>8037</v>
      </c>
      <c r="EB568" t="s">
        <v>482</v>
      </c>
      <c r="EC568" t="s">
        <v>5</v>
      </c>
      <c r="ED568" t="s">
        <v>211</v>
      </c>
      <c r="EE568" t="s">
        <v>298</v>
      </c>
      <c r="EG568" t="s">
        <v>1794</v>
      </c>
      <c r="EH568" t="s">
        <v>8038</v>
      </c>
      <c r="EI568" t="s">
        <v>346</v>
      </c>
      <c r="EJ568" t="s">
        <v>347</v>
      </c>
      <c r="EK568" t="s">
        <v>8039</v>
      </c>
      <c r="EL568" t="s">
        <v>341</v>
      </c>
      <c r="EM568" t="s">
        <v>183</v>
      </c>
      <c r="EN568" t="s">
        <v>211</v>
      </c>
      <c r="EO568" t="s">
        <v>298</v>
      </c>
      <c r="EQ568" t="s">
        <v>3166</v>
      </c>
      <c r="FA568" t="s">
        <v>198</v>
      </c>
      <c r="FK568" t="s">
        <v>198</v>
      </c>
      <c r="FU568" t="s">
        <v>198</v>
      </c>
    </row>
    <row r="569" spans="1:177">
      <c r="A569" s="1" t="str">
        <f>HYPERLINK("http://digipan.lumentumllc.com/apps/getLink/index.php?t=PropLink&amp;p=5246240","PL")</f>
        <v>PL</v>
      </c>
      <c r="B569" s="1" t="str">
        <f>HYPERLINK("http://digipan.lumentumllc.com/apps/getLink/index.php?t=TaxLink&amp;p=5246240","TL")</f>
        <v>TL</v>
      </c>
      <c r="C569" s="1" t="str">
        <f>HYPERLINK("http://digipan.lumentumllc.com/apps/getMap/index.php?p=5246240","Map")</f>
        <v>Map</v>
      </c>
      <c r="E569" t="s">
        <v>177</v>
      </c>
      <c r="F569" t="s">
        <v>178</v>
      </c>
      <c r="L569" t="s">
        <v>8040</v>
      </c>
      <c r="N569" t="s">
        <v>8040</v>
      </c>
      <c r="O569" t="s">
        <v>8040</v>
      </c>
      <c r="P569" t="s">
        <v>8041</v>
      </c>
      <c r="Q569" t="s">
        <v>8040</v>
      </c>
      <c r="V569">
        <v>656</v>
      </c>
      <c r="W569">
        <v>2</v>
      </c>
      <c r="X569">
        <v>2017</v>
      </c>
      <c r="Y569">
        <v>2018</v>
      </c>
      <c r="Z569">
        <v>1026.73</v>
      </c>
      <c r="AB569" t="s">
        <v>181</v>
      </c>
      <c r="AC569" t="s">
        <v>182</v>
      </c>
      <c r="AD569" t="s">
        <v>183</v>
      </c>
      <c r="AE569">
        <v>0</v>
      </c>
      <c r="AF569">
        <v>7</v>
      </c>
      <c r="AG569" t="s">
        <v>528</v>
      </c>
      <c r="AH569">
        <v>100</v>
      </c>
      <c r="AK569">
        <v>0</v>
      </c>
      <c r="AL569">
        <v>91076</v>
      </c>
      <c r="AM569">
        <v>19200</v>
      </c>
      <c r="AN569">
        <v>71876</v>
      </c>
      <c r="AO569">
        <v>922</v>
      </c>
      <c r="AP569">
        <v>2016</v>
      </c>
      <c r="AQ569">
        <v>1.1299999999999999</v>
      </c>
      <c r="AS569" t="s">
        <v>8042</v>
      </c>
      <c r="AT569" t="s">
        <v>186</v>
      </c>
      <c r="AU569" t="s">
        <v>177</v>
      </c>
      <c r="AV569" t="s">
        <v>187</v>
      </c>
      <c r="AW569" t="s">
        <v>202</v>
      </c>
      <c r="AX569">
        <v>1</v>
      </c>
      <c r="AY569" t="s">
        <v>188</v>
      </c>
      <c r="AZ569" t="s">
        <v>206</v>
      </c>
      <c r="BA569" t="s">
        <v>355</v>
      </c>
      <c r="BB569" t="s">
        <v>191</v>
      </c>
      <c r="BC569" t="s">
        <v>182</v>
      </c>
      <c r="BD569" t="s">
        <v>182</v>
      </c>
      <c r="BE569" t="s">
        <v>927</v>
      </c>
      <c r="BF569">
        <v>1</v>
      </c>
      <c r="BG569">
        <v>1</v>
      </c>
      <c r="BH569">
        <v>1981</v>
      </c>
      <c r="BI569" t="s">
        <v>8043</v>
      </c>
      <c r="BJ569" t="s">
        <v>194</v>
      </c>
      <c r="BK569" t="s">
        <v>195</v>
      </c>
      <c r="BL569" t="s">
        <v>199</v>
      </c>
      <c r="BM569" t="s">
        <v>207</v>
      </c>
      <c r="BN569" t="s">
        <v>182</v>
      </c>
      <c r="BO569" t="s">
        <v>3488</v>
      </c>
      <c r="BP569" t="s">
        <v>5560</v>
      </c>
      <c r="BR569" t="s">
        <v>1461</v>
      </c>
      <c r="BS569" t="s">
        <v>8044</v>
      </c>
      <c r="BT569" t="s">
        <v>198</v>
      </c>
      <c r="BU569" t="s">
        <v>182</v>
      </c>
      <c r="BV569" t="s">
        <v>198</v>
      </c>
      <c r="BW569" t="s">
        <v>198</v>
      </c>
      <c r="BX569" t="s">
        <v>199</v>
      </c>
      <c r="BY569" t="s">
        <v>198</v>
      </c>
      <c r="BZ569" t="s">
        <v>199</v>
      </c>
      <c r="CA569" t="s">
        <v>199</v>
      </c>
      <c r="CB569" t="s">
        <v>8045</v>
      </c>
      <c r="CC569" t="s">
        <v>201</v>
      </c>
      <c r="CD569" t="s">
        <v>202</v>
      </c>
      <c r="CE569" t="s">
        <v>8046</v>
      </c>
      <c r="CF569" t="s">
        <v>204</v>
      </c>
      <c r="CG569" t="s">
        <v>177</v>
      </c>
      <c r="CH569" t="s">
        <v>187</v>
      </c>
      <c r="CI569" t="s">
        <v>8047</v>
      </c>
      <c r="CJ569" t="s">
        <v>7055</v>
      </c>
      <c r="CK569" t="s">
        <v>292</v>
      </c>
      <c r="CL569" t="s">
        <v>293</v>
      </c>
      <c r="CM569" t="s">
        <v>8048</v>
      </c>
      <c r="CN569" t="s">
        <v>235</v>
      </c>
      <c r="CO569" t="s">
        <v>183</v>
      </c>
      <c r="CP569" t="s">
        <v>211</v>
      </c>
      <c r="CQ569" t="s">
        <v>206</v>
      </c>
      <c r="CS569" t="s">
        <v>8049</v>
      </c>
      <c r="CT569" t="s">
        <v>8050</v>
      </c>
      <c r="CU569" t="s">
        <v>267</v>
      </c>
      <c r="CV569" t="s">
        <v>268</v>
      </c>
      <c r="CW569" t="s">
        <v>8051</v>
      </c>
      <c r="CX569" t="s">
        <v>235</v>
      </c>
      <c r="CY569" t="s">
        <v>183</v>
      </c>
      <c r="CZ569" t="s">
        <v>211</v>
      </c>
      <c r="DA569" t="s">
        <v>306</v>
      </c>
      <c r="DC569" t="s">
        <v>8049</v>
      </c>
      <c r="DD569" t="s">
        <v>8001</v>
      </c>
      <c r="DE569" t="s">
        <v>273</v>
      </c>
      <c r="DF569" t="s">
        <v>274</v>
      </c>
      <c r="DG569" t="s">
        <v>8052</v>
      </c>
      <c r="DH569" t="s">
        <v>235</v>
      </c>
      <c r="DI569" t="s">
        <v>183</v>
      </c>
      <c r="DJ569" t="s">
        <v>211</v>
      </c>
      <c r="DK569" t="s">
        <v>345</v>
      </c>
      <c r="DM569" t="s">
        <v>7476</v>
      </c>
      <c r="DN569" t="s">
        <v>8053</v>
      </c>
      <c r="DO569" t="s">
        <v>302</v>
      </c>
      <c r="DP569" t="s">
        <v>303</v>
      </c>
      <c r="DQ569" t="s">
        <v>8054</v>
      </c>
      <c r="DR569" t="s">
        <v>235</v>
      </c>
      <c r="DS569" t="s">
        <v>183</v>
      </c>
      <c r="DT569" t="s">
        <v>211</v>
      </c>
      <c r="DU569" t="s">
        <v>345</v>
      </c>
      <c r="DW569" t="s">
        <v>343</v>
      </c>
      <c r="DX569" t="s">
        <v>8055</v>
      </c>
      <c r="DY569" t="s">
        <v>238</v>
      </c>
      <c r="DZ569" t="s">
        <v>239</v>
      </c>
      <c r="EA569" t="s">
        <v>8056</v>
      </c>
      <c r="EB569" t="s">
        <v>235</v>
      </c>
      <c r="EC569" t="s">
        <v>183</v>
      </c>
      <c r="ED569" t="s">
        <v>211</v>
      </c>
      <c r="EE569" t="s">
        <v>345</v>
      </c>
      <c r="EG569" t="s">
        <v>5888</v>
      </c>
      <c r="EH569" t="s">
        <v>5621</v>
      </c>
      <c r="EI569" t="s">
        <v>346</v>
      </c>
      <c r="EJ569" t="s">
        <v>347</v>
      </c>
      <c r="EK569" t="s">
        <v>8057</v>
      </c>
      <c r="EL569" t="s">
        <v>235</v>
      </c>
      <c r="EM569" t="s">
        <v>183</v>
      </c>
      <c r="EN569" t="s">
        <v>211</v>
      </c>
      <c r="EO569" t="s">
        <v>298</v>
      </c>
      <c r="EQ569" t="s">
        <v>3166</v>
      </c>
      <c r="ER569" t="s">
        <v>4833</v>
      </c>
      <c r="ES569" t="s">
        <v>207</v>
      </c>
      <c r="ET569" t="s">
        <v>208</v>
      </c>
      <c r="EU569" t="s">
        <v>8058</v>
      </c>
      <c r="EV569" t="s">
        <v>235</v>
      </c>
      <c r="EW569" t="s">
        <v>183</v>
      </c>
      <c r="EX569" t="s">
        <v>211</v>
      </c>
      <c r="EY569" t="s">
        <v>270</v>
      </c>
      <c r="FA569" t="s">
        <v>7812</v>
      </c>
      <c r="FK569" t="s">
        <v>198</v>
      </c>
      <c r="FU569" t="s">
        <v>198</v>
      </c>
    </row>
    <row r="570" spans="1:177">
      <c r="A570" s="1" t="str">
        <f>HYPERLINK("http://digipan.lumentumllc.com/apps/getLink/index.php?t=PropLink&amp;p=5246318","PL")</f>
        <v>PL</v>
      </c>
      <c r="B570" s="1" t="str">
        <f>HYPERLINK("http://digipan.lumentumllc.com/apps/getLink/index.php?t=TaxLink&amp;p=5246318","TL")</f>
        <v>TL</v>
      </c>
      <c r="C570" s="1" t="str">
        <f>HYPERLINK("http://digipan.lumentumllc.com/apps/getMap/index.php?p=5246318","Map")</f>
        <v>Map</v>
      </c>
      <c r="E570" t="s">
        <v>177</v>
      </c>
      <c r="F570" t="s">
        <v>178</v>
      </c>
      <c r="L570" t="s">
        <v>8059</v>
      </c>
      <c r="N570" t="s">
        <v>8059</v>
      </c>
      <c r="O570" t="s">
        <v>8059</v>
      </c>
      <c r="P570" t="s">
        <v>8060</v>
      </c>
      <c r="Q570" t="s">
        <v>8059</v>
      </c>
      <c r="V570">
        <v>657</v>
      </c>
      <c r="W570">
        <v>2</v>
      </c>
      <c r="X570">
        <v>2017</v>
      </c>
      <c r="Y570">
        <v>2018</v>
      </c>
      <c r="Z570">
        <v>2035.36</v>
      </c>
      <c r="AB570" t="s">
        <v>181</v>
      </c>
      <c r="AC570" t="s">
        <v>182</v>
      </c>
      <c r="AD570" t="s">
        <v>183</v>
      </c>
      <c r="AE570">
        <v>1</v>
      </c>
      <c r="AF570">
        <v>7</v>
      </c>
      <c r="AG570" t="s">
        <v>418</v>
      </c>
      <c r="AH570">
        <v>86</v>
      </c>
      <c r="AI570">
        <v>2026.1</v>
      </c>
      <c r="AJ570">
        <v>101.31</v>
      </c>
      <c r="AK570">
        <v>2127.41</v>
      </c>
      <c r="AL570">
        <v>167820</v>
      </c>
      <c r="AM570">
        <v>112500</v>
      </c>
      <c r="AN570">
        <v>55320</v>
      </c>
      <c r="AO570">
        <v>1848</v>
      </c>
      <c r="AP570">
        <v>2016</v>
      </c>
      <c r="AQ570">
        <v>1.21</v>
      </c>
      <c r="AR570">
        <v>1.27</v>
      </c>
      <c r="AS570" t="s">
        <v>8061</v>
      </c>
      <c r="AT570" t="s">
        <v>186</v>
      </c>
      <c r="AU570" t="s">
        <v>177</v>
      </c>
      <c r="AV570" t="s">
        <v>187</v>
      </c>
      <c r="AW570" t="s">
        <v>202</v>
      </c>
      <c r="AX570">
        <v>2</v>
      </c>
      <c r="AY570" t="s">
        <v>188</v>
      </c>
      <c r="AZ570" t="s">
        <v>189</v>
      </c>
      <c r="BA570" t="s">
        <v>190</v>
      </c>
      <c r="BB570" t="s">
        <v>191</v>
      </c>
      <c r="BC570" t="s">
        <v>182</v>
      </c>
      <c r="BD570" t="s">
        <v>182</v>
      </c>
      <c r="BE570" t="s">
        <v>8062</v>
      </c>
      <c r="BF570">
        <v>1</v>
      </c>
      <c r="BG570">
        <v>1</v>
      </c>
      <c r="BH570">
        <v>1994</v>
      </c>
      <c r="BI570" t="s">
        <v>7006</v>
      </c>
      <c r="BJ570" t="s">
        <v>194</v>
      </c>
      <c r="BK570" t="s">
        <v>195</v>
      </c>
      <c r="BL570" t="s">
        <v>8063</v>
      </c>
      <c r="BM570" t="s">
        <v>410</v>
      </c>
      <c r="BN570" t="s">
        <v>182</v>
      </c>
      <c r="BO570" t="s">
        <v>198</v>
      </c>
      <c r="BP570" t="s">
        <v>198</v>
      </c>
      <c r="BQ570" t="s">
        <v>198</v>
      </c>
      <c r="BR570" t="s">
        <v>198</v>
      </c>
      <c r="BS570" t="s">
        <v>198</v>
      </c>
      <c r="BT570" t="s">
        <v>198</v>
      </c>
      <c r="BU570" t="s">
        <v>182</v>
      </c>
      <c r="BV570" t="s">
        <v>198</v>
      </c>
      <c r="BW570" t="s">
        <v>198</v>
      </c>
      <c r="BX570" t="s">
        <v>199</v>
      </c>
      <c r="BY570" t="s">
        <v>198</v>
      </c>
      <c r="BZ570" t="s">
        <v>199</v>
      </c>
      <c r="CA570" t="s">
        <v>199</v>
      </c>
      <c r="CB570" t="s">
        <v>3213</v>
      </c>
      <c r="CC570" t="s">
        <v>201</v>
      </c>
      <c r="CD570" t="s">
        <v>182</v>
      </c>
      <c r="CE570" t="s">
        <v>3214</v>
      </c>
      <c r="CF570" t="s">
        <v>204</v>
      </c>
      <c r="CG570" t="s">
        <v>177</v>
      </c>
      <c r="CH570" t="s">
        <v>187</v>
      </c>
      <c r="CI570" t="s">
        <v>8064</v>
      </c>
      <c r="CJ570" t="s">
        <v>8050</v>
      </c>
      <c r="CK570" t="s">
        <v>232</v>
      </c>
      <c r="CL570" t="s">
        <v>233</v>
      </c>
      <c r="CM570" t="s">
        <v>8065</v>
      </c>
      <c r="CN570" t="s">
        <v>235</v>
      </c>
      <c r="CO570" t="s">
        <v>183</v>
      </c>
      <c r="CP570" t="s">
        <v>266</v>
      </c>
      <c r="CS570" t="s">
        <v>198</v>
      </c>
      <c r="CT570" t="s">
        <v>7889</v>
      </c>
      <c r="CU570" t="s">
        <v>292</v>
      </c>
      <c r="CV570" t="s">
        <v>293</v>
      </c>
      <c r="CW570" t="s">
        <v>8066</v>
      </c>
      <c r="CX570" t="s">
        <v>235</v>
      </c>
      <c r="CY570" t="s">
        <v>183</v>
      </c>
      <c r="CZ570" t="s">
        <v>211</v>
      </c>
      <c r="DA570" t="s">
        <v>298</v>
      </c>
      <c r="DC570" t="s">
        <v>430</v>
      </c>
      <c r="DD570" t="s">
        <v>8067</v>
      </c>
      <c r="DE570" t="s">
        <v>267</v>
      </c>
      <c r="DF570" t="s">
        <v>268</v>
      </c>
      <c r="DG570" t="s">
        <v>8068</v>
      </c>
      <c r="DH570" t="s">
        <v>235</v>
      </c>
      <c r="DI570" t="s">
        <v>183</v>
      </c>
      <c r="DJ570" t="s">
        <v>211</v>
      </c>
      <c r="DK570" t="s">
        <v>345</v>
      </c>
      <c r="DM570" t="s">
        <v>8069</v>
      </c>
      <c r="DN570" t="s">
        <v>8030</v>
      </c>
      <c r="DO570" t="s">
        <v>273</v>
      </c>
      <c r="DP570" t="s">
        <v>274</v>
      </c>
      <c r="DQ570" t="s">
        <v>8070</v>
      </c>
      <c r="DR570" t="s">
        <v>235</v>
      </c>
      <c r="DS570" t="s">
        <v>183</v>
      </c>
      <c r="DT570" t="s">
        <v>211</v>
      </c>
      <c r="DU570" t="s">
        <v>298</v>
      </c>
      <c r="DW570" t="s">
        <v>462</v>
      </c>
      <c r="DX570" t="s">
        <v>5240</v>
      </c>
      <c r="DY570" t="s">
        <v>302</v>
      </c>
      <c r="DZ570" t="s">
        <v>303</v>
      </c>
      <c r="EA570" t="s">
        <v>8071</v>
      </c>
      <c r="EB570" t="s">
        <v>235</v>
      </c>
      <c r="EC570" t="s">
        <v>183</v>
      </c>
      <c r="ED570" t="s">
        <v>211</v>
      </c>
      <c r="EE570" t="s">
        <v>523</v>
      </c>
      <c r="EG570" t="s">
        <v>3221</v>
      </c>
      <c r="EH570" t="s">
        <v>8072</v>
      </c>
      <c r="EI570" t="s">
        <v>238</v>
      </c>
      <c r="EJ570" t="s">
        <v>239</v>
      </c>
      <c r="EK570" t="s">
        <v>8073</v>
      </c>
      <c r="EL570" t="s">
        <v>278</v>
      </c>
      <c r="EM570" t="s">
        <v>183</v>
      </c>
      <c r="EN570" t="s">
        <v>211</v>
      </c>
      <c r="EO570" t="s">
        <v>298</v>
      </c>
      <c r="EQ570" t="s">
        <v>441</v>
      </c>
      <c r="ER570" t="s">
        <v>5641</v>
      </c>
      <c r="ES570" t="s">
        <v>346</v>
      </c>
      <c r="ET570" t="s">
        <v>347</v>
      </c>
      <c r="EU570" t="s">
        <v>8074</v>
      </c>
      <c r="EV570" t="s">
        <v>247</v>
      </c>
      <c r="EW570" t="s">
        <v>183</v>
      </c>
      <c r="EX570" t="s">
        <v>211</v>
      </c>
      <c r="EY570" t="s">
        <v>298</v>
      </c>
      <c r="FA570" t="s">
        <v>1136</v>
      </c>
      <c r="FB570" t="s">
        <v>8075</v>
      </c>
      <c r="FC570" t="s">
        <v>207</v>
      </c>
      <c r="FD570" t="s">
        <v>208</v>
      </c>
      <c r="FE570" t="s">
        <v>8076</v>
      </c>
      <c r="FF570" t="s">
        <v>576</v>
      </c>
      <c r="FG570" t="s">
        <v>183</v>
      </c>
      <c r="FH570" t="s">
        <v>211</v>
      </c>
      <c r="FI570" t="s">
        <v>298</v>
      </c>
      <c r="FK570" t="s">
        <v>1381</v>
      </c>
      <c r="FU570" t="s">
        <v>198</v>
      </c>
    </row>
    <row r="571" spans="1:177">
      <c r="A571" s="1" t="str">
        <f>HYPERLINK("http://digipan.lumentumllc.com/apps/getLink/index.php?t=PropLink&amp;p=15748037","PL")</f>
        <v>PL</v>
      </c>
      <c r="B571" s="1" t="str">
        <f>HYPERLINK("http://digipan.lumentumllc.com/apps/getLink/index.php?t=TaxLink&amp;p=15748037","TL")</f>
        <v>TL</v>
      </c>
      <c r="C571" s="1" t="str">
        <f>HYPERLINK("http://digipan.lumentumllc.com/apps/getMap/index.php?p=15748037","Map")</f>
        <v>Map</v>
      </c>
      <c r="E571" t="s">
        <v>177</v>
      </c>
      <c r="F571" t="s">
        <v>178</v>
      </c>
      <c r="L571" t="s">
        <v>8077</v>
      </c>
      <c r="N571" t="s">
        <v>8077</v>
      </c>
      <c r="O571" t="s">
        <v>8077</v>
      </c>
      <c r="Q571" t="s">
        <v>8077</v>
      </c>
      <c r="V571">
        <v>659</v>
      </c>
      <c r="W571">
        <v>3</v>
      </c>
      <c r="X571">
        <v>2017</v>
      </c>
      <c r="Y571">
        <v>2018</v>
      </c>
      <c r="Z571">
        <v>580.57000000000005</v>
      </c>
      <c r="AG571" t="s">
        <v>184</v>
      </c>
      <c r="AH571">
        <v>0</v>
      </c>
      <c r="AK571">
        <v>0</v>
      </c>
      <c r="AL571">
        <v>36379</v>
      </c>
      <c r="AM571">
        <v>15600</v>
      </c>
      <c r="AN571">
        <v>20779</v>
      </c>
      <c r="AO571">
        <v>437</v>
      </c>
      <c r="AP571">
        <v>2016</v>
      </c>
      <c r="AQ571">
        <v>1.6</v>
      </c>
      <c r="AS571" t="s">
        <v>8078</v>
      </c>
      <c r="AT571" t="s">
        <v>186</v>
      </c>
      <c r="AU571" t="s">
        <v>177</v>
      </c>
      <c r="AV571" t="s">
        <v>187</v>
      </c>
      <c r="AW571" t="s">
        <v>182</v>
      </c>
      <c r="AX571">
        <v>2</v>
      </c>
      <c r="AY571" t="s">
        <v>188</v>
      </c>
      <c r="AZ571" t="s">
        <v>189</v>
      </c>
      <c r="BA571" t="s">
        <v>190</v>
      </c>
      <c r="BB571" t="s">
        <v>191</v>
      </c>
      <c r="BC571" t="s">
        <v>182</v>
      </c>
      <c r="BD571" t="s">
        <v>182</v>
      </c>
      <c r="BE571" t="s">
        <v>7246</v>
      </c>
      <c r="BF571">
        <v>1</v>
      </c>
      <c r="BG571">
        <v>1</v>
      </c>
      <c r="BH571">
        <v>2002</v>
      </c>
      <c r="BI571" t="s">
        <v>7149</v>
      </c>
      <c r="BJ571" t="s">
        <v>194</v>
      </c>
      <c r="BK571" t="s">
        <v>195</v>
      </c>
      <c r="BL571" t="s">
        <v>2191</v>
      </c>
      <c r="BM571" t="s">
        <v>346</v>
      </c>
      <c r="BN571" t="s">
        <v>182</v>
      </c>
      <c r="BO571" t="s">
        <v>198</v>
      </c>
      <c r="BP571" t="s">
        <v>198</v>
      </c>
      <c r="BQ571" t="s">
        <v>198</v>
      </c>
      <c r="BR571" t="s">
        <v>198</v>
      </c>
      <c r="BS571" t="s">
        <v>198</v>
      </c>
      <c r="BT571" t="s">
        <v>198</v>
      </c>
      <c r="BU571" t="s">
        <v>182</v>
      </c>
      <c r="BV571" t="s">
        <v>198</v>
      </c>
      <c r="BW571" t="s">
        <v>198</v>
      </c>
      <c r="BX571" t="s">
        <v>199</v>
      </c>
      <c r="BY571" t="s">
        <v>198</v>
      </c>
      <c r="BZ571" t="s">
        <v>199</v>
      </c>
      <c r="CA571" t="s">
        <v>199</v>
      </c>
      <c r="CB571" t="s">
        <v>8079</v>
      </c>
      <c r="CC571" t="s">
        <v>201</v>
      </c>
      <c r="CD571" t="s">
        <v>182</v>
      </c>
      <c r="CE571" t="s">
        <v>8080</v>
      </c>
      <c r="CF571" t="s">
        <v>204</v>
      </c>
      <c r="CG571" t="s">
        <v>177</v>
      </c>
      <c r="CH571" t="s">
        <v>187</v>
      </c>
      <c r="CI571" t="s">
        <v>1114</v>
      </c>
      <c r="CS571" t="s">
        <v>198</v>
      </c>
      <c r="DC571" t="s">
        <v>198</v>
      </c>
      <c r="DM571" t="s">
        <v>198</v>
      </c>
      <c r="DW571" t="s">
        <v>198</v>
      </c>
      <c r="EG571" t="s">
        <v>198</v>
      </c>
      <c r="EQ571" t="s">
        <v>198</v>
      </c>
      <c r="FA571" t="s">
        <v>198</v>
      </c>
      <c r="FK571" t="s">
        <v>198</v>
      </c>
      <c r="FU571" t="s">
        <v>198</v>
      </c>
    </row>
    <row r="572" spans="1:177">
      <c r="A572" s="1" t="str">
        <f>HYPERLINK("http://digipan.lumentumllc.com/apps/getLink/index.php?t=PropLink&amp;p=5246371","PL")</f>
        <v>PL</v>
      </c>
      <c r="B572" s="1" t="str">
        <f>HYPERLINK("http://digipan.lumentumllc.com/apps/getLink/index.php?t=TaxLink&amp;p=5246371","TL")</f>
        <v>TL</v>
      </c>
      <c r="C572" s="1" t="str">
        <f>HYPERLINK("http://digipan.lumentumllc.com/apps/getMap/index.php?p=5246371","Map")</f>
        <v>Map</v>
      </c>
      <c r="E572" t="s">
        <v>177</v>
      </c>
      <c r="F572" t="s">
        <v>178</v>
      </c>
      <c r="L572" t="s">
        <v>8081</v>
      </c>
      <c r="N572" t="s">
        <v>8081</v>
      </c>
      <c r="O572" t="s">
        <v>8081</v>
      </c>
      <c r="P572" t="s">
        <v>8082</v>
      </c>
      <c r="Q572" t="s">
        <v>8081</v>
      </c>
      <c r="V572">
        <v>660</v>
      </c>
      <c r="W572">
        <v>3</v>
      </c>
      <c r="X572">
        <v>2017</v>
      </c>
      <c r="Y572">
        <v>2018</v>
      </c>
      <c r="Z572">
        <v>804.15</v>
      </c>
      <c r="AB572" t="s">
        <v>181</v>
      </c>
      <c r="AC572" t="s">
        <v>182</v>
      </c>
      <c r="AD572" t="s">
        <v>183</v>
      </c>
      <c r="AE572">
        <v>1</v>
      </c>
      <c r="AF572">
        <v>6</v>
      </c>
      <c r="AG572" t="s">
        <v>322</v>
      </c>
      <c r="AH572">
        <v>83</v>
      </c>
      <c r="AI572">
        <v>809.96</v>
      </c>
      <c r="AJ572">
        <v>40.5</v>
      </c>
      <c r="AK572">
        <v>850.46</v>
      </c>
      <c r="AL572">
        <v>47160</v>
      </c>
      <c r="AM572">
        <v>47160</v>
      </c>
      <c r="AN572">
        <v>0</v>
      </c>
      <c r="AO572">
        <v>724</v>
      </c>
      <c r="AP572">
        <v>2016</v>
      </c>
      <c r="AQ572">
        <v>1.71</v>
      </c>
      <c r="AR572">
        <v>1.8</v>
      </c>
      <c r="AS572" t="s">
        <v>7977</v>
      </c>
      <c r="AT572" t="s">
        <v>186</v>
      </c>
      <c r="AU572" t="s">
        <v>177</v>
      </c>
      <c r="AV572" t="s">
        <v>187</v>
      </c>
      <c r="AW572" t="s">
        <v>182</v>
      </c>
      <c r="AX572">
        <v>0</v>
      </c>
      <c r="AY572" t="s">
        <v>312</v>
      </c>
      <c r="AZ572" t="s">
        <v>199</v>
      </c>
      <c r="BA572" t="s">
        <v>313</v>
      </c>
      <c r="BB572" t="s">
        <v>191</v>
      </c>
      <c r="BC572" t="s">
        <v>182</v>
      </c>
      <c r="BD572" t="s">
        <v>182</v>
      </c>
      <c r="BE572" t="s">
        <v>2114</v>
      </c>
      <c r="BF572">
        <v>0</v>
      </c>
      <c r="BG572">
        <v>0</v>
      </c>
      <c r="BH572">
        <v>0</v>
      </c>
      <c r="BI572" t="s">
        <v>199</v>
      </c>
      <c r="BJ572" t="s">
        <v>315</v>
      </c>
      <c r="BL572" t="s">
        <v>2050</v>
      </c>
      <c r="BM572" t="s">
        <v>501</v>
      </c>
      <c r="BN572" t="s">
        <v>182</v>
      </c>
      <c r="BO572" t="s">
        <v>198</v>
      </c>
      <c r="BP572" t="s">
        <v>198</v>
      </c>
      <c r="BQ572" t="s">
        <v>198</v>
      </c>
      <c r="BR572" t="s">
        <v>198</v>
      </c>
      <c r="BS572" t="s">
        <v>198</v>
      </c>
      <c r="BT572" t="s">
        <v>198</v>
      </c>
      <c r="BU572" t="s">
        <v>182</v>
      </c>
      <c r="BV572" t="s">
        <v>198</v>
      </c>
      <c r="BW572" t="s">
        <v>198</v>
      </c>
      <c r="BX572" t="s">
        <v>199</v>
      </c>
      <c r="BY572" t="s">
        <v>198</v>
      </c>
      <c r="BZ572" t="s">
        <v>199</v>
      </c>
      <c r="CA572" t="s">
        <v>199</v>
      </c>
      <c r="CB572" t="s">
        <v>8083</v>
      </c>
      <c r="CC572" t="s">
        <v>201</v>
      </c>
      <c r="CD572" t="s">
        <v>202</v>
      </c>
      <c r="CE572" t="s">
        <v>2305</v>
      </c>
      <c r="CF572" t="s">
        <v>204</v>
      </c>
      <c r="CG572" t="s">
        <v>177</v>
      </c>
      <c r="CH572" t="s">
        <v>187</v>
      </c>
      <c r="CI572" t="s">
        <v>8084</v>
      </c>
      <c r="CJ572" t="s">
        <v>7289</v>
      </c>
      <c r="CK572" t="s">
        <v>232</v>
      </c>
      <c r="CL572" t="s">
        <v>233</v>
      </c>
      <c r="CM572" t="s">
        <v>8085</v>
      </c>
      <c r="CN572" t="s">
        <v>305</v>
      </c>
      <c r="CO572" t="s">
        <v>183</v>
      </c>
      <c r="CP572" t="s">
        <v>266</v>
      </c>
      <c r="CS572" t="s">
        <v>198</v>
      </c>
      <c r="CT572" t="s">
        <v>7899</v>
      </c>
      <c r="CU572" t="s">
        <v>292</v>
      </c>
      <c r="CV572" t="s">
        <v>293</v>
      </c>
      <c r="CW572" t="s">
        <v>8086</v>
      </c>
      <c r="CX572" t="s">
        <v>295</v>
      </c>
      <c r="CY572" t="s">
        <v>183</v>
      </c>
      <c r="CZ572" t="s">
        <v>211</v>
      </c>
      <c r="DA572" t="s">
        <v>345</v>
      </c>
      <c r="DC572" t="s">
        <v>2298</v>
      </c>
      <c r="DD572" t="s">
        <v>7325</v>
      </c>
      <c r="DE572" t="s">
        <v>273</v>
      </c>
      <c r="DF572" t="s">
        <v>274</v>
      </c>
      <c r="DG572" t="s">
        <v>8087</v>
      </c>
      <c r="DH572" t="s">
        <v>796</v>
      </c>
      <c r="DI572" t="s">
        <v>183</v>
      </c>
      <c r="DJ572" t="s">
        <v>211</v>
      </c>
      <c r="DK572" t="s">
        <v>270</v>
      </c>
      <c r="DM572" t="s">
        <v>692</v>
      </c>
      <c r="DN572" t="s">
        <v>8088</v>
      </c>
      <c r="DO572" t="s">
        <v>302</v>
      </c>
      <c r="DP572" t="s">
        <v>303</v>
      </c>
      <c r="DQ572" t="s">
        <v>8089</v>
      </c>
      <c r="DR572" t="s">
        <v>511</v>
      </c>
      <c r="DS572" t="s">
        <v>183</v>
      </c>
      <c r="DT572" t="s">
        <v>211</v>
      </c>
      <c r="DU572" t="s">
        <v>329</v>
      </c>
      <c r="DW572" t="s">
        <v>8090</v>
      </c>
      <c r="DX572" t="s">
        <v>861</v>
      </c>
      <c r="DY572" t="s">
        <v>238</v>
      </c>
      <c r="DZ572" t="s">
        <v>239</v>
      </c>
      <c r="EA572" t="s">
        <v>8091</v>
      </c>
      <c r="EB572" t="s">
        <v>331</v>
      </c>
      <c r="EC572" t="s">
        <v>183</v>
      </c>
      <c r="ED572" t="s">
        <v>211</v>
      </c>
      <c r="EE572" t="s">
        <v>298</v>
      </c>
      <c r="EG572" t="s">
        <v>8090</v>
      </c>
      <c r="EH572" t="s">
        <v>5711</v>
      </c>
      <c r="EI572" t="s">
        <v>346</v>
      </c>
      <c r="EJ572" t="s">
        <v>347</v>
      </c>
      <c r="EK572" t="s">
        <v>8092</v>
      </c>
      <c r="EL572" t="s">
        <v>440</v>
      </c>
      <c r="EM572" t="s">
        <v>183</v>
      </c>
      <c r="EN572" t="s">
        <v>211</v>
      </c>
      <c r="EO572" t="s">
        <v>298</v>
      </c>
      <c r="EQ572" t="s">
        <v>470</v>
      </c>
      <c r="ER572" t="s">
        <v>8093</v>
      </c>
      <c r="ES572" t="s">
        <v>207</v>
      </c>
      <c r="ET572" t="s">
        <v>208</v>
      </c>
      <c r="EU572" t="s">
        <v>8094</v>
      </c>
      <c r="EV572" t="s">
        <v>576</v>
      </c>
      <c r="EW572" t="s">
        <v>183</v>
      </c>
      <c r="EX572" t="s">
        <v>211</v>
      </c>
      <c r="EY572" t="s">
        <v>298</v>
      </c>
      <c r="FA572" t="s">
        <v>1167</v>
      </c>
      <c r="FK572" t="s">
        <v>198</v>
      </c>
      <c r="FU572" t="s">
        <v>198</v>
      </c>
    </row>
    <row r="573" spans="1:177">
      <c r="A573" s="1" t="str">
        <f>HYPERLINK("http://digipan.lumentumllc.com/apps/getLink/index.php?t=PropLink&amp;p=15748447","PL")</f>
        <v>PL</v>
      </c>
      <c r="B573" s="1" t="str">
        <f>HYPERLINK("http://digipan.lumentumllc.com/apps/getLink/index.php?t=TaxLink&amp;p=15748447","TL")</f>
        <v>TL</v>
      </c>
      <c r="C573" s="1" t="str">
        <f>HYPERLINK("http://digipan.lumentumllc.com/apps/getMap/index.php?p=15748447","Map")</f>
        <v>Map</v>
      </c>
      <c r="E573" t="s">
        <v>177</v>
      </c>
      <c r="F573" t="s">
        <v>178</v>
      </c>
      <c r="L573" t="s">
        <v>8095</v>
      </c>
      <c r="N573" t="s">
        <v>8095</v>
      </c>
      <c r="O573" t="s">
        <v>8095</v>
      </c>
      <c r="Q573" t="s">
        <v>8095</v>
      </c>
      <c r="V573">
        <v>661</v>
      </c>
      <c r="W573">
        <v>3</v>
      </c>
      <c r="X573">
        <v>2017</v>
      </c>
      <c r="Y573">
        <v>2018</v>
      </c>
      <c r="Z573">
        <v>102.41</v>
      </c>
      <c r="AG573" t="s">
        <v>184</v>
      </c>
      <c r="AH573">
        <v>0</v>
      </c>
      <c r="AK573">
        <v>0</v>
      </c>
      <c r="AL573">
        <v>4612</v>
      </c>
      <c r="AM573">
        <v>4612</v>
      </c>
      <c r="AN573">
        <v>0</v>
      </c>
      <c r="AO573">
        <v>57</v>
      </c>
      <c r="AP573">
        <v>2016</v>
      </c>
      <c r="AQ573">
        <v>2.2200000000000002</v>
      </c>
      <c r="AS573" t="s">
        <v>7977</v>
      </c>
      <c r="AT573" t="s">
        <v>186</v>
      </c>
      <c r="AU573" t="s">
        <v>177</v>
      </c>
      <c r="AV573" t="s">
        <v>187</v>
      </c>
      <c r="AW573" t="s">
        <v>182</v>
      </c>
      <c r="AX573">
        <v>0</v>
      </c>
      <c r="AY573" t="s">
        <v>312</v>
      </c>
      <c r="AZ573" t="s">
        <v>199</v>
      </c>
      <c r="BA573" t="s">
        <v>313</v>
      </c>
      <c r="BB573" t="s">
        <v>191</v>
      </c>
      <c r="BC573" t="s">
        <v>182</v>
      </c>
      <c r="BD573" t="s">
        <v>182</v>
      </c>
      <c r="BE573" t="s">
        <v>8096</v>
      </c>
      <c r="BF573">
        <v>0</v>
      </c>
      <c r="BG573">
        <v>0</v>
      </c>
      <c r="BH573">
        <v>0</v>
      </c>
      <c r="BI573" t="s">
        <v>199</v>
      </c>
      <c r="BJ573" t="s">
        <v>248</v>
      </c>
      <c r="BL573" t="s">
        <v>2395</v>
      </c>
      <c r="BM573" t="s">
        <v>292</v>
      </c>
      <c r="BN573" t="s">
        <v>182</v>
      </c>
      <c r="BO573" t="s">
        <v>198</v>
      </c>
      <c r="BP573" t="s">
        <v>198</v>
      </c>
      <c r="BQ573" t="s">
        <v>198</v>
      </c>
      <c r="BR573" t="s">
        <v>198</v>
      </c>
      <c r="BS573" t="s">
        <v>198</v>
      </c>
      <c r="BT573" t="s">
        <v>198</v>
      </c>
      <c r="BU573" t="s">
        <v>182</v>
      </c>
      <c r="BV573" t="s">
        <v>198</v>
      </c>
      <c r="BW573" t="s">
        <v>198</v>
      </c>
      <c r="BX573" t="s">
        <v>199</v>
      </c>
      <c r="BY573" t="s">
        <v>198</v>
      </c>
      <c r="BZ573" t="s">
        <v>199</v>
      </c>
      <c r="CA573" t="s">
        <v>199</v>
      </c>
      <c r="CB573" t="s">
        <v>8097</v>
      </c>
      <c r="CC573" t="s">
        <v>201</v>
      </c>
      <c r="CD573" t="s">
        <v>182</v>
      </c>
      <c r="CE573" t="s">
        <v>8098</v>
      </c>
      <c r="CF573" t="s">
        <v>6108</v>
      </c>
      <c r="CG573" t="s">
        <v>1602</v>
      </c>
      <c r="CH573" t="s">
        <v>6109</v>
      </c>
      <c r="CI573" t="s">
        <v>8099</v>
      </c>
      <c r="CS573" t="s">
        <v>198</v>
      </c>
      <c r="DC573" t="s">
        <v>198</v>
      </c>
      <c r="DM573" t="s">
        <v>198</v>
      </c>
      <c r="DW573" t="s">
        <v>198</v>
      </c>
      <c r="EG573" t="s">
        <v>198</v>
      </c>
      <c r="EQ573" t="s">
        <v>198</v>
      </c>
      <c r="FA573" t="s">
        <v>198</v>
      </c>
      <c r="FK573" t="s">
        <v>198</v>
      </c>
      <c r="FU573" t="s">
        <v>198</v>
      </c>
    </row>
    <row r="574" spans="1:177">
      <c r="A574" s="1" t="str">
        <f>HYPERLINK("http://digipan.lumentumllc.com/apps/getLink/index.php?t=PropLink&amp;p=5246617","PL")</f>
        <v>PL</v>
      </c>
      <c r="B574" s="1" t="str">
        <f>HYPERLINK("http://digipan.lumentumllc.com/apps/getLink/index.php?t=TaxLink&amp;p=5246617","TL")</f>
        <v>TL</v>
      </c>
      <c r="C574" s="1" t="str">
        <f>HYPERLINK("http://digipan.lumentumllc.com/apps/getMap/index.php?p=5246617","Map")</f>
        <v>Map</v>
      </c>
      <c r="E574" t="s">
        <v>177</v>
      </c>
      <c r="F574" t="s">
        <v>178</v>
      </c>
      <c r="L574" t="s">
        <v>8100</v>
      </c>
      <c r="N574" t="s">
        <v>8100</v>
      </c>
      <c r="O574" t="s">
        <v>8100</v>
      </c>
      <c r="P574" t="s">
        <v>8101</v>
      </c>
      <c r="Q574" t="s">
        <v>8100</v>
      </c>
      <c r="V574">
        <v>662</v>
      </c>
      <c r="W574">
        <v>3</v>
      </c>
      <c r="X574">
        <v>2017</v>
      </c>
      <c r="Y574">
        <v>2018</v>
      </c>
      <c r="Z574">
        <v>1213.27</v>
      </c>
      <c r="AB574" t="s">
        <v>181</v>
      </c>
      <c r="AC574" t="s">
        <v>182</v>
      </c>
      <c r="AD574" t="s">
        <v>183</v>
      </c>
      <c r="AE574">
        <v>2</v>
      </c>
      <c r="AF574">
        <v>4</v>
      </c>
      <c r="AG574" t="s">
        <v>2376</v>
      </c>
      <c r="AH574">
        <v>60</v>
      </c>
      <c r="AI574">
        <v>2292.5</v>
      </c>
      <c r="AJ574">
        <v>114.63</v>
      </c>
      <c r="AK574">
        <v>2407.13</v>
      </c>
      <c r="AL574">
        <v>72149</v>
      </c>
      <c r="AM574">
        <v>60000</v>
      </c>
      <c r="AN574">
        <v>12149</v>
      </c>
      <c r="AO574">
        <v>1108</v>
      </c>
      <c r="AP574">
        <v>2016</v>
      </c>
      <c r="AQ574">
        <v>1.68</v>
      </c>
      <c r="AR574">
        <v>3.34</v>
      </c>
      <c r="AS574" t="s">
        <v>8102</v>
      </c>
      <c r="AT574" t="s">
        <v>186</v>
      </c>
      <c r="AU574" t="s">
        <v>177</v>
      </c>
      <c r="AV574" t="s">
        <v>187</v>
      </c>
      <c r="AW574" t="s">
        <v>182</v>
      </c>
      <c r="AX574">
        <v>2</v>
      </c>
      <c r="AY574" t="s">
        <v>188</v>
      </c>
      <c r="AZ574" t="s">
        <v>189</v>
      </c>
      <c r="BA574" t="s">
        <v>190</v>
      </c>
      <c r="BB574" t="s">
        <v>191</v>
      </c>
      <c r="BC574" t="s">
        <v>182</v>
      </c>
      <c r="BD574" t="s">
        <v>182</v>
      </c>
      <c r="BE574" t="s">
        <v>576</v>
      </c>
      <c r="BF574">
        <v>1</v>
      </c>
      <c r="BG574">
        <v>1</v>
      </c>
      <c r="BH574">
        <v>1983</v>
      </c>
      <c r="BI574" t="s">
        <v>2563</v>
      </c>
      <c r="BJ574" t="s">
        <v>194</v>
      </c>
      <c r="BK574" t="s">
        <v>195</v>
      </c>
      <c r="BL574" t="s">
        <v>199</v>
      </c>
      <c r="BM574" t="s">
        <v>930</v>
      </c>
      <c r="BN574" t="s">
        <v>182</v>
      </c>
      <c r="BO574" t="s">
        <v>198</v>
      </c>
      <c r="BP574" t="s">
        <v>198</v>
      </c>
      <c r="BQ574" t="s">
        <v>198</v>
      </c>
      <c r="BR574" t="s">
        <v>198</v>
      </c>
      <c r="BS574" t="s">
        <v>198</v>
      </c>
      <c r="BT574" t="s">
        <v>198</v>
      </c>
      <c r="BU574" t="s">
        <v>182</v>
      </c>
      <c r="BV574" t="s">
        <v>198</v>
      </c>
      <c r="BW574" t="s">
        <v>198</v>
      </c>
      <c r="BX574" t="s">
        <v>199</v>
      </c>
      <c r="BY574" t="s">
        <v>198</v>
      </c>
      <c r="BZ574" t="s">
        <v>199</v>
      </c>
      <c r="CA574" t="s">
        <v>199</v>
      </c>
      <c r="CB574" t="s">
        <v>8103</v>
      </c>
      <c r="CC574" t="s">
        <v>201</v>
      </c>
      <c r="CD574" t="s">
        <v>202</v>
      </c>
      <c r="CE574" t="s">
        <v>8104</v>
      </c>
      <c r="CF574" t="s">
        <v>1029</v>
      </c>
      <c r="CG574" t="s">
        <v>177</v>
      </c>
      <c r="CH574" t="s">
        <v>1030</v>
      </c>
      <c r="CI574" t="s">
        <v>8105</v>
      </c>
      <c r="CJ574" t="s">
        <v>7325</v>
      </c>
      <c r="CK574" t="s">
        <v>232</v>
      </c>
      <c r="CL574" t="s">
        <v>233</v>
      </c>
      <c r="CM574" t="s">
        <v>8106</v>
      </c>
      <c r="CN574" t="s">
        <v>235</v>
      </c>
      <c r="CO574" t="s">
        <v>183</v>
      </c>
      <c r="CP574" t="s">
        <v>266</v>
      </c>
      <c r="CS574" t="s">
        <v>198</v>
      </c>
      <c r="CT574" t="s">
        <v>7356</v>
      </c>
      <c r="CU574" t="s">
        <v>267</v>
      </c>
      <c r="CV574" t="s">
        <v>268</v>
      </c>
      <c r="CW574" t="s">
        <v>8107</v>
      </c>
      <c r="CX574" t="s">
        <v>235</v>
      </c>
      <c r="CY574" t="s">
        <v>183</v>
      </c>
      <c r="CZ574" t="s">
        <v>266</v>
      </c>
      <c r="DC574" t="s">
        <v>198</v>
      </c>
      <c r="DD574" t="s">
        <v>8108</v>
      </c>
      <c r="DE574" t="s">
        <v>302</v>
      </c>
      <c r="DF574" t="s">
        <v>303</v>
      </c>
      <c r="DG574" t="s">
        <v>3541</v>
      </c>
      <c r="DH574" t="s">
        <v>436</v>
      </c>
      <c r="DI574" t="s">
        <v>183</v>
      </c>
      <c r="DJ574" t="s">
        <v>211</v>
      </c>
      <c r="DK574" t="s">
        <v>329</v>
      </c>
      <c r="DM574" t="s">
        <v>467</v>
      </c>
      <c r="DN574" t="s">
        <v>8109</v>
      </c>
      <c r="DO574" t="s">
        <v>238</v>
      </c>
      <c r="DP574" t="s">
        <v>239</v>
      </c>
      <c r="DQ574" t="s">
        <v>8110</v>
      </c>
      <c r="DR574" t="s">
        <v>1491</v>
      </c>
      <c r="DS574" t="s">
        <v>183</v>
      </c>
      <c r="DT574" t="s">
        <v>211</v>
      </c>
      <c r="DU574" t="s">
        <v>298</v>
      </c>
      <c r="DW574" t="s">
        <v>467</v>
      </c>
      <c r="DX574" t="s">
        <v>8111</v>
      </c>
      <c r="DY574" t="s">
        <v>346</v>
      </c>
      <c r="DZ574" t="s">
        <v>347</v>
      </c>
      <c r="EA574" t="s">
        <v>8112</v>
      </c>
      <c r="EB574" t="s">
        <v>1966</v>
      </c>
      <c r="EC574" t="s">
        <v>183</v>
      </c>
      <c r="ED574" t="s">
        <v>211</v>
      </c>
      <c r="EE574" t="s">
        <v>525</v>
      </c>
      <c r="EG574" t="s">
        <v>467</v>
      </c>
      <c r="EH574" t="s">
        <v>8113</v>
      </c>
      <c r="EI574" t="s">
        <v>207</v>
      </c>
      <c r="EJ574" t="s">
        <v>208</v>
      </c>
      <c r="EK574" t="s">
        <v>8114</v>
      </c>
      <c r="EL574" t="s">
        <v>576</v>
      </c>
      <c r="EM574" t="s">
        <v>183</v>
      </c>
      <c r="EN574" t="s">
        <v>211</v>
      </c>
      <c r="EO574" t="s">
        <v>865</v>
      </c>
      <c r="EQ574" t="s">
        <v>3062</v>
      </c>
      <c r="FA574" t="s">
        <v>198</v>
      </c>
      <c r="FK574" t="s">
        <v>198</v>
      </c>
      <c r="FU574" t="s">
        <v>198</v>
      </c>
    </row>
    <row r="575" spans="1:177">
      <c r="A575" s="1" t="str">
        <f>HYPERLINK("http://digipan.lumentumllc.com/apps/getLink/index.php?t=PropLink&amp;p=5246670","PL")</f>
        <v>PL</v>
      </c>
      <c r="B575" s="1" t="str">
        <f>HYPERLINK("http://digipan.lumentumllc.com/apps/getLink/index.php?t=TaxLink&amp;p=5246670","TL")</f>
        <v>TL</v>
      </c>
      <c r="C575" s="1" t="str">
        <f>HYPERLINK("http://digipan.lumentumllc.com/apps/getMap/index.php?p=5246670","Map")</f>
        <v>Map</v>
      </c>
      <c r="E575" t="s">
        <v>177</v>
      </c>
      <c r="F575" t="s">
        <v>178</v>
      </c>
      <c r="L575" t="s">
        <v>8115</v>
      </c>
      <c r="N575" t="s">
        <v>8115</v>
      </c>
      <c r="O575" t="s">
        <v>8115</v>
      </c>
      <c r="P575" t="s">
        <v>8116</v>
      </c>
      <c r="Q575" t="s">
        <v>8115</v>
      </c>
      <c r="V575">
        <v>663</v>
      </c>
      <c r="W575">
        <v>3</v>
      </c>
      <c r="X575">
        <v>2017</v>
      </c>
      <c r="Y575">
        <v>2018</v>
      </c>
      <c r="Z575">
        <v>947.84</v>
      </c>
      <c r="AB575" t="s">
        <v>181</v>
      </c>
      <c r="AC575" t="s">
        <v>202</v>
      </c>
      <c r="AD575" t="s">
        <v>183</v>
      </c>
      <c r="AE575">
        <v>1</v>
      </c>
      <c r="AF575">
        <v>6</v>
      </c>
      <c r="AG575" t="s">
        <v>418</v>
      </c>
      <c r="AH575">
        <v>86</v>
      </c>
      <c r="AI575">
        <v>959.87</v>
      </c>
      <c r="AJ575">
        <v>47.99</v>
      </c>
      <c r="AK575">
        <v>1007.86</v>
      </c>
      <c r="AL575">
        <v>55937</v>
      </c>
      <c r="AM575">
        <v>31872</v>
      </c>
      <c r="AN575">
        <v>24065</v>
      </c>
      <c r="AO575">
        <v>863</v>
      </c>
      <c r="AP575">
        <v>2016</v>
      </c>
      <c r="AQ575">
        <v>1.69</v>
      </c>
      <c r="AR575">
        <v>1.8</v>
      </c>
      <c r="AS575" t="s">
        <v>8117</v>
      </c>
      <c r="AT575" t="s">
        <v>186</v>
      </c>
      <c r="AU575" t="s">
        <v>177</v>
      </c>
      <c r="AV575" t="s">
        <v>187</v>
      </c>
      <c r="AW575" t="s">
        <v>182</v>
      </c>
      <c r="AX575">
        <v>2</v>
      </c>
      <c r="AY575" t="s">
        <v>188</v>
      </c>
      <c r="AZ575" t="s">
        <v>189</v>
      </c>
      <c r="BA575" t="s">
        <v>190</v>
      </c>
      <c r="BB575" t="s">
        <v>191</v>
      </c>
      <c r="BC575" t="s">
        <v>182</v>
      </c>
      <c r="BD575" t="s">
        <v>182</v>
      </c>
      <c r="BE575" t="s">
        <v>8118</v>
      </c>
      <c r="BF575">
        <v>1</v>
      </c>
      <c r="BG575">
        <v>1</v>
      </c>
      <c r="BH575">
        <v>1981</v>
      </c>
      <c r="BI575" t="s">
        <v>3969</v>
      </c>
      <c r="BJ575" t="s">
        <v>194</v>
      </c>
      <c r="BK575" t="s">
        <v>195</v>
      </c>
      <c r="BL575" t="s">
        <v>8119</v>
      </c>
      <c r="BM575" t="s">
        <v>945</v>
      </c>
      <c r="BN575" t="s">
        <v>182</v>
      </c>
      <c r="BO575" t="s">
        <v>198</v>
      </c>
      <c r="BP575" t="s">
        <v>198</v>
      </c>
      <c r="BQ575" t="s">
        <v>198</v>
      </c>
      <c r="BR575" t="s">
        <v>198</v>
      </c>
      <c r="BS575" t="s">
        <v>198</v>
      </c>
      <c r="BT575" t="s">
        <v>198</v>
      </c>
      <c r="BU575" t="s">
        <v>182</v>
      </c>
      <c r="BV575" t="s">
        <v>198</v>
      </c>
      <c r="BW575" t="s">
        <v>198</v>
      </c>
      <c r="BX575" t="s">
        <v>199</v>
      </c>
      <c r="BY575" t="s">
        <v>198</v>
      </c>
      <c r="BZ575" t="s">
        <v>199</v>
      </c>
      <c r="CA575" t="s">
        <v>199</v>
      </c>
      <c r="CB575" t="s">
        <v>8120</v>
      </c>
      <c r="CC575" t="s">
        <v>201</v>
      </c>
      <c r="CD575" t="s">
        <v>202</v>
      </c>
      <c r="CE575" t="s">
        <v>8121</v>
      </c>
      <c r="CF575" t="s">
        <v>204</v>
      </c>
      <c r="CG575" t="s">
        <v>177</v>
      </c>
      <c r="CH575" t="s">
        <v>187</v>
      </c>
      <c r="CI575" t="s">
        <v>8122</v>
      </c>
      <c r="CJ575" t="s">
        <v>8123</v>
      </c>
      <c r="CK575" t="s">
        <v>232</v>
      </c>
      <c r="CL575" t="s">
        <v>233</v>
      </c>
      <c r="CM575" t="s">
        <v>8124</v>
      </c>
      <c r="CN575" t="s">
        <v>235</v>
      </c>
      <c r="CO575" t="s">
        <v>183</v>
      </c>
      <c r="CP575" t="s">
        <v>266</v>
      </c>
      <c r="CS575" t="s">
        <v>198</v>
      </c>
      <c r="CT575" t="s">
        <v>7953</v>
      </c>
      <c r="CU575" t="s">
        <v>292</v>
      </c>
      <c r="CV575" t="s">
        <v>293</v>
      </c>
      <c r="CW575" t="s">
        <v>8125</v>
      </c>
      <c r="CX575" t="s">
        <v>235</v>
      </c>
      <c r="CY575" t="s">
        <v>183</v>
      </c>
      <c r="CZ575" t="s">
        <v>211</v>
      </c>
      <c r="DB575" t="s">
        <v>271</v>
      </c>
      <c r="DC575" t="s">
        <v>198</v>
      </c>
      <c r="DD575" t="s">
        <v>5139</v>
      </c>
      <c r="DE575" t="s">
        <v>267</v>
      </c>
      <c r="DF575" t="s">
        <v>268</v>
      </c>
      <c r="DG575" t="s">
        <v>8126</v>
      </c>
      <c r="DH575" t="s">
        <v>331</v>
      </c>
      <c r="DI575" t="s">
        <v>183</v>
      </c>
      <c r="DJ575" t="s">
        <v>211</v>
      </c>
      <c r="DK575" t="s">
        <v>427</v>
      </c>
      <c r="DL575" t="s">
        <v>271</v>
      </c>
      <c r="DM575" t="s">
        <v>2946</v>
      </c>
      <c r="DN575" t="s">
        <v>8123</v>
      </c>
      <c r="DO575" t="s">
        <v>273</v>
      </c>
      <c r="DP575" t="s">
        <v>274</v>
      </c>
      <c r="DQ575" t="s">
        <v>8127</v>
      </c>
      <c r="DR575" t="s">
        <v>833</v>
      </c>
      <c r="DS575" t="s">
        <v>183</v>
      </c>
      <c r="DT575" t="s">
        <v>211</v>
      </c>
      <c r="DV575" t="s">
        <v>271</v>
      </c>
      <c r="DW575" t="s">
        <v>198</v>
      </c>
      <c r="DX575" t="s">
        <v>8128</v>
      </c>
      <c r="DY575" t="s">
        <v>302</v>
      </c>
      <c r="DZ575" t="s">
        <v>303</v>
      </c>
      <c r="EA575" t="s">
        <v>8129</v>
      </c>
      <c r="EB575" t="s">
        <v>305</v>
      </c>
      <c r="EC575" t="s">
        <v>183</v>
      </c>
      <c r="ED575" t="s">
        <v>211</v>
      </c>
      <c r="EE575" t="s">
        <v>808</v>
      </c>
      <c r="EG575" t="s">
        <v>3569</v>
      </c>
      <c r="EH575" t="s">
        <v>8130</v>
      </c>
      <c r="EI575" t="s">
        <v>238</v>
      </c>
      <c r="EJ575" t="s">
        <v>239</v>
      </c>
      <c r="EK575" t="s">
        <v>8131</v>
      </c>
      <c r="EL575" t="s">
        <v>440</v>
      </c>
      <c r="EM575" t="s">
        <v>183</v>
      </c>
      <c r="EN575" t="s">
        <v>211</v>
      </c>
      <c r="EO575" t="s">
        <v>616</v>
      </c>
      <c r="EQ575" t="s">
        <v>8132</v>
      </c>
      <c r="ER575" t="s">
        <v>5748</v>
      </c>
      <c r="ES575" t="s">
        <v>346</v>
      </c>
      <c r="ET575" t="s">
        <v>347</v>
      </c>
      <c r="EU575" t="s">
        <v>8133</v>
      </c>
      <c r="EV575" t="s">
        <v>247</v>
      </c>
      <c r="EW575" t="s">
        <v>183</v>
      </c>
      <c r="EX575" t="s">
        <v>211</v>
      </c>
      <c r="EY575" t="s">
        <v>633</v>
      </c>
      <c r="FA575" t="s">
        <v>8134</v>
      </c>
      <c r="FK575" t="s">
        <v>198</v>
      </c>
      <c r="FU575" t="s">
        <v>198</v>
      </c>
    </row>
    <row r="576" spans="1:177">
      <c r="A576" s="1" t="str">
        <f>HYPERLINK("http://digipan.lumentumllc.com/apps/getLink/index.php?t=PropLink&amp;p=5246784","PL")</f>
        <v>PL</v>
      </c>
      <c r="B576" s="1" t="str">
        <f>HYPERLINK("http://digipan.lumentumllc.com/apps/getLink/index.php?t=TaxLink&amp;p=5246784","TL")</f>
        <v>TL</v>
      </c>
      <c r="C576" s="1" t="str">
        <f>HYPERLINK("http://digipan.lumentumllc.com/apps/getMap/index.php?p=5246784","Map")</f>
        <v>Map</v>
      </c>
      <c r="E576" t="s">
        <v>177</v>
      </c>
      <c r="F576" t="s">
        <v>178</v>
      </c>
      <c r="L576" t="s">
        <v>8135</v>
      </c>
      <c r="N576" t="s">
        <v>8135</v>
      </c>
      <c r="O576" t="s">
        <v>8135</v>
      </c>
      <c r="P576" t="s">
        <v>8136</v>
      </c>
      <c r="Q576" t="s">
        <v>8135</v>
      </c>
      <c r="V576">
        <v>664</v>
      </c>
      <c r="W576">
        <v>3</v>
      </c>
      <c r="X576">
        <v>2017</v>
      </c>
      <c r="Y576">
        <v>2018</v>
      </c>
      <c r="Z576">
        <v>641.04999999999995</v>
      </c>
      <c r="AB576" t="s">
        <v>181</v>
      </c>
      <c r="AC576" t="s">
        <v>182</v>
      </c>
      <c r="AD576" t="s">
        <v>183</v>
      </c>
      <c r="AE576">
        <v>1</v>
      </c>
      <c r="AF576">
        <v>7</v>
      </c>
      <c r="AG576" t="s">
        <v>418</v>
      </c>
      <c r="AH576">
        <v>86</v>
      </c>
      <c r="AI576">
        <v>644.59</v>
      </c>
      <c r="AJ576">
        <v>32.229999999999997</v>
      </c>
      <c r="AK576">
        <v>676.82</v>
      </c>
      <c r="AL576">
        <v>37200</v>
      </c>
      <c r="AM576">
        <v>37200</v>
      </c>
      <c r="AN576">
        <v>0</v>
      </c>
      <c r="AO576">
        <v>571</v>
      </c>
      <c r="AP576">
        <v>2016</v>
      </c>
      <c r="AQ576">
        <v>1.72</v>
      </c>
      <c r="AR576">
        <v>1.82</v>
      </c>
      <c r="AS576" t="s">
        <v>7977</v>
      </c>
      <c r="AT576" t="s">
        <v>186</v>
      </c>
      <c r="AU576" t="s">
        <v>177</v>
      </c>
      <c r="AV576" t="s">
        <v>187</v>
      </c>
      <c r="AW576" t="s">
        <v>182</v>
      </c>
      <c r="AX576">
        <v>0</v>
      </c>
      <c r="AY576" t="s">
        <v>312</v>
      </c>
      <c r="AZ576" t="s">
        <v>199</v>
      </c>
      <c r="BA576" t="s">
        <v>313</v>
      </c>
      <c r="BB576" t="s">
        <v>191</v>
      </c>
      <c r="BC576" t="s">
        <v>182</v>
      </c>
      <c r="BD576" t="s">
        <v>182</v>
      </c>
      <c r="BE576" t="s">
        <v>4085</v>
      </c>
      <c r="BF576">
        <v>0</v>
      </c>
      <c r="BG576">
        <v>0</v>
      </c>
      <c r="BH576">
        <v>0</v>
      </c>
      <c r="BI576" t="s">
        <v>199</v>
      </c>
      <c r="BJ576" t="s">
        <v>315</v>
      </c>
      <c r="BL576" t="s">
        <v>938</v>
      </c>
      <c r="BM576" t="s">
        <v>533</v>
      </c>
      <c r="BN576" t="s">
        <v>182</v>
      </c>
      <c r="BO576" t="s">
        <v>198</v>
      </c>
      <c r="BP576" t="s">
        <v>198</v>
      </c>
      <c r="BQ576" t="s">
        <v>198</v>
      </c>
      <c r="BR576" t="s">
        <v>198</v>
      </c>
      <c r="BS576" t="s">
        <v>198</v>
      </c>
      <c r="BT576" t="s">
        <v>198</v>
      </c>
      <c r="BU576" t="s">
        <v>182</v>
      </c>
      <c r="BV576" t="s">
        <v>198</v>
      </c>
      <c r="BW576" t="s">
        <v>198</v>
      </c>
      <c r="BX576" t="s">
        <v>199</v>
      </c>
      <c r="BY576" t="s">
        <v>198</v>
      </c>
      <c r="BZ576" t="s">
        <v>199</v>
      </c>
      <c r="CA576" t="s">
        <v>199</v>
      </c>
      <c r="CB576" t="s">
        <v>8137</v>
      </c>
      <c r="CC576" t="s">
        <v>201</v>
      </c>
      <c r="CD576" t="s">
        <v>182</v>
      </c>
      <c r="CE576" t="s">
        <v>8138</v>
      </c>
      <c r="CF576" t="s">
        <v>8139</v>
      </c>
      <c r="CG576" t="s">
        <v>177</v>
      </c>
      <c r="CH576" t="s">
        <v>8140</v>
      </c>
      <c r="CI576" t="s">
        <v>8141</v>
      </c>
      <c r="CJ576" t="s">
        <v>7356</v>
      </c>
      <c r="CK576" t="s">
        <v>232</v>
      </c>
      <c r="CL576" t="s">
        <v>233</v>
      </c>
      <c r="CM576" t="s">
        <v>8142</v>
      </c>
      <c r="CN576" t="s">
        <v>305</v>
      </c>
      <c r="CO576" t="s">
        <v>183</v>
      </c>
      <c r="CP576" t="s">
        <v>266</v>
      </c>
      <c r="CS576" t="s">
        <v>198</v>
      </c>
      <c r="CT576" t="s">
        <v>8001</v>
      </c>
      <c r="CU576" t="s">
        <v>292</v>
      </c>
      <c r="CV576" t="s">
        <v>293</v>
      </c>
      <c r="CW576" t="s">
        <v>8143</v>
      </c>
      <c r="CX576" t="s">
        <v>295</v>
      </c>
      <c r="CY576" t="s">
        <v>183</v>
      </c>
      <c r="CZ576" t="s">
        <v>211</v>
      </c>
      <c r="DA576" t="s">
        <v>329</v>
      </c>
      <c r="DC576" t="s">
        <v>1611</v>
      </c>
      <c r="DD576" t="s">
        <v>8144</v>
      </c>
      <c r="DE576" t="s">
        <v>267</v>
      </c>
      <c r="DF576" t="s">
        <v>268</v>
      </c>
      <c r="DG576" t="s">
        <v>8145</v>
      </c>
      <c r="DH576" t="s">
        <v>1966</v>
      </c>
      <c r="DI576" t="s">
        <v>183</v>
      </c>
      <c r="DJ576" t="s">
        <v>211</v>
      </c>
      <c r="DK576" t="s">
        <v>493</v>
      </c>
      <c r="DM576" t="s">
        <v>3206</v>
      </c>
      <c r="DN576" t="s">
        <v>7373</v>
      </c>
      <c r="DO576" t="s">
        <v>273</v>
      </c>
      <c r="DP576" t="s">
        <v>274</v>
      </c>
      <c r="DQ576" t="s">
        <v>8146</v>
      </c>
      <c r="DR576" t="s">
        <v>833</v>
      </c>
      <c r="DS576" t="s">
        <v>183</v>
      </c>
      <c r="DT576" t="s">
        <v>211</v>
      </c>
      <c r="DU576" t="s">
        <v>523</v>
      </c>
      <c r="DW576" t="s">
        <v>5197</v>
      </c>
      <c r="DX576" t="s">
        <v>8147</v>
      </c>
      <c r="DY576" t="s">
        <v>302</v>
      </c>
      <c r="DZ576" t="s">
        <v>303</v>
      </c>
      <c r="EA576" t="s">
        <v>8148</v>
      </c>
      <c r="EB576" t="s">
        <v>927</v>
      </c>
      <c r="EC576" t="s">
        <v>183</v>
      </c>
      <c r="ED576" t="s">
        <v>211</v>
      </c>
      <c r="EE576" t="s">
        <v>298</v>
      </c>
      <c r="EG576" t="s">
        <v>8149</v>
      </c>
      <c r="EH576" t="s">
        <v>8150</v>
      </c>
      <c r="EI576" t="s">
        <v>238</v>
      </c>
      <c r="EJ576" t="s">
        <v>239</v>
      </c>
      <c r="EK576" t="s">
        <v>8151</v>
      </c>
      <c r="EL576" t="s">
        <v>331</v>
      </c>
      <c r="EM576" t="s">
        <v>183</v>
      </c>
      <c r="EN576" t="s">
        <v>211</v>
      </c>
      <c r="EO576" t="s">
        <v>298</v>
      </c>
      <c r="EQ576" t="s">
        <v>3277</v>
      </c>
      <c r="ER576" t="s">
        <v>8152</v>
      </c>
      <c r="ES576" t="s">
        <v>346</v>
      </c>
      <c r="ET576" t="s">
        <v>347</v>
      </c>
      <c r="EU576" t="s">
        <v>8153</v>
      </c>
      <c r="EV576" t="s">
        <v>440</v>
      </c>
      <c r="EW576" t="s">
        <v>183</v>
      </c>
      <c r="EX576" t="s">
        <v>211</v>
      </c>
      <c r="EY576" t="s">
        <v>298</v>
      </c>
      <c r="FA576" t="s">
        <v>1136</v>
      </c>
      <c r="FB576" t="s">
        <v>8154</v>
      </c>
      <c r="FC576" t="s">
        <v>207</v>
      </c>
      <c r="FD576" t="s">
        <v>208</v>
      </c>
      <c r="FE576" t="s">
        <v>8155</v>
      </c>
      <c r="FF576" t="s">
        <v>576</v>
      </c>
      <c r="FG576" t="s">
        <v>183</v>
      </c>
      <c r="FH576" t="s">
        <v>211</v>
      </c>
      <c r="FI576" t="s">
        <v>298</v>
      </c>
      <c r="FK576" t="s">
        <v>1324</v>
      </c>
      <c r="FU576" t="s">
        <v>198</v>
      </c>
    </row>
    <row r="577" spans="1:177">
      <c r="A577" s="1" t="str">
        <f>HYPERLINK("http://digipan.lumentumllc.com/apps/getLink/index.php?t=PropLink&amp;p=5246871","PL")</f>
        <v>PL</v>
      </c>
      <c r="B577" s="1" t="str">
        <f>HYPERLINK("http://digipan.lumentumllc.com/apps/getLink/index.php?t=TaxLink&amp;p=5246871","TL")</f>
        <v>TL</v>
      </c>
      <c r="C577" s="1" t="str">
        <f>HYPERLINK("http://digipan.lumentumllc.com/apps/getMap/index.php?p=5246871","Map")</f>
        <v>Map</v>
      </c>
      <c r="E577" t="s">
        <v>177</v>
      </c>
      <c r="F577" t="s">
        <v>178</v>
      </c>
      <c r="L577" t="s">
        <v>8156</v>
      </c>
      <c r="N577" t="s">
        <v>8156</v>
      </c>
      <c r="O577" t="s">
        <v>8156</v>
      </c>
      <c r="P577" t="s">
        <v>8157</v>
      </c>
      <c r="Q577" t="s">
        <v>8156</v>
      </c>
      <c r="V577">
        <v>665</v>
      </c>
      <c r="W577">
        <v>3</v>
      </c>
      <c r="X577">
        <v>2017</v>
      </c>
      <c r="Y577">
        <v>2018</v>
      </c>
      <c r="Z577">
        <v>3619.28</v>
      </c>
      <c r="AB577" t="s">
        <v>181</v>
      </c>
      <c r="AC577" t="s">
        <v>182</v>
      </c>
      <c r="AD577" t="s">
        <v>183</v>
      </c>
      <c r="AE577">
        <v>2</v>
      </c>
      <c r="AF577">
        <v>5</v>
      </c>
      <c r="AG577" t="s">
        <v>794</v>
      </c>
      <c r="AH577">
        <v>71</v>
      </c>
      <c r="AI577">
        <v>5720.57</v>
      </c>
      <c r="AJ577">
        <v>286.02999999999997</v>
      </c>
      <c r="AK577">
        <v>6006.6</v>
      </c>
      <c r="AL577">
        <v>219103</v>
      </c>
      <c r="AM577">
        <v>72000</v>
      </c>
      <c r="AN577">
        <v>147103</v>
      </c>
      <c r="AO577">
        <v>3372</v>
      </c>
      <c r="AP577">
        <v>2016</v>
      </c>
      <c r="AQ577">
        <v>1.65</v>
      </c>
      <c r="AR577">
        <v>2.74</v>
      </c>
      <c r="AS577" t="s">
        <v>8158</v>
      </c>
      <c r="AT577" t="s">
        <v>186</v>
      </c>
      <c r="AU577" t="s">
        <v>177</v>
      </c>
      <c r="AV577" t="s">
        <v>187</v>
      </c>
      <c r="AW577" t="s">
        <v>182</v>
      </c>
      <c r="AX577">
        <v>11</v>
      </c>
      <c r="AY577" t="s">
        <v>3641</v>
      </c>
      <c r="AZ577" t="s">
        <v>212</v>
      </c>
      <c r="BA577" t="s">
        <v>5959</v>
      </c>
      <c r="BB577" t="s">
        <v>191</v>
      </c>
      <c r="BC577" t="s">
        <v>182</v>
      </c>
      <c r="BD577" t="s">
        <v>182</v>
      </c>
      <c r="BE577" t="s">
        <v>1966</v>
      </c>
      <c r="BF577">
        <v>1</v>
      </c>
      <c r="BG577">
        <v>0</v>
      </c>
      <c r="BH577">
        <v>1942</v>
      </c>
      <c r="BI577" t="s">
        <v>8159</v>
      </c>
      <c r="BJ577" t="s">
        <v>194</v>
      </c>
      <c r="BK577" t="s">
        <v>840</v>
      </c>
      <c r="BL577" t="s">
        <v>8160</v>
      </c>
      <c r="BM577" t="s">
        <v>292</v>
      </c>
      <c r="BN577" t="s">
        <v>182</v>
      </c>
      <c r="BO577" t="s">
        <v>8161</v>
      </c>
      <c r="BP577" t="s">
        <v>5560</v>
      </c>
      <c r="BQ577" t="s">
        <v>226</v>
      </c>
      <c r="BR577" t="s">
        <v>227</v>
      </c>
      <c r="BS577" t="s">
        <v>198</v>
      </c>
      <c r="BT577" t="s">
        <v>228</v>
      </c>
      <c r="BU577" t="s">
        <v>182</v>
      </c>
      <c r="BV577" t="s">
        <v>198</v>
      </c>
      <c r="BW577" t="s">
        <v>198</v>
      </c>
      <c r="BX577" t="s">
        <v>199</v>
      </c>
      <c r="BY577" t="s">
        <v>198</v>
      </c>
      <c r="BZ577" t="s">
        <v>199</v>
      </c>
      <c r="CA577" t="s">
        <v>199</v>
      </c>
      <c r="CB577" t="s">
        <v>8162</v>
      </c>
      <c r="CC577" t="s">
        <v>201</v>
      </c>
      <c r="CD577" t="s">
        <v>182</v>
      </c>
      <c r="CE577" t="s">
        <v>8163</v>
      </c>
      <c r="CF577" t="s">
        <v>413</v>
      </c>
      <c r="CG577" t="s">
        <v>177</v>
      </c>
      <c r="CH577" t="s">
        <v>1579</v>
      </c>
      <c r="CI577" t="s">
        <v>8164</v>
      </c>
      <c r="CJ577" t="s">
        <v>5139</v>
      </c>
      <c r="CK577" t="s">
        <v>232</v>
      </c>
      <c r="CL577" t="s">
        <v>233</v>
      </c>
      <c r="CM577" t="s">
        <v>8165</v>
      </c>
      <c r="CN577" t="s">
        <v>235</v>
      </c>
      <c r="CO577" t="s">
        <v>183</v>
      </c>
      <c r="CP577" t="s">
        <v>266</v>
      </c>
      <c r="CS577" t="s">
        <v>198</v>
      </c>
      <c r="CT577" t="s">
        <v>8030</v>
      </c>
      <c r="CU577" t="s">
        <v>292</v>
      </c>
      <c r="CV577" t="s">
        <v>293</v>
      </c>
      <c r="CW577" t="s">
        <v>8166</v>
      </c>
      <c r="CX577" t="s">
        <v>235</v>
      </c>
      <c r="CY577" t="s">
        <v>183</v>
      </c>
      <c r="CZ577" t="s">
        <v>266</v>
      </c>
      <c r="DC577" t="s">
        <v>198</v>
      </c>
      <c r="DD577" t="s">
        <v>8167</v>
      </c>
      <c r="DE577" t="s">
        <v>267</v>
      </c>
      <c r="DF577" t="s">
        <v>268</v>
      </c>
      <c r="DG577" t="s">
        <v>8168</v>
      </c>
      <c r="DH577" t="s">
        <v>235</v>
      </c>
      <c r="DI577" t="s">
        <v>183</v>
      </c>
      <c r="DJ577" t="s">
        <v>211</v>
      </c>
      <c r="DK577" t="s">
        <v>250</v>
      </c>
      <c r="DM577" t="s">
        <v>8169</v>
      </c>
      <c r="DN577" t="s">
        <v>8170</v>
      </c>
      <c r="DO577" t="s">
        <v>273</v>
      </c>
      <c r="DP577" t="s">
        <v>274</v>
      </c>
      <c r="DQ577" t="s">
        <v>8171</v>
      </c>
      <c r="DR577" t="s">
        <v>235</v>
      </c>
      <c r="DS577" t="s">
        <v>183</v>
      </c>
      <c r="DT577" t="s">
        <v>211</v>
      </c>
      <c r="DU577" t="s">
        <v>487</v>
      </c>
      <c r="DW577" t="s">
        <v>8169</v>
      </c>
      <c r="DX577" t="s">
        <v>5364</v>
      </c>
      <c r="DY577" t="s">
        <v>302</v>
      </c>
      <c r="DZ577" t="s">
        <v>303</v>
      </c>
      <c r="EA577" t="s">
        <v>8172</v>
      </c>
      <c r="EB577" t="s">
        <v>235</v>
      </c>
      <c r="EC577" t="s">
        <v>183</v>
      </c>
      <c r="ED577" t="s">
        <v>211</v>
      </c>
      <c r="EE577" t="s">
        <v>329</v>
      </c>
      <c r="EG577" t="s">
        <v>1133</v>
      </c>
      <c r="EH577" t="s">
        <v>8173</v>
      </c>
      <c r="EI577" t="s">
        <v>238</v>
      </c>
      <c r="EJ577" t="s">
        <v>239</v>
      </c>
      <c r="EK577" t="s">
        <v>8174</v>
      </c>
      <c r="EL577" t="s">
        <v>440</v>
      </c>
      <c r="EM577" t="s">
        <v>183</v>
      </c>
      <c r="EN577" t="s">
        <v>211</v>
      </c>
      <c r="EO577" t="s">
        <v>298</v>
      </c>
      <c r="EQ577" t="s">
        <v>1133</v>
      </c>
      <c r="ER577" t="s">
        <v>8175</v>
      </c>
      <c r="ES577" t="s">
        <v>346</v>
      </c>
      <c r="ET577" t="s">
        <v>347</v>
      </c>
      <c r="EU577" t="s">
        <v>8176</v>
      </c>
      <c r="EV577" t="s">
        <v>235</v>
      </c>
      <c r="EW577" t="s">
        <v>183</v>
      </c>
      <c r="EX577" t="s">
        <v>211</v>
      </c>
      <c r="EY577" t="s">
        <v>339</v>
      </c>
      <c r="FA577" t="s">
        <v>8177</v>
      </c>
      <c r="FK577" t="s">
        <v>198</v>
      </c>
      <c r="FU577" t="s">
        <v>198</v>
      </c>
    </row>
    <row r="578" spans="1:177">
      <c r="A578" s="1" t="str">
        <f>HYPERLINK("http://digipan.lumentumllc.com/apps/getLink/index.php?t=PropLink&amp;p=5246872","PL")</f>
        <v>PL</v>
      </c>
      <c r="B578" s="1" t="str">
        <f>HYPERLINK("http://digipan.lumentumllc.com/apps/getLink/index.php?t=TaxLink&amp;p=5246872","TL")</f>
        <v>TL</v>
      </c>
      <c r="C578" s="1" t="str">
        <f>HYPERLINK("http://digipan.lumentumllc.com/apps/getMap/index.php?p=5246872","Map")</f>
        <v>Map</v>
      </c>
      <c r="E578" t="s">
        <v>177</v>
      </c>
      <c r="F578" t="s">
        <v>178</v>
      </c>
      <c r="L578" t="s">
        <v>8178</v>
      </c>
      <c r="N578" t="s">
        <v>8178</v>
      </c>
      <c r="O578" t="s">
        <v>8178</v>
      </c>
      <c r="P578" t="s">
        <v>8179</v>
      </c>
      <c r="Q578" t="s">
        <v>8178</v>
      </c>
      <c r="V578">
        <v>666</v>
      </c>
      <c r="W578">
        <v>3</v>
      </c>
      <c r="X578">
        <v>2017</v>
      </c>
      <c r="Y578">
        <v>2018</v>
      </c>
      <c r="Z578">
        <v>686.92</v>
      </c>
      <c r="AB578" t="s">
        <v>181</v>
      </c>
      <c r="AC578" t="s">
        <v>182</v>
      </c>
      <c r="AD578" t="s">
        <v>183</v>
      </c>
      <c r="AE578">
        <v>1</v>
      </c>
      <c r="AF578">
        <v>7</v>
      </c>
      <c r="AG578" t="s">
        <v>418</v>
      </c>
      <c r="AH578">
        <v>86</v>
      </c>
      <c r="AI578">
        <v>691.08</v>
      </c>
      <c r="AJ578">
        <v>34.549999999999997</v>
      </c>
      <c r="AK578">
        <v>725.63</v>
      </c>
      <c r="AL578">
        <v>40000</v>
      </c>
      <c r="AM578">
        <v>40000</v>
      </c>
      <c r="AN578">
        <v>0</v>
      </c>
      <c r="AO578">
        <v>614</v>
      </c>
      <c r="AP578">
        <v>2016</v>
      </c>
      <c r="AQ578">
        <v>1.72</v>
      </c>
      <c r="AR578">
        <v>1.81</v>
      </c>
      <c r="AS578" t="s">
        <v>3209</v>
      </c>
      <c r="AT578" t="s">
        <v>186</v>
      </c>
      <c r="AU578" t="s">
        <v>177</v>
      </c>
      <c r="AV578" t="s">
        <v>187</v>
      </c>
      <c r="AW578" t="s">
        <v>182</v>
      </c>
      <c r="AX578">
        <v>0</v>
      </c>
      <c r="AY578" t="s">
        <v>312</v>
      </c>
      <c r="AZ578" t="s">
        <v>199</v>
      </c>
      <c r="BA578" t="s">
        <v>313</v>
      </c>
      <c r="BB578" t="s">
        <v>191</v>
      </c>
      <c r="BC578" t="s">
        <v>182</v>
      </c>
      <c r="BD578" t="s">
        <v>182</v>
      </c>
      <c r="BE578" t="s">
        <v>247</v>
      </c>
      <c r="BF578">
        <v>0</v>
      </c>
      <c r="BG578">
        <v>0</v>
      </c>
      <c r="BH578">
        <v>0</v>
      </c>
      <c r="BI578" t="s">
        <v>199</v>
      </c>
      <c r="BJ578" t="s">
        <v>315</v>
      </c>
      <c r="BL578" t="s">
        <v>199</v>
      </c>
      <c r="BM578" t="s">
        <v>930</v>
      </c>
      <c r="BN578" t="s">
        <v>182</v>
      </c>
      <c r="BO578" t="s">
        <v>198</v>
      </c>
      <c r="BP578" t="s">
        <v>198</v>
      </c>
      <c r="BQ578" t="s">
        <v>198</v>
      </c>
      <c r="BR578" t="s">
        <v>198</v>
      </c>
      <c r="BS578" t="s">
        <v>198</v>
      </c>
      <c r="BT578" t="s">
        <v>198</v>
      </c>
      <c r="BU578" t="s">
        <v>182</v>
      </c>
      <c r="BV578" t="s">
        <v>198</v>
      </c>
      <c r="BW578" t="s">
        <v>198</v>
      </c>
      <c r="BX578" t="s">
        <v>199</v>
      </c>
      <c r="BY578" t="s">
        <v>198</v>
      </c>
      <c r="BZ578" t="s">
        <v>199</v>
      </c>
      <c r="CA578" t="s">
        <v>199</v>
      </c>
      <c r="CB578" t="s">
        <v>8180</v>
      </c>
      <c r="CC578" t="s">
        <v>201</v>
      </c>
      <c r="CD578" t="s">
        <v>202</v>
      </c>
      <c r="CE578" t="s">
        <v>8181</v>
      </c>
      <c r="CF578" t="s">
        <v>413</v>
      </c>
      <c r="CG578" t="s">
        <v>177</v>
      </c>
      <c r="CH578" t="s">
        <v>804</v>
      </c>
      <c r="CI578" t="s">
        <v>8182</v>
      </c>
      <c r="CJ578" t="s">
        <v>7391</v>
      </c>
      <c r="CK578" t="s">
        <v>232</v>
      </c>
      <c r="CL578" t="s">
        <v>233</v>
      </c>
      <c r="CM578" t="s">
        <v>1999</v>
      </c>
      <c r="CN578" t="s">
        <v>305</v>
      </c>
      <c r="CO578" t="s">
        <v>183</v>
      </c>
      <c r="CP578" t="s">
        <v>266</v>
      </c>
      <c r="CS578" t="s">
        <v>198</v>
      </c>
      <c r="CT578" t="s">
        <v>8050</v>
      </c>
      <c r="CU578" t="s">
        <v>292</v>
      </c>
      <c r="CV578" t="s">
        <v>293</v>
      </c>
      <c r="CW578" t="s">
        <v>8183</v>
      </c>
      <c r="CX578" t="s">
        <v>295</v>
      </c>
      <c r="CY578" t="s">
        <v>183</v>
      </c>
      <c r="CZ578" t="s">
        <v>211</v>
      </c>
      <c r="DA578" t="s">
        <v>345</v>
      </c>
      <c r="DC578" t="s">
        <v>8184</v>
      </c>
      <c r="DD578" t="s">
        <v>8185</v>
      </c>
      <c r="DE578" t="s">
        <v>267</v>
      </c>
      <c r="DF578" t="s">
        <v>268</v>
      </c>
      <c r="DG578" t="s">
        <v>8186</v>
      </c>
      <c r="DH578" t="s">
        <v>331</v>
      </c>
      <c r="DI578" t="s">
        <v>183</v>
      </c>
      <c r="DJ578" t="s">
        <v>211</v>
      </c>
      <c r="DK578" t="s">
        <v>345</v>
      </c>
      <c r="DM578" t="s">
        <v>4509</v>
      </c>
      <c r="DN578" t="s">
        <v>8187</v>
      </c>
      <c r="DO578" t="s">
        <v>273</v>
      </c>
      <c r="DP578" t="s">
        <v>274</v>
      </c>
      <c r="DQ578" t="s">
        <v>8188</v>
      </c>
      <c r="DR578" t="s">
        <v>833</v>
      </c>
      <c r="DS578" t="s">
        <v>183</v>
      </c>
      <c r="DT578" t="s">
        <v>211</v>
      </c>
      <c r="DU578" t="s">
        <v>298</v>
      </c>
      <c r="DW578" t="s">
        <v>462</v>
      </c>
      <c r="DX578" t="s">
        <v>8189</v>
      </c>
      <c r="DY578" t="s">
        <v>302</v>
      </c>
      <c r="DZ578" t="s">
        <v>303</v>
      </c>
      <c r="EA578" t="s">
        <v>8190</v>
      </c>
      <c r="EB578" t="s">
        <v>305</v>
      </c>
      <c r="EC578" t="s">
        <v>183</v>
      </c>
      <c r="ED578" t="s">
        <v>211</v>
      </c>
      <c r="EE578" t="s">
        <v>345</v>
      </c>
      <c r="EG578" t="s">
        <v>1094</v>
      </c>
      <c r="EH578" t="s">
        <v>7960</v>
      </c>
      <c r="EI578" t="s">
        <v>238</v>
      </c>
      <c r="EJ578" t="s">
        <v>239</v>
      </c>
      <c r="EK578" t="s">
        <v>8191</v>
      </c>
      <c r="EL578" t="s">
        <v>440</v>
      </c>
      <c r="EM578" t="s">
        <v>183</v>
      </c>
      <c r="EN578" t="s">
        <v>211</v>
      </c>
      <c r="EO578" t="s">
        <v>345</v>
      </c>
      <c r="EQ578" t="s">
        <v>8192</v>
      </c>
      <c r="ER578" t="s">
        <v>8193</v>
      </c>
      <c r="ES578" t="s">
        <v>346</v>
      </c>
      <c r="ET578" t="s">
        <v>347</v>
      </c>
      <c r="EU578" t="s">
        <v>8194</v>
      </c>
      <c r="EV578" t="s">
        <v>469</v>
      </c>
      <c r="EW578" t="s">
        <v>183</v>
      </c>
      <c r="EX578" t="s">
        <v>211</v>
      </c>
      <c r="EY578" t="s">
        <v>298</v>
      </c>
      <c r="FA578" t="s">
        <v>1622</v>
      </c>
      <c r="FB578" t="s">
        <v>8038</v>
      </c>
      <c r="FC578" t="s">
        <v>207</v>
      </c>
      <c r="FD578" t="s">
        <v>208</v>
      </c>
      <c r="FE578" t="s">
        <v>8195</v>
      </c>
      <c r="FF578" t="s">
        <v>576</v>
      </c>
      <c r="FG578" t="s">
        <v>183</v>
      </c>
      <c r="FH578" t="s">
        <v>211</v>
      </c>
      <c r="FI578" t="s">
        <v>345</v>
      </c>
      <c r="FK578" t="s">
        <v>8196</v>
      </c>
      <c r="FU578" t="s">
        <v>198</v>
      </c>
    </row>
    <row r="579" spans="1:177">
      <c r="A579" s="1" t="str">
        <f>HYPERLINK("http://digipan.lumentumllc.com/apps/getLink/index.php?t=PropLink&amp;p=5246873","PL")</f>
        <v>PL</v>
      </c>
      <c r="B579" s="1" t="str">
        <f>HYPERLINK("http://digipan.lumentumllc.com/apps/getLink/index.php?t=TaxLink&amp;p=5246873","TL")</f>
        <v>TL</v>
      </c>
      <c r="C579" s="1" t="str">
        <f>HYPERLINK("http://digipan.lumentumllc.com/apps/getMap/index.php?p=5246873","Map")</f>
        <v>Map</v>
      </c>
      <c r="E579" t="s">
        <v>177</v>
      </c>
      <c r="F579" t="s">
        <v>178</v>
      </c>
      <c r="L579" t="s">
        <v>8197</v>
      </c>
      <c r="N579" t="s">
        <v>8197</v>
      </c>
      <c r="O579" t="s">
        <v>8197</v>
      </c>
      <c r="P579" t="s">
        <v>8198</v>
      </c>
      <c r="Q579" t="s">
        <v>8197</v>
      </c>
      <c r="V579">
        <v>667</v>
      </c>
      <c r="W579">
        <v>3</v>
      </c>
      <c r="X579">
        <v>2017</v>
      </c>
      <c r="Y579">
        <v>2018</v>
      </c>
      <c r="Z579">
        <v>1371.39</v>
      </c>
      <c r="AB579" t="s">
        <v>181</v>
      </c>
      <c r="AC579" t="s">
        <v>182</v>
      </c>
      <c r="AD579" t="s">
        <v>183</v>
      </c>
      <c r="AE579">
        <v>1</v>
      </c>
      <c r="AF579">
        <v>6</v>
      </c>
      <c r="AG579" t="s">
        <v>418</v>
      </c>
      <c r="AH579">
        <v>86</v>
      </c>
      <c r="AI579">
        <v>1610.04</v>
      </c>
      <c r="AJ579">
        <v>80.5</v>
      </c>
      <c r="AK579">
        <v>1690.54</v>
      </c>
      <c r="AL579">
        <v>81808</v>
      </c>
      <c r="AM579">
        <v>19040</v>
      </c>
      <c r="AN579">
        <v>62768</v>
      </c>
      <c r="AO579">
        <v>1464</v>
      </c>
      <c r="AP579">
        <v>2016</v>
      </c>
      <c r="AQ579">
        <v>1.68</v>
      </c>
      <c r="AR579">
        <v>2.0699999999999998</v>
      </c>
      <c r="AS579" t="s">
        <v>8199</v>
      </c>
      <c r="AT579" t="s">
        <v>186</v>
      </c>
      <c r="AU579" t="s">
        <v>177</v>
      </c>
      <c r="AV579" t="s">
        <v>187</v>
      </c>
      <c r="AW579" t="s">
        <v>182</v>
      </c>
      <c r="AX579">
        <v>39</v>
      </c>
      <c r="AY579" t="s">
        <v>3641</v>
      </c>
      <c r="AZ579" t="s">
        <v>963</v>
      </c>
      <c r="BA579" t="s">
        <v>8200</v>
      </c>
      <c r="BB579" t="s">
        <v>191</v>
      </c>
      <c r="BC579" t="s">
        <v>182</v>
      </c>
      <c r="BD579" t="s">
        <v>182</v>
      </c>
      <c r="BE579" t="s">
        <v>8201</v>
      </c>
      <c r="BF579">
        <v>2</v>
      </c>
      <c r="BG579">
        <v>1</v>
      </c>
      <c r="BH579">
        <v>1949</v>
      </c>
      <c r="BI579" t="s">
        <v>8202</v>
      </c>
      <c r="BJ579" t="s">
        <v>194</v>
      </c>
      <c r="BK579" t="s">
        <v>195</v>
      </c>
      <c r="BL579" t="s">
        <v>2050</v>
      </c>
      <c r="BM579" t="s">
        <v>8203</v>
      </c>
      <c r="BN579" t="s">
        <v>182</v>
      </c>
      <c r="BO579" t="s">
        <v>198</v>
      </c>
      <c r="BP579" t="s">
        <v>198</v>
      </c>
      <c r="BQ579" t="s">
        <v>198</v>
      </c>
      <c r="BR579" t="s">
        <v>198</v>
      </c>
      <c r="BS579" t="s">
        <v>198</v>
      </c>
      <c r="BT579" t="s">
        <v>198</v>
      </c>
      <c r="BU579" t="s">
        <v>182</v>
      </c>
      <c r="BV579" t="s">
        <v>198</v>
      </c>
      <c r="BW579" t="s">
        <v>198</v>
      </c>
      <c r="BX579" t="s">
        <v>199</v>
      </c>
      <c r="BY579" t="s">
        <v>198</v>
      </c>
      <c r="BZ579" t="s">
        <v>199</v>
      </c>
      <c r="CA579" t="s">
        <v>199</v>
      </c>
      <c r="CB579" t="s">
        <v>8180</v>
      </c>
      <c r="CC579" t="s">
        <v>201</v>
      </c>
      <c r="CD579" t="s">
        <v>202</v>
      </c>
      <c r="CE579" t="s">
        <v>8181</v>
      </c>
      <c r="CF579" t="s">
        <v>413</v>
      </c>
      <c r="CG579" t="s">
        <v>177</v>
      </c>
      <c r="CH579" t="s">
        <v>804</v>
      </c>
      <c r="CI579" t="s">
        <v>8204</v>
      </c>
      <c r="CJ579" t="s">
        <v>8144</v>
      </c>
      <c r="CK579" t="s">
        <v>232</v>
      </c>
      <c r="CL579" t="s">
        <v>233</v>
      </c>
      <c r="CM579" t="s">
        <v>8205</v>
      </c>
      <c r="CN579" t="s">
        <v>235</v>
      </c>
      <c r="CO579" t="s">
        <v>183</v>
      </c>
      <c r="CP579" t="s">
        <v>266</v>
      </c>
      <c r="CS579" t="s">
        <v>198</v>
      </c>
      <c r="CT579" t="s">
        <v>8206</v>
      </c>
      <c r="CU579" t="s">
        <v>292</v>
      </c>
      <c r="CV579" t="s">
        <v>293</v>
      </c>
      <c r="CW579" t="s">
        <v>8207</v>
      </c>
      <c r="CX579" t="s">
        <v>235</v>
      </c>
      <c r="CY579" t="s">
        <v>183</v>
      </c>
      <c r="CZ579" t="s">
        <v>211</v>
      </c>
      <c r="DA579" t="s">
        <v>345</v>
      </c>
      <c r="DC579" t="s">
        <v>8184</v>
      </c>
      <c r="DD579" t="s">
        <v>8208</v>
      </c>
      <c r="DE579" t="s">
        <v>267</v>
      </c>
      <c r="DF579" t="s">
        <v>268</v>
      </c>
      <c r="DG579" t="s">
        <v>8209</v>
      </c>
      <c r="DH579" t="s">
        <v>235</v>
      </c>
      <c r="DI579" t="s">
        <v>183</v>
      </c>
      <c r="DJ579" t="s">
        <v>211</v>
      </c>
      <c r="DK579" t="s">
        <v>345</v>
      </c>
      <c r="DM579" t="s">
        <v>4509</v>
      </c>
      <c r="DN579" t="s">
        <v>7643</v>
      </c>
      <c r="DO579" t="s">
        <v>273</v>
      </c>
      <c r="DP579" t="s">
        <v>274</v>
      </c>
      <c r="DQ579" t="s">
        <v>8210</v>
      </c>
      <c r="DR579" t="s">
        <v>235</v>
      </c>
      <c r="DS579" t="s">
        <v>183</v>
      </c>
      <c r="DT579" t="s">
        <v>211</v>
      </c>
      <c r="DU579" t="s">
        <v>298</v>
      </c>
      <c r="DW579" t="s">
        <v>462</v>
      </c>
      <c r="DX579" t="s">
        <v>8211</v>
      </c>
      <c r="DY579" t="s">
        <v>302</v>
      </c>
      <c r="DZ579" t="s">
        <v>303</v>
      </c>
      <c r="EA579" t="s">
        <v>8212</v>
      </c>
      <c r="EB579" t="s">
        <v>235</v>
      </c>
      <c r="EC579" t="s">
        <v>183</v>
      </c>
      <c r="ED579" t="s">
        <v>211</v>
      </c>
      <c r="EE579" t="s">
        <v>345</v>
      </c>
      <c r="EG579" t="s">
        <v>1094</v>
      </c>
      <c r="EH579" t="s">
        <v>8213</v>
      </c>
      <c r="EI579" t="s">
        <v>238</v>
      </c>
      <c r="EJ579" t="s">
        <v>239</v>
      </c>
      <c r="EK579" t="s">
        <v>8214</v>
      </c>
      <c r="EL579" t="s">
        <v>927</v>
      </c>
      <c r="EM579" t="s">
        <v>183</v>
      </c>
      <c r="EN579" t="s">
        <v>211</v>
      </c>
      <c r="EO579" t="s">
        <v>345</v>
      </c>
      <c r="EQ579" t="s">
        <v>8192</v>
      </c>
      <c r="ER579" t="s">
        <v>8215</v>
      </c>
      <c r="ES579" t="s">
        <v>346</v>
      </c>
      <c r="ET579" t="s">
        <v>347</v>
      </c>
      <c r="EU579" t="s">
        <v>8216</v>
      </c>
      <c r="EV579" t="s">
        <v>235</v>
      </c>
      <c r="EW579" t="s">
        <v>183</v>
      </c>
      <c r="EX579" t="s">
        <v>211</v>
      </c>
      <c r="EY579" t="s">
        <v>298</v>
      </c>
      <c r="FA579" t="s">
        <v>1622</v>
      </c>
      <c r="FK579" t="s">
        <v>198</v>
      </c>
      <c r="FU579" t="s">
        <v>198</v>
      </c>
    </row>
    <row r="580" spans="1:177">
      <c r="A580" s="1" t="str">
        <f>HYPERLINK("http://digipan.lumentumllc.com/apps/getLink/index.php?t=PropLink&amp;p=15753059","PL")</f>
        <v>PL</v>
      </c>
      <c r="B580" s="1" t="str">
        <f>HYPERLINK("http://digipan.lumentumllc.com/apps/getLink/index.php?t=TaxLink&amp;p=15753059","TL")</f>
        <v>TL</v>
      </c>
      <c r="C580" s="1" t="str">
        <f>HYPERLINK("http://digipan.lumentumllc.com/apps/getMap/index.php?p=15753059","Map")</f>
        <v>Map</v>
      </c>
      <c r="E580" t="s">
        <v>177</v>
      </c>
      <c r="F580" t="s">
        <v>178</v>
      </c>
      <c r="L580" t="s">
        <v>8217</v>
      </c>
      <c r="N580" t="s">
        <v>8217</v>
      </c>
      <c r="O580" t="s">
        <v>8217</v>
      </c>
      <c r="Q580" t="s">
        <v>8217</v>
      </c>
      <c r="V580">
        <v>668</v>
      </c>
      <c r="W580">
        <v>3</v>
      </c>
      <c r="X580">
        <v>2017</v>
      </c>
      <c r="Y580">
        <v>2018</v>
      </c>
      <c r="Z580">
        <v>981.23</v>
      </c>
      <c r="AG580" t="s">
        <v>184</v>
      </c>
      <c r="AH580">
        <v>0</v>
      </c>
      <c r="AK580">
        <v>0</v>
      </c>
      <c r="AL580">
        <v>57976</v>
      </c>
      <c r="AM580">
        <v>15150</v>
      </c>
      <c r="AN580">
        <v>42826</v>
      </c>
      <c r="AO580">
        <v>844</v>
      </c>
      <c r="AP580">
        <v>2016</v>
      </c>
      <c r="AQ580">
        <v>1.69</v>
      </c>
      <c r="AS580" t="s">
        <v>8218</v>
      </c>
      <c r="AT580" t="s">
        <v>186</v>
      </c>
      <c r="AU580" t="s">
        <v>177</v>
      </c>
      <c r="AV580" t="s">
        <v>187</v>
      </c>
      <c r="AW580" t="s">
        <v>182</v>
      </c>
      <c r="AX580">
        <v>2</v>
      </c>
      <c r="AY580" t="s">
        <v>188</v>
      </c>
      <c r="AZ580" t="s">
        <v>189</v>
      </c>
      <c r="BA580" t="s">
        <v>190</v>
      </c>
      <c r="BB580" t="s">
        <v>191</v>
      </c>
      <c r="BC580" t="s">
        <v>182</v>
      </c>
      <c r="BD580" t="s">
        <v>182</v>
      </c>
      <c r="BE580" t="s">
        <v>899</v>
      </c>
      <c r="BF580">
        <v>1</v>
      </c>
      <c r="BG580">
        <v>1</v>
      </c>
      <c r="BH580">
        <v>2008</v>
      </c>
      <c r="BI580" t="s">
        <v>7006</v>
      </c>
      <c r="BJ580" t="s">
        <v>194</v>
      </c>
      <c r="BK580" t="s">
        <v>195</v>
      </c>
      <c r="BL580" t="s">
        <v>2395</v>
      </c>
      <c r="BM580" t="s">
        <v>292</v>
      </c>
      <c r="BN580" t="s">
        <v>182</v>
      </c>
      <c r="BO580" t="s">
        <v>4995</v>
      </c>
      <c r="BP580" t="s">
        <v>8219</v>
      </c>
      <c r="BQ580" t="s">
        <v>2227</v>
      </c>
      <c r="BR580" t="s">
        <v>1857</v>
      </c>
      <c r="BS580" t="s">
        <v>198</v>
      </c>
      <c r="BT580" t="s">
        <v>228</v>
      </c>
      <c r="BU580" t="s">
        <v>182</v>
      </c>
      <c r="BV580" t="s">
        <v>198</v>
      </c>
      <c r="BW580" t="s">
        <v>198</v>
      </c>
      <c r="BX580" t="s">
        <v>199</v>
      </c>
      <c r="BY580" t="s">
        <v>198</v>
      </c>
      <c r="BZ580" t="s">
        <v>199</v>
      </c>
      <c r="CA580" t="s">
        <v>199</v>
      </c>
      <c r="CB580" t="s">
        <v>8220</v>
      </c>
      <c r="CC580" t="s">
        <v>201</v>
      </c>
      <c r="CD580" t="s">
        <v>182</v>
      </c>
      <c r="CE580" t="s">
        <v>2941</v>
      </c>
      <c r="CF580" t="s">
        <v>204</v>
      </c>
      <c r="CG580" t="s">
        <v>177</v>
      </c>
      <c r="CH580" t="s">
        <v>187</v>
      </c>
      <c r="CI580" t="s">
        <v>426</v>
      </c>
      <c r="CS580" t="s">
        <v>198</v>
      </c>
      <c r="DC580" t="s">
        <v>198</v>
      </c>
      <c r="DM580" t="s">
        <v>198</v>
      </c>
      <c r="DW580" t="s">
        <v>198</v>
      </c>
      <c r="EG580" t="s">
        <v>198</v>
      </c>
      <c r="EQ580" t="s">
        <v>198</v>
      </c>
      <c r="FA580" t="s">
        <v>198</v>
      </c>
      <c r="FK580" t="s">
        <v>198</v>
      </c>
      <c r="FU580" t="s">
        <v>198</v>
      </c>
    </row>
    <row r="581" spans="1:177">
      <c r="A581" s="1" t="str">
        <f>HYPERLINK("http://digipan.lumentumllc.com/apps/getLink/index.php?t=PropLink&amp;p=5246876","PL")</f>
        <v>PL</v>
      </c>
      <c r="B581" s="1" t="str">
        <f>HYPERLINK("http://digipan.lumentumllc.com/apps/getLink/index.php?t=TaxLink&amp;p=5246876","TL")</f>
        <v>TL</v>
      </c>
      <c r="C581" s="1" t="str">
        <f>HYPERLINK("http://digipan.lumentumllc.com/apps/getMap/index.php?p=5246876","Map")</f>
        <v>Map</v>
      </c>
      <c r="E581" t="s">
        <v>177</v>
      </c>
      <c r="F581" t="s">
        <v>178</v>
      </c>
      <c r="L581" t="s">
        <v>8221</v>
      </c>
      <c r="N581" t="s">
        <v>8221</v>
      </c>
      <c r="O581" t="s">
        <v>8221</v>
      </c>
      <c r="P581" t="s">
        <v>8222</v>
      </c>
      <c r="Q581" t="s">
        <v>8221</v>
      </c>
      <c r="V581">
        <v>669</v>
      </c>
      <c r="W581">
        <v>3</v>
      </c>
      <c r="X581">
        <v>2017</v>
      </c>
      <c r="Y581">
        <v>2018</v>
      </c>
      <c r="Z581">
        <v>891.56</v>
      </c>
      <c r="AB581" t="s">
        <v>181</v>
      </c>
      <c r="AC581" t="s">
        <v>182</v>
      </c>
      <c r="AD581" t="s">
        <v>183</v>
      </c>
      <c r="AE581">
        <v>0</v>
      </c>
      <c r="AF581">
        <v>6</v>
      </c>
      <c r="AG581" t="s">
        <v>3266</v>
      </c>
      <c r="AH581">
        <v>100</v>
      </c>
      <c r="AK581">
        <v>0</v>
      </c>
      <c r="AL581">
        <v>52500</v>
      </c>
      <c r="AM581">
        <v>52500</v>
      </c>
      <c r="AN581">
        <v>0</v>
      </c>
      <c r="AO581">
        <v>806</v>
      </c>
      <c r="AP581">
        <v>2016</v>
      </c>
      <c r="AQ581">
        <v>1.7</v>
      </c>
      <c r="AS581" t="s">
        <v>3209</v>
      </c>
      <c r="AT581" t="s">
        <v>186</v>
      </c>
      <c r="AU581" t="s">
        <v>177</v>
      </c>
      <c r="AV581" t="s">
        <v>187</v>
      </c>
      <c r="AW581" t="s">
        <v>182</v>
      </c>
      <c r="AX581">
        <v>10</v>
      </c>
      <c r="AY581" t="s">
        <v>3211</v>
      </c>
      <c r="AZ581" t="s">
        <v>270</v>
      </c>
      <c r="BA581" t="s">
        <v>3212</v>
      </c>
      <c r="BB581" t="s">
        <v>191</v>
      </c>
      <c r="BC581" t="s">
        <v>182</v>
      </c>
      <c r="BD581" t="s">
        <v>182</v>
      </c>
      <c r="BE581" t="s">
        <v>796</v>
      </c>
      <c r="BF581">
        <v>0</v>
      </c>
      <c r="BG581">
        <v>0</v>
      </c>
      <c r="BH581">
        <v>0</v>
      </c>
      <c r="BI581" t="s">
        <v>199</v>
      </c>
      <c r="BJ581" t="s">
        <v>315</v>
      </c>
      <c r="BL581" t="s">
        <v>8223</v>
      </c>
      <c r="BM581" t="s">
        <v>533</v>
      </c>
      <c r="BN581" t="s">
        <v>182</v>
      </c>
      <c r="BO581" t="s">
        <v>8224</v>
      </c>
      <c r="BP581" t="s">
        <v>8225</v>
      </c>
      <c r="BQ581" t="s">
        <v>581</v>
      </c>
      <c r="BR581" t="s">
        <v>563</v>
      </c>
      <c r="BS581" t="s">
        <v>198</v>
      </c>
      <c r="BT581" t="s">
        <v>8226</v>
      </c>
      <c r="BU581" t="s">
        <v>182</v>
      </c>
      <c r="BV581" t="s">
        <v>198</v>
      </c>
      <c r="BW581" t="s">
        <v>198</v>
      </c>
      <c r="BX581" t="s">
        <v>199</v>
      </c>
      <c r="BY581" t="s">
        <v>198</v>
      </c>
      <c r="BZ581" t="s">
        <v>199</v>
      </c>
      <c r="CA581" t="s">
        <v>199</v>
      </c>
      <c r="CB581" t="s">
        <v>6609</v>
      </c>
      <c r="CC581" t="s">
        <v>201</v>
      </c>
      <c r="CD581" t="s">
        <v>202</v>
      </c>
      <c r="CE581" t="s">
        <v>6577</v>
      </c>
      <c r="CF581" t="s">
        <v>204</v>
      </c>
      <c r="CG581" t="s">
        <v>177</v>
      </c>
      <c r="CH581" t="s">
        <v>187</v>
      </c>
      <c r="CI581" t="s">
        <v>6902</v>
      </c>
      <c r="CJ581" t="s">
        <v>8067</v>
      </c>
      <c r="CK581" t="s">
        <v>292</v>
      </c>
      <c r="CL581" t="s">
        <v>293</v>
      </c>
      <c r="CM581" t="s">
        <v>8227</v>
      </c>
      <c r="CN581" t="s">
        <v>295</v>
      </c>
      <c r="CO581" t="s">
        <v>183</v>
      </c>
      <c r="CP581" t="s">
        <v>211</v>
      </c>
      <c r="CQ581" t="s">
        <v>342</v>
      </c>
      <c r="CS581" t="s">
        <v>6580</v>
      </c>
      <c r="CT581" t="s">
        <v>5180</v>
      </c>
      <c r="CU581" t="s">
        <v>267</v>
      </c>
      <c r="CV581" t="s">
        <v>268</v>
      </c>
      <c r="CW581" t="s">
        <v>8228</v>
      </c>
      <c r="CX581" t="s">
        <v>331</v>
      </c>
      <c r="CY581" t="s">
        <v>183</v>
      </c>
      <c r="CZ581" t="s">
        <v>211</v>
      </c>
      <c r="DA581" t="s">
        <v>345</v>
      </c>
      <c r="DC581" t="s">
        <v>6580</v>
      </c>
      <c r="DD581" t="s">
        <v>7663</v>
      </c>
      <c r="DE581" t="s">
        <v>273</v>
      </c>
      <c r="DF581" t="s">
        <v>274</v>
      </c>
      <c r="DG581" t="s">
        <v>8229</v>
      </c>
      <c r="DH581" t="s">
        <v>1491</v>
      </c>
      <c r="DI581" t="s">
        <v>183</v>
      </c>
      <c r="DJ581" t="s">
        <v>211</v>
      </c>
      <c r="DK581" t="s">
        <v>865</v>
      </c>
      <c r="DM581" t="s">
        <v>6580</v>
      </c>
      <c r="DN581" t="s">
        <v>8230</v>
      </c>
      <c r="DO581" t="s">
        <v>302</v>
      </c>
      <c r="DP581" t="s">
        <v>303</v>
      </c>
      <c r="DQ581" t="s">
        <v>8231</v>
      </c>
      <c r="DR581" t="s">
        <v>235</v>
      </c>
      <c r="DS581" t="s">
        <v>183</v>
      </c>
      <c r="DT581" t="s">
        <v>211</v>
      </c>
      <c r="DU581" t="s">
        <v>270</v>
      </c>
      <c r="DW581" t="s">
        <v>2971</v>
      </c>
      <c r="DX581" t="s">
        <v>8232</v>
      </c>
      <c r="DY581" t="s">
        <v>346</v>
      </c>
      <c r="DZ581" t="s">
        <v>347</v>
      </c>
      <c r="EA581" t="s">
        <v>8233</v>
      </c>
      <c r="EB581" t="s">
        <v>235</v>
      </c>
      <c r="EC581" t="s">
        <v>183</v>
      </c>
      <c r="ED581" t="s">
        <v>211</v>
      </c>
      <c r="EE581" t="s">
        <v>270</v>
      </c>
      <c r="EG581" t="s">
        <v>1398</v>
      </c>
      <c r="EH581" t="s">
        <v>8234</v>
      </c>
      <c r="EI581" t="s">
        <v>207</v>
      </c>
      <c r="EJ581" t="s">
        <v>208</v>
      </c>
      <c r="EK581" t="s">
        <v>8235</v>
      </c>
      <c r="EL581" t="s">
        <v>576</v>
      </c>
      <c r="EM581" t="s">
        <v>183</v>
      </c>
      <c r="EN581" t="s">
        <v>211</v>
      </c>
      <c r="EO581" t="s">
        <v>342</v>
      </c>
      <c r="EQ581" t="s">
        <v>6588</v>
      </c>
      <c r="FA581" t="s">
        <v>198</v>
      </c>
      <c r="FK581" t="s">
        <v>198</v>
      </c>
      <c r="FU581" t="s">
        <v>198</v>
      </c>
    </row>
    <row r="582" spans="1:177">
      <c r="A582" s="1" t="str">
        <f>HYPERLINK("http://digipan.lumentumllc.com/apps/getLink/index.php?t=PropLink&amp;p=15753068","PL")</f>
        <v>PL</v>
      </c>
      <c r="B582" s="1" t="str">
        <f>HYPERLINK("http://digipan.lumentumllc.com/apps/getLink/index.php?t=TaxLink&amp;p=15753068","TL")</f>
        <v>TL</v>
      </c>
      <c r="C582" s="1" t="str">
        <f>HYPERLINK("http://digipan.lumentumllc.com/apps/getMap/index.php?p=15753068","Map")</f>
        <v>Map</v>
      </c>
      <c r="E582" t="s">
        <v>177</v>
      </c>
      <c r="F582" t="s">
        <v>178</v>
      </c>
      <c r="L582" t="s">
        <v>8236</v>
      </c>
      <c r="N582" t="s">
        <v>8236</v>
      </c>
      <c r="O582" t="s">
        <v>8236</v>
      </c>
      <c r="Q582" t="s">
        <v>8236</v>
      </c>
      <c r="V582">
        <v>670</v>
      </c>
      <c r="W582">
        <v>3</v>
      </c>
      <c r="X582">
        <v>2017</v>
      </c>
      <c r="Y582">
        <v>2018</v>
      </c>
      <c r="Z582">
        <v>667.41</v>
      </c>
      <c r="AG582" t="s">
        <v>184</v>
      </c>
      <c r="AH582">
        <v>0</v>
      </c>
      <c r="AK582">
        <v>0</v>
      </c>
      <c r="AL582">
        <v>38809</v>
      </c>
      <c r="AM582">
        <v>24640</v>
      </c>
      <c r="AN582">
        <v>14169</v>
      </c>
      <c r="AO582">
        <v>78</v>
      </c>
      <c r="AP582">
        <v>2016</v>
      </c>
      <c r="AQ582">
        <v>1.72</v>
      </c>
      <c r="AS582" t="s">
        <v>8237</v>
      </c>
      <c r="AT582" t="s">
        <v>186</v>
      </c>
      <c r="AU582" t="s">
        <v>177</v>
      </c>
      <c r="AV582" t="s">
        <v>187</v>
      </c>
      <c r="AW582" t="s">
        <v>182</v>
      </c>
      <c r="AX582">
        <v>2</v>
      </c>
      <c r="AY582" t="s">
        <v>188</v>
      </c>
      <c r="AZ582" t="s">
        <v>189</v>
      </c>
      <c r="BA582" t="s">
        <v>190</v>
      </c>
      <c r="BB582" t="s">
        <v>191</v>
      </c>
      <c r="BC582" t="s">
        <v>182</v>
      </c>
      <c r="BD582" t="s">
        <v>182</v>
      </c>
      <c r="BE582" t="s">
        <v>8238</v>
      </c>
      <c r="BF582">
        <v>1</v>
      </c>
      <c r="BG582">
        <v>1</v>
      </c>
      <c r="BH582">
        <v>1974</v>
      </c>
      <c r="BI582" t="s">
        <v>3333</v>
      </c>
      <c r="BJ582" t="s">
        <v>194</v>
      </c>
      <c r="BK582" t="s">
        <v>195</v>
      </c>
      <c r="BL582" t="s">
        <v>199</v>
      </c>
      <c r="BM582" t="s">
        <v>501</v>
      </c>
      <c r="BN582" t="s">
        <v>182</v>
      </c>
      <c r="BO582" t="s">
        <v>198</v>
      </c>
      <c r="BP582" t="s">
        <v>198</v>
      </c>
      <c r="BQ582" t="s">
        <v>198</v>
      </c>
      <c r="BR582" t="s">
        <v>198</v>
      </c>
      <c r="BS582" t="s">
        <v>198</v>
      </c>
      <c r="BT582" t="s">
        <v>198</v>
      </c>
      <c r="BU582" t="s">
        <v>182</v>
      </c>
      <c r="BV582" t="s">
        <v>198</v>
      </c>
      <c r="BW582" t="s">
        <v>198</v>
      </c>
      <c r="BX582" t="s">
        <v>199</v>
      </c>
      <c r="BY582" t="s">
        <v>198</v>
      </c>
      <c r="BZ582" t="s">
        <v>199</v>
      </c>
      <c r="CA582" t="s">
        <v>199</v>
      </c>
      <c r="CB582" t="s">
        <v>8239</v>
      </c>
      <c r="CC582" t="s">
        <v>201</v>
      </c>
      <c r="CD582" t="s">
        <v>202</v>
      </c>
      <c r="CE582" t="s">
        <v>8240</v>
      </c>
      <c r="CF582" t="s">
        <v>413</v>
      </c>
      <c r="CG582" t="s">
        <v>177</v>
      </c>
      <c r="CH582" t="s">
        <v>414</v>
      </c>
      <c r="CI582" t="s">
        <v>8241</v>
      </c>
      <c r="CS582" t="s">
        <v>198</v>
      </c>
      <c r="DC582" t="s">
        <v>198</v>
      </c>
      <c r="DM582" t="s">
        <v>198</v>
      </c>
      <c r="DW582" t="s">
        <v>198</v>
      </c>
      <c r="EG582" t="s">
        <v>198</v>
      </c>
      <c r="EQ582" t="s">
        <v>198</v>
      </c>
      <c r="FA582" t="s">
        <v>198</v>
      </c>
      <c r="FK582" t="s">
        <v>198</v>
      </c>
      <c r="FU582" t="s">
        <v>198</v>
      </c>
    </row>
    <row r="583" spans="1:177">
      <c r="A583" s="1" t="str">
        <f>HYPERLINK("http://digipan.lumentumllc.com/apps/getLink/index.php?t=PropLink&amp;p=5246878","PL")</f>
        <v>PL</v>
      </c>
      <c r="B583" s="1" t="str">
        <f>HYPERLINK("http://digipan.lumentumllc.com/apps/getLink/index.php?t=TaxLink&amp;p=5246878","TL")</f>
        <v>TL</v>
      </c>
      <c r="C583" s="1" t="str">
        <f>HYPERLINK("http://digipan.lumentumllc.com/apps/getMap/index.php?p=5246878","Map")</f>
        <v>Map</v>
      </c>
      <c r="E583" t="s">
        <v>177</v>
      </c>
      <c r="F583" t="s">
        <v>178</v>
      </c>
      <c r="L583" t="s">
        <v>8242</v>
      </c>
      <c r="N583" t="s">
        <v>8242</v>
      </c>
      <c r="O583" t="s">
        <v>8242</v>
      </c>
      <c r="P583" t="s">
        <v>8243</v>
      </c>
      <c r="Q583" t="s">
        <v>8242</v>
      </c>
      <c r="V583">
        <v>671</v>
      </c>
      <c r="W583">
        <v>3</v>
      </c>
      <c r="X583">
        <v>2017</v>
      </c>
      <c r="Y583">
        <v>2018</v>
      </c>
      <c r="Z583">
        <v>1312.5</v>
      </c>
      <c r="AB583" t="s">
        <v>181</v>
      </c>
      <c r="AC583" t="s">
        <v>182</v>
      </c>
      <c r="AD583" t="s">
        <v>183</v>
      </c>
      <c r="AE583">
        <v>0</v>
      </c>
      <c r="AF583">
        <v>6</v>
      </c>
      <c r="AG583" t="s">
        <v>528</v>
      </c>
      <c r="AH583">
        <v>100</v>
      </c>
      <c r="AK583">
        <v>0</v>
      </c>
      <c r="AL583">
        <v>78210</v>
      </c>
      <c r="AM583">
        <v>78210</v>
      </c>
      <c r="AN583">
        <v>0</v>
      </c>
      <c r="AO583">
        <v>701</v>
      </c>
      <c r="AP583">
        <v>2016</v>
      </c>
      <c r="AQ583">
        <v>1.68</v>
      </c>
      <c r="AS583" t="s">
        <v>8244</v>
      </c>
      <c r="AT583" t="s">
        <v>186</v>
      </c>
      <c r="AU583" t="s">
        <v>177</v>
      </c>
      <c r="AV583" t="s">
        <v>187</v>
      </c>
      <c r="AW583" t="s">
        <v>182</v>
      </c>
      <c r="AX583">
        <v>0</v>
      </c>
      <c r="AY583" t="s">
        <v>312</v>
      </c>
      <c r="AZ583" t="s">
        <v>199</v>
      </c>
      <c r="BA583" t="s">
        <v>313</v>
      </c>
      <c r="BB583" t="s">
        <v>191</v>
      </c>
      <c r="BC583" t="s">
        <v>182</v>
      </c>
      <c r="BD583" t="s">
        <v>2072</v>
      </c>
      <c r="BE583" t="s">
        <v>8245</v>
      </c>
      <c r="BF583">
        <v>0</v>
      </c>
      <c r="BG583">
        <v>0</v>
      </c>
      <c r="BH583">
        <v>0</v>
      </c>
      <c r="BI583" t="s">
        <v>199</v>
      </c>
      <c r="BJ583" t="s">
        <v>248</v>
      </c>
      <c r="BL583" t="s">
        <v>8246</v>
      </c>
      <c r="BM583" t="s">
        <v>410</v>
      </c>
      <c r="BN583" t="s">
        <v>182</v>
      </c>
      <c r="BO583" t="s">
        <v>198</v>
      </c>
      <c r="BP583" t="s">
        <v>198</v>
      </c>
      <c r="BQ583" t="s">
        <v>198</v>
      </c>
      <c r="BR583" t="s">
        <v>198</v>
      </c>
      <c r="BS583" t="s">
        <v>198</v>
      </c>
      <c r="BT583" t="s">
        <v>198</v>
      </c>
      <c r="BU583" t="s">
        <v>182</v>
      </c>
      <c r="BV583" t="s">
        <v>198</v>
      </c>
      <c r="BW583" t="s">
        <v>198</v>
      </c>
      <c r="BX583" t="s">
        <v>199</v>
      </c>
      <c r="BY583" t="s">
        <v>198</v>
      </c>
      <c r="BZ583" t="s">
        <v>199</v>
      </c>
      <c r="CA583" t="s">
        <v>199</v>
      </c>
      <c r="CB583" t="s">
        <v>3686</v>
      </c>
      <c r="CC583" t="s">
        <v>201</v>
      </c>
      <c r="CD583" t="s">
        <v>202</v>
      </c>
      <c r="CE583" t="s">
        <v>8247</v>
      </c>
      <c r="CF583" t="s">
        <v>204</v>
      </c>
      <c r="CG583" t="s">
        <v>177</v>
      </c>
      <c r="CH583" t="s">
        <v>187</v>
      </c>
      <c r="CI583" t="s">
        <v>8248</v>
      </c>
      <c r="CJ583" t="s">
        <v>8123</v>
      </c>
      <c r="CK583" t="s">
        <v>292</v>
      </c>
      <c r="CL583" t="s">
        <v>293</v>
      </c>
      <c r="CM583" t="s">
        <v>8249</v>
      </c>
      <c r="CN583" t="s">
        <v>295</v>
      </c>
      <c r="CO583" t="s">
        <v>183</v>
      </c>
      <c r="CP583" t="s">
        <v>211</v>
      </c>
      <c r="CQ583" t="s">
        <v>290</v>
      </c>
      <c r="CS583" t="s">
        <v>4025</v>
      </c>
      <c r="CT583" t="s">
        <v>5206</v>
      </c>
      <c r="CU583" t="s">
        <v>267</v>
      </c>
      <c r="CV583" t="s">
        <v>268</v>
      </c>
      <c r="CW583" t="s">
        <v>8250</v>
      </c>
      <c r="CX583" t="s">
        <v>235</v>
      </c>
      <c r="CY583" t="s">
        <v>183</v>
      </c>
      <c r="CZ583" t="s">
        <v>211</v>
      </c>
      <c r="DA583" t="s">
        <v>523</v>
      </c>
      <c r="DC583" t="s">
        <v>4025</v>
      </c>
      <c r="DD583" t="s">
        <v>5262</v>
      </c>
      <c r="DE583" t="s">
        <v>273</v>
      </c>
      <c r="DF583" t="s">
        <v>274</v>
      </c>
      <c r="DG583" t="s">
        <v>8251</v>
      </c>
      <c r="DH583" t="s">
        <v>331</v>
      </c>
      <c r="DI583" t="s">
        <v>183</v>
      </c>
      <c r="DJ583" t="s">
        <v>211</v>
      </c>
      <c r="DK583" t="s">
        <v>270</v>
      </c>
      <c r="DM583" t="s">
        <v>5313</v>
      </c>
      <c r="DN583" t="s">
        <v>8252</v>
      </c>
      <c r="DO583" t="s">
        <v>302</v>
      </c>
      <c r="DP583" t="s">
        <v>303</v>
      </c>
      <c r="DQ583" t="s">
        <v>8253</v>
      </c>
      <c r="DR583" t="s">
        <v>331</v>
      </c>
      <c r="DS583" t="s">
        <v>183</v>
      </c>
      <c r="DT583" t="s">
        <v>211</v>
      </c>
      <c r="DU583" t="s">
        <v>339</v>
      </c>
      <c r="DW583" t="s">
        <v>8254</v>
      </c>
      <c r="DX583" t="s">
        <v>8255</v>
      </c>
      <c r="DY583" t="s">
        <v>238</v>
      </c>
      <c r="DZ583" t="s">
        <v>239</v>
      </c>
      <c r="EA583" t="s">
        <v>8256</v>
      </c>
      <c r="EB583" t="s">
        <v>440</v>
      </c>
      <c r="EC583" t="s">
        <v>183</v>
      </c>
      <c r="ED583" t="s">
        <v>211</v>
      </c>
      <c r="EE583" t="s">
        <v>493</v>
      </c>
      <c r="EG583" t="s">
        <v>8254</v>
      </c>
      <c r="EH583" t="s">
        <v>8257</v>
      </c>
      <c r="EI583" t="s">
        <v>346</v>
      </c>
      <c r="EJ583" t="s">
        <v>347</v>
      </c>
      <c r="EK583" t="s">
        <v>8258</v>
      </c>
      <c r="EL583" t="s">
        <v>440</v>
      </c>
      <c r="EM583" t="s">
        <v>183</v>
      </c>
      <c r="EN583" t="s">
        <v>211</v>
      </c>
      <c r="EO583" t="s">
        <v>339</v>
      </c>
      <c r="EQ583" t="s">
        <v>3692</v>
      </c>
      <c r="FA583" t="s">
        <v>198</v>
      </c>
      <c r="FK583" t="s">
        <v>198</v>
      </c>
      <c r="FU583" t="s">
        <v>198</v>
      </c>
    </row>
    <row r="584" spans="1:177">
      <c r="A584" s="1" t="str">
        <f>HYPERLINK("http://digipan.lumentumllc.com/apps/getLink/index.php?t=PropLink&amp;p=5246928","PL")</f>
        <v>PL</v>
      </c>
      <c r="B584" s="1" t="str">
        <f>HYPERLINK("http://digipan.lumentumllc.com/apps/getLink/index.php?t=TaxLink&amp;p=5246928","TL")</f>
        <v>TL</v>
      </c>
      <c r="C584" s="1" t="str">
        <f>HYPERLINK("http://digipan.lumentumllc.com/apps/getMap/index.php?p=5246928","Map")</f>
        <v>Map</v>
      </c>
      <c r="E584" t="s">
        <v>177</v>
      </c>
      <c r="F584" t="s">
        <v>178</v>
      </c>
      <c r="L584" t="s">
        <v>8259</v>
      </c>
      <c r="N584" t="s">
        <v>8259</v>
      </c>
      <c r="O584" t="s">
        <v>8259</v>
      </c>
      <c r="P584" t="s">
        <v>8260</v>
      </c>
      <c r="Q584" t="s">
        <v>8259</v>
      </c>
      <c r="V584">
        <v>672</v>
      </c>
      <c r="W584">
        <v>3</v>
      </c>
      <c r="X584">
        <v>2017</v>
      </c>
      <c r="Y584">
        <v>2018</v>
      </c>
      <c r="Z584">
        <v>2354.61</v>
      </c>
      <c r="AB584" t="s">
        <v>181</v>
      </c>
      <c r="AC584" t="s">
        <v>182</v>
      </c>
      <c r="AD584" t="s">
        <v>183</v>
      </c>
      <c r="AE584">
        <v>1</v>
      </c>
      <c r="AF584">
        <v>3</v>
      </c>
      <c r="AG584" t="s">
        <v>257</v>
      </c>
      <c r="AH584">
        <v>75</v>
      </c>
      <c r="AI584">
        <v>2407.91</v>
      </c>
      <c r="AJ584">
        <v>120.4</v>
      </c>
      <c r="AK584">
        <v>2528.31</v>
      </c>
      <c r="AL584">
        <v>141859</v>
      </c>
      <c r="AM584">
        <v>29100</v>
      </c>
      <c r="AN584">
        <v>112759</v>
      </c>
      <c r="AO584">
        <v>2201</v>
      </c>
      <c r="AP584">
        <v>2016</v>
      </c>
      <c r="AQ584">
        <v>1.66</v>
      </c>
      <c r="AR584">
        <v>1.78</v>
      </c>
      <c r="AS584" t="s">
        <v>8261</v>
      </c>
      <c r="AT584" t="s">
        <v>186</v>
      </c>
      <c r="AU584" t="s">
        <v>177</v>
      </c>
      <c r="AV584" t="s">
        <v>187</v>
      </c>
      <c r="AW584" t="s">
        <v>182</v>
      </c>
      <c r="AX584">
        <v>27</v>
      </c>
      <c r="AY584" t="s">
        <v>3641</v>
      </c>
      <c r="AZ584" t="s">
        <v>616</v>
      </c>
      <c r="BA584" t="s">
        <v>6072</v>
      </c>
      <c r="BB584" t="s">
        <v>191</v>
      </c>
      <c r="BC584" t="s">
        <v>182</v>
      </c>
      <c r="BD584" t="s">
        <v>182</v>
      </c>
      <c r="BE584" t="s">
        <v>8262</v>
      </c>
      <c r="BF584">
        <v>1</v>
      </c>
      <c r="BG584">
        <v>0</v>
      </c>
      <c r="BH584">
        <v>2006</v>
      </c>
      <c r="BI584" t="s">
        <v>7000</v>
      </c>
      <c r="BJ584" t="s">
        <v>194</v>
      </c>
      <c r="BK584" t="s">
        <v>3643</v>
      </c>
      <c r="BL584" t="s">
        <v>2735</v>
      </c>
      <c r="BM584" t="s">
        <v>679</v>
      </c>
      <c r="BN584" t="s">
        <v>182</v>
      </c>
      <c r="BO584" t="s">
        <v>8263</v>
      </c>
      <c r="BP584" t="s">
        <v>8264</v>
      </c>
      <c r="BQ584" t="s">
        <v>5784</v>
      </c>
      <c r="BR584" t="s">
        <v>8265</v>
      </c>
      <c r="BS584" t="s">
        <v>8266</v>
      </c>
      <c r="BT584" t="s">
        <v>198</v>
      </c>
      <c r="BU584" t="s">
        <v>182</v>
      </c>
      <c r="BV584" t="s">
        <v>198</v>
      </c>
      <c r="BW584" t="s">
        <v>198</v>
      </c>
      <c r="BX584" t="s">
        <v>199</v>
      </c>
      <c r="BY584" t="s">
        <v>198</v>
      </c>
      <c r="BZ584" t="s">
        <v>199</v>
      </c>
      <c r="CA584" t="s">
        <v>199</v>
      </c>
      <c r="CB584" t="s">
        <v>8267</v>
      </c>
      <c r="CC584" t="s">
        <v>201</v>
      </c>
      <c r="CD584" t="s">
        <v>182</v>
      </c>
      <c r="CE584" t="s">
        <v>3247</v>
      </c>
      <c r="CF584" t="s">
        <v>204</v>
      </c>
      <c r="CG584" t="s">
        <v>177</v>
      </c>
      <c r="CH584" t="s">
        <v>187</v>
      </c>
      <c r="CI584" t="s">
        <v>805</v>
      </c>
      <c r="CJ584" t="s">
        <v>8268</v>
      </c>
      <c r="CK584" t="s">
        <v>232</v>
      </c>
      <c r="CL584" t="s">
        <v>233</v>
      </c>
      <c r="CM584" t="s">
        <v>8269</v>
      </c>
      <c r="CN584" t="s">
        <v>235</v>
      </c>
      <c r="CO584" t="s">
        <v>183</v>
      </c>
      <c r="CP584" t="s">
        <v>266</v>
      </c>
      <c r="CS584" t="s">
        <v>198</v>
      </c>
      <c r="CT584" t="s">
        <v>7479</v>
      </c>
      <c r="CU584" t="s">
        <v>267</v>
      </c>
      <c r="CV584" t="s">
        <v>268</v>
      </c>
      <c r="CW584" t="s">
        <v>8270</v>
      </c>
      <c r="CX584" t="s">
        <v>235</v>
      </c>
      <c r="CY584" t="s">
        <v>183</v>
      </c>
      <c r="CZ584" t="s">
        <v>211</v>
      </c>
      <c r="DA584" t="s">
        <v>460</v>
      </c>
      <c r="DC584" t="s">
        <v>3251</v>
      </c>
      <c r="DD584" t="s">
        <v>3004</v>
      </c>
      <c r="DE584" t="s">
        <v>238</v>
      </c>
      <c r="DF584" t="s">
        <v>239</v>
      </c>
      <c r="DG584" t="s">
        <v>8271</v>
      </c>
      <c r="DH584" t="s">
        <v>436</v>
      </c>
      <c r="DI584" t="s">
        <v>183</v>
      </c>
      <c r="DJ584" t="s">
        <v>211</v>
      </c>
      <c r="DK584" t="s">
        <v>270</v>
      </c>
      <c r="DM584" t="s">
        <v>3679</v>
      </c>
      <c r="DN584" t="s">
        <v>8272</v>
      </c>
      <c r="DO584" t="s">
        <v>346</v>
      </c>
      <c r="DP584" t="s">
        <v>347</v>
      </c>
      <c r="DQ584" t="s">
        <v>8273</v>
      </c>
      <c r="DR584" t="s">
        <v>235</v>
      </c>
      <c r="DS584" t="s">
        <v>183</v>
      </c>
      <c r="DT584" t="s">
        <v>211</v>
      </c>
      <c r="DU584" t="s">
        <v>199</v>
      </c>
      <c r="DW584" t="s">
        <v>5839</v>
      </c>
      <c r="EG584" t="s">
        <v>198</v>
      </c>
      <c r="EQ584" t="s">
        <v>198</v>
      </c>
      <c r="FA584" t="s">
        <v>198</v>
      </c>
      <c r="FK584" t="s">
        <v>198</v>
      </c>
      <c r="FU584" t="s">
        <v>198</v>
      </c>
    </row>
    <row r="585" spans="1:177">
      <c r="A585" s="1" t="str">
        <f>HYPERLINK("http://digipan.lumentumllc.com/apps/getLink/index.php?t=PropLink&amp;p=5246930","PL")</f>
        <v>PL</v>
      </c>
      <c r="B585" s="1" t="str">
        <f>HYPERLINK("http://digipan.lumentumllc.com/apps/getLink/index.php?t=TaxLink&amp;p=5246930","TL")</f>
        <v>TL</v>
      </c>
      <c r="C585" s="1" t="str">
        <f>HYPERLINK("http://digipan.lumentumllc.com/apps/getMap/index.php?p=5246930","Map")</f>
        <v>Map</v>
      </c>
      <c r="E585" t="s">
        <v>177</v>
      </c>
      <c r="F585" t="s">
        <v>178</v>
      </c>
      <c r="L585" t="s">
        <v>8274</v>
      </c>
      <c r="N585" t="s">
        <v>8274</v>
      </c>
      <c r="O585" t="s">
        <v>8274</v>
      </c>
      <c r="P585" t="s">
        <v>8275</v>
      </c>
      <c r="Q585" t="s">
        <v>8274</v>
      </c>
      <c r="V585">
        <v>673</v>
      </c>
      <c r="W585">
        <v>3</v>
      </c>
      <c r="X585">
        <v>2017</v>
      </c>
      <c r="Y585">
        <v>2018</v>
      </c>
      <c r="Z585">
        <v>86.94</v>
      </c>
      <c r="AB585" t="s">
        <v>181</v>
      </c>
      <c r="AC585" t="s">
        <v>182</v>
      </c>
      <c r="AD585" t="s">
        <v>1037</v>
      </c>
      <c r="AE585">
        <v>7</v>
      </c>
      <c r="AF585">
        <v>0</v>
      </c>
      <c r="AG585" t="s">
        <v>1038</v>
      </c>
      <c r="AH585">
        <v>0</v>
      </c>
      <c r="AI585">
        <v>501.22</v>
      </c>
      <c r="AJ585">
        <v>358.11</v>
      </c>
      <c r="AK585">
        <v>859.33</v>
      </c>
      <c r="AL585">
        <v>3600</v>
      </c>
      <c r="AM585">
        <v>3600</v>
      </c>
      <c r="AN585">
        <v>0</v>
      </c>
      <c r="AO585">
        <v>44</v>
      </c>
      <c r="AP585">
        <v>2016</v>
      </c>
      <c r="AQ585">
        <v>2.41</v>
      </c>
      <c r="AR585">
        <v>23.87</v>
      </c>
      <c r="AS585" t="s">
        <v>3209</v>
      </c>
      <c r="AT585" t="s">
        <v>186</v>
      </c>
      <c r="AU585" t="s">
        <v>177</v>
      </c>
      <c r="AV585" t="s">
        <v>187</v>
      </c>
      <c r="AW585" t="s">
        <v>182</v>
      </c>
      <c r="AX585">
        <v>0</v>
      </c>
      <c r="AY585" t="s">
        <v>312</v>
      </c>
      <c r="AZ585" t="s">
        <v>199</v>
      </c>
      <c r="BA585" t="s">
        <v>313</v>
      </c>
      <c r="BB585" t="s">
        <v>191</v>
      </c>
      <c r="BC585" t="s">
        <v>182</v>
      </c>
      <c r="BD585" t="s">
        <v>182</v>
      </c>
      <c r="BE585" t="s">
        <v>5992</v>
      </c>
      <c r="BF585">
        <v>0</v>
      </c>
      <c r="BG585">
        <v>0</v>
      </c>
      <c r="BH585">
        <v>0</v>
      </c>
      <c r="BI585" t="s">
        <v>199</v>
      </c>
      <c r="BJ585" t="s">
        <v>315</v>
      </c>
      <c r="BL585" t="s">
        <v>8276</v>
      </c>
      <c r="BM585" t="s">
        <v>559</v>
      </c>
      <c r="BN585" t="s">
        <v>182</v>
      </c>
      <c r="BO585" t="s">
        <v>982</v>
      </c>
      <c r="BP585" t="s">
        <v>8277</v>
      </c>
      <c r="BS585" t="s">
        <v>8278</v>
      </c>
      <c r="BT585" t="s">
        <v>198</v>
      </c>
      <c r="BU585" t="s">
        <v>182</v>
      </c>
      <c r="BV585" t="s">
        <v>198</v>
      </c>
      <c r="BW585" t="s">
        <v>198</v>
      </c>
      <c r="BX585" t="s">
        <v>199</v>
      </c>
      <c r="BY585" t="s">
        <v>198</v>
      </c>
      <c r="BZ585" t="s">
        <v>199</v>
      </c>
      <c r="CA585" t="s">
        <v>199</v>
      </c>
      <c r="CB585" t="s">
        <v>8279</v>
      </c>
      <c r="CC585" t="s">
        <v>201</v>
      </c>
      <c r="CD585" t="s">
        <v>182</v>
      </c>
      <c r="CE585" t="s">
        <v>8280</v>
      </c>
      <c r="CF585" t="s">
        <v>204</v>
      </c>
      <c r="CG585" t="s">
        <v>177</v>
      </c>
      <c r="CH585" t="s">
        <v>187</v>
      </c>
      <c r="CI585" t="s">
        <v>8281</v>
      </c>
      <c r="CJ585" t="s">
        <v>8185</v>
      </c>
      <c r="CK585" t="s">
        <v>232</v>
      </c>
      <c r="CL585" t="s">
        <v>233</v>
      </c>
      <c r="CM585" t="s">
        <v>8282</v>
      </c>
      <c r="CN585" t="s">
        <v>482</v>
      </c>
      <c r="CO585" t="s">
        <v>183</v>
      </c>
      <c r="CP585" t="s">
        <v>266</v>
      </c>
      <c r="CS585" t="s">
        <v>198</v>
      </c>
      <c r="CT585" t="s">
        <v>7343</v>
      </c>
      <c r="CU585" t="s">
        <v>292</v>
      </c>
      <c r="CV585" t="s">
        <v>293</v>
      </c>
      <c r="CW585" t="s">
        <v>8283</v>
      </c>
      <c r="CX585" t="s">
        <v>482</v>
      </c>
      <c r="CY585" t="s">
        <v>5</v>
      </c>
      <c r="CZ585" t="s">
        <v>266</v>
      </c>
      <c r="DC585" t="s">
        <v>198</v>
      </c>
      <c r="DD585" t="s">
        <v>7525</v>
      </c>
      <c r="DE585" t="s">
        <v>267</v>
      </c>
      <c r="DF585" t="s">
        <v>268</v>
      </c>
      <c r="DG585" t="s">
        <v>8284</v>
      </c>
      <c r="DH585" t="s">
        <v>482</v>
      </c>
      <c r="DI585" t="s">
        <v>183</v>
      </c>
      <c r="DJ585" t="s">
        <v>266</v>
      </c>
      <c r="DM585" t="s">
        <v>198</v>
      </c>
      <c r="DN585" t="s">
        <v>5295</v>
      </c>
      <c r="DO585" t="s">
        <v>273</v>
      </c>
      <c r="DP585" t="s">
        <v>274</v>
      </c>
      <c r="DQ585" t="s">
        <v>8285</v>
      </c>
      <c r="DR585" t="s">
        <v>482</v>
      </c>
      <c r="DS585" t="s">
        <v>5</v>
      </c>
      <c r="DT585" t="s">
        <v>266</v>
      </c>
      <c r="DW585" t="s">
        <v>198</v>
      </c>
      <c r="DX585" t="s">
        <v>5426</v>
      </c>
      <c r="DY585" t="s">
        <v>302</v>
      </c>
      <c r="DZ585" t="s">
        <v>303</v>
      </c>
      <c r="EA585" t="s">
        <v>8286</v>
      </c>
      <c r="EB585" t="s">
        <v>1615</v>
      </c>
      <c r="EC585" t="s">
        <v>183</v>
      </c>
      <c r="ED585" t="s">
        <v>266</v>
      </c>
      <c r="EG585" t="s">
        <v>198</v>
      </c>
      <c r="EH585" t="s">
        <v>8287</v>
      </c>
      <c r="EI585" t="s">
        <v>238</v>
      </c>
      <c r="EJ585" t="s">
        <v>239</v>
      </c>
      <c r="EK585" t="s">
        <v>8288</v>
      </c>
      <c r="EL585" t="s">
        <v>482</v>
      </c>
      <c r="EM585" t="s">
        <v>183</v>
      </c>
      <c r="EN585" t="s">
        <v>266</v>
      </c>
      <c r="EQ585" t="s">
        <v>198</v>
      </c>
      <c r="ER585" t="s">
        <v>8289</v>
      </c>
      <c r="ES585" t="s">
        <v>346</v>
      </c>
      <c r="ET585" t="s">
        <v>347</v>
      </c>
      <c r="EU585" t="s">
        <v>8290</v>
      </c>
      <c r="EV585" t="s">
        <v>482</v>
      </c>
      <c r="EW585" t="s">
        <v>183</v>
      </c>
      <c r="EX585" t="s">
        <v>266</v>
      </c>
      <c r="FA585" t="s">
        <v>198</v>
      </c>
      <c r="FK585" t="s">
        <v>198</v>
      </c>
      <c r="FU585" t="s">
        <v>198</v>
      </c>
    </row>
    <row r="586" spans="1:177">
      <c r="A586" s="1" t="str">
        <f>HYPERLINK("http://digipan.lumentumllc.com/apps/getLink/index.php?t=PropLink&amp;p=5247075","PL")</f>
        <v>PL</v>
      </c>
      <c r="B586" s="1" t="str">
        <f>HYPERLINK("http://digipan.lumentumllc.com/apps/getLink/index.php?t=TaxLink&amp;p=5247075","TL")</f>
        <v>TL</v>
      </c>
      <c r="C586" s="1" t="str">
        <f>HYPERLINK("http://digipan.lumentumllc.com/apps/getMap/index.php?p=5247075","Map")</f>
        <v>Map</v>
      </c>
      <c r="E586" t="s">
        <v>177</v>
      </c>
      <c r="F586" t="s">
        <v>178</v>
      </c>
      <c r="L586" t="s">
        <v>8291</v>
      </c>
      <c r="N586" t="s">
        <v>8291</v>
      </c>
      <c r="O586" t="s">
        <v>8291</v>
      </c>
      <c r="P586" t="s">
        <v>8292</v>
      </c>
      <c r="Q586" t="s">
        <v>8291</v>
      </c>
      <c r="V586">
        <v>674</v>
      </c>
      <c r="W586">
        <v>3</v>
      </c>
      <c r="X586">
        <v>2017</v>
      </c>
      <c r="Y586">
        <v>2018</v>
      </c>
      <c r="Z586">
        <v>263.25</v>
      </c>
      <c r="AG586" t="s">
        <v>184</v>
      </c>
      <c r="AH586">
        <v>0</v>
      </c>
      <c r="AK586">
        <v>0</v>
      </c>
      <c r="AL586">
        <v>15150</v>
      </c>
      <c r="AM586">
        <v>15150</v>
      </c>
      <c r="AN586">
        <v>0</v>
      </c>
      <c r="AO586">
        <v>186</v>
      </c>
      <c r="AP586">
        <v>2016</v>
      </c>
      <c r="AQ586">
        <v>1.74</v>
      </c>
      <c r="AS586" t="s">
        <v>7977</v>
      </c>
      <c r="AT586" t="s">
        <v>186</v>
      </c>
      <c r="AU586" t="s">
        <v>177</v>
      </c>
      <c r="AV586" t="s">
        <v>187</v>
      </c>
      <c r="AW586" t="s">
        <v>182</v>
      </c>
      <c r="AX586">
        <v>0</v>
      </c>
      <c r="AY586" t="s">
        <v>312</v>
      </c>
      <c r="AZ586" t="s">
        <v>199</v>
      </c>
      <c r="BA586" t="s">
        <v>313</v>
      </c>
      <c r="BB586" t="s">
        <v>191</v>
      </c>
      <c r="BC586" t="s">
        <v>182</v>
      </c>
      <c r="BD586" t="s">
        <v>182</v>
      </c>
      <c r="BE586" t="s">
        <v>899</v>
      </c>
      <c r="BF586">
        <v>0</v>
      </c>
      <c r="BG586">
        <v>0</v>
      </c>
      <c r="BH586">
        <v>0</v>
      </c>
      <c r="BI586" t="s">
        <v>199</v>
      </c>
      <c r="BJ586" t="s">
        <v>248</v>
      </c>
      <c r="BL586" t="s">
        <v>196</v>
      </c>
      <c r="BM586" t="s">
        <v>207</v>
      </c>
      <c r="BN586" t="s">
        <v>182</v>
      </c>
      <c r="BO586" t="s">
        <v>198</v>
      </c>
      <c r="BP586" t="s">
        <v>198</v>
      </c>
      <c r="BQ586" t="s">
        <v>198</v>
      </c>
      <c r="BR586" t="s">
        <v>198</v>
      </c>
      <c r="BS586" t="s">
        <v>198</v>
      </c>
      <c r="BT586" t="s">
        <v>198</v>
      </c>
      <c r="BU586" t="s">
        <v>182</v>
      </c>
      <c r="BV586" t="s">
        <v>198</v>
      </c>
      <c r="BW586" t="s">
        <v>198</v>
      </c>
      <c r="BX586" t="s">
        <v>199</v>
      </c>
      <c r="BY586" t="s">
        <v>198</v>
      </c>
      <c r="BZ586" t="s">
        <v>199</v>
      </c>
      <c r="CA586" t="s">
        <v>199</v>
      </c>
      <c r="CB586" t="s">
        <v>8293</v>
      </c>
      <c r="CC586" t="s">
        <v>201</v>
      </c>
      <c r="CD586" t="s">
        <v>182</v>
      </c>
      <c r="CE586" t="s">
        <v>8294</v>
      </c>
      <c r="CF586" t="s">
        <v>204</v>
      </c>
      <c r="CG586" t="s">
        <v>177</v>
      </c>
      <c r="CH586" t="s">
        <v>187</v>
      </c>
      <c r="CI586" t="s">
        <v>1700</v>
      </c>
      <c r="CS586" t="s">
        <v>198</v>
      </c>
      <c r="DC586" t="s">
        <v>198</v>
      </c>
      <c r="DM586" t="s">
        <v>198</v>
      </c>
      <c r="DW586" t="s">
        <v>198</v>
      </c>
      <c r="EG586" t="s">
        <v>198</v>
      </c>
      <c r="EQ586" t="s">
        <v>198</v>
      </c>
      <c r="FA586" t="s">
        <v>198</v>
      </c>
      <c r="FK586" t="s">
        <v>198</v>
      </c>
      <c r="FU586" t="s">
        <v>198</v>
      </c>
    </row>
    <row r="587" spans="1:177">
      <c r="A587" s="1" t="str">
        <f>HYPERLINK("http://digipan.lumentumllc.com/apps/getLink/index.php?t=PropLink&amp;p=5247076","PL")</f>
        <v>PL</v>
      </c>
      <c r="B587" s="1" t="str">
        <f>HYPERLINK("http://digipan.lumentumllc.com/apps/getLink/index.php?t=TaxLink&amp;p=5247076","TL")</f>
        <v>TL</v>
      </c>
      <c r="C587" s="1" t="str">
        <f>HYPERLINK("http://digipan.lumentumllc.com/apps/getMap/index.php?p=5247076","Map")</f>
        <v>Map</v>
      </c>
      <c r="E587" t="s">
        <v>177</v>
      </c>
      <c r="F587" t="s">
        <v>178</v>
      </c>
      <c r="L587" t="s">
        <v>8295</v>
      </c>
      <c r="N587" t="s">
        <v>8295</v>
      </c>
      <c r="O587" t="s">
        <v>8295</v>
      </c>
      <c r="P587" t="s">
        <v>8296</v>
      </c>
      <c r="Q587" t="s">
        <v>8295</v>
      </c>
      <c r="V587">
        <v>675</v>
      </c>
      <c r="W587">
        <v>3</v>
      </c>
      <c r="X587">
        <v>2017</v>
      </c>
      <c r="Y587">
        <v>2018</v>
      </c>
      <c r="Z587">
        <v>1886.2</v>
      </c>
      <c r="AB587" t="s">
        <v>181</v>
      </c>
      <c r="AC587" t="s">
        <v>182</v>
      </c>
      <c r="AD587" t="s">
        <v>183</v>
      </c>
      <c r="AE587">
        <v>1</v>
      </c>
      <c r="AF587">
        <v>3</v>
      </c>
      <c r="AG587" t="s">
        <v>363</v>
      </c>
      <c r="AH587">
        <v>67</v>
      </c>
      <c r="AI587">
        <v>1907.16</v>
      </c>
      <c r="AJ587">
        <v>95.36</v>
      </c>
      <c r="AK587">
        <v>2002.52</v>
      </c>
      <c r="AL587">
        <v>113250</v>
      </c>
      <c r="AM587">
        <v>113250</v>
      </c>
      <c r="AN587">
        <v>0</v>
      </c>
      <c r="AO587">
        <v>1738</v>
      </c>
      <c r="AP587">
        <v>2016</v>
      </c>
      <c r="AQ587">
        <v>1.67</v>
      </c>
      <c r="AR587">
        <v>1.77</v>
      </c>
      <c r="AS587" t="s">
        <v>3209</v>
      </c>
      <c r="AT587" t="s">
        <v>186</v>
      </c>
      <c r="AU587" t="s">
        <v>177</v>
      </c>
      <c r="AV587" t="s">
        <v>187</v>
      </c>
      <c r="AW587" t="s">
        <v>182</v>
      </c>
      <c r="AX587">
        <v>0</v>
      </c>
      <c r="AY587" t="s">
        <v>312</v>
      </c>
      <c r="AZ587" t="s">
        <v>199</v>
      </c>
      <c r="BA587" t="s">
        <v>313</v>
      </c>
      <c r="BB587" t="s">
        <v>191</v>
      </c>
      <c r="BC587" t="s">
        <v>182</v>
      </c>
      <c r="BD587" t="s">
        <v>182</v>
      </c>
      <c r="BE587" t="s">
        <v>8297</v>
      </c>
      <c r="BF587">
        <v>0</v>
      </c>
      <c r="BG587">
        <v>0</v>
      </c>
      <c r="BH587">
        <v>0</v>
      </c>
      <c r="BI587" t="s">
        <v>199</v>
      </c>
      <c r="BJ587" t="s">
        <v>315</v>
      </c>
      <c r="BL587" t="s">
        <v>199</v>
      </c>
      <c r="BM587" t="s">
        <v>292</v>
      </c>
      <c r="BN587" t="s">
        <v>182</v>
      </c>
      <c r="BO587" t="s">
        <v>198</v>
      </c>
      <c r="BP587" t="s">
        <v>198</v>
      </c>
      <c r="BQ587" t="s">
        <v>198</v>
      </c>
      <c r="BR587" t="s">
        <v>198</v>
      </c>
      <c r="BS587" t="s">
        <v>198</v>
      </c>
      <c r="BT587" t="s">
        <v>198</v>
      </c>
      <c r="BU587" t="s">
        <v>182</v>
      </c>
      <c r="BV587" t="s">
        <v>198</v>
      </c>
      <c r="BW587" t="s">
        <v>198</v>
      </c>
      <c r="BX587" t="s">
        <v>199</v>
      </c>
      <c r="BY587" t="s">
        <v>198</v>
      </c>
      <c r="BZ587" t="s">
        <v>199</v>
      </c>
      <c r="CA587" t="s">
        <v>199</v>
      </c>
      <c r="CB587" t="s">
        <v>7672</v>
      </c>
      <c r="CC587" t="s">
        <v>201</v>
      </c>
      <c r="CD587" t="s">
        <v>182</v>
      </c>
      <c r="CE587" t="s">
        <v>7673</v>
      </c>
      <c r="CF587" t="s">
        <v>1029</v>
      </c>
      <c r="CG587" t="s">
        <v>177</v>
      </c>
      <c r="CH587" t="s">
        <v>1030</v>
      </c>
      <c r="CI587" t="s">
        <v>8298</v>
      </c>
      <c r="CJ587" t="s">
        <v>8208</v>
      </c>
      <c r="CK587" t="s">
        <v>232</v>
      </c>
      <c r="CL587" t="s">
        <v>233</v>
      </c>
      <c r="CM587" t="s">
        <v>8299</v>
      </c>
      <c r="CN587" t="s">
        <v>235</v>
      </c>
      <c r="CO587" t="s">
        <v>183</v>
      </c>
      <c r="CP587" t="s">
        <v>266</v>
      </c>
      <c r="CS587" t="s">
        <v>198</v>
      </c>
      <c r="CT587" t="s">
        <v>8300</v>
      </c>
      <c r="CU587" t="s">
        <v>238</v>
      </c>
      <c r="CV587" t="s">
        <v>239</v>
      </c>
      <c r="CW587" t="s">
        <v>8301</v>
      </c>
      <c r="CX587" t="s">
        <v>440</v>
      </c>
      <c r="CY587" t="s">
        <v>183</v>
      </c>
      <c r="CZ587" t="s">
        <v>211</v>
      </c>
      <c r="DA587" t="s">
        <v>339</v>
      </c>
      <c r="DC587" t="s">
        <v>3635</v>
      </c>
      <c r="DD587" t="s">
        <v>8302</v>
      </c>
      <c r="DE587" t="s">
        <v>346</v>
      </c>
      <c r="DF587" t="s">
        <v>347</v>
      </c>
      <c r="DG587" t="s">
        <v>8303</v>
      </c>
      <c r="DH587" t="s">
        <v>440</v>
      </c>
      <c r="DI587" t="s">
        <v>183</v>
      </c>
      <c r="DJ587" t="s">
        <v>211</v>
      </c>
      <c r="DK587" t="s">
        <v>493</v>
      </c>
      <c r="DM587" t="s">
        <v>3635</v>
      </c>
      <c r="DN587" t="s">
        <v>5641</v>
      </c>
      <c r="DO587" t="s">
        <v>207</v>
      </c>
      <c r="DP587" t="s">
        <v>208</v>
      </c>
      <c r="DQ587" t="s">
        <v>8304</v>
      </c>
      <c r="DR587" t="s">
        <v>576</v>
      </c>
      <c r="DS587" t="s">
        <v>183</v>
      </c>
      <c r="DT587" t="s">
        <v>211</v>
      </c>
      <c r="DU587" t="s">
        <v>523</v>
      </c>
      <c r="DW587" t="s">
        <v>7682</v>
      </c>
      <c r="EG587" t="s">
        <v>198</v>
      </c>
      <c r="EQ587" t="s">
        <v>198</v>
      </c>
      <c r="FA587" t="s">
        <v>198</v>
      </c>
      <c r="FK587" t="s">
        <v>198</v>
      </c>
      <c r="FU587" t="s">
        <v>198</v>
      </c>
    </row>
    <row r="588" spans="1:177">
      <c r="A588" s="1" t="str">
        <f>HYPERLINK("http://digipan.lumentumllc.com/apps/getLink/index.php?t=PropLink&amp;p=4638145","PL")</f>
        <v>PL</v>
      </c>
      <c r="B588" s="1" t="str">
        <f>HYPERLINK("http://digipan.lumentumllc.com/apps/getLink/index.php?t=TaxLink&amp;p=4638145","TL")</f>
        <v>TL</v>
      </c>
      <c r="C588" s="1" t="str">
        <f>HYPERLINK("http://digipan.lumentumllc.com/apps/getMap/index.php?p=4638145","Map")</f>
        <v>Map</v>
      </c>
      <c r="E588" t="s">
        <v>177</v>
      </c>
      <c r="F588" t="s">
        <v>178</v>
      </c>
      <c r="L588" t="s">
        <v>8305</v>
      </c>
      <c r="N588" t="s">
        <v>8305</v>
      </c>
      <c r="O588" t="s">
        <v>8305</v>
      </c>
      <c r="P588" t="s">
        <v>8306</v>
      </c>
      <c r="Q588" t="s">
        <v>8305</v>
      </c>
      <c r="V588">
        <v>676</v>
      </c>
      <c r="W588">
        <v>3</v>
      </c>
      <c r="X588">
        <v>2017</v>
      </c>
      <c r="Y588">
        <v>2018</v>
      </c>
      <c r="Z588">
        <v>689.72</v>
      </c>
      <c r="AB588" t="s">
        <v>181</v>
      </c>
      <c r="AC588" t="s">
        <v>182</v>
      </c>
      <c r="AD588" t="s">
        <v>183</v>
      </c>
      <c r="AE588">
        <v>1</v>
      </c>
      <c r="AF588">
        <v>4</v>
      </c>
      <c r="AG588" t="s">
        <v>951</v>
      </c>
      <c r="AH588">
        <v>80</v>
      </c>
      <c r="AI588">
        <v>674.04</v>
      </c>
      <c r="AJ588">
        <v>33.700000000000003</v>
      </c>
      <c r="AK588">
        <v>707.74</v>
      </c>
      <c r="AL588">
        <v>40172</v>
      </c>
      <c r="AM588">
        <v>24000</v>
      </c>
      <c r="AN588">
        <v>16172</v>
      </c>
      <c r="AO588">
        <v>598</v>
      </c>
      <c r="AP588">
        <v>2016</v>
      </c>
      <c r="AQ588">
        <v>1.72</v>
      </c>
      <c r="AR588">
        <v>1.76</v>
      </c>
      <c r="AS588" t="s">
        <v>8307</v>
      </c>
      <c r="AT588" t="s">
        <v>186</v>
      </c>
      <c r="AU588" t="s">
        <v>177</v>
      </c>
      <c r="AV588" t="s">
        <v>187</v>
      </c>
      <c r="AW588" t="s">
        <v>182</v>
      </c>
      <c r="AX588">
        <v>2</v>
      </c>
      <c r="AY588" t="s">
        <v>188</v>
      </c>
      <c r="AZ588" t="s">
        <v>189</v>
      </c>
      <c r="BA588" t="s">
        <v>190</v>
      </c>
      <c r="BB588" t="s">
        <v>191</v>
      </c>
      <c r="BC588" t="s">
        <v>182</v>
      </c>
      <c r="BD588" t="s">
        <v>182</v>
      </c>
      <c r="BE588" t="s">
        <v>365</v>
      </c>
      <c r="BF588">
        <v>1</v>
      </c>
      <c r="BG588">
        <v>1</v>
      </c>
      <c r="BH588">
        <v>1982</v>
      </c>
      <c r="BI588" t="s">
        <v>8038</v>
      </c>
      <c r="BJ588" t="s">
        <v>194</v>
      </c>
      <c r="BK588" t="s">
        <v>195</v>
      </c>
      <c r="BL588" t="s">
        <v>199</v>
      </c>
      <c r="BM588" t="s">
        <v>1825</v>
      </c>
      <c r="BN588" t="s">
        <v>182</v>
      </c>
      <c r="BO588" t="s">
        <v>8308</v>
      </c>
      <c r="BP588" t="s">
        <v>5560</v>
      </c>
      <c r="BS588" t="s">
        <v>8309</v>
      </c>
      <c r="BT588" t="s">
        <v>198</v>
      </c>
      <c r="BU588" t="s">
        <v>182</v>
      </c>
      <c r="BV588" t="s">
        <v>198</v>
      </c>
      <c r="BW588" t="s">
        <v>198</v>
      </c>
      <c r="BX588" t="s">
        <v>199</v>
      </c>
      <c r="BY588" t="s">
        <v>198</v>
      </c>
      <c r="BZ588" t="s">
        <v>199</v>
      </c>
      <c r="CA588" t="s">
        <v>199</v>
      </c>
      <c r="CB588" t="s">
        <v>8310</v>
      </c>
      <c r="CC588" t="s">
        <v>201</v>
      </c>
      <c r="CD588" t="s">
        <v>182</v>
      </c>
      <c r="CE588" t="s">
        <v>8311</v>
      </c>
      <c r="CF588" t="s">
        <v>204</v>
      </c>
      <c r="CG588" t="s">
        <v>177</v>
      </c>
      <c r="CH588" t="s">
        <v>187</v>
      </c>
      <c r="CI588" t="s">
        <v>1390</v>
      </c>
      <c r="CJ588" t="s">
        <v>5180</v>
      </c>
      <c r="CK588" t="s">
        <v>232</v>
      </c>
      <c r="CL588" t="s">
        <v>233</v>
      </c>
      <c r="CM588" t="s">
        <v>8312</v>
      </c>
      <c r="CN588" t="s">
        <v>235</v>
      </c>
      <c r="CO588" t="s">
        <v>183</v>
      </c>
      <c r="CP588" t="s">
        <v>266</v>
      </c>
      <c r="CS588" t="s">
        <v>198</v>
      </c>
      <c r="CT588" t="s">
        <v>7356</v>
      </c>
      <c r="CU588" t="s">
        <v>292</v>
      </c>
      <c r="CV588" t="s">
        <v>293</v>
      </c>
      <c r="CW588" t="s">
        <v>8313</v>
      </c>
      <c r="CX588" t="s">
        <v>235</v>
      </c>
      <c r="CY588" t="s">
        <v>183</v>
      </c>
      <c r="CZ588" t="s">
        <v>211</v>
      </c>
      <c r="DA588" t="s">
        <v>298</v>
      </c>
      <c r="DC588" t="s">
        <v>8314</v>
      </c>
      <c r="DD588" t="s">
        <v>5097</v>
      </c>
      <c r="DE588" t="s">
        <v>267</v>
      </c>
      <c r="DF588" t="s">
        <v>268</v>
      </c>
      <c r="DG588" t="s">
        <v>8315</v>
      </c>
      <c r="DH588" t="s">
        <v>235</v>
      </c>
      <c r="DI588" t="s">
        <v>183</v>
      </c>
      <c r="DJ588" t="s">
        <v>211</v>
      </c>
      <c r="DK588" t="s">
        <v>298</v>
      </c>
      <c r="DM588" t="s">
        <v>8316</v>
      </c>
      <c r="DN588" t="s">
        <v>5321</v>
      </c>
      <c r="DO588" t="s">
        <v>273</v>
      </c>
      <c r="DP588" t="s">
        <v>274</v>
      </c>
      <c r="DQ588" t="s">
        <v>8317</v>
      </c>
      <c r="DR588" t="s">
        <v>514</v>
      </c>
      <c r="DS588" t="s">
        <v>183</v>
      </c>
      <c r="DT588" t="s">
        <v>211</v>
      </c>
      <c r="DU588" t="s">
        <v>523</v>
      </c>
      <c r="DW588" t="s">
        <v>5197</v>
      </c>
      <c r="DX588" t="s">
        <v>8318</v>
      </c>
      <c r="DY588" t="s">
        <v>302</v>
      </c>
      <c r="DZ588" t="s">
        <v>303</v>
      </c>
      <c r="EA588" t="s">
        <v>8319</v>
      </c>
      <c r="EB588" t="s">
        <v>1586</v>
      </c>
      <c r="EC588" t="s">
        <v>183</v>
      </c>
      <c r="ED588" t="s">
        <v>211</v>
      </c>
      <c r="EE588" t="s">
        <v>298</v>
      </c>
      <c r="EG588" t="s">
        <v>8149</v>
      </c>
      <c r="EQ588" t="s">
        <v>198</v>
      </c>
      <c r="FA588" t="s">
        <v>198</v>
      </c>
      <c r="FK588" t="s">
        <v>198</v>
      </c>
      <c r="FU588" t="s">
        <v>198</v>
      </c>
    </row>
    <row r="589" spans="1:177">
      <c r="A589" s="1" t="str">
        <f>HYPERLINK("http://digipan.lumentumllc.com/apps/getLink/index.php?t=PropLink&amp;p=7112501","PL")</f>
        <v>PL</v>
      </c>
      <c r="B589" s="1" t="str">
        <f>HYPERLINK("http://digipan.lumentumllc.com/apps/getLink/index.php?t=TaxLink&amp;p=7112501","TL")</f>
        <v>TL</v>
      </c>
      <c r="C589" s="1" t="str">
        <f>HYPERLINK("http://digipan.lumentumllc.com/apps/getMap/index.php?p=7112501","Map")</f>
        <v>Map</v>
      </c>
      <c r="E589" t="s">
        <v>177</v>
      </c>
      <c r="F589" t="s">
        <v>178</v>
      </c>
      <c r="L589" t="s">
        <v>8320</v>
      </c>
      <c r="N589" t="s">
        <v>8320</v>
      </c>
      <c r="O589" t="s">
        <v>8320</v>
      </c>
      <c r="P589" t="s">
        <v>8321</v>
      </c>
      <c r="Q589" t="s">
        <v>8320</v>
      </c>
      <c r="V589">
        <v>677</v>
      </c>
      <c r="W589">
        <v>3</v>
      </c>
      <c r="X589">
        <v>2017</v>
      </c>
      <c r="Y589">
        <v>2018</v>
      </c>
      <c r="Z589">
        <v>887.97</v>
      </c>
      <c r="AB589" t="s">
        <v>181</v>
      </c>
      <c r="AC589" t="s">
        <v>182</v>
      </c>
      <c r="AD589" t="s">
        <v>183</v>
      </c>
      <c r="AE589">
        <v>0</v>
      </c>
      <c r="AF589">
        <v>1</v>
      </c>
      <c r="AG589" t="s">
        <v>821</v>
      </c>
      <c r="AH589">
        <v>100</v>
      </c>
      <c r="AK589">
        <v>0</v>
      </c>
      <c r="AL589">
        <v>52281</v>
      </c>
      <c r="AM589">
        <v>30000</v>
      </c>
      <c r="AN589">
        <v>22281</v>
      </c>
      <c r="AO589">
        <v>803</v>
      </c>
      <c r="AP589">
        <v>2016</v>
      </c>
      <c r="AQ589">
        <v>1.7</v>
      </c>
      <c r="AS589" t="s">
        <v>8322</v>
      </c>
      <c r="AT589" t="s">
        <v>186</v>
      </c>
      <c r="AU589" t="s">
        <v>177</v>
      </c>
      <c r="AV589" t="s">
        <v>187</v>
      </c>
      <c r="AW589" t="s">
        <v>182</v>
      </c>
      <c r="AX589">
        <v>1</v>
      </c>
      <c r="AY589" t="s">
        <v>188</v>
      </c>
      <c r="AZ589" t="s">
        <v>206</v>
      </c>
      <c r="BA589" t="s">
        <v>355</v>
      </c>
      <c r="BB589" t="s">
        <v>191</v>
      </c>
      <c r="BC589" t="s">
        <v>182</v>
      </c>
      <c r="BD589" t="s">
        <v>182</v>
      </c>
      <c r="BE589" t="s">
        <v>365</v>
      </c>
      <c r="BF589">
        <v>2</v>
      </c>
      <c r="BG589">
        <v>2</v>
      </c>
      <c r="BH589">
        <v>1956</v>
      </c>
      <c r="BI589" t="s">
        <v>8323</v>
      </c>
      <c r="BJ589" t="s">
        <v>315</v>
      </c>
      <c r="BK589" t="s">
        <v>840</v>
      </c>
      <c r="BL589" t="s">
        <v>1753</v>
      </c>
      <c r="BM589" t="s">
        <v>292</v>
      </c>
      <c r="BN589" t="s">
        <v>182</v>
      </c>
      <c r="BO589" t="s">
        <v>8324</v>
      </c>
      <c r="BP589" t="s">
        <v>8325</v>
      </c>
      <c r="BQ589" t="s">
        <v>904</v>
      </c>
      <c r="BR589" t="s">
        <v>563</v>
      </c>
      <c r="BS589" t="s">
        <v>198</v>
      </c>
      <c r="BT589" t="s">
        <v>8326</v>
      </c>
      <c r="BU589" t="s">
        <v>182</v>
      </c>
      <c r="BV589" t="s">
        <v>198</v>
      </c>
      <c r="BW589" t="s">
        <v>198</v>
      </c>
      <c r="BX589" t="s">
        <v>199</v>
      </c>
      <c r="BY589" t="s">
        <v>198</v>
      </c>
      <c r="BZ589" t="s">
        <v>199</v>
      </c>
      <c r="CA589" t="s">
        <v>199</v>
      </c>
      <c r="CB589" t="s">
        <v>8327</v>
      </c>
      <c r="CC589" t="s">
        <v>201</v>
      </c>
      <c r="CD589" t="s">
        <v>182</v>
      </c>
      <c r="CE589" t="s">
        <v>8328</v>
      </c>
      <c r="CF589" t="s">
        <v>8329</v>
      </c>
      <c r="CG589" t="s">
        <v>6753</v>
      </c>
      <c r="CH589" t="s">
        <v>8330</v>
      </c>
      <c r="CI589" t="s">
        <v>8331</v>
      </c>
      <c r="CJ589" t="s">
        <v>7373</v>
      </c>
      <c r="CK589" t="s">
        <v>292</v>
      </c>
      <c r="CL589" t="s">
        <v>293</v>
      </c>
      <c r="CM589" t="s">
        <v>8332</v>
      </c>
      <c r="CN589" t="s">
        <v>235</v>
      </c>
      <c r="CO589" t="s">
        <v>183</v>
      </c>
      <c r="CP589" t="s">
        <v>211</v>
      </c>
      <c r="CQ589" t="s">
        <v>264</v>
      </c>
      <c r="CS589" t="s">
        <v>3291</v>
      </c>
      <c r="DC589" t="s">
        <v>198</v>
      </c>
      <c r="DM589" t="s">
        <v>198</v>
      </c>
      <c r="DW589" t="s">
        <v>198</v>
      </c>
      <c r="EG589" t="s">
        <v>198</v>
      </c>
      <c r="EQ589" t="s">
        <v>198</v>
      </c>
      <c r="FA589" t="s">
        <v>198</v>
      </c>
      <c r="FK589" t="s">
        <v>198</v>
      </c>
      <c r="FU589" t="s">
        <v>198</v>
      </c>
    </row>
    <row r="590" spans="1:177">
      <c r="A590" s="1" t="str">
        <f>HYPERLINK("http://digipan.lumentumllc.com/apps/getLink/index.php?t=PropLink&amp;p=5247209","PL")</f>
        <v>PL</v>
      </c>
      <c r="B590" s="1" t="str">
        <f>HYPERLINK("http://digipan.lumentumllc.com/apps/getLink/index.php?t=TaxLink&amp;p=5247209","TL")</f>
        <v>TL</v>
      </c>
      <c r="C590" s="1" t="str">
        <f>HYPERLINK("http://digipan.lumentumllc.com/apps/getMap/index.php?p=5247209","Map")</f>
        <v>Map</v>
      </c>
      <c r="E590" t="s">
        <v>177</v>
      </c>
      <c r="F590" t="s">
        <v>178</v>
      </c>
      <c r="L590" t="s">
        <v>8333</v>
      </c>
      <c r="N590" t="s">
        <v>8333</v>
      </c>
      <c r="O590" t="s">
        <v>8333</v>
      </c>
      <c r="P590" t="s">
        <v>8334</v>
      </c>
      <c r="Q590" t="s">
        <v>8333</v>
      </c>
      <c r="V590">
        <v>678</v>
      </c>
      <c r="W590">
        <v>3</v>
      </c>
      <c r="X590">
        <v>2017</v>
      </c>
      <c r="Y590">
        <v>2018</v>
      </c>
      <c r="Z590">
        <v>66.39</v>
      </c>
      <c r="AB590" t="s">
        <v>181</v>
      </c>
      <c r="AC590" t="s">
        <v>182</v>
      </c>
      <c r="AD590" t="s">
        <v>183</v>
      </c>
      <c r="AE590">
        <v>0</v>
      </c>
      <c r="AF590">
        <v>4</v>
      </c>
      <c r="AG590" t="s">
        <v>744</v>
      </c>
      <c r="AH590">
        <v>100</v>
      </c>
      <c r="AK590">
        <v>0</v>
      </c>
      <c r="AL590">
        <v>2100</v>
      </c>
      <c r="AM590">
        <v>2100</v>
      </c>
      <c r="AN590">
        <v>0</v>
      </c>
      <c r="AO590">
        <v>26</v>
      </c>
      <c r="AP590">
        <v>2016</v>
      </c>
      <c r="AQ590">
        <v>3.16</v>
      </c>
      <c r="AS590" t="s">
        <v>8335</v>
      </c>
      <c r="AT590" t="s">
        <v>186</v>
      </c>
      <c r="AU590" t="s">
        <v>177</v>
      </c>
      <c r="AV590" t="s">
        <v>187</v>
      </c>
      <c r="AW590" t="s">
        <v>182</v>
      </c>
      <c r="AX590">
        <v>0</v>
      </c>
      <c r="AY590" t="s">
        <v>312</v>
      </c>
      <c r="AZ590" t="s">
        <v>199</v>
      </c>
      <c r="BA590" t="s">
        <v>313</v>
      </c>
      <c r="BB590" t="s">
        <v>191</v>
      </c>
      <c r="BC590" t="s">
        <v>182</v>
      </c>
      <c r="BD590" t="s">
        <v>182</v>
      </c>
      <c r="BE590" t="s">
        <v>5975</v>
      </c>
      <c r="BF590">
        <v>0</v>
      </c>
      <c r="BG590">
        <v>0</v>
      </c>
      <c r="BH590">
        <v>0</v>
      </c>
      <c r="BI590" t="s">
        <v>199</v>
      </c>
      <c r="BJ590" t="s">
        <v>315</v>
      </c>
      <c r="BL590" t="s">
        <v>199</v>
      </c>
      <c r="BM590" t="s">
        <v>232</v>
      </c>
      <c r="BN590" t="s">
        <v>182</v>
      </c>
      <c r="BO590" t="s">
        <v>4995</v>
      </c>
      <c r="BP590" t="s">
        <v>8336</v>
      </c>
      <c r="BQ590" t="s">
        <v>1426</v>
      </c>
      <c r="BR590" t="s">
        <v>8265</v>
      </c>
      <c r="BS590" t="s">
        <v>8337</v>
      </c>
      <c r="BT590" t="s">
        <v>198</v>
      </c>
      <c r="BU590" t="s">
        <v>182</v>
      </c>
      <c r="BV590" t="s">
        <v>198</v>
      </c>
      <c r="BW590" t="s">
        <v>198</v>
      </c>
      <c r="BX590" t="s">
        <v>199</v>
      </c>
      <c r="BY590" t="s">
        <v>198</v>
      </c>
      <c r="BZ590" t="s">
        <v>199</v>
      </c>
      <c r="CA590" t="s">
        <v>199</v>
      </c>
      <c r="CB590" t="s">
        <v>8338</v>
      </c>
      <c r="CC590" t="s">
        <v>1407</v>
      </c>
      <c r="CD590" t="s">
        <v>182</v>
      </c>
      <c r="CE590" t="s">
        <v>8339</v>
      </c>
      <c r="CF590" t="s">
        <v>8340</v>
      </c>
      <c r="CG590" t="s">
        <v>5520</v>
      </c>
      <c r="CH590" t="s">
        <v>8341</v>
      </c>
      <c r="CI590" t="s">
        <v>8342</v>
      </c>
      <c r="CJ590" t="s">
        <v>5221</v>
      </c>
      <c r="CK590" t="s">
        <v>267</v>
      </c>
      <c r="CL590" t="s">
        <v>268</v>
      </c>
      <c r="CM590" t="s">
        <v>8343</v>
      </c>
      <c r="CN590" t="s">
        <v>482</v>
      </c>
      <c r="CO590" t="s">
        <v>183</v>
      </c>
      <c r="CP590" t="s">
        <v>211</v>
      </c>
      <c r="CQ590" t="s">
        <v>342</v>
      </c>
      <c r="CS590" t="s">
        <v>5967</v>
      </c>
      <c r="CT590" t="s">
        <v>5532</v>
      </c>
      <c r="CU590" t="s">
        <v>302</v>
      </c>
      <c r="CV590" t="s">
        <v>303</v>
      </c>
      <c r="CW590" t="s">
        <v>8344</v>
      </c>
      <c r="CX590" t="s">
        <v>576</v>
      </c>
      <c r="CY590" t="s">
        <v>183</v>
      </c>
      <c r="CZ590" t="s">
        <v>211</v>
      </c>
      <c r="DA590" t="s">
        <v>199</v>
      </c>
      <c r="DC590" t="s">
        <v>8345</v>
      </c>
      <c r="DD590" t="s">
        <v>8346</v>
      </c>
      <c r="DE590" t="s">
        <v>238</v>
      </c>
      <c r="DF590" t="s">
        <v>239</v>
      </c>
      <c r="DG590" t="s">
        <v>8347</v>
      </c>
      <c r="DH590" t="s">
        <v>482</v>
      </c>
      <c r="DI590" t="s">
        <v>183</v>
      </c>
      <c r="DJ590" t="s">
        <v>211</v>
      </c>
      <c r="DK590" t="s">
        <v>427</v>
      </c>
      <c r="DM590" t="s">
        <v>8345</v>
      </c>
      <c r="DN590" t="s">
        <v>8348</v>
      </c>
      <c r="DO590" t="s">
        <v>346</v>
      </c>
      <c r="DP590" t="s">
        <v>347</v>
      </c>
      <c r="DQ590" t="s">
        <v>8349</v>
      </c>
      <c r="DR590" t="s">
        <v>341</v>
      </c>
      <c r="DS590" t="s">
        <v>183</v>
      </c>
      <c r="DT590" t="s">
        <v>211</v>
      </c>
      <c r="DU590" t="s">
        <v>633</v>
      </c>
      <c r="DW590" t="s">
        <v>8345</v>
      </c>
      <c r="EG590" t="s">
        <v>198</v>
      </c>
      <c r="EQ590" t="s">
        <v>198</v>
      </c>
      <c r="FA590" t="s">
        <v>198</v>
      </c>
      <c r="FK590" t="s">
        <v>198</v>
      </c>
      <c r="FU590" t="s">
        <v>198</v>
      </c>
    </row>
    <row r="591" spans="1:177">
      <c r="A591" s="1" t="str">
        <f>HYPERLINK("http://digipan.lumentumllc.com/apps/getLink/index.php?t=PropLink&amp;p=6462009","PL")</f>
        <v>PL</v>
      </c>
      <c r="B591" s="1" t="str">
        <f>HYPERLINK("http://digipan.lumentumllc.com/apps/getLink/index.php?t=TaxLink&amp;p=6462009","TL")</f>
        <v>TL</v>
      </c>
      <c r="C591" s="1" t="str">
        <f>HYPERLINK("http://digipan.lumentumllc.com/apps/getMap/index.php?p=6462009","Map")</f>
        <v>Map</v>
      </c>
      <c r="E591" t="s">
        <v>177</v>
      </c>
      <c r="F591" t="s">
        <v>178</v>
      </c>
      <c r="L591" t="s">
        <v>8350</v>
      </c>
      <c r="N591" t="s">
        <v>8350</v>
      </c>
      <c r="O591" t="s">
        <v>8350</v>
      </c>
      <c r="P591" t="s">
        <v>8351</v>
      </c>
      <c r="Q591" t="s">
        <v>8350</v>
      </c>
      <c r="V591">
        <v>679</v>
      </c>
      <c r="W591">
        <v>3</v>
      </c>
      <c r="X591">
        <v>2017</v>
      </c>
      <c r="Y591">
        <v>2018</v>
      </c>
      <c r="Z591">
        <v>1669.8</v>
      </c>
      <c r="AB591" t="s">
        <v>181</v>
      </c>
      <c r="AC591" t="s">
        <v>182</v>
      </c>
      <c r="AD591" t="s">
        <v>183</v>
      </c>
      <c r="AE591">
        <v>1</v>
      </c>
      <c r="AF591">
        <v>2</v>
      </c>
      <c r="AG591" t="s">
        <v>363</v>
      </c>
      <c r="AH591">
        <v>67</v>
      </c>
      <c r="AI591">
        <v>1571.11</v>
      </c>
      <c r="AJ591">
        <v>78.56</v>
      </c>
      <c r="AK591">
        <v>1649.67</v>
      </c>
      <c r="AL591">
        <v>100033</v>
      </c>
      <c r="AM591">
        <v>44640</v>
      </c>
      <c r="AN591">
        <v>55393</v>
      </c>
      <c r="AO591">
        <v>1428</v>
      </c>
      <c r="AP591">
        <v>2016</v>
      </c>
      <c r="AQ591">
        <v>1.67</v>
      </c>
      <c r="AR591">
        <v>1.65</v>
      </c>
      <c r="AS591" t="s">
        <v>8352</v>
      </c>
      <c r="AT591" t="s">
        <v>186</v>
      </c>
      <c r="AU591" t="s">
        <v>177</v>
      </c>
      <c r="AV591" t="s">
        <v>187</v>
      </c>
      <c r="AW591" t="s">
        <v>182</v>
      </c>
      <c r="AX591">
        <v>2</v>
      </c>
      <c r="AY591" t="s">
        <v>188</v>
      </c>
      <c r="AZ591" t="s">
        <v>189</v>
      </c>
      <c r="BA591" t="s">
        <v>190</v>
      </c>
      <c r="BB591" t="s">
        <v>191</v>
      </c>
      <c r="BC591" t="s">
        <v>182</v>
      </c>
      <c r="BD591" t="s">
        <v>182</v>
      </c>
      <c r="BE591" t="s">
        <v>8353</v>
      </c>
      <c r="BF591">
        <v>1</v>
      </c>
      <c r="BG591">
        <v>1</v>
      </c>
      <c r="BH591">
        <v>2000</v>
      </c>
      <c r="BI591" t="s">
        <v>4667</v>
      </c>
      <c r="BJ591" t="s">
        <v>194</v>
      </c>
      <c r="BK591" t="s">
        <v>195</v>
      </c>
      <c r="BL591" t="s">
        <v>4210</v>
      </c>
      <c r="BM591" t="s">
        <v>232</v>
      </c>
      <c r="BN591" t="s">
        <v>182</v>
      </c>
      <c r="BO591" t="s">
        <v>8354</v>
      </c>
      <c r="BP591" t="s">
        <v>8355</v>
      </c>
      <c r="BQ591" t="s">
        <v>904</v>
      </c>
      <c r="BR591" t="s">
        <v>643</v>
      </c>
      <c r="BS591" t="s">
        <v>198</v>
      </c>
      <c r="BT591" t="s">
        <v>8356</v>
      </c>
      <c r="BU591" t="s">
        <v>182</v>
      </c>
      <c r="BV591" t="s">
        <v>198</v>
      </c>
      <c r="BW591" t="s">
        <v>198</v>
      </c>
      <c r="BX591" t="s">
        <v>199</v>
      </c>
      <c r="BY591" t="s">
        <v>198</v>
      </c>
      <c r="BZ591" t="s">
        <v>199</v>
      </c>
      <c r="CA591" t="s">
        <v>199</v>
      </c>
      <c r="CB591" t="s">
        <v>8357</v>
      </c>
      <c r="CC591" t="s">
        <v>201</v>
      </c>
      <c r="CD591" t="s">
        <v>182</v>
      </c>
      <c r="CE591" t="s">
        <v>8358</v>
      </c>
      <c r="CF591" t="s">
        <v>204</v>
      </c>
      <c r="CG591" t="s">
        <v>177</v>
      </c>
      <c r="CH591" t="s">
        <v>187</v>
      </c>
      <c r="CI591" t="s">
        <v>8359</v>
      </c>
      <c r="CJ591" t="s">
        <v>7479</v>
      </c>
      <c r="CK591" t="s">
        <v>232</v>
      </c>
      <c r="CL591" t="s">
        <v>233</v>
      </c>
      <c r="CM591" t="s">
        <v>8360</v>
      </c>
      <c r="CN591" t="s">
        <v>235</v>
      </c>
      <c r="CO591" t="s">
        <v>183</v>
      </c>
      <c r="CP591" t="s">
        <v>266</v>
      </c>
      <c r="CS591" t="s">
        <v>198</v>
      </c>
      <c r="CT591" t="s">
        <v>5204</v>
      </c>
      <c r="CU591" t="s">
        <v>273</v>
      </c>
      <c r="CV591" t="s">
        <v>274</v>
      </c>
      <c r="CW591" t="s">
        <v>8361</v>
      </c>
      <c r="CX591" t="s">
        <v>235</v>
      </c>
      <c r="CY591" t="s">
        <v>183</v>
      </c>
      <c r="CZ591" t="s">
        <v>211</v>
      </c>
      <c r="DA591" t="s">
        <v>296</v>
      </c>
      <c r="DC591" t="s">
        <v>8362</v>
      </c>
      <c r="DD591" t="s">
        <v>8363</v>
      </c>
      <c r="DE591" t="s">
        <v>302</v>
      </c>
      <c r="DF591" t="s">
        <v>303</v>
      </c>
      <c r="DG591" t="s">
        <v>8364</v>
      </c>
      <c r="DH591" t="s">
        <v>235</v>
      </c>
      <c r="DI591" t="s">
        <v>183</v>
      </c>
      <c r="DJ591" t="s">
        <v>211</v>
      </c>
      <c r="DK591" t="s">
        <v>206</v>
      </c>
      <c r="DM591" t="s">
        <v>8365</v>
      </c>
      <c r="DW591" t="s">
        <v>198</v>
      </c>
      <c r="EG591" t="s">
        <v>198</v>
      </c>
      <c r="EQ591" t="s">
        <v>198</v>
      </c>
      <c r="FA591" t="s">
        <v>198</v>
      </c>
      <c r="FK591" t="s">
        <v>198</v>
      </c>
      <c r="FU591" t="s">
        <v>198</v>
      </c>
    </row>
    <row r="592" spans="1:177">
      <c r="A592" s="1" t="str">
        <f>HYPERLINK("http://digipan.lumentumllc.com/apps/getLink/index.php?t=PropLink&amp;p=5247212","PL")</f>
        <v>PL</v>
      </c>
      <c r="B592" s="1" t="str">
        <f>HYPERLINK("http://digipan.lumentumllc.com/apps/getLink/index.php?t=TaxLink&amp;p=5247212","TL")</f>
        <v>TL</v>
      </c>
      <c r="C592" s="1" t="str">
        <f>HYPERLINK("http://digipan.lumentumllc.com/apps/getMap/index.php?p=5247212","Map")</f>
        <v>Map</v>
      </c>
      <c r="E592" t="s">
        <v>177</v>
      </c>
      <c r="F592" t="s">
        <v>178</v>
      </c>
      <c r="L592" t="s">
        <v>8366</v>
      </c>
      <c r="N592" t="s">
        <v>8366</v>
      </c>
      <c r="O592" t="s">
        <v>8366</v>
      </c>
      <c r="P592" t="s">
        <v>8367</v>
      </c>
      <c r="Q592" t="s">
        <v>8366</v>
      </c>
      <c r="V592">
        <v>680</v>
      </c>
      <c r="W592">
        <v>3</v>
      </c>
      <c r="X592">
        <v>2017</v>
      </c>
      <c r="Y592">
        <v>2018</v>
      </c>
      <c r="Z592">
        <v>107.04</v>
      </c>
      <c r="AB592" t="s">
        <v>181</v>
      </c>
      <c r="AC592" t="s">
        <v>182</v>
      </c>
      <c r="AD592" t="s">
        <v>1037</v>
      </c>
      <c r="AE592">
        <v>3</v>
      </c>
      <c r="AF592">
        <v>4</v>
      </c>
      <c r="AG592" t="s">
        <v>3859</v>
      </c>
      <c r="AH592">
        <v>50</v>
      </c>
      <c r="AI592">
        <v>274.27</v>
      </c>
      <c r="AJ592">
        <v>95.83</v>
      </c>
      <c r="AK592">
        <v>370.1</v>
      </c>
      <c r="AL592">
        <v>64130</v>
      </c>
      <c r="AM592">
        <v>4583</v>
      </c>
      <c r="AN592">
        <v>59547</v>
      </c>
      <c r="AO592">
        <v>65</v>
      </c>
      <c r="AP592">
        <v>2016</v>
      </c>
      <c r="AQ592">
        <v>0.17</v>
      </c>
      <c r="AR592">
        <v>0.57999999999999996</v>
      </c>
      <c r="AS592" t="s">
        <v>8368</v>
      </c>
      <c r="AT592" t="s">
        <v>186</v>
      </c>
      <c r="AU592" t="s">
        <v>177</v>
      </c>
      <c r="AV592" t="s">
        <v>187</v>
      </c>
      <c r="AW592" t="s">
        <v>182</v>
      </c>
      <c r="AX592">
        <v>55</v>
      </c>
      <c r="AY592" t="s">
        <v>218</v>
      </c>
      <c r="AZ592" t="s">
        <v>1682</v>
      </c>
      <c r="BA592" t="s">
        <v>1683</v>
      </c>
      <c r="BB592" t="s">
        <v>191</v>
      </c>
      <c r="BC592" t="s">
        <v>182</v>
      </c>
      <c r="BD592" t="s">
        <v>182</v>
      </c>
      <c r="BE592" t="s">
        <v>8369</v>
      </c>
      <c r="BF592">
        <v>0</v>
      </c>
      <c r="BG592">
        <v>0</v>
      </c>
      <c r="BH592">
        <v>0</v>
      </c>
      <c r="BI592" t="s">
        <v>199</v>
      </c>
      <c r="BJ592" t="s">
        <v>315</v>
      </c>
      <c r="BL592" t="s">
        <v>199</v>
      </c>
      <c r="BM592" t="s">
        <v>267</v>
      </c>
      <c r="BN592" t="s">
        <v>182</v>
      </c>
      <c r="BO592" t="s">
        <v>198</v>
      </c>
      <c r="BP592" t="s">
        <v>198</v>
      </c>
      <c r="BQ592" t="s">
        <v>198</v>
      </c>
      <c r="BR592" t="s">
        <v>198</v>
      </c>
      <c r="BS592" t="s">
        <v>198</v>
      </c>
      <c r="BT592" t="s">
        <v>198</v>
      </c>
      <c r="BU592" t="s">
        <v>182</v>
      </c>
      <c r="BV592" t="s">
        <v>198</v>
      </c>
      <c r="BW592" t="s">
        <v>198</v>
      </c>
      <c r="BX592" t="s">
        <v>199</v>
      </c>
      <c r="BY592" t="s">
        <v>198</v>
      </c>
      <c r="BZ592" t="s">
        <v>199</v>
      </c>
      <c r="CA592" t="s">
        <v>199</v>
      </c>
      <c r="CB592" t="s">
        <v>8370</v>
      </c>
      <c r="CC592" t="s">
        <v>201</v>
      </c>
      <c r="CD592" t="s">
        <v>182</v>
      </c>
      <c r="CE592" t="s">
        <v>8371</v>
      </c>
      <c r="CF592" t="s">
        <v>204</v>
      </c>
      <c r="CG592" t="s">
        <v>177</v>
      </c>
      <c r="CH592" t="s">
        <v>187</v>
      </c>
      <c r="CI592" t="s">
        <v>8372</v>
      </c>
      <c r="CJ592" t="s">
        <v>7525</v>
      </c>
      <c r="CK592" t="s">
        <v>232</v>
      </c>
      <c r="CL592" t="s">
        <v>233</v>
      </c>
      <c r="CM592" t="s">
        <v>8373</v>
      </c>
      <c r="CN592" t="s">
        <v>1615</v>
      </c>
      <c r="CO592" t="s">
        <v>183</v>
      </c>
      <c r="CP592" t="s">
        <v>266</v>
      </c>
      <c r="CS592" t="s">
        <v>198</v>
      </c>
      <c r="CT592" t="s">
        <v>7391</v>
      </c>
      <c r="CU592" t="s">
        <v>292</v>
      </c>
      <c r="CV592" t="s">
        <v>293</v>
      </c>
      <c r="CW592" t="s">
        <v>8374</v>
      </c>
      <c r="CX592" t="s">
        <v>482</v>
      </c>
      <c r="CY592" t="s">
        <v>183</v>
      </c>
      <c r="CZ592" t="s">
        <v>266</v>
      </c>
      <c r="DC592" t="s">
        <v>198</v>
      </c>
      <c r="DD592" t="s">
        <v>8375</v>
      </c>
      <c r="DE592" t="s">
        <v>267</v>
      </c>
      <c r="DF592" t="s">
        <v>268</v>
      </c>
      <c r="DG592" t="s">
        <v>8376</v>
      </c>
      <c r="DH592" t="s">
        <v>482</v>
      </c>
      <c r="DI592" t="s">
        <v>183</v>
      </c>
      <c r="DJ592" t="s">
        <v>266</v>
      </c>
      <c r="DM592" t="s">
        <v>198</v>
      </c>
      <c r="DN592" t="s">
        <v>7933</v>
      </c>
      <c r="DO592" t="s">
        <v>273</v>
      </c>
      <c r="DP592" t="s">
        <v>274</v>
      </c>
      <c r="DQ592" t="s">
        <v>8377</v>
      </c>
      <c r="DR592" t="s">
        <v>482</v>
      </c>
      <c r="DS592" t="s">
        <v>5</v>
      </c>
      <c r="DT592" t="s">
        <v>211</v>
      </c>
      <c r="DU592" t="s">
        <v>206</v>
      </c>
      <c r="DW592" t="s">
        <v>8378</v>
      </c>
      <c r="DX592" t="s">
        <v>8379</v>
      </c>
      <c r="DY592" t="s">
        <v>302</v>
      </c>
      <c r="DZ592" t="s">
        <v>303</v>
      </c>
      <c r="EA592" t="s">
        <v>8380</v>
      </c>
      <c r="EB592" t="s">
        <v>576</v>
      </c>
      <c r="EC592" t="s">
        <v>183</v>
      </c>
      <c r="ED592" t="s">
        <v>211</v>
      </c>
      <c r="EE592" t="s">
        <v>306</v>
      </c>
      <c r="EG592" t="s">
        <v>8378</v>
      </c>
      <c r="EH592" t="s">
        <v>8381</v>
      </c>
      <c r="EI592" t="s">
        <v>346</v>
      </c>
      <c r="EJ592" t="s">
        <v>347</v>
      </c>
      <c r="EK592" t="s">
        <v>6438</v>
      </c>
      <c r="EL592" t="s">
        <v>402</v>
      </c>
      <c r="EM592" t="s">
        <v>183</v>
      </c>
      <c r="EN592" t="s">
        <v>211</v>
      </c>
      <c r="EO592" t="s">
        <v>329</v>
      </c>
      <c r="EQ592" t="s">
        <v>474</v>
      </c>
      <c r="ER592" t="s">
        <v>5711</v>
      </c>
      <c r="ES592" t="s">
        <v>207</v>
      </c>
      <c r="ET592" t="s">
        <v>208</v>
      </c>
      <c r="EU592" t="s">
        <v>8382</v>
      </c>
      <c r="EV592" t="s">
        <v>796</v>
      </c>
      <c r="EW592" t="s">
        <v>183</v>
      </c>
      <c r="EX592" t="s">
        <v>211</v>
      </c>
      <c r="EY592" t="s">
        <v>298</v>
      </c>
      <c r="FA592" t="s">
        <v>2927</v>
      </c>
      <c r="FK592" t="s">
        <v>198</v>
      </c>
      <c r="FU592" t="s">
        <v>198</v>
      </c>
    </row>
    <row r="593" spans="1:177">
      <c r="A593" s="1" t="str">
        <f>HYPERLINK("http://digipan.lumentumllc.com/apps/getLink/index.php?t=PropLink&amp;p=5246785","PL")</f>
        <v>PL</v>
      </c>
      <c r="B593" s="1" t="str">
        <f>HYPERLINK("http://digipan.lumentumllc.com/apps/getLink/index.php?t=TaxLink&amp;p=5246785","TL")</f>
        <v>TL</v>
      </c>
      <c r="C593" s="1" t="str">
        <f>HYPERLINK("http://digipan.lumentumllc.com/apps/getMap/index.php?p=5246785","Map")</f>
        <v>Map</v>
      </c>
      <c r="E593" t="s">
        <v>177</v>
      </c>
      <c r="F593" t="s">
        <v>178</v>
      </c>
      <c r="L593" t="s">
        <v>8383</v>
      </c>
      <c r="N593" t="s">
        <v>8383</v>
      </c>
      <c r="O593" t="s">
        <v>8383</v>
      </c>
      <c r="P593" t="s">
        <v>8384</v>
      </c>
      <c r="Q593" t="s">
        <v>8383</v>
      </c>
      <c r="V593">
        <v>682</v>
      </c>
      <c r="W593">
        <v>3</v>
      </c>
      <c r="X593">
        <v>2017</v>
      </c>
      <c r="Y593">
        <v>2018</v>
      </c>
      <c r="Z593">
        <v>1068.5999999999999</v>
      </c>
      <c r="AB593" t="s">
        <v>181</v>
      </c>
      <c r="AC593" t="s">
        <v>182</v>
      </c>
      <c r="AD593" t="s">
        <v>183</v>
      </c>
      <c r="AE593">
        <v>1</v>
      </c>
      <c r="AF593">
        <v>7</v>
      </c>
      <c r="AG593" t="s">
        <v>418</v>
      </c>
      <c r="AH593">
        <v>86</v>
      </c>
      <c r="AI593">
        <v>1014.4</v>
      </c>
      <c r="AJ593">
        <v>50.72</v>
      </c>
      <c r="AK593">
        <v>1065.1199999999999</v>
      </c>
      <c r="AL593">
        <v>63313</v>
      </c>
      <c r="AM593">
        <v>45360</v>
      </c>
      <c r="AN593">
        <v>17953</v>
      </c>
      <c r="AO593">
        <v>913</v>
      </c>
      <c r="AP593">
        <v>2016</v>
      </c>
      <c r="AQ593">
        <v>1.69</v>
      </c>
      <c r="AR593">
        <v>1.68</v>
      </c>
      <c r="AS593" t="s">
        <v>8385</v>
      </c>
      <c r="AT593" t="s">
        <v>186</v>
      </c>
      <c r="AU593" t="s">
        <v>177</v>
      </c>
      <c r="AV593" t="s">
        <v>187</v>
      </c>
      <c r="AW593" t="s">
        <v>182</v>
      </c>
      <c r="AX593">
        <v>0</v>
      </c>
      <c r="AY593" t="s">
        <v>312</v>
      </c>
      <c r="AZ593" t="s">
        <v>199</v>
      </c>
      <c r="BA593" t="s">
        <v>313</v>
      </c>
      <c r="BB593" t="s">
        <v>191</v>
      </c>
      <c r="BC593" t="s">
        <v>182</v>
      </c>
      <c r="BD593" t="s">
        <v>182</v>
      </c>
      <c r="BE593" t="s">
        <v>8386</v>
      </c>
      <c r="BF593">
        <v>0</v>
      </c>
      <c r="BG593">
        <v>0</v>
      </c>
      <c r="BH593">
        <v>0</v>
      </c>
      <c r="BI593" t="s">
        <v>199</v>
      </c>
      <c r="BJ593" t="s">
        <v>248</v>
      </c>
      <c r="BL593" t="s">
        <v>8387</v>
      </c>
      <c r="BM593" t="s">
        <v>286</v>
      </c>
      <c r="BN593" t="s">
        <v>182</v>
      </c>
      <c r="BO593" t="s">
        <v>198</v>
      </c>
      <c r="BP593" t="s">
        <v>198</v>
      </c>
      <c r="BQ593" t="s">
        <v>198</v>
      </c>
      <c r="BR593" t="s">
        <v>198</v>
      </c>
      <c r="BS593" t="s">
        <v>198</v>
      </c>
      <c r="BT593" t="s">
        <v>198</v>
      </c>
      <c r="BU593" t="s">
        <v>182</v>
      </c>
      <c r="BV593" t="s">
        <v>198</v>
      </c>
      <c r="BW593" t="s">
        <v>198</v>
      </c>
      <c r="BX593" t="s">
        <v>199</v>
      </c>
      <c r="BY593" t="s">
        <v>198</v>
      </c>
      <c r="BZ593" t="s">
        <v>199</v>
      </c>
      <c r="CA593" t="s">
        <v>199</v>
      </c>
      <c r="CB593" t="s">
        <v>8388</v>
      </c>
      <c r="CC593" t="s">
        <v>201</v>
      </c>
      <c r="CD593" t="s">
        <v>182</v>
      </c>
      <c r="CE593" t="s">
        <v>8389</v>
      </c>
      <c r="CF593" t="s">
        <v>413</v>
      </c>
      <c r="CG593" t="s">
        <v>177</v>
      </c>
      <c r="CH593" t="s">
        <v>732</v>
      </c>
      <c r="CI593" t="s">
        <v>8390</v>
      </c>
      <c r="CJ593" t="s">
        <v>5097</v>
      </c>
      <c r="CK593" t="s">
        <v>232</v>
      </c>
      <c r="CL593" t="s">
        <v>233</v>
      </c>
      <c r="CM593" t="s">
        <v>8391</v>
      </c>
      <c r="CN593" t="s">
        <v>235</v>
      </c>
      <c r="CO593" t="s">
        <v>183</v>
      </c>
      <c r="CP593" t="s">
        <v>266</v>
      </c>
      <c r="CS593" t="s">
        <v>198</v>
      </c>
      <c r="CT593" t="s">
        <v>8392</v>
      </c>
      <c r="CU593" t="s">
        <v>292</v>
      </c>
      <c r="CV593" t="s">
        <v>293</v>
      </c>
      <c r="CW593" t="s">
        <v>8393</v>
      </c>
      <c r="CX593" t="s">
        <v>331</v>
      </c>
      <c r="CY593" t="s">
        <v>183</v>
      </c>
      <c r="CZ593" t="s">
        <v>211</v>
      </c>
      <c r="DA593" t="s">
        <v>298</v>
      </c>
      <c r="DC593" t="s">
        <v>4023</v>
      </c>
      <c r="DD593" t="s">
        <v>8187</v>
      </c>
      <c r="DE593" t="s">
        <v>267</v>
      </c>
      <c r="DF593" t="s">
        <v>268</v>
      </c>
      <c r="DG593" t="s">
        <v>8394</v>
      </c>
      <c r="DH593" t="s">
        <v>1966</v>
      </c>
      <c r="DI593" t="s">
        <v>183</v>
      </c>
      <c r="DJ593" t="s">
        <v>211</v>
      </c>
      <c r="DK593" t="s">
        <v>345</v>
      </c>
      <c r="DM593" t="s">
        <v>8069</v>
      </c>
      <c r="DN593" t="s">
        <v>8008</v>
      </c>
      <c r="DO593" t="s">
        <v>273</v>
      </c>
      <c r="DP593" t="s">
        <v>274</v>
      </c>
      <c r="DQ593" t="s">
        <v>8395</v>
      </c>
      <c r="DR593" t="s">
        <v>833</v>
      </c>
      <c r="DS593" t="s">
        <v>183</v>
      </c>
      <c r="DT593" t="s">
        <v>211</v>
      </c>
      <c r="DU593" t="s">
        <v>865</v>
      </c>
      <c r="DW593" t="s">
        <v>8069</v>
      </c>
      <c r="DX593" t="s">
        <v>5684</v>
      </c>
      <c r="DY593" t="s">
        <v>302</v>
      </c>
      <c r="DZ593" t="s">
        <v>303</v>
      </c>
      <c r="EA593" t="s">
        <v>8396</v>
      </c>
      <c r="EB593" t="s">
        <v>305</v>
      </c>
      <c r="EC593" t="s">
        <v>183</v>
      </c>
      <c r="ED593" t="s">
        <v>211</v>
      </c>
      <c r="EE593" t="s">
        <v>298</v>
      </c>
      <c r="EG593" t="s">
        <v>464</v>
      </c>
      <c r="EH593" t="s">
        <v>5146</v>
      </c>
      <c r="EI593" t="s">
        <v>238</v>
      </c>
      <c r="EJ593" t="s">
        <v>239</v>
      </c>
      <c r="EK593" t="s">
        <v>8397</v>
      </c>
      <c r="EL593" t="s">
        <v>440</v>
      </c>
      <c r="EM593" t="s">
        <v>183</v>
      </c>
      <c r="EN593" t="s">
        <v>211</v>
      </c>
      <c r="EO593" t="s">
        <v>345</v>
      </c>
      <c r="EQ593" t="s">
        <v>3388</v>
      </c>
      <c r="ER593" t="s">
        <v>8398</v>
      </c>
      <c r="ES593" t="s">
        <v>346</v>
      </c>
      <c r="ET593" t="s">
        <v>347</v>
      </c>
      <c r="EU593" t="s">
        <v>8399</v>
      </c>
      <c r="EV593" t="s">
        <v>235</v>
      </c>
      <c r="EW593" t="s">
        <v>183</v>
      </c>
      <c r="EX593" t="s">
        <v>211</v>
      </c>
      <c r="EY593" t="s">
        <v>865</v>
      </c>
      <c r="FA593" t="s">
        <v>3388</v>
      </c>
      <c r="FB593" t="s">
        <v>8111</v>
      </c>
      <c r="FC593" t="s">
        <v>207</v>
      </c>
      <c r="FD593" t="s">
        <v>208</v>
      </c>
      <c r="FE593" t="s">
        <v>8400</v>
      </c>
      <c r="FF593" t="s">
        <v>469</v>
      </c>
      <c r="FG593" t="s">
        <v>183</v>
      </c>
      <c r="FH593" t="s">
        <v>211</v>
      </c>
      <c r="FI593" t="s">
        <v>306</v>
      </c>
      <c r="FK593" t="s">
        <v>8401</v>
      </c>
      <c r="FU593" t="s">
        <v>198</v>
      </c>
    </row>
    <row r="594" spans="1:177">
      <c r="A594" s="1" t="str">
        <f>HYPERLINK("http://digipan.lumentumllc.com/apps/getLink/index.php?t=PropLink&amp;p=5244916","PL")</f>
        <v>PL</v>
      </c>
      <c r="B594" s="1" t="str">
        <f>HYPERLINK("http://digipan.lumentumllc.com/apps/getLink/index.php?t=TaxLink&amp;p=5244916","TL")</f>
        <v>TL</v>
      </c>
      <c r="C594" s="1" t="str">
        <f>HYPERLINK("http://digipan.lumentumllc.com/apps/getMap/index.php?p=5244916","Map")</f>
        <v>Map</v>
      </c>
      <c r="E594" t="s">
        <v>177</v>
      </c>
      <c r="F594" t="s">
        <v>178</v>
      </c>
      <c r="L594" t="s">
        <v>8402</v>
      </c>
      <c r="N594" t="s">
        <v>8402</v>
      </c>
      <c r="O594" t="s">
        <v>8402</v>
      </c>
      <c r="P594" t="s">
        <v>8403</v>
      </c>
      <c r="Q594" t="s">
        <v>8402</v>
      </c>
      <c r="V594">
        <v>683</v>
      </c>
      <c r="W594">
        <v>3</v>
      </c>
      <c r="X594">
        <v>2017</v>
      </c>
      <c r="Y594">
        <v>2018</v>
      </c>
      <c r="Z594">
        <v>715.01</v>
      </c>
      <c r="AB594" t="s">
        <v>181</v>
      </c>
      <c r="AC594" t="s">
        <v>182</v>
      </c>
      <c r="AD594" t="s">
        <v>183</v>
      </c>
      <c r="AE594">
        <v>0</v>
      </c>
      <c r="AF594">
        <v>6</v>
      </c>
      <c r="AG594" t="s">
        <v>3266</v>
      </c>
      <c r="AH594">
        <v>100</v>
      </c>
      <c r="AK594">
        <v>0</v>
      </c>
      <c r="AL594">
        <v>48255</v>
      </c>
      <c r="AM594">
        <v>15000</v>
      </c>
      <c r="AN594">
        <v>33255</v>
      </c>
      <c r="AO594">
        <v>512</v>
      </c>
      <c r="AP594">
        <v>2016</v>
      </c>
      <c r="AQ594">
        <v>1.48</v>
      </c>
      <c r="AS594" t="s">
        <v>8404</v>
      </c>
      <c r="AT594" t="s">
        <v>3747</v>
      </c>
      <c r="AU594" t="s">
        <v>177</v>
      </c>
      <c r="AV594" t="s">
        <v>1030</v>
      </c>
      <c r="AW594" t="s">
        <v>182</v>
      </c>
      <c r="AX594">
        <v>2</v>
      </c>
      <c r="AY594" t="s">
        <v>188</v>
      </c>
      <c r="AZ594" t="s">
        <v>189</v>
      </c>
      <c r="BA594" t="s">
        <v>190</v>
      </c>
      <c r="BB594" t="s">
        <v>191</v>
      </c>
      <c r="BC594" t="s">
        <v>182</v>
      </c>
      <c r="BD594" t="s">
        <v>182</v>
      </c>
      <c r="BE594" t="s">
        <v>383</v>
      </c>
      <c r="BF594">
        <v>1</v>
      </c>
      <c r="BG594">
        <v>1</v>
      </c>
      <c r="BH594">
        <v>1989</v>
      </c>
      <c r="BI594" t="s">
        <v>8405</v>
      </c>
      <c r="BJ594" t="s">
        <v>194</v>
      </c>
      <c r="BK594" t="s">
        <v>195</v>
      </c>
      <c r="BL594" t="s">
        <v>199</v>
      </c>
      <c r="BM594" t="s">
        <v>292</v>
      </c>
      <c r="BN594" t="s">
        <v>182</v>
      </c>
      <c r="BO594" t="s">
        <v>198</v>
      </c>
      <c r="BP594" t="s">
        <v>198</v>
      </c>
      <c r="BQ594" t="s">
        <v>198</v>
      </c>
      <c r="BR594" t="s">
        <v>198</v>
      </c>
      <c r="BS594" t="s">
        <v>198</v>
      </c>
      <c r="BT594" t="s">
        <v>198</v>
      </c>
      <c r="BU594" t="s">
        <v>182</v>
      </c>
      <c r="BV594" t="s">
        <v>198</v>
      </c>
      <c r="BW594" t="s">
        <v>198</v>
      </c>
      <c r="BX594" t="s">
        <v>199</v>
      </c>
      <c r="BY594" t="s">
        <v>198</v>
      </c>
      <c r="BZ594" t="s">
        <v>199</v>
      </c>
      <c r="CA594" t="s">
        <v>199</v>
      </c>
      <c r="CB594" t="s">
        <v>8406</v>
      </c>
      <c r="CC594" t="s">
        <v>201</v>
      </c>
      <c r="CD594" t="s">
        <v>182</v>
      </c>
      <c r="CE594" t="s">
        <v>8407</v>
      </c>
      <c r="CF594" t="s">
        <v>413</v>
      </c>
      <c r="CG594" t="s">
        <v>177</v>
      </c>
      <c r="CH594" t="s">
        <v>414</v>
      </c>
      <c r="CI594" t="s">
        <v>8408</v>
      </c>
      <c r="CJ594" t="s">
        <v>8409</v>
      </c>
      <c r="CK594" t="s">
        <v>232</v>
      </c>
      <c r="CL594" t="s">
        <v>233</v>
      </c>
      <c r="CM594" t="s">
        <v>8410</v>
      </c>
      <c r="CN594" t="s">
        <v>235</v>
      </c>
      <c r="CO594" t="s">
        <v>183</v>
      </c>
      <c r="CP594" t="s">
        <v>211</v>
      </c>
      <c r="CQ594" t="s">
        <v>290</v>
      </c>
      <c r="CS594" t="s">
        <v>8411</v>
      </c>
      <c r="CT594" t="s">
        <v>8412</v>
      </c>
      <c r="CU594" t="s">
        <v>273</v>
      </c>
      <c r="CV594" t="s">
        <v>274</v>
      </c>
      <c r="CW594" t="s">
        <v>8413</v>
      </c>
      <c r="CX594" t="s">
        <v>514</v>
      </c>
      <c r="CY594" t="s">
        <v>183</v>
      </c>
      <c r="CZ594" t="s">
        <v>211</v>
      </c>
      <c r="DA594" t="s">
        <v>493</v>
      </c>
      <c r="DC594" t="s">
        <v>8414</v>
      </c>
      <c r="DD594" t="s">
        <v>5702</v>
      </c>
      <c r="DE594" t="s">
        <v>302</v>
      </c>
      <c r="DF594" t="s">
        <v>303</v>
      </c>
      <c r="DG594" t="s">
        <v>8415</v>
      </c>
      <c r="DH594" t="s">
        <v>436</v>
      </c>
      <c r="DI594" t="s">
        <v>183</v>
      </c>
      <c r="DJ594" t="s">
        <v>211</v>
      </c>
      <c r="DK594" t="s">
        <v>345</v>
      </c>
      <c r="DM594" t="s">
        <v>343</v>
      </c>
      <c r="DN594" t="s">
        <v>8416</v>
      </c>
      <c r="DO594" t="s">
        <v>238</v>
      </c>
      <c r="DP594" t="s">
        <v>239</v>
      </c>
      <c r="DQ594" t="s">
        <v>8417</v>
      </c>
      <c r="DR594" t="s">
        <v>391</v>
      </c>
      <c r="DS594" t="s">
        <v>183</v>
      </c>
      <c r="DT594" t="s">
        <v>211</v>
      </c>
      <c r="DU594" t="s">
        <v>337</v>
      </c>
      <c r="DW594" t="s">
        <v>8418</v>
      </c>
      <c r="DX594" t="s">
        <v>8419</v>
      </c>
      <c r="DY594" t="s">
        <v>346</v>
      </c>
      <c r="DZ594" t="s">
        <v>347</v>
      </c>
      <c r="EA594" t="s">
        <v>8420</v>
      </c>
      <c r="EB594" t="s">
        <v>469</v>
      </c>
      <c r="EC594" t="s">
        <v>183</v>
      </c>
      <c r="ED594" t="s">
        <v>211</v>
      </c>
      <c r="EE594" t="s">
        <v>345</v>
      </c>
      <c r="EG594" t="s">
        <v>8421</v>
      </c>
      <c r="EH594" t="s">
        <v>5810</v>
      </c>
      <c r="EI594" t="s">
        <v>207</v>
      </c>
      <c r="EJ594" t="s">
        <v>208</v>
      </c>
      <c r="EK594" t="s">
        <v>8422</v>
      </c>
      <c r="EL594" t="s">
        <v>576</v>
      </c>
      <c r="EM594" t="s">
        <v>183</v>
      </c>
      <c r="EN594" t="s">
        <v>211</v>
      </c>
      <c r="EO594" t="s">
        <v>345</v>
      </c>
      <c r="EQ594" t="s">
        <v>8196</v>
      </c>
      <c r="FA594" t="s">
        <v>198</v>
      </c>
      <c r="FK594" t="s">
        <v>198</v>
      </c>
      <c r="FU594" t="s">
        <v>198</v>
      </c>
    </row>
    <row r="595" spans="1:177">
      <c r="A595" s="1" t="str">
        <f>HYPERLINK("http://digipan.lumentumllc.com/apps/getLink/index.php?t=PropLink&amp;p=4637338","PL")</f>
        <v>PL</v>
      </c>
      <c r="B595" s="1" t="str">
        <f>HYPERLINK("http://digipan.lumentumllc.com/apps/getLink/index.php?t=TaxLink&amp;p=4637338","TL")</f>
        <v>TL</v>
      </c>
      <c r="C595" s="1" t="str">
        <f>HYPERLINK("http://digipan.lumentumllc.com/apps/getMap/index.php?p=4637338","Map")</f>
        <v>Map</v>
      </c>
      <c r="E595" t="s">
        <v>177</v>
      </c>
      <c r="F595" t="s">
        <v>178</v>
      </c>
      <c r="L595" t="s">
        <v>8423</v>
      </c>
      <c r="N595" t="s">
        <v>8423</v>
      </c>
      <c r="O595" t="s">
        <v>8423</v>
      </c>
      <c r="P595" t="s">
        <v>8424</v>
      </c>
      <c r="Q595" t="s">
        <v>8423</v>
      </c>
      <c r="V595">
        <v>684</v>
      </c>
      <c r="W595">
        <v>3</v>
      </c>
      <c r="X595">
        <v>2017</v>
      </c>
      <c r="Y595">
        <v>2018</v>
      </c>
      <c r="Z595">
        <v>271.07</v>
      </c>
      <c r="AB595" t="s">
        <v>181</v>
      </c>
      <c r="AC595" t="s">
        <v>182</v>
      </c>
      <c r="AD595" t="s">
        <v>183</v>
      </c>
      <c r="AE595">
        <v>1</v>
      </c>
      <c r="AF595">
        <v>2</v>
      </c>
      <c r="AG595" t="s">
        <v>2222</v>
      </c>
      <c r="AH595">
        <v>50</v>
      </c>
      <c r="AI595">
        <v>233.58</v>
      </c>
      <c r="AJ595">
        <v>11.68</v>
      </c>
      <c r="AK595">
        <v>245.26</v>
      </c>
      <c r="AL595">
        <v>15787</v>
      </c>
      <c r="AM595">
        <v>14400</v>
      </c>
      <c r="AN595">
        <v>1387</v>
      </c>
      <c r="AO595">
        <v>191</v>
      </c>
      <c r="AP595">
        <v>2016</v>
      </c>
      <c r="AQ595">
        <v>1.72</v>
      </c>
      <c r="AR595">
        <v>1.55</v>
      </c>
      <c r="AS595" t="s">
        <v>8425</v>
      </c>
      <c r="AT595" t="s">
        <v>3747</v>
      </c>
      <c r="AU595" t="s">
        <v>177</v>
      </c>
      <c r="AV595" t="s">
        <v>1030</v>
      </c>
      <c r="AW595" t="s">
        <v>182</v>
      </c>
      <c r="AX595">
        <v>0</v>
      </c>
      <c r="AY595" t="s">
        <v>312</v>
      </c>
      <c r="AZ595" t="s">
        <v>199</v>
      </c>
      <c r="BA595" t="s">
        <v>313</v>
      </c>
      <c r="BB595" t="s">
        <v>191</v>
      </c>
      <c r="BC595" t="s">
        <v>182</v>
      </c>
      <c r="BD595" t="s">
        <v>182</v>
      </c>
      <c r="BE595" t="s">
        <v>7767</v>
      </c>
      <c r="BF595">
        <v>0</v>
      </c>
      <c r="BG595">
        <v>0</v>
      </c>
      <c r="BH595">
        <v>0</v>
      </c>
      <c r="BI595" t="s">
        <v>199</v>
      </c>
      <c r="BJ595" t="s">
        <v>315</v>
      </c>
      <c r="BL595" t="s">
        <v>199</v>
      </c>
      <c r="BM595" t="s">
        <v>1311</v>
      </c>
      <c r="BN595" t="s">
        <v>182</v>
      </c>
      <c r="BO595" t="s">
        <v>198</v>
      </c>
      <c r="BP595" t="s">
        <v>198</v>
      </c>
      <c r="BQ595" t="s">
        <v>198</v>
      </c>
      <c r="BR595" t="s">
        <v>198</v>
      </c>
      <c r="BS595" t="s">
        <v>198</v>
      </c>
      <c r="BT595" t="s">
        <v>198</v>
      </c>
      <c r="BU595" t="s">
        <v>182</v>
      </c>
      <c r="BV595" t="s">
        <v>198</v>
      </c>
      <c r="BW595" t="s">
        <v>198</v>
      </c>
      <c r="BX595" t="s">
        <v>199</v>
      </c>
      <c r="BY595" t="s">
        <v>198</v>
      </c>
      <c r="BZ595" t="s">
        <v>199</v>
      </c>
      <c r="CA595" t="s">
        <v>199</v>
      </c>
      <c r="CB595" t="s">
        <v>8426</v>
      </c>
      <c r="CC595" t="s">
        <v>201</v>
      </c>
      <c r="CD595" t="s">
        <v>182</v>
      </c>
      <c r="CE595" t="s">
        <v>8427</v>
      </c>
      <c r="CF595" t="s">
        <v>1029</v>
      </c>
      <c r="CG595" t="s">
        <v>177</v>
      </c>
      <c r="CH595" t="s">
        <v>1030</v>
      </c>
      <c r="CI595" t="s">
        <v>8428</v>
      </c>
      <c r="CJ595" t="s">
        <v>8375</v>
      </c>
      <c r="CK595" t="s">
        <v>232</v>
      </c>
      <c r="CL595" t="s">
        <v>233</v>
      </c>
      <c r="CM595" t="s">
        <v>8429</v>
      </c>
      <c r="CN595" t="s">
        <v>331</v>
      </c>
      <c r="CO595" t="s">
        <v>183</v>
      </c>
      <c r="CP595" t="s">
        <v>266</v>
      </c>
      <c r="CS595" t="s">
        <v>198</v>
      </c>
      <c r="CT595" t="s">
        <v>7643</v>
      </c>
      <c r="CU595" t="s">
        <v>267</v>
      </c>
      <c r="CV595" t="s">
        <v>268</v>
      </c>
      <c r="CW595" t="s">
        <v>8430</v>
      </c>
      <c r="CX595" t="s">
        <v>1164</v>
      </c>
      <c r="CY595" t="s">
        <v>183</v>
      </c>
      <c r="CZ595" t="s">
        <v>211</v>
      </c>
      <c r="DA595" t="s">
        <v>270</v>
      </c>
      <c r="DC595" t="s">
        <v>4105</v>
      </c>
      <c r="DD595" t="s">
        <v>5853</v>
      </c>
      <c r="DE595" t="s">
        <v>207</v>
      </c>
      <c r="DF595" t="s">
        <v>208</v>
      </c>
      <c r="DG595" t="s">
        <v>8431</v>
      </c>
      <c r="DH595" t="s">
        <v>576</v>
      </c>
      <c r="DI595" t="s">
        <v>183</v>
      </c>
      <c r="DJ595" t="s">
        <v>211</v>
      </c>
      <c r="DK595" t="s">
        <v>212</v>
      </c>
      <c r="DM595" t="s">
        <v>8432</v>
      </c>
      <c r="DW595" t="s">
        <v>198</v>
      </c>
      <c r="EG595" t="s">
        <v>198</v>
      </c>
      <c r="EQ595" t="s">
        <v>198</v>
      </c>
      <c r="FA595" t="s">
        <v>198</v>
      </c>
      <c r="FK595" t="s">
        <v>198</v>
      </c>
      <c r="FU595" t="s">
        <v>198</v>
      </c>
    </row>
    <row r="596" spans="1:177">
      <c r="A596" s="1" t="str">
        <f>HYPERLINK("http://digipan.lumentumllc.com/apps/getLink/index.php?t=PropLink&amp;p=5244923","PL")</f>
        <v>PL</v>
      </c>
      <c r="B596" s="1" t="str">
        <f>HYPERLINK("http://digipan.lumentumllc.com/apps/getLink/index.php?t=TaxLink&amp;p=5244923","TL")</f>
        <v>TL</v>
      </c>
      <c r="C596" s="1" t="str">
        <f>HYPERLINK("http://digipan.lumentumllc.com/apps/getMap/index.php?p=5244923","Map")</f>
        <v>Map</v>
      </c>
      <c r="E596" t="s">
        <v>177</v>
      </c>
      <c r="F596" t="s">
        <v>178</v>
      </c>
      <c r="L596" t="s">
        <v>8433</v>
      </c>
      <c r="N596" t="s">
        <v>8433</v>
      </c>
      <c r="O596" t="s">
        <v>8433</v>
      </c>
      <c r="P596" t="s">
        <v>8434</v>
      </c>
      <c r="Q596" t="s">
        <v>8433</v>
      </c>
      <c r="V596">
        <v>686</v>
      </c>
      <c r="W596">
        <v>3</v>
      </c>
      <c r="X596">
        <v>2017</v>
      </c>
      <c r="Y596">
        <v>2018</v>
      </c>
      <c r="Z596">
        <v>556.79</v>
      </c>
      <c r="AB596" t="s">
        <v>181</v>
      </c>
      <c r="AC596" t="s">
        <v>182</v>
      </c>
      <c r="AD596" t="s">
        <v>183</v>
      </c>
      <c r="AE596">
        <v>0</v>
      </c>
      <c r="AF596">
        <v>7</v>
      </c>
      <c r="AG596" t="s">
        <v>528</v>
      </c>
      <c r="AH596">
        <v>100</v>
      </c>
      <c r="AK596">
        <v>0</v>
      </c>
      <c r="AL596">
        <v>32057</v>
      </c>
      <c r="AM596">
        <v>15000</v>
      </c>
      <c r="AN596">
        <v>17057</v>
      </c>
      <c r="AO596">
        <v>447</v>
      </c>
      <c r="AP596">
        <v>2016</v>
      </c>
      <c r="AQ596">
        <v>1.74</v>
      </c>
      <c r="AS596" t="s">
        <v>8435</v>
      </c>
      <c r="AT596" t="s">
        <v>3747</v>
      </c>
      <c r="AU596" t="s">
        <v>177</v>
      </c>
      <c r="AV596" t="s">
        <v>1030</v>
      </c>
      <c r="AW596" t="s">
        <v>182</v>
      </c>
      <c r="AX596">
        <v>2</v>
      </c>
      <c r="AY596" t="s">
        <v>188</v>
      </c>
      <c r="AZ596" t="s">
        <v>189</v>
      </c>
      <c r="BA596" t="s">
        <v>190</v>
      </c>
      <c r="BB596" t="s">
        <v>191</v>
      </c>
      <c r="BC596" t="s">
        <v>182</v>
      </c>
      <c r="BD596" t="s">
        <v>182</v>
      </c>
      <c r="BE596" t="s">
        <v>383</v>
      </c>
      <c r="BF596">
        <v>1</v>
      </c>
      <c r="BG596">
        <v>1</v>
      </c>
      <c r="BH596">
        <v>1974</v>
      </c>
      <c r="BI596" t="s">
        <v>7434</v>
      </c>
      <c r="BJ596" t="s">
        <v>194</v>
      </c>
      <c r="BK596" t="s">
        <v>195</v>
      </c>
      <c r="BL596" t="s">
        <v>199</v>
      </c>
      <c r="BM596" t="s">
        <v>1041</v>
      </c>
      <c r="BN596" t="s">
        <v>182</v>
      </c>
      <c r="BO596" t="s">
        <v>8436</v>
      </c>
      <c r="BP596" t="s">
        <v>8437</v>
      </c>
      <c r="BS596" t="s">
        <v>8438</v>
      </c>
      <c r="BT596" t="s">
        <v>198</v>
      </c>
      <c r="BU596" t="s">
        <v>182</v>
      </c>
      <c r="BV596" t="s">
        <v>198</v>
      </c>
      <c r="BW596" t="s">
        <v>198</v>
      </c>
      <c r="BX596" t="s">
        <v>199</v>
      </c>
      <c r="BY596" t="s">
        <v>198</v>
      </c>
      <c r="BZ596" t="s">
        <v>199</v>
      </c>
      <c r="CA596" t="s">
        <v>199</v>
      </c>
      <c r="CB596" t="s">
        <v>8439</v>
      </c>
      <c r="CC596" t="s">
        <v>201</v>
      </c>
      <c r="CD596" t="s">
        <v>202</v>
      </c>
      <c r="CE596" t="s">
        <v>8440</v>
      </c>
      <c r="CF596" t="s">
        <v>1029</v>
      </c>
      <c r="CG596" t="s">
        <v>177</v>
      </c>
      <c r="CH596" t="s">
        <v>1030</v>
      </c>
      <c r="CI596" t="s">
        <v>8441</v>
      </c>
      <c r="CJ596" t="s">
        <v>8170</v>
      </c>
      <c r="CK596" t="s">
        <v>232</v>
      </c>
      <c r="CL596" t="s">
        <v>233</v>
      </c>
      <c r="CM596" t="s">
        <v>8442</v>
      </c>
      <c r="CN596" t="s">
        <v>235</v>
      </c>
      <c r="CO596" t="s">
        <v>183</v>
      </c>
      <c r="CP596" t="s">
        <v>211</v>
      </c>
      <c r="CQ596" t="s">
        <v>296</v>
      </c>
      <c r="CS596" t="s">
        <v>8443</v>
      </c>
      <c r="CT596" t="s">
        <v>8208</v>
      </c>
      <c r="CU596" t="s">
        <v>292</v>
      </c>
      <c r="CV596" t="s">
        <v>293</v>
      </c>
      <c r="CW596" t="s">
        <v>8444</v>
      </c>
      <c r="CX596" t="s">
        <v>235</v>
      </c>
      <c r="CY596" t="s">
        <v>183</v>
      </c>
      <c r="CZ596" t="s">
        <v>211</v>
      </c>
      <c r="DA596" t="s">
        <v>444</v>
      </c>
      <c r="DC596" t="s">
        <v>8443</v>
      </c>
      <c r="DD596" t="s">
        <v>5243</v>
      </c>
      <c r="DE596" t="s">
        <v>267</v>
      </c>
      <c r="DF596" t="s">
        <v>268</v>
      </c>
      <c r="DG596" t="s">
        <v>8445</v>
      </c>
      <c r="DH596" t="s">
        <v>511</v>
      </c>
      <c r="DI596" t="s">
        <v>183</v>
      </c>
      <c r="DJ596" t="s">
        <v>211</v>
      </c>
      <c r="DK596" t="s">
        <v>212</v>
      </c>
      <c r="DM596" t="s">
        <v>8446</v>
      </c>
      <c r="DN596" t="s">
        <v>5490</v>
      </c>
      <c r="DO596" t="s">
        <v>273</v>
      </c>
      <c r="DP596" t="s">
        <v>274</v>
      </c>
      <c r="DQ596" t="s">
        <v>8447</v>
      </c>
      <c r="DR596" t="s">
        <v>235</v>
      </c>
      <c r="DS596" t="s">
        <v>183</v>
      </c>
      <c r="DT596" t="s">
        <v>211</v>
      </c>
      <c r="DU596" t="s">
        <v>270</v>
      </c>
      <c r="DW596" t="s">
        <v>1447</v>
      </c>
      <c r="DX596" t="s">
        <v>6544</v>
      </c>
      <c r="DY596" t="s">
        <v>238</v>
      </c>
      <c r="DZ596" t="s">
        <v>239</v>
      </c>
      <c r="EA596" t="s">
        <v>8448</v>
      </c>
      <c r="EB596" t="s">
        <v>1491</v>
      </c>
      <c r="EC596" t="s">
        <v>183</v>
      </c>
      <c r="ED596" t="s">
        <v>211</v>
      </c>
      <c r="EE596" t="s">
        <v>298</v>
      </c>
      <c r="EG596" t="s">
        <v>1133</v>
      </c>
      <c r="EH596" t="s">
        <v>8449</v>
      </c>
      <c r="EI596" t="s">
        <v>346</v>
      </c>
      <c r="EJ596" t="s">
        <v>347</v>
      </c>
      <c r="EK596" t="s">
        <v>8450</v>
      </c>
      <c r="EL596" t="s">
        <v>469</v>
      </c>
      <c r="EM596" t="s">
        <v>183</v>
      </c>
      <c r="EN596" t="s">
        <v>211</v>
      </c>
      <c r="EO596" t="s">
        <v>212</v>
      </c>
      <c r="EQ596" t="s">
        <v>8451</v>
      </c>
      <c r="ER596" t="s">
        <v>5889</v>
      </c>
      <c r="ES596" t="s">
        <v>207</v>
      </c>
      <c r="ET596" t="s">
        <v>208</v>
      </c>
      <c r="EU596" t="s">
        <v>8452</v>
      </c>
      <c r="EV596" t="s">
        <v>576</v>
      </c>
      <c r="EW596" t="s">
        <v>183</v>
      </c>
      <c r="EX596" t="s">
        <v>211</v>
      </c>
      <c r="EY596" t="s">
        <v>212</v>
      </c>
      <c r="FA596" t="s">
        <v>213</v>
      </c>
      <c r="FK596" t="s">
        <v>198</v>
      </c>
      <c r="FU596" t="s">
        <v>198</v>
      </c>
    </row>
    <row r="597" spans="1:177">
      <c r="A597" s="1" t="str">
        <f>HYPERLINK("http://digipan.lumentumllc.com/apps/getLink/index.php?t=PropLink&amp;p=7112359","PL")</f>
        <v>PL</v>
      </c>
      <c r="B597" s="1" t="str">
        <f>HYPERLINK("http://digipan.lumentumllc.com/apps/getLink/index.php?t=TaxLink&amp;p=7112359","TL")</f>
        <v>TL</v>
      </c>
      <c r="C597" s="1" t="str">
        <f>HYPERLINK("http://digipan.lumentumllc.com/apps/getMap/index.php?p=7112359","Map")</f>
        <v>Map</v>
      </c>
      <c r="E597" t="s">
        <v>177</v>
      </c>
      <c r="F597" t="s">
        <v>178</v>
      </c>
      <c r="L597" t="s">
        <v>8453</v>
      </c>
      <c r="N597" t="s">
        <v>8453</v>
      </c>
      <c r="O597" t="s">
        <v>8453</v>
      </c>
      <c r="P597" t="s">
        <v>8454</v>
      </c>
      <c r="Q597" t="s">
        <v>8453</v>
      </c>
      <c r="V597">
        <v>687</v>
      </c>
      <c r="W597">
        <v>3</v>
      </c>
      <c r="X597">
        <v>2017</v>
      </c>
      <c r="Y597">
        <v>2018</v>
      </c>
      <c r="Z597">
        <v>373.48</v>
      </c>
      <c r="AB597" t="s">
        <v>181</v>
      </c>
      <c r="AC597" t="s">
        <v>182</v>
      </c>
      <c r="AD597" t="s">
        <v>1037</v>
      </c>
      <c r="AE597">
        <v>1</v>
      </c>
      <c r="AF597">
        <v>2</v>
      </c>
      <c r="AG597" t="s">
        <v>2222</v>
      </c>
      <c r="AH597">
        <v>50</v>
      </c>
      <c r="AI597">
        <v>340.77</v>
      </c>
      <c r="AJ597">
        <v>17.04</v>
      </c>
      <c r="AK597">
        <v>357.81</v>
      </c>
      <c r="AL597">
        <v>22702</v>
      </c>
      <c r="AM597">
        <v>15000</v>
      </c>
      <c r="AN597">
        <v>7702</v>
      </c>
      <c r="AO597">
        <v>290</v>
      </c>
      <c r="AP597">
        <v>2016</v>
      </c>
      <c r="AQ597">
        <v>1.65</v>
      </c>
      <c r="AR597">
        <v>1.58</v>
      </c>
      <c r="AS597" t="s">
        <v>8455</v>
      </c>
      <c r="AT597" t="s">
        <v>3747</v>
      </c>
      <c r="AU597" t="s">
        <v>177</v>
      </c>
      <c r="AV597" t="s">
        <v>1030</v>
      </c>
      <c r="AW597" t="s">
        <v>182</v>
      </c>
      <c r="AX597">
        <v>2</v>
      </c>
      <c r="AY597" t="s">
        <v>188</v>
      </c>
      <c r="AZ597" t="s">
        <v>189</v>
      </c>
      <c r="BA597" t="s">
        <v>190</v>
      </c>
      <c r="BB597" t="s">
        <v>191</v>
      </c>
      <c r="BC597" t="s">
        <v>182</v>
      </c>
      <c r="BD597" t="s">
        <v>182</v>
      </c>
      <c r="BE597" t="s">
        <v>383</v>
      </c>
      <c r="BF597">
        <v>1</v>
      </c>
      <c r="BG597">
        <v>1</v>
      </c>
      <c r="BH597">
        <v>1979</v>
      </c>
      <c r="BI597" t="s">
        <v>8456</v>
      </c>
      <c r="BJ597" t="s">
        <v>194</v>
      </c>
      <c r="BK597" t="s">
        <v>195</v>
      </c>
      <c r="BL597" t="s">
        <v>4210</v>
      </c>
      <c r="BM597" t="s">
        <v>2351</v>
      </c>
      <c r="BN597" t="s">
        <v>182</v>
      </c>
      <c r="BO597" t="s">
        <v>198</v>
      </c>
      <c r="BP597" t="s">
        <v>198</v>
      </c>
      <c r="BQ597" t="s">
        <v>198</v>
      </c>
      <c r="BR597" t="s">
        <v>198</v>
      </c>
      <c r="BS597" t="s">
        <v>198</v>
      </c>
      <c r="BT597" t="s">
        <v>198</v>
      </c>
      <c r="BU597" t="s">
        <v>182</v>
      </c>
      <c r="BV597" t="s">
        <v>198</v>
      </c>
      <c r="BW597" t="s">
        <v>198</v>
      </c>
      <c r="BX597" t="s">
        <v>199</v>
      </c>
      <c r="BY597" t="s">
        <v>198</v>
      </c>
      <c r="BZ597" t="s">
        <v>199</v>
      </c>
      <c r="CA597" t="s">
        <v>199</v>
      </c>
      <c r="CB597" t="s">
        <v>8457</v>
      </c>
      <c r="CC597" t="s">
        <v>201</v>
      </c>
      <c r="CD597" t="s">
        <v>182</v>
      </c>
      <c r="CE597" t="s">
        <v>8458</v>
      </c>
      <c r="CF597" t="s">
        <v>1029</v>
      </c>
      <c r="CG597" t="s">
        <v>177</v>
      </c>
      <c r="CH597" t="s">
        <v>1030</v>
      </c>
      <c r="CI597" t="s">
        <v>8459</v>
      </c>
      <c r="CJ597" t="s">
        <v>8187</v>
      </c>
      <c r="CK597" t="s">
        <v>232</v>
      </c>
      <c r="CL597" t="s">
        <v>233</v>
      </c>
      <c r="CM597" t="s">
        <v>8460</v>
      </c>
      <c r="CN597" t="s">
        <v>331</v>
      </c>
      <c r="CO597" t="s">
        <v>183</v>
      </c>
      <c r="CP597" t="s">
        <v>266</v>
      </c>
      <c r="CS597" t="s">
        <v>198</v>
      </c>
      <c r="CT597" t="s">
        <v>5180</v>
      </c>
      <c r="CU597" t="s">
        <v>292</v>
      </c>
      <c r="CV597" t="s">
        <v>293</v>
      </c>
      <c r="CW597" t="s">
        <v>8461</v>
      </c>
      <c r="CX597" t="s">
        <v>333</v>
      </c>
      <c r="CY597" t="s">
        <v>183</v>
      </c>
      <c r="CZ597" t="s">
        <v>211</v>
      </c>
      <c r="DA597" t="s">
        <v>298</v>
      </c>
      <c r="DC597" t="s">
        <v>3204</v>
      </c>
      <c r="DD597" t="s">
        <v>8462</v>
      </c>
      <c r="DE597" t="s">
        <v>207</v>
      </c>
      <c r="DF597" t="s">
        <v>208</v>
      </c>
      <c r="DG597" t="s">
        <v>8463</v>
      </c>
      <c r="DH597" t="s">
        <v>482</v>
      </c>
      <c r="DI597" t="s">
        <v>5</v>
      </c>
      <c r="DJ597" t="s">
        <v>211</v>
      </c>
      <c r="DK597" t="s">
        <v>298</v>
      </c>
      <c r="DM597" t="s">
        <v>5208</v>
      </c>
      <c r="DW597" t="s">
        <v>198</v>
      </c>
      <c r="EG597" t="s">
        <v>198</v>
      </c>
      <c r="EQ597" t="s">
        <v>198</v>
      </c>
      <c r="FA597" t="s">
        <v>198</v>
      </c>
      <c r="FK597" t="s">
        <v>198</v>
      </c>
      <c r="FU597" t="s">
        <v>198</v>
      </c>
    </row>
    <row r="598" spans="1:177">
      <c r="A598" s="1" t="str">
        <f>HYPERLINK("http://digipan.lumentumllc.com/apps/getLink/index.php?t=PropLink&amp;p=6128817","PL")</f>
        <v>PL</v>
      </c>
      <c r="B598" s="1" t="str">
        <f>HYPERLINK("http://digipan.lumentumllc.com/apps/getLink/index.php?t=TaxLink&amp;p=6128817","TL")</f>
        <v>TL</v>
      </c>
      <c r="C598" s="1" t="str">
        <f>HYPERLINK("http://digipan.lumentumllc.com/apps/getMap/index.php?p=6128817","Map")</f>
        <v>Map</v>
      </c>
      <c r="E598" t="s">
        <v>177</v>
      </c>
      <c r="F598" t="s">
        <v>178</v>
      </c>
      <c r="L598" t="s">
        <v>8464</v>
      </c>
      <c r="N598" t="s">
        <v>8464</v>
      </c>
      <c r="O598" t="s">
        <v>8464</v>
      </c>
      <c r="P598" t="s">
        <v>8465</v>
      </c>
      <c r="Q598" t="s">
        <v>8464</v>
      </c>
      <c r="V598">
        <v>688</v>
      </c>
      <c r="W598">
        <v>3</v>
      </c>
      <c r="X598">
        <v>2017</v>
      </c>
      <c r="Y598">
        <v>2018</v>
      </c>
      <c r="Z598">
        <v>478.45</v>
      </c>
      <c r="AB598" t="s">
        <v>181</v>
      </c>
      <c r="AC598" t="s">
        <v>182</v>
      </c>
      <c r="AD598" t="s">
        <v>183</v>
      </c>
      <c r="AE598">
        <v>1</v>
      </c>
      <c r="AF598">
        <v>2</v>
      </c>
      <c r="AG598" t="s">
        <v>363</v>
      </c>
      <c r="AH598">
        <v>67</v>
      </c>
      <c r="AI598">
        <v>472.37</v>
      </c>
      <c r="AJ598">
        <v>23.62</v>
      </c>
      <c r="AK598">
        <v>495.99</v>
      </c>
      <c r="AL598">
        <v>76651</v>
      </c>
      <c r="AM598">
        <v>15000</v>
      </c>
      <c r="AN598">
        <v>61651</v>
      </c>
      <c r="AO598">
        <v>412</v>
      </c>
      <c r="AP598">
        <v>2016</v>
      </c>
      <c r="AQ598">
        <v>0.62</v>
      </c>
      <c r="AR598">
        <v>0.65</v>
      </c>
      <c r="AS598" t="s">
        <v>8466</v>
      </c>
      <c r="AT598" t="s">
        <v>3747</v>
      </c>
      <c r="AU598" t="s">
        <v>177</v>
      </c>
      <c r="AV598" t="s">
        <v>1030</v>
      </c>
      <c r="AW598" t="s">
        <v>202</v>
      </c>
      <c r="AX598">
        <v>2</v>
      </c>
      <c r="AY598" t="s">
        <v>188</v>
      </c>
      <c r="AZ598" t="s">
        <v>189</v>
      </c>
      <c r="BA598" t="s">
        <v>190</v>
      </c>
      <c r="BB598" t="s">
        <v>191</v>
      </c>
      <c r="BC598" t="s">
        <v>182</v>
      </c>
      <c r="BD598" t="s">
        <v>182</v>
      </c>
      <c r="BE598" t="s">
        <v>383</v>
      </c>
      <c r="BF598">
        <v>1</v>
      </c>
      <c r="BG598">
        <v>1</v>
      </c>
      <c r="BH598">
        <v>2001</v>
      </c>
      <c r="BI598" t="s">
        <v>8467</v>
      </c>
      <c r="BJ598" t="s">
        <v>194</v>
      </c>
      <c r="BK598" t="s">
        <v>195</v>
      </c>
      <c r="BL598" t="s">
        <v>199</v>
      </c>
      <c r="BM598" t="s">
        <v>4973</v>
      </c>
      <c r="BN598" t="s">
        <v>182</v>
      </c>
      <c r="BO598" t="s">
        <v>8468</v>
      </c>
      <c r="BP598" t="s">
        <v>8469</v>
      </c>
      <c r="BS598" t="s">
        <v>8470</v>
      </c>
      <c r="BT598" t="s">
        <v>198</v>
      </c>
      <c r="BU598" t="s">
        <v>182</v>
      </c>
      <c r="BV598" t="s">
        <v>198</v>
      </c>
      <c r="BW598" t="s">
        <v>198</v>
      </c>
      <c r="BX598" t="s">
        <v>199</v>
      </c>
      <c r="BY598" t="s">
        <v>198</v>
      </c>
      <c r="BZ598" t="s">
        <v>199</v>
      </c>
      <c r="CA598" t="s">
        <v>199</v>
      </c>
      <c r="CB598" t="s">
        <v>8457</v>
      </c>
      <c r="CC598" t="s">
        <v>201</v>
      </c>
      <c r="CD598" t="s">
        <v>182</v>
      </c>
      <c r="CE598" t="s">
        <v>8471</v>
      </c>
      <c r="CF598" t="s">
        <v>1029</v>
      </c>
      <c r="CG598" t="s">
        <v>177</v>
      </c>
      <c r="CH598" t="s">
        <v>1030</v>
      </c>
      <c r="CI598" t="s">
        <v>8472</v>
      </c>
      <c r="CJ598" t="s">
        <v>7663</v>
      </c>
      <c r="CK598" t="s">
        <v>232</v>
      </c>
      <c r="CL598" t="s">
        <v>233</v>
      </c>
      <c r="CM598" t="s">
        <v>8473</v>
      </c>
      <c r="CN598" t="s">
        <v>235</v>
      </c>
      <c r="CO598" t="s">
        <v>183</v>
      </c>
      <c r="CP598" t="s">
        <v>266</v>
      </c>
      <c r="CS598" t="s">
        <v>198</v>
      </c>
      <c r="CT598" t="s">
        <v>5206</v>
      </c>
      <c r="CU598" t="s">
        <v>292</v>
      </c>
      <c r="CV598" t="s">
        <v>293</v>
      </c>
      <c r="CW598" t="s">
        <v>8474</v>
      </c>
      <c r="CX598" t="s">
        <v>235</v>
      </c>
      <c r="CY598" t="s">
        <v>183</v>
      </c>
      <c r="CZ598" t="s">
        <v>211</v>
      </c>
      <c r="DA598" t="s">
        <v>298</v>
      </c>
      <c r="DC598" t="s">
        <v>3204</v>
      </c>
      <c r="DD598" t="s">
        <v>6585</v>
      </c>
      <c r="DE598" t="s">
        <v>238</v>
      </c>
      <c r="DF598" t="s">
        <v>239</v>
      </c>
      <c r="DG598" t="s">
        <v>8475</v>
      </c>
      <c r="DH598" t="s">
        <v>331</v>
      </c>
      <c r="DI598" t="s">
        <v>183</v>
      </c>
      <c r="DJ598" t="s">
        <v>211</v>
      </c>
      <c r="DK598" t="s">
        <v>189</v>
      </c>
      <c r="DM598" t="s">
        <v>8476</v>
      </c>
      <c r="DW598" t="s">
        <v>198</v>
      </c>
      <c r="EG598" t="s">
        <v>198</v>
      </c>
      <c r="EQ598" t="s">
        <v>198</v>
      </c>
      <c r="FA598" t="s">
        <v>198</v>
      </c>
      <c r="FK598" t="s">
        <v>198</v>
      </c>
      <c r="FU598" t="s">
        <v>198</v>
      </c>
    </row>
    <row r="599" spans="1:177">
      <c r="A599" s="1" t="str">
        <f>HYPERLINK("http://digipan.lumentumllc.com/apps/getLink/index.php?t=PropLink&amp;p=6128818","PL")</f>
        <v>PL</v>
      </c>
      <c r="B599" s="1" t="str">
        <f>HYPERLINK("http://digipan.lumentumllc.com/apps/getLink/index.php?t=TaxLink&amp;p=6128818","TL")</f>
        <v>TL</v>
      </c>
      <c r="C599" s="1" t="str">
        <f>HYPERLINK("http://digipan.lumentumllc.com/apps/getMap/index.php?p=6128818","Map")</f>
        <v>Map</v>
      </c>
      <c r="E599" t="s">
        <v>177</v>
      </c>
      <c r="F599" t="s">
        <v>178</v>
      </c>
      <c r="L599" t="s">
        <v>8477</v>
      </c>
      <c r="N599" t="s">
        <v>8477</v>
      </c>
      <c r="O599" t="s">
        <v>8477</v>
      </c>
      <c r="P599" t="s">
        <v>8478</v>
      </c>
      <c r="Q599" t="s">
        <v>8477</v>
      </c>
      <c r="V599">
        <v>690</v>
      </c>
      <c r="W599">
        <v>3</v>
      </c>
      <c r="X599">
        <v>2017</v>
      </c>
      <c r="Y599">
        <v>2018</v>
      </c>
      <c r="Z599">
        <v>452.3</v>
      </c>
      <c r="AB599" t="s">
        <v>181</v>
      </c>
      <c r="AC599" t="s">
        <v>182</v>
      </c>
      <c r="AD599" t="s">
        <v>183</v>
      </c>
      <c r="AE599">
        <v>0</v>
      </c>
      <c r="AF599">
        <v>6</v>
      </c>
      <c r="AG599" t="s">
        <v>528</v>
      </c>
      <c r="AH599">
        <v>100</v>
      </c>
      <c r="AK599">
        <v>0</v>
      </c>
      <c r="AL599">
        <v>69580</v>
      </c>
      <c r="AM599">
        <v>17400</v>
      </c>
      <c r="AN599">
        <v>52180</v>
      </c>
      <c r="AO599">
        <v>387</v>
      </c>
      <c r="AP599">
        <v>2016</v>
      </c>
      <c r="AQ599">
        <v>0.65</v>
      </c>
      <c r="AS599" t="s">
        <v>8479</v>
      </c>
      <c r="AT599" t="s">
        <v>3747</v>
      </c>
      <c r="AU599" t="s">
        <v>177</v>
      </c>
      <c r="AV599" t="s">
        <v>1030</v>
      </c>
      <c r="AW599" t="s">
        <v>202</v>
      </c>
      <c r="AX599">
        <v>2</v>
      </c>
      <c r="AY599" t="s">
        <v>188</v>
      </c>
      <c r="AZ599" t="s">
        <v>189</v>
      </c>
      <c r="BA599" t="s">
        <v>190</v>
      </c>
      <c r="BB599" t="s">
        <v>191</v>
      </c>
      <c r="BC599" t="s">
        <v>182</v>
      </c>
      <c r="BD599" t="s">
        <v>182</v>
      </c>
      <c r="BE599" t="s">
        <v>8480</v>
      </c>
      <c r="BF599">
        <v>1</v>
      </c>
      <c r="BG599">
        <v>1</v>
      </c>
      <c r="BH599">
        <v>2001</v>
      </c>
      <c r="BI599" t="s">
        <v>8481</v>
      </c>
      <c r="BJ599" t="s">
        <v>194</v>
      </c>
      <c r="BK599" t="s">
        <v>195</v>
      </c>
      <c r="BL599" t="s">
        <v>841</v>
      </c>
      <c r="BM599" t="s">
        <v>2351</v>
      </c>
      <c r="BN599" t="s">
        <v>182</v>
      </c>
      <c r="BO599" t="s">
        <v>198</v>
      </c>
      <c r="BP599" t="s">
        <v>198</v>
      </c>
      <c r="BQ599" t="s">
        <v>198</v>
      </c>
      <c r="BR599" t="s">
        <v>198</v>
      </c>
      <c r="BS599" t="s">
        <v>198</v>
      </c>
      <c r="BT599" t="s">
        <v>198</v>
      </c>
      <c r="BU599" t="s">
        <v>182</v>
      </c>
      <c r="BV599" t="s">
        <v>198</v>
      </c>
      <c r="BW599" t="s">
        <v>198</v>
      </c>
      <c r="BX599" t="s">
        <v>199</v>
      </c>
      <c r="BY599" t="s">
        <v>198</v>
      </c>
      <c r="BZ599" t="s">
        <v>199</v>
      </c>
      <c r="CA599" t="s">
        <v>199</v>
      </c>
      <c r="CB599" t="s">
        <v>8482</v>
      </c>
      <c r="CC599" t="s">
        <v>201</v>
      </c>
      <c r="CD599" t="s">
        <v>182</v>
      </c>
      <c r="CE599" t="s">
        <v>8483</v>
      </c>
      <c r="CF599" t="s">
        <v>1029</v>
      </c>
      <c r="CG599" t="s">
        <v>177</v>
      </c>
      <c r="CH599" t="s">
        <v>1030</v>
      </c>
      <c r="CI599" t="s">
        <v>8484</v>
      </c>
      <c r="CJ599" t="s">
        <v>7735</v>
      </c>
      <c r="CK599" t="s">
        <v>232</v>
      </c>
      <c r="CL599" t="s">
        <v>233</v>
      </c>
      <c r="CM599" t="s">
        <v>8485</v>
      </c>
      <c r="CN599" t="s">
        <v>235</v>
      </c>
      <c r="CO599" t="s">
        <v>183</v>
      </c>
      <c r="CP599" t="s">
        <v>211</v>
      </c>
      <c r="CQ599" t="s">
        <v>342</v>
      </c>
      <c r="CS599" t="s">
        <v>2825</v>
      </c>
      <c r="CT599" t="s">
        <v>7479</v>
      </c>
      <c r="CU599" t="s">
        <v>292</v>
      </c>
      <c r="CV599" t="s">
        <v>293</v>
      </c>
      <c r="CW599" t="s">
        <v>8486</v>
      </c>
      <c r="CX599" t="s">
        <v>235</v>
      </c>
      <c r="CY599" t="s">
        <v>183</v>
      </c>
      <c r="CZ599" t="s">
        <v>211</v>
      </c>
      <c r="DA599" t="s">
        <v>342</v>
      </c>
      <c r="DC599" t="s">
        <v>8487</v>
      </c>
      <c r="DD599" t="s">
        <v>7758</v>
      </c>
      <c r="DE599" t="s">
        <v>267</v>
      </c>
      <c r="DF599" t="s">
        <v>268</v>
      </c>
      <c r="DG599" t="s">
        <v>8488</v>
      </c>
      <c r="DH599" t="s">
        <v>235</v>
      </c>
      <c r="DI599" t="s">
        <v>183</v>
      </c>
      <c r="DJ599" t="s">
        <v>211</v>
      </c>
      <c r="DK599" t="s">
        <v>329</v>
      </c>
      <c r="DM599" t="s">
        <v>3408</v>
      </c>
      <c r="DN599" t="s">
        <v>8489</v>
      </c>
      <c r="DO599" t="s">
        <v>273</v>
      </c>
      <c r="DP599" t="s">
        <v>274</v>
      </c>
      <c r="DQ599" t="s">
        <v>8490</v>
      </c>
      <c r="DR599" t="s">
        <v>235</v>
      </c>
      <c r="DS599" t="s">
        <v>183</v>
      </c>
      <c r="DT599" t="s">
        <v>211</v>
      </c>
      <c r="DU599" t="s">
        <v>329</v>
      </c>
      <c r="DW599" t="s">
        <v>8491</v>
      </c>
      <c r="DX599" t="s">
        <v>5681</v>
      </c>
      <c r="DY599" t="s">
        <v>302</v>
      </c>
      <c r="DZ599" t="s">
        <v>303</v>
      </c>
      <c r="EA599" t="s">
        <v>8492</v>
      </c>
      <c r="EB599" t="s">
        <v>796</v>
      </c>
      <c r="EC599" t="s">
        <v>183</v>
      </c>
      <c r="ED599" t="s">
        <v>211</v>
      </c>
      <c r="EE599" t="s">
        <v>329</v>
      </c>
      <c r="EG599" t="s">
        <v>1619</v>
      </c>
      <c r="EH599" t="s">
        <v>193</v>
      </c>
      <c r="EI599" t="s">
        <v>238</v>
      </c>
      <c r="EJ599" t="s">
        <v>239</v>
      </c>
      <c r="EK599" t="s">
        <v>8493</v>
      </c>
      <c r="EL599" t="s">
        <v>391</v>
      </c>
      <c r="EM599" t="s">
        <v>183</v>
      </c>
      <c r="EN599" t="s">
        <v>211</v>
      </c>
      <c r="EO599" t="s">
        <v>329</v>
      </c>
      <c r="EQ599" t="s">
        <v>1622</v>
      </c>
      <c r="FA599" t="s">
        <v>198</v>
      </c>
      <c r="FK599" t="s">
        <v>198</v>
      </c>
      <c r="FU599" t="s">
        <v>198</v>
      </c>
    </row>
    <row r="600" spans="1:177">
      <c r="A600" s="1" t="str">
        <f>HYPERLINK("http://digipan.lumentumllc.com/apps/getLink/index.php?t=PropLink&amp;p=6594118","PL")</f>
        <v>PL</v>
      </c>
      <c r="B600" s="1" t="str">
        <f>HYPERLINK("http://digipan.lumentumllc.com/apps/getLink/index.php?t=TaxLink&amp;p=6594118","TL")</f>
        <v>TL</v>
      </c>
      <c r="C600" s="1" t="str">
        <f>HYPERLINK("http://digipan.lumentumllc.com/apps/getMap/index.php?p=6594118","Map")</f>
        <v>Map</v>
      </c>
      <c r="E600" t="s">
        <v>177</v>
      </c>
      <c r="F600" t="s">
        <v>178</v>
      </c>
      <c r="L600" t="s">
        <v>8494</v>
      </c>
      <c r="N600" t="s">
        <v>8494</v>
      </c>
      <c r="O600" t="s">
        <v>8494</v>
      </c>
      <c r="P600" t="s">
        <v>8495</v>
      </c>
      <c r="Q600" t="s">
        <v>8494</v>
      </c>
      <c r="V600">
        <v>691</v>
      </c>
      <c r="W600">
        <v>3</v>
      </c>
      <c r="X600">
        <v>2017</v>
      </c>
      <c r="Y600">
        <v>2018</v>
      </c>
      <c r="Z600">
        <v>588.04</v>
      </c>
      <c r="AB600" t="s">
        <v>181</v>
      </c>
      <c r="AC600" t="s">
        <v>182</v>
      </c>
      <c r="AD600" t="s">
        <v>183</v>
      </c>
      <c r="AE600">
        <v>1</v>
      </c>
      <c r="AF600">
        <v>2</v>
      </c>
      <c r="AG600" t="s">
        <v>363</v>
      </c>
      <c r="AH600">
        <v>67</v>
      </c>
      <c r="AI600">
        <v>541.99</v>
      </c>
      <c r="AJ600">
        <v>27.1</v>
      </c>
      <c r="AK600">
        <v>569.09</v>
      </c>
      <c r="AL600">
        <v>36059</v>
      </c>
      <c r="AM600">
        <v>15000</v>
      </c>
      <c r="AN600">
        <v>21059</v>
      </c>
      <c r="AO600">
        <v>476</v>
      </c>
      <c r="AP600">
        <v>2016</v>
      </c>
      <c r="AQ600">
        <v>1.63</v>
      </c>
      <c r="AR600">
        <v>1.58</v>
      </c>
      <c r="AS600" t="s">
        <v>8496</v>
      </c>
      <c r="AT600" t="s">
        <v>3747</v>
      </c>
      <c r="AU600" t="s">
        <v>177</v>
      </c>
      <c r="AV600" t="s">
        <v>1030</v>
      </c>
      <c r="AW600" t="s">
        <v>182</v>
      </c>
      <c r="AX600">
        <v>2</v>
      </c>
      <c r="AY600" t="s">
        <v>188</v>
      </c>
      <c r="AZ600" t="s">
        <v>189</v>
      </c>
      <c r="BA600" t="s">
        <v>190</v>
      </c>
      <c r="BB600" t="s">
        <v>191</v>
      </c>
      <c r="BC600" t="s">
        <v>182</v>
      </c>
      <c r="BD600" t="s">
        <v>182</v>
      </c>
      <c r="BE600" t="s">
        <v>383</v>
      </c>
      <c r="BF600">
        <v>1</v>
      </c>
      <c r="BG600">
        <v>1</v>
      </c>
      <c r="BH600">
        <v>1983</v>
      </c>
      <c r="BI600" t="s">
        <v>8497</v>
      </c>
      <c r="BJ600" t="s">
        <v>194</v>
      </c>
      <c r="BK600" t="s">
        <v>195</v>
      </c>
      <c r="BL600" t="s">
        <v>8498</v>
      </c>
      <c r="BM600" t="s">
        <v>325</v>
      </c>
      <c r="BN600" t="s">
        <v>182</v>
      </c>
      <c r="BO600" t="s">
        <v>198</v>
      </c>
      <c r="BP600" t="s">
        <v>198</v>
      </c>
      <c r="BQ600" t="s">
        <v>198</v>
      </c>
      <c r="BR600" t="s">
        <v>198</v>
      </c>
      <c r="BS600" t="s">
        <v>198</v>
      </c>
      <c r="BT600" t="s">
        <v>198</v>
      </c>
      <c r="BU600" t="s">
        <v>182</v>
      </c>
      <c r="BV600" t="s">
        <v>198</v>
      </c>
      <c r="BW600" t="s">
        <v>198</v>
      </c>
      <c r="BX600" t="s">
        <v>199</v>
      </c>
      <c r="BY600" t="s">
        <v>198</v>
      </c>
      <c r="BZ600" t="s">
        <v>199</v>
      </c>
      <c r="CA600" t="s">
        <v>199</v>
      </c>
      <c r="CB600" t="s">
        <v>8499</v>
      </c>
      <c r="CC600" t="s">
        <v>201</v>
      </c>
      <c r="CD600" t="s">
        <v>182</v>
      </c>
      <c r="CE600" t="s">
        <v>8500</v>
      </c>
      <c r="CF600" t="s">
        <v>2333</v>
      </c>
      <c r="CG600" t="s">
        <v>177</v>
      </c>
      <c r="CH600" t="s">
        <v>2334</v>
      </c>
      <c r="CI600" t="s">
        <v>8501</v>
      </c>
      <c r="CJ600" t="s">
        <v>5295</v>
      </c>
      <c r="CK600" t="s">
        <v>232</v>
      </c>
      <c r="CL600" t="s">
        <v>233</v>
      </c>
      <c r="CM600" t="s">
        <v>8502</v>
      </c>
      <c r="CN600" t="s">
        <v>235</v>
      </c>
      <c r="CO600" t="s">
        <v>183</v>
      </c>
      <c r="CP600" t="s">
        <v>266</v>
      </c>
      <c r="CS600" t="s">
        <v>198</v>
      </c>
      <c r="CT600" t="s">
        <v>7525</v>
      </c>
      <c r="CU600" t="s">
        <v>292</v>
      </c>
      <c r="CV600" t="s">
        <v>293</v>
      </c>
      <c r="CW600" t="s">
        <v>8503</v>
      </c>
      <c r="CX600" t="s">
        <v>295</v>
      </c>
      <c r="CY600" t="s">
        <v>183</v>
      </c>
      <c r="CZ600" t="s">
        <v>211</v>
      </c>
      <c r="DA600" t="s">
        <v>270</v>
      </c>
      <c r="DC600" t="s">
        <v>3021</v>
      </c>
      <c r="DD600" t="s">
        <v>5321</v>
      </c>
      <c r="DE600" t="s">
        <v>267</v>
      </c>
      <c r="DF600" t="s">
        <v>268</v>
      </c>
      <c r="DG600" t="s">
        <v>8504</v>
      </c>
      <c r="DH600" t="s">
        <v>511</v>
      </c>
      <c r="DI600" t="s">
        <v>183</v>
      </c>
      <c r="DJ600" t="s">
        <v>211</v>
      </c>
      <c r="DK600" t="s">
        <v>270</v>
      </c>
      <c r="DM600" t="s">
        <v>8505</v>
      </c>
      <c r="DW600" t="s">
        <v>198</v>
      </c>
      <c r="EG600" t="s">
        <v>198</v>
      </c>
      <c r="EQ600" t="s">
        <v>198</v>
      </c>
      <c r="FA600" t="s">
        <v>198</v>
      </c>
      <c r="FK600" t="s">
        <v>198</v>
      </c>
      <c r="FU600" t="s">
        <v>198</v>
      </c>
    </row>
    <row r="601" spans="1:177">
      <c r="A601" s="1" t="str">
        <f>HYPERLINK("http://digipan.lumentumllc.com/apps/getLink/index.php?t=PropLink&amp;p=6128819","PL")</f>
        <v>PL</v>
      </c>
      <c r="B601" s="1" t="str">
        <f>HYPERLINK("http://digipan.lumentumllc.com/apps/getLink/index.php?t=TaxLink&amp;p=6128819","TL")</f>
        <v>TL</v>
      </c>
      <c r="C601" s="1" t="str">
        <f>HYPERLINK("http://digipan.lumentumllc.com/apps/getMap/index.php?p=6128819","Map")</f>
        <v>Map</v>
      </c>
      <c r="E601" t="s">
        <v>177</v>
      </c>
      <c r="F601" t="s">
        <v>178</v>
      </c>
      <c r="L601" t="s">
        <v>8506</v>
      </c>
      <c r="N601" t="s">
        <v>8506</v>
      </c>
      <c r="O601" t="s">
        <v>8506</v>
      </c>
      <c r="P601" t="s">
        <v>8507</v>
      </c>
      <c r="Q601" t="s">
        <v>8506</v>
      </c>
      <c r="V601">
        <v>692</v>
      </c>
      <c r="W601">
        <v>3</v>
      </c>
      <c r="X601">
        <v>2017</v>
      </c>
      <c r="Y601">
        <v>2018</v>
      </c>
      <c r="Z601">
        <v>1274.08</v>
      </c>
      <c r="AB601" t="s">
        <v>181</v>
      </c>
      <c r="AC601" t="s">
        <v>182</v>
      </c>
      <c r="AD601" t="s">
        <v>183</v>
      </c>
      <c r="AE601">
        <v>0</v>
      </c>
      <c r="AF601">
        <v>1</v>
      </c>
      <c r="AG601" t="s">
        <v>821</v>
      </c>
      <c r="AH601">
        <v>100</v>
      </c>
      <c r="AK601">
        <v>0</v>
      </c>
      <c r="AL601">
        <v>83135</v>
      </c>
      <c r="AM601">
        <v>15000</v>
      </c>
      <c r="AN601">
        <v>68135</v>
      </c>
      <c r="AO601">
        <v>980</v>
      </c>
      <c r="AP601">
        <v>2016</v>
      </c>
      <c r="AQ601">
        <v>1.53</v>
      </c>
      <c r="AS601" t="s">
        <v>8508</v>
      </c>
      <c r="AT601" t="s">
        <v>3747</v>
      </c>
      <c r="AU601" t="s">
        <v>177</v>
      </c>
      <c r="AV601" t="s">
        <v>1030</v>
      </c>
      <c r="AW601" t="s">
        <v>182</v>
      </c>
      <c r="AX601">
        <v>2</v>
      </c>
      <c r="AY601" t="s">
        <v>188</v>
      </c>
      <c r="AZ601" t="s">
        <v>189</v>
      </c>
      <c r="BA601" t="s">
        <v>190</v>
      </c>
      <c r="BB601" t="s">
        <v>191</v>
      </c>
      <c r="BC601" t="s">
        <v>182</v>
      </c>
      <c r="BD601" t="s">
        <v>182</v>
      </c>
      <c r="BE601" t="s">
        <v>383</v>
      </c>
      <c r="BF601">
        <v>1</v>
      </c>
      <c r="BG601">
        <v>1</v>
      </c>
      <c r="BH601">
        <v>2002</v>
      </c>
      <c r="BI601" t="s">
        <v>8509</v>
      </c>
      <c r="BJ601" t="s">
        <v>194</v>
      </c>
      <c r="BK601" t="s">
        <v>195</v>
      </c>
      <c r="BL601" t="s">
        <v>199</v>
      </c>
      <c r="BM601" t="s">
        <v>292</v>
      </c>
      <c r="BN601" t="s">
        <v>182</v>
      </c>
      <c r="BO601" t="s">
        <v>8510</v>
      </c>
      <c r="BP601" t="s">
        <v>8325</v>
      </c>
      <c r="BQ601" t="s">
        <v>800</v>
      </c>
      <c r="BR601" t="s">
        <v>563</v>
      </c>
      <c r="BS601" t="s">
        <v>8511</v>
      </c>
      <c r="BT601" t="s">
        <v>8512</v>
      </c>
      <c r="BU601" t="s">
        <v>182</v>
      </c>
      <c r="BV601" t="s">
        <v>198</v>
      </c>
      <c r="BW601" t="s">
        <v>198</v>
      </c>
      <c r="BX601" t="s">
        <v>199</v>
      </c>
      <c r="BY601" t="s">
        <v>198</v>
      </c>
      <c r="BZ601" t="s">
        <v>199</v>
      </c>
      <c r="CA601" t="s">
        <v>199</v>
      </c>
      <c r="CB601" t="s">
        <v>8513</v>
      </c>
      <c r="CC601" t="s">
        <v>201</v>
      </c>
      <c r="CD601" t="s">
        <v>182</v>
      </c>
      <c r="CE601" t="s">
        <v>8514</v>
      </c>
      <c r="CF601" t="s">
        <v>2333</v>
      </c>
      <c r="CG601" t="s">
        <v>177</v>
      </c>
      <c r="CH601" t="s">
        <v>2334</v>
      </c>
      <c r="CI601" t="s">
        <v>8515</v>
      </c>
      <c r="CJ601" t="s">
        <v>7758</v>
      </c>
      <c r="CK601" t="s">
        <v>232</v>
      </c>
      <c r="CL601" t="s">
        <v>233</v>
      </c>
      <c r="CM601" t="s">
        <v>8516</v>
      </c>
      <c r="CN601" t="s">
        <v>235</v>
      </c>
      <c r="CO601" t="s">
        <v>183</v>
      </c>
      <c r="CP601" t="s">
        <v>211</v>
      </c>
      <c r="CQ601" t="s">
        <v>199</v>
      </c>
      <c r="CS601" t="s">
        <v>7467</v>
      </c>
      <c r="DC601" t="s">
        <v>198</v>
      </c>
      <c r="DM601" t="s">
        <v>198</v>
      </c>
      <c r="DW601" t="s">
        <v>198</v>
      </c>
      <c r="EG601" t="s">
        <v>198</v>
      </c>
      <c r="EQ601" t="s">
        <v>198</v>
      </c>
      <c r="FA601" t="s">
        <v>198</v>
      </c>
      <c r="FK601" t="s">
        <v>198</v>
      </c>
      <c r="FU601" t="s">
        <v>198</v>
      </c>
    </row>
    <row r="602" spans="1:177">
      <c r="A602" s="1" t="str">
        <f>HYPERLINK("http://digipan.lumentumllc.com/apps/getLink/index.php?t=PropLink&amp;p=15739479","PL")</f>
        <v>PL</v>
      </c>
      <c r="B602" s="1" t="str">
        <f>HYPERLINK("http://digipan.lumentumllc.com/apps/getLink/index.php?t=TaxLink&amp;p=15739479","TL")</f>
        <v>TL</v>
      </c>
      <c r="C602" s="1" t="str">
        <f>HYPERLINK("http://digipan.lumentumllc.com/apps/getMap/index.php?p=15739479","Map")</f>
        <v>Map</v>
      </c>
      <c r="E602" t="s">
        <v>177</v>
      </c>
      <c r="F602" t="s">
        <v>178</v>
      </c>
      <c r="L602" t="s">
        <v>8517</v>
      </c>
      <c r="N602" t="s">
        <v>8517</v>
      </c>
      <c r="O602" t="s">
        <v>8517</v>
      </c>
      <c r="Q602" t="s">
        <v>8517</v>
      </c>
      <c r="V602">
        <v>694</v>
      </c>
      <c r="W602">
        <v>3</v>
      </c>
      <c r="X602">
        <v>2017</v>
      </c>
      <c r="Y602">
        <v>2018</v>
      </c>
      <c r="Z602">
        <v>1405.42</v>
      </c>
      <c r="AB602" t="s">
        <v>181</v>
      </c>
      <c r="AC602" t="s">
        <v>182</v>
      </c>
      <c r="AD602" t="s">
        <v>183</v>
      </c>
      <c r="AE602">
        <v>1</v>
      </c>
      <c r="AF602">
        <v>0</v>
      </c>
      <c r="AG602" t="s">
        <v>1200</v>
      </c>
      <c r="AH602">
        <v>0</v>
      </c>
      <c r="AI602">
        <v>1381.61</v>
      </c>
      <c r="AJ602">
        <v>69.08</v>
      </c>
      <c r="AK602">
        <v>1450.69</v>
      </c>
      <c r="AL602">
        <v>179569</v>
      </c>
      <c r="AM602">
        <v>15000</v>
      </c>
      <c r="AN602">
        <v>164569</v>
      </c>
      <c r="AO602">
        <v>1253</v>
      </c>
      <c r="AP602">
        <v>2016</v>
      </c>
      <c r="AQ602">
        <v>0.78</v>
      </c>
      <c r="AR602">
        <v>0.81</v>
      </c>
      <c r="AS602" t="s">
        <v>8518</v>
      </c>
      <c r="AT602" t="s">
        <v>3747</v>
      </c>
      <c r="AU602" t="s">
        <v>177</v>
      </c>
      <c r="AV602" t="s">
        <v>1030</v>
      </c>
      <c r="AW602" t="s">
        <v>202</v>
      </c>
      <c r="AX602">
        <v>1</v>
      </c>
      <c r="AY602" t="s">
        <v>188</v>
      </c>
      <c r="AZ602" t="s">
        <v>206</v>
      </c>
      <c r="BA602" t="s">
        <v>355</v>
      </c>
      <c r="BB602" t="s">
        <v>191</v>
      </c>
      <c r="BC602" t="s">
        <v>182</v>
      </c>
      <c r="BD602" t="s">
        <v>182</v>
      </c>
      <c r="BE602" t="s">
        <v>383</v>
      </c>
      <c r="BF602">
        <v>1</v>
      </c>
      <c r="BG602">
        <v>1</v>
      </c>
      <c r="BH602">
        <v>1979</v>
      </c>
      <c r="BI602" t="s">
        <v>8519</v>
      </c>
      <c r="BJ602" t="s">
        <v>194</v>
      </c>
      <c r="BK602" t="s">
        <v>195</v>
      </c>
      <c r="BL602" t="s">
        <v>199</v>
      </c>
      <c r="BM602" t="s">
        <v>410</v>
      </c>
      <c r="BN602" t="s">
        <v>182</v>
      </c>
      <c r="BO602" t="s">
        <v>198</v>
      </c>
      <c r="BP602" t="s">
        <v>198</v>
      </c>
      <c r="BQ602" t="s">
        <v>198</v>
      </c>
      <c r="BR602" t="s">
        <v>198</v>
      </c>
      <c r="BS602" t="s">
        <v>198</v>
      </c>
      <c r="BT602" t="s">
        <v>198</v>
      </c>
      <c r="BU602" t="s">
        <v>182</v>
      </c>
      <c r="BV602" t="s">
        <v>198</v>
      </c>
      <c r="BW602" t="s">
        <v>198</v>
      </c>
      <c r="BX602" t="s">
        <v>199</v>
      </c>
      <c r="BY602" t="s">
        <v>198</v>
      </c>
      <c r="BZ602" t="s">
        <v>199</v>
      </c>
      <c r="CA602" t="s">
        <v>199</v>
      </c>
      <c r="CB602" t="s">
        <v>8520</v>
      </c>
      <c r="CC602" t="s">
        <v>201</v>
      </c>
      <c r="CD602" t="s">
        <v>202</v>
      </c>
      <c r="CE602" t="s">
        <v>8521</v>
      </c>
      <c r="CF602" t="s">
        <v>1029</v>
      </c>
      <c r="CG602" t="s">
        <v>177</v>
      </c>
      <c r="CH602" t="s">
        <v>1030</v>
      </c>
      <c r="CI602" t="s">
        <v>4659</v>
      </c>
      <c r="CJ602" t="s">
        <v>7808</v>
      </c>
      <c r="CK602" t="s">
        <v>232</v>
      </c>
      <c r="CL602" t="s">
        <v>233</v>
      </c>
      <c r="CM602" t="s">
        <v>8522</v>
      </c>
      <c r="CN602" t="s">
        <v>235</v>
      </c>
      <c r="CO602" t="s">
        <v>183</v>
      </c>
      <c r="CP602" t="s">
        <v>266</v>
      </c>
      <c r="CS602" t="s">
        <v>198</v>
      </c>
      <c r="DC602" t="s">
        <v>198</v>
      </c>
      <c r="DM602" t="s">
        <v>198</v>
      </c>
      <c r="DW602" t="s">
        <v>198</v>
      </c>
      <c r="EG602" t="s">
        <v>198</v>
      </c>
      <c r="EQ602" t="s">
        <v>198</v>
      </c>
      <c r="FA602" t="s">
        <v>198</v>
      </c>
      <c r="FK602" t="s">
        <v>198</v>
      </c>
      <c r="FU602" t="s">
        <v>198</v>
      </c>
    </row>
    <row r="603" spans="1:177">
      <c r="A603" s="1" t="str">
        <f>HYPERLINK("http://digipan.lumentumllc.com/apps/getLink/index.php?t=PropLink&amp;p=6886652","PL")</f>
        <v>PL</v>
      </c>
      <c r="B603" s="1" t="str">
        <f>HYPERLINK("http://digipan.lumentumllc.com/apps/getLink/index.php?t=TaxLink&amp;p=6886652","TL")</f>
        <v>TL</v>
      </c>
      <c r="C603" s="1" t="str">
        <f>HYPERLINK("http://digipan.lumentumllc.com/apps/getMap/index.php?p=6886652","Map")</f>
        <v>Map</v>
      </c>
      <c r="E603" t="s">
        <v>177</v>
      </c>
      <c r="F603" t="s">
        <v>178</v>
      </c>
      <c r="L603" t="s">
        <v>8523</v>
      </c>
      <c r="N603" t="s">
        <v>8523</v>
      </c>
      <c r="O603" t="s">
        <v>8523</v>
      </c>
      <c r="P603" t="s">
        <v>8524</v>
      </c>
      <c r="Q603" t="s">
        <v>8523</v>
      </c>
      <c r="V603">
        <v>696</v>
      </c>
      <c r="W603">
        <v>3</v>
      </c>
      <c r="X603">
        <v>2017</v>
      </c>
      <c r="Y603">
        <v>2018</v>
      </c>
      <c r="Z603">
        <v>635.02</v>
      </c>
      <c r="AB603" t="s">
        <v>181</v>
      </c>
      <c r="AC603" t="s">
        <v>182</v>
      </c>
      <c r="AD603" t="s">
        <v>183</v>
      </c>
      <c r="AE603">
        <v>0</v>
      </c>
      <c r="AF603">
        <v>3</v>
      </c>
      <c r="AG603" t="s">
        <v>381</v>
      </c>
      <c r="AH603">
        <v>100</v>
      </c>
      <c r="AK603">
        <v>0</v>
      </c>
      <c r="AL603">
        <v>37507</v>
      </c>
      <c r="AM603">
        <v>22500</v>
      </c>
      <c r="AN603">
        <v>15007</v>
      </c>
      <c r="AO603">
        <v>507</v>
      </c>
      <c r="AP603">
        <v>2016</v>
      </c>
      <c r="AQ603">
        <v>1.69</v>
      </c>
      <c r="AS603" t="s">
        <v>8525</v>
      </c>
      <c r="AT603" t="s">
        <v>3747</v>
      </c>
      <c r="AU603" t="s">
        <v>177</v>
      </c>
      <c r="AV603" t="s">
        <v>1030</v>
      </c>
      <c r="AW603" t="s">
        <v>182</v>
      </c>
      <c r="AX603">
        <v>2</v>
      </c>
      <c r="AY603" t="s">
        <v>188</v>
      </c>
      <c r="AZ603" t="s">
        <v>189</v>
      </c>
      <c r="BA603" t="s">
        <v>190</v>
      </c>
      <c r="BB603" t="s">
        <v>191</v>
      </c>
      <c r="BC603" t="s">
        <v>182</v>
      </c>
      <c r="BD603" t="s">
        <v>182</v>
      </c>
      <c r="BE603" t="s">
        <v>2589</v>
      </c>
      <c r="BF603">
        <v>1</v>
      </c>
      <c r="BG603">
        <v>1</v>
      </c>
      <c r="BH603">
        <v>1964</v>
      </c>
      <c r="BI603" t="s">
        <v>8526</v>
      </c>
      <c r="BJ603" t="s">
        <v>194</v>
      </c>
      <c r="BK603" t="s">
        <v>195</v>
      </c>
      <c r="BL603" t="s">
        <v>199</v>
      </c>
      <c r="BM603" t="s">
        <v>273</v>
      </c>
      <c r="BN603" t="s">
        <v>182</v>
      </c>
      <c r="BO603" t="s">
        <v>198</v>
      </c>
      <c r="BP603" t="s">
        <v>198</v>
      </c>
      <c r="BQ603" t="s">
        <v>198</v>
      </c>
      <c r="BR603" t="s">
        <v>198</v>
      </c>
      <c r="BS603" t="s">
        <v>198</v>
      </c>
      <c r="BT603" t="s">
        <v>198</v>
      </c>
      <c r="BU603" t="s">
        <v>182</v>
      </c>
      <c r="BV603" t="s">
        <v>198</v>
      </c>
      <c r="BW603" t="s">
        <v>198</v>
      </c>
      <c r="BX603" t="s">
        <v>199</v>
      </c>
      <c r="BY603" t="s">
        <v>198</v>
      </c>
      <c r="BZ603" t="s">
        <v>199</v>
      </c>
      <c r="CA603" t="s">
        <v>199</v>
      </c>
      <c r="CB603" t="s">
        <v>8527</v>
      </c>
      <c r="CC603" t="s">
        <v>201</v>
      </c>
      <c r="CD603" t="s">
        <v>182</v>
      </c>
      <c r="CE603" t="s">
        <v>8528</v>
      </c>
      <c r="CF603" t="s">
        <v>8529</v>
      </c>
      <c r="CG603" t="s">
        <v>1602</v>
      </c>
      <c r="CH603" t="s">
        <v>8530</v>
      </c>
      <c r="CI603" t="s">
        <v>8531</v>
      </c>
      <c r="CJ603" t="s">
        <v>8532</v>
      </c>
      <c r="CK603" t="s">
        <v>232</v>
      </c>
      <c r="CL603" t="s">
        <v>233</v>
      </c>
      <c r="CM603" t="s">
        <v>8533</v>
      </c>
      <c r="CN603" t="s">
        <v>235</v>
      </c>
      <c r="CO603" t="s">
        <v>183</v>
      </c>
      <c r="CP603" t="s">
        <v>211</v>
      </c>
      <c r="CQ603" t="s">
        <v>296</v>
      </c>
      <c r="CS603" t="s">
        <v>8534</v>
      </c>
      <c r="CT603" t="s">
        <v>5221</v>
      </c>
      <c r="CU603" t="s">
        <v>292</v>
      </c>
      <c r="CV603" t="s">
        <v>293</v>
      </c>
      <c r="CW603" t="s">
        <v>8535</v>
      </c>
      <c r="CX603" t="s">
        <v>235</v>
      </c>
      <c r="CY603" t="s">
        <v>183</v>
      </c>
      <c r="CZ603" t="s">
        <v>211</v>
      </c>
      <c r="DA603" t="s">
        <v>206</v>
      </c>
      <c r="DC603" t="s">
        <v>8536</v>
      </c>
      <c r="DD603" t="s">
        <v>5177</v>
      </c>
      <c r="DE603" t="s">
        <v>267</v>
      </c>
      <c r="DF603" t="s">
        <v>268</v>
      </c>
      <c r="DG603" t="s">
        <v>8537</v>
      </c>
      <c r="DH603" t="s">
        <v>511</v>
      </c>
      <c r="DI603" t="s">
        <v>183</v>
      </c>
      <c r="DJ603" t="s">
        <v>211</v>
      </c>
      <c r="DK603" t="s">
        <v>250</v>
      </c>
      <c r="DM603" t="s">
        <v>8538</v>
      </c>
      <c r="DW603" t="s">
        <v>198</v>
      </c>
      <c r="EG603" t="s">
        <v>198</v>
      </c>
      <c r="EQ603" t="s">
        <v>198</v>
      </c>
      <c r="FA603" t="s">
        <v>198</v>
      </c>
      <c r="FK603" t="s">
        <v>198</v>
      </c>
      <c r="FU603" t="s">
        <v>198</v>
      </c>
    </row>
    <row r="604" spans="1:177">
      <c r="A604" s="1" t="str">
        <f>HYPERLINK("http://digipan.lumentumllc.com/apps/getLink/index.php?t=PropLink&amp;p=15739948","PL")</f>
        <v>PL</v>
      </c>
      <c r="B604" s="1" t="str">
        <f>HYPERLINK("http://digipan.lumentumllc.com/apps/getLink/index.php?t=TaxLink&amp;p=15739948","TL")</f>
        <v>TL</v>
      </c>
      <c r="C604" s="1" t="str">
        <f>HYPERLINK("http://digipan.lumentumllc.com/apps/getMap/index.php?p=15739948","Map")</f>
        <v>Map</v>
      </c>
      <c r="E604" t="s">
        <v>177</v>
      </c>
      <c r="F604" t="s">
        <v>178</v>
      </c>
      <c r="L604" t="s">
        <v>8539</v>
      </c>
      <c r="N604" t="s">
        <v>8539</v>
      </c>
      <c r="O604" t="s">
        <v>8539</v>
      </c>
      <c r="Q604" t="s">
        <v>8539</v>
      </c>
      <c r="V604">
        <v>697</v>
      </c>
      <c r="W604">
        <v>3</v>
      </c>
      <c r="X604">
        <v>2017</v>
      </c>
      <c r="Y604">
        <v>2018</v>
      </c>
      <c r="Z604">
        <v>538.61</v>
      </c>
      <c r="AG604" t="s">
        <v>184</v>
      </c>
      <c r="AH604">
        <v>0</v>
      </c>
      <c r="AK604">
        <v>0</v>
      </c>
      <c r="AL604">
        <v>89757</v>
      </c>
      <c r="AM604">
        <v>24000</v>
      </c>
      <c r="AN604">
        <v>65757</v>
      </c>
      <c r="AO604">
        <v>468</v>
      </c>
      <c r="AP604">
        <v>2016</v>
      </c>
      <c r="AQ604">
        <v>0.6</v>
      </c>
      <c r="AS604" t="s">
        <v>8540</v>
      </c>
      <c r="AT604" t="s">
        <v>3747</v>
      </c>
      <c r="AU604" t="s">
        <v>177</v>
      </c>
      <c r="AV604" t="s">
        <v>1030</v>
      </c>
      <c r="AW604" t="s">
        <v>202</v>
      </c>
      <c r="AX604">
        <v>1</v>
      </c>
      <c r="AY604" t="s">
        <v>188</v>
      </c>
      <c r="AZ604" t="s">
        <v>206</v>
      </c>
      <c r="BA604" t="s">
        <v>355</v>
      </c>
      <c r="BB604" t="s">
        <v>191</v>
      </c>
      <c r="BC604" t="s">
        <v>182</v>
      </c>
      <c r="BD604" t="s">
        <v>182</v>
      </c>
      <c r="BE604" t="s">
        <v>365</v>
      </c>
      <c r="BF604">
        <v>1</v>
      </c>
      <c r="BG604">
        <v>1</v>
      </c>
      <c r="BH604">
        <v>1972</v>
      </c>
      <c r="BI604" t="s">
        <v>8541</v>
      </c>
      <c r="BJ604" t="s">
        <v>194</v>
      </c>
      <c r="BK604" t="s">
        <v>195</v>
      </c>
      <c r="BL604" t="s">
        <v>199</v>
      </c>
      <c r="BM604" t="s">
        <v>232</v>
      </c>
      <c r="BN604" t="s">
        <v>182</v>
      </c>
      <c r="BO604" t="s">
        <v>198</v>
      </c>
      <c r="BP604" t="s">
        <v>198</v>
      </c>
      <c r="BQ604" t="s">
        <v>198</v>
      </c>
      <c r="BR604" t="s">
        <v>198</v>
      </c>
      <c r="BS604" t="s">
        <v>198</v>
      </c>
      <c r="BT604" t="s">
        <v>198</v>
      </c>
      <c r="BU604" t="s">
        <v>182</v>
      </c>
      <c r="BV604" t="s">
        <v>198</v>
      </c>
      <c r="BW604" t="s">
        <v>198</v>
      </c>
      <c r="BX604" t="s">
        <v>199</v>
      </c>
      <c r="BY604" t="s">
        <v>198</v>
      </c>
      <c r="BZ604" t="s">
        <v>199</v>
      </c>
      <c r="CA604" t="s">
        <v>199</v>
      </c>
      <c r="CB604" t="s">
        <v>8542</v>
      </c>
      <c r="CC604" t="s">
        <v>201</v>
      </c>
      <c r="CD604" t="s">
        <v>202</v>
      </c>
      <c r="CE604" t="s">
        <v>8543</v>
      </c>
      <c r="CF604" t="s">
        <v>1029</v>
      </c>
      <c r="CG604" t="s">
        <v>177</v>
      </c>
      <c r="CH604" t="s">
        <v>1030</v>
      </c>
      <c r="CI604" t="s">
        <v>8544</v>
      </c>
      <c r="CS604" t="s">
        <v>198</v>
      </c>
      <c r="DC604" t="s">
        <v>198</v>
      </c>
      <c r="DM604" t="s">
        <v>198</v>
      </c>
      <c r="DW604" t="s">
        <v>198</v>
      </c>
      <c r="EG604" t="s">
        <v>198</v>
      </c>
      <c r="EQ604" t="s">
        <v>198</v>
      </c>
      <c r="FA604" t="s">
        <v>198</v>
      </c>
      <c r="FK604" t="s">
        <v>198</v>
      </c>
      <c r="FU604" t="s">
        <v>198</v>
      </c>
    </row>
    <row r="605" spans="1:177">
      <c r="A605" s="1" t="str">
        <f>HYPERLINK("http://digipan.lumentumllc.com/apps/getLink/index.php?t=PropLink&amp;p=5244977","PL")</f>
        <v>PL</v>
      </c>
      <c r="B605" s="1" t="str">
        <f>HYPERLINK("http://digipan.lumentumllc.com/apps/getLink/index.php?t=TaxLink&amp;p=5244977","TL")</f>
        <v>TL</v>
      </c>
      <c r="C605" s="1" t="str">
        <f>HYPERLINK("http://digipan.lumentumllc.com/apps/getMap/index.php?p=5244977","Map")</f>
        <v>Map</v>
      </c>
      <c r="E605" t="s">
        <v>177</v>
      </c>
      <c r="F605" t="s">
        <v>178</v>
      </c>
      <c r="L605" t="s">
        <v>8545</v>
      </c>
      <c r="N605" t="s">
        <v>8545</v>
      </c>
      <c r="O605" t="s">
        <v>8545</v>
      </c>
      <c r="P605" t="s">
        <v>8546</v>
      </c>
      <c r="Q605" t="s">
        <v>8545</v>
      </c>
      <c r="V605">
        <v>698</v>
      </c>
      <c r="W605">
        <v>3</v>
      </c>
      <c r="X605">
        <v>2017</v>
      </c>
      <c r="Y605">
        <v>2018</v>
      </c>
      <c r="Z605">
        <v>896.47</v>
      </c>
      <c r="AB605" t="s">
        <v>181</v>
      </c>
      <c r="AC605" t="s">
        <v>182</v>
      </c>
      <c r="AD605" t="s">
        <v>183</v>
      </c>
      <c r="AE605">
        <v>1</v>
      </c>
      <c r="AF605">
        <v>7</v>
      </c>
      <c r="AG605" t="s">
        <v>418</v>
      </c>
      <c r="AH605">
        <v>86</v>
      </c>
      <c r="AI605">
        <v>726.71</v>
      </c>
      <c r="AJ605">
        <v>36.340000000000003</v>
      </c>
      <c r="AK605">
        <v>763.05</v>
      </c>
      <c r="AL605">
        <v>61133</v>
      </c>
      <c r="AM605">
        <v>17100</v>
      </c>
      <c r="AN605">
        <v>44033</v>
      </c>
      <c r="AO605">
        <v>647</v>
      </c>
      <c r="AP605">
        <v>2016</v>
      </c>
      <c r="AQ605">
        <v>1.47</v>
      </c>
      <c r="AR605">
        <v>1.25</v>
      </c>
      <c r="AS605" t="s">
        <v>8547</v>
      </c>
      <c r="AT605" t="s">
        <v>3747</v>
      </c>
      <c r="AU605" t="s">
        <v>177</v>
      </c>
      <c r="AV605" t="s">
        <v>1030</v>
      </c>
      <c r="AW605" t="s">
        <v>182</v>
      </c>
      <c r="AX605">
        <v>2</v>
      </c>
      <c r="AY605" t="s">
        <v>188</v>
      </c>
      <c r="AZ605" t="s">
        <v>189</v>
      </c>
      <c r="BA605" t="s">
        <v>190</v>
      </c>
      <c r="BB605" t="s">
        <v>191</v>
      </c>
      <c r="BC605" t="s">
        <v>182</v>
      </c>
      <c r="BD605" t="s">
        <v>182</v>
      </c>
      <c r="BE605" t="s">
        <v>2393</v>
      </c>
      <c r="BF605">
        <v>1</v>
      </c>
      <c r="BG605">
        <v>1</v>
      </c>
      <c r="BH605">
        <v>1994</v>
      </c>
      <c r="BI605" t="s">
        <v>8548</v>
      </c>
      <c r="BJ605" t="s">
        <v>194</v>
      </c>
      <c r="BK605" t="s">
        <v>195</v>
      </c>
      <c r="BL605" t="s">
        <v>6211</v>
      </c>
      <c r="BM605" t="s">
        <v>1332</v>
      </c>
      <c r="BN605" t="s">
        <v>182</v>
      </c>
      <c r="BO605" t="s">
        <v>8549</v>
      </c>
      <c r="BP605" t="s">
        <v>2911</v>
      </c>
      <c r="BQ605" t="s">
        <v>226</v>
      </c>
      <c r="BR605" t="s">
        <v>227</v>
      </c>
      <c r="BS605" t="s">
        <v>198</v>
      </c>
      <c r="BT605" t="s">
        <v>228</v>
      </c>
      <c r="BU605" t="s">
        <v>182</v>
      </c>
      <c r="BV605" t="s">
        <v>198</v>
      </c>
      <c r="BW605" t="s">
        <v>198</v>
      </c>
      <c r="BX605" t="s">
        <v>199</v>
      </c>
      <c r="BY605" t="s">
        <v>198</v>
      </c>
      <c r="BZ605" t="s">
        <v>199</v>
      </c>
      <c r="CA605" t="s">
        <v>199</v>
      </c>
      <c r="CB605" t="s">
        <v>8550</v>
      </c>
      <c r="CC605" t="s">
        <v>201</v>
      </c>
      <c r="CD605" t="s">
        <v>202</v>
      </c>
      <c r="CE605" t="s">
        <v>8551</v>
      </c>
      <c r="CF605" t="s">
        <v>1029</v>
      </c>
      <c r="CG605" t="s">
        <v>177</v>
      </c>
      <c r="CH605" t="s">
        <v>1030</v>
      </c>
      <c r="CI605" t="s">
        <v>8552</v>
      </c>
      <c r="CJ605" t="s">
        <v>5160</v>
      </c>
      <c r="CK605" t="s">
        <v>232</v>
      </c>
      <c r="CL605" t="s">
        <v>233</v>
      </c>
      <c r="CM605" t="s">
        <v>8553</v>
      </c>
      <c r="CN605" t="s">
        <v>235</v>
      </c>
      <c r="CO605" t="s">
        <v>183</v>
      </c>
      <c r="CP605" t="s">
        <v>266</v>
      </c>
      <c r="CS605" t="s">
        <v>198</v>
      </c>
      <c r="CT605" t="s">
        <v>8409</v>
      </c>
      <c r="CU605" t="s">
        <v>292</v>
      </c>
      <c r="CV605" t="s">
        <v>293</v>
      </c>
      <c r="CW605" t="s">
        <v>8554</v>
      </c>
      <c r="CX605" t="s">
        <v>235</v>
      </c>
      <c r="CY605" t="s">
        <v>183</v>
      </c>
      <c r="CZ605" t="s">
        <v>211</v>
      </c>
      <c r="DA605" t="s">
        <v>345</v>
      </c>
      <c r="DC605" t="s">
        <v>6851</v>
      </c>
      <c r="DD605" t="s">
        <v>5204</v>
      </c>
      <c r="DE605" t="s">
        <v>267</v>
      </c>
      <c r="DF605" t="s">
        <v>268</v>
      </c>
      <c r="DG605" t="s">
        <v>8555</v>
      </c>
      <c r="DH605" t="s">
        <v>235</v>
      </c>
      <c r="DI605" t="s">
        <v>183</v>
      </c>
      <c r="DJ605" t="s">
        <v>211</v>
      </c>
      <c r="DK605" t="s">
        <v>334</v>
      </c>
      <c r="DM605" t="s">
        <v>8556</v>
      </c>
      <c r="DN605" t="s">
        <v>8557</v>
      </c>
      <c r="DO605" t="s">
        <v>273</v>
      </c>
      <c r="DP605" t="s">
        <v>274</v>
      </c>
      <c r="DQ605" t="s">
        <v>8558</v>
      </c>
      <c r="DR605" t="s">
        <v>235</v>
      </c>
      <c r="DS605" t="s">
        <v>183</v>
      </c>
      <c r="DT605" t="s">
        <v>211</v>
      </c>
      <c r="DU605" t="s">
        <v>298</v>
      </c>
      <c r="DW605" t="s">
        <v>1069</v>
      </c>
      <c r="DX605" t="s">
        <v>5813</v>
      </c>
      <c r="DY605" t="s">
        <v>302</v>
      </c>
      <c r="DZ605" t="s">
        <v>303</v>
      </c>
      <c r="EA605" t="s">
        <v>8559</v>
      </c>
      <c r="EB605" t="s">
        <v>440</v>
      </c>
      <c r="EC605" t="s">
        <v>183</v>
      </c>
      <c r="ED605" t="s">
        <v>211</v>
      </c>
      <c r="EE605" t="s">
        <v>345</v>
      </c>
      <c r="EG605" t="s">
        <v>2598</v>
      </c>
      <c r="EH605" t="s">
        <v>8560</v>
      </c>
      <c r="EI605" t="s">
        <v>238</v>
      </c>
      <c r="EJ605" t="s">
        <v>239</v>
      </c>
      <c r="EK605" t="s">
        <v>8561</v>
      </c>
      <c r="EL605" t="s">
        <v>295</v>
      </c>
      <c r="EM605" t="s">
        <v>183</v>
      </c>
      <c r="EN605" t="s">
        <v>211</v>
      </c>
      <c r="EO605" t="s">
        <v>298</v>
      </c>
      <c r="EQ605" t="s">
        <v>1815</v>
      </c>
      <c r="ER605" t="s">
        <v>8562</v>
      </c>
      <c r="ES605" t="s">
        <v>346</v>
      </c>
      <c r="ET605" t="s">
        <v>347</v>
      </c>
      <c r="EU605" t="s">
        <v>8563</v>
      </c>
      <c r="EV605" t="s">
        <v>341</v>
      </c>
      <c r="EW605" t="s">
        <v>183</v>
      </c>
      <c r="EX605" t="s">
        <v>211</v>
      </c>
      <c r="EY605" t="s">
        <v>337</v>
      </c>
      <c r="FA605" t="s">
        <v>1314</v>
      </c>
      <c r="FB605" t="s">
        <v>2255</v>
      </c>
      <c r="FC605" t="s">
        <v>207</v>
      </c>
      <c r="FD605" t="s">
        <v>208</v>
      </c>
      <c r="FE605" t="s">
        <v>8564</v>
      </c>
      <c r="FF605" t="s">
        <v>576</v>
      </c>
      <c r="FG605" t="s">
        <v>183</v>
      </c>
      <c r="FH605" t="s">
        <v>211</v>
      </c>
      <c r="FI605" t="s">
        <v>298</v>
      </c>
      <c r="FK605" t="s">
        <v>5492</v>
      </c>
      <c r="FU605" t="s">
        <v>198</v>
      </c>
    </row>
    <row r="606" spans="1:177">
      <c r="A606" s="1" t="str">
        <f>HYPERLINK("http://digipan.lumentumllc.com/apps/getLink/index.php?t=PropLink&amp;p=7112362","PL")</f>
        <v>PL</v>
      </c>
      <c r="B606" s="1" t="str">
        <f>HYPERLINK("http://digipan.lumentumllc.com/apps/getLink/index.php?t=TaxLink&amp;p=7112362","TL")</f>
        <v>TL</v>
      </c>
      <c r="C606" s="1" t="str">
        <f>HYPERLINK("http://digipan.lumentumllc.com/apps/getMap/index.php?p=7112362","Map")</f>
        <v>Map</v>
      </c>
      <c r="E606" t="s">
        <v>177</v>
      </c>
      <c r="F606" t="s">
        <v>178</v>
      </c>
      <c r="L606" t="s">
        <v>8565</v>
      </c>
      <c r="N606" t="s">
        <v>8565</v>
      </c>
      <c r="O606" t="s">
        <v>8565</v>
      </c>
      <c r="P606" t="s">
        <v>8566</v>
      </c>
      <c r="Q606" t="s">
        <v>8565</v>
      </c>
      <c r="V606">
        <v>699</v>
      </c>
      <c r="W606">
        <v>3</v>
      </c>
      <c r="X606">
        <v>2017</v>
      </c>
      <c r="Y606">
        <v>2018</v>
      </c>
      <c r="Z606">
        <v>349.37</v>
      </c>
      <c r="AB606" t="s">
        <v>181</v>
      </c>
      <c r="AC606" t="s">
        <v>182</v>
      </c>
      <c r="AD606" t="s">
        <v>183</v>
      </c>
      <c r="AE606">
        <v>1</v>
      </c>
      <c r="AF606">
        <v>1</v>
      </c>
      <c r="AG606" t="s">
        <v>2222</v>
      </c>
      <c r="AH606">
        <v>50</v>
      </c>
      <c r="AI606">
        <v>294.33</v>
      </c>
      <c r="AJ606">
        <v>14.72</v>
      </c>
      <c r="AK606">
        <v>309.05</v>
      </c>
      <c r="AL606">
        <v>23907</v>
      </c>
      <c r="AM606">
        <v>16200</v>
      </c>
      <c r="AN606">
        <v>7707</v>
      </c>
      <c r="AO606">
        <v>247</v>
      </c>
      <c r="AP606">
        <v>2016</v>
      </c>
      <c r="AQ606">
        <v>1.46</v>
      </c>
      <c r="AR606">
        <v>1.29</v>
      </c>
      <c r="AS606" t="s">
        <v>8567</v>
      </c>
      <c r="AT606" t="s">
        <v>3747</v>
      </c>
      <c r="AU606" t="s">
        <v>177</v>
      </c>
      <c r="AV606" t="s">
        <v>1030</v>
      </c>
      <c r="AW606" t="s">
        <v>182</v>
      </c>
      <c r="AX606">
        <v>0</v>
      </c>
      <c r="AY606" t="s">
        <v>312</v>
      </c>
      <c r="AZ606" t="s">
        <v>199</v>
      </c>
      <c r="BA606" t="s">
        <v>313</v>
      </c>
      <c r="BB606" t="s">
        <v>191</v>
      </c>
      <c r="BC606" t="s">
        <v>182</v>
      </c>
      <c r="BD606" t="s">
        <v>182</v>
      </c>
      <c r="BE606" t="s">
        <v>4604</v>
      </c>
      <c r="BF606">
        <v>0</v>
      </c>
      <c r="BG606">
        <v>0</v>
      </c>
      <c r="BH606">
        <v>0</v>
      </c>
      <c r="BI606" t="s">
        <v>199</v>
      </c>
      <c r="BJ606" t="s">
        <v>248</v>
      </c>
      <c r="BL606" t="s">
        <v>199</v>
      </c>
      <c r="BM606" t="s">
        <v>410</v>
      </c>
      <c r="BN606" t="s">
        <v>182</v>
      </c>
      <c r="BO606" t="s">
        <v>198</v>
      </c>
      <c r="BP606" t="s">
        <v>198</v>
      </c>
      <c r="BQ606" t="s">
        <v>198</v>
      </c>
      <c r="BR606" t="s">
        <v>198</v>
      </c>
      <c r="BS606" t="s">
        <v>198</v>
      </c>
      <c r="BT606" t="s">
        <v>198</v>
      </c>
      <c r="BU606" t="s">
        <v>182</v>
      </c>
      <c r="BV606" t="s">
        <v>198</v>
      </c>
      <c r="BW606" t="s">
        <v>198</v>
      </c>
      <c r="BX606" t="s">
        <v>199</v>
      </c>
      <c r="BY606" t="s">
        <v>198</v>
      </c>
      <c r="BZ606" t="s">
        <v>199</v>
      </c>
      <c r="CA606" t="s">
        <v>199</v>
      </c>
      <c r="CB606" t="s">
        <v>8568</v>
      </c>
      <c r="CC606" t="s">
        <v>201</v>
      </c>
      <c r="CD606" t="s">
        <v>182</v>
      </c>
      <c r="CE606" t="s">
        <v>8569</v>
      </c>
      <c r="CF606" t="s">
        <v>5215</v>
      </c>
      <c r="CG606" t="s">
        <v>177</v>
      </c>
      <c r="CH606" t="s">
        <v>7084</v>
      </c>
      <c r="CI606" t="s">
        <v>8570</v>
      </c>
      <c r="CJ606" t="s">
        <v>5177</v>
      </c>
      <c r="CK606" t="s">
        <v>232</v>
      </c>
      <c r="CL606" t="s">
        <v>233</v>
      </c>
      <c r="CM606" t="s">
        <v>8571</v>
      </c>
      <c r="CN606" t="s">
        <v>331</v>
      </c>
      <c r="CO606" t="s">
        <v>183</v>
      </c>
      <c r="CP606" t="s">
        <v>266</v>
      </c>
      <c r="CS606" t="s">
        <v>198</v>
      </c>
      <c r="CT606" t="s">
        <v>8375</v>
      </c>
      <c r="CU606" t="s">
        <v>292</v>
      </c>
      <c r="CV606" t="s">
        <v>293</v>
      </c>
      <c r="CW606" t="s">
        <v>8572</v>
      </c>
      <c r="CX606" t="s">
        <v>408</v>
      </c>
      <c r="CY606" t="s">
        <v>183</v>
      </c>
      <c r="CZ606" t="s">
        <v>211</v>
      </c>
      <c r="DA606" t="s">
        <v>290</v>
      </c>
      <c r="DC606" t="s">
        <v>4025</v>
      </c>
      <c r="DM606" t="s">
        <v>198</v>
      </c>
      <c r="DW606" t="s">
        <v>198</v>
      </c>
      <c r="EG606" t="s">
        <v>198</v>
      </c>
      <c r="EQ606" t="s">
        <v>198</v>
      </c>
      <c r="FA606" t="s">
        <v>198</v>
      </c>
      <c r="FK606" t="s">
        <v>198</v>
      </c>
      <c r="FU606" t="s">
        <v>198</v>
      </c>
    </row>
    <row r="607" spans="1:177">
      <c r="A607" s="1" t="str">
        <f>HYPERLINK("http://digipan.lumentumllc.com/apps/getLink/index.php?t=PropLink&amp;p=5244983","PL")</f>
        <v>PL</v>
      </c>
      <c r="B607" s="1" t="str">
        <f>HYPERLINK("http://digipan.lumentumllc.com/apps/getLink/index.php?t=TaxLink&amp;p=5244983","TL")</f>
        <v>TL</v>
      </c>
      <c r="C607" s="1" t="str">
        <f>HYPERLINK("http://digipan.lumentumllc.com/apps/getMap/index.php?p=5244983","Map")</f>
        <v>Map</v>
      </c>
      <c r="E607" t="s">
        <v>177</v>
      </c>
      <c r="F607" t="s">
        <v>178</v>
      </c>
      <c r="L607" t="s">
        <v>8573</v>
      </c>
      <c r="N607" t="s">
        <v>8573</v>
      </c>
      <c r="O607" t="s">
        <v>8573</v>
      </c>
      <c r="P607" t="s">
        <v>8574</v>
      </c>
      <c r="Q607" t="s">
        <v>8573</v>
      </c>
      <c r="V607">
        <v>700</v>
      </c>
      <c r="W607">
        <v>3</v>
      </c>
      <c r="X607">
        <v>2017</v>
      </c>
      <c r="Y607">
        <v>2018</v>
      </c>
      <c r="Z607">
        <v>1493.02</v>
      </c>
      <c r="AB607" t="s">
        <v>181</v>
      </c>
      <c r="AC607" t="s">
        <v>182</v>
      </c>
      <c r="AD607" t="s">
        <v>183</v>
      </c>
      <c r="AE607">
        <v>1</v>
      </c>
      <c r="AF607">
        <v>4</v>
      </c>
      <c r="AG607" t="s">
        <v>257</v>
      </c>
      <c r="AH607">
        <v>75</v>
      </c>
      <c r="AI607">
        <v>1469.88</v>
      </c>
      <c r="AJ607">
        <v>73.489999999999995</v>
      </c>
      <c r="AK607">
        <v>1543.37</v>
      </c>
      <c r="AL607">
        <v>89235</v>
      </c>
      <c r="AM607">
        <v>34080</v>
      </c>
      <c r="AN607">
        <v>55155</v>
      </c>
      <c r="AO607">
        <v>1334</v>
      </c>
      <c r="AP607">
        <v>2016</v>
      </c>
      <c r="AQ607">
        <v>1.67</v>
      </c>
      <c r="AR607">
        <v>1.73</v>
      </c>
      <c r="AS607" t="s">
        <v>8575</v>
      </c>
      <c r="AT607" t="s">
        <v>3747</v>
      </c>
      <c r="AU607" t="s">
        <v>177</v>
      </c>
      <c r="AV607" t="s">
        <v>1030</v>
      </c>
      <c r="AW607" t="s">
        <v>182</v>
      </c>
      <c r="AX607">
        <v>1</v>
      </c>
      <c r="AY607" t="s">
        <v>188</v>
      </c>
      <c r="AZ607" t="s">
        <v>206</v>
      </c>
      <c r="BA607" t="s">
        <v>355</v>
      </c>
      <c r="BB607" t="s">
        <v>191</v>
      </c>
      <c r="BC607" t="s">
        <v>182</v>
      </c>
      <c r="BD607" t="s">
        <v>182</v>
      </c>
      <c r="BE607" t="s">
        <v>8576</v>
      </c>
      <c r="BF607">
        <v>1</v>
      </c>
      <c r="BG607">
        <v>1</v>
      </c>
      <c r="BH607">
        <v>1940</v>
      </c>
      <c r="BI607" t="s">
        <v>8577</v>
      </c>
      <c r="BJ607" t="s">
        <v>194</v>
      </c>
      <c r="BK607" t="s">
        <v>195</v>
      </c>
      <c r="BL607" t="s">
        <v>199</v>
      </c>
      <c r="BM607" t="s">
        <v>267</v>
      </c>
      <c r="BN607" t="s">
        <v>182</v>
      </c>
      <c r="BO607" t="s">
        <v>198</v>
      </c>
      <c r="BP607" t="s">
        <v>198</v>
      </c>
      <c r="BQ607" t="s">
        <v>198</v>
      </c>
      <c r="BR607" t="s">
        <v>198</v>
      </c>
      <c r="BS607" t="s">
        <v>198</v>
      </c>
      <c r="BT607" t="s">
        <v>198</v>
      </c>
      <c r="BU607" t="s">
        <v>182</v>
      </c>
      <c r="BV607" t="s">
        <v>198</v>
      </c>
      <c r="BW607" t="s">
        <v>198</v>
      </c>
      <c r="BX607" t="s">
        <v>199</v>
      </c>
      <c r="BY607" t="s">
        <v>198</v>
      </c>
      <c r="BZ607" t="s">
        <v>199</v>
      </c>
      <c r="CA607" t="s">
        <v>199</v>
      </c>
      <c r="CB607" t="s">
        <v>8578</v>
      </c>
      <c r="CC607" t="s">
        <v>201</v>
      </c>
      <c r="CD607" t="s">
        <v>202</v>
      </c>
      <c r="CE607" t="s">
        <v>8579</v>
      </c>
      <c r="CF607" t="s">
        <v>1029</v>
      </c>
      <c r="CG607" t="s">
        <v>177</v>
      </c>
      <c r="CH607" t="s">
        <v>1030</v>
      </c>
      <c r="CI607" t="s">
        <v>8580</v>
      </c>
      <c r="CJ607" t="s">
        <v>5204</v>
      </c>
      <c r="CK607" t="s">
        <v>232</v>
      </c>
      <c r="CL607" t="s">
        <v>233</v>
      </c>
      <c r="CM607" t="s">
        <v>8581</v>
      </c>
      <c r="CN607" t="s">
        <v>235</v>
      </c>
      <c r="CO607" t="s">
        <v>183</v>
      </c>
      <c r="CP607" t="s">
        <v>266</v>
      </c>
      <c r="CS607" t="s">
        <v>198</v>
      </c>
      <c r="CT607" t="s">
        <v>8582</v>
      </c>
      <c r="CU607" t="s">
        <v>292</v>
      </c>
      <c r="CV607" t="s">
        <v>293</v>
      </c>
      <c r="CW607" t="s">
        <v>8583</v>
      </c>
      <c r="CX607" t="s">
        <v>235</v>
      </c>
      <c r="CY607" t="s">
        <v>183</v>
      </c>
      <c r="CZ607" t="s">
        <v>211</v>
      </c>
      <c r="DA607" t="s">
        <v>471</v>
      </c>
      <c r="DC607" t="s">
        <v>8584</v>
      </c>
      <c r="DD607" t="s">
        <v>8585</v>
      </c>
      <c r="DE607" t="s">
        <v>238</v>
      </c>
      <c r="DF607" t="s">
        <v>239</v>
      </c>
      <c r="DG607" t="s">
        <v>8586</v>
      </c>
      <c r="DH607" t="s">
        <v>235</v>
      </c>
      <c r="DI607" t="s">
        <v>183</v>
      </c>
      <c r="DJ607" t="s">
        <v>211</v>
      </c>
      <c r="DK607" t="s">
        <v>264</v>
      </c>
      <c r="DM607" t="s">
        <v>8587</v>
      </c>
      <c r="DN607" t="s">
        <v>8588</v>
      </c>
      <c r="DO607" t="s">
        <v>346</v>
      </c>
      <c r="DP607" t="s">
        <v>347</v>
      </c>
      <c r="DQ607" t="s">
        <v>8589</v>
      </c>
      <c r="DR607" t="s">
        <v>235</v>
      </c>
      <c r="DS607" t="s">
        <v>183</v>
      </c>
      <c r="DT607" t="s">
        <v>211</v>
      </c>
      <c r="DU607" t="s">
        <v>471</v>
      </c>
      <c r="DW607" t="s">
        <v>8587</v>
      </c>
      <c r="DX607" t="s">
        <v>8302</v>
      </c>
      <c r="DY607" t="s">
        <v>207</v>
      </c>
      <c r="DZ607" t="s">
        <v>208</v>
      </c>
      <c r="EA607" t="s">
        <v>8590</v>
      </c>
      <c r="EB607" t="s">
        <v>235</v>
      </c>
      <c r="EC607" t="s">
        <v>183</v>
      </c>
      <c r="ED607" t="s">
        <v>211</v>
      </c>
      <c r="EE607" t="s">
        <v>345</v>
      </c>
      <c r="EG607" t="s">
        <v>1355</v>
      </c>
      <c r="EQ607" t="s">
        <v>198</v>
      </c>
      <c r="FA607" t="s">
        <v>198</v>
      </c>
      <c r="FK607" t="s">
        <v>198</v>
      </c>
      <c r="FU607" t="s">
        <v>198</v>
      </c>
    </row>
    <row r="608" spans="1:177">
      <c r="A608" s="1" t="str">
        <f>HYPERLINK("http://digipan.lumentumllc.com/apps/getLink/index.php?t=PropLink&amp;p=5244984","PL")</f>
        <v>PL</v>
      </c>
      <c r="B608" s="1" t="str">
        <f>HYPERLINK("http://digipan.lumentumllc.com/apps/getLink/index.php?t=TaxLink&amp;p=5244984","TL")</f>
        <v>TL</v>
      </c>
      <c r="C608" s="1" t="str">
        <f>HYPERLINK("http://digipan.lumentumllc.com/apps/getMap/index.php?p=5244984","Map")</f>
        <v>Map</v>
      </c>
      <c r="E608" t="s">
        <v>177</v>
      </c>
      <c r="F608" t="s">
        <v>178</v>
      </c>
      <c r="L608" t="s">
        <v>8591</v>
      </c>
      <c r="N608" t="s">
        <v>8591</v>
      </c>
      <c r="O608" t="s">
        <v>8591</v>
      </c>
      <c r="P608" t="s">
        <v>8592</v>
      </c>
      <c r="Q608" t="s">
        <v>8591</v>
      </c>
      <c r="V608">
        <v>701</v>
      </c>
      <c r="W608">
        <v>3</v>
      </c>
      <c r="X608">
        <v>2017</v>
      </c>
      <c r="Y608">
        <v>2018</v>
      </c>
      <c r="Z608">
        <v>781.82</v>
      </c>
      <c r="AB608" t="s">
        <v>181</v>
      </c>
      <c r="AC608" t="s">
        <v>182</v>
      </c>
      <c r="AD608" t="s">
        <v>183</v>
      </c>
      <c r="AE608">
        <v>1</v>
      </c>
      <c r="AF608">
        <v>6</v>
      </c>
      <c r="AG608" t="s">
        <v>322</v>
      </c>
      <c r="AH608">
        <v>83</v>
      </c>
      <c r="AI608">
        <v>761.14</v>
      </c>
      <c r="AJ608">
        <v>38.06</v>
      </c>
      <c r="AK608">
        <v>799.2</v>
      </c>
      <c r="AL608">
        <v>96183</v>
      </c>
      <c r="AM608">
        <v>19500</v>
      </c>
      <c r="AN608">
        <v>76683</v>
      </c>
      <c r="AO608">
        <v>679</v>
      </c>
      <c r="AP608">
        <v>2016</v>
      </c>
      <c r="AQ608">
        <v>0.81</v>
      </c>
      <c r="AR608">
        <v>0.83</v>
      </c>
      <c r="AS608" t="s">
        <v>8593</v>
      </c>
      <c r="AT608" t="s">
        <v>3747</v>
      </c>
      <c r="AU608" t="s">
        <v>177</v>
      </c>
      <c r="AV608" t="s">
        <v>1030</v>
      </c>
      <c r="AW608" t="s">
        <v>202</v>
      </c>
      <c r="AX608">
        <v>1</v>
      </c>
      <c r="AY608" t="s">
        <v>188</v>
      </c>
      <c r="AZ608" t="s">
        <v>206</v>
      </c>
      <c r="BA608" t="s">
        <v>355</v>
      </c>
      <c r="BB608" t="s">
        <v>191</v>
      </c>
      <c r="BC608" t="s">
        <v>182</v>
      </c>
      <c r="BD608" t="s">
        <v>182</v>
      </c>
      <c r="BE608" t="s">
        <v>1495</v>
      </c>
      <c r="BF608">
        <v>1</v>
      </c>
      <c r="BG608">
        <v>1</v>
      </c>
      <c r="BH608">
        <v>1994</v>
      </c>
      <c r="BI608" t="s">
        <v>8594</v>
      </c>
      <c r="BJ608" t="s">
        <v>194</v>
      </c>
      <c r="BK608" t="s">
        <v>195</v>
      </c>
      <c r="BL608" t="s">
        <v>199</v>
      </c>
      <c r="BM608" t="s">
        <v>1387</v>
      </c>
      <c r="BN608" t="s">
        <v>182</v>
      </c>
      <c r="BO608" t="s">
        <v>198</v>
      </c>
      <c r="BP608" t="s">
        <v>198</v>
      </c>
      <c r="BQ608" t="s">
        <v>198</v>
      </c>
      <c r="BR608" t="s">
        <v>198</v>
      </c>
      <c r="BS608" t="s">
        <v>198</v>
      </c>
      <c r="BT608" t="s">
        <v>198</v>
      </c>
      <c r="BU608" t="s">
        <v>182</v>
      </c>
      <c r="BV608" t="s">
        <v>198</v>
      </c>
      <c r="BW608" t="s">
        <v>198</v>
      </c>
      <c r="BX608" t="s">
        <v>199</v>
      </c>
      <c r="BY608" t="s">
        <v>198</v>
      </c>
      <c r="BZ608" t="s">
        <v>199</v>
      </c>
      <c r="CA608" t="s">
        <v>199</v>
      </c>
      <c r="CB608" t="s">
        <v>8595</v>
      </c>
      <c r="CC608" t="s">
        <v>201</v>
      </c>
      <c r="CD608" t="s">
        <v>182</v>
      </c>
      <c r="CE608" t="s">
        <v>8596</v>
      </c>
      <c r="CF608" t="s">
        <v>1029</v>
      </c>
      <c r="CG608" t="s">
        <v>177</v>
      </c>
      <c r="CH608" t="s">
        <v>1030</v>
      </c>
      <c r="CI608" t="s">
        <v>8597</v>
      </c>
      <c r="CJ608" t="s">
        <v>7933</v>
      </c>
      <c r="CK608" t="s">
        <v>232</v>
      </c>
      <c r="CL608" t="s">
        <v>233</v>
      </c>
      <c r="CM608" t="s">
        <v>8598</v>
      </c>
      <c r="CN608" t="s">
        <v>235</v>
      </c>
      <c r="CO608" t="s">
        <v>183</v>
      </c>
      <c r="CP608" t="s">
        <v>266</v>
      </c>
      <c r="CS608" t="s">
        <v>198</v>
      </c>
      <c r="CT608" t="s">
        <v>7933</v>
      </c>
      <c r="CU608" t="s">
        <v>267</v>
      </c>
      <c r="CV608" t="s">
        <v>268</v>
      </c>
      <c r="CW608" t="s">
        <v>8599</v>
      </c>
      <c r="CX608" t="s">
        <v>235</v>
      </c>
      <c r="CY608" t="s">
        <v>183</v>
      </c>
      <c r="CZ608" t="s">
        <v>211</v>
      </c>
      <c r="DA608" t="s">
        <v>345</v>
      </c>
      <c r="DC608" t="s">
        <v>5111</v>
      </c>
      <c r="DD608" t="s">
        <v>8147</v>
      </c>
      <c r="DE608" t="s">
        <v>273</v>
      </c>
      <c r="DF608" t="s">
        <v>274</v>
      </c>
      <c r="DG608" t="s">
        <v>8600</v>
      </c>
      <c r="DH608" t="s">
        <v>235</v>
      </c>
      <c r="DI608" t="s">
        <v>183</v>
      </c>
      <c r="DJ608" t="s">
        <v>211</v>
      </c>
      <c r="DK608" t="s">
        <v>298</v>
      </c>
      <c r="DM608" t="s">
        <v>8601</v>
      </c>
      <c r="DN608" t="s">
        <v>8602</v>
      </c>
      <c r="DO608" t="s">
        <v>302</v>
      </c>
      <c r="DP608" t="s">
        <v>303</v>
      </c>
      <c r="DQ608" t="s">
        <v>8603</v>
      </c>
      <c r="DR608" t="s">
        <v>235</v>
      </c>
      <c r="DS608" t="s">
        <v>183</v>
      </c>
      <c r="DT608" t="s">
        <v>211</v>
      </c>
      <c r="DU608" t="s">
        <v>345</v>
      </c>
      <c r="DW608" t="s">
        <v>8604</v>
      </c>
      <c r="DX608" t="s">
        <v>8605</v>
      </c>
      <c r="DY608" t="s">
        <v>238</v>
      </c>
      <c r="DZ608" t="s">
        <v>239</v>
      </c>
      <c r="EA608" t="s">
        <v>8606</v>
      </c>
      <c r="EB608" t="s">
        <v>235</v>
      </c>
      <c r="EC608" t="s">
        <v>183</v>
      </c>
      <c r="ED608" t="s">
        <v>211</v>
      </c>
      <c r="EE608" t="s">
        <v>345</v>
      </c>
      <c r="EG608" t="s">
        <v>2493</v>
      </c>
      <c r="EH608" t="s">
        <v>8607</v>
      </c>
      <c r="EI608" t="s">
        <v>346</v>
      </c>
      <c r="EJ608" t="s">
        <v>347</v>
      </c>
      <c r="EK608" t="s">
        <v>8608</v>
      </c>
      <c r="EL608" t="s">
        <v>235</v>
      </c>
      <c r="EM608" t="s">
        <v>183</v>
      </c>
      <c r="EN608" t="s">
        <v>211</v>
      </c>
      <c r="EO608" t="s">
        <v>345</v>
      </c>
      <c r="EQ608" t="s">
        <v>8609</v>
      </c>
      <c r="ER608" t="s">
        <v>8610</v>
      </c>
      <c r="ES608" t="s">
        <v>207</v>
      </c>
      <c r="ET608" t="s">
        <v>208</v>
      </c>
      <c r="EU608" t="s">
        <v>8611</v>
      </c>
      <c r="EV608" t="s">
        <v>235</v>
      </c>
      <c r="EW608" t="s">
        <v>183</v>
      </c>
      <c r="EX608" t="s">
        <v>211</v>
      </c>
      <c r="EY608" t="s">
        <v>298</v>
      </c>
      <c r="FA608" t="s">
        <v>1167</v>
      </c>
      <c r="FK608" t="s">
        <v>198</v>
      </c>
      <c r="FU608" t="s">
        <v>198</v>
      </c>
    </row>
    <row r="609" spans="1:177">
      <c r="A609" s="1" t="str">
        <f>HYPERLINK("http://digipan.lumentumllc.com/apps/getLink/index.php?t=PropLink&amp;p=5244985","PL")</f>
        <v>PL</v>
      </c>
      <c r="B609" s="1" t="str">
        <f>HYPERLINK("http://digipan.lumentumllc.com/apps/getLink/index.php?t=TaxLink&amp;p=5244985","TL")</f>
        <v>TL</v>
      </c>
      <c r="C609" s="1" t="str">
        <f>HYPERLINK("http://digipan.lumentumllc.com/apps/getMap/index.php?p=5244985","Map")</f>
        <v>Map</v>
      </c>
      <c r="E609" t="s">
        <v>177</v>
      </c>
      <c r="F609" t="s">
        <v>178</v>
      </c>
      <c r="L609" t="s">
        <v>8612</v>
      </c>
      <c r="N609" t="s">
        <v>8612</v>
      </c>
      <c r="O609" t="s">
        <v>8612</v>
      </c>
      <c r="P609" t="s">
        <v>8613</v>
      </c>
      <c r="Q609" t="s">
        <v>8612</v>
      </c>
      <c r="V609">
        <v>702</v>
      </c>
      <c r="W609">
        <v>3</v>
      </c>
      <c r="X609">
        <v>2017</v>
      </c>
      <c r="Y609">
        <v>2018</v>
      </c>
      <c r="Z609">
        <v>5601.1</v>
      </c>
      <c r="AB609" t="s">
        <v>181</v>
      </c>
      <c r="AC609" t="s">
        <v>182</v>
      </c>
      <c r="AD609" t="s">
        <v>183</v>
      </c>
      <c r="AE609">
        <v>1</v>
      </c>
      <c r="AF609">
        <v>7</v>
      </c>
      <c r="AG609" t="s">
        <v>418</v>
      </c>
      <c r="AH609">
        <v>86</v>
      </c>
      <c r="AI609">
        <v>5735.18</v>
      </c>
      <c r="AJ609">
        <v>286.76</v>
      </c>
      <c r="AK609">
        <v>6021.94</v>
      </c>
      <c r="AL609">
        <v>340147</v>
      </c>
      <c r="AM609">
        <v>88644</v>
      </c>
      <c r="AN609">
        <v>251503</v>
      </c>
      <c r="AO609">
        <v>5278</v>
      </c>
      <c r="AP609">
        <v>2016</v>
      </c>
      <c r="AQ609">
        <v>1.65</v>
      </c>
      <c r="AR609">
        <v>1.77</v>
      </c>
      <c r="AS609" t="s">
        <v>8614</v>
      </c>
      <c r="AT609" t="s">
        <v>3747</v>
      </c>
      <c r="AU609" t="s">
        <v>177</v>
      </c>
      <c r="AV609" t="s">
        <v>1030</v>
      </c>
      <c r="AW609" t="s">
        <v>182</v>
      </c>
      <c r="AX609">
        <v>27</v>
      </c>
      <c r="AY609" t="s">
        <v>3641</v>
      </c>
      <c r="AZ609" t="s">
        <v>616</v>
      </c>
      <c r="BA609" t="s">
        <v>6072</v>
      </c>
      <c r="BB609" t="s">
        <v>191</v>
      </c>
      <c r="BC609" t="s">
        <v>182</v>
      </c>
      <c r="BD609" t="s">
        <v>182</v>
      </c>
      <c r="BE609" t="s">
        <v>8615</v>
      </c>
      <c r="BF609">
        <v>1</v>
      </c>
      <c r="BG609">
        <v>0</v>
      </c>
      <c r="BH609">
        <v>2004</v>
      </c>
      <c r="BI609" t="s">
        <v>8616</v>
      </c>
      <c r="BJ609" t="s">
        <v>194</v>
      </c>
      <c r="BK609" t="s">
        <v>3643</v>
      </c>
      <c r="BL609" t="s">
        <v>8617</v>
      </c>
      <c r="BM609" t="s">
        <v>559</v>
      </c>
      <c r="BN609" t="s">
        <v>182</v>
      </c>
      <c r="BO609" t="s">
        <v>8618</v>
      </c>
      <c r="BP609" t="s">
        <v>8619</v>
      </c>
      <c r="BQ609" t="s">
        <v>581</v>
      </c>
      <c r="BR609" t="s">
        <v>563</v>
      </c>
      <c r="BS609" t="s">
        <v>198</v>
      </c>
      <c r="BT609" t="s">
        <v>228</v>
      </c>
      <c r="BU609" t="s">
        <v>182</v>
      </c>
      <c r="BV609" t="s">
        <v>198</v>
      </c>
      <c r="BW609" t="s">
        <v>198</v>
      </c>
      <c r="BX609" t="s">
        <v>199</v>
      </c>
      <c r="BY609" t="s">
        <v>198</v>
      </c>
      <c r="BZ609" t="s">
        <v>199</v>
      </c>
      <c r="CA609" t="s">
        <v>199</v>
      </c>
      <c r="CB609" t="s">
        <v>8620</v>
      </c>
      <c r="CC609" t="s">
        <v>201</v>
      </c>
      <c r="CD609" t="s">
        <v>202</v>
      </c>
      <c r="CE609" t="s">
        <v>8621</v>
      </c>
      <c r="CF609" t="s">
        <v>1029</v>
      </c>
      <c r="CG609" t="s">
        <v>177</v>
      </c>
      <c r="CH609" t="s">
        <v>1030</v>
      </c>
      <c r="CI609" t="s">
        <v>8622</v>
      </c>
      <c r="CJ609" t="s">
        <v>5218</v>
      </c>
      <c r="CK609" t="s">
        <v>232</v>
      </c>
      <c r="CL609" t="s">
        <v>233</v>
      </c>
      <c r="CM609" t="s">
        <v>8623</v>
      </c>
      <c r="CN609" t="s">
        <v>235</v>
      </c>
      <c r="CO609" t="s">
        <v>183</v>
      </c>
      <c r="CP609" t="s">
        <v>266</v>
      </c>
      <c r="CS609" t="s">
        <v>198</v>
      </c>
      <c r="CT609" t="s">
        <v>8170</v>
      </c>
      <c r="CU609" t="s">
        <v>292</v>
      </c>
      <c r="CV609" t="s">
        <v>293</v>
      </c>
      <c r="CW609" t="s">
        <v>8624</v>
      </c>
      <c r="CX609" t="s">
        <v>235</v>
      </c>
      <c r="CY609" t="s">
        <v>183</v>
      </c>
      <c r="CZ609" t="s">
        <v>211</v>
      </c>
      <c r="DA609" t="s">
        <v>298</v>
      </c>
      <c r="DC609" t="s">
        <v>1066</v>
      </c>
      <c r="DD609" t="s">
        <v>7969</v>
      </c>
      <c r="DE609" t="s">
        <v>267</v>
      </c>
      <c r="DF609" t="s">
        <v>268</v>
      </c>
      <c r="DG609" t="s">
        <v>8625</v>
      </c>
      <c r="DH609" t="s">
        <v>235</v>
      </c>
      <c r="DI609" t="s">
        <v>183</v>
      </c>
      <c r="DJ609" t="s">
        <v>211</v>
      </c>
      <c r="DK609" t="s">
        <v>460</v>
      </c>
      <c r="DM609" t="s">
        <v>8626</v>
      </c>
      <c r="DN609" t="s">
        <v>8189</v>
      </c>
      <c r="DO609" t="s">
        <v>273</v>
      </c>
      <c r="DP609" t="s">
        <v>274</v>
      </c>
      <c r="DQ609" t="s">
        <v>8627</v>
      </c>
      <c r="DR609" t="s">
        <v>235</v>
      </c>
      <c r="DS609" t="s">
        <v>183</v>
      </c>
      <c r="DT609" t="s">
        <v>211</v>
      </c>
      <c r="DU609" t="s">
        <v>298</v>
      </c>
      <c r="DW609" t="s">
        <v>462</v>
      </c>
      <c r="DX609" t="s">
        <v>8628</v>
      </c>
      <c r="DY609" t="s">
        <v>302</v>
      </c>
      <c r="DZ609" t="s">
        <v>303</v>
      </c>
      <c r="EA609" t="s">
        <v>8629</v>
      </c>
      <c r="EB609" t="s">
        <v>235</v>
      </c>
      <c r="EC609" t="s">
        <v>183</v>
      </c>
      <c r="ED609" t="s">
        <v>211</v>
      </c>
      <c r="EE609" t="s">
        <v>298</v>
      </c>
      <c r="EG609" t="s">
        <v>2359</v>
      </c>
      <c r="EH609" t="s">
        <v>7272</v>
      </c>
      <c r="EI609" t="s">
        <v>238</v>
      </c>
      <c r="EJ609" t="s">
        <v>239</v>
      </c>
      <c r="EK609" t="s">
        <v>8630</v>
      </c>
      <c r="EL609" t="s">
        <v>440</v>
      </c>
      <c r="EM609" t="s">
        <v>183</v>
      </c>
      <c r="EN609" t="s">
        <v>211</v>
      </c>
      <c r="EO609" t="s">
        <v>298</v>
      </c>
      <c r="EQ609" t="s">
        <v>1815</v>
      </c>
      <c r="ER609" t="s">
        <v>8631</v>
      </c>
      <c r="ES609" t="s">
        <v>346</v>
      </c>
      <c r="ET609" t="s">
        <v>347</v>
      </c>
      <c r="EU609" t="s">
        <v>8632</v>
      </c>
      <c r="EV609" t="s">
        <v>235</v>
      </c>
      <c r="EW609" t="s">
        <v>183</v>
      </c>
      <c r="EX609" t="s">
        <v>211</v>
      </c>
      <c r="EY609" t="s">
        <v>298</v>
      </c>
      <c r="FA609" t="s">
        <v>878</v>
      </c>
      <c r="FB609" t="s">
        <v>8633</v>
      </c>
      <c r="FC609" t="s">
        <v>207</v>
      </c>
      <c r="FD609" t="s">
        <v>208</v>
      </c>
      <c r="FE609" t="s">
        <v>8634</v>
      </c>
      <c r="FF609" t="s">
        <v>391</v>
      </c>
      <c r="FG609" t="s">
        <v>183</v>
      </c>
      <c r="FH609" t="s">
        <v>211</v>
      </c>
      <c r="FI609" t="s">
        <v>298</v>
      </c>
      <c r="FK609" t="s">
        <v>1167</v>
      </c>
      <c r="FU609" t="s">
        <v>198</v>
      </c>
    </row>
    <row r="610" spans="1:177">
      <c r="A610" s="1" t="str">
        <f>HYPERLINK("http://digipan.lumentumllc.com/apps/getLink/index.php?t=PropLink&amp;p=4637359","PL")</f>
        <v>PL</v>
      </c>
      <c r="B610" s="1" t="str">
        <f>HYPERLINK("http://digipan.lumentumllc.com/apps/getLink/index.php?t=TaxLink&amp;p=4637359","TL")</f>
        <v>TL</v>
      </c>
      <c r="C610" s="1" t="str">
        <f>HYPERLINK("http://digipan.lumentumllc.com/apps/getMap/index.php?p=4637359","Map")</f>
        <v>Map</v>
      </c>
      <c r="E610" t="s">
        <v>177</v>
      </c>
      <c r="F610" t="s">
        <v>178</v>
      </c>
      <c r="L610" t="s">
        <v>8635</v>
      </c>
      <c r="N610" t="s">
        <v>8635</v>
      </c>
      <c r="O610" t="s">
        <v>8635</v>
      </c>
      <c r="P610" t="s">
        <v>8636</v>
      </c>
      <c r="Q610" t="s">
        <v>8635</v>
      </c>
      <c r="V610">
        <v>703</v>
      </c>
      <c r="W610">
        <v>3</v>
      </c>
      <c r="X610">
        <v>2017</v>
      </c>
      <c r="Y610">
        <v>2018</v>
      </c>
      <c r="Z610">
        <v>1648.54</v>
      </c>
      <c r="AG610" t="s">
        <v>184</v>
      </c>
      <c r="AH610">
        <v>0</v>
      </c>
      <c r="AK610">
        <v>0</v>
      </c>
      <c r="AL610">
        <v>187784</v>
      </c>
      <c r="AM610">
        <v>28920</v>
      </c>
      <c r="AN610">
        <v>158864</v>
      </c>
      <c r="AO610">
        <v>1475</v>
      </c>
      <c r="AP610">
        <v>2016</v>
      </c>
      <c r="AQ610">
        <v>0.88</v>
      </c>
      <c r="AS610" t="s">
        <v>8637</v>
      </c>
      <c r="AT610" t="s">
        <v>3747</v>
      </c>
      <c r="AU610" t="s">
        <v>177</v>
      </c>
      <c r="AV610" t="s">
        <v>1030</v>
      </c>
      <c r="AW610" t="s">
        <v>202</v>
      </c>
      <c r="AX610">
        <v>1</v>
      </c>
      <c r="AY610" t="s">
        <v>188</v>
      </c>
      <c r="AZ610" t="s">
        <v>206</v>
      </c>
      <c r="BA610" t="s">
        <v>355</v>
      </c>
      <c r="BB610" t="s">
        <v>191</v>
      </c>
      <c r="BC610" t="s">
        <v>182</v>
      </c>
      <c r="BD610" t="s">
        <v>182</v>
      </c>
      <c r="BE610" t="s">
        <v>8638</v>
      </c>
      <c r="BF610">
        <v>1</v>
      </c>
      <c r="BG610">
        <v>1</v>
      </c>
      <c r="BH610">
        <v>1975</v>
      </c>
      <c r="BI610" t="s">
        <v>8639</v>
      </c>
      <c r="BJ610" t="s">
        <v>315</v>
      </c>
      <c r="BK610" t="s">
        <v>195</v>
      </c>
      <c r="BL610" t="s">
        <v>6377</v>
      </c>
      <c r="BM610" t="s">
        <v>1332</v>
      </c>
      <c r="BN610" t="s">
        <v>182</v>
      </c>
      <c r="BO610" t="s">
        <v>1204</v>
      </c>
      <c r="BP610" t="s">
        <v>2911</v>
      </c>
      <c r="BQ610" t="s">
        <v>800</v>
      </c>
      <c r="BS610" t="s">
        <v>198</v>
      </c>
      <c r="BT610" t="s">
        <v>8640</v>
      </c>
      <c r="BU610" t="s">
        <v>182</v>
      </c>
      <c r="BV610" t="s">
        <v>198</v>
      </c>
      <c r="BW610" t="s">
        <v>198</v>
      </c>
      <c r="BX610" t="s">
        <v>199</v>
      </c>
      <c r="BY610" t="s">
        <v>198</v>
      </c>
      <c r="BZ610" t="s">
        <v>199</v>
      </c>
      <c r="CA610" t="s">
        <v>199</v>
      </c>
      <c r="CB610" t="s">
        <v>8641</v>
      </c>
      <c r="CC610" t="s">
        <v>201</v>
      </c>
      <c r="CD610" t="s">
        <v>182</v>
      </c>
      <c r="CE610" t="s">
        <v>8642</v>
      </c>
      <c r="CF610" t="s">
        <v>1029</v>
      </c>
      <c r="CG610" t="s">
        <v>177</v>
      </c>
      <c r="CH610" t="s">
        <v>1030</v>
      </c>
      <c r="CI610" t="s">
        <v>8643</v>
      </c>
      <c r="CS610" t="s">
        <v>198</v>
      </c>
      <c r="DC610" t="s">
        <v>198</v>
      </c>
      <c r="DM610" t="s">
        <v>198</v>
      </c>
      <c r="DW610" t="s">
        <v>198</v>
      </c>
      <c r="EG610" t="s">
        <v>198</v>
      </c>
      <c r="EQ610" t="s">
        <v>198</v>
      </c>
      <c r="FA610" t="s">
        <v>198</v>
      </c>
      <c r="FK610" t="s">
        <v>198</v>
      </c>
      <c r="FU610" t="s">
        <v>198</v>
      </c>
    </row>
    <row r="611" spans="1:177">
      <c r="A611" s="1" t="str">
        <f>HYPERLINK("http://digipan.lumentumllc.com/apps/getLink/index.php?t=PropLink&amp;p=5244986","PL")</f>
        <v>PL</v>
      </c>
      <c r="B611" s="1" t="str">
        <f>HYPERLINK("http://digipan.lumentumllc.com/apps/getLink/index.php?t=TaxLink&amp;p=5244986","TL")</f>
        <v>TL</v>
      </c>
      <c r="C611" s="1" t="str">
        <f>HYPERLINK("http://digipan.lumentumllc.com/apps/getMap/index.php?p=5244986","Map")</f>
        <v>Map</v>
      </c>
      <c r="E611" t="s">
        <v>177</v>
      </c>
      <c r="F611" t="s">
        <v>178</v>
      </c>
      <c r="L611" t="s">
        <v>8644</v>
      </c>
      <c r="N611" t="s">
        <v>8644</v>
      </c>
      <c r="O611" t="s">
        <v>8644</v>
      </c>
      <c r="P611" t="s">
        <v>8645</v>
      </c>
      <c r="Q611" t="s">
        <v>8644</v>
      </c>
      <c r="V611">
        <v>704</v>
      </c>
      <c r="W611">
        <v>3</v>
      </c>
      <c r="X611">
        <v>2017</v>
      </c>
      <c r="Y611">
        <v>2018</v>
      </c>
      <c r="Z611">
        <v>676.84</v>
      </c>
      <c r="AB611" t="s">
        <v>181</v>
      </c>
      <c r="AC611" t="s">
        <v>182</v>
      </c>
      <c r="AD611" t="s">
        <v>183</v>
      </c>
      <c r="AE611">
        <v>1</v>
      </c>
      <c r="AF611">
        <v>7</v>
      </c>
      <c r="AG611" t="s">
        <v>418</v>
      </c>
      <c r="AH611">
        <v>86</v>
      </c>
      <c r="AI611">
        <v>656.87</v>
      </c>
      <c r="AJ611">
        <v>32.840000000000003</v>
      </c>
      <c r="AK611">
        <v>689.71</v>
      </c>
      <c r="AL611">
        <v>90629</v>
      </c>
      <c r="AM611">
        <v>17700</v>
      </c>
      <c r="AN611">
        <v>72929</v>
      </c>
      <c r="AO611">
        <v>582</v>
      </c>
      <c r="AP611">
        <v>2016</v>
      </c>
      <c r="AQ611">
        <v>0.75</v>
      </c>
      <c r="AR611">
        <v>0.76</v>
      </c>
      <c r="AS611" t="s">
        <v>8646</v>
      </c>
      <c r="AT611" t="s">
        <v>3747</v>
      </c>
      <c r="AU611" t="s">
        <v>177</v>
      </c>
      <c r="AV611" t="s">
        <v>1030</v>
      </c>
      <c r="AW611" t="s">
        <v>202</v>
      </c>
      <c r="AX611">
        <v>2</v>
      </c>
      <c r="AY611" t="s">
        <v>188</v>
      </c>
      <c r="AZ611" t="s">
        <v>189</v>
      </c>
      <c r="BA611" t="s">
        <v>190</v>
      </c>
      <c r="BB611" t="s">
        <v>191</v>
      </c>
      <c r="BC611" t="s">
        <v>182</v>
      </c>
      <c r="BD611" t="s">
        <v>182</v>
      </c>
      <c r="BE611" t="s">
        <v>1223</v>
      </c>
      <c r="BF611">
        <v>1</v>
      </c>
      <c r="BG611">
        <v>1</v>
      </c>
      <c r="BH611">
        <v>1998</v>
      </c>
      <c r="BI611" t="s">
        <v>8647</v>
      </c>
      <c r="BJ611" t="s">
        <v>194</v>
      </c>
      <c r="BK611" t="s">
        <v>195</v>
      </c>
      <c r="BL611" t="s">
        <v>199</v>
      </c>
      <c r="BM611" t="s">
        <v>501</v>
      </c>
      <c r="BN611" t="s">
        <v>182</v>
      </c>
      <c r="BO611" t="s">
        <v>198</v>
      </c>
      <c r="BP611" t="s">
        <v>198</v>
      </c>
      <c r="BQ611" t="s">
        <v>198</v>
      </c>
      <c r="BR611" t="s">
        <v>198</v>
      </c>
      <c r="BS611" t="s">
        <v>198</v>
      </c>
      <c r="BT611" t="s">
        <v>198</v>
      </c>
      <c r="BU611" t="s">
        <v>182</v>
      </c>
      <c r="BV611" t="s">
        <v>198</v>
      </c>
      <c r="BW611" t="s">
        <v>198</v>
      </c>
      <c r="BX611" t="s">
        <v>199</v>
      </c>
      <c r="BY611" t="s">
        <v>198</v>
      </c>
      <c r="BZ611" t="s">
        <v>199</v>
      </c>
      <c r="CA611" t="s">
        <v>199</v>
      </c>
      <c r="CB611" t="s">
        <v>8648</v>
      </c>
      <c r="CC611" t="s">
        <v>201</v>
      </c>
      <c r="CD611" t="s">
        <v>182</v>
      </c>
      <c r="CE611" t="s">
        <v>8649</v>
      </c>
      <c r="CF611" t="s">
        <v>1029</v>
      </c>
      <c r="CG611" t="s">
        <v>177</v>
      </c>
      <c r="CH611" t="s">
        <v>1030</v>
      </c>
      <c r="CI611" t="s">
        <v>8650</v>
      </c>
      <c r="CJ611" t="s">
        <v>7969</v>
      </c>
      <c r="CK611" t="s">
        <v>232</v>
      </c>
      <c r="CL611" t="s">
        <v>233</v>
      </c>
      <c r="CM611" t="s">
        <v>8651</v>
      </c>
      <c r="CN611" t="s">
        <v>235</v>
      </c>
      <c r="CO611" t="s">
        <v>183</v>
      </c>
      <c r="CP611" t="s">
        <v>266</v>
      </c>
      <c r="CS611" t="s">
        <v>198</v>
      </c>
      <c r="CT611" t="s">
        <v>8187</v>
      </c>
      <c r="CU611" t="s">
        <v>292</v>
      </c>
      <c r="CV611" t="s">
        <v>293</v>
      </c>
      <c r="CW611" t="s">
        <v>8652</v>
      </c>
      <c r="CX611" t="s">
        <v>235</v>
      </c>
      <c r="CY611" t="s">
        <v>183</v>
      </c>
      <c r="CZ611" t="s">
        <v>211</v>
      </c>
      <c r="DA611" t="s">
        <v>298</v>
      </c>
      <c r="DC611" t="s">
        <v>1641</v>
      </c>
      <c r="DD611" t="s">
        <v>7984</v>
      </c>
      <c r="DE611" t="s">
        <v>267</v>
      </c>
      <c r="DF611" t="s">
        <v>268</v>
      </c>
      <c r="DG611" t="s">
        <v>8653</v>
      </c>
      <c r="DH611" t="s">
        <v>235</v>
      </c>
      <c r="DI611" t="s">
        <v>183</v>
      </c>
      <c r="DJ611" t="s">
        <v>211</v>
      </c>
      <c r="DK611" t="s">
        <v>298</v>
      </c>
      <c r="DM611" t="s">
        <v>459</v>
      </c>
      <c r="DN611" t="s">
        <v>8654</v>
      </c>
      <c r="DO611" t="s">
        <v>273</v>
      </c>
      <c r="DP611" t="s">
        <v>274</v>
      </c>
      <c r="DQ611" t="s">
        <v>8655</v>
      </c>
      <c r="DR611" t="s">
        <v>235</v>
      </c>
      <c r="DS611" t="s">
        <v>183</v>
      </c>
      <c r="DT611" t="s">
        <v>211</v>
      </c>
      <c r="DU611" t="s">
        <v>298</v>
      </c>
      <c r="DW611" t="s">
        <v>3727</v>
      </c>
      <c r="DX611" t="s">
        <v>5875</v>
      </c>
      <c r="DY611" t="s">
        <v>302</v>
      </c>
      <c r="DZ611" t="s">
        <v>303</v>
      </c>
      <c r="EA611" t="s">
        <v>8656</v>
      </c>
      <c r="EB611" t="s">
        <v>235</v>
      </c>
      <c r="EC611" t="s">
        <v>183</v>
      </c>
      <c r="ED611" t="s">
        <v>211</v>
      </c>
      <c r="EE611" t="s">
        <v>298</v>
      </c>
      <c r="EG611" t="s">
        <v>8657</v>
      </c>
      <c r="EH611" t="s">
        <v>8658</v>
      </c>
      <c r="EI611" t="s">
        <v>238</v>
      </c>
      <c r="EJ611" t="s">
        <v>239</v>
      </c>
      <c r="EK611" t="s">
        <v>8659</v>
      </c>
      <c r="EL611" t="s">
        <v>295</v>
      </c>
      <c r="EM611" t="s">
        <v>183</v>
      </c>
      <c r="EN611" t="s">
        <v>211</v>
      </c>
      <c r="EO611" t="s">
        <v>298</v>
      </c>
      <c r="EQ611" t="s">
        <v>1815</v>
      </c>
      <c r="ER611" t="s">
        <v>6018</v>
      </c>
      <c r="ES611" t="s">
        <v>346</v>
      </c>
      <c r="ET611" t="s">
        <v>347</v>
      </c>
      <c r="EU611" t="s">
        <v>8660</v>
      </c>
      <c r="EV611" t="s">
        <v>469</v>
      </c>
      <c r="EW611" t="s">
        <v>183</v>
      </c>
      <c r="EX611" t="s">
        <v>211</v>
      </c>
      <c r="EY611" t="s">
        <v>298</v>
      </c>
      <c r="FA611" t="s">
        <v>878</v>
      </c>
      <c r="FB611" t="s">
        <v>8348</v>
      </c>
      <c r="FC611" t="s">
        <v>207</v>
      </c>
      <c r="FD611" t="s">
        <v>208</v>
      </c>
      <c r="FE611" t="s">
        <v>8661</v>
      </c>
      <c r="FF611" t="s">
        <v>576</v>
      </c>
      <c r="FG611" t="s">
        <v>183</v>
      </c>
      <c r="FH611" t="s">
        <v>211</v>
      </c>
      <c r="FI611" t="s">
        <v>298</v>
      </c>
      <c r="FK611" t="s">
        <v>5101</v>
      </c>
      <c r="FU611" t="s">
        <v>198</v>
      </c>
    </row>
    <row r="612" spans="1:177">
      <c r="A612" s="1" t="str">
        <f>HYPERLINK("http://digipan.lumentumllc.com/apps/getLink/index.php?t=PropLink&amp;p=4637360","PL")</f>
        <v>PL</v>
      </c>
      <c r="B612" s="1" t="str">
        <f>HYPERLINK("http://digipan.lumentumllc.com/apps/getLink/index.php?t=TaxLink&amp;p=4637360","TL")</f>
        <v>TL</v>
      </c>
      <c r="C612" s="1" t="str">
        <f>HYPERLINK("http://digipan.lumentumllc.com/apps/getMap/index.php?p=4637360","Map")</f>
        <v>Map</v>
      </c>
      <c r="E612" t="s">
        <v>177</v>
      </c>
      <c r="F612" t="s">
        <v>178</v>
      </c>
      <c r="L612" t="s">
        <v>8662</v>
      </c>
      <c r="N612" t="s">
        <v>8662</v>
      </c>
      <c r="O612" t="s">
        <v>8662</v>
      </c>
      <c r="P612" t="s">
        <v>8663</v>
      </c>
      <c r="Q612" t="s">
        <v>8662</v>
      </c>
      <c r="V612">
        <v>705</v>
      </c>
      <c r="W612">
        <v>3</v>
      </c>
      <c r="X612">
        <v>2017</v>
      </c>
      <c r="Y612">
        <v>2018</v>
      </c>
      <c r="Z612">
        <v>477.99</v>
      </c>
      <c r="AB612" t="s">
        <v>181</v>
      </c>
      <c r="AC612" t="s">
        <v>182</v>
      </c>
      <c r="AD612" t="s">
        <v>183</v>
      </c>
      <c r="AE612">
        <v>1</v>
      </c>
      <c r="AF612">
        <v>4</v>
      </c>
      <c r="AG612" t="s">
        <v>951</v>
      </c>
      <c r="AH612">
        <v>80</v>
      </c>
      <c r="AI612">
        <v>479.24</v>
      </c>
      <c r="AJ612">
        <v>23.96</v>
      </c>
      <c r="AK612">
        <v>503.2</v>
      </c>
      <c r="AL612">
        <v>27240</v>
      </c>
      <c r="AM612">
        <v>27240</v>
      </c>
      <c r="AN612">
        <v>0</v>
      </c>
      <c r="AO612">
        <v>418</v>
      </c>
      <c r="AP612">
        <v>2016</v>
      </c>
      <c r="AQ612">
        <v>1.75</v>
      </c>
      <c r="AR612">
        <v>1.85</v>
      </c>
      <c r="AS612" t="s">
        <v>8664</v>
      </c>
      <c r="AT612" t="s">
        <v>3747</v>
      </c>
      <c r="AU612" t="s">
        <v>177</v>
      </c>
      <c r="AV612" t="s">
        <v>1030</v>
      </c>
      <c r="AW612" t="s">
        <v>182</v>
      </c>
      <c r="AX612">
        <v>0</v>
      </c>
      <c r="AY612" t="s">
        <v>312</v>
      </c>
      <c r="AZ612" t="s">
        <v>199</v>
      </c>
      <c r="BA612" t="s">
        <v>313</v>
      </c>
      <c r="BB612" t="s">
        <v>191</v>
      </c>
      <c r="BC612" t="s">
        <v>182</v>
      </c>
      <c r="BD612" t="s">
        <v>182</v>
      </c>
      <c r="BE612" t="s">
        <v>8665</v>
      </c>
      <c r="BF612">
        <v>0</v>
      </c>
      <c r="BG612">
        <v>0</v>
      </c>
      <c r="BH612">
        <v>0</v>
      </c>
      <c r="BI612" t="s">
        <v>199</v>
      </c>
      <c r="BJ612" t="s">
        <v>396</v>
      </c>
      <c r="BL612" t="s">
        <v>5283</v>
      </c>
      <c r="BM612" t="s">
        <v>302</v>
      </c>
      <c r="BN612" t="s">
        <v>182</v>
      </c>
      <c r="BO612" t="s">
        <v>8666</v>
      </c>
      <c r="BP612" t="s">
        <v>8667</v>
      </c>
      <c r="BQ612" t="s">
        <v>1285</v>
      </c>
      <c r="BR612" t="s">
        <v>563</v>
      </c>
      <c r="BS612" t="s">
        <v>198</v>
      </c>
      <c r="BT612" t="s">
        <v>228</v>
      </c>
      <c r="BU612" t="s">
        <v>182</v>
      </c>
      <c r="BV612" t="s">
        <v>198</v>
      </c>
      <c r="BW612" t="s">
        <v>198</v>
      </c>
      <c r="BX612" t="s">
        <v>199</v>
      </c>
      <c r="BY612" t="s">
        <v>198</v>
      </c>
      <c r="BZ612" t="s">
        <v>199</v>
      </c>
      <c r="CA612" t="s">
        <v>199</v>
      </c>
      <c r="CB612" t="s">
        <v>8668</v>
      </c>
      <c r="CC612" t="s">
        <v>201</v>
      </c>
      <c r="CD612" t="s">
        <v>202</v>
      </c>
      <c r="CE612" t="s">
        <v>8669</v>
      </c>
      <c r="CF612" t="s">
        <v>413</v>
      </c>
      <c r="CG612" t="s">
        <v>177</v>
      </c>
      <c r="CH612" t="s">
        <v>749</v>
      </c>
      <c r="CI612" t="s">
        <v>8670</v>
      </c>
      <c r="CJ612" t="s">
        <v>7984</v>
      </c>
      <c r="CK612" t="s">
        <v>232</v>
      </c>
      <c r="CL612" t="s">
        <v>233</v>
      </c>
      <c r="CM612" t="s">
        <v>8671</v>
      </c>
      <c r="CN612" t="s">
        <v>331</v>
      </c>
      <c r="CO612" t="s">
        <v>183</v>
      </c>
      <c r="CP612" t="s">
        <v>266</v>
      </c>
      <c r="CS612" t="s">
        <v>198</v>
      </c>
      <c r="CT612" t="s">
        <v>7663</v>
      </c>
      <c r="CU612" t="s">
        <v>292</v>
      </c>
      <c r="CV612" t="s">
        <v>293</v>
      </c>
      <c r="CW612" t="s">
        <v>8672</v>
      </c>
      <c r="CX612" t="s">
        <v>235</v>
      </c>
      <c r="CY612" t="s">
        <v>183</v>
      </c>
      <c r="CZ612" t="s">
        <v>211</v>
      </c>
      <c r="DA612" t="s">
        <v>298</v>
      </c>
      <c r="DC612" t="s">
        <v>1641</v>
      </c>
      <c r="DD612" t="s">
        <v>8008</v>
      </c>
      <c r="DE612" t="s">
        <v>267</v>
      </c>
      <c r="DF612" t="s">
        <v>268</v>
      </c>
      <c r="DG612" t="s">
        <v>8673</v>
      </c>
      <c r="DH612" t="s">
        <v>331</v>
      </c>
      <c r="DI612" t="s">
        <v>183</v>
      </c>
      <c r="DJ612" t="s">
        <v>211</v>
      </c>
      <c r="DK612" t="s">
        <v>250</v>
      </c>
      <c r="DM612" t="s">
        <v>8674</v>
      </c>
      <c r="DN612" t="s">
        <v>8230</v>
      </c>
      <c r="DO612" t="s">
        <v>273</v>
      </c>
      <c r="DP612" t="s">
        <v>274</v>
      </c>
      <c r="DQ612" t="s">
        <v>8675</v>
      </c>
      <c r="DR612" t="s">
        <v>235</v>
      </c>
      <c r="DS612" t="s">
        <v>183</v>
      </c>
      <c r="DT612" t="s">
        <v>211</v>
      </c>
      <c r="DU612" t="s">
        <v>487</v>
      </c>
      <c r="DW612" t="s">
        <v>8674</v>
      </c>
      <c r="DX612" t="s">
        <v>8676</v>
      </c>
      <c r="DY612" t="s">
        <v>302</v>
      </c>
      <c r="DZ612" t="s">
        <v>303</v>
      </c>
      <c r="EA612" t="s">
        <v>8677</v>
      </c>
      <c r="EB612" t="s">
        <v>440</v>
      </c>
      <c r="EC612" t="s">
        <v>183</v>
      </c>
      <c r="ED612" t="s">
        <v>211</v>
      </c>
      <c r="EE612" t="s">
        <v>206</v>
      </c>
      <c r="EG612" t="s">
        <v>8365</v>
      </c>
      <c r="EQ612" t="s">
        <v>198</v>
      </c>
      <c r="FA612" t="s">
        <v>198</v>
      </c>
      <c r="FK612" t="s">
        <v>198</v>
      </c>
      <c r="FU612" t="s">
        <v>198</v>
      </c>
    </row>
    <row r="613" spans="1:177">
      <c r="A613" s="1" t="str">
        <f>HYPERLINK("http://digipan.lumentumllc.com/apps/getLink/index.php?t=PropLink&amp;p=6594126","PL")</f>
        <v>PL</v>
      </c>
      <c r="B613" s="1" t="str">
        <f>HYPERLINK("http://digipan.lumentumllc.com/apps/getLink/index.php?t=TaxLink&amp;p=6594126","TL")</f>
        <v>TL</v>
      </c>
      <c r="C613" s="1" t="str">
        <f>HYPERLINK("http://digipan.lumentumllc.com/apps/getMap/index.php?p=6594126","Map")</f>
        <v>Map</v>
      </c>
      <c r="E613" t="s">
        <v>177</v>
      </c>
      <c r="F613" t="s">
        <v>178</v>
      </c>
      <c r="L613" t="s">
        <v>8678</v>
      </c>
      <c r="N613" t="s">
        <v>8678</v>
      </c>
      <c r="O613" t="s">
        <v>8678</v>
      </c>
      <c r="P613" t="s">
        <v>8679</v>
      </c>
      <c r="Q613" t="s">
        <v>8678</v>
      </c>
      <c r="V613">
        <v>706</v>
      </c>
      <c r="W613">
        <v>3</v>
      </c>
      <c r="X613">
        <v>2017</v>
      </c>
      <c r="Y613">
        <v>2018</v>
      </c>
      <c r="Z613">
        <v>1790.1</v>
      </c>
      <c r="AB613" t="s">
        <v>181</v>
      </c>
      <c r="AC613" t="s">
        <v>182</v>
      </c>
      <c r="AD613" t="s">
        <v>183</v>
      </c>
      <c r="AE613">
        <v>1</v>
      </c>
      <c r="AF613">
        <v>2</v>
      </c>
      <c r="AG613" t="s">
        <v>363</v>
      </c>
      <c r="AH613">
        <v>67</v>
      </c>
      <c r="AI613">
        <v>1644.63</v>
      </c>
      <c r="AJ613">
        <v>82.23</v>
      </c>
      <c r="AK613">
        <v>1726.86</v>
      </c>
      <c r="AL613">
        <v>107638</v>
      </c>
      <c r="AM613">
        <v>15000</v>
      </c>
      <c r="AN613">
        <v>92638</v>
      </c>
      <c r="AO613">
        <v>1496</v>
      </c>
      <c r="AP613">
        <v>2016</v>
      </c>
      <c r="AQ613">
        <v>1.66</v>
      </c>
      <c r="AR613">
        <v>1.6</v>
      </c>
      <c r="AS613" t="s">
        <v>8680</v>
      </c>
      <c r="AT613" t="s">
        <v>3747</v>
      </c>
      <c r="AU613" t="s">
        <v>177</v>
      </c>
      <c r="AV613" t="s">
        <v>1030</v>
      </c>
      <c r="AW613" t="s">
        <v>182</v>
      </c>
      <c r="AX613">
        <v>1</v>
      </c>
      <c r="AY613" t="s">
        <v>188</v>
      </c>
      <c r="AZ613" t="s">
        <v>206</v>
      </c>
      <c r="BA613" t="s">
        <v>355</v>
      </c>
      <c r="BB613" t="s">
        <v>191</v>
      </c>
      <c r="BC613" t="s">
        <v>182</v>
      </c>
      <c r="BD613" t="s">
        <v>182</v>
      </c>
      <c r="BE613" t="s">
        <v>383</v>
      </c>
      <c r="BF613">
        <v>1</v>
      </c>
      <c r="BG613">
        <v>1</v>
      </c>
      <c r="BH613">
        <v>2014</v>
      </c>
      <c r="BI613" t="s">
        <v>8681</v>
      </c>
      <c r="BJ613" t="s">
        <v>194</v>
      </c>
      <c r="BK613" t="s">
        <v>195</v>
      </c>
      <c r="BL613" t="s">
        <v>1144</v>
      </c>
      <c r="BM613" t="s">
        <v>273</v>
      </c>
      <c r="BN613" t="s">
        <v>182</v>
      </c>
      <c r="BO613" t="s">
        <v>8682</v>
      </c>
      <c r="BP613" t="s">
        <v>8683</v>
      </c>
      <c r="BQ613" t="s">
        <v>800</v>
      </c>
      <c r="BS613" t="s">
        <v>198</v>
      </c>
      <c r="BT613" t="s">
        <v>8684</v>
      </c>
      <c r="BU613" t="s">
        <v>182</v>
      </c>
      <c r="BV613" t="s">
        <v>198</v>
      </c>
      <c r="BW613" t="s">
        <v>198</v>
      </c>
      <c r="BX613" t="s">
        <v>199</v>
      </c>
      <c r="BY613" t="s">
        <v>198</v>
      </c>
      <c r="BZ613" t="s">
        <v>199</v>
      </c>
      <c r="CA613" t="s">
        <v>199</v>
      </c>
      <c r="CB613" t="s">
        <v>8685</v>
      </c>
      <c r="CC613" t="s">
        <v>201</v>
      </c>
      <c r="CD613" t="s">
        <v>182</v>
      </c>
      <c r="CE613" t="s">
        <v>8686</v>
      </c>
      <c r="CF613" t="s">
        <v>8687</v>
      </c>
      <c r="CG613" t="s">
        <v>177</v>
      </c>
      <c r="CH613" t="s">
        <v>8688</v>
      </c>
      <c r="CI613" t="s">
        <v>8689</v>
      </c>
      <c r="CJ613" t="s">
        <v>8008</v>
      </c>
      <c r="CK613" t="s">
        <v>232</v>
      </c>
      <c r="CL613" t="s">
        <v>233</v>
      </c>
      <c r="CM613" t="s">
        <v>8690</v>
      </c>
      <c r="CN613" t="s">
        <v>235</v>
      </c>
      <c r="CO613" t="s">
        <v>183</v>
      </c>
      <c r="CP613" t="s">
        <v>266</v>
      </c>
      <c r="CS613" t="s">
        <v>198</v>
      </c>
      <c r="CT613" t="s">
        <v>8412</v>
      </c>
      <c r="CU613" t="s">
        <v>267</v>
      </c>
      <c r="CV613" t="s">
        <v>268</v>
      </c>
      <c r="CW613" t="s">
        <v>1196</v>
      </c>
      <c r="CX613" t="s">
        <v>1164</v>
      </c>
      <c r="CY613" t="s">
        <v>183</v>
      </c>
      <c r="CZ613" t="s">
        <v>211</v>
      </c>
      <c r="DA613" t="s">
        <v>199</v>
      </c>
      <c r="DC613" t="s">
        <v>3445</v>
      </c>
      <c r="DD613" t="s">
        <v>8691</v>
      </c>
      <c r="DE613" t="s">
        <v>273</v>
      </c>
      <c r="DF613" t="s">
        <v>274</v>
      </c>
      <c r="DG613" t="s">
        <v>8692</v>
      </c>
      <c r="DH613" t="s">
        <v>1491</v>
      </c>
      <c r="DI613" t="s">
        <v>183</v>
      </c>
      <c r="DJ613" t="s">
        <v>211</v>
      </c>
      <c r="DK613" t="s">
        <v>427</v>
      </c>
      <c r="DM613" t="s">
        <v>5809</v>
      </c>
      <c r="DW613" t="s">
        <v>198</v>
      </c>
      <c r="EG613" t="s">
        <v>198</v>
      </c>
      <c r="EQ613" t="s">
        <v>198</v>
      </c>
      <c r="FA613" t="s">
        <v>198</v>
      </c>
      <c r="FK613" t="s">
        <v>198</v>
      </c>
      <c r="FU613" t="s">
        <v>198</v>
      </c>
    </row>
    <row r="614" spans="1:177">
      <c r="A614" s="1" t="str">
        <f>HYPERLINK("http://digipan.lumentumllc.com/apps/getLink/index.php?t=PropLink&amp;p=5244990","PL")</f>
        <v>PL</v>
      </c>
      <c r="B614" s="1" t="str">
        <f>HYPERLINK("http://digipan.lumentumllc.com/apps/getLink/index.php?t=TaxLink&amp;p=5244990","TL")</f>
        <v>TL</v>
      </c>
      <c r="C614" s="1" t="str">
        <f>HYPERLINK("http://digipan.lumentumllc.com/apps/getMap/index.php?p=5244990","Map")</f>
        <v>Map</v>
      </c>
      <c r="E614" t="s">
        <v>177</v>
      </c>
      <c r="F614" t="s">
        <v>178</v>
      </c>
      <c r="L614" t="s">
        <v>8693</v>
      </c>
      <c r="N614" t="s">
        <v>8693</v>
      </c>
      <c r="O614" t="s">
        <v>8693</v>
      </c>
      <c r="P614" t="s">
        <v>8694</v>
      </c>
      <c r="Q614" t="s">
        <v>8693</v>
      </c>
      <c r="V614">
        <v>707</v>
      </c>
      <c r="W614">
        <v>3</v>
      </c>
      <c r="X614">
        <v>2017</v>
      </c>
      <c r="Y614">
        <v>2018</v>
      </c>
      <c r="Z614">
        <v>333.75</v>
      </c>
      <c r="AB614" t="s">
        <v>181</v>
      </c>
      <c r="AC614" t="s">
        <v>182</v>
      </c>
      <c r="AD614" t="s">
        <v>183</v>
      </c>
      <c r="AE614">
        <v>0</v>
      </c>
      <c r="AF614">
        <v>4</v>
      </c>
      <c r="AG614" t="s">
        <v>744</v>
      </c>
      <c r="AH614">
        <v>100</v>
      </c>
      <c r="AK614">
        <v>0</v>
      </c>
      <c r="AL614">
        <v>54356</v>
      </c>
      <c r="AM614">
        <v>26700</v>
      </c>
      <c r="AN614">
        <v>27656</v>
      </c>
      <c r="AO614">
        <v>269</v>
      </c>
      <c r="AP614">
        <v>2016</v>
      </c>
      <c r="AQ614">
        <v>0.61</v>
      </c>
      <c r="AS614" t="s">
        <v>8695</v>
      </c>
      <c r="AT614" t="s">
        <v>3747</v>
      </c>
      <c r="AU614" t="s">
        <v>177</v>
      </c>
      <c r="AV614" t="s">
        <v>1030</v>
      </c>
      <c r="AW614" t="s">
        <v>202</v>
      </c>
      <c r="AX614">
        <v>2</v>
      </c>
      <c r="AY614" t="s">
        <v>188</v>
      </c>
      <c r="AZ614" t="s">
        <v>189</v>
      </c>
      <c r="BA614" t="s">
        <v>190</v>
      </c>
      <c r="BB614" t="s">
        <v>191</v>
      </c>
      <c r="BC614" t="s">
        <v>182</v>
      </c>
      <c r="BD614" t="s">
        <v>182</v>
      </c>
      <c r="BE614" t="s">
        <v>2974</v>
      </c>
      <c r="BF614">
        <v>1</v>
      </c>
      <c r="BG614">
        <v>1</v>
      </c>
      <c r="BH614">
        <v>1994</v>
      </c>
      <c r="BI614" t="s">
        <v>2209</v>
      </c>
      <c r="BJ614" t="s">
        <v>194</v>
      </c>
      <c r="BK614" t="s">
        <v>195</v>
      </c>
      <c r="BL614" t="s">
        <v>1517</v>
      </c>
      <c r="BM614" t="s">
        <v>1311</v>
      </c>
      <c r="BN614" t="s">
        <v>182</v>
      </c>
      <c r="BO614" t="s">
        <v>198</v>
      </c>
      <c r="BP614" t="s">
        <v>198</v>
      </c>
      <c r="BQ614" t="s">
        <v>198</v>
      </c>
      <c r="BR614" t="s">
        <v>198</v>
      </c>
      <c r="BS614" t="s">
        <v>198</v>
      </c>
      <c r="BT614" t="s">
        <v>198</v>
      </c>
      <c r="BU614" t="s">
        <v>182</v>
      </c>
      <c r="BV614" t="s">
        <v>198</v>
      </c>
      <c r="BW614" t="s">
        <v>198</v>
      </c>
      <c r="BX614" t="s">
        <v>199</v>
      </c>
      <c r="BY614" t="s">
        <v>198</v>
      </c>
      <c r="BZ614" t="s">
        <v>199</v>
      </c>
      <c r="CA614" t="s">
        <v>199</v>
      </c>
      <c r="CB614" t="s">
        <v>8696</v>
      </c>
      <c r="CC614" t="s">
        <v>201</v>
      </c>
      <c r="CD614" t="s">
        <v>182</v>
      </c>
      <c r="CE614" t="s">
        <v>8697</v>
      </c>
      <c r="CF614" t="s">
        <v>1029</v>
      </c>
      <c r="CG614" t="s">
        <v>177</v>
      </c>
      <c r="CH614" t="s">
        <v>1030</v>
      </c>
      <c r="CI614" t="s">
        <v>8698</v>
      </c>
      <c r="CJ614" t="s">
        <v>5262</v>
      </c>
      <c r="CK614" t="s">
        <v>292</v>
      </c>
      <c r="CL614" t="s">
        <v>293</v>
      </c>
      <c r="CM614" t="s">
        <v>8699</v>
      </c>
      <c r="CN614" t="s">
        <v>235</v>
      </c>
      <c r="CO614" t="s">
        <v>183</v>
      </c>
      <c r="CP614" t="s">
        <v>211</v>
      </c>
      <c r="CQ614" t="s">
        <v>298</v>
      </c>
      <c r="CS614" t="s">
        <v>8700</v>
      </c>
      <c r="CT614" t="s">
        <v>5924</v>
      </c>
      <c r="CU614" t="s">
        <v>302</v>
      </c>
      <c r="CV614" t="s">
        <v>303</v>
      </c>
      <c r="CW614" t="s">
        <v>8701</v>
      </c>
      <c r="CX614" t="s">
        <v>436</v>
      </c>
      <c r="CY614" t="s">
        <v>183</v>
      </c>
      <c r="CZ614" t="s">
        <v>211</v>
      </c>
      <c r="DA614" t="s">
        <v>296</v>
      </c>
      <c r="DC614" t="s">
        <v>8702</v>
      </c>
      <c r="DD614" t="s">
        <v>8703</v>
      </c>
      <c r="DE614" t="s">
        <v>238</v>
      </c>
      <c r="DF614" t="s">
        <v>239</v>
      </c>
      <c r="DG614" t="s">
        <v>8704</v>
      </c>
      <c r="DH614" t="s">
        <v>278</v>
      </c>
      <c r="DI614" t="s">
        <v>183</v>
      </c>
      <c r="DJ614" t="s">
        <v>211</v>
      </c>
      <c r="DK614" t="s">
        <v>444</v>
      </c>
      <c r="DM614" t="s">
        <v>8702</v>
      </c>
      <c r="DN614" t="s">
        <v>8705</v>
      </c>
      <c r="DO614" t="s">
        <v>346</v>
      </c>
      <c r="DP614" t="s">
        <v>347</v>
      </c>
      <c r="DQ614" t="s">
        <v>8706</v>
      </c>
      <c r="DR614" t="s">
        <v>469</v>
      </c>
      <c r="DS614" t="s">
        <v>183</v>
      </c>
      <c r="DT614" t="s">
        <v>211</v>
      </c>
      <c r="DU614" t="s">
        <v>298</v>
      </c>
      <c r="DW614" t="s">
        <v>8707</v>
      </c>
      <c r="EG614" t="s">
        <v>198</v>
      </c>
      <c r="EQ614" t="s">
        <v>198</v>
      </c>
      <c r="FA614" t="s">
        <v>198</v>
      </c>
      <c r="FK614" t="s">
        <v>198</v>
      </c>
      <c r="FU614" t="s">
        <v>198</v>
      </c>
    </row>
    <row r="615" spans="1:177">
      <c r="A615" s="1" t="str">
        <f>HYPERLINK("http://digipan.lumentumllc.com/apps/getLink/index.php?t=PropLink&amp;p=5244991","PL")</f>
        <v>PL</v>
      </c>
      <c r="B615" s="1" t="str">
        <f>HYPERLINK("http://digipan.lumentumllc.com/apps/getLink/index.php?t=TaxLink&amp;p=5244991","TL")</f>
        <v>TL</v>
      </c>
      <c r="C615" s="1" t="str">
        <f>HYPERLINK("http://digipan.lumentumllc.com/apps/getMap/index.php?p=5244991","Map")</f>
        <v>Map</v>
      </c>
      <c r="E615" t="s">
        <v>177</v>
      </c>
      <c r="F615" t="s">
        <v>178</v>
      </c>
      <c r="L615" t="s">
        <v>8708</v>
      </c>
      <c r="N615" t="s">
        <v>8708</v>
      </c>
      <c r="O615" t="s">
        <v>8708</v>
      </c>
      <c r="P615" t="s">
        <v>8709</v>
      </c>
      <c r="Q615" t="s">
        <v>8708</v>
      </c>
      <c r="V615">
        <v>708</v>
      </c>
      <c r="W615">
        <v>3</v>
      </c>
      <c r="X615">
        <v>2017</v>
      </c>
      <c r="Y615">
        <v>2018</v>
      </c>
      <c r="Z615">
        <v>687.56</v>
      </c>
      <c r="AB615" t="s">
        <v>181</v>
      </c>
      <c r="AC615" t="s">
        <v>182</v>
      </c>
      <c r="AD615" t="s">
        <v>183</v>
      </c>
      <c r="AE615">
        <v>1</v>
      </c>
      <c r="AF615">
        <v>3</v>
      </c>
      <c r="AG615" t="s">
        <v>257</v>
      </c>
      <c r="AH615">
        <v>75</v>
      </c>
      <c r="AI615">
        <v>567.47</v>
      </c>
      <c r="AJ615">
        <v>28.37</v>
      </c>
      <c r="AK615">
        <v>595.84</v>
      </c>
      <c r="AL615">
        <v>45517</v>
      </c>
      <c r="AM615">
        <v>22200</v>
      </c>
      <c r="AN615">
        <v>23317</v>
      </c>
      <c r="AO615">
        <v>500</v>
      </c>
      <c r="AP615">
        <v>2016</v>
      </c>
      <c r="AQ615">
        <v>1.51</v>
      </c>
      <c r="AR615">
        <v>1.31</v>
      </c>
      <c r="AS615" t="s">
        <v>8710</v>
      </c>
      <c r="AT615" t="s">
        <v>3747</v>
      </c>
      <c r="AU615" t="s">
        <v>177</v>
      </c>
      <c r="AV615" t="s">
        <v>1030</v>
      </c>
      <c r="AW615" t="s">
        <v>182</v>
      </c>
      <c r="AX615">
        <v>2</v>
      </c>
      <c r="AY615" t="s">
        <v>188</v>
      </c>
      <c r="AZ615" t="s">
        <v>189</v>
      </c>
      <c r="BA615" t="s">
        <v>190</v>
      </c>
      <c r="BB615" t="s">
        <v>191</v>
      </c>
      <c r="BC615" t="s">
        <v>182</v>
      </c>
      <c r="BD615" t="s">
        <v>182</v>
      </c>
      <c r="BE615" t="s">
        <v>2879</v>
      </c>
      <c r="BF615">
        <v>1</v>
      </c>
      <c r="BG615">
        <v>1</v>
      </c>
      <c r="BH615">
        <v>1989</v>
      </c>
      <c r="BI615" t="s">
        <v>2209</v>
      </c>
      <c r="BJ615" t="s">
        <v>194</v>
      </c>
      <c r="BK615" t="s">
        <v>195</v>
      </c>
      <c r="BL615" t="s">
        <v>199</v>
      </c>
      <c r="BM615" t="s">
        <v>302</v>
      </c>
      <c r="BN615" t="s">
        <v>182</v>
      </c>
      <c r="BO615" t="s">
        <v>198</v>
      </c>
      <c r="BP615" t="s">
        <v>198</v>
      </c>
      <c r="BQ615" t="s">
        <v>198</v>
      </c>
      <c r="BR615" t="s">
        <v>198</v>
      </c>
      <c r="BS615" t="s">
        <v>198</v>
      </c>
      <c r="BT615" t="s">
        <v>198</v>
      </c>
      <c r="BU615" t="s">
        <v>182</v>
      </c>
      <c r="BV615" t="s">
        <v>198</v>
      </c>
      <c r="BW615" t="s">
        <v>198</v>
      </c>
      <c r="BX615" t="s">
        <v>199</v>
      </c>
      <c r="BY615" t="s">
        <v>198</v>
      </c>
      <c r="BZ615" t="s">
        <v>199</v>
      </c>
      <c r="CA615" t="s">
        <v>199</v>
      </c>
      <c r="CB615" t="s">
        <v>8711</v>
      </c>
      <c r="CC615" t="s">
        <v>201</v>
      </c>
      <c r="CD615" t="s">
        <v>202</v>
      </c>
      <c r="CE615" t="s">
        <v>8712</v>
      </c>
      <c r="CF615" t="s">
        <v>1029</v>
      </c>
      <c r="CG615" t="s">
        <v>177</v>
      </c>
      <c r="CH615" t="s">
        <v>1030</v>
      </c>
      <c r="CI615" t="s">
        <v>8713</v>
      </c>
      <c r="CJ615" t="s">
        <v>8412</v>
      </c>
      <c r="CK615" t="s">
        <v>232</v>
      </c>
      <c r="CL615" t="s">
        <v>233</v>
      </c>
      <c r="CM615" t="s">
        <v>8714</v>
      </c>
      <c r="CN615" t="s">
        <v>235</v>
      </c>
      <c r="CO615" t="s">
        <v>183</v>
      </c>
      <c r="CP615" t="s">
        <v>266</v>
      </c>
      <c r="CS615" t="s">
        <v>198</v>
      </c>
      <c r="CT615" t="s">
        <v>5295</v>
      </c>
      <c r="CU615" t="s">
        <v>292</v>
      </c>
      <c r="CV615" t="s">
        <v>293</v>
      </c>
      <c r="CW615" t="s">
        <v>8715</v>
      </c>
      <c r="CX615" t="s">
        <v>295</v>
      </c>
      <c r="CY615" t="s">
        <v>183</v>
      </c>
      <c r="CZ615" t="s">
        <v>211</v>
      </c>
      <c r="DA615" t="s">
        <v>345</v>
      </c>
      <c r="DC615" t="s">
        <v>7255</v>
      </c>
      <c r="DD615" t="s">
        <v>5240</v>
      </c>
      <c r="DE615" t="s">
        <v>267</v>
      </c>
      <c r="DF615" t="s">
        <v>268</v>
      </c>
      <c r="DG615" t="s">
        <v>8716</v>
      </c>
      <c r="DH615" t="s">
        <v>511</v>
      </c>
      <c r="DI615" t="s">
        <v>183</v>
      </c>
      <c r="DJ615" t="s">
        <v>211</v>
      </c>
      <c r="DK615" t="s">
        <v>298</v>
      </c>
      <c r="DM615" t="s">
        <v>2670</v>
      </c>
      <c r="DN615" t="s">
        <v>8717</v>
      </c>
      <c r="DO615" t="s">
        <v>273</v>
      </c>
      <c r="DP615" t="s">
        <v>274</v>
      </c>
      <c r="DQ615" t="s">
        <v>8718</v>
      </c>
      <c r="DR615" t="s">
        <v>235</v>
      </c>
      <c r="DS615" t="s">
        <v>183</v>
      </c>
      <c r="DT615" t="s">
        <v>211</v>
      </c>
      <c r="DU615" t="s">
        <v>298</v>
      </c>
      <c r="DW615" t="s">
        <v>871</v>
      </c>
      <c r="EG615" t="s">
        <v>198</v>
      </c>
      <c r="EQ615" t="s">
        <v>198</v>
      </c>
      <c r="FA615" t="s">
        <v>198</v>
      </c>
      <c r="FK615" t="s">
        <v>198</v>
      </c>
      <c r="FU615" t="s">
        <v>198</v>
      </c>
    </row>
    <row r="616" spans="1:177">
      <c r="A616" s="1" t="str">
        <f>HYPERLINK("http://digipan.lumentumllc.com/apps/getLink/index.php?t=PropLink&amp;p=6594128","PL")</f>
        <v>PL</v>
      </c>
      <c r="B616" s="1" t="str">
        <f>HYPERLINK("http://digipan.lumentumllc.com/apps/getLink/index.php?t=TaxLink&amp;p=6594128","TL")</f>
        <v>TL</v>
      </c>
      <c r="C616" s="1" t="str">
        <f>HYPERLINK("http://digipan.lumentumllc.com/apps/getMap/index.php?p=6594128","Map")</f>
        <v>Map</v>
      </c>
      <c r="E616" t="s">
        <v>177</v>
      </c>
      <c r="F616" t="s">
        <v>178</v>
      </c>
      <c r="L616" t="s">
        <v>8719</v>
      </c>
      <c r="N616" t="s">
        <v>8719</v>
      </c>
      <c r="O616" t="s">
        <v>8719</v>
      </c>
      <c r="P616" t="s">
        <v>8720</v>
      </c>
      <c r="Q616" t="s">
        <v>8719</v>
      </c>
      <c r="V616">
        <v>709</v>
      </c>
      <c r="W616">
        <v>3</v>
      </c>
      <c r="X616">
        <v>2017</v>
      </c>
      <c r="Y616">
        <v>2018</v>
      </c>
      <c r="Z616">
        <v>403.95</v>
      </c>
      <c r="AB616" t="s">
        <v>181</v>
      </c>
      <c r="AC616" t="s">
        <v>182</v>
      </c>
      <c r="AD616" t="s">
        <v>183</v>
      </c>
      <c r="AE616">
        <v>1</v>
      </c>
      <c r="AF616">
        <v>3</v>
      </c>
      <c r="AG616" t="s">
        <v>257</v>
      </c>
      <c r="AH616">
        <v>75</v>
      </c>
      <c r="AI616">
        <v>460.34</v>
      </c>
      <c r="AJ616">
        <v>23.02</v>
      </c>
      <c r="AK616">
        <v>483.36</v>
      </c>
      <c r="AL616">
        <v>22932</v>
      </c>
      <c r="AM616">
        <v>15000</v>
      </c>
      <c r="AN616">
        <v>7932</v>
      </c>
      <c r="AO616">
        <v>401</v>
      </c>
      <c r="AP616">
        <v>2016</v>
      </c>
      <c r="AQ616">
        <v>1.76</v>
      </c>
      <c r="AR616">
        <v>2.11</v>
      </c>
      <c r="AS616" t="s">
        <v>8721</v>
      </c>
      <c r="AT616" t="s">
        <v>3747</v>
      </c>
      <c r="AU616" t="s">
        <v>177</v>
      </c>
      <c r="AV616" t="s">
        <v>1030</v>
      </c>
      <c r="AW616" t="s">
        <v>182</v>
      </c>
      <c r="AX616">
        <v>0</v>
      </c>
      <c r="AY616" t="s">
        <v>312</v>
      </c>
      <c r="AZ616" t="s">
        <v>199</v>
      </c>
      <c r="BA616" t="s">
        <v>313</v>
      </c>
      <c r="BB616" t="s">
        <v>191</v>
      </c>
      <c r="BC616" t="s">
        <v>182</v>
      </c>
      <c r="BD616" t="s">
        <v>182</v>
      </c>
      <c r="BE616" t="s">
        <v>383</v>
      </c>
      <c r="BF616">
        <v>0</v>
      </c>
      <c r="BG616">
        <v>0</v>
      </c>
      <c r="BH616">
        <v>1988</v>
      </c>
      <c r="BI616" t="s">
        <v>199</v>
      </c>
      <c r="BJ616" t="s">
        <v>248</v>
      </c>
      <c r="BK616" t="s">
        <v>2350</v>
      </c>
      <c r="BL616" t="s">
        <v>199</v>
      </c>
      <c r="BM616" t="s">
        <v>533</v>
      </c>
      <c r="BN616" t="s">
        <v>182</v>
      </c>
      <c r="BO616" t="s">
        <v>198</v>
      </c>
      <c r="BP616" t="s">
        <v>198</v>
      </c>
      <c r="BQ616" t="s">
        <v>198</v>
      </c>
      <c r="BR616" t="s">
        <v>198</v>
      </c>
      <c r="BS616" t="s">
        <v>198</v>
      </c>
      <c r="BT616" t="s">
        <v>198</v>
      </c>
      <c r="BU616" t="s">
        <v>182</v>
      </c>
      <c r="BV616" t="s">
        <v>198</v>
      </c>
      <c r="BW616" t="s">
        <v>198</v>
      </c>
      <c r="BX616" t="s">
        <v>199</v>
      </c>
      <c r="BY616" t="s">
        <v>198</v>
      </c>
      <c r="BZ616" t="s">
        <v>199</v>
      </c>
      <c r="CA616" t="s">
        <v>199</v>
      </c>
      <c r="CB616" t="s">
        <v>8722</v>
      </c>
      <c r="CC616" t="s">
        <v>201</v>
      </c>
      <c r="CD616" t="s">
        <v>202</v>
      </c>
      <c r="CE616" t="s">
        <v>8723</v>
      </c>
      <c r="CF616" t="s">
        <v>1029</v>
      </c>
      <c r="CG616" t="s">
        <v>177</v>
      </c>
      <c r="CH616" t="s">
        <v>1030</v>
      </c>
      <c r="CI616" t="s">
        <v>8724</v>
      </c>
      <c r="CJ616" t="s">
        <v>8053</v>
      </c>
      <c r="CK616" t="s">
        <v>232</v>
      </c>
      <c r="CL616" t="s">
        <v>233</v>
      </c>
      <c r="CM616" t="s">
        <v>8725</v>
      </c>
      <c r="CN616" t="s">
        <v>235</v>
      </c>
      <c r="CO616" t="s">
        <v>183</v>
      </c>
      <c r="CP616" t="s">
        <v>266</v>
      </c>
      <c r="CS616" t="s">
        <v>198</v>
      </c>
      <c r="CT616" t="s">
        <v>7758</v>
      </c>
      <c r="CU616" t="s">
        <v>292</v>
      </c>
      <c r="CV616" t="s">
        <v>293</v>
      </c>
      <c r="CW616" t="s">
        <v>8726</v>
      </c>
      <c r="CX616" t="s">
        <v>295</v>
      </c>
      <c r="CY616" t="s">
        <v>183</v>
      </c>
      <c r="CZ616" t="s">
        <v>211</v>
      </c>
      <c r="DA616" t="s">
        <v>345</v>
      </c>
      <c r="DC616" t="s">
        <v>3095</v>
      </c>
      <c r="DD616" t="s">
        <v>5490</v>
      </c>
      <c r="DE616" t="s">
        <v>267</v>
      </c>
      <c r="DF616" t="s">
        <v>268</v>
      </c>
      <c r="DG616" t="s">
        <v>8727</v>
      </c>
      <c r="DH616" t="s">
        <v>511</v>
      </c>
      <c r="DI616" t="s">
        <v>183</v>
      </c>
      <c r="DJ616" t="s">
        <v>211</v>
      </c>
      <c r="DK616" t="s">
        <v>298</v>
      </c>
      <c r="DM616" t="s">
        <v>2428</v>
      </c>
      <c r="DN616" t="s">
        <v>8728</v>
      </c>
      <c r="DO616" t="s">
        <v>273</v>
      </c>
      <c r="DP616" t="s">
        <v>274</v>
      </c>
      <c r="DQ616" t="s">
        <v>8729</v>
      </c>
      <c r="DR616" t="s">
        <v>235</v>
      </c>
      <c r="DS616" t="s">
        <v>183</v>
      </c>
      <c r="DT616" t="s">
        <v>211</v>
      </c>
      <c r="DU616" t="s">
        <v>298</v>
      </c>
      <c r="DW616" t="s">
        <v>871</v>
      </c>
      <c r="EG616" t="s">
        <v>198</v>
      </c>
      <c r="EQ616" t="s">
        <v>198</v>
      </c>
      <c r="FA616" t="s">
        <v>198</v>
      </c>
      <c r="FK616" t="s">
        <v>198</v>
      </c>
      <c r="FU616" t="s">
        <v>198</v>
      </c>
    </row>
    <row r="617" spans="1:177">
      <c r="A617" s="1" t="str">
        <f>HYPERLINK("http://digipan.lumentumllc.com/apps/getLink/index.php?t=PropLink&amp;p=4637362","PL")</f>
        <v>PL</v>
      </c>
      <c r="B617" s="1" t="str">
        <f>HYPERLINK("http://digipan.lumentumllc.com/apps/getLink/index.php?t=TaxLink&amp;p=4637362","TL")</f>
        <v>TL</v>
      </c>
      <c r="C617" s="1" t="str">
        <f>HYPERLINK("http://digipan.lumentumllc.com/apps/getMap/index.php?p=4637362","Map")</f>
        <v>Map</v>
      </c>
      <c r="E617" t="s">
        <v>177</v>
      </c>
      <c r="F617" t="s">
        <v>178</v>
      </c>
      <c r="L617" t="s">
        <v>8730</v>
      </c>
      <c r="N617" t="s">
        <v>8730</v>
      </c>
      <c r="O617" t="s">
        <v>8730</v>
      </c>
      <c r="P617" t="s">
        <v>8731</v>
      </c>
      <c r="Q617" t="s">
        <v>8730</v>
      </c>
      <c r="V617">
        <v>710</v>
      </c>
      <c r="W617">
        <v>3</v>
      </c>
      <c r="X617">
        <v>2017</v>
      </c>
      <c r="Y617">
        <v>2018</v>
      </c>
      <c r="Z617">
        <v>547.75</v>
      </c>
      <c r="AG617" t="s">
        <v>184</v>
      </c>
      <c r="AH617">
        <v>0</v>
      </c>
      <c r="AK617">
        <v>0</v>
      </c>
      <c r="AL617">
        <v>31500</v>
      </c>
      <c r="AM617">
        <v>24000</v>
      </c>
      <c r="AN617">
        <v>7500</v>
      </c>
      <c r="AO617">
        <v>445</v>
      </c>
      <c r="AP617">
        <v>2016</v>
      </c>
      <c r="AQ617">
        <v>1.74</v>
      </c>
      <c r="AS617" t="s">
        <v>8732</v>
      </c>
      <c r="AT617" t="s">
        <v>3747</v>
      </c>
      <c r="AU617" t="s">
        <v>177</v>
      </c>
      <c r="AV617" t="s">
        <v>1030</v>
      </c>
      <c r="AW617" t="s">
        <v>182</v>
      </c>
      <c r="AX617">
        <v>0</v>
      </c>
      <c r="AY617" t="s">
        <v>312</v>
      </c>
      <c r="AZ617" t="s">
        <v>199</v>
      </c>
      <c r="BA617" t="s">
        <v>313</v>
      </c>
      <c r="BB617" t="s">
        <v>191</v>
      </c>
      <c r="BC617" t="s">
        <v>182</v>
      </c>
      <c r="BD617" t="s">
        <v>182</v>
      </c>
      <c r="BE617" t="s">
        <v>365</v>
      </c>
      <c r="BF617">
        <v>1</v>
      </c>
      <c r="BG617">
        <v>0</v>
      </c>
      <c r="BH617">
        <v>0</v>
      </c>
      <c r="BI617" t="s">
        <v>199</v>
      </c>
      <c r="BJ617" t="s">
        <v>248</v>
      </c>
      <c r="BK617" t="s">
        <v>2350</v>
      </c>
      <c r="BL617" t="s">
        <v>199</v>
      </c>
      <c r="BM617" t="s">
        <v>4973</v>
      </c>
      <c r="BN617" t="s">
        <v>182</v>
      </c>
      <c r="BO617" t="s">
        <v>198</v>
      </c>
      <c r="BP617" t="s">
        <v>198</v>
      </c>
      <c r="BQ617" t="s">
        <v>198</v>
      </c>
      <c r="BR617" t="s">
        <v>198</v>
      </c>
      <c r="BS617" t="s">
        <v>198</v>
      </c>
      <c r="BT617" t="s">
        <v>198</v>
      </c>
      <c r="BU617" t="s">
        <v>182</v>
      </c>
      <c r="BV617" t="s">
        <v>198</v>
      </c>
      <c r="BW617" t="s">
        <v>198</v>
      </c>
      <c r="BX617" t="s">
        <v>199</v>
      </c>
      <c r="BY617" t="s">
        <v>198</v>
      </c>
      <c r="BZ617" t="s">
        <v>199</v>
      </c>
      <c r="CA617" t="s">
        <v>199</v>
      </c>
      <c r="CB617" t="s">
        <v>8733</v>
      </c>
      <c r="CC617" t="s">
        <v>201</v>
      </c>
      <c r="CD617" t="s">
        <v>182</v>
      </c>
      <c r="CE617" t="s">
        <v>8734</v>
      </c>
      <c r="CF617" t="s">
        <v>1029</v>
      </c>
      <c r="CG617" t="s">
        <v>177</v>
      </c>
      <c r="CH617" t="s">
        <v>1030</v>
      </c>
      <c r="CI617" t="s">
        <v>629</v>
      </c>
      <c r="CS617" t="s">
        <v>198</v>
      </c>
      <c r="DC617" t="s">
        <v>198</v>
      </c>
      <c r="DM617" t="s">
        <v>198</v>
      </c>
      <c r="DW617" t="s">
        <v>198</v>
      </c>
      <c r="EG617" t="s">
        <v>198</v>
      </c>
      <c r="EQ617" t="s">
        <v>198</v>
      </c>
      <c r="FA617" t="s">
        <v>198</v>
      </c>
      <c r="FK617" t="s">
        <v>198</v>
      </c>
      <c r="FU617" t="s">
        <v>198</v>
      </c>
    </row>
    <row r="618" spans="1:177">
      <c r="A618" s="1" t="str">
        <f>HYPERLINK("http://digipan.lumentumllc.com/apps/getLink/index.php?t=PropLink&amp;p=5244998","PL")</f>
        <v>PL</v>
      </c>
      <c r="B618" s="1" t="str">
        <f>HYPERLINK("http://digipan.lumentumllc.com/apps/getLink/index.php?t=TaxLink&amp;p=5244998","TL")</f>
        <v>TL</v>
      </c>
      <c r="C618" s="1" t="str">
        <f>HYPERLINK("http://digipan.lumentumllc.com/apps/getMap/index.php?p=5244998","Map")</f>
        <v>Map</v>
      </c>
      <c r="E618" t="s">
        <v>177</v>
      </c>
      <c r="F618" t="s">
        <v>178</v>
      </c>
      <c r="L618" t="s">
        <v>8735</v>
      </c>
      <c r="N618" t="s">
        <v>8735</v>
      </c>
      <c r="O618" t="s">
        <v>8735</v>
      </c>
      <c r="P618" t="s">
        <v>8736</v>
      </c>
      <c r="Q618" t="s">
        <v>8735</v>
      </c>
      <c r="V618">
        <v>712</v>
      </c>
      <c r="W618">
        <v>3</v>
      </c>
      <c r="X618">
        <v>2017</v>
      </c>
      <c r="Y618">
        <v>2018</v>
      </c>
      <c r="Z618">
        <v>1106.68</v>
      </c>
      <c r="AB618" t="s">
        <v>181</v>
      </c>
      <c r="AC618" t="s">
        <v>182</v>
      </c>
      <c r="AD618" t="s">
        <v>183</v>
      </c>
      <c r="AE618">
        <v>0</v>
      </c>
      <c r="AF618">
        <v>7</v>
      </c>
      <c r="AG618" t="s">
        <v>528</v>
      </c>
      <c r="AH618">
        <v>100</v>
      </c>
      <c r="AK618">
        <v>0</v>
      </c>
      <c r="AL618">
        <v>70628</v>
      </c>
      <c r="AM618">
        <v>22800</v>
      </c>
      <c r="AN618">
        <v>47828</v>
      </c>
      <c r="AO618">
        <v>862</v>
      </c>
      <c r="AP618">
        <v>2016</v>
      </c>
      <c r="AQ618">
        <v>1.57</v>
      </c>
      <c r="AS618" t="s">
        <v>8737</v>
      </c>
      <c r="AT618" t="s">
        <v>3747</v>
      </c>
      <c r="AU618" t="s">
        <v>177</v>
      </c>
      <c r="AV618" t="s">
        <v>1030</v>
      </c>
      <c r="AW618" t="s">
        <v>182</v>
      </c>
      <c r="AX618">
        <v>2</v>
      </c>
      <c r="AY618" t="s">
        <v>188</v>
      </c>
      <c r="AZ618" t="s">
        <v>189</v>
      </c>
      <c r="BA618" t="s">
        <v>190</v>
      </c>
      <c r="BB618" t="s">
        <v>191</v>
      </c>
      <c r="BC618" t="s">
        <v>182</v>
      </c>
      <c r="BD618" t="s">
        <v>182</v>
      </c>
      <c r="BE618" t="s">
        <v>5212</v>
      </c>
      <c r="BF618">
        <v>1</v>
      </c>
      <c r="BG618">
        <v>1</v>
      </c>
      <c r="BH618">
        <v>1998</v>
      </c>
      <c r="BI618" t="s">
        <v>8738</v>
      </c>
      <c r="BJ618" t="s">
        <v>194</v>
      </c>
      <c r="BK618" t="s">
        <v>195</v>
      </c>
      <c r="BL618" t="s">
        <v>199</v>
      </c>
      <c r="BM618" t="s">
        <v>533</v>
      </c>
      <c r="BN618" t="s">
        <v>182</v>
      </c>
      <c r="BO618" t="s">
        <v>8739</v>
      </c>
      <c r="BP618" t="s">
        <v>317</v>
      </c>
      <c r="BQ618" t="s">
        <v>1285</v>
      </c>
      <c r="BR618" t="s">
        <v>1300</v>
      </c>
      <c r="BS618" t="s">
        <v>198</v>
      </c>
      <c r="BT618" t="s">
        <v>8740</v>
      </c>
      <c r="BU618" t="s">
        <v>182</v>
      </c>
      <c r="BV618" t="s">
        <v>198</v>
      </c>
      <c r="BW618" t="s">
        <v>198</v>
      </c>
      <c r="BX618" t="s">
        <v>199</v>
      </c>
      <c r="BY618" t="s">
        <v>198</v>
      </c>
      <c r="BZ618" t="s">
        <v>199</v>
      </c>
      <c r="CA618" t="s">
        <v>199</v>
      </c>
      <c r="CB618" t="s">
        <v>8741</v>
      </c>
      <c r="CC618" t="s">
        <v>201</v>
      </c>
      <c r="CD618" t="s">
        <v>182</v>
      </c>
      <c r="CE618" t="s">
        <v>8742</v>
      </c>
      <c r="CF618" t="s">
        <v>1029</v>
      </c>
      <c r="CG618" t="s">
        <v>177</v>
      </c>
      <c r="CH618" t="s">
        <v>1030</v>
      </c>
      <c r="CI618" t="s">
        <v>8743</v>
      </c>
      <c r="CJ618" t="s">
        <v>5490</v>
      </c>
      <c r="CK618" t="s">
        <v>232</v>
      </c>
      <c r="CL618" t="s">
        <v>233</v>
      </c>
      <c r="CM618" t="s">
        <v>8744</v>
      </c>
      <c r="CN618" t="s">
        <v>235</v>
      </c>
      <c r="CO618" t="s">
        <v>183</v>
      </c>
      <c r="CP618" t="s">
        <v>211</v>
      </c>
      <c r="CQ618" t="s">
        <v>264</v>
      </c>
      <c r="CS618" t="s">
        <v>1339</v>
      </c>
      <c r="CT618" t="s">
        <v>8108</v>
      </c>
      <c r="CU618" t="s">
        <v>267</v>
      </c>
      <c r="CV618" t="s">
        <v>268</v>
      </c>
      <c r="CW618" t="s">
        <v>8745</v>
      </c>
      <c r="CX618" t="s">
        <v>235</v>
      </c>
      <c r="CY618" t="s">
        <v>183</v>
      </c>
      <c r="CZ618" t="s">
        <v>211</v>
      </c>
      <c r="DA618" t="s">
        <v>342</v>
      </c>
      <c r="DC618" t="s">
        <v>392</v>
      </c>
      <c r="DD618" t="s">
        <v>8746</v>
      </c>
      <c r="DE618" t="s">
        <v>273</v>
      </c>
      <c r="DF618" t="s">
        <v>274</v>
      </c>
      <c r="DG618" t="s">
        <v>8747</v>
      </c>
      <c r="DH618" t="s">
        <v>235</v>
      </c>
      <c r="DI618" t="s">
        <v>183</v>
      </c>
      <c r="DJ618" t="s">
        <v>211</v>
      </c>
      <c r="DK618" t="s">
        <v>270</v>
      </c>
      <c r="DM618" t="s">
        <v>8748</v>
      </c>
      <c r="DN618" t="s">
        <v>6253</v>
      </c>
      <c r="DO618" t="s">
        <v>302</v>
      </c>
      <c r="DP618" t="s">
        <v>303</v>
      </c>
      <c r="DQ618" t="s">
        <v>8749</v>
      </c>
      <c r="DR618" t="s">
        <v>796</v>
      </c>
      <c r="DS618" t="s">
        <v>183</v>
      </c>
      <c r="DT618" t="s">
        <v>211</v>
      </c>
      <c r="DU618" t="s">
        <v>444</v>
      </c>
      <c r="DW618" t="s">
        <v>8750</v>
      </c>
      <c r="DX618" t="s">
        <v>8751</v>
      </c>
      <c r="DY618" t="s">
        <v>238</v>
      </c>
      <c r="DZ618" t="s">
        <v>239</v>
      </c>
      <c r="EA618" t="s">
        <v>8752</v>
      </c>
      <c r="EB618" t="s">
        <v>278</v>
      </c>
      <c r="EC618" t="s">
        <v>183</v>
      </c>
      <c r="ED618" t="s">
        <v>211</v>
      </c>
      <c r="EE618" t="s">
        <v>471</v>
      </c>
      <c r="EG618" t="s">
        <v>8753</v>
      </c>
      <c r="EH618" t="s">
        <v>8754</v>
      </c>
      <c r="EI618" t="s">
        <v>346</v>
      </c>
      <c r="EJ618" t="s">
        <v>347</v>
      </c>
      <c r="EK618" t="s">
        <v>8755</v>
      </c>
      <c r="EL618" t="s">
        <v>469</v>
      </c>
      <c r="EM618" t="s">
        <v>183</v>
      </c>
      <c r="EN618" t="s">
        <v>211</v>
      </c>
      <c r="EO618" t="s">
        <v>471</v>
      </c>
      <c r="EQ618" t="s">
        <v>8756</v>
      </c>
      <c r="ER618" t="s">
        <v>4222</v>
      </c>
      <c r="ES618" t="s">
        <v>207</v>
      </c>
      <c r="ET618" t="s">
        <v>208</v>
      </c>
      <c r="EU618" t="s">
        <v>8757</v>
      </c>
      <c r="EV618" t="s">
        <v>576</v>
      </c>
      <c r="EW618" t="s">
        <v>183</v>
      </c>
      <c r="EX618" t="s">
        <v>211</v>
      </c>
      <c r="EY618" t="s">
        <v>212</v>
      </c>
      <c r="FA618" t="s">
        <v>213</v>
      </c>
      <c r="FK618" t="s">
        <v>198</v>
      </c>
      <c r="FU618" t="s">
        <v>198</v>
      </c>
    </row>
    <row r="619" spans="1:177">
      <c r="A619" s="1" t="str">
        <f>HYPERLINK("http://digipan.lumentumllc.com/apps/getLink/index.php?t=PropLink&amp;p=5245000","PL")</f>
        <v>PL</v>
      </c>
      <c r="B619" s="1" t="str">
        <f>HYPERLINK("http://digipan.lumentumllc.com/apps/getLink/index.php?t=TaxLink&amp;p=5245000","TL")</f>
        <v>TL</v>
      </c>
      <c r="C619" s="1" t="str">
        <f>HYPERLINK("http://digipan.lumentumllc.com/apps/getMap/index.php?p=5245000","Map")</f>
        <v>Map</v>
      </c>
      <c r="E619" t="s">
        <v>177</v>
      </c>
      <c r="F619" t="s">
        <v>178</v>
      </c>
      <c r="L619" t="s">
        <v>8758</v>
      </c>
      <c r="N619" t="s">
        <v>8758</v>
      </c>
      <c r="O619" t="s">
        <v>8758</v>
      </c>
      <c r="P619" t="s">
        <v>8759</v>
      </c>
      <c r="Q619" t="s">
        <v>8758</v>
      </c>
      <c r="V619">
        <v>713</v>
      </c>
      <c r="W619">
        <v>3</v>
      </c>
      <c r="X619">
        <v>2017</v>
      </c>
      <c r="Y619">
        <v>2018</v>
      </c>
      <c r="Z619">
        <v>536.04999999999995</v>
      </c>
      <c r="AB619" t="s">
        <v>181</v>
      </c>
      <c r="AC619" t="s">
        <v>182</v>
      </c>
      <c r="AD619" t="s">
        <v>183</v>
      </c>
      <c r="AE619">
        <v>0</v>
      </c>
      <c r="AF619">
        <v>5</v>
      </c>
      <c r="AG619" t="s">
        <v>744</v>
      </c>
      <c r="AH619">
        <v>100</v>
      </c>
      <c r="AK619">
        <v>0</v>
      </c>
      <c r="AL619">
        <v>79392</v>
      </c>
      <c r="AM619">
        <v>20100</v>
      </c>
      <c r="AN619">
        <v>59292</v>
      </c>
      <c r="AO619">
        <v>465</v>
      </c>
      <c r="AP619">
        <v>2016</v>
      </c>
      <c r="AQ619">
        <v>0.68</v>
      </c>
      <c r="AS619" t="s">
        <v>8760</v>
      </c>
      <c r="AT619" t="s">
        <v>3747</v>
      </c>
      <c r="AU619" t="s">
        <v>177</v>
      </c>
      <c r="AV619" t="s">
        <v>1030</v>
      </c>
      <c r="AW619" t="s">
        <v>202</v>
      </c>
      <c r="AX619">
        <v>2</v>
      </c>
      <c r="AY619" t="s">
        <v>188</v>
      </c>
      <c r="AZ619" t="s">
        <v>189</v>
      </c>
      <c r="BA619" t="s">
        <v>190</v>
      </c>
      <c r="BB619" t="s">
        <v>191</v>
      </c>
      <c r="BC619" t="s">
        <v>182</v>
      </c>
      <c r="BD619" t="s">
        <v>182</v>
      </c>
      <c r="BE619" t="s">
        <v>2167</v>
      </c>
      <c r="BF619">
        <v>1</v>
      </c>
      <c r="BG619">
        <v>1</v>
      </c>
      <c r="BH619">
        <v>1996</v>
      </c>
      <c r="BI619" t="s">
        <v>8761</v>
      </c>
      <c r="BJ619" t="s">
        <v>194</v>
      </c>
      <c r="BK619" t="s">
        <v>195</v>
      </c>
      <c r="BL619" t="s">
        <v>199</v>
      </c>
      <c r="BM619" t="s">
        <v>325</v>
      </c>
      <c r="BN619" t="s">
        <v>182</v>
      </c>
      <c r="BO619" t="s">
        <v>198</v>
      </c>
      <c r="BP619" t="s">
        <v>198</v>
      </c>
      <c r="BQ619" t="s">
        <v>198</v>
      </c>
      <c r="BR619" t="s">
        <v>198</v>
      </c>
      <c r="BS619" t="s">
        <v>198</v>
      </c>
      <c r="BT619" t="s">
        <v>198</v>
      </c>
      <c r="BU619" t="s">
        <v>182</v>
      </c>
      <c r="BV619" t="s">
        <v>198</v>
      </c>
      <c r="BW619" t="s">
        <v>198</v>
      </c>
      <c r="BX619" t="s">
        <v>199</v>
      </c>
      <c r="BY619" t="s">
        <v>198</v>
      </c>
      <c r="BZ619" t="s">
        <v>199</v>
      </c>
      <c r="CA619" t="s">
        <v>199</v>
      </c>
      <c r="CB619" t="s">
        <v>8762</v>
      </c>
      <c r="CC619" t="s">
        <v>201</v>
      </c>
      <c r="CD619" t="s">
        <v>182</v>
      </c>
      <c r="CE619" t="s">
        <v>8763</v>
      </c>
      <c r="CF619" t="s">
        <v>1029</v>
      </c>
      <c r="CG619" t="s">
        <v>177</v>
      </c>
      <c r="CH619" t="s">
        <v>1030</v>
      </c>
      <c r="CI619" t="s">
        <v>5129</v>
      </c>
      <c r="CJ619" t="s">
        <v>7829</v>
      </c>
      <c r="CK619" t="s">
        <v>292</v>
      </c>
      <c r="CL619" t="s">
        <v>293</v>
      </c>
      <c r="CM619" t="s">
        <v>8764</v>
      </c>
      <c r="CN619" t="s">
        <v>235</v>
      </c>
      <c r="CO619" t="s">
        <v>183</v>
      </c>
      <c r="CP619" t="s">
        <v>211</v>
      </c>
      <c r="CQ619" t="s">
        <v>296</v>
      </c>
      <c r="CS619" t="s">
        <v>8765</v>
      </c>
      <c r="CT619" t="s">
        <v>8128</v>
      </c>
      <c r="CU619" t="s">
        <v>267</v>
      </c>
      <c r="CV619" t="s">
        <v>268</v>
      </c>
      <c r="CW619" t="s">
        <v>8766</v>
      </c>
      <c r="CX619" t="s">
        <v>235</v>
      </c>
      <c r="CY619" t="s">
        <v>183</v>
      </c>
      <c r="CZ619" t="s">
        <v>211</v>
      </c>
      <c r="DA619" t="s">
        <v>444</v>
      </c>
      <c r="DC619" t="s">
        <v>8765</v>
      </c>
      <c r="DD619" t="s">
        <v>5532</v>
      </c>
      <c r="DE619" t="s">
        <v>273</v>
      </c>
      <c r="DF619" t="s">
        <v>274</v>
      </c>
      <c r="DG619" t="s">
        <v>8767</v>
      </c>
      <c r="DH619" t="s">
        <v>235</v>
      </c>
      <c r="DI619" t="s">
        <v>183</v>
      </c>
      <c r="DJ619" t="s">
        <v>211</v>
      </c>
      <c r="DK619" t="s">
        <v>329</v>
      </c>
      <c r="DM619" t="s">
        <v>2184</v>
      </c>
      <c r="DN619" t="s">
        <v>4018</v>
      </c>
      <c r="DO619" t="s">
        <v>346</v>
      </c>
      <c r="DP619" t="s">
        <v>347</v>
      </c>
      <c r="DQ619" t="s">
        <v>8768</v>
      </c>
      <c r="DR619" t="s">
        <v>391</v>
      </c>
      <c r="DS619" t="s">
        <v>183</v>
      </c>
      <c r="DT619" t="s">
        <v>211</v>
      </c>
      <c r="DU619" t="s">
        <v>329</v>
      </c>
      <c r="DW619" t="s">
        <v>1324</v>
      </c>
      <c r="DX619" t="s">
        <v>8769</v>
      </c>
      <c r="DY619" t="s">
        <v>207</v>
      </c>
      <c r="DZ619" t="s">
        <v>208</v>
      </c>
      <c r="EA619" t="s">
        <v>8770</v>
      </c>
      <c r="EB619" t="s">
        <v>576</v>
      </c>
      <c r="EC619" t="s">
        <v>183</v>
      </c>
      <c r="ED619" t="s">
        <v>211</v>
      </c>
      <c r="EE619" t="s">
        <v>342</v>
      </c>
      <c r="EG619" t="s">
        <v>8771</v>
      </c>
      <c r="EQ619" t="s">
        <v>198</v>
      </c>
      <c r="FA619" t="s">
        <v>198</v>
      </c>
      <c r="FK619" t="s">
        <v>198</v>
      </c>
      <c r="FU619" t="s">
        <v>198</v>
      </c>
    </row>
    <row r="620" spans="1:177">
      <c r="A620" s="1" t="str">
        <f>HYPERLINK("http://digipan.lumentumllc.com/apps/getLink/index.php?t=PropLink&amp;p=5245002","PL")</f>
        <v>PL</v>
      </c>
      <c r="B620" s="1" t="str">
        <f>HYPERLINK("http://digipan.lumentumllc.com/apps/getLink/index.php?t=TaxLink&amp;p=5245002","TL")</f>
        <v>TL</v>
      </c>
      <c r="C620" s="1" t="str">
        <f>HYPERLINK("http://digipan.lumentumllc.com/apps/getMap/index.php?p=5245002","Map")</f>
        <v>Map</v>
      </c>
      <c r="E620" t="s">
        <v>177</v>
      </c>
      <c r="F620" t="s">
        <v>178</v>
      </c>
      <c r="L620" t="s">
        <v>8772</v>
      </c>
      <c r="N620" t="s">
        <v>8772</v>
      </c>
      <c r="O620" t="s">
        <v>8772</v>
      </c>
      <c r="P620" t="s">
        <v>8773</v>
      </c>
      <c r="Q620" t="s">
        <v>8772</v>
      </c>
      <c r="V620">
        <v>714</v>
      </c>
      <c r="W620">
        <v>3</v>
      </c>
      <c r="X620">
        <v>2017</v>
      </c>
      <c r="Y620">
        <v>2018</v>
      </c>
      <c r="Z620">
        <v>444.82</v>
      </c>
      <c r="AB620" t="s">
        <v>181</v>
      </c>
      <c r="AC620" t="s">
        <v>202</v>
      </c>
      <c r="AD620" t="s">
        <v>183</v>
      </c>
      <c r="AE620">
        <v>1</v>
      </c>
      <c r="AF620">
        <v>6</v>
      </c>
      <c r="AG620" t="s">
        <v>322</v>
      </c>
      <c r="AH620">
        <v>83</v>
      </c>
      <c r="AI620">
        <v>432.93</v>
      </c>
      <c r="AJ620">
        <v>21.65</v>
      </c>
      <c r="AK620">
        <v>454.58</v>
      </c>
      <c r="AL620">
        <v>63470</v>
      </c>
      <c r="AM620">
        <v>18900</v>
      </c>
      <c r="AN620">
        <v>44570</v>
      </c>
      <c r="AO620">
        <v>375</v>
      </c>
      <c r="AP620">
        <v>2016</v>
      </c>
      <c r="AQ620">
        <v>0.7</v>
      </c>
      <c r="AR620">
        <v>0.72</v>
      </c>
      <c r="AS620" t="s">
        <v>8774</v>
      </c>
      <c r="AT620" t="s">
        <v>3747</v>
      </c>
      <c r="AU620" t="s">
        <v>177</v>
      </c>
      <c r="AV620" t="s">
        <v>1030</v>
      </c>
      <c r="AW620" t="s">
        <v>202</v>
      </c>
      <c r="AX620">
        <v>2</v>
      </c>
      <c r="AY620" t="s">
        <v>188</v>
      </c>
      <c r="AZ620" t="s">
        <v>189</v>
      </c>
      <c r="BA620" t="s">
        <v>190</v>
      </c>
      <c r="BB620" t="s">
        <v>191</v>
      </c>
      <c r="BC620" t="s">
        <v>182</v>
      </c>
      <c r="BD620" t="s">
        <v>182</v>
      </c>
      <c r="BE620" t="s">
        <v>1844</v>
      </c>
      <c r="BF620">
        <v>1</v>
      </c>
      <c r="BG620">
        <v>1</v>
      </c>
      <c r="BH620">
        <v>1997</v>
      </c>
      <c r="BI620" t="s">
        <v>3386</v>
      </c>
      <c r="BJ620" t="s">
        <v>194</v>
      </c>
      <c r="BK620" t="s">
        <v>195</v>
      </c>
      <c r="BL620" t="s">
        <v>8775</v>
      </c>
      <c r="BM620" t="s">
        <v>1825</v>
      </c>
      <c r="BN620" t="s">
        <v>182</v>
      </c>
      <c r="BO620" t="s">
        <v>198</v>
      </c>
      <c r="BP620" t="s">
        <v>198</v>
      </c>
      <c r="BQ620" t="s">
        <v>198</v>
      </c>
      <c r="BR620" t="s">
        <v>198</v>
      </c>
      <c r="BS620" t="s">
        <v>198</v>
      </c>
      <c r="BT620" t="s">
        <v>198</v>
      </c>
      <c r="BU620" t="s">
        <v>182</v>
      </c>
      <c r="BV620" t="s">
        <v>198</v>
      </c>
      <c r="BW620" t="s">
        <v>198</v>
      </c>
      <c r="BX620" t="s">
        <v>199</v>
      </c>
      <c r="BY620" t="s">
        <v>198</v>
      </c>
      <c r="BZ620" t="s">
        <v>199</v>
      </c>
      <c r="CA620" t="s">
        <v>199</v>
      </c>
      <c r="CB620" t="s">
        <v>8776</v>
      </c>
      <c r="CC620" t="s">
        <v>201</v>
      </c>
      <c r="CD620" t="s">
        <v>182</v>
      </c>
      <c r="CE620" t="s">
        <v>8777</v>
      </c>
      <c r="CF620" t="s">
        <v>1029</v>
      </c>
      <c r="CG620" t="s">
        <v>177</v>
      </c>
      <c r="CH620" t="s">
        <v>1030</v>
      </c>
      <c r="CI620" t="s">
        <v>8778</v>
      </c>
      <c r="CJ620" t="s">
        <v>5260</v>
      </c>
      <c r="CK620" t="s">
        <v>232</v>
      </c>
      <c r="CL620" t="s">
        <v>233</v>
      </c>
      <c r="CM620" t="s">
        <v>8779</v>
      </c>
      <c r="CN620" t="s">
        <v>235</v>
      </c>
      <c r="CO620" t="s">
        <v>183</v>
      </c>
      <c r="CP620" t="s">
        <v>266</v>
      </c>
      <c r="CS620" t="s">
        <v>198</v>
      </c>
      <c r="CT620" t="s">
        <v>8532</v>
      </c>
      <c r="CU620" t="s">
        <v>292</v>
      </c>
      <c r="CV620" t="s">
        <v>293</v>
      </c>
      <c r="CW620" t="s">
        <v>8780</v>
      </c>
      <c r="CX620" t="s">
        <v>331</v>
      </c>
      <c r="CY620" t="s">
        <v>183</v>
      </c>
      <c r="CZ620" t="s">
        <v>211</v>
      </c>
      <c r="DA620" t="s">
        <v>250</v>
      </c>
      <c r="DB620" t="s">
        <v>271</v>
      </c>
      <c r="DC620" t="s">
        <v>4374</v>
      </c>
      <c r="DD620" t="s">
        <v>5319</v>
      </c>
      <c r="DE620" t="s">
        <v>267</v>
      </c>
      <c r="DF620" t="s">
        <v>268</v>
      </c>
      <c r="DG620" t="s">
        <v>8781</v>
      </c>
      <c r="DH620" t="s">
        <v>235</v>
      </c>
      <c r="DI620" t="s">
        <v>183</v>
      </c>
      <c r="DJ620" t="s">
        <v>211</v>
      </c>
      <c r="DK620" t="s">
        <v>487</v>
      </c>
      <c r="DL620" t="s">
        <v>271</v>
      </c>
      <c r="DM620" t="s">
        <v>4374</v>
      </c>
      <c r="DN620" t="s">
        <v>8379</v>
      </c>
      <c r="DO620" t="s">
        <v>273</v>
      </c>
      <c r="DP620" t="s">
        <v>274</v>
      </c>
      <c r="DQ620" t="s">
        <v>8782</v>
      </c>
      <c r="DR620" t="s">
        <v>514</v>
      </c>
      <c r="DS620" t="s">
        <v>183</v>
      </c>
      <c r="DT620" t="s">
        <v>211</v>
      </c>
      <c r="DV620" t="s">
        <v>271</v>
      </c>
      <c r="DW620" t="s">
        <v>198</v>
      </c>
      <c r="DX620" t="s">
        <v>8783</v>
      </c>
      <c r="DY620" t="s">
        <v>302</v>
      </c>
      <c r="DZ620" t="s">
        <v>303</v>
      </c>
      <c r="EA620" t="s">
        <v>8784</v>
      </c>
      <c r="EB620" t="s">
        <v>796</v>
      </c>
      <c r="EC620" t="s">
        <v>183</v>
      </c>
      <c r="ED620" t="s">
        <v>211</v>
      </c>
      <c r="EE620" t="s">
        <v>345</v>
      </c>
      <c r="EG620" t="s">
        <v>2598</v>
      </c>
      <c r="EH620" t="s">
        <v>8785</v>
      </c>
      <c r="EI620" t="s">
        <v>346</v>
      </c>
      <c r="EJ620" t="s">
        <v>347</v>
      </c>
      <c r="EK620" t="s">
        <v>8786</v>
      </c>
      <c r="EL620" t="s">
        <v>469</v>
      </c>
      <c r="EM620" t="s">
        <v>183</v>
      </c>
      <c r="EN620" t="s">
        <v>211</v>
      </c>
      <c r="EO620" t="s">
        <v>329</v>
      </c>
      <c r="EQ620" t="s">
        <v>1770</v>
      </c>
      <c r="ER620" t="s">
        <v>8787</v>
      </c>
      <c r="ES620" t="s">
        <v>207</v>
      </c>
      <c r="ET620" t="s">
        <v>208</v>
      </c>
      <c r="EU620" t="s">
        <v>8788</v>
      </c>
      <c r="EV620" t="s">
        <v>1966</v>
      </c>
      <c r="EW620" t="s">
        <v>183</v>
      </c>
      <c r="EX620" t="s">
        <v>211</v>
      </c>
      <c r="EY620" t="s">
        <v>298</v>
      </c>
      <c r="FA620" t="s">
        <v>1770</v>
      </c>
      <c r="FK620" t="s">
        <v>198</v>
      </c>
      <c r="FU620" t="s">
        <v>198</v>
      </c>
    </row>
    <row r="621" spans="1:177">
      <c r="A621" s="1" t="str">
        <f>HYPERLINK("http://digipan.lumentumllc.com/apps/getLink/index.php?t=PropLink&amp;p=6886656","PL")</f>
        <v>PL</v>
      </c>
      <c r="B621" s="1" t="str">
        <f>HYPERLINK("http://digipan.lumentumllc.com/apps/getLink/index.php?t=TaxLink&amp;p=6886656","TL")</f>
        <v>TL</v>
      </c>
      <c r="C621" s="1" t="str">
        <f>HYPERLINK("http://digipan.lumentumllc.com/apps/getMap/index.php?p=6886656","Map")</f>
        <v>Map</v>
      </c>
      <c r="E621" t="s">
        <v>177</v>
      </c>
      <c r="F621" t="s">
        <v>178</v>
      </c>
      <c r="L621" t="s">
        <v>8789</v>
      </c>
      <c r="N621" t="s">
        <v>8789</v>
      </c>
      <c r="O621" t="s">
        <v>8789</v>
      </c>
      <c r="P621" t="s">
        <v>8790</v>
      </c>
      <c r="Q621" t="s">
        <v>8789</v>
      </c>
      <c r="V621">
        <v>715</v>
      </c>
      <c r="W621">
        <v>3</v>
      </c>
      <c r="X621">
        <v>2017</v>
      </c>
      <c r="Y621">
        <v>2018</v>
      </c>
      <c r="Z621">
        <v>468.47</v>
      </c>
      <c r="AB621" t="s">
        <v>181</v>
      </c>
      <c r="AC621" t="s">
        <v>182</v>
      </c>
      <c r="AD621" t="s">
        <v>183</v>
      </c>
      <c r="AE621">
        <v>1</v>
      </c>
      <c r="AF621">
        <v>2</v>
      </c>
      <c r="AG621" t="s">
        <v>363</v>
      </c>
      <c r="AH621">
        <v>67</v>
      </c>
      <c r="AI621">
        <v>469.59</v>
      </c>
      <c r="AJ621">
        <v>23.48</v>
      </c>
      <c r="AK621">
        <v>493.07</v>
      </c>
      <c r="AL621">
        <v>26659</v>
      </c>
      <c r="AM621">
        <v>13500</v>
      </c>
      <c r="AN621">
        <v>13159</v>
      </c>
      <c r="AO621">
        <v>409</v>
      </c>
      <c r="AP621">
        <v>2016</v>
      </c>
      <c r="AQ621">
        <v>1.76</v>
      </c>
      <c r="AR621">
        <v>1.85</v>
      </c>
      <c r="AS621" t="s">
        <v>8791</v>
      </c>
      <c r="AT621" t="s">
        <v>3747</v>
      </c>
      <c r="AU621" t="s">
        <v>177</v>
      </c>
      <c r="AV621" t="s">
        <v>1030</v>
      </c>
      <c r="AW621" t="s">
        <v>182</v>
      </c>
      <c r="AX621">
        <v>2</v>
      </c>
      <c r="AY621" t="s">
        <v>188</v>
      </c>
      <c r="AZ621" t="s">
        <v>189</v>
      </c>
      <c r="BA621" t="s">
        <v>190</v>
      </c>
      <c r="BB621" t="s">
        <v>191</v>
      </c>
      <c r="BC621" t="s">
        <v>182</v>
      </c>
      <c r="BD621" t="s">
        <v>182</v>
      </c>
      <c r="BE621" t="s">
        <v>8792</v>
      </c>
      <c r="BF621">
        <v>1</v>
      </c>
      <c r="BG621">
        <v>1</v>
      </c>
      <c r="BH621">
        <v>1974</v>
      </c>
      <c r="BI621" t="s">
        <v>8793</v>
      </c>
      <c r="BJ621" t="s">
        <v>194</v>
      </c>
      <c r="BK621" t="s">
        <v>195</v>
      </c>
      <c r="BL621" t="s">
        <v>4365</v>
      </c>
      <c r="BM621" t="s">
        <v>1825</v>
      </c>
      <c r="BN621" t="s">
        <v>182</v>
      </c>
      <c r="BO621" t="s">
        <v>4177</v>
      </c>
      <c r="BP621" t="s">
        <v>8794</v>
      </c>
      <c r="BS621" t="s">
        <v>8795</v>
      </c>
      <c r="BT621" t="s">
        <v>198</v>
      </c>
      <c r="BU621" t="s">
        <v>182</v>
      </c>
      <c r="BV621" t="s">
        <v>198</v>
      </c>
      <c r="BW621" t="s">
        <v>198</v>
      </c>
      <c r="BX621" t="s">
        <v>199</v>
      </c>
      <c r="BY621" t="s">
        <v>198</v>
      </c>
      <c r="BZ621" t="s">
        <v>199</v>
      </c>
      <c r="CA621" t="s">
        <v>199</v>
      </c>
      <c r="CB621" t="s">
        <v>8796</v>
      </c>
      <c r="CC621" t="s">
        <v>201</v>
      </c>
      <c r="CD621" t="s">
        <v>182</v>
      </c>
      <c r="CE621" t="s">
        <v>8797</v>
      </c>
      <c r="CF621" t="s">
        <v>1029</v>
      </c>
      <c r="CG621" t="s">
        <v>177</v>
      </c>
      <c r="CH621" t="s">
        <v>1030</v>
      </c>
      <c r="CI621" t="s">
        <v>8798</v>
      </c>
      <c r="CJ621" t="s">
        <v>8799</v>
      </c>
      <c r="CK621" t="s">
        <v>232</v>
      </c>
      <c r="CL621" t="s">
        <v>233</v>
      </c>
      <c r="CM621" t="s">
        <v>8800</v>
      </c>
      <c r="CN621" t="s">
        <v>305</v>
      </c>
      <c r="CO621" t="s">
        <v>183</v>
      </c>
      <c r="CP621" t="s">
        <v>266</v>
      </c>
      <c r="CS621" t="s">
        <v>198</v>
      </c>
      <c r="CT621" t="s">
        <v>5177</v>
      </c>
      <c r="CU621" t="s">
        <v>292</v>
      </c>
      <c r="CV621" t="s">
        <v>293</v>
      </c>
      <c r="CW621" t="s">
        <v>8801</v>
      </c>
      <c r="CX621" t="s">
        <v>482</v>
      </c>
      <c r="CY621" t="s">
        <v>183</v>
      </c>
      <c r="CZ621" t="s">
        <v>211</v>
      </c>
      <c r="DA621" t="s">
        <v>444</v>
      </c>
      <c r="DC621" t="s">
        <v>8443</v>
      </c>
      <c r="DD621" t="s">
        <v>8557</v>
      </c>
      <c r="DE621" t="s">
        <v>267</v>
      </c>
      <c r="DF621" t="s">
        <v>268</v>
      </c>
      <c r="DG621" t="s">
        <v>8802</v>
      </c>
      <c r="DH621" t="s">
        <v>511</v>
      </c>
      <c r="DI621" t="s">
        <v>183</v>
      </c>
      <c r="DJ621" t="s">
        <v>211</v>
      </c>
      <c r="DK621" t="s">
        <v>493</v>
      </c>
      <c r="DM621" t="s">
        <v>8803</v>
      </c>
      <c r="DW621" t="s">
        <v>198</v>
      </c>
      <c r="EG621" t="s">
        <v>198</v>
      </c>
      <c r="EQ621" t="s">
        <v>198</v>
      </c>
      <c r="FA621" t="s">
        <v>198</v>
      </c>
      <c r="FK621" t="s">
        <v>198</v>
      </c>
      <c r="FU621" t="s">
        <v>198</v>
      </c>
    </row>
    <row r="622" spans="1:177">
      <c r="A622" s="1" t="str">
        <f>HYPERLINK("http://digipan.lumentumllc.com/apps/getLink/index.php?t=PropLink&amp;p=5245004","PL")</f>
        <v>PL</v>
      </c>
      <c r="B622" s="1" t="str">
        <f>HYPERLINK("http://digipan.lumentumllc.com/apps/getLink/index.php?t=TaxLink&amp;p=5245004","TL")</f>
        <v>TL</v>
      </c>
      <c r="C622" s="1" t="str">
        <f>HYPERLINK("http://digipan.lumentumllc.com/apps/getMap/index.php?p=5245004","Map")</f>
        <v>Map</v>
      </c>
      <c r="E622" t="s">
        <v>177</v>
      </c>
      <c r="F622" t="s">
        <v>178</v>
      </c>
      <c r="L622" t="s">
        <v>8804</v>
      </c>
      <c r="N622" t="s">
        <v>8804</v>
      </c>
      <c r="O622" t="s">
        <v>8804</v>
      </c>
      <c r="P622" t="s">
        <v>8805</v>
      </c>
      <c r="Q622" t="s">
        <v>8804</v>
      </c>
      <c r="V622">
        <v>716</v>
      </c>
      <c r="W622">
        <v>3</v>
      </c>
      <c r="X622">
        <v>2017</v>
      </c>
      <c r="Y622">
        <v>2018</v>
      </c>
      <c r="Z622">
        <v>1802</v>
      </c>
      <c r="AB622" t="s">
        <v>181</v>
      </c>
      <c r="AC622" t="s">
        <v>182</v>
      </c>
      <c r="AD622" t="s">
        <v>183</v>
      </c>
      <c r="AE622">
        <v>0</v>
      </c>
      <c r="AF622">
        <v>4</v>
      </c>
      <c r="AG622" t="s">
        <v>381</v>
      </c>
      <c r="AH622">
        <v>100</v>
      </c>
      <c r="AK622">
        <v>0</v>
      </c>
      <c r="AL622">
        <v>198712</v>
      </c>
      <c r="AM622">
        <v>14850</v>
      </c>
      <c r="AN622">
        <v>183862</v>
      </c>
      <c r="AO622">
        <v>1613</v>
      </c>
      <c r="AP622">
        <v>2016</v>
      </c>
      <c r="AQ622">
        <v>0.91</v>
      </c>
      <c r="AS622" t="s">
        <v>8806</v>
      </c>
      <c r="AT622" t="s">
        <v>3747</v>
      </c>
      <c r="AU622" t="s">
        <v>177</v>
      </c>
      <c r="AV622" t="s">
        <v>1030</v>
      </c>
      <c r="AW622" t="s">
        <v>202</v>
      </c>
      <c r="AX622">
        <v>1</v>
      </c>
      <c r="AY622" t="s">
        <v>188</v>
      </c>
      <c r="AZ622" t="s">
        <v>206</v>
      </c>
      <c r="BA622" t="s">
        <v>355</v>
      </c>
      <c r="BB622" t="s">
        <v>191</v>
      </c>
      <c r="BC622" t="s">
        <v>182</v>
      </c>
      <c r="BD622" t="s">
        <v>182</v>
      </c>
      <c r="BE622" t="s">
        <v>8807</v>
      </c>
      <c r="BF622">
        <v>1</v>
      </c>
      <c r="BG622">
        <v>1</v>
      </c>
      <c r="BH622">
        <v>1996</v>
      </c>
      <c r="BI622" t="s">
        <v>8808</v>
      </c>
      <c r="BJ622" t="s">
        <v>194</v>
      </c>
      <c r="BK622" t="s">
        <v>195</v>
      </c>
      <c r="BL622" t="s">
        <v>841</v>
      </c>
      <c r="BM622" t="s">
        <v>451</v>
      </c>
      <c r="BN622" t="s">
        <v>182</v>
      </c>
      <c r="BO622" t="s">
        <v>198</v>
      </c>
      <c r="BP622" t="s">
        <v>198</v>
      </c>
      <c r="BQ622" t="s">
        <v>198</v>
      </c>
      <c r="BR622" t="s">
        <v>198</v>
      </c>
      <c r="BS622" t="s">
        <v>198</v>
      </c>
      <c r="BT622" t="s">
        <v>198</v>
      </c>
      <c r="BU622" t="s">
        <v>182</v>
      </c>
      <c r="BV622" t="s">
        <v>198</v>
      </c>
      <c r="BW622" t="s">
        <v>198</v>
      </c>
      <c r="BX622" t="s">
        <v>199</v>
      </c>
      <c r="BY622" t="s">
        <v>198</v>
      </c>
      <c r="BZ622" t="s">
        <v>199</v>
      </c>
      <c r="CA622" t="s">
        <v>199</v>
      </c>
      <c r="CB622" t="s">
        <v>8809</v>
      </c>
      <c r="CC622" t="s">
        <v>201</v>
      </c>
      <c r="CD622" t="s">
        <v>182</v>
      </c>
      <c r="CE622" t="s">
        <v>8810</v>
      </c>
      <c r="CF622" t="s">
        <v>1029</v>
      </c>
      <c r="CG622" t="s">
        <v>177</v>
      </c>
      <c r="CH622" t="s">
        <v>1030</v>
      </c>
      <c r="CI622" t="s">
        <v>8811</v>
      </c>
      <c r="CJ622" t="s">
        <v>8489</v>
      </c>
      <c r="CK622" t="s">
        <v>232</v>
      </c>
      <c r="CL622" t="s">
        <v>233</v>
      </c>
      <c r="CM622" t="s">
        <v>8812</v>
      </c>
      <c r="CN622" t="s">
        <v>235</v>
      </c>
      <c r="CO622" t="s">
        <v>183</v>
      </c>
      <c r="CP622" t="s">
        <v>211</v>
      </c>
      <c r="CQ622" t="s">
        <v>206</v>
      </c>
      <c r="CS622" t="s">
        <v>8813</v>
      </c>
      <c r="CT622" t="s">
        <v>8814</v>
      </c>
      <c r="CU622" t="s">
        <v>238</v>
      </c>
      <c r="CV622" t="s">
        <v>239</v>
      </c>
      <c r="CW622" t="s">
        <v>8815</v>
      </c>
      <c r="CX622" t="s">
        <v>235</v>
      </c>
      <c r="CY622" t="s">
        <v>183</v>
      </c>
      <c r="CZ622" t="s">
        <v>211</v>
      </c>
      <c r="DA622" t="s">
        <v>339</v>
      </c>
      <c r="DC622" t="s">
        <v>8816</v>
      </c>
      <c r="DD622" t="s">
        <v>7935</v>
      </c>
      <c r="DE622" t="s">
        <v>346</v>
      </c>
      <c r="DF622" t="s">
        <v>347</v>
      </c>
      <c r="DG622" t="s">
        <v>8817</v>
      </c>
      <c r="DH622" t="s">
        <v>235</v>
      </c>
      <c r="DI622" t="s">
        <v>183</v>
      </c>
      <c r="DJ622" t="s">
        <v>211</v>
      </c>
      <c r="DK622" t="s">
        <v>206</v>
      </c>
      <c r="DM622" t="s">
        <v>8818</v>
      </c>
      <c r="DN622" t="s">
        <v>8449</v>
      </c>
      <c r="DO622" t="s">
        <v>207</v>
      </c>
      <c r="DP622" t="s">
        <v>208</v>
      </c>
      <c r="DQ622" t="s">
        <v>8819</v>
      </c>
      <c r="DR622" t="s">
        <v>235</v>
      </c>
      <c r="DS622" t="s">
        <v>183</v>
      </c>
      <c r="DT622" t="s">
        <v>211</v>
      </c>
      <c r="DU622" t="s">
        <v>199</v>
      </c>
      <c r="DW622" t="s">
        <v>5223</v>
      </c>
      <c r="EG622" t="s">
        <v>198</v>
      </c>
      <c r="EQ622" t="s">
        <v>198</v>
      </c>
      <c r="FA622" t="s">
        <v>198</v>
      </c>
      <c r="FK622" t="s">
        <v>198</v>
      </c>
      <c r="FU622" t="s">
        <v>198</v>
      </c>
    </row>
    <row r="623" spans="1:177">
      <c r="A623" s="1" t="str">
        <f>HYPERLINK("http://digipan.lumentumllc.com/apps/getLink/index.php?t=PropLink&amp;p=15740142","PL")</f>
        <v>PL</v>
      </c>
      <c r="B623" s="1" t="str">
        <f>HYPERLINK("http://digipan.lumentumllc.com/apps/getLink/index.php?t=TaxLink&amp;p=15740142","TL")</f>
        <v>TL</v>
      </c>
      <c r="C623" s="1" t="str">
        <f>HYPERLINK("http://digipan.lumentumllc.com/apps/getMap/index.php?p=15740142","Map")</f>
        <v>Map</v>
      </c>
      <c r="E623" t="s">
        <v>177</v>
      </c>
      <c r="F623" t="s">
        <v>178</v>
      </c>
      <c r="L623" t="s">
        <v>8820</v>
      </c>
      <c r="N623" t="s">
        <v>8820</v>
      </c>
      <c r="O623" t="s">
        <v>8820</v>
      </c>
      <c r="Q623" t="s">
        <v>8820</v>
      </c>
      <c r="V623">
        <v>717</v>
      </c>
      <c r="W623">
        <v>3</v>
      </c>
      <c r="X623">
        <v>2017</v>
      </c>
      <c r="Y623">
        <v>2018</v>
      </c>
      <c r="Z623">
        <v>659.32</v>
      </c>
      <c r="AG623" t="s">
        <v>184</v>
      </c>
      <c r="AH623">
        <v>0</v>
      </c>
      <c r="AK623">
        <v>0</v>
      </c>
      <c r="AL623">
        <v>38316</v>
      </c>
      <c r="AM623">
        <v>13500</v>
      </c>
      <c r="AN623">
        <v>24816</v>
      </c>
      <c r="AO623">
        <v>619</v>
      </c>
      <c r="AP623">
        <v>2016</v>
      </c>
      <c r="AQ623">
        <v>1.72</v>
      </c>
      <c r="AS623" t="s">
        <v>8821</v>
      </c>
      <c r="AT623" t="s">
        <v>3747</v>
      </c>
      <c r="AU623" t="s">
        <v>177</v>
      </c>
      <c r="AV623" t="s">
        <v>1030</v>
      </c>
      <c r="AW623" t="s">
        <v>182</v>
      </c>
      <c r="AX623">
        <v>2</v>
      </c>
      <c r="AY623" t="s">
        <v>188</v>
      </c>
      <c r="AZ623" t="s">
        <v>189</v>
      </c>
      <c r="BA623" t="s">
        <v>190</v>
      </c>
      <c r="BB623" t="s">
        <v>191</v>
      </c>
      <c r="BC623" t="s">
        <v>182</v>
      </c>
      <c r="BD623" t="s">
        <v>182</v>
      </c>
      <c r="BE623" t="s">
        <v>383</v>
      </c>
      <c r="BF623">
        <v>1</v>
      </c>
      <c r="BG623">
        <v>1</v>
      </c>
      <c r="BH623">
        <v>1985</v>
      </c>
      <c r="BI623" t="s">
        <v>8822</v>
      </c>
      <c r="BJ623" t="s">
        <v>194</v>
      </c>
      <c r="BK623" t="s">
        <v>195</v>
      </c>
      <c r="BL623" t="s">
        <v>938</v>
      </c>
      <c r="BM623" t="s">
        <v>197</v>
      </c>
      <c r="BN623" t="s">
        <v>182</v>
      </c>
      <c r="BO623" t="s">
        <v>8823</v>
      </c>
      <c r="BP623" t="s">
        <v>3234</v>
      </c>
      <c r="BQ623" t="s">
        <v>226</v>
      </c>
      <c r="BR623" t="s">
        <v>227</v>
      </c>
      <c r="BS623" t="s">
        <v>198</v>
      </c>
      <c r="BT623" t="s">
        <v>8824</v>
      </c>
      <c r="BU623" t="s">
        <v>182</v>
      </c>
      <c r="BV623" t="s">
        <v>198</v>
      </c>
      <c r="BW623" t="s">
        <v>198</v>
      </c>
      <c r="BX623" t="s">
        <v>199</v>
      </c>
      <c r="BY623" t="s">
        <v>198</v>
      </c>
      <c r="BZ623" t="s">
        <v>199</v>
      </c>
      <c r="CA623" t="s">
        <v>199</v>
      </c>
      <c r="CB623" t="s">
        <v>8825</v>
      </c>
      <c r="CC623" t="s">
        <v>201</v>
      </c>
      <c r="CD623" t="s">
        <v>202</v>
      </c>
      <c r="CE623" t="s">
        <v>8826</v>
      </c>
      <c r="CF623" t="s">
        <v>1029</v>
      </c>
      <c r="CG623" t="s">
        <v>177</v>
      </c>
      <c r="CH623" t="s">
        <v>1030</v>
      </c>
      <c r="CI623" t="s">
        <v>8827</v>
      </c>
      <c r="CS623" t="s">
        <v>198</v>
      </c>
      <c r="DC623" t="s">
        <v>198</v>
      </c>
      <c r="DM623" t="s">
        <v>198</v>
      </c>
      <c r="DW623" t="s">
        <v>198</v>
      </c>
      <c r="EG623" t="s">
        <v>198</v>
      </c>
      <c r="EQ623" t="s">
        <v>198</v>
      </c>
      <c r="FA623" t="s">
        <v>198</v>
      </c>
      <c r="FK623" t="s">
        <v>198</v>
      </c>
      <c r="FU623" t="s">
        <v>198</v>
      </c>
    </row>
    <row r="624" spans="1:177">
      <c r="A624" s="1" t="str">
        <f>HYPERLINK("http://digipan.lumentumllc.com/apps/getLink/index.php?t=PropLink&amp;p=15740149","PL")</f>
        <v>PL</v>
      </c>
      <c r="B624" s="1" t="str">
        <f>HYPERLINK("http://digipan.lumentumllc.com/apps/getLink/index.php?t=TaxLink&amp;p=15740149","TL")</f>
        <v>TL</v>
      </c>
      <c r="C624" s="1" t="str">
        <f>HYPERLINK("http://digipan.lumentumllc.com/apps/getMap/index.php?p=15740149","Map")</f>
        <v>Map</v>
      </c>
      <c r="E624" t="s">
        <v>177</v>
      </c>
      <c r="F624" t="s">
        <v>178</v>
      </c>
      <c r="L624" t="s">
        <v>8828</v>
      </c>
      <c r="N624" t="s">
        <v>8828</v>
      </c>
      <c r="O624" t="s">
        <v>8828</v>
      </c>
      <c r="Q624" t="s">
        <v>8828</v>
      </c>
      <c r="V624">
        <v>718</v>
      </c>
      <c r="W624">
        <v>3</v>
      </c>
      <c r="X624">
        <v>2017</v>
      </c>
      <c r="Y624">
        <v>2018</v>
      </c>
      <c r="Z624">
        <v>823.71</v>
      </c>
      <c r="AG624" t="s">
        <v>184</v>
      </c>
      <c r="AH624">
        <v>0</v>
      </c>
      <c r="AK624">
        <v>0</v>
      </c>
      <c r="AL624">
        <v>88985</v>
      </c>
      <c r="AM624">
        <v>13500</v>
      </c>
      <c r="AN624">
        <v>75485</v>
      </c>
      <c r="AO624">
        <v>717</v>
      </c>
      <c r="AP624">
        <v>2016</v>
      </c>
      <c r="AQ624">
        <v>0.93</v>
      </c>
      <c r="AS624" t="s">
        <v>8829</v>
      </c>
      <c r="AT624" t="s">
        <v>3747</v>
      </c>
      <c r="AU624" t="s">
        <v>177</v>
      </c>
      <c r="AV624" t="s">
        <v>1030</v>
      </c>
      <c r="AW624" t="s">
        <v>202</v>
      </c>
      <c r="AX624">
        <v>1</v>
      </c>
      <c r="AY624" t="s">
        <v>188</v>
      </c>
      <c r="AZ624" t="s">
        <v>206</v>
      </c>
      <c r="BA624" t="s">
        <v>355</v>
      </c>
      <c r="BB624" t="s">
        <v>191</v>
      </c>
      <c r="BC624" t="s">
        <v>182</v>
      </c>
      <c r="BD624" t="s">
        <v>182</v>
      </c>
      <c r="BE624" t="s">
        <v>1385</v>
      </c>
      <c r="BF624">
        <v>1</v>
      </c>
      <c r="BG624">
        <v>1</v>
      </c>
      <c r="BH624">
        <v>1965</v>
      </c>
      <c r="BI624" t="s">
        <v>8830</v>
      </c>
      <c r="BJ624" t="s">
        <v>194</v>
      </c>
      <c r="BK624" t="s">
        <v>195</v>
      </c>
      <c r="BL624" t="s">
        <v>797</v>
      </c>
      <c r="BM624" t="s">
        <v>1332</v>
      </c>
      <c r="BN624" t="s">
        <v>182</v>
      </c>
      <c r="BO624" t="s">
        <v>7191</v>
      </c>
      <c r="BP624" t="s">
        <v>8831</v>
      </c>
      <c r="BQ624" t="s">
        <v>1520</v>
      </c>
      <c r="BS624" t="s">
        <v>198</v>
      </c>
      <c r="BT624" t="s">
        <v>8832</v>
      </c>
      <c r="BU624" t="s">
        <v>182</v>
      </c>
      <c r="BV624" t="s">
        <v>198</v>
      </c>
      <c r="BW624" t="s">
        <v>198</v>
      </c>
      <c r="BX624" t="s">
        <v>199</v>
      </c>
      <c r="BY624" t="s">
        <v>198</v>
      </c>
      <c r="BZ624" t="s">
        <v>199</v>
      </c>
      <c r="CA624" t="s">
        <v>199</v>
      </c>
      <c r="CB624" t="s">
        <v>8833</v>
      </c>
      <c r="CC624" t="s">
        <v>201</v>
      </c>
      <c r="CD624" t="s">
        <v>182</v>
      </c>
      <c r="CE624" t="s">
        <v>8834</v>
      </c>
      <c r="CF624" t="s">
        <v>1029</v>
      </c>
      <c r="CG624" t="s">
        <v>177</v>
      </c>
      <c r="CH624" t="s">
        <v>1030</v>
      </c>
      <c r="CI624" t="s">
        <v>8835</v>
      </c>
      <c r="CS624" t="s">
        <v>198</v>
      </c>
      <c r="DC624" t="s">
        <v>198</v>
      </c>
      <c r="DM624" t="s">
        <v>198</v>
      </c>
      <c r="DW624" t="s">
        <v>198</v>
      </c>
      <c r="EG624" t="s">
        <v>198</v>
      </c>
      <c r="EQ624" t="s">
        <v>198</v>
      </c>
      <c r="FA624" t="s">
        <v>198</v>
      </c>
      <c r="FK624" t="s">
        <v>198</v>
      </c>
      <c r="FU624" t="s">
        <v>198</v>
      </c>
    </row>
    <row r="625" spans="1:177">
      <c r="A625" s="1" t="str">
        <f>HYPERLINK("http://digipan.lumentumllc.com/apps/getLink/index.php?t=PropLink&amp;p=5245121","PL")</f>
        <v>PL</v>
      </c>
      <c r="B625" s="1" t="str">
        <f>HYPERLINK("http://digipan.lumentumllc.com/apps/getLink/index.php?t=TaxLink&amp;p=5245121","TL")</f>
        <v>TL</v>
      </c>
      <c r="C625" s="1" t="str">
        <f>HYPERLINK("http://digipan.lumentumllc.com/apps/getMap/index.php?p=5245121","Map")</f>
        <v>Map</v>
      </c>
      <c r="E625" t="s">
        <v>177</v>
      </c>
      <c r="F625" t="s">
        <v>178</v>
      </c>
      <c r="L625" t="s">
        <v>8836</v>
      </c>
      <c r="N625" t="s">
        <v>8836</v>
      </c>
      <c r="O625" t="s">
        <v>8836</v>
      </c>
      <c r="P625" t="s">
        <v>8837</v>
      </c>
      <c r="Q625" t="s">
        <v>8836</v>
      </c>
      <c r="V625">
        <v>719</v>
      </c>
      <c r="W625">
        <v>3</v>
      </c>
      <c r="X625">
        <v>2017</v>
      </c>
      <c r="Y625">
        <v>2018</v>
      </c>
      <c r="Z625">
        <v>1073.74</v>
      </c>
      <c r="AB625" t="s">
        <v>181</v>
      </c>
      <c r="AC625" t="s">
        <v>182</v>
      </c>
      <c r="AD625" t="s">
        <v>183</v>
      </c>
      <c r="AE625">
        <v>0</v>
      </c>
      <c r="AF625">
        <v>7</v>
      </c>
      <c r="AG625" t="s">
        <v>528</v>
      </c>
      <c r="AH625">
        <v>100</v>
      </c>
      <c r="AK625">
        <v>0</v>
      </c>
      <c r="AL625">
        <v>111731</v>
      </c>
      <c r="AM625">
        <v>40800</v>
      </c>
      <c r="AN625">
        <v>70931</v>
      </c>
      <c r="AO625">
        <v>947</v>
      </c>
      <c r="AP625">
        <v>2016</v>
      </c>
      <c r="AQ625">
        <v>0.96</v>
      </c>
      <c r="AS625" t="s">
        <v>8838</v>
      </c>
      <c r="AT625" t="s">
        <v>3747</v>
      </c>
      <c r="AU625" t="s">
        <v>177</v>
      </c>
      <c r="AV625" t="s">
        <v>1030</v>
      </c>
      <c r="AW625" t="s">
        <v>202</v>
      </c>
      <c r="AX625">
        <v>2</v>
      </c>
      <c r="AY625" t="s">
        <v>188</v>
      </c>
      <c r="AZ625" t="s">
        <v>189</v>
      </c>
      <c r="BA625" t="s">
        <v>190</v>
      </c>
      <c r="BB625" t="s">
        <v>191</v>
      </c>
      <c r="BC625" t="s">
        <v>182</v>
      </c>
      <c r="BD625" t="s">
        <v>182</v>
      </c>
      <c r="BE625" t="s">
        <v>3629</v>
      </c>
      <c r="BF625">
        <v>1</v>
      </c>
      <c r="BG625">
        <v>1</v>
      </c>
      <c r="BH625">
        <v>1998</v>
      </c>
      <c r="BI625" t="s">
        <v>8839</v>
      </c>
      <c r="BJ625" t="s">
        <v>194</v>
      </c>
      <c r="BK625" t="s">
        <v>195</v>
      </c>
      <c r="BL625" t="s">
        <v>199</v>
      </c>
      <c r="BM625" t="s">
        <v>325</v>
      </c>
      <c r="BN625" t="s">
        <v>182</v>
      </c>
      <c r="BO625" t="s">
        <v>8840</v>
      </c>
      <c r="BP625" t="s">
        <v>8841</v>
      </c>
      <c r="BS625" t="s">
        <v>8842</v>
      </c>
      <c r="BT625" t="s">
        <v>198</v>
      </c>
      <c r="BU625" t="s">
        <v>182</v>
      </c>
      <c r="BV625" t="s">
        <v>198</v>
      </c>
      <c r="BW625" t="s">
        <v>198</v>
      </c>
      <c r="BX625" t="s">
        <v>199</v>
      </c>
      <c r="BY625" t="s">
        <v>198</v>
      </c>
      <c r="BZ625" t="s">
        <v>199</v>
      </c>
      <c r="CA625" t="s">
        <v>199</v>
      </c>
      <c r="CB625" t="s">
        <v>8843</v>
      </c>
      <c r="CC625" t="s">
        <v>201</v>
      </c>
      <c r="CD625" t="s">
        <v>182</v>
      </c>
      <c r="CE625" t="s">
        <v>8844</v>
      </c>
      <c r="CF625" t="s">
        <v>1029</v>
      </c>
      <c r="CG625" t="s">
        <v>177</v>
      </c>
      <c r="CH625" t="s">
        <v>1030</v>
      </c>
      <c r="CI625" t="s">
        <v>1972</v>
      </c>
      <c r="CJ625" t="s">
        <v>8108</v>
      </c>
      <c r="CK625" t="s">
        <v>232</v>
      </c>
      <c r="CL625" t="s">
        <v>233</v>
      </c>
      <c r="CM625" t="s">
        <v>8845</v>
      </c>
      <c r="CN625" t="s">
        <v>235</v>
      </c>
      <c r="CO625" t="s">
        <v>183</v>
      </c>
      <c r="CP625" t="s">
        <v>211</v>
      </c>
      <c r="CQ625" t="s">
        <v>206</v>
      </c>
      <c r="CS625" t="s">
        <v>8846</v>
      </c>
      <c r="CT625" t="s">
        <v>5534</v>
      </c>
      <c r="CU625" t="s">
        <v>267</v>
      </c>
      <c r="CV625" t="s">
        <v>268</v>
      </c>
      <c r="CW625" t="s">
        <v>8847</v>
      </c>
      <c r="CX625" t="s">
        <v>235</v>
      </c>
      <c r="CY625" t="s">
        <v>183</v>
      </c>
      <c r="CZ625" t="s">
        <v>211</v>
      </c>
      <c r="DA625" t="s">
        <v>212</v>
      </c>
      <c r="DC625" t="s">
        <v>8848</v>
      </c>
      <c r="DD625" t="s">
        <v>5684</v>
      </c>
      <c r="DE625" t="s">
        <v>273</v>
      </c>
      <c r="DF625" t="s">
        <v>274</v>
      </c>
      <c r="DG625" t="s">
        <v>8849</v>
      </c>
      <c r="DH625" t="s">
        <v>235</v>
      </c>
      <c r="DI625" t="s">
        <v>183</v>
      </c>
      <c r="DJ625" t="s">
        <v>211</v>
      </c>
      <c r="DK625" t="s">
        <v>206</v>
      </c>
      <c r="DM625" t="s">
        <v>301</v>
      </c>
      <c r="DN625" t="s">
        <v>6140</v>
      </c>
      <c r="DO625" t="s">
        <v>302</v>
      </c>
      <c r="DP625" t="s">
        <v>303</v>
      </c>
      <c r="DQ625" t="s">
        <v>8850</v>
      </c>
      <c r="DR625" t="s">
        <v>235</v>
      </c>
      <c r="DS625" t="s">
        <v>183</v>
      </c>
      <c r="DT625" t="s">
        <v>211</v>
      </c>
      <c r="DU625" t="s">
        <v>306</v>
      </c>
      <c r="DW625" t="s">
        <v>301</v>
      </c>
      <c r="DX625" t="s">
        <v>8193</v>
      </c>
      <c r="DY625" t="s">
        <v>238</v>
      </c>
      <c r="DZ625" t="s">
        <v>239</v>
      </c>
      <c r="EA625" t="s">
        <v>8851</v>
      </c>
      <c r="EB625" t="s">
        <v>1341</v>
      </c>
      <c r="EC625" t="s">
        <v>183</v>
      </c>
      <c r="ED625" t="s">
        <v>211</v>
      </c>
      <c r="EE625" t="s">
        <v>189</v>
      </c>
      <c r="EG625" t="s">
        <v>895</v>
      </c>
      <c r="EH625" t="s">
        <v>968</v>
      </c>
      <c r="EI625" t="s">
        <v>346</v>
      </c>
      <c r="EJ625" t="s">
        <v>347</v>
      </c>
      <c r="EK625" t="s">
        <v>8852</v>
      </c>
      <c r="EL625" t="s">
        <v>235</v>
      </c>
      <c r="EM625" t="s">
        <v>183</v>
      </c>
      <c r="EN625" t="s">
        <v>211</v>
      </c>
      <c r="EO625" t="s">
        <v>460</v>
      </c>
      <c r="EQ625" t="s">
        <v>895</v>
      </c>
      <c r="ER625" t="s">
        <v>8853</v>
      </c>
      <c r="ES625" t="s">
        <v>207</v>
      </c>
      <c r="ET625" t="s">
        <v>208</v>
      </c>
      <c r="EU625" t="s">
        <v>8854</v>
      </c>
      <c r="EV625" t="s">
        <v>2515</v>
      </c>
      <c r="EW625" t="s">
        <v>183</v>
      </c>
      <c r="EX625" t="s">
        <v>211</v>
      </c>
      <c r="EY625" t="s">
        <v>427</v>
      </c>
      <c r="FA625" t="s">
        <v>8855</v>
      </c>
      <c r="FK625" t="s">
        <v>198</v>
      </c>
      <c r="FU625" t="s">
        <v>198</v>
      </c>
    </row>
    <row r="626" spans="1:177">
      <c r="A626" s="1" t="str">
        <f>HYPERLINK("http://digipan.lumentumllc.com/apps/getLink/index.php?t=PropLink&amp;p=6128873","PL")</f>
        <v>PL</v>
      </c>
      <c r="B626" s="1" t="str">
        <f>HYPERLINK("http://digipan.lumentumllc.com/apps/getLink/index.php?t=TaxLink&amp;p=6128873","TL")</f>
        <v>TL</v>
      </c>
      <c r="C626" s="1" t="str">
        <f>HYPERLINK("http://digipan.lumentumllc.com/apps/getMap/index.php?p=6128873","Map")</f>
        <v>Map</v>
      </c>
      <c r="E626" t="s">
        <v>177</v>
      </c>
      <c r="F626" t="s">
        <v>178</v>
      </c>
      <c r="L626" t="s">
        <v>8856</v>
      </c>
      <c r="N626" t="s">
        <v>8856</v>
      </c>
      <c r="O626" t="s">
        <v>8856</v>
      </c>
      <c r="P626" t="s">
        <v>8857</v>
      </c>
      <c r="Q626" t="s">
        <v>8856</v>
      </c>
      <c r="V626">
        <v>720</v>
      </c>
      <c r="W626">
        <v>3</v>
      </c>
      <c r="X626">
        <v>2017</v>
      </c>
      <c r="Y626">
        <v>2018</v>
      </c>
      <c r="Z626">
        <v>1514.39</v>
      </c>
      <c r="AB626" t="s">
        <v>181</v>
      </c>
      <c r="AC626" t="s">
        <v>182</v>
      </c>
      <c r="AD626" t="s">
        <v>183</v>
      </c>
      <c r="AE626">
        <v>1</v>
      </c>
      <c r="AF626">
        <v>4</v>
      </c>
      <c r="AG626" t="s">
        <v>257</v>
      </c>
      <c r="AH626">
        <v>75</v>
      </c>
      <c r="AI626">
        <v>1423.73</v>
      </c>
      <c r="AJ626">
        <v>71.19</v>
      </c>
      <c r="AK626">
        <v>1494.92</v>
      </c>
      <c r="AL626">
        <v>90541</v>
      </c>
      <c r="AM626">
        <v>15750</v>
      </c>
      <c r="AN626">
        <v>74791</v>
      </c>
      <c r="AO626">
        <v>1291</v>
      </c>
      <c r="AP626">
        <v>2016</v>
      </c>
      <c r="AQ626">
        <v>1.67</v>
      </c>
      <c r="AR626">
        <v>1.65</v>
      </c>
      <c r="AS626" t="s">
        <v>8858</v>
      </c>
      <c r="AT626" t="s">
        <v>3747</v>
      </c>
      <c r="AU626" t="s">
        <v>177</v>
      </c>
      <c r="AV626" t="s">
        <v>1030</v>
      </c>
      <c r="AW626" t="s">
        <v>182</v>
      </c>
      <c r="AX626">
        <v>1</v>
      </c>
      <c r="AY626" t="s">
        <v>188</v>
      </c>
      <c r="AZ626" t="s">
        <v>206</v>
      </c>
      <c r="BA626" t="s">
        <v>355</v>
      </c>
      <c r="BB626" t="s">
        <v>191</v>
      </c>
      <c r="BC626" t="s">
        <v>182</v>
      </c>
      <c r="BD626" t="s">
        <v>182</v>
      </c>
      <c r="BE626" t="s">
        <v>7685</v>
      </c>
      <c r="BF626">
        <v>1</v>
      </c>
      <c r="BG626">
        <v>1</v>
      </c>
      <c r="BH626">
        <v>1993</v>
      </c>
      <c r="BI626" t="s">
        <v>4134</v>
      </c>
      <c r="BJ626" t="s">
        <v>194</v>
      </c>
      <c r="BK626" t="s">
        <v>195</v>
      </c>
      <c r="BL626" t="s">
        <v>8859</v>
      </c>
      <c r="BM626" t="s">
        <v>207</v>
      </c>
      <c r="BN626" t="s">
        <v>182</v>
      </c>
      <c r="BO626" t="s">
        <v>1710</v>
      </c>
      <c r="BP626" t="s">
        <v>8860</v>
      </c>
      <c r="BR626" t="s">
        <v>1123</v>
      </c>
      <c r="BS626" t="s">
        <v>8861</v>
      </c>
      <c r="BT626" t="s">
        <v>198</v>
      </c>
      <c r="BU626" t="s">
        <v>182</v>
      </c>
      <c r="BV626" t="s">
        <v>198</v>
      </c>
      <c r="BW626" t="s">
        <v>198</v>
      </c>
      <c r="BX626" t="s">
        <v>199</v>
      </c>
      <c r="BY626" t="s">
        <v>198</v>
      </c>
      <c r="BZ626" t="s">
        <v>199</v>
      </c>
      <c r="CA626" t="s">
        <v>199</v>
      </c>
      <c r="CB626" t="s">
        <v>8862</v>
      </c>
      <c r="CC626" t="s">
        <v>201</v>
      </c>
      <c r="CD626" t="s">
        <v>182</v>
      </c>
      <c r="CE626" t="s">
        <v>1726</v>
      </c>
      <c r="CF626" t="s">
        <v>1029</v>
      </c>
      <c r="CG626" t="s">
        <v>177</v>
      </c>
      <c r="CH626" t="s">
        <v>1030</v>
      </c>
      <c r="CI626" t="s">
        <v>8863</v>
      </c>
      <c r="CJ626" t="s">
        <v>8557</v>
      </c>
      <c r="CK626" t="s">
        <v>232</v>
      </c>
      <c r="CL626" t="s">
        <v>233</v>
      </c>
      <c r="CM626" t="s">
        <v>8864</v>
      </c>
      <c r="CN626" t="s">
        <v>235</v>
      </c>
      <c r="CO626" t="s">
        <v>183</v>
      </c>
      <c r="CP626" t="s">
        <v>266</v>
      </c>
      <c r="CS626" t="s">
        <v>198</v>
      </c>
      <c r="CT626" t="s">
        <v>8865</v>
      </c>
      <c r="CU626" t="s">
        <v>273</v>
      </c>
      <c r="CV626" t="s">
        <v>274</v>
      </c>
      <c r="CW626" t="s">
        <v>8866</v>
      </c>
      <c r="CX626" t="s">
        <v>235</v>
      </c>
      <c r="CY626" t="s">
        <v>183</v>
      </c>
      <c r="CZ626" t="s">
        <v>211</v>
      </c>
      <c r="DA626" t="s">
        <v>306</v>
      </c>
      <c r="DC626" t="s">
        <v>1731</v>
      </c>
      <c r="DD626" t="s">
        <v>6174</v>
      </c>
      <c r="DE626" t="s">
        <v>302</v>
      </c>
      <c r="DF626" t="s">
        <v>303</v>
      </c>
      <c r="DG626" t="s">
        <v>8867</v>
      </c>
      <c r="DH626" t="s">
        <v>235</v>
      </c>
      <c r="DI626" t="s">
        <v>183</v>
      </c>
      <c r="DJ626" t="s">
        <v>211</v>
      </c>
      <c r="DK626" t="s">
        <v>808</v>
      </c>
      <c r="DM626" t="s">
        <v>1731</v>
      </c>
      <c r="DN626" t="s">
        <v>8868</v>
      </c>
      <c r="DO626" t="s">
        <v>238</v>
      </c>
      <c r="DP626" t="s">
        <v>239</v>
      </c>
      <c r="DQ626" t="s">
        <v>8869</v>
      </c>
      <c r="DR626" t="s">
        <v>1586</v>
      </c>
      <c r="DS626" t="s">
        <v>183</v>
      </c>
      <c r="DT626" t="s">
        <v>211</v>
      </c>
      <c r="DU626" t="s">
        <v>1089</v>
      </c>
      <c r="DW626" t="s">
        <v>1731</v>
      </c>
      <c r="DX626" t="s">
        <v>8870</v>
      </c>
      <c r="DY626" t="s">
        <v>207</v>
      </c>
      <c r="DZ626" t="s">
        <v>208</v>
      </c>
      <c r="EA626" t="s">
        <v>8871</v>
      </c>
      <c r="EB626" t="s">
        <v>235</v>
      </c>
      <c r="EC626" t="s">
        <v>183</v>
      </c>
      <c r="ED626" t="s">
        <v>211</v>
      </c>
      <c r="EE626" t="s">
        <v>525</v>
      </c>
      <c r="EG626" t="s">
        <v>2699</v>
      </c>
      <c r="EQ626" t="s">
        <v>198</v>
      </c>
      <c r="FA626" t="s">
        <v>198</v>
      </c>
      <c r="FK626" t="s">
        <v>198</v>
      </c>
      <c r="FU626" t="s">
        <v>198</v>
      </c>
    </row>
    <row r="627" spans="1:177">
      <c r="A627" s="1" t="str">
        <f>HYPERLINK("http://digipan.lumentumllc.com/apps/getLink/index.php?t=PropLink&amp;p=6886664","PL")</f>
        <v>PL</v>
      </c>
      <c r="B627" s="1" t="str">
        <f>HYPERLINK("http://digipan.lumentumllc.com/apps/getLink/index.php?t=TaxLink&amp;p=6886664","TL")</f>
        <v>TL</v>
      </c>
      <c r="C627" s="1" t="str">
        <f>HYPERLINK("http://digipan.lumentumllc.com/apps/getMap/index.php?p=6886664","Map")</f>
        <v>Map</v>
      </c>
      <c r="E627" t="s">
        <v>177</v>
      </c>
      <c r="F627" t="s">
        <v>178</v>
      </c>
      <c r="L627" t="s">
        <v>8872</v>
      </c>
      <c r="N627" t="s">
        <v>8872</v>
      </c>
      <c r="O627" t="s">
        <v>8872</v>
      </c>
      <c r="P627" t="s">
        <v>8873</v>
      </c>
      <c r="Q627" t="s">
        <v>8872</v>
      </c>
      <c r="V627">
        <v>721</v>
      </c>
      <c r="W627">
        <v>3</v>
      </c>
      <c r="X627">
        <v>2017</v>
      </c>
      <c r="Y627">
        <v>2018</v>
      </c>
      <c r="Z627">
        <v>242.19</v>
      </c>
      <c r="AB627" t="s">
        <v>181</v>
      </c>
      <c r="AC627" t="s">
        <v>182</v>
      </c>
      <c r="AD627" t="s">
        <v>183</v>
      </c>
      <c r="AE627">
        <v>3</v>
      </c>
      <c r="AF627">
        <v>0</v>
      </c>
      <c r="AG627" t="s">
        <v>6413</v>
      </c>
      <c r="AH627">
        <v>0</v>
      </c>
      <c r="AI627">
        <v>542.82000000000005</v>
      </c>
      <c r="AJ627">
        <v>175.59</v>
      </c>
      <c r="AK627">
        <v>718.41</v>
      </c>
      <c r="AL627">
        <v>15750</v>
      </c>
      <c r="AM627">
        <v>15750</v>
      </c>
      <c r="AN627">
        <v>0</v>
      </c>
      <c r="AO627">
        <v>167</v>
      </c>
      <c r="AP627">
        <v>2016</v>
      </c>
      <c r="AQ627">
        <v>1.54</v>
      </c>
      <c r="AR627">
        <v>4.5599999999999996</v>
      </c>
      <c r="AS627" t="s">
        <v>8874</v>
      </c>
      <c r="AT627" t="s">
        <v>3747</v>
      </c>
      <c r="AU627" t="s">
        <v>177</v>
      </c>
      <c r="AV627" t="s">
        <v>1030</v>
      </c>
      <c r="AW627" t="s">
        <v>182</v>
      </c>
      <c r="AX627">
        <v>0</v>
      </c>
      <c r="AY627" t="s">
        <v>312</v>
      </c>
      <c r="AZ627" t="s">
        <v>199</v>
      </c>
      <c r="BA627" t="s">
        <v>313</v>
      </c>
      <c r="BB627" t="s">
        <v>191</v>
      </c>
      <c r="BC627" t="s">
        <v>182</v>
      </c>
      <c r="BD627" t="s">
        <v>182</v>
      </c>
      <c r="BE627" t="s">
        <v>8875</v>
      </c>
      <c r="BF627">
        <v>0</v>
      </c>
      <c r="BG627">
        <v>0</v>
      </c>
      <c r="BH627">
        <v>0</v>
      </c>
      <c r="BI627" t="s">
        <v>199</v>
      </c>
      <c r="BJ627" t="s">
        <v>248</v>
      </c>
      <c r="BL627" t="s">
        <v>3087</v>
      </c>
      <c r="BM627" t="s">
        <v>368</v>
      </c>
      <c r="BN627" t="s">
        <v>182</v>
      </c>
      <c r="BO627" t="s">
        <v>8876</v>
      </c>
      <c r="BP627" t="s">
        <v>8877</v>
      </c>
      <c r="BQ627" t="s">
        <v>226</v>
      </c>
      <c r="BR627" t="s">
        <v>227</v>
      </c>
      <c r="BS627" t="s">
        <v>198</v>
      </c>
      <c r="BT627" t="s">
        <v>228</v>
      </c>
      <c r="BU627" t="s">
        <v>182</v>
      </c>
      <c r="BV627" t="s">
        <v>198</v>
      </c>
      <c r="BW627" t="s">
        <v>198</v>
      </c>
      <c r="BX627" t="s">
        <v>199</v>
      </c>
      <c r="BY627" t="s">
        <v>198</v>
      </c>
      <c r="BZ627" t="s">
        <v>199</v>
      </c>
      <c r="CA627" t="s">
        <v>199</v>
      </c>
      <c r="CB627" t="s">
        <v>8878</v>
      </c>
      <c r="CC627" t="s">
        <v>201</v>
      </c>
      <c r="CD627" t="s">
        <v>182</v>
      </c>
      <c r="CE627" t="s">
        <v>8879</v>
      </c>
      <c r="CF627" t="s">
        <v>1029</v>
      </c>
      <c r="CG627" t="s">
        <v>177</v>
      </c>
      <c r="CH627" t="s">
        <v>1030</v>
      </c>
      <c r="CI627" t="s">
        <v>8880</v>
      </c>
      <c r="CJ627" t="s">
        <v>8147</v>
      </c>
      <c r="CK627" t="s">
        <v>232</v>
      </c>
      <c r="CL627" t="s">
        <v>233</v>
      </c>
      <c r="CM627" t="s">
        <v>8881</v>
      </c>
      <c r="CN627" t="s">
        <v>482</v>
      </c>
      <c r="CO627" t="s">
        <v>183</v>
      </c>
      <c r="CP627" t="s">
        <v>266</v>
      </c>
      <c r="CS627" t="s">
        <v>198</v>
      </c>
      <c r="CT627" t="s">
        <v>7969</v>
      </c>
      <c r="CU627" t="s">
        <v>292</v>
      </c>
      <c r="CV627" t="s">
        <v>293</v>
      </c>
      <c r="CW627" t="s">
        <v>8882</v>
      </c>
      <c r="CX627" t="s">
        <v>486</v>
      </c>
      <c r="CY627" t="s">
        <v>183</v>
      </c>
      <c r="CZ627" t="s">
        <v>266</v>
      </c>
      <c r="DC627" t="s">
        <v>198</v>
      </c>
      <c r="DD627" t="s">
        <v>8189</v>
      </c>
      <c r="DE627" t="s">
        <v>267</v>
      </c>
      <c r="DF627" t="s">
        <v>268</v>
      </c>
      <c r="DG627" t="s">
        <v>8883</v>
      </c>
      <c r="DH627" t="s">
        <v>389</v>
      </c>
      <c r="DI627" t="s">
        <v>183</v>
      </c>
      <c r="DJ627" t="s">
        <v>266</v>
      </c>
      <c r="DM627" t="s">
        <v>198</v>
      </c>
      <c r="DW627" t="s">
        <v>198</v>
      </c>
      <c r="EG627" t="s">
        <v>198</v>
      </c>
      <c r="EQ627" t="s">
        <v>198</v>
      </c>
      <c r="FA627" t="s">
        <v>198</v>
      </c>
      <c r="FK627" t="s">
        <v>198</v>
      </c>
      <c r="FU627" t="s">
        <v>198</v>
      </c>
    </row>
    <row r="628" spans="1:177">
      <c r="A628" s="1" t="str">
        <f>HYPERLINK("http://digipan.lumentumllc.com/apps/getLink/index.php?t=PropLink&amp;p=4637405","PL")</f>
        <v>PL</v>
      </c>
      <c r="B628" s="1" t="str">
        <f>HYPERLINK("http://digipan.lumentumllc.com/apps/getLink/index.php?t=TaxLink&amp;p=4637405","TL")</f>
        <v>TL</v>
      </c>
      <c r="C628" s="1" t="str">
        <f>HYPERLINK("http://digipan.lumentumllc.com/apps/getMap/index.php?p=4637405","Map")</f>
        <v>Map</v>
      </c>
      <c r="E628" t="s">
        <v>177</v>
      </c>
      <c r="F628" t="s">
        <v>178</v>
      </c>
      <c r="L628" t="s">
        <v>8884</v>
      </c>
      <c r="N628" t="s">
        <v>8884</v>
      </c>
      <c r="O628" t="s">
        <v>8884</v>
      </c>
      <c r="P628" t="s">
        <v>8885</v>
      </c>
      <c r="Q628" t="s">
        <v>8884</v>
      </c>
      <c r="V628">
        <v>722</v>
      </c>
      <c r="W628">
        <v>3</v>
      </c>
      <c r="X628">
        <v>2017</v>
      </c>
      <c r="Y628">
        <v>2018</v>
      </c>
      <c r="Z628">
        <v>1036.24</v>
      </c>
      <c r="AB628" t="s">
        <v>181</v>
      </c>
      <c r="AC628" t="s">
        <v>182</v>
      </c>
      <c r="AD628" t="s">
        <v>183</v>
      </c>
      <c r="AE628">
        <v>0</v>
      </c>
      <c r="AF628">
        <v>2</v>
      </c>
      <c r="AG628" t="s">
        <v>216</v>
      </c>
      <c r="AH628">
        <v>100</v>
      </c>
      <c r="AK628">
        <v>0</v>
      </c>
      <c r="AL628">
        <v>63658</v>
      </c>
      <c r="AM628">
        <v>25200</v>
      </c>
      <c r="AN628">
        <v>38458</v>
      </c>
      <c r="AO628">
        <v>831</v>
      </c>
      <c r="AP628">
        <v>2016</v>
      </c>
      <c r="AQ628">
        <v>1.63</v>
      </c>
      <c r="AS628" t="s">
        <v>8886</v>
      </c>
      <c r="AT628" t="s">
        <v>3747</v>
      </c>
      <c r="AU628" t="s">
        <v>177</v>
      </c>
      <c r="AV628" t="s">
        <v>1030</v>
      </c>
      <c r="AW628" t="s">
        <v>182</v>
      </c>
      <c r="AX628">
        <v>2</v>
      </c>
      <c r="AY628" t="s">
        <v>188</v>
      </c>
      <c r="AZ628" t="s">
        <v>189</v>
      </c>
      <c r="BA628" t="s">
        <v>190</v>
      </c>
      <c r="BB628" t="s">
        <v>191</v>
      </c>
      <c r="BC628" t="s">
        <v>182</v>
      </c>
      <c r="BD628" t="s">
        <v>182</v>
      </c>
      <c r="BE628" t="s">
        <v>899</v>
      </c>
      <c r="BF628">
        <v>1</v>
      </c>
      <c r="BG628">
        <v>1</v>
      </c>
      <c r="BH628">
        <v>2005</v>
      </c>
      <c r="BI628" t="s">
        <v>8887</v>
      </c>
      <c r="BJ628" t="s">
        <v>194</v>
      </c>
      <c r="BK628" t="s">
        <v>195</v>
      </c>
      <c r="BL628" t="s">
        <v>199</v>
      </c>
      <c r="BM628" t="s">
        <v>325</v>
      </c>
      <c r="BN628" t="s">
        <v>182</v>
      </c>
      <c r="BO628" t="s">
        <v>3842</v>
      </c>
      <c r="BP628" t="s">
        <v>8888</v>
      </c>
      <c r="BS628" t="s">
        <v>8889</v>
      </c>
      <c r="BT628" t="s">
        <v>198</v>
      </c>
      <c r="BU628" t="s">
        <v>182</v>
      </c>
      <c r="BV628" t="s">
        <v>198</v>
      </c>
      <c r="BW628" t="s">
        <v>198</v>
      </c>
      <c r="BX628" t="s">
        <v>199</v>
      </c>
      <c r="BY628" t="s">
        <v>198</v>
      </c>
      <c r="BZ628" t="s">
        <v>199</v>
      </c>
      <c r="CA628" t="s">
        <v>199</v>
      </c>
      <c r="CB628" t="s">
        <v>8890</v>
      </c>
      <c r="CC628" t="s">
        <v>201</v>
      </c>
      <c r="CD628" t="s">
        <v>182</v>
      </c>
      <c r="CE628" t="s">
        <v>8891</v>
      </c>
      <c r="CF628" t="s">
        <v>5331</v>
      </c>
      <c r="CG628" t="s">
        <v>177</v>
      </c>
      <c r="CH628" t="s">
        <v>371</v>
      </c>
      <c r="CI628" t="s">
        <v>8892</v>
      </c>
      <c r="CJ628" t="s">
        <v>7984</v>
      </c>
      <c r="CK628" t="s">
        <v>292</v>
      </c>
      <c r="CL628" t="s">
        <v>293</v>
      </c>
      <c r="CM628" t="s">
        <v>8893</v>
      </c>
      <c r="CN628" t="s">
        <v>235</v>
      </c>
      <c r="CO628" t="s">
        <v>183</v>
      </c>
      <c r="CP628" t="s">
        <v>211</v>
      </c>
      <c r="CQ628" t="s">
        <v>264</v>
      </c>
      <c r="CS628" t="s">
        <v>3291</v>
      </c>
      <c r="CT628" t="s">
        <v>8211</v>
      </c>
      <c r="CU628" t="s">
        <v>267</v>
      </c>
      <c r="CV628" t="s">
        <v>268</v>
      </c>
      <c r="CW628" t="s">
        <v>8894</v>
      </c>
      <c r="CX628" t="s">
        <v>235</v>
      </c>
      <c r="CY628" t="s">
        <v>183</v>
      </c>
      <c r="CZ628" t="s">
        <v>211</v>
      </c>
      <c r="DA628" t="s">
        <v>329</v>
      </c>
      <c r="DC628" t="s">
        <v>8601</v>
      </c>
      <c r="DM628" t="s">
        <v>198</v>
      </c>
      <c r="DW628" t="s">
        <v>198</v>
      </c>
      <c r="EG628" t="s">
        <v>198</v>
      </c>
      <c r="EQ628" t="s">
        <v>198</v>
      </c>
      <c r="FA628" t="s">
        <v>198</v>
      </c>
      <c r="FK628" t="s">
        <v>198</v>
      </c>
      <c r="FU628" t="s">
        <v>198</v>
      </c>
    </row>
    <row r="629" spans="1:177">
      <c r="A629" s="1" t="str">
        <f>HYPERLINK("http://digipan.lumentumllc.com/apps/getLink/index.php?t=PropLink&amp;p=5245126","PL")</f>
        <v>PL</v>
      </c>
      <c r="B629" s="1" t="str">
        <f>HYPERLINK("http://digipan.lumentumllc.com/apps/getLink/index.php?t=TaxLink&amp;p=5245126","TL")</f>
        <v>TL</v>
      </c>
      <c r="C629" s="1" t="str">
        <f>HYPERLINK("http://digipan.lumentumllc.com/apps/getMap/index.php?p=5245126","Map")</f>
        <v>Map</v>
      </c>
      <c r="E629" t="s">
        <v>177</v>
      </c>
      <c r="F629" t="s">
        <v>178</v>
      </c>
      <c r="L629" t="s">
        <v>8895</v>
      </c>
      <c r="N629" t="s">
        <v>8895</v>
      </c>
      <c r="O629" t="s">
        <v>8895</v>
      </c>
      <c r="P629" t="s">
        <v>8896</v>
      </c>
      <c r="Q629" t="s">
        <v>8895</v>
      </c>
      <c r="V629">
        <v>723</v>
      </c>
      <c r="W629">
        <v>3</v>
      </c>
      <c r="X629">
        <v>2017</v>
      </c>
      <c r="Y629">
        <v>2018</v>
      </c>
      <c r="Z629">
        <v>256.16000000000003</v>
      </c>
      <c r="AB629" t="s">
        <v>181</v>
      </c>
      <c r="AC629" t="s">
        <v>182</v>
      </c>
      <c r="AD629" t="s">
        <v>183</v>
      </c>
      <c r="AE629">
        <v>1</v>
      </c>
      <c r="AF629">
        <v>6</v>
      </c>
      <c r="AG629" t="s">
        <v>322</v>
      </c>
      <c r="AH629">
        <v>83</v>
      </c>
      <c r="AI629">
        <v>220.64</v>
      </c>
      <c r="AJ629">
        <v>17.100000000000001</v>
      </c>
      <c r="AK629">
        <v>237.74</v>
      </c>
      <c r="AL629">
        <v>15750</v>
      </c>
      <c r="AM629">
        <v>15750</v>
      </c>
      <c r="AN629">
        <v>0</v>
      </c>
      <c r="AO629">
        <v>179</v>
      </c>
      <c r="AP629">
        <v>2016</v>
      </c>
      <c r="AQ629">
        <v>1.63</v>
      </c>
      <c r="AR629">
        <v>1.51</v>
      </c>
      <c r="AS629" t="s">
        <v>8897</v>
      </c>
      <c r="AT629" t="s">
        <v>3747</v>
      </c>
      <c r="AU629" t="s">
        <v>177</v>
      </c>
      <c r="AV629" t="s">
        <v>1030</v>
      </c>
      <c r="AW629" t="s">
        <v>182</v>
      </c>
      <c r="AX629">
        <v>0</v>
      </c>
      <c r="AY629" t="s">
        <v>312</v>
      </c>
      <c r="AZ629" t="s">
        <v>199</v>
      </c>
      <c r="BA629" t="s">
        <v>313</v>
      </c>
      <c r="BB629" t="s">
        <v>191</v>
      </c>
      <c r="BC629" t="s">
        <v>182</v>
      </c>
      <c r="BD629" t="s">
        <v>182</v>
      </c>
      <c r="BE629" t="s">
        <v>8898</v>
      </c>
      <c r="BF629">
        <v>0</v>
      </c>
      <c r="BG629">
        <v>0</v>
      </c>
      <c r="BH629">
        <v>0</v>
      </c>
      <c r="BI629" t="s">
        <v>199</v>
      </c>
      <c r="BJ629" t="s">
        <v>396</v>
      </c>
      <c r="BL629" t="s">
        <v>2281</v>
      </c>
      <c r="BM629" t="s">
        <v>410</v>
      </c>
      <c r="BN629" t="s">
        <v>182</v>
      </c>
      <c r="BO629" t="s">
        <v>8876</v>
      </c>
      <c r="BP629" t="s">
        <v>8899</v>
      </c>
      <c r="BQ629" t="s">
        <v>226</v>
      </c>
      <c r="BR629" t="s">
        <v>227</v>
      </c>
      <c r="BS629" t="s">
        <v>198</v>
      </c>
      <c r="BT629" t="s">
        <v>228</v>
      </c>
      <c r="BU629" t="s">
        <v>182</v>
      </c>
      <c r="BV629" t="s">
        <v>198</v>
      </c>
      <c r="BW629" t="s">
        <v>198</v>
      </c>
      <c r="BX629" t="s">
        <v>199</v>
      </c>
      <c r="BY629" t="s">
        <v>198</v>
      </c>
      <c r="BZ629" t="s">
        <v>199</v>
      </c>
      <c r="CA629" t="s">
        <v>199</v>
      </c>
      <c r="CB629" t="s">
        <v>8900</v>
      </c>
      <c r="CC629" t="s">
        <v>201</v>
      </c>
      <c r="CD629" t="s">
        <v>182</v>
      </c>
      <c r="CE629" t="s">
        <v>8901</v>
      </c>
      <c r="CF629" t="s">
        <v>1029</v>
      </c>
      <c r="CG629" t="s">
        <v>177</v>
      </c>
      <c r="CH629" t="s">
        <v>1030</v>
      </c>
      <c r="CI629" t="s">
        <v>8902</v>
      </c>
      <c r="CJ629" t="s">
        <v>5534</v>
      </c>
      <c r="CK629" t="s">
        <v>232</v>
      </c>
      <c r="CL629" t="s">
        <v>233</v>
      </c>
      <c r="CM629" t="s">
        <v>8903</v>
      </c>
      <c r="CN629" t="s">
        <v>1551</v>
      </c>
      <c r="CO629" t="s">
        <v>183</v>
      </c>
      <c r="CP629" t="s">
        <v>266</v>
      </c>
      <c r="CS629" t="s">
        <v>198</v>
      </c>
      <c r="CT629" t="s">
        <v>8008</v>
      </c>
      <c r="CU629" t="s">
        <v>292</v>
      </c>
      <c r="CV629" t="s">
        <v>293</v>
      </c>
      <c r="CW629" t="s">
        <v>8904</v>
      </c>
      <c r="CX629" t="s">
        <v>1074</v>
      </c>
      <c r="CY629" t="s">
        <v>183</v>
      </c>
      <c r="CZ629" t="s">
        <v>211</v>
      </c>
      <c r="DA629" t="s">
        <v>298</v>
      </c>
      <c r="DC629" t="s">
        <v>3703</v>
      </c>
      <c r="DD629" t="s">
        <v>8654</v>
      </c>
      <c r="DE629" t="s">
        <v>267</v>
      </c>
      <c r="DF629" t="s">
        <v>268</v>
      </c>
      <c r="DG629" t="s">
        <v>1605</v>
      </c>
      <c r="DH629" t="s">
        <v>482</v>
      </c>
      <c r="DI629" t="s">
        <v>183</v>
      </c>
      <c r="DJ629" t="s">
        <v>211</v>
      </c>
      <c r="DK629" t="s">
        <v>298</v>
      </c>
      <c r="DM629" t="s">
        <v>5806</v>
      </c>
      <c r="DN629" t="s">
        <v>6278</v>
      </c>
      <c r="DO629" t="s">
        <v>302</v>
      </c>
      <c r="DP629" t="s">
        <v>303</v>
      </c>
      <c r="DQ629" t="s">
        <v>8905</v>
      </c>
      <c r="DR629" t="s">
        <v>1615</v>
      </c>
      <c r="DS629" t="s">
        <v>183</v>
      </c>
      <c r="DT629" t="s">
        <v>211</v>
      </c>
      <c r="DU629" t="s">
        <v>290</v>
      </c>
      <c r="DW629" t="s">
        <v>4198</v>
      </c>
      <c r="DX629" t="s">
        <v>8272</v>
      </c>
      <c r="DY629" t="s">
        <v>238</v>
      </c>
      <c r="DZ629" t="s">
        <v>239</v>
      </c>
      <c r="EA629" t="s">
        <v>8906</v>
      </c>
      <c r="EB629" t="s">
        <v>922</v>
      </c>
      <c r="EC629" t="s">
        <v>183</v>
      </c>
      <c r="ED629" t="s">
        <v>211</v>
      </c>
      <c r="EE629" t="s">
        <v>523</v>
      </c>
      <c r="EG629" t="s">
        <v>4198</v>
      </c>
      <c r="EH629" t="s">
        <v>8907</v>
      </c>
      <c r="EI629" t="s">
        <v>346</v>
      </c>
      <c r="EJ629" t="s">
        <v>347</v>
      </c>
      <c r="EK629" t="s">
        <v>8908</v>
      </c>
      <c r="EL629" t="s">
        <v>482</v>
      </c>
      <c r="EM629" t="s">
        <v>183</v>
      </c>
      <c r="EN629" t="s">
        <v>211</v>
      </c>
      <c r="EO629" t="s">
        <v>806</v>
      </c>
      <c r="EQ629" t="s">
        <v>4198</v>
      </c>
      <c r="ER629" t="s">
        <v>8588</v>
      </c>
      <c r="ES629" t="s">
        <v>207</v>
      </c>
      <c r="ET629" t="s">
        <v>208</v>
      </c>
      <c r="EU629" t="s">
        <v>8909</v>
      </c>
      <c r="EV629" t="s">
        <v>482</v>
      </c>
      <c r="EW629" t="s">
        <v>183</v>
      </c>
      <c r="EX629" t="s">
        <v>211</v>
      </c>
      <c r="EY629" t="s">
        <v>1046</v>
      </c>
      <c r="FA629" t="s">
        <v>4198</v>
      </c>
      <c r="FK629" t="s">
        <v>198</v>
      </c>
      <c r="FU629" t="s">
        <v>198</v>
      </c>
    </row>
    <row r="630" spans="1:177">
      <c r="A630" s="1" t="str">
        <f>HYPERLINK("http://digipan.lumentumllc.com/apps/getLink/index.php?t=PropLink&amp;p=5245127","PL")</f>
        <v>PL</v>
      </c>
      <c r="B630" s="1" t="str">
        <f>HYPERLINK("http://digipan.lumentumllc.com/apps/getLink/index.php?t=TaxLink&amp;p=5245127","TL")</f>
        <v>TL</v>
      </c>
      <c r="C630" s="1" t="str">
        <f>HYPERLINK("http://digipan.lumentumllc.com/apps/getMap/index.php?p=5245127","Map")</f>
        <v>Map</v>
      </c>
      <c r="E630" t="s">
        <v>177</v>
      </c>
      <c r="F630" t="s">
        <v>178</v>
      </c>
      <c r="L630" t="s">
        <v>8910</v>
      </c>
      <c r="N630" t="s">
        <v>8910</v>
      </c>
      <c r="O630" t="s">
        <v>8910</v>
      </c>
      <c r="P630" t="s">
        <v>8911</v>
      </c>
      <c r="Q630" t="s">
        <v>8910</v>
      </c>
      <c r="V630">
        <v>724</v>
      </c>
      <c r="W630">
        <v>3</v>
      </c>
      <c r="X630">
        <v>2017</v>
      </c>
      <c r="Y630">
        <v>2018</v>
      </c>
      <c r="Z630">
        <v>498.57</v>
      </c>
      <c r="AB630" t="s">
        <v>181</v>
      </c>
      <c r="AC630" t="s">
        <v>202</v>
      </c>
      <c r="AD630" t="s">
        <v>183</v>
      </c>
      <c r="AE630">
        <v>1</v>
      </c>
      <c r="AF630">
        <v>6</v>
      </c>
      <c r="AG630" t="s">
        <v>322</v>
      </c>
      <c r="AH630">
        <v>83</v>
      </c>
      <c r="AI630">
        <v>429.07</v>
      </c>
      <c r="AJ630">
        <v>21.45</v>
      </c>
      <c r="AK630">
        <v>450.52</v>
      </c>
      <c r="AL630">
        <v>30901</v>
      </c>
      <c r="AM630">
        <v>15750</v>
      </c>
      <c r="AN630">
        <v>15151</v>
      </c>
      <c r="AO630">
        <v>372</v>
      </c>
      <c r="AP630">
        <v>2016</v>
      </c>
      <c r="AQ630">
        <v>1.61</v>
      </c>
      <c r="AR630">
        <v>1.46</v>
      </c>
      <c r="AS630" t="s">
        <v>8912</v>
      </c>
      <c r="AT630" t="s">
        <v>3747</v>
      </c>
      <c r="AU630" t="s">
        <v>177</v>
      </c>
      <c r="AV630" t="s">
        <v>1030</v>
      </c>
      <c r="AW630" t="s">
        <v>182</v>
      </c>
      <c r="AX630">
        <v>2</v>
      </c>
      <c r="AY630" t="s">
        <v>188</v>
      </c>
      <c r="AZ630" t="s">
        <v>189</v>
      </c>
      <c r="BA630" t="s">
        <v>190</v>
      </c>
      <c r="BB630" t="s">
        <v>191</v>
      </c>
      <c r="BC630" t="s">
        <v>182</v>
      </c>
      <c r="BD630" t="s">
        <v>182</v>
      </c>
      <c r="BE630" t="s">
        <v>8898</v>
      </c>
      <c r="BF630">
        <v>1</v>
      </c>
      <c r="BG630">
        <v>1</v>
      </c>
      <c r="BH630">
        <v>1986</v>
      </c>
      <c r="BI630" t="s">
        <v>937</v>
      </c>
      <c r="BJ630" t="s">
        <v>194</v>
      </c>
      <c r="BK630" t="s">
        <v>195</v>
      </c>
      <c r="BL630" t="s">
        <v>2281</v>
      </c>
      <c r="BM630" t="s">
        <v>410</v>
      </c>
      <c r="BN630" t="s">
        <v>182</v>
      </c>
      <c r="BO630" t="s">
        <v>198</v>
      </c>
      <c r="BP630" t="s">
        <v>198</v>
      </c>
      <c r="BQ630" t="s">
        <v>198</v>
      </c>
      <c r="BR630" t="s">
        <v>198</v>
      </c>
      <c r="BS630" t="s">
        <v>198</v>
      </c>
      <c r="BT630" t="s">
        <v>198</v>
      </c>
      <c r="BU630" t="s">
        <v>182</v>
      </c>
      <c r="BV630" t="s">
        <v>198</v>
      </c>
      <c r="BW630" t="s">
        <v>198</v>
      </c>
      <c r="BX630" t="s">
        <v>199</v>
      </c>
      <c r="BY630" t="s">
        <v>198</v>
      </c>
      <c r="BZ630" t="s">
        <v>199</v>
      </c>
      <c r="CA630" t="s">
        <v>199</v>
      </c>
      <c r="CB630" t="s">
        <v>8900</v>
      </c>
      <c r="CC630" t="s">
        <v>201</v>
      </c>
      <c r="CD630" t="s">
        <v>182</v>
      </c>
      <c r="CE630" t="s">
        <v>8901</v>
      </c>
      <c r="CF630" t="s">
        <v>1029</v>
      </c>
      <c r="CG630" t="s">
        <v>177</v>
      </c>
      <c r="CH630" t="s">
        <v>1030</v>
      </c>
      <c r="CI630" t="s">
        <v>8913</v>
      </c>
      <c r="CJ630" t="s">
        <v>5364</v>
      </c>
      <c r="CK630" t="s">
        <v>232</v>
      </c>
      <c r="CL630" t="s">
        <v>233</v>
      </c>
      <c r="CM630" t="s">
        <v>8914</v>
      </c>
      <c r="CN630" t="s">
        <v>331</v>
      </c>
      <c r="CO630" t="s">
        <v>183</v>
      </c>
      <c r="CP630" t="s">
        <v>266</v>
      </c>
      <c r="CS630" t="s">
        <v>198</v>
      </c>
      <c r="CT630" t="s">
        <v>8412</v>
      </c>
      <c r="CU630" t="s">
        <v>292</v>
      </c>
      <c r="CV630" t="s">
        <v>293</v>
      </c>
      <c r="CW630" t="s">
        <v>8915</v>
      </c>
      <c r="CX630" t="s">
        <v>482</v>
      </c>
      <c r="CY630" t="s">
        <v>183</v>
      </c>
      <c r="CZ630" t="s">
        <v>211</v>
      </c>
      <c r="DA630" t="s">
        <v>298</v>
      </c>
      <c r="DC630" t="s">
        <v>3703</v>
      </c>
      <c r="DD630" t="s">
        <v>8230</v>
      </c>
      <c r="DE630" t="s">
        <v>267</v>
      </c>
      <c r="DF630" t="s">
        <v>268</v>
      </c>
      <c r="DG630" t="s">
        <v>8916</v>
      </c>
      <c r="DH630" t="s">
        <v>511</v>
      </c>
      <c r="DI630" t="s">
        <v>183</v>
      </c>
      <c r="DJ630" t="s">
        <v>211</v>
      </c>
      <c r="DK630" t="s">
        <v>298</v>
      </c>
      <c r="DM630" t="s">
        <v>5806</v>
      </c>
      <c r="DN630" t="s">
        <v>6300</v>
      </c>
      <c r="DO630" t="s">
        <v>302</v>
      </c>
      <c r="DP630" t="s">
        <v>303</v>
      </c>
      <c r="DQ630" t="s">
        <v>8917</v>
      </c>
      <c r="DR630" t="s">
        <v>511</v>
      </c>
      <c r="DS630" t="s">
        <v>183</v>
      </c>
      <c r="DT630" t="s">
        <v>211</v>
      </c>
      <c r="DU630" t="s">
        <v>250</v>
      </c>
      <c r="DV630" t="s">
        <v>271</v>
      </c>
      <c r="DW630" t="s">
        <v>2950</v>
      </c>
      <c r="DX630" t="s">
        <v>2255</v>
      </c>
      <c r="DY630" t="s">
        <v>238</v>
      </c>
      <c r="DZ630" t="s">
        <v>239</v>
      </c>
      <c r="EA630" t="s">
        <v>8918</v>
      </c>
      <c r="EB630" t="s">
        <v>922</v>
      </c>
      <c r="EC630" t="s">
        <v>183</v>
      </c>
      <c r="ED630" t="s">
        <v>211</v>
      </c>
      <c r="EE630" t="s">
        <v>487</v>
      </c>
      <c r="EF630" t="s">
        <v>271</v>
      </c>
      <c r="EG630" t="s">
        <v>2950</v>
      </c>
      <c r="EH630" t="s">
        <v>1053</v>
      </c>
      <c r="EI630" t="s">
        <v>346</v>
      </c>
      <c r="EJ630" t="s">
        <v>347</v>
      </c>
      <c r="EK630" t="s">
        <v>8919</v>
      </c>
      <c r="EL630" t="s">
        <v>469</v>
      </c>
      <c r="EM630" t="s">
        <v>183</v>
      </c>
      <c r="EN630" t="s">
        <v>211</v>
      </c>
      <c r="EP630" t="s">
        <v>271</v>
      </c>
      <c r="EQ630" t="s">
        <v>198</v>
      </c>
      <c r="ER630" t="s">
        <v>8607</v>
      </c>
      <c r="ES630" t="s">
        <v>207</v>
      </c>
      <c r="ET630" t="s">
        <v>208</v>
      </c>
      <c r="EU630" t="s">
        <v>8920</v>
      </c>
      <c r="EV630" t="s">
        <v>576</v>
      </c>
      <c r="EW630" t="s">
        <v>183</v>
      </c>
      <c r="EX630" t="s">
        <v>211</v>
      </c>
      <c r="EY630" t="s">
        <v>963</v>
      </c>
      <c r="EZ630" t="s">
        <v>271</v>
      </c>
      <c r="FA630" t="s">
        <v>2950</v>
      </c>
      <c r="FK630" t="s">
        <v>198</v>
      </c>
      <c r="FU630" t="s">
        <v>198</v>
      </c>
    </row>
    <row r="631" spans="1:177">
      <c r="A631" s="1" t="str">
        <f>HYPERLINK("http://digipan.lumentumllc.com/apps/getLink/index.php?t=PropLink&amp;p=6128875","PL")</f>
        <v>PL</v>
      </c>
      <c r="B631" s="1" t="str">
        <f>HYPERLINK("http://digipan.lumentumllc.com/apps/getLink/index.php?t=TaxLink&amp;p=6128875","TL")</f>
        <v>TL</v>
      </c>
      <c r="C631" s="1" t="str">
        <f>HYPERLINK("http://digipan.lumentumllc.com/apps/getMap/index.php?p=6128875","Map")</f>
        <v>Map</v>
      </c>
      <c r="E631" t="s">
        <v>177</v>
      </c>
      <c r="F631" t="s">
        <v>178</v>
      </c>
      <c r="L631" t="s">
        <v>8921</v>
      </c>
      <c r="N631" t="s">
        <v>8921</v>
      </c>
      <c r="O631" t="s">
        <v>8921</v>
      </c>
      <c r="P631" t="s">
        <v>8922</v>
      </c>
      <c r="Q631" t="s">
        <v>8921</v>
      </c>
      <c r="V631">
        <v>725</v>
      </c>
      <c r="W631">
        <v>3</v>
      </c>
      <c r="X631">
        <v>2017</v>
      </c>
      <c r="Y631">
        <v>2018</v>
      </c>
      <c r="Z631">
        <v>1096.2</v>
      </c>
      <c r="AB631" t="s">
        <v>181</v>
      </c>
      <c r="AC631" t="s">
        <v>182</v>
      </c>
      <c r="AD631" t="s">
        <v>183</v>
      </c>
      <c r="AE631">
        <v>1</v>
      </c>
      <c r="AF631">
        <v>3</v>
      </c>
      <c r="AG631" t="s">
        <v>257</v>
      </c>
      <c r="AH631">
        <v>75</v>
      </c>
      <c r="AI631">
        <v>976.42</v>
      </c>
      <c r="AJ631">
        <v>48.82</v>
      </c>
      <c r="AK631">
        <v>1025.24</v>
      </c>
      <c r="AL631">
        <v>67709</v>
      </c>
      <c r="AM631">
        <v>25200</v>
      </c>
      <c r="AN631">
        <v>42509</v>
      </c>
      <c r="AO631">
        <v>878</v>
      </c>
      <c r="AP631">
        <v>2016</v>
      </c>
      <c r="AQ631">
        <v>1.62</v>
      </c>
      <c r="AR631">
        <v>1.51</v>
      </c>
      <c r="AS631" t="s">
        <v>8923</v>
      </c>
      <c r="AT631" t="s">
        <v>3747</v>
      </c>
      <c r="AU631" t="s">
        <v>177</v>
      </c>
      <c r="AV631" t="s">
        <v>1030</v>
      </c>
      <c r="AW631" t="s">
        <v>182</v>
      </c>
      <c r="AX631">
        <v>2</v>
      </c>
      <c r="AY631" t="s">
        <v>188</v>
      </c>
      <c r="AZ631" t="s">
        <v>189</v>
      </c>
      <c r="BA631" t="s">
        <v>190</v>
      </c>
      <c r="BB631" t="s">
        <v>191</v>
      </c>
      <c r="BC631" t="s">
        <v>182</v>
      </c>
      <c r="BD631" t="s">
        <v>182</v>
      </c>
      <c r="BE631" t="s">
        <v>3783</v>
      </c>
      <c r="BF631">
        <v>1</v>
      </c>
      <c r="BG631">
        <v>1</v>
      </c>
      <c r="BH631">
        <v>2000</v>
      </c>
      <c r="BI631" t="s">
        <v>4406</v>
      </c>
      <c r="BJ631" t="s">
        <v>194</v>
      </c>
      <c r="BK631" t="s">
        <v>195</v>
      </c>
      <c r="BL631" t="s">
        <v>8924</v>
      </c>
      <c r="BM631" t="s">
        <v>273</v>
      </c>
      <c r="BN631" t="s">
        <v>182</v>
      </c>
      <c r="BO631" t="s">
        <v>1695</v>
      </c>
      <c r="BP631" t="s">
        <v>8925</v>
      </c>
      <c r="BQ631" t="s">
        <v>1285</v>
      </c>
      <c r="BS631" t="s">
        <v>198</v>
      </c>
      <c r="BT631" t="s">
        <v>8926</v>
      </c>
      <c r="BU631" t="s">
        <v>182</v>
      </c>
      <c r="BV631" t="s">
        <v>198</v>
      </c>
      <c r="BW631" t="s">
        <v>198</v>
      </c>
      <c r="BX631" t="s">
        <v>199</v>
      </c>
      <c r="BY631" t="s">
        <v>198</v>
      </c>
      <c r="BZ631" t="s">
        <v>199</v>
      </c>
      <c r="CA631" t="s">
        <v>199</v>
      </c>
      <c r="CB631" t="s">
        <v>8927</v>
      </c>
      <c r="CC631" t="s">
        <v>201</v>
      </c>
      <c r="CD631" t="s">
        <v>182</v>
      </c>
      <c r="CE631" t="s">
        <v>8928</v>
      </c>
      <c r="CF631" t="s">
        <v>536</v>
      </c>
      <c r="CG631" t="s">
        <v>177</v>
      </c>
      <c r="CH631" t="s">
        <v>537</v>
      </c>
      <c r="CI631" t="s">
        <v>8929</v>
      </c>
      <c r="CJ631" t="s">
        <v>8211</v>
      </c>
      <c r="CK631" t="s">
        <v>232</v>
      </c>
      <c r="CL631" t="s">
        <v>233</v>
      </c>
      <c r="CM631" t="s">
        <v>8930</v>
      </c>
      <c r="CN631" t="s">
        <v>235</v>
      </c>
      <c r="CO631" t="s">
        <v>183</v>
      </c>
      <c r="CP631" t="s">
        <v>266</v>
      </c>
      <c r="CS631" t="s">
        <v>198</v>
      </c>
      <c r="CT631" t="s">
        <v>5815</v>
      </c>
      <c r="CU631" t="s">
        <v>273</v>
      </c>
      <c r="CV631" t="s">
        <v>274</v>
      </c>
      <c r="CW631" t="s">
        <v>8931</v>
      </c>
      <c r="CX631" t="s">
        <v>235</v>
      </c>
      <c r="CY631" t="s">
        <v>183</v>
      </c>
      <c r="CZ631" t="s">
        <v>211</v>
      </c>
      <c r="DA631" t="s">
        <v>290</v>
      </c>
      <c r="DC631" t="s">
        <v>8932</v>
      </c>
      <c r="DD631" t="s">
        <v>6338</v>
      </c>
      <c r="DE631" t="s">
        <v>302</v>
      </c>
      <c r="DF631" t="s">
        <v>303</v>
      </c>
      <c r="DG631" t="s">
        <v>8933</v>
      </c>
      <c r="DH631" t="s">
        <v>436</v>
      </c>
      <c r="DI631" t="s">
        <v>183</v>
      </c>
      <c r="DJ631" t="s">
        <v>211</v>
      </c>
      <c r="DK631" t="s">
        <v>189</v>
      </c>
      <c r="DM631" t="s">
        <v>1864</v>
      </c>
      <c r="DN631" t="s">
        <v>8289</v>
      </c>
      <c r="DO631" t="s">
        <v>238</v>
      </c>
      <c r="DP631" t="s">
        <v>239</v>
      </c>
      <c r="DQ631" t="s">
        <v>8934</v>
      </c>
      <c r="DR631" t="s">
        <v>295</v>
      </c>
      <c r="DS631" t="s">
        <v>183</v>
      </c>
      <c r="DT631" t="s">
        <v>211</v>
      </c>
      <c r="DU631" t="s">
        <v>460</v>
      </c>
      <c r="DW631" t="s">
        <v>1864</v>
      </c>
      <c r="EG631" t="s">
        <v>198</v>
      </c>
      <c r="EQ631" t="s">
        <v>198</v>
      </c>
      <c r="FA631" t="s">
        <v>198</v>
      </c>
      <c r="FK631" t="s">
        <v>198</v>
      </c>
      <c r="FU631" t="s">
        <v>198</v>
      </c>
    </row>
    <row r="632" spans="1:177">
      <c r="A632" s="1" t="str">
        <f>HYPERLINK("http://digipan.lumentumllc.com/apps/getLink/index.php?t=PropLink&amp;p=15741506","PL")</f>
        <v>PL</v>
      </c>
      <c r="B632" s="1" t="str">
        <f>HYPERLINK("http://digipan.lumentumllc.com/apps/getLink/index.php?t=TaxLink&amp;p=15741506","TL")</f>
        <v>TL</v>
      </c>
      <c r="C632" s="1" t="str">
        <f>HYPERLINK("http://digipan.lumentumllc.com/apps/getMap/index.php?p=15741506","Map")</f>
        <v>Map</v>
      </c>
      <c r="E632" t="s">
        <v>177</v>
      </c>
      <c r="F632" t="s">
        <v>178</v>
      </c>
      <c r="L632" t="s">
        <v>8935</v>
      </c>
      <c r="N632" t="s">
        <v>8935</v>
      </c>
      <c r="O632" t="s">
        <v>8935</v>
      </c>
      <c r="Q632" t="s">
        <v>8935</v>
      </c>
      <c r="V632">
        <v>726</v>
      </c>
      <c r="W632">
        <v>3</v>
      </c>
      <c r="X632">
        <v>2017</v>
      </c>
      <c r="Y632">
        <v>2018</v>
      </c>
      <c r="Z632">
        <v>1578.69</v>
      </c>
      <c r="AG632" t="s">
        <v>184</v>
      </c>
      <c r="AH632">
        <v>0</v>
      </c>
      <c r="AK632">
        <v>0</v>
      </c>
      <c r="AL632">
        <v>95156</v>
      </c>
      <c r="AM632">
        <v>33075</v>
      </c>
      <c r="AN632">
        <v>62081</v>
      </c>
      <c r="AO632">
        <v>1311</v>
      </c>
      <c r="AP632">
        <v>2016</v>
      </c>
      <c r="AQ632">
        <v>1.66</v>
      </c>
      <c r="AS632" t="s">
        <v>8936</v>
      </c>
      <c r="AT632" t="s">
        <v>3747</v>
      </c>
      <c r="AU632" t="s">
        <v>177</v>
      </c>
      <c r="AV632" t="s">
        <v>1030</v>
      </c>
      <c r="AW632" t="s">
        <v>182</v>
      </c>
      <c r="AX632">
        <v>2</v>
      </c>
      <c r="AY632" t="s">
        <v>188</v>
      </c>
      <c r="AZ632" t="s">
        <v>189</v>
      </c>
      <c r="BA632" t="s">
        <v>190</v>
      </c>
      <c r="BB632" t="s">
        <v>191</v>
      </c>
      <c r="BC632" t="s">
        <v>182</v>
      </c>
      <c r="BD632" t="s">
        <v>182</v>
      </c>
      <c r="BE632" t="s">
        <v>3241</v>
      </c>
      <c r="BF632">
        <v>1</v>
      </c>
      <c r="BG632">
        <v>1</v>
      </c>
      <c r="BH632">
        <v>2007</v>
      </c>
      <c r="BI632" t="s">
        <v>900</v>
      </c>
      <c r="BJ632" t="s">
        <v>194</v>
      </c>
      <c r="BK632" t="s">
        <v>195</v>
      </c>
      <c r="BL632" t="s">
        <v>8937</v>
      </c>
      <c r="BM632" t="s">
        <v>197</v>
      </c>
      <c r="BN632" t="s">
        <v>182</v>
      </c>
      <c r="BO632" t="s">
        <v>8938</v>
      </c>
      <c r="BP632" t="s">
        <v>3881</v>
      </c>
      <c r="BQ632" t="s">
        <v>226</v>
      </c>
      <c r="BR632" t="s">
        <v>227</v>
      </c>
      <c r="BS632" t="s">
        <v>198</v>
      </c>
      <c r="BT632" t="s">
        <v>228</v>
      </c>
      <c r="BU632" t="s">
        <v>182</v>
      </c>
      <c r="BV632" t="s">
        <v>198</v>
      </c>
      <c r="BW632" t="s">
        <v>198</v>
      </c>
      <c r="BX632" t="s">
        <v>199</v>
      </c>
      <c r="BY632" t="s">
        <v>198</v>
      </c>
      <c r="BZ632" t="s">
        <v>199</v>
      </c>
      <c r="CA632" t="s">
        <v>199</v>
      </c>
      <c r="CB632" t="s">
        <v>8939</v>
      </c>
      <c r="CC632" t="s">
        <v>201</v>
      </c>
      <c r="CD632" t="s">
        <v>202</v>
      </c>
      <c r="CE632" t="s">
        <v>8940</v>
      </c>
      <c r="CF632" t="s">
        <v>8941</v>
      </c>
      <c r="CG632" t="s">
        <v>177</v>
      </c>
      <c r="CH632" t="s">
        <v>1030</v>
      </c>
      <c r="CI632" t="s">
        <v>8942</v>
      </c>
      <c r="CS632" t="s">
        <v>198</v>
      </c>
      <c r="DC632" t="s">
        <v>198</v>
      </c>
      <c r="DM632" t="s">
        <v>198</v>
      </c>
      <c r="DW632" t="s">
        <v>198</v>
      </c>
      <c r="EG632" t="s">
        <v>198</v>
      </c>
      <c r="EQ632" t="s">
        <v>198</v>
      </c>
      <c r="FA632" t="s">
        <v>198</v>
      </c>
      <c r="FK632" t="s">
        <v>198</v>
      </c>
      <c r="FU632" t="s">
        <v>198</v>
      </c>
    </row>
    <row r="633" spans="1:177">
      <c r="A633" s="1" t="str">
        <f>HYPERLINK("http://digipan.lumentumllc.com/apps/getLink/index.php?t=PropLink&amp;p=4637408","PL")</f>
        <v>PL</v>
      </c>
      <c r="B633" s="1" t="str">
        <f>HYPERLINK("http://digipan.lumentumllc.com/apps/getLink/index.php?t=TaxLink&amp;p=4637408","TL")</f>
        <v>TL</v>
      </c>
      <c r="C633" s="1" t="str">
        <f>HYPERLINK("http://digipan.lumentumllc.com/apps/getMap/index.php?p=4637408","Map")</f>
        <v>Map</v>
      </c>
      <c r="E633" t="s">
        <v>177</v>
      </c>
      <c r="F633" t="s">
        <v>178</v>
      </c>
      <c r="L633" t="s">
        <v>8943</v>
      </c>
      <c r="N633" t="s">
        <v>8943</v>
      </c>
      <c r="O633" t="s">
        <v>8943</v>
      </c>
      <c r="P633" t="s">
        <v>8944</v>
      </c>
      <c r="Q633" t="s">
        <v>8943</v>
      </c>
      <c r="V633">
        <v>727</v>
      </c>
      <c r="W633">
        <v>3</v>
      </c>
      <c r="X633">
        <v>2017</v>
      </c>
      <c r="Y633">
        <v>2018</v>
      </c>
      <c r="Z633">
        <v>773.58</v>
      </c>
      <c r="AB633" t="s">
        <v>181</v>
      </c>
      <c r="AC633" t="s">
        <v>182</v>
      </c>
      <c r="AD633" t="s">
        <v>183</v>
      </c>
      <c r="AE633">
        <v>0</v>
      </c>
      <c r="AF633">
        <v>2</v>
      </c>
      <c r="AG633" t="s">
        <v>821</v>
      </c>
      <c r="AH633">
        <v>100</v>
      </c>
      <c r="AK633">
        <v>0</v>
      </c>
      <c r="AL633">
        <v>51775</v>
      </c>
      <c r="AM633">
        <v>25200</v>
      </c>
      <c r="AN633">
        <v>26575</v>
      </c>
      <c r="AO633">
        <v>562</v>
      </c>
      <c r="AP633">
        <v>2016</v>
      </c>
      <c r="AQ633">
        <v>1.49</v>
      </c>
      <c r="AS633" t="s">
        <v>8945</v>
      </c>
      <c r="AT633" t="s">
        <v>3747</v>
      </c>
      <c r="AU633" t="s">
        <v>177</v>
      </c>
      <c r="AV633" t="s">
        <v>1030</v>
      </c>
      <c r="AW633" t="s">
        <v>182</v>
      </c>
      <c r="AX633">
        <v>2</v>
      </c>
      <c r="AY633" t="s">
        <v>188</v>
      </c>
      <c r="AZ633" t="s">
        <v>189</v>
      </c>
      <c r="BA633" t="s">
        <v>190</v>
      </c>
      <c r="BB633" t="s">
        <v>191</v>
      </c>
      <c r="BC633" t="s">
        <v>182</v>
      </c>
      <c r="BD633" t="s">
        <v>182</v>
      </c>
      <c r="BE633" t="s">
        <v>899</v>
      </c>
      <c r="BF633">
        <v>1</v>
      </c>
      <c r="BG633">
        <v>1</v>
      </c>
      <c r="BH633">
        <v>1993</v>
      </c>
      <c r="BI633" t="s">
        <v>8946</v>
      </c>
      <c r="BJ633" t="s">
        <v>194</v>
      </c>
      <c r="BK633" t="s">
        <v>195</v>
      </c>
      <c r="BL633" t="s">
        <v>8947</v>
      </c>
      <c r="BM633" t="s">
        <v>368</v>
      </c>
      <c r="BN633" t="s">
        <v>182</v>
      </c>
      <c r="BO633" t="s">
        <v>8948</v>
      </c>
      <c r="BP633" t="s">
        <v>2170</v>
      </c>
      <c r="BS633" t="s">
        <v>8949</v>
      </c>
      <c r="BT633" t="s">
        <v>198</v>
      </c>
      <c r="BU633" t="s">
        <v>182</v>
      </c>
      <c r="BV633" t="s">
        <v>198</v>
      </c>
      <c r="BW633" t="s">
        <v>198</v>
      </c>
      <c r="BX633" t="s">
        <v>199</v>
      </c>
      <c r="BY633" t="s">
        <v>198</v>
      </c>
      <c r="BZ633" t="s">
        <v>199</v>
      </c>
      <c r="CA633" t="s">
        <v>199</v>
      </c>
      <c r="CB633" t="s">
        <v>8950</v>
      </c>
      <c r="CC633" t="s">
        <v>201</v>
      </c>
      <c r="CD633" t="s">
        <v>182</v>
      </c>
      <c r="CE633" t="s">
        <v>8951</v>
      </c>
      <c r="CF633" t="s">
        <v>413</v>
      </c>
      <c r="CG633" t="s">
        <v>177</v>
      </c>
      <c r="CH633" t="s">
        <v>8952</v>
      </c>
      <c r="CI633" t="s">
        <v>8953</v>
      </c>
      <c r="CJ633" t="s">
        <v>8610</v>
      </c>
      <c r="CK633" t="s">
        <v>238</v>
      </c>
      <c r="CL633" t="s">
        <v>239</v>
      </c>
      <c r="CM633" t="s">
        <v>8954</v>
      </c>
      <c r="CN633" t="s">
        <v>295</v>
      </c>
      <c r="CO633" t="s">
        <v>183</v>
      </c>
      <c r="CP633" t="s">
        <v>211</v>
      </c>
      <c r="CQ633" t="s">
        <v>212</v>
      </c>
      <c r="CS633" t="s">
        <v>279</v>
      </c>
      <c r="CT633" t="s">
        <v>6018</v>
      </c>
      <c r="CU633" t="s">
        <v>207</v>
      </c>
      <c r="CV633" t="s">
        <v>208</v>
      </c>
      <c r="CW633" t="s">
        <v>8955</v>
      </c>
      <c r="CX633" t="s">
        <v>576</v>
      </c>
      <c r="CY633" t="s">
        <v>183</v>
      </c>
      <c r="CZ633" t="s">
        <v>211</v>
      </c>
      <c r="DA633" t="s">
        <v>270</v>
      </c>
      <c r="DC633" t="s">
        <v>8956</v>
      </c>
      <c r="DM633" t="s">
        <v>198</v>
      </c>
      <c r="DW633" t="s">
        <v>198</v>
      </c>
      <c r="EG633" t="s">
        <v>198</v>
      </c>
      <c r="EQ633" t="s">
        <v>198</v>
      </c>
      <c r="FA633" t="s">
        <v>198</v>
      </c>
      <c r="FK633" t="s">
        <v>198</v>
      </c>
      <c r="FU633" t="s">
        <v>198</v>
      </c>
    </row>
    <row r="634" spans="1:177">
      <c r="A634" s="1" t="str">
        <f>HYPERLINK("http://digipan.lumentumllc.com/apps/getLink/index.php?t=PropLink&amp;p=5245130","PL")</f>
        <v>PL</v>
      </c>
      <c r="B634" s="1" t="str">
        <f>HYPERLINK("http://digipan.lumentumllc.com/apps/getLink/index.php?t=TaxLink&amp;p=5245130","TL")</f>
        <v>TL</v>
      </c>
      <c r="C634" s="1" t="str">
        <f>HYPERLINK("http://digipan.lumentumllc.com/apps/getMap/index.php?p=5245130","Map")</f>
        <v>Map</v>
      </c>
      <c r="E634" t="s">
        <v>177</v>
      </c>
      <c r="F634" t="s">
        <v>178</v>
      </c>
      <c r="L634" t="s">
        <v>8957</v>
      </c>
      <c r="N634" t="s">
        <v>8957</v>
      </c>
      <c r="O634" t="s">
        <v>8957</v>
      </c>
      <c r="P634" t="s">
        <v>8958</v>
      </c>
      <c r="Q634" t="s">
        <v>8957</v>
      </c>
      <c r="V634">
        <v>728</v>
      </c>
      <c r="W634">
        <v>3</v>
      </c>
      <c r="X634">
        <v>2017</v>
      </c>
      <c r="Y634">
        <v>2018</v>
      </c>
      <c r="Z634">
        <v>721.02</v>
      </c>
      <c r="AB634" t="s">
        <v>181</v>
      </c>
      <c r="AC634" t="s">
        <v>182</v>
      </c>
      <c r="AD634" t="s">
        <v>183</v>
      </c>
      <c r="AE634">
        <v>1</v>
      </c>
      <c r="AF634">
        <v>6</v>
      </c>
      <c r="AG634" t="s">
        <v>322</v>
      </c>
      <c r="AH634">
        <v>83</v>
      </c>
      <c r="AI634">
        <v>595.82000000000005</v>
      </c>
      <c r="AJ634">
        <v>29.79</v>
      </c>
      <c r="AK634">
        <v>625.61</v>
      </c>
      <c r="AL634">
        <v>47772</v>
      </c>
      <c r="AM634">
        <v>12600</v>
      </c>
      <c r="AN634">
        <v>35172</v>
      </c>
      <c r="AO634">
        <v>526</v>
      </c>
      <c r="AP634">
        <v>2016</v>
      </c>
      <c r="AQ634">
        <v>1.51</v>
      </c>
      <c r="AR634">
        <v>1.31</v>
      </c>
      <c r="AS634" t="s">
        <v>8959</v>
      </c>
      <c r="AT634" t="s">
        <v>3747</v>
      </c>
      <c r="AU634" t="s">
        <v>177</v>
      </c>
      <c r="AV634" t="s">
        <v>1030</v>
      </c>
      <c r="AW634" t="s">
        <v>182</v>
      </c>
      <c r="AX634">
        <v>2</v>
      </c>
      <c r="AY634" t="s">
        <v>188</v>
      </c>
      <c r="AZ634" t="s">
        <v>189</v>
      </c>
      <c r="BA634" t="s">
        <v>190</v>
      </c>
      <c r="BB634" t="s">
        <v>191</v>
      </c>
      <c r="BC634" t="s">
        <v>182</v>
      </c>
      <c r="BD634" t="s">
        <v>182</v>
      </c>
      <c r="BE634" t="s">
        <v>6085</v>
      </c>
      <c r="BF634">
        <v>1</v>
      </c>
      <c r="BG634">
        <v>1</v>
      </c>
      <c r="BH634">
        <v>1996</v>
      </c>
      <c r="BI634" t="s">
        <v>1291</v>
      </c>
      <c r="BJ634" t="s">
        <v>194</v>
      </c>
      <c r="BK634" t="s">
        <v>195</v>
      </c>
      <c r="BL634" t="s">
        <v>199</v>
      </c>
      <c r="BM634" t="s">
        <v>559</v>
      </c>
      <c r="BN634" t="s">
        <v>182</v>
      </c>
      <c r="BO634" t="s">
        <v>8960</v>
      </c>
      <c r="BP634" t="s">
        <v>8961</v>
      </c>
      <c r="BS634" t="s">
        <v>8962</v>
      </c>
      <c r="BT634" t="s">
        <v>198</v>
      </c>
      <c r="BU634" t="s">
        <v>182</v>
      </c>
      <c r="BV634" t="s">
        <v>198</v>
      </c>
      <c r="BW634" t="s">
        <v>198</v>
      </c>
      <c r="BX634" t="s">
        <v>199</v>
      </c>
      <c r="BY634" t="s">
        <v>198</v>
      </c>
      <c r="BZ634" t="s">
        <v>199</v>
      </c>
      <c r="CA634" t="s">
        <v>199</v>
      </c>
      <c r="CB634" t="s">
        <v>8963</v>
      </c>
      <c r="CC634" t="s">
        <v>201</v>
      </c>
      <c r="CD634" t="s">
        <v>182</v>
      </c>
      <c r="CE634" t="s">
        <v>8964</v>
      </c>
      <c r="CF634" t="s">
        <v>1029</v>
      </c>
      <c r="CG634" t="s">
        <v>177</v>
      </c>
      <c r="CH634" t="s">
        <v>1030</v>
      </c>
      <c r="CI634" t="s">
        <v>8965</v>
      </c>
      <c r="CJ634" t="s">
        <v>8252</v>
      </c>
      <c r="CK634" t="s">
        <v>232</v>
      </c>
      <c r="CL634" t="s">
        <v>233</v>
      </c>
      <c r="CM634" t="s">
        <v>8966</v>
      </c>
      <c r="CN634" t="s">
        <v>235</v>
      </c>
      <c r="CO634" t="s">
        <v>183</v>
      </c>
      <c r="CP634" t="s">
        <v>266</v>
      </c>
      <c r="CS634" t="s">
        <v>198</v>
      </c>
      <c r="CT634" t="s">
        <v>8053</v>
      </c>
      <c r="CU634" t="s">
        <v>292</v>
      </c>
      <c r="CV634" t="s">
        <v>293</v>
      </c>
      <c r="CW634" t="s">
        <v>8967</v>
      </c>
      <c r="CX634" t="s">
        <v>235</v>
      </c>
      <c r="CY634" t="s">
        <v>183</v>
      </c>
      <c r="CZ634" t="s">
        <v>211</v>
      </c>
      <c r="DA634" t="s">
        <v>298</v>
      </c>
      <c r="DC634" t="s">
        <v>1066</v>
      </c>
      <c r="DD634" t="s">
        <v>8252</v>
      </c>
      <c r="DE634" t="s">
        <v>267</v>
      </c>
      <c r="DF634" t="s">
        <v>268</v>
      </c>
      <c r="DG634" t="s">
        <v>8968</v>
      </c>
      <c r="DH634" t="s">
        <v>235</v>
      </c>
      <c r="DI634" t="s">
        <v>183</v>
      </c>
      <c r="DJ634" t="s">
        <v>211</v>
      </c>
      <c r="DK634" t="s">
        <v>298</v>
      </c>
      <c r="DM634" t="s">
        <v>1582</v>
      </c>
      <c r="DN634" t="s">
        <v>5644</v>
      </c>
      <c r="DO634" t="s">
        <v>273</v>
      </c>
      <c r="DP634" t="s">
        <v>274</v>
      </c>
      <c r="DQ634" t="s">
        <v>8969</v>
      </c>
      <c r="DR634" t="s">
        <v>235</v>
      </c>
      <c r="DS634" t="s">
        <v>183</v>
      </c>
      <c r="DT634" t="s">
        <v>211</v>
      </c>
      <c r="DU634" t="s">
        <v>250</v>
      </c>
      <c r="DW634" t="s">
        <v>8970</v>
      </c>
      <c r="DX634" t="s">
        <v>2632</v>
      </c>
      <c r="DY634" t="s">
        <v>302</v>
      </c>
      <c r="DZ634" t="s">
        <v>303</v>
      </c>
      <c r="EA634" t="s">
        <v>8971</v>
      </c>
      <c r="EB634" t="s">
        <v>1586</v>
      </c>
      <c r="EC634" t="s">
        <v>183</v>
      </c>
      <c r="ED634" t="s">
        <v>211</v>
      </c>
      <c r="EE634" t="s">
        <v>487</v>
      </c>
      <c r="EG634" t="s">
        <v>8970</v>
      </c>
      <c r="EH634" t="s">
        <v>8972</v>
      </c>
      <c r="EI634" t="s">
        <v>346</v>
      </c>
      <c r="EJ634" t="s">
        <v>347</v>
      </c>
      <c r="EK634" t="s">
        <v>8973</v>
      </c>
      <c r="EL634" t="s">
        <v>833</v>
      </c>
      <c r="EM634" t="s">
        <v>183</v>
      </c>
      <c r="EN634" t="s">
        <v>211</v>
      </c>
      <c r="EO634" t="s">
        <v>329</v>
      </c>
      <c r="EQ634" t="s">
        <v>8974</v>
      </c>
      <c r="ER634" t="s">
        <v>8975</v>
      </c>
      <c r="ES634" t="s">
        <v>207</v>
      </c>
      <c r="ET634" t="s">
        <v>208</v>
      </c>
      <c r="EU634" t="s">
        <v>8976</v>
      </c>
      <c r="EV634" t="s">
        <v>576</v>
      </c>
      <c r="EW634" t="s">
        <v>183</v>
      </c>
      <c r="EX634" t="s">
        <v>211</v>
      </c>
      <c r="EY634" t="s">
        <v>298</v>
      </c>
      <c r="FA634" t="s">
        <v>8974</v>
      </c>
      <c r="FK634" t="s">
        <v>198</v>
      </c>
      <c r="FU634" t="s">
        <v>198</v>
      </c>
    </row>
    <row r="635" spans="1:177">
      <c r="A635" s="1" t="str">
        <f>HYPERLINK("http://digipan.lumentumllc.com/apps/getLink/index.php?t=PropLink&amp;p=4637410","PL")</f>
        <v>PL</v>
      </c>
      <c r="B635" s="1" t="str">
        <f>HYPERLINK("http://digipan.lumentumllc.com/apps/getLink/index.php?t=TaxLink&amp;p=4637410","TL")</f>
        <v>TL</v>
      </c>
      <c r="C635" s="1" t="str">
        <f>HYPERLINK("http://digipan.lumentumllc.com/apps/getMap/index.php?p=4637410","Map")</f>
        <v>Map</v>
      </c>
      <c r="E635" t="s">
        <v>177</v>
      </c>
      <c r="F635" t="s">
        <v>178</v>
      </c>
      <c r="L635" t="s">
        <v>8977</v>
      </c>
      <c r="N635" t="s">
        <v>8977</v>
      </c>
      <c r="O635" t="s">
        <v>8977</v>
      </c>
      <c r="P635" t="s">
        <v>8978</v>
      </c>
      <c r="Q635" t="s">
        <v>8977</v>
      </c>
      <c r="V635">
        <v>729</v>
      </c>
      <c r="W635">
        <v>3</v>
      </c>
      <c r="X635">
        <v>2017</v>
      </c>
      <c r="Y635">
        <v>2018</v>
      </c>
      <c r="Z635">
        <v>91.86</v>
      </c>
      <c r="AB635" t="s">
        <v>181</v>
      </c>
      <c r="AC635" t="s">
        <v>182</v>
      </c>
      <c r="AD635" t="s">
        <v>1037</v>
      </c>
      <c r="AE635">
        <v>6</v>
      </c>
      <c r="AF635">
        <v>0</v>
      </c>
      <c r="AG635" t="s">
        <v>3955</v>
      </c>
      <c r="AH635">
        <v>0</v>
      </c>
      <c r="AI635">
        <v>460.32</v>
      </c>
      <c r="AJ635">
        <v>191.28</v>
      </c>
      <c r="AK635">
        <v>651.6</v>
      </c>
      <c r="AL635">
        <v>3937</v>
      </c>
      <c r="AM635">
        <v>3937</v>
      </c>
      <c r="AN635">
        <v>0</v>
      </c>
      <c r="AO635">
        <v>48</v>
      </c>
      <c r="AP635">
        <v>2016</v>
      </c>
      <c r="AQ635">
        <v>2.33</v>
      </c>
      <c r="AR635">
        <v>16.55</v>
      </c>
      <c r="AS635" t="s">
        <v>8979</v>
      </c>
      <c r="AT635" t="s">
        <v>3747</v>
      </c>
      <c r="AU635" t="s">
        <v>177</v>
      </c>
      <c r="AV635" t="s">
        <v>1030</v>
      </c>
      <c r="AW635" t="s">
        <v>182</v>
      </c>
      <c r="AX635">
        <v>0</v>
      </c>
      <c r="AY635" t="s">
        <v>312</v>
      </c>
      <c r="AZ635" t="s">
        <v>199</v>
      </c>
      <c r="BA635" t="s">
        <v>313</v>
      </c>
      <c r="BB635" t="s">
        <v>191</v>
      </c>
      <c r="BC635" t="s">
        <v>182</v>
      </c>
      <c r="BD635" t="s">
        <v>182</v>
      </c>
      <c r="BE635" t="s">
        <v>6085</v>
      </c>
      <c r="BF635">
        <v>0</v>
      </c>
      <c r="BG635">
        <v>0</v>
      </c>
      <c r="BH635">
        <v>0</v>
      </c>
      <c r="BI635" t="s">
        <v>199</v>
      </c>
      <c r="BJ635" t="s">
        <v>315</v>
      </c>
      <c r="BL635" t="s">
        <v>199</v>
      </c>
      <c r="BM635" t="s">
        <v>533</v>
      </c>
      <c r="BN635" t="s">
        <v>182</v>
      </c>
      <c r="BO635" t="s">
        <v>198</v>
      </c>
      <c r="BP635" t="s">
        <v>198</v>
      </c>
      <c r="BQ635" t="s">
        <v>198</v>
      </c>
      <c r="BR635" t="s">
        <v>198</v>
      </c>
      <c r="BS635" t="s">
        <v>198</v>
      </c>
      <c r="BT635" t="s">
        <v>198</v>
      </c>
      <c r="BU635" t="s">
        <v>182</v>
      </c>
      <c r="BV635" t="s">
        <v>198</v>
      </c>
      <c r="BW635" t="s">
        <v>198</v>
      </c>
      <c r="BX635" t="s">
        <v>199</v>
      </c>
      <c r="BY635" t="s">
        <v>198</v>
      </c>
      <c r="BZ635" t="s">
        <v>199</v>
      </c>
      <c r="CA635" t="s">
        <v>199</v>
      </c>
      <c r="CB635" t="s">
        <v>8980</v>
      </c>
      <c r="CC635" t="s">
        <v>201</v>
      </c>
      <c r="CD635" t="s">
        <v>182</v>
      </c>
      <c r="CE635" t="s">
        <v>8981</v>
      </c>
      <c r="CF635" t="s">
        <v>1029</v>
      </c>
      <c r="CG635" t="s">
        <v>177</v>
      </c>
      <c r="CH635" t="s">
        <v>1030</v>
      </c>
      <c r="CI635" t="s">
        <v>8982</v>
      </c>
      <c r="CJ635" t="s">
        <v>5426</v>
      </c>
      <c r="CK635" t="s">
        <v>232</v>
      </c>
      <c r="CL635" t="s">
        <v>233</v>
      </c>
      <c r="CM635" t="s">
        <v>8983</v>
      </c>
      <c r="CN635" t="s">
        <v>482</v>
      </c>
      <c r="CO635" t="s">
        <v>183</v>
      </c>
      <c r="CP635" t="s">
        <v>266</v>
      </c>
      <c r="CS635" t="s">
        <v>198</v>
      </c>
      <c r="CT635" t="s">
        <v>8984</v>
      </c>
      <c r="CU635" t="s">
        <v>292</v>
      </c>
      <c r="CV635" t="s">
        <v>233</v>
      </c>
      <c r="CW635" t="s">
        <v>8985</v>
      </c>
      <c r="CX635" t="s">
        <v>482</v>
      </c>
      <c r="CY635" t="s">
        <v>183</v>
      </c>
      <c r="CZ635" t="s">
        <v>266</v>
      </c>
      <c r="DC635" t="s">
        <v>198</v>
      </c>
      <c r="DD635" t="s">
        <v>8986</v>
      </c>
      <c r="DE635" t="s">
        <v>267</v>
      </c>
      <c r="DF635" t="s">
        <v>233</v>
      </c>
      <c r="DG635" t="s">
        <v>8987</v>
      </c>
      <c r="DH635" t="s">
        <v>482</v>
      </c>
      <c r="DI635" t="s">
        <v>183</v>
      </c>
      <c r="DJ635" t="s">
        <v>266</v>
      </c>
      <c r="DM635" t="s">
        <v>198</v>
      </c>
      <c r="DN635" t="s">
        <v>5681</v>
      </c>
      <c r="DO635" t="s">
        <v>273</v>
      </c>
      <c r="DP635" t="s">
        <v>274</v>
      </c>
      <c r="DQ635" t="s">
        <v>8988</v>
      </c>
      <c r="DR635" t="s">
        <v>482</v>
      </c>
      <c r="DS635" t="s">
        <v>5</v>
      </c>
      <c r="DT635" t="s">
        <v>266</v>
      </c>
      <c r="DW635" t="s">
        <v>198</v>
      </c>
      <c r="DX635" t="s">
        <v>6351</v>
      </c>
      <c r="DY635" t="s">
        <v>302</v>
      </c>
      <c r="DZ635" t="s">
        <v>303</v>
      </c>
      <c r="EA635" t="s">
        <v>8989</v>
      </c>
      <c r="EB635" t="s">
        <v>576</v>
      </c>
      <c r="EC635" t="s">
        <v>183</v>
      </c>
      <c r="ED635" t="s">
        <v>266</v>
      </c>
      <c r="EG635" t="s">
        <v>198</v>
      </c>
      <c r="EH635" t="s">
        <v>8990</v>
      </c>
      <c r="EI635" t="s">
        <v>238</v>
      </c>
      <c r="EJ635" t="s">
        <v>239</v>
      </c>
      <c r="EK635" t="s">
        <v>8991</v>
      </c>
      <c r="EL635" t="s">
        <v>1615</v>
      </c>
      <c r="EM635" t="s">
        <v>183</v>
      </c>
      <c r="EN635" t="s">
        <v>266</v>
      </c>
      <c r="EQ635" t="s">
        <v>198</v>
      </c>
      <c r="FA635" t="s">
        <v>198</v>
      </c>
      <c r="FK635" t="s">
        <v>198</v>
      </c>
      <c r="FU635" t="s">
        <v>198</v>
      </c>
    </row>
    <row r="636" spans="1:177">
      <c r="A636" s="1" t="str">
        <f>HYPERLINK("http://digipan.lumentumllc.com/apps/getLink/index.php?t=PropLink&amp;p=6461771","PL")</f>
        <v>PL</v>
      </c>
      <c r="B636" s="1" t="str">
        <f>HYPERLINK("http://digipan.lumentumllc.com/apps/getLink/index.php?t=TaxLink&amp;p=6461771","TL")</f>
        <v>TL</v>
      </c>
      <c r="C636" s="1" t="str">
        <f>HYPERLINK("http://digipan.lumentumllc.com/apps/getMap/index.php?p=6461771","Map")</f>
        <v>Map</v>
      </c>
      <c r="E636" t="s">
        <v>177</v>
      </c>
      <c r="F636" t="s">
        <v>178</v>
      </c>
      <c r="L636" t="s">
        <v>8992</v>
      </c>
      <c r="N636" t="s">
        <v>8992</v>
      </c>
      <c r="O636" t="s">
        <v>8992</v>
      </c>
      <c r="P636" t="s">
        <v>8993</v>
      </c>
      <c r="Q636" t="s">
        <v>8992</v>
      </c>
      <c r="V636">
        <v>730</v>
      </c>
      <c r="W636">
        <v>3</v>
      </c>
      <c r="X636">
        <v>2017</v>
      </c>
      <c r="Y636">
        <v>2018</v>
      </c>
      <c r="Z636">
        <v>1308.72</v>
      </c>
      <c r="AB636" t="s">
        <v>181</v>
      </c>
      <c r="AC636" t="s">
        <v>182</v>
      </c>
      <c r="AD636" t="s">
        <v>183</v>
      </c>
      <c r="AE636">
        <v>0</v>
      </c>
      <c r="AF636">
        <v>1</v>
      </c>
      <c r="AG636" t="s">
        <v>821</v>
      </c>
      <c r="AH636">
        <v>100</v>
      </c>
      <c r="AK636">
        <v>0</v>
      </c>
      <c r="AL636">
        <v>79106</v>
      </c>
      <c r="AM636">
        <v>25200</v>
      </c>
      <c r="AN636">
        <v>53906</v>
      </c>
      <c r="AO636">
        <v>1076</v>
      </c>
      <c r="AP636">
        <v>2016</v>
      </c>
      <c r="AQ636">
        <v>1.65</v>
      </c>
      <c r="AS636" t="s">
        <v>8994</v>
      </c>
      <c r="AT636" t="s">
        <v>3747</v>
      </c>
      <c r="AU636" t="s">
        <v>177</v>
      </c>
      <c r="AV636" t="s">
        <v>1030</v>
      </c>
      <c r="AW636" t="s">
        <v>182</v>
      </c>
      <c r="AX636">
        <v>2</v>
      </c>
      <c r="AY636" t="s">
        <v>188</v>
      </c>
      <c r="AZ636" t="s">
        <v>189</v>
      </c>
      <c r="BA636" t="s">
        <v>190</v>
      </c>
      <c r="BB636" t="s">
        <v>191</v>
      </c>
      <c r="BC636" t="s">
        <v>182</v>
      </c>
      <c r="BD636" t="s">
        <v>182</v>
      </c>
      <c r="BE636" t="s">
        <v>4604</v>
      </c>
      <c r="BF636">
        <v>1</v>
      </c>
      <c r="BG636">
        <v>1</v>
      </c>
      <c r="BH636">
        <v>2006</v>
      </c>
      <c r="BI636" t="s">
        <v>8995</v>
      </c>
      <c r="BJ636" t="s">
        <v>194</v>
      </c>
      <c r="BK636" t="s">
        <v>195</v>
      </c>
      <c r="BL636" t="s">
        <v>8996</v>
      </c>
      <c r="BM636" t="s">
        <v>238</v>
      </c>
      <c r="BN636" t="s">
        <v>182</v>
      </c>
      <c r="BO636" t="s">
        <v>2986</v>
      </c>
      <c r="BP636" t="s">
        <v>8997</v>
      </c>
      <c r="BQ636" t="s">
        <v>603</v>
      </c>
      <c r="BR636" t="s">
        <v>1857</v>
      </c>
      <c r="BS636" t="s">
        <v>198</v>
      </c>
      <c r="BT636" t="s">
        <v>8998</v>
      </c>
      <c r="BU636" t="s">
        <v>182</v>
      </c>
      <c r="BV636" t="s">
        <v>198</v>
      </c>
      <c r="BW636" t="s">
        <v>198</v>
      </c>
      <c r="BX636" t="s">
        <v>199</v>
      </c>
      <c r="BY636" t="s">
        <v>198</v>
      </c>
      <c r="BZ636" t="s">
        <v>199</v>
      </c>
      <c r="CA636" t="s">
        <v>199</v>
      </c>
      <c r="CB636" t="s">
        <v>8999</v>
      </c>
      <c r="CC636" t="s">
        <v>201</v>
      </c>
      <c r="CD636" t="s">
        <v>182</v>
      </c>
      <c r="CE636" t="s">
        <v>9000</v>
      </c>
      <c r="CF636" t="s">
        <v>1029</v>
      </c>
      <c r="CG636" t="s">
        <v>177</v>
      </c>
      <c r="CH636" t="s">
        <v>1030</v>
      </c>
      <c r="CI636" t="s">
        <v>9001</v>
      </c>
      <c r="CJ636" t="s">
        <v>8717</v>
      </c>
      <c r="CK636" t="s">
        <v>232</v>
      </c>
      <c r="CL636" t="s">
        <v>233</v>
      </c>
      <c r="CM636" t="s">
        <v>9002</v>
      </c>
      <c r="CN636" t="s">
        <v>235</v>
      </c>
      <c r="CO636" t="s">
        <v>183</v>
      </c>
      <c r="CP636" t="s">
        <v>211</v>
      </c>
      <c r="CQ636" t="s">
        <v>206</v>
      </c>
      <c r="CS636" t="s">
        <v>4571</v>
      </c>
      <c r="DC636" t="s">
        <v>198</v>
      </c>
      <c r="DM636" t="s">
        <v>198</v>
      </c>
      <c r="DW636" t="s">
        <v>198</v>
      </c>
      <c r="EG636" t="s">
        <v>198</v>
      </c>
      <c r="EQ636" t="s">
        <v>198</v>
      </c>
      <c r="FA636" t="s">
        <v>198</v>
      </c>
      <c r="FK636" t="s">
        <v>198</v>
      </c>
      <c r="FU636" t="s">
        <v>198</v>
      </c>
    </row>
    <row r="637" spans="1:177">
      <c r="A637" s="1" t="str">
        <f>HYPERLINK("http://digipan.lumentumllc.com/apps/getLink/index.php?t=PropLink&amp;p=6128876","PL")</f>
        <v>PL</v>
      </c>
      <c r="B637" s="1" t="str">
        <f>HYPERLINK("http://digipan.lumentumllc.com/apps/getLink/index.php?t=TaxLink&amp;p=6128876","TL")</f>
        <v>TL</v>
      </c>
      <c r="C637" s="1" t="str">
        <f>HYPERLINK("http://digipan.lumentumllc.com/apps/getMap/index.php?p=6128876","Map")</f>
        <v>Map</v>
      </c>
      <c r="E637" t="s">
        <v>177</v>
      </c>
      <c r="F637" t="s">
        <v>178</v>
      </c>
      <c r="L637" t="s">
        <v>9003</v>
      </c>
      <c r="N637" t="s">
        <v>9003</v>
      </c>
      <c r="O637" t="s">
        <v>9003</v>
      </c>
      <c r="P637" t="s">
        <v>9004</v>
      </c>
      <c r="Q637" t="s">
        <v>9003</v>
      </c>
      <c r="V637">
        <v>731</v>
      </c>
      <c r="W637">
        <v>3</v>
      </c>
      <c r="X637">
        <v>2017</v>
      </c>
      <c r="Y637">
        <v>2018</v>
      </c>
      <c r="Z637">
        <v>199.58</v>
      </c>
      <c r="AB637" t="s">
        <v>181</v>
      </c>
      <c r="AC637" t="s">
        <v>202</v>
      </c>
      <c r="AD637" t="s">
        <v>183</v>
      </c>
      <c r="AE637">
        <v>0</v>
      </c>
      <c r="AF637">
        <v>6</v>
      </c>
      <c r="AG637" t="s">
        <v>3266</v>
      </c>
      <c r="AH637">
        <v>100</v>
      </c>
      <c r="AK637">
        <v>0</v>
      </c>
      <c r="AL637">
        <v>11025</v>
      </c>
      <c r="AM637">
        <v>11025</v>
      </c>
      <c r="AN637">
        <v>0</v>
      </c>
      <c r="AO637">
        <v>134</v>
      </c>
      <c r="AP637">
        <v>2016</v>
      </c>
      <c r="AQ637">
        <v>1.81</v>
      </c>
      <c r="AS637" t="s">
        <v>9005</v>
      </c>
      <c r="AT637" t="s">
        <v>3747</v>
      </c>
      <c r="AU637" t="s">
        <v>177</v>
      </c>
      <c r="AV637" t="s">
        <v>1030</v>
      </c>
      <c r="AW637" t="s">
        <v>182</v>
      </c>
      <c r="AX637">
        <v>0</v>
      </c>
      <c r="AY637" t="s">
        <v>312</v>
      </c>
      <c r="AZ637" t="s">
        <v>199</v>
      </c>
      <c r="BA637" t="s">
        <v>313</v>
      </c>
      <c r="BB637" t="s">
        <v>191</v>
      </c>
      <c r="BC637" t="s">
        <v>182</v>
      </c>
      <c r="BD637" t="s">
        <v>182</v>
      </c>
      <c r="BE637" t="s">
        <v>6085</v>
      </c>
      <c r="BF637">
        <v>0</v>
      </c>
      <c r="BG637">
        <v>0</v>
      </c>
      <c r="BH637">
        <v>0</v>
      </c>
      <c r="BI637" t="s">
        <v>199</v>
      </c>
      <c r="BJ637" t="s">
        <v>315</v>
      </c>
      <c r="BL637" t="s">
        <v>6692</v>
      </c>
      <c r="BM637" t="s">
        <v>559</v>
      </c>
      <c r="BN637" t="s">
        <v>182</v>
      </c>
      <c r="BO637" t="s">
        <v>198</v>
      </c>
      <c r="BP637" t="s">
        <v>198</v>
      </c>
      <c r="BQ637" t="s">
        <v>198</v>
      </c>
      <c r="BR637" t="s">
        <v>198</v>
      </c>
      <c r="BS637" t="s">
        <v>198</v>
      </c>
      <c r="BT637" t="s">
        <v>198</v>
      </c>
      <c r="BU637" t="s">
        <v>182</v>
      </c>
      <c r="BV637" t="s">
        <v>198</v>
      </c>
      <c r="BW637" t="s">
        <v>198</v>
      </c>
      <c r="BX637" t="s">
        <v>199</v>
      </c>
      <c r="BY637" t="s">
        <v>198</v>
      </c>
      <c r="BZ637" t="s">
        <v>199</v>
      </c>
      <c r="CA637" t="s">
        <v>199</v>
      </c>
      <c r="CB637" t="s">
        <v>9006</v>
      </c>
      <c r="CC637" t="s">
        <v>201</v>
      </c>
      <c r="CD637" t="s">
        <v>202</v>
      </c>
      <c r="CE637" t="s">
        <v>9007</v>
      </c>
      <c r="CF637" t="s">
        <v>9008</v>
      </c>
      <c r="CG637" t="s">
        <v>9009</v>
      </c>
      <c r="CH637" t="s">
        <v>9010</v>
      </c>
      <c r="CI637" t="s">
        <v>9011</v>
      </c>
      <c r="CJ637" t="s">
        <v>5260</v>
      </c>
      <c r="CK637" t="s">
        <v>292</v>
      </c>
      <c r="CL637" t="s">
        <v>293</v>
      </c>
      <c r="CM637" t="s">
        <v>8904</v>
      </c>
      <c r="CN637" t="s">
        <v>482</v>
      </c>
      <c r="CO637" t="s">
        <v>183</v>
      </c>
      <c r="CP637" t="s">
        <v>211</v>
      </c>
      <c r="CR637" t="s">
        <v>271</v>
      </c>
      <c r="CS637" t="s">
        <v>198</v>
      </c>
      <c r="CT637" t="s">
        <v>5426</v>
      </c>
      <c r="CU637" t="s">
        <v>267</v>
      </c>
      <c r="CV637" t="s">
        <v>268</v>
      </c>
      <c r="CW637" t="s">
        <v>1605</v>
      </c>
      <c r="CX637" t="s">
        <v>482</v>
      </c>
      <c r="CY637" t="s">
        <v>183</v>
      </c>
      <c r="CZ637" t="s">
        <v>211</v>
      </c>
      <c r="DA637" t="s">
        <v>427</v>
      </c>
      <c r="DB637" t="s">
        <v>271</v>
      </c>
      <c r="DC637" t="s">
        <v>2946</v>
      </c>
      <c r="DD637" t="s">
        <v>5700</v>
      </c>
      <c r="DE637" t="s">
        <v>273</v>
      </c>
      <c r="DF637" t="s">
        <v>274</v>
      </c>
      <c r="DG637" t="s">
        <v>9012</v>
      </c>
      <c r="DH637" t="s">
        <v>1491</v>
      </c>
      <c r="DI637" t="s">
        <v>183</v>
      </c>
      <c r="DJ637" t="s">
        <v>211</v>
      </c>
      <c r="DL637" t="s">
        <v>271</v>
      </c>
      <c r="DM637" t="s">
        <v>198</v>
      </c>
      <c r="DN637" t="s">
        <v>6362</v>
      </c>
      <c r="DO637" t="s">
        <v>302</v>
      </c>
      <c r="DP637" t="s">
        <v>303</v>
      </c>
      <c r="DQ637" t="s">
        <v>8905</v>
      </c>
      <c r="DR637" t="s">
        <v>341</v>
      </c>
      <c r="DS637" t="s">
        <v>183</v>
      </c>
      <c r="DT637" t="s">
        <v>211</v>
      </c>
      <c r="DU637" t="s">
        <v>525</v>
      </c>
      <c r="DW637" t="s">
        <v>5484</v>
      </c>
      <c r="DX637" t="s">
        <v>8633</v>
      </c>
      <c r="DY637" t="s">
        <v>238</v>
      </c>
      <c r="DZ637" t="s">
        <v>239</v>
      </c>
      <c r="EA637" t="s">
        <v>8906</v>
      </c>
      <c r="EB637" t="s">
        <v>314</v>
      </c>
      <c r="EC637" t="s">
        <v>183</v>
      </c>
      <c r="ED637" t="s">
        <v>211</v>
      </c>
      <c r="EE637" t="s">
        <v>1064</v>
      </c>
      <c r="EG637" t="s">
        <v>5484</v>
      </c>
      <c r="EH637" t="s">
        <v>5922</v>
      </c>
      <c r="EI637" t="s">
        <v>207</v>
      </c>
      <c r="EJ637" t="s">
        <v>208</v>
      </c>
      <c r="EK637" t="s">
        <v>9013</v>
      </c>
      <c r="EL637" t="s">
        <v>576</v>
      </c>
      <c r="EM637" t="s">
        <v>183</v>
      </c>
      <c r="EN637" t="s">
        <v>211</v>
      </c>
      <c r="EO637" t="s">
        <v>270</v>
      </c>
      <c r="EQ637" t="s">
        <v>9014</v>
      </c>
      <c r="FA637" t="s">
        <v>198</v>
      </c>
      <c r="FK637" t="s">
        <v>198</v>
      </c>
      <c r="FU637" t="s">
        <v>198</v>
      </c>
    </row>
    <row r="638" spans="1:177">
      <c r="A638" s="1" t="str">
        <f>HYPERLINK("http://digipan.lumentumllc.com/apps/getLink/index.php?t=PropLink&amp;p=6128877","PL")</f>
        <v>PL</v>
      </c>
      <c r="B638" s="1" t="str">
        <f>HYPERLINK("http://digipan.lumentumllc.com/apps/getLink/index.php?t=TaxLink&amp;p=6128877","TL")</f>
        <v>TL</v>
      </c>
      <c r="C638" s="1" t="str">
        <f>HYPERLINK("http://digipan.lumentumllc.com/apps/getMap/index.php?p=6128877","Map")</f>
        <v>Map</v>
      </c>
      <c r="E638" t="s">
        <v>177</v>
      </c>
      <c r="F638" t="s">
        <v>178</v>
      </c>
      <c r="L638" t="s">
        <v>9015</v>
      </c>
      <c r="N638" t="s">
        <v>9015</v>
      </c>
      <c r="O638" t="s">
        <v>9015</v>
      </c>
      <c r="P638" t="s">
        <v>9016</v>
      </c>
      <c r="Q638" t="s">
        <v>9015</v>
      </c>
      <c r="V638">
        <v>732</v>
      </c>
      <c r="W638">
        <v>3</v>
      </c>
      <c r="X638">
        <v>2017</v>
      </c>
      <c r="Y638">
        <v>2018</v>
      </c>
      <c r="Z638">
        <v>199.58</v>
      </c>
      <c r="AB638" t="s">
        <v>181</v>
      </c>
      <c r="AC638" t="s">
        <v>202</v>
      </c>
      <c r="AD638" t="s">
        <v>183</v>
      </c>
      <c r="AE638">
        <v>0</v>
      </c>
      <c r="AF638">
        <v>6</v>
      </c>
      <c r="AG638" t="s">
        <v>3266</v>
      </c>
      <c r="AH638">
        <v>100</v>
      </c>
      <c r="AK638">
        <v>0</v>
      </c>
      <c r="AL638">
        <v>11025</v>
      </c>
      <c r="AM638">
        <v>11025</v>
      </c>
      <c r="AN638">
        <v>0</v>
      </c>
      <c r="AO638">
        <v>134</v>
      </c>
      <c r="AP638">
        <v>2016</v>
      </c>
      <c r="AQ638">
        <v>1.81</v>
      </c>
      <c r="AS638" t="s">
        <v>9005</v>
      </c>
      <c r="AT638" t="s">
        <v>3747</v>
      </c>
      <c r="AU638" t="s">
        <v>177</v>
      </c>
      <c r="AV638" t="s">
        <v>1030</v>
      </c>
      <c r="AW638" t="s">
        <v>182</v>
      </c>
      <c r="AX638">
        <v>0</v>
      </c>
      <c r="AY638" t="s">
        <v>312</v>
      </c>
      <c r="AZ638" t="s">
        <v>199</v>
      </c>
      <c r="BA638" t="s">
        <v>313</v>
      </c>
      <c r="BB638" t="s">
        <v>191</v>
      </c>
      <c r="BC638" t="s">
        <v>182</v>
      </c>
      <c r="BD638" t="s">
        <v>182</v>
      </c>
      <c r="BE638" t="s">
        <v>6085</v>
      </c>
      <c r="BF638">
        <v>0</v>
      </c>
      <c r="BG638">
        <v>0</v>
      </c>
      <c r="BH638">
        <v>0</v>
      </c>
      <c r="BI638" t="s">
        <v>199</v>
      </c>
      <c r="BJ638" t="s">
        <v>315</v>
      </c>
      <c r="BL638" t="s">
        <v>6692</v>
      </c>
      <c r="BM638" t="s">
        <v>559</v>
      </c>
      <c r="BN638" t="s">
        <v>182</v>
      </c>
      <c r="BO638" t="s">
        <v>198</v>
      </c>
      <c r="BP638" t="s">
        <v>198</v>
      </c>
      <c r="BQ638" t="s">
        <v>198</v>
      </c>
      <c r="BR638" t="s">
        <v>198</v>
      </c>
      <c r="BS638" t="s">
        <v>198</v>
      </c>
      <c r="BT638" t="s">
        <v>198</v>
      </c>
      <c r="BU638" t="s">
        <v>182</v>
      </c>
      <c r="BV638" t="s">
        <v>198</v>
      </c>
      <c r="BW638" t="s">
        <v>198</v>
      </c>
      <c r="BX638" t="s">
        <v>199</v>
      </c>
      <c r="BY638" t="s">
        <v>198</v>
      </c>
      <c r="BZ638" t="s">
        <v>199</v>
      </c>
      <c r="CA638" t="s">
        <v>199</v>
      </c>
      <c r="CB638" t="s">
        <v>9006</v>
      </c>
      <c r="CC638" t="s">
        <v>201</v>
      </c>
      <c r="CD638" t="s">
        <v>202</v>
      </c>
      <c r="CE638" t="s">
        <v>9007</v>
      </c>
      <c r="CF638" t="s">
        <v>9008</v>
      </c>
      <c r="CG638" t="s">
        <v>9009</v>
      </c>
      <c r="CH638" t="s">
        <v>9010</v>
      </c>
      <c r="CI638" t="s">
        <v>9017</v>
      </c>
      <c r="CJ638" t="s">
        <v>8799</v>
      </c>
      <c r="CK638" t="s">
        <v>292</v>
      </c>
      <c r="CL638" t="s">
        <v>293</v>
      </c>
      <c r="CM638" t="s">
        <v>8904</v>
      </c>
      <c r="CN638" t="s">
        <v>482</v>
      </c>
      <c r="CO638" t="s">
        <v>183</v>
      </c>
      <c r="CP638" t="s">
        <v>211</v>
      </c>
      <c r="CR638" t="s">
        <v>271</v>
      </c>
      <c r="CS638" t="s">
        <v>198</v>
      </c>
      <c r="CT638" t="s">
        <v>8717</v>
      </c>
      <c r="CU638" t="s">
        <v>267</v>
      </c>
      <c r="CV638" t="s">
        <v>268</v>
      </c>
      <c r="CW638" t="s">
        <v>1605</v>
      </c>
      <c r="CX638" t="s">
        <v>482</v>
      </c>
      <c r="CY638" t="s">
        <v>183</v>
      </c>
      <c r="CZ638" t="s">
        <v>211</v>
      </c>
      <c r="DA638" t="s">
        <v>427</v>
      </c>
      <c r="DB638" t="s">
        <v>271</v>
      </c>
      <c r="DC638" t="s">
        <v>2946</v>
      </c>
      <c r="DD638" t="s">
        <v>5713</v>
      </c>
      <c r="DE638" t="s">
        <v>273</v>
      </c>
      <c r="DF638" t="s">
        <v>274</v>
      </c>
      <c r="DG638" t="s">
        <v>9012</v>
      </c>
      <c r="DH638" t="s">
        <v>1491</v>
      </c>
      <c r="DI638" t="s">
        <v>183</v>
      </c>
      <c r="DJ638" t="s">
        <v>211</v>
      </c>
      <c r="DL638" t="s">
        <v>271</v>
      </c>
      <c r="DM638" t="s">
        <v>198</v>
      </c>
      <c r="DN638" t="s">
        <v>6546</v>
      </c>
      <c r="DO638" t="s">
        <v>302</v>
      </c>
      <c r="DP638" t="s">
        <v>303</v>
      </c>
      <c r="DQ638" t="s">
        <v>8905</v>
      </c>
      <c r="DR638" t="s">
        <v>341</v>
      </c>
      <c r="DS638" t="s">
        <v>183</v>
      </c>
      <c r="DT638" t="s">
        <v>211</v>
      </c>
      <c r="DU638" t="s">
        <v>525</v>
      </c>
      <c r="DW638" t="s">
        <v>5484</v>
      </c>
      <c r="DX638" t="s">
        <v>8348</v>
      </c>
      <c r="DY638" t="s">
        <v>238</v>
      </c>
      <c r="DZ638" t="s">
        <v>239</v>
      </c>
      <c r="EA638" t="s">
        <v>8906</v>
      </c>
      <c r="EB638" t="s">
        <v>314</v>
      </c>
      <c r="EC638" t="s">
        <v>183</v>
      </c>
      <c r="ED638" t="s">
        <v>211</v>
      </c>
      <c r="EE638" t="s">
        <v>1064</v>
      </c>
      <c r="EG638" t="s">
        <v>5484</v>
      </c>
      <c r="EH638" t="s">
        <v>9018</v>
      </c>
      <c r="EI638" t="s">
        <v>207</v>
      </c>
      <c r="EJ638" t="s">
        <v>208</v>
      </c>
      <c r="EK638" t="s">
        <v>9013</v>
      </c>
      <c r="EL638" t="s">
        <v>576</v>
      </c>
      <c r="EM638" t="s">
        <v>183</v>
      </c>
      <c r="EN638" t="s">
        <v>211</v>
      </c>
      <c r="EO638" t="s">
        <v>270</v>
      </c>
      <c r="EQ638" t="s">
        <v>9014</v>
      </c>
      <c r="FA638" t="s">
        <v>198</v>
      </c>
      <c r="FK638" t="s">
        <v>198</v>
      </c>
      <c r="FU638" t="s">
        <v>198</v>
      </c>
    </row>
    <row r="639" spans="1:177">
      <c r="A639" s="1" t="str">
        <f>HYPERLINK("http://digipan.lumentumllc.com/apps/getLink/index.php?t=PropLink&amp;p=6128878","PL")</f>
        <v>PL</v>
      </c>
      <c r="B639" s="1" t="str">
        <f>HYPERLINK("http://digipan.lumentumllc.com/apps/getLink/index.php?t=TaxLink&amp;p=6128878","TL")</f>
        <v>TL</v>
      </c>
      <c r="C639" s="1" t="str">
        <f>HYPERLINK("http://digipan.lumentumllc.com/apps/getMap/index.php?p=6128878","Map")</f>
        <v>Map</v>
      </c>
      <c r="E639" t="s">
        <v>177</v>
      </c>
      <c r="F639" t="s">
        <v>178</v>
      </c>
      <c r="L639" t="s">
        <v>9019</v>
      </c>
      <c r="N639" t="s">
        <v>9019</v>
      </c>
      <c r="O639" t="s">
        <v>9019</v>
      </c>
      <c r="P639" t="s">
        <v>9020</v>
      </c>
      <c r="Q639" t="s">
        <v>9019</v>
      </c>
      <c r="V639">
        <v>733</v>
      </c>
      <c r="W639">
        <v>3</v>
      </c>
      <c r="X639">
        <v>2017</v>
      </c>
      <c r="Y639">
        <v>2018</v>
      </c>
      <c r="Z639">
        <v>199.58</v>
      </c>
      <c r="AB639" t="s">
        <v>181</v>
      </c>
      <c r="AC639" t="s">
        <v>182</v>
      </c>
      <c r="AD639" t="s">
        <v>183</v>
      </c>
      <c r="AE639">
        <v>0</v>
      </c>
      <c r="AF639">
        <v>1</v>
      </c>
      <c r="AG639" t="s">
        <v>821</v>
      </c>
      <c r="AH639">
        <v>100</v>
      </c>
      <c r="AK639">
        <v>0</v>
      </c>
      <c r="AL639">
        <v>11025</v>
      </c>
      <c r="AM639">
        <v>11025</v>
      </c>
      <c r="AN639">
        <v>0</v>
      </c>
      <c r="AO639">
        <v>134</v>
      </c>
      <c r="AP639">
        <v>2016</v>
      </c>
      <c r="AQ639">
        <v>1.81</v>
      </c>
      <c r="AS639" t="s">
        <v>9005</v>
      </c>
      <c r="AT639" t="s">
        <v>3747</v>
      </c>
      <c r="AU639" t="s">
        <v>177</v>
      </c>
      <c r="AV639" t="s">
        <v>1030</v>
      </c>
      <c r="AW639" t="s">
        <v>182</v>
      </c>
      <c r="AX639">
        <v>0</v>
      </c>
      <c r="AY639" t="s">
        <v>312</v>
      </c>
      <c r="AZ639" t="s">
        <v>199</v>
      </c>
      <c r="BA639" t="s">
        <v>313</v>
      </c>
      <c r="BB639" t="s">
        <v>191</v>
      </c>
      <c r="BC639" t="s">
        <v>182</v>
      </c>
      <c r="BD639" t="s">
        <v>182</v>
      </c>
      <c r="BE639" t="s">
        <v>6085</v>
      </c>
      <c r="BF639">
        <v>0</v>
      </c>
      <c r="BG639">
        <v>0</v>
      </c>
      <c r="BH639">
        <v>0</v>
      </c>
      <c r="BI639" t="s">
        <v>199</v>
      </c>
      <c r="BJ639" t="s">
        <v>315</v>
      </c>
      <c r="BL639" t="s">
        <v>6692</v>
      </c>
      <c r="BM639" t="s">
        <v>559</v>
      </c>
      <c r="BN639" t="s">
        <v>182</v>
      </c>
      <c r="BO639" t="s">
        <v>198</v>
      </c>
      <c r="BP639" t="s">
        <v>198</v>
      </c>
      <c r="BQ639" t="s">
        <v>198</v>
      </c>
      <c r="BR639" t="s">
        <v>198</v>
      </c>
      <c r="BS639" t="s">
        <v>198</v>
      </c>
      <c r="BT639" t="s">
        <v>198</v>
      </c>
      <c r="BU639" t="s">
        <v>182</v>
      </c>
      <c r="BV639" t="s">
        <v>198</v>
      </c>
      <c r="BW639" t="s">
        <v>198</v>
      </c>
      <c r="BX639" t="s">
        <v>199</v>
      </c>
      <c r="BY639" t="s">
        <v>198</v>
      </c>
      <c r="BZ639" t="s">
        <v>199</v>
      </c>
      <c r="CA639" t="s">
        <v>199</v>
      </c>
      <c r="CB639" t="s">
        <v>9021</v>
      </c>
      <c r="CC639" t="s">
        <v>201</v>
      </c>
      <c r="CD639" t="s">
        <v>202</v>
      </c>
      <c r="CE639" t="s">
        <v>9022</v>
      </c>
      <c r="CF639" t="s">
        <v>3415</v>
      </c>
      <c r="CG639" t="s">
        <v>177</v>
      </c>
      <c r="CH639" t="s">
        <v>9023</v>
      </c>
      <c r="CI639" t="s">
        <v>9024</v>
      </c>
      <c r="CJ639" t="s">
        <v>9025</v>
      </c>
      <c r="CK639" t="s">
        <v>238</v>
      </c>
      <c r="CL639" t="s">
        <v>239</v>
      </c>
      <c r="CM639" t="s">
        <v>8906</v>
      </c>
      <c r="CN639" t="s">
        <v>922</v>
      </c>
      <c r="CO639" t="s">
        <v>183</v>
      </c>
      <c r="CP639" t="s">
        <v>211</v>
      </c>
      <c r="CQ639" t="s">
        <v>270</v>
      </c>
      <c r="CS639" t="s">
        <v>9026</v>
      </c>
      <c r="DC639" t="s">
        <v>198</v>
      </c>
      <c r="DM639" t="s">
        <v>198</v>
      </c>
      <c r="DW639" t="s">
        <v>198</v>
      </c>
      <c r="EG639" t="s">
        <v>198</v>
      </c>
      <c r="EQ639" t="s">
        <v>198</v>
      </c>
      <c r="FA639" t="s">
        <v>198</v>
      </c>
      <c r="FK639" t="s">
        <v>198</v>
      </c>
      <c r="FU639" t="s">
        <v>198</v>
      </c>
    </row>
    <row r="640" spans="1:177">
      <c r="A640" s="1" t="str">
        <f>HYPERLINK("http://digipan.lumentumllc.com/apps/getLink/index.php?t=PropLink&amp;p=6128879","PL")</f>
        <v>PL</v>
      </c>
      <c r="B640" s="1" t="str">
        <f>HYPERLINK("http://digipan.lumentumllc.com/apps/getLink/index.php?t=TaxLink&amp;p=6128879","TL")</f>
        <v>TL</v>
      </c>
      <c r="C640" s="1" t="str">
        <f>HYPERLINK("http://digipan.lumentumllc.com/apps/getMap/index.php?p=6128879","Map")</f>
        <v>Map</v>
      </c>
      <c r="E640" t="s">
        <v>177</v>
      </c>
      <c r="F640" t="s">
        <v>178</v>
      </c>
      <c r="L640" t="s">
        <v>9027</v>
      </c>
      <c r="N640" t="s">
        <v>9027</v>
      </c>
      <c r="O640" t="s">
        <v>9027</v>
      </c>
      <c r="P640" t="s">
        <v>9028</v>
      </c>
      <c r="Q640" t="s">
        <v>9027</v>
      </c>
      <c r="V640">
        <v>734</v>
      </c>
      <c r="W640">
        <v>3</v>
      </c>
      <c r="X640">
        <v>2017</v>
      </c>
      <c r="Y640">
        <v>2018</v>
      </c>
      <c r="Z640">
        <v>199.58</v>
      </c>
      <c r="AB640" t="s">
        <v>181</v>
      </c>
      <c r="AC640" t="s">
        <v>182</v>
      </c>
      <c r="AD640" t="s">
        <v>183</v>
      </c>
      <c r="AE640">
        <v>0</v>
      </c>
      <c r="AF640">
        <v>1</v>
      </c>
      <c r="AG640" t="s">
        <v>821</v>
      </c>
      <c r="AH640">
        <v>100</v>
      </c>
      <c r="AK640">
        <v>0</v>
      </c>
      <c r="AL640">
        <v>11025</v>
      </c>
      <c r="AM640">
        <v>11025</v>
      </c>
      <c r="AN640">
        <v>0</v>
      </c>
      <c r="AO640">
        <v>134</v>
      </c>
      <c r="AP640">
        <v>2016</v>
      </c>
      <c r="AQ640">
        <v>1.81</v>
      </c>
      <c r="AS640" t="s">
        <v>9005</v>
      </c>
      <c r="AT640" t="s">
        <v>3747</v>
      </c>
      <c r="AU640" t="s">
        <v>177</v>
      </c>
      <c r="AV640" t="s">
        <v>1030</v>
      </c>
      <c r="AW640" t="s">
        <v>182</v>
      </c>
      <c r="AX640">
        <v>0</v>
      </c>
      <c r="AY640" t="s">
        <v>312</v>
      </c>
      <c r="AZ640" t="s">
        <v>199</v>
      </c>
      <c r="BA640" t="s">
        <v>313</v>
      </c>
      <c r="BB640" t="s">
        <v>191</v>
      </c>
      <c r="BC640" t="s">
        <v>182</v>
      </c>
      <c r="BD640" t="s">
        <v>182</v>
      </c>
      <c r="BE640" t="s">
        <v>6085</v>
      </c>
      <c r="BF640">
        <v>0</v>
      </c>
      <c r="BG640">
        <v>0</v>
      </c>
      <c r="BH640">
        <v>0</v>
      </c>
      <c r="BI640" t="s">
        <v>199</v>
      </c>
      <c r="BJ640" t="s">
        <v>315</v>
      </c>
      <c r="BL640" t="s">
        <v>199</v>
      </c>
      <c r="BM640" t="s">
        <v>232</v>
      </c>
      <c r="BN640" t="s">
        <v>182</v>
      </c>
      <c r="BO640" t="s">
        <v>198</v>
      </c>
      <c r="BP640" t="s">
        <v>198</v>
      </c>
      <c r="BQ640" t="s">
        <v>198</v>
      </c>
      <c r="BR640" t="s">
        <v>198</v>
      </c>
      <c r="BS640" t="s">
        <v>198</v>
      </c>
      <c r="BT640" t="s">
        <v>198</v>
      </c>
      <c r="BU640" t="s">
        <v>182</v>
      </c>
      <c r="BV640" t="s">
        <v>198</v>
      </c>
      <c r="BW640" t="s">
        <v>198</v>
      </c>
      <c r="BX640" t="s">
        <v>199</v>
      </c>
      <c r="BY640" t="s">
        <v>198</v>
      </c>
      <c r="BZ640" t="s">
        <v>199</v>
      </c>
      <c r="CA640" t="s">
        <v>199</v>
      </c>
      <c r="CB640" t="s">
        <v>9021</v>
      </c>
      <c r="CC640" t="s">
        <v>201</v>
      </c>
      <c r="CD640" t="s">
        <v>202</v>
      </c>
      <c r="CE640" t="s">
        <v>9022</v>
      </c>
      <c r="CF640" t="s">
        <v>3415</v>
      </c>
      <c r="CG640" t="s">
        <v>177</v>
      </c>
      <c r="CH640" t="s">
        <v>9023</v>
      </c>
      <c r="CI640" t="s">
        <v>9029</v>
      </c>
      <c r="CJ640" t="s">
        <v>9030</v>
      </c>
      <c r="CK640" t="s">
        <v>238</v>
      </c>
      <c r="CL640" t="s">
        <v>239</v>
      </c>
      <c r="CM640" t="s">
        <v>8906</v>
      </c>
      <c r="CN640" t="s">
        <v>922</v>
      </c>
      <c r="CO640" t="s">
        <v>183</v>
      </c>
      <c r="CP640" t="s">
        <v>211</v>
      </c>
      <c r="CQ640" t="s">
        <v>270</v>
      </c>
      <c r="CS640" t="s">
        <v>9026</v>
      </c>
      <c r="DC640" t="s">
        <v>198</v>
      </c>
      <c r="DM640" t="s">
        <v>198</v>
      </c>
      <c r="DW640" t="s">
        <v>198</v>
      </c>
      <c r="EG640" t="s">
        <v>198</v>
      </c>
      <c r="EQ640" t="s">
        <v>198</v>
      </c>
      <c r="FA640" t="s">
        <v>198</v>
      </c>
      <c r="FK640" t="s">
        <v>198</v>
      </c>
      <c r="FU640" t="s">
        <v>198</v>
      </c>
    </row>
    <row r="641" spans="1:177">
      <c r="A641" s="1" t="str">
        <f>HYPERLINK("http://digipan.lumentumllc.com/apps/getLink/index.php?t=PropLink&amp;p=6886665","PL")</f>
        <v>PL</v>
      </c>
      <c r="B641" s="1" t="str">
        <f>HYPERLINK("http://digipan.lumentumllc.com/apps/getLink/index.php?t=TaxLink&amp;p=6886665","TL")</f>
        <v>TL</v>
      </c>
      <c r="C641" s="1" t="str">
        <f>HYPERLINK("http://digipan.lumentumllc.com/apps/getMap/index.php?p=6886665","Map")</f>
        <v>Map</v>
      </c>
      <c r="E641" t="s">
        <v>177</v>
      </c>
      <c r="F641" t="s">
        <v>178</v>
      </c>
      <c r="L641" t="s">
        <v>9031</v>
      </c>
      <c r="N641" t="s">
        <v>9031</v>
      </c>
      <c r="O641" t="s">
        <v>9031</v>
      </c>
      <c r="P641" t="s">
        <v>9032</v>
      </c>
      <c r="Q641" t="s">
        <v>9031</v>
      </c>
      <c r="V641">
        <v>735</v>
      </c>
      <c r="W641">
        <v>3</v>
      </c>
      <c r="X641">
        <v>2017</v>
      </c>
      <c r="Y641">
        <v>2018</v>
      </c>
      <c r="Z641">
        <v>173.54</v>
      </c>
      <c r="AB641" t="s">
        <v>181</v>
      </c>
      <c r="AC641" t="s">
        <v>182</v>
      </c>
      <c r="AD641" t="s">
        <v>183</v>
      </c>
      <c r="AE641">
        <v>1</v>
      </c>
      <c r="AF641">
        <v>0</v>
      </c>
      <c r="AG641" t="s">
        <v>1200</v>
      </c>
      <c r="AH641">
        <v>0</v>
      </c>
      <c r="AI641">
        <v>113.42</v>
      </c>
      <c r="AJ641">
        <v>53.59</v>
      </c>
      <c r="AK641">
        <v>167.01</v>
      </c>
      <c r="AL641">
        <v>11025</v>
      </c>
      <c r="AM641">
        <v>11025</v>
      </c>
      <c r="AN641">
        <v>0</v>
      </c>
      <c r="AO641">
        <v>112</v>
      </c>
      <c r="AP641">
        <v>2016</v>
      </c>
      <c r="AQ641">
        <v>1.57</v>
      </c>
      <c r="AR641">
        <v>1.51</v>
      </c>
      <c r="AS641" t="s">
        <v>9033</v>
      </c>
      <c r="AT641" t="s">
        <v>3747</v>
      </c>
      <c r="AU641" t="s">
        <v>177</v>
      </c>
      <c r="AV641" t="s">
        <v>1030</v>
      </c>
      <c r="AW641" t="s">
        <v>182</v>
      </c>
      <c r="AX641">
        <v>0</v>
      </c>
      <c r="AY641" t="s">
        <v>312</v>
      </c>
      <c r="AZ641" t="s">
        <v>199</v>
      </c>
      <c r="BA641" t="s">
        <v>313</v>
      </c>
      <c r="BB641" t="s">
        <v>191</v>
      </c>
      <c r="BC641" t="s">
        <v>182</v>
      </c>
      <c r="BD641" t="s">
        <v>182</v>
      </c>
      <c r="BE641" t="s">
        <v>6618</v>
      </c>
      <c r="BF641">
        <v>0</v>
      </c>
      <c r="BG641">
        <v>0</v>
      </c>
      <c r="BH641">
        <v>0</v>
      </c>
      <c r="BI641" t="s">
        <v>199</v>
      </c>
      <c r="BJ641" t="s">
        <v>315</v>
      </c>
      <c r="BL641" t="s">
        <v>9034</v>
      </c>
      <c r="BM641" t="s">
        <v>533</v>
      </c>
      <c r="BN641" t="s">
        <v>182</v>
      </c>
      <c r="BO641" t="s">
        <v>9035</v>
      </c>
      <c r="BP641" t="s">
        <v>9036</v>
      </c>
      <c r="BS641" t="s">
        <v>9037</v>
      </c>
      <c r="BT641" t="s">
        <v>198</v>
      </c>
      <c r="BU641" t="s">
        <v>182</v>
      </c>
      <c r="BV641" t="s">
        <v>198</v>
      </c>
      <c r="BW641" t="s">
        <v>198</v>
      </c>
      <c r="BX641" t="s">
        <v>199</v>
      </c>
      <c r="BY641" t="s">
        <v>198</v>
      </c>
      <c r="BZ641" t="s">
        <v>199</v>
      </c>
      <c r="CA641" t="s">
        <v>199</v>
      </c>
      <c r="CB641" t="s">
        <v>9038</v>
      </c>
      <c r="CC641" t="s">
        <v>201</v>
      </c>
      <c r="CD641" t="s">
        <v>182</v>
      </c>
      <c r="CE641" t="s">
        <v>9039</v>
      </c>
      <c r="CF641" t="s">
        <v>9040</v>
      </c>
      <c r="CG641" t="s">
        <v>2769</v>
      </c>
      <c r="CH641" t="s">
        <v>9041</v>
      </c>
      <c r="CI641" t="s">
        <v>9042</v>
      </c>
      <c r="CJ641" t="s">
        <v>9043</v>
      </c>
      <c r="CK641" t="s">
        <v>267</v>
      </c>
      <c r="CL641" t="s">
        <v>268</v>
      </c>
      <c r="CM641" t="s">
        <v>9044</v>
      </c>
      <c r="CN641" t="s">
        <v>389</v>
      </c>
      <c r="CO641" t="s">
        <v>183</v>
      </c>
      <c r="CP641" t="s">
        <v>266</v>
      </c>
      <c r="CS641" t="s">
        <v>198</v>
      </c>
      <c r="DC641" t="s">
        <v>198</v>
      </c>
      <c r="DM641" t="s">
        <v>198</v>
      </c>
      <c r="DW641" t="s">
        <v>198</v>
      </c>
      <c r="EG641" t="s">
        <v>198</v>
      </c>
      <c r="EQ641" t="s">
        <v>198</v>
      </c>
      <c r="FA641" t="s">
        <v>198</v>
      </c>
      <c r="FK641" t="s">
        <v>198</v>
      </c>
      <c r="FU641" t="s">
        <v>198</v>
      </c>
    </row>
    <row r="642" spans="1:177">
      <c r="A642" s="1" t="str">
        <f>HYPERLINK("http://digipan.lumentumllc.com/apps/getLink/index.php?t=PropLink&amp;p=5245140","PL")</f>
        <v>PL</v>
      </c>
      <c r="B642" s="1" t="str">
        <f>HYPERLINK("http://digipan.lumentumllc.com/apps/getLink/index.php?t=TaxLink&amp;p=5245140","TL")</f>
        <v>TL</v>
      </c>
      <c r="C642" s="1" t="str">
        <f>HYPERLINK("http://digipan.lumentumllc.com/apps/getMap/index.php?p=5245140","Map")</f>
        <v>Map</v>
      </c>
      <c r="E642" t="s">
        <v>177</v>
      </c>
      <c r="F642" t="s">
        <v>178</v>
      </c>
      <c r="L642" t="s">
        <v>9045</v>
      </c>
      <c r="N642" t="s">
        <v>9045</v>
      </c>
      <c r="O642" t="s">
        <v>9045</v>
      </c>
      <c r="P642" t="s">
        <v>9046</v>
      </c>
      <c r="Q642" t="s">
        <v>9045</v>
      </c>
      <c r="V642">
        <v>736</v>
      </c>
      <c r="W642">
        <v>3</v>
      </c>
      <c r="X642">
        <v>2017</v>
      </c>
      <c r="Y642">
        <v>2018</v>
      </c>
      <c r="Z642">
        <v>1025.47</v>
      </c>
      <c r="AB642" t="s">
        <v>181</v>
      </c>
      <c r="AC642" t="s">
        <v>182</v>
      </c>
      <c r="AD642" t="s">
        <v>183</v>
      </c>
      <c r="AE642">
        <v>0</v>
      </c>
      <c r="AF642">
        <v>3</v>
      </c>
      <c r="AG642" t="s">
        <v>381</v>
      </c>
      <c r="AH642">
        <v>100</v>
      </c>
      <c r="AK642">
        <v>0</v>
      </c>
      <c r="AL642">
        <v>67250</v>
      </c>
      <c r="AM642">
        <v>22650</v>
      </c>
      <c r="AN642">
        <v>44600</v>
      </c>
      <c r="AO642">
        <v>776</v>
      </c>
      <c r="AP642">
        <v>2016</v>
      </c>
      <c r="AQ642">
        <v>1.52</v>
      </c>
      <c r="AS642" t="s">
        <v>9047</v>
      </c>
      <c r="AT642" t="s">
        <v>3747</v>
      </c>
      <c r="AU642" t="s">
        <v>177</v>
      </c>
      <c r="AV642" t="s">
        <v>1030</v>
      </c>
      <c r="AW642" t="s">
        <v>182</v>
      </c>
      <c r="AX642">
        <v>2</v>
      </c>
      <c r="AY642" t="s">
        <v>188</v>
      </c>
      <c r="AZ642" t="s">
        <v>189</v>
      </c>
      <c r="BA642" t="s">
        <v>190</v>
      </c>
      <c r="BB642" t="s">
        <v>191</v>
      </c>
      <c r="BC642" t="s">
        <v>182</v>
      </c>
      <c r="BD642" t="s">
        <v>182</v>
      </c>
      <c r="BE642" t="s">
        <v>9048</v>
      </c>
      <c r="BF642">
        <v>1</v>
      </c>
      <c r="BG642">
        <v>1</v>
      </c>
      <c r="BH642">
        <v>1996</v>
      </c>
      <c r="BI642" t="s">
        <v>9049</v>
      </c>
      <c r="BJ642" t="s">
        <v>194</v>
      </c>
      <c r="BK642" t="s">
        <v>195</v>
      </c>
      <c r="BL642" t="s">
        <v>9050</v>
      </c>
      <c r="BM642" t="s">
        <v>302</v>
      </c>
      <c r="BN642" t="s">
        <v>182</v>
      </c>
      <c r="BO642" t="s">
        <v>198</v>
      </c>
      <c r="BP642" t="s">
        <v>198</v>
      </c>
      <c r="BQ642" t="s">
        <v>198</v>
      </c>
      <c r="BR642" t="s">
        <v>198</v>
      </c>
      <c r="BS642" t="s">
        <v>198</v>
      </c>
      <c r="BT642" t="s">
        <v>198</v>
      </c>
      <c r="BU642" t="s">
        <v>182</v>
      </c>
      <c r="BV642" t="s">
        <v>198</v>
      </c>
      <c r="BW642" t="s">
        <v>198</v>
      </c>
      <c r="BX642" t="s">
        <v>199</v>
      </c>
      <c r="BY642" t="s">
        <v>198</v>
      </c>
      <c r="BZ642" t="s">
        <v>199</v>
      </c>
      <c r="CA642" t="s">
        <v>199</v>
      </c>
      <c r="CB642" t="s">
        <v>9051</v>
      </c>
      <c r="CC642" t="s">
        <v>201</v>
      </c>
      <c r="CD642" t="s">
        <v>202</v>
      </c>
      <c r="CE642" t="s">
        <v>9052</v>
      </c>
      <c r="CF642" t="s">
        <v>1029</v>
      </c>
      <c r="CG642" t="s">
        <v>177</v>
      </c>
      <c r="CH642" t="s">
        <v>1030</v>
      </c>
      <c r="CI642" t="s">
        <v>9053</v>
      </c>
      <c r="CJ642" t="s">
        <v>8318</v>
      </c>
      <c r="CK642" t="s">
        <v>232</v>
      </c>
      <c r="CL642" t="s">
        <v>233</v>
      </c>
      <c r="CM642" t="s">
        <v>9054</v>
      </c>
      <c r="CN642" t="s">
        <v>235</v>
      </c>
      <c r="CO642" t="s">
        <v>183</v>
      </c>
      <c r="CP642" t="s">
        <v>211</v>
      </c>
      <c r="CQ642" t="s">
        <v>270</v>
      </c>
      <c r="CS642" t="s">
        <v>9055</v>
      </c>
      <c r="CT642" t="s">
        <v>5532</v>
      </c>
      <c r="CU642" t="s">
        <v>267</v>
      </c>
      <c r="CV642" t="s">
        <v>268</v>
      </c>
      <c r="CW642" t="s">
        <v>9056</v>
      </c>
      <c r="CX642" t="s">
        <v>235</v>
      </c>
      <c r="CY642" t="s">
        <v>183</v>
      </c>
      <c r="CZ642" t="s">
        <v>211</v>
      </c>
      <c r="DA642" t="s">
        <v>329</v>
      </c>
      <c r="DC642" t="s">
        <v>1069</v>
      </c>
      <c r="DD642" t="s">
        <v>8398</v>
      </c>
      <c r="DE642" t="s">
        <v>238</v>
      </c>
      <c r="DF642" t="s">
        <v>239</v>
      </c>
      <c r="DG642" t="s">
        <v>9057</v>
      </c>
      <c r="DH642" t="s">
        <v>278</v>
      </c>
      <c r="DI642" t="s">
        <v>183</v>
      </c>
      <c r="DJ642" t="s">
        <v>211</v>
      </c>
      <c r="DK642" t="s">
        <v>250</v>
      </c>
      <c r="DM642" t="s">
        <v>9058</v>
      </c>
      <c r="DW642" t="s">
        <v>198</v>
      </c>
      <c r="EG642" t="s">
        <v>198</v>
      </c>
      <c r="EQ642" t="s">
        <v>198</v>
      </c>
      <c r="FA642" t="s">
        <v>198</v>
      </c>
      <c r="FK642" t="s">
        <v>198</v>
      </c>
      <c r="FU642" t="s">
        <v>198</v>
      </c>
    </row>
    <row r="643" spans="1:177">
      <c r="A643" s="1" t="str">
        <f>HYPERLINK("http://digipan.lumentumllc.com/apps/getLink/index.php?t=PropLink&amp;p=4637417","PL")</f>
        <v>PL</v>
      </c>
      <c r="B643" s="1" t="str">
        <f>HYPERLINK("http://digipan.lumentumllc.com/apps/getLink/index.php?t=TaxLink&amp;p=4637417","TL")</f>
        <v>TL</v>
      </c>
      <c r="C643" s="1" t="str">
        <f>HYPERLINK("http://digipan.lumentumllc.com/apps/getMap/index.php?p=4637417","Map")</f>
        <v>Map</v>
      </c>
      <c r="E643" t="s">
        <v>177</v>
      </c>
      <c r="F643" t="s">
        <v>178</v>
      </c>
      <c r="L643" t="s">
        <v>9059</v>
      </c>
      <c r="N643" t="s">
        <v>9059</v>
      </c>
      <c r="O643" t="s">
        <v>9059</v>
      </c>
      <c r="P643" t="s">
        <v>9060</v>
      </c>
      <c r="Q643" t="s">
        <v>9059</v>
      </c>
      <c r="V643">
        <v>737</v>
      </c>
      <c r="W643">
        <v>3</v>
      </c>
      <c r="X643">
        <v>2017</v>
      </c>
      <c r="Y643">
        <v>2018</v>
      </c>
      <c r="Z643">
        <v>714.32</v>
      </c>
      <c r="AB643" t="s">
        <v>181</v>
      </c>
      <c r="AC643" t="s">
        <v>202</v>
      </c>
      <c r="AD643" t="s">
        <v>183</v>
      </c>
      <c r="AE643">
        <v>0</v>
      </c>
      <c r="AF643">
        <v>3</v>
      </c>
      <c r="AG643" t="s">
        <v>381</v>
      </c>
      <c r="AH643">
        <v>100</v>
      </c>
      <c r="AK643">
        <v>0</v>
      </c>
      <c r="AL643">
        <v>90383</v>
      </c>
      <c r="AM643">
        <v>35640</v>
      </c>
      <c r="AN643">
        <v>54743</v>
      </c>
      <c r="AO643">
        <v>617</v>
      </c>
      <c r="AP643">
        <v>2016</v>
      </c>
      <c r="AQ643">
        <v>0.79</v>
      </c>
      <c r="AS643" t="s">
        <v>9061</v>
      </c>
      <c r="AT643" t="s">
        <v>3747</v>
      </c>
      <c r="AU643" t="s">
        <v>177</v>
      </c>
      <c r="AV643" t="s">
        <v>1030</v>
      </c>
      <c r="AW643" t="s">
        <v>202</v>
      </c>
      <c r="AX643">
        <v>2</v>
      </c>
      <c r="AY643" t="s">
        <v>188</v>
      </c>
      <c r="AZ643" t="s">
        <v>189</v>
      </c>
      <c r="BA643" t="s">
        <v>190</v>
      </c>
      <c r="BB643" t="s">
        <v>191</v>
      </c>
      <c r="BC643" t="s">
        <v>182</v>
      </c>
      <c r="BD643" t="s">
        <v>1528</v>
      </c>
      <c r="BE643" t="s">
        <v>9062</v>
      </c>
      <c r="BF643">
        <v>1</v>
      </c>
      <c r="BG643">
        <v>1</v>
      </c>
      <c r="BH643">
        <v>1997</v>
      </c>
      <c r="BI643" t="s">
        <v>273</v>
      </c>
      <c r="BJ643" t="s">
        <v>194</v>
      </c>
      <c r="BK643" t="s">
        <v>195</v>
      </c>
      <c r="BL643" t="s">
        <v>9063</v>
      </c>
      <c r="BM643" t="s">
        <v>197</v>
      </c>
      <c r="BN643" t="s">
        <v>182</v>
      </c>
      <c r="BO643" t="s">
        <v>198</v>
      </c>
      <c r="BP643" t="s">
        <v>198</v>
      </c>
      <c r="BQ643" t="s">
        <v>198</v>
      </c>
      <c r="BR643" t="s">
        <v>198</v>
      </c>
      <c r="BS643" t="s">
        <v>198</v>
      </c>
      <c r="BT643" t="s">
        <v>198</v>
      </c>
      <c r="BU643" t="s">
        <v>182</v>
      </c>
      <c r="BV643" t="s">
        <v>198</v>
      </c>
      <c r="BW643" t="s">
        <v>198</v>
      </c>
      <c r="BX643" t="s">
        <v>199</v>
      </c>
      <c r="BY643" t="s">
        <v>198</v>
      </c>
      <c r="BZ643" t="s">
        <v>199</v>
      </c>
      <c r="CA643" t="s">
        <v>199</v>
      </c>
      <c r="CB643" t="s">
        <v>9064</v>
      </c>
      <c r="CC643" t="s">
        <v>201</v>
      </c>
      <c r="CD643" t="s">
        <v>202</v>
      </c>
      <c r="CE643" t="s">
        <v>8981</v>
      </c>
      <c r="CF643" t="s">
        <v>1029</v>
      </c>
      <c r="CG643" t="s">
        <v>177</v>
      </c>
      <c r="CH643" t="s">
        <v>1030</v>
      </c>
      <c r="CI643" t="s">
        <v>9065</v>
      </c>
      <c r="CJ643" t="s">
        <v>5827</v>
      </c>
      <c r="CK643" t="s">
        <v>273</v>
      </c>
      <c r="CL643" t="s">
        <v>274</v>
      </c>
      <c r="CM643" t="s">
        <v>9066</v>
      </c>
      <c r="CN643" t="s">
        <v>235</v>
      </c>
      <c r="CO643" t="s">
        <v>183</v>
      </c>
      <c r="CP643" t="s">
        <v>211</v>
      </c>
      <c r="CQ643" t="s">
        <v>909</v>
      </c>
      <c r="CR643" t="s">
        <v>271</v>
      </c>
      <c r="CS643" t="s">
        <v>2808</v>
      </c>
      <c r="CT643" t="s">
        <v>6462</v>
      </c>
      <c r="CU643" t="s">
        <v>302</v>
      </c>
      <c r="CV643" t="s">
        <v>303</v>
      </c>
      <c r="CW643" t="s">
        <v>9067</v>
      </c>
      <c r="CX643" t="s">
        <v>235</v>
      </c>
      <c r="CY643" t="s">
        <v>183</v>
      </c>
      <c r="CZ643" t="s">
        <v>211</v>
      </c>
      <c r="DB643" t="s">
        <v>271</v>
      </c>
      <c r="DC643" t="s">
        <v>198</v>
      </c>
      <c r="DD643" t="s">
        <v>8419</v>
      </c>
      <c r="DE643" t="s">
        <v>238</v>
      </c>
      <c r="DF643" t="s">
        <v>239</v>
      </c>
      <c r="DG643" t="s">
        <v>9068</v>
      </c>
      <c r="DH643" t="s">
        <v>278</v>
      </c>
      <c r="DI643" t="s">
        <v>183</v>
      </c>
      <c r="DJ643" t="s">
        <v>211</v>
      </c>
      <c r="DK643" t="s">
        <v>806</v>
      </c>
      <c r="DM643" t="s">
        <v>9069</v>
      </c>
      <c r="DW643" t="s">
        <v>198</v>
      </c>
      <c r="EG643" t="s">
        <v>198</v>
      </c>
      <c r="EQ643" t="s">
        <v>198</v>
      </c>
      <c r="FA643" t="s">
        <v>198</v>
      </c>
      <c r="FK643" t="s">
        <v>198</v>
      </c>
      <c r="FU643" t="s">
        <v>198</v>
      </c>
    </row>
    <row r="644" spans="1:177">
      <c r="A644" s="1" t="str">
        <f>HYPERLINK("http://digipan.lumentumllc.com/apps/getLink/index.php?t=PropLink&amp;p=5245142","PL")</f>
        <v>PL</v>
      </c>
      <c r="B644" s="1" t="str">
        <f>HYPERLINK("http://digipan.lumentumllc.com/apps/getLink/index.php?t=TaxLink&amp;p=5245142","TL")</f>
        <v>TL</v>
      </c>
      <c r="C644" s="1" t="str">
        <f>HYPERLINK("http://digipan.lumentumllc.com/apps/getMap/index.php?p=5245142","Map")</f>
        <v>Map</v>
      </c>
      <c r="E644" t="s">
        <v>177</v>
      </c>
      <c r="F644" t="s">
        <v>178</v>
      </c>
      <c r="L644" t="s">
        <v>9070</v>
      </c>
      <c r="N644" t="s">
        <v>9070</v>
      </c>
      <c r="O644" t="s">
        <v>9070</v>
      </c>
      <c r="P644" t="s">
        <v>9071</v>
      </c>
      <c r="Q644" t="s">
        <v>9070</v>
      </c>
      <c r="V644">
        <v>738</v>
      </c>
      <c r="W644">
        <v>3</v>
      </c>
      <c r="X644">
        <v>2017</v>
      </c>
      <c r="Y644">
        <v>2018</v>
      </c>
      <c r="Z644">
        <v>515.09</v>
      </c>
      <c r="AB644" t="s">
        <v>181</v>
      </c>
      <c r="AC644" t="s">
        <v>202</v>
      </c>
      <c r="AD644" t="s">
        <v>183</v>
      </c>
      <c r="AE644">
        <v>0</v>
      </c>
      <c r="AF644">
        <v>7</v>
      </c>
      <c r="AG644" t="s">
        <v>528</v>
      </c>
      <c r="AH644">
        <v>100</v>
      </c>
      <c r="AK644">
        <v>0</v>
      </c>
      <c r="AL644">
        <v>66597</v>
      </c>
      <c r="AM644">
        <v>12500</v>
      </c>
      <c r="AN644">
        <v>54097</v>
      </c>
      <c r="AO644">
        <v>446</v>
      </c>
      <c r="AP644">
        <v>2016</v>
      </c>
      <c r="AQ644">
        <v>0.77</v>
      </c>
      <c r="AS644" t="s">
        <v>9072</v>
      </c>
      <c r="AT644" t="s">
        <v>3747</v>
      </c>
      <c r="AU644" t="s">
        <v>177</v>
      </c>
      <c r="AV644" t="s">
        <v>1030</v>
      </c>
      <c r="AW644" t="s">
        <v>202</v>
      </c>
      <c r="AX644">
        <v>2</v>
      </c>
      <c r="AY644" t="s">
        <v>188</v>
      </c>
      <c r="AZ644" t="s">
        <v>189</v>
      </c>
      <c r="BA644" t="s">
        <v>190</v>
      </c>
      <c r="BB644" t="s">
        <v>191</v>
      </c>
      <c r="BC644" t="s">
        <v>182</v>
      </c>
      <c r="BD644" t="s">
        <v>182</v>
      </c>
      <c r="BE644" t="s">
        <v>383</v>
      </c>
      <c r="BF644">
        <v>1</v>
      </c>
      <c r="BG644">
        <v>1</v>
      </c>
      <c r="BH644">
        <v>1998</v>
      </c>
      <c r="BI644" t="s">
        <v>9073</v>
      </c>
      <c r="BJ644" t="s">
        <v>194</v>
      </c>
      <c r="BK644" t="s">
        <v>195</v>
      </c>
      <c r="BL644" t="s">
        <v>199</v>
      </c>
      <c r="BM644" t="s">
        <v>1332</v>
      </c>
      <c r="BN644" t="s">
        <v>182</v>
      </c>
      <c r="BO644" t="s">
        <v>9074</v>
      </c>
      <c r="BP644" t="s">
        <v>956</v>
      </c>
      <c r="BS644" t="s">
        <v>9075</v>
      </c>
      <c r="BT644" t="s">
        <v>198</v>
      </c>
      <c r="BU644" t="s">
        <v>182</v>
      </c>
      <c r="BV644" t="s">
        <v>198</v>
      </c>
      <c r="BW644" t="s">
        <v>198</v>
      </c>
      <c r="BX644" t="s">
        <v>199</v>
      </c>
      <c r="BY644" t="s">
        <v>198</v>
      </c>
      <c r="BZ644" t="s">
        <v>199</v>
      </c>
      <c r="CA644" t="s">
        <v>199</v>
      </c>
      <c r="CB644" t="s">
        <v>9076</v>
      </c>
      <c r="CC644" t="s">
        <v>201</v>
      </c>
      <c r="CD644" t="s">
        <v>182</v>
      </c>
      <c r="CE644" t="s">
        <v>9077</v>
      </c>
      <c r="CF644" t="s">
        <v>1029</v>
      </c>
      <c r="CG644" t="s">
        <v>177</v>
      </c>
      <c r="CH644" t="s">
        <v>1030</v>
      </c>
      <c r="CI644" t="s">
        <v>9078</v>
      </c>
      <c r="CJ644" t="s">
        <v>5488</v>
      </c>
      <c r="CK644" t="s">
        <v>232</v>
      </c>
      <c r="CL644" t="s">
        <v>233</v>
      </c>
      <c r="CM644" t="s">
        <v>9079</v>
      </c>
      <c r="CN644" t="s">
        <v>235</v>
      </c>
      <c r="CO644" t="s">
        <v>183</v>
      </c>
      <c r="CP644" t="s">
        <v>211</v>
      </c>
      <c r="CQ644" t="s">
        <v>199</v>
      </c>
      <c r="CR644" t="s">
        <v>271</v>
      </c>
      <c r="CS644" t="s">
        <v>735</v>
      </c>
      <c r="CT644" t="s">
        <v>8557</v>
      </c>
      <c r="CU644" t="s">
        <v>292</v>
      </c>
      <c r="CV644" t="s">
        <v>293</v>
      </c>
      <c r="CW644" t="s">
        <v>9080</v>
      </c>
      <c r="CX644" t="s">
        <v>235</v>
      </c>
      <c r="CY644" t="s">
        <v>183</v>
      </c>
      <c r="CZ644" t="s">
        <v>211</v>
      </c>
      <c r="DA644" t="s">
        <v>199</v>
      </c>
      <c r="DC644" t="s">
        <v>5039</v>
      </c>
      <c r="DD644" t="s">
        <v>8363</v>
      </c>
      <c r="DE644" t="s">
        <v>267</v>
      </c>
      <c r="DF644" t="s">
        <v>268</v>
      </c>
      <c r="DG644" t="s">
        <v>9081</v>
      </c>
      <c r="DH644" t="s">
        <v>235</v>
      </c>
      <c r="DI644" t="s">
        <v>183</v>
      </c>
      <c r="DJ644" t="s">
        <v>211</v>
      </c>
      <c r="DL644" t="s">
        <v>271</v>
      </c>
      <c r="DM644" t="s">
        <v>198</v>
      </c>
      <c r="DN644" t="s">
        <v>9082</v>
      </c>
      <c r="DO644" t="s">
        <v>302</v>
      </c>
      <c r="DP644" t="s">
        <v>303</v>
      </c>
      <c r="DQ644" t="s">
        <v>9083</v>
      </c>
      <c r="DR644" t="s">
        <v>796</v>
      </c>
      <c r="DS644" t="s">
        <v>183</v>
      </c>
      <c r="DT644" t="s">
        <v>211</v>
      </c>
      <c r="DU644" t="s">
        <v>189</v>
      </c>
      <c r="DW644" t="s">
        <v>9084</v>
      </c>
      <c r="DX644" t="s">
        <v>9085</v>
      </c>
      <c r="DY644" t="s">
        <v>238</v>
      </c>
      <c r="DZ644" t="s">
        <v>239</v>
      </c>
      <c r="EA644" t="s">
        <v>9086</v>
      </c>
      <c r="EB644" t="s">
        <v>295</v>
      </c>
      <c r="EC644" t="s">
        <v>183</v>
      </c>
      <c r="ED644" t="s">
        <v>211</v>
      </c>
      <c r="EE644" t="s">
        <v>296</v>
      </c>
      <c r="EG644" t="s">
        <v>9087</v>
      </c>
      <c r="EH644" t="s">
        <v>6210</v>
      </c>
      <c r="EI644" t="s">
        <v>346</v>
      </c>
      <c r="EJ644" t="s">
        <v>347</v>
      </c>
      <c r="EK644" t="s">
        <v>9088</v>
      </c>
      <c r="EL644" t="s">
        <v>1551</v>
      </c>
      <c r="EM644" t="s">
        <v>183</v>
      </c>
      <c r="EN644" t="s">
        <v>211</v>
      </c>
      <c r="EO644" t="s">
        <v>444</v>
      </c>
      <c r="EQ644" t="s">
        <v>9087</v>
      </c>
      <c r="ER644" t="s">
        <v>9089</v>
      </c>
      <c r="ES644" t="s">
        <v>207</v>
      </c>
      <c r="ET644" t="s">
        <v>208</v>
      </c>
      <c r="EU644" t="s">
        <v>9090</v>
      </c>
      <c r="EV644" t="s">
        <v>576</v>
      </c>
      <c r="EW644" t="s">
        <v>183</v>
      </c>
      <c r="EX644" t="s">
        <v>211</v>
      </c>
      <c r="EY644" t="s">
        <v>189</v>
      </c>
      <c r="EZ644" t="s">
        <v>271</v>
      </c>
      <c r="FA644" t="s">
        <v>9091</v>
      </c>
      <c r="FK644" t="s">
        <v>198</v>
      </c>
      <c r="FU644" t="s">
        <v>198</v>
      </c>
    </row>
    <row r="645" spans="1:177">
      <c r="A645" s="1" t="str">
        <f>HYPERLINK("http://digipan.lumentumllc.com/apps/getLink/index.php?t=PropLink&amp;p=6461772","PL")</f>
        <v>PL</v>
      </c>
      <c r="B645" s="1" t="str">
        <f>HYPERLINK("http://digipan.lumentumllc.com/apps/getLink/index.php?t=TaxLink&amp;p=6461772","TL")</f>
        <v>TL</v>
      </c>
      <c r="C645" s="1" t="str">
        <f>HYPERLINK("http://digipan.lumentumllc.com/apps/getMap/index.php?p=6461772","Map")</f>
        <v>Map</v>
      </c>
      <c r="E645" t="s">
        <v>177</v>
      </c>
      <c r="F645" t="s">
        <v>178</v>
      </c>
      <c r="L645" t="s">
        <v>9092</v>
      </c>
      <c r="N645" t="s">
        <v>9092</v>
      </c>
      <c r="O645" t="s">
        <v>9092</v>
      </c>
      <c r="P645" t="s">
        <v>9093</v>
      </c>
      <c r="Q645" t="s">
        <v>9092</v>
      </c>
      <c r="V645">
        <v>739</v>
      </c>
      <c r="W645">
        <v>3</v>
      </c>
      <c r="X645">
        <v>2017</v>
      </c>
      <c r="Y645">
        <v>2018</v>
      </c>
      <c r="Z645">
        <v>285.8</v>
      </c>
      <c r="AB645" t="s">
        <v>181</v>
      </c>
      <c r="AC645" t="s">
        <v>182</v>
      </c>
      <c r="AD645" t="s">
        <v>183</v>
      </c>
      <c r="AE645">
        <v>1</v>
      </c>
      <c r="AF645">
        <v>4</v>
      </c>
      <c r="AG645" t="s">
        <v>951</v>
      </c>
      <c r="AH645">
        <v>80</v>
      </c>
      <c r="AI645">
        <v>245.51</v>
      </c>
      <c r="AJ645">
        <v>33.14</v>
      </c>
      <c r="AK645">
        <v>278.64999999999998</v>
      </c>
      <c r="AL645">
        <v>15750</v>
      </c>
      <c r="AM645">
        <v>15750</v>
      </c>
      <c r="AN645">
        <v>0</v>
      </c>
      <c r="AO645">
        <v>202</v>
      </c>
      <c r="AP645">
        <v>2016</v>
      </c>
      <c r="AQ645">
        <v>1.81</v>
      </c>
      <c r="AR645">
        <v>1.77</v>
      </c>
      <c r="AS645" t="s">
        <v>9094</v>
      </c>
      <c r="AT645" t="s">
        <v>3747</v>
      </c>
      <c r="AU645" t="s">
        <v>177</v>
      </c>
      <c r="AV645" t="s">
        <v>1030</v>
      </c>
      <c r="AW645" t="s">
        <v>182</v>
      </c>
      <c r="AX645">
        <v>0</v>
      </c>
      <c r="AY645" t="s">
        <v>312</v>
      </c>
      <c r="AZ645" t="s">
        <v>199</v>
      </c>
      <c r="BA645" t="s">
        <v>313</v>
      </c>
      <c r="BB645" t="s">
        <v>191</v>
      </c>
      <c r="BC645" t="s">
        <v>182</v>
      </c>
      <c r="BD645" t="s">
        <v>182</v>
      </c>
      <c r="BE645" t="s">
        <v>383</v>
      </c>
      <c r="BF645">
        <v>0</v>
      </c>
      <c r="BG645">
        <v>0</v>
      </c>
      <c r="BH645">
        <v>0</v>
      </c>
      <c r="BI645" t="s">
        <v>199</v>
      </c>
      <c r="BJ645" t="s">
        <v>315</v>
      </c>
      <c r="BL645" t="s">
        <v>9050</v>
      </c>
      <c r="BM645" t="s">
        <v>286</v>
      </c>
      <c r="BN645" t="s">
        <v>182</v>
      </c>
      <c r="BO645" t="s">
        <v>198</v>
      </c>
      <c r="BP645" t="s">
        <v>198</v>
      </c>
      <c r="BQ645" t="s">
        <v>198</v>
      </c>
      <c r="BR645" t="s">
        <v>198</v>
      </c>
      <c r="BS645" t="s">
        <v>198</v>
      </c>
      <c r="BT645" t="s">
        <v>198</v>
      </c>
      <c r="BU645" t="s">
        <v>182</v>
      </c>
      <c r="BV645" t="s">
        <v>198</v>
      </c>
      <c r="BW645" t="s">
        <v>198</v>
      </c>
      <c r="BX645" t="s">
        <v>199</v>
      </c>
      <c r="BY645" t="s">
        <v>198</v>
      </c>
      <c r="BZ645" t="s">
        <v>199</v>
      </c>
      <c r="CA645" t="s">
        <v>199</v>
      </c>
      <c r="CB645" t="s">
        <v>9095</v>
      </c>
      <c r="CC645" t="s">
        <v>201</v>
      </c>
      <c r="CD645" t="s">
        <v>182</v>
      </c>
      <c r="CE645" t="s">
        <v>9096</v>
      </c>
      <c r="CF645" t="s">
        <v>9097</v>
      </c>
      <c r="CG645" t="s">
        <v>9098</v>
      </c>
      <c r="CH645" t="s">
        <v>9099</v>
      </c>
      <c r="CI645" t="s">
        <v>9100</v>
      </c>
      <c r="CJ645" t="s">
        <v>9043</v>
      </c>
      <c r="CK645" t="s">
        <v>232</v>
      </c>
      <c r="CL645" t="s">
        <v>233</v>
      </c>
      <c r="CM645" t="s">
        <v>9101</v>
      </c>
      <c r="CN645" t="s">
        <v>351</v>
      </c>
      <c r="CO645" t="s">
        <v>183</v>
      </c>
      <c r="CP645" t="s">
        <v>266</v>
      </c>
      <c r="CS645" t="s">
        <v>198</v>
      </c>
      <c r="CT645" t="s">
        <v>8147</v>
      </c>
      <c r="CU645" t="s">
        <v>292</v>
      </c>
      <c r="CV645" t="s">
        <v>293</v>
      </c>
      <c r="CW645" t="s">
        <v>9102</v>
      </c>
      <c r="CX645" t="s">
        <v>387</v>
      </c>
      <c r="CY645" t="s">
        <v>183</v>
      </c>
      <c r="CZ645" t="s">
        <v>211</v>
      </c>
      <c r="DA645" t="s">
        <v>298</v>
      </c>
      <c r="DC645" t="s">
        <v>3703</v>
      </c>
      <c r="DD645" t="s">
        <v>8379</v>
      </c>
      <c r="DE645" t="s">
        <v>267</v>
      </c>
      <c r="DF645" t="s">
        <v>268</v>
      </c>
      <c r="DG645" t="s">
        <v>9103</v>
      </c>
      <c r="DH645" t="s">
        <v>922</v>
      </c>
      <c r="DI645" t="s">
        <v>183</v>
      </c>
      <c r="DJ645" t="s">
        <v>211</v>
      </c>
      <c r="DK645" t="s">
        <v>525</v>
      </c>
      <c r="DM645" t="s">
        <v>3703</v>
      </c>
      <c r="DN645" t="s">
        <v>8602</v>
      </c>
      <c r="DO645" t="s">
        <v>273</v>
      </c>
      <c r="DP645" t="s">
        <v>274</v>
      </c>
      <c r="DQ645" t="s">
        <v>9104</v>
      </c>
      <c r="DR645" t="s">
        <v>387</v>
      </c>
      <c r="DS645" t="s">
        <v>183</v>
      </c>
      <c r="DT645" t="s">
        <v>211</v>
      </c>
      <c r="DU645" t="s">
        <v>1064</v>
      </c>
      <c r="DW645" t="s">
        <v>3703</v>
      </c>
      <c r="DX645" t="s">
        <v>6493</v>
      </c>
      <c r="DY645" t="s">
        <v>302</v>
      </c>
      <c r="DZ645" t="s">
        <v>303</v>
      </c>
      <c r="EA645" t="s">
        <v>9105</v>
      </c>
      <c r="EB645" t="s">
        <v>278</v>
      </c>
      <c r="EC645" t="s">
        <v>183</v>
      </c>
      <c r="ED645" t="s">
        <v>211</v>
      </c>
      <c r="EE645" t="s">
        <v>264</v>
      </c>
      <c r="EG645" t="s">
        <v>9106</v>
      </c>
      <c r="EQ645" t="s">
        <v>198</v>
      </c>
      <c r="FA645" t="s">
        <v>198</v>
      </c>
      <c r="FK645" t="s">
        <v>198</v>
      </c>
      <c r="FU645" t="s">
        <v>198</v>
      </c>
    </row>
    <row r="646" spans="1:177">
      <c r="A646" s="1" t="str">
        <f>HYPERLINK("http://digipan.lumentumllc.com/apps/getLink/index.php?t=PropLink&amp;p=4637470","PL")</f>
        <v>PL</v>
      </c>
      <c r="B646" s="1" t="str">
        <f>HYPERLINK("http://digipan.lumentumllc.com/apps/getLink/index.php?t=TaxLink&amp;p=4637470","TL")</f>
        <v>TL</v>
      </c>
      <c r="C646" s="1" t="str">
        <f>HYPERLINK("http://digipan.lumentumllc.com/apps/getMap/index.php?p=4637470","Map")</f>
        <v>Map</v>
      </c>
      <c r="E646" t="s">
        <v>177</v>
      </c>
      <c r="F646" t="s">
        <v>178</v>
      </c>
      <c r="L646" t="s">
        <v>9107</v>
      </c>
      <c r="N646" t="s">
        <v>9107</v>
      </c>
      <c r="O646" t="s">
        <v>9107</v>
      </c>
      <c r="P646" t="s">
        <v>9108</v>
      </c>
      <c r="Q646" t="s">
        <v>9107</v>
      </c>
      <c r="V646">
        <v>740</v>
      </c>
      <c r="W646">
        <v>3</v>
      </c>
      <c r="X646">
        <v>2017</v>
      </c>
      <c r="Y646">
        <v>2018</v>
      </c>
      <c r="Z646">
        <v>564.20000000000005</v>
      </c>
      <c r="AB646" t="s">
        <v>181</v>
      </c>
      <c r="AC646" t="s">
        <v>182</v>
      </c>
      <c r="AD646" t="s">
        <v>183</v>
      </c>
      <c r="AE646">
        <v>1</v>
      </c>
      <c r="AF646">
        <v>5</v>
      </c>
      <c r="AG646" t="s">
        <v>322</v>
      </c>
      <c r="AH646">
        <v>83</v>
      </c>
      <c r="AI646">
        <v>558.42999999999995</v>
      </c>
      <c r="AJ646">
        <v>27.92</v>
      </c>
      <c r="AK646">
        <v>586.35</v>
      </c>
      <c r="AL646">
        <v>80838</v>
      </c>
      <c r="AM646">
        <v>30000</v>
      </c>
      <c r="AN646">
        <v>50838</v>
      </c>
      <c r="AO646">
        <v>491</v>
      </c>
      <c r="AP646">
        <v>2016</v>
      </c>
      <c r="AQ646">
        <v>0.7</v>
      </c>
      <c r="AR646">
        <v>0.73</v>
      </c>
      <c r="AS646" t="s">
        <v>9109</v>
      </c>
      <c r="AT646" t="s">
        <v>3747</v>
      </c>
      <c r="AU646" t="s">
        <v>177</v>
      </c>
      <c r="AV646" t="s">
        <v>1030</v>
      </c>
      <c r="AW646" t="s">
        <v>202</v>
      </c>
      <c r="AX646">
        <v>2</v>
      </c>
      <c r="AY646" t="s">
        <v>188</v>
      </c>
      <c r="AZ646" t="s">
        <v>189</v>
      </c>
      <c r="BA646" t="s">
        <v>190</v>
      </c>
      <c r="BB646" t="s">
        <v>191</v>
      </c>
      <c r="BC646" t="s">
        <v>182</v>
      </c>
      <c r="BD646" t="s">
        <v>182</v>
      </c>
      <c r="BE646" t="s">
        <v>383</v>
      </c>
      <c r="BF646">
        <v>1</v>
      </c>
      <c r="BG646">
        <v>1</v>
      </c>
      <c r="BH646">
        <v>1998</v>
      </c>
      <c r="BI646" t="s">
        <v>9110</v>
      </c>
      <c r="BJ646" t="s">
        <v>194</v>
      </c>
      <c r="BK646" t="s">
        <v>195</v>
      </c>
      <c r="BL646" t="s">
        <v>7226</v>
      </c>
      <c r="BM646" t="s">
        <v>1311</v>
      </c>
      <c r="BN646" t="s">
        <v>182</v>
      </c>
      <c r="BO646" t="s">
        <v>198</v>
      </c>
      <c r="BP646" t="s">
        <v>198</v>
      </c>
      <c r="BQ646" t="s">
        <v>198</v>
      </c>
      <c r="BR646" t="s">
        <v>198</v>
      </c>
      <c r="BS646" t="s">
        <v>198</v>
      </c>
      <c r="BT646" t="s">
        <v>198</v>
      </c>
      <c r="BU646" t="s">
        <v>182</v>
      </c>
      <c r="BV646" t="s">
        <v>198</v>
      </c>
      <c r="BW646" t="s">
        <v>198</v>
      </c>
      <c r="BX646" t="s">
        <v>199</v>
      </c>
      <c r="BY646" t="s">
        <v>198</v>
      </c>
      <c r="BZ646" t="s">
        <v>199</v>
      </c>
      <c r="CA646" t="s">
        <v>199</v>
      </c>
      <c r="CB646" t="s">
        <v>9111</v>
      </c>
      <c r="CC646" t="s">
        <v>201</v>
      </c>
      <c r="CD646" t="s">
        <v>182</v>
      </c>
      <c r="CE646" t="s">
        <v>9112</v>
      </c>
      <c r="CF646" t="s">
        <v>1029</v>
      </c>
      <c r="CG646" t="s">
        <v>177</v>
      </c>
      <c r="CH646" t="s">
        <v>1030</v>
      </c>
      <c r="CI646" t="s">
        <v>9113</v>
      </c>
      <c r="CJ646" t="s">
        <v>8746</v>
      </c>
      <c r="CK646" t="s">
        <v>232</v>
      </c>
      <c r="CL646" t="s">
        <v>233</v>
      </c>
      <c r="CM646" t="s">
        <v>9114</v>
      </c>
      <c r="CN646" t="s">
        <v>235</v>
      </c>
      <c r="CO646" t="s">
        <v>183</v>
      </c>
      <c r="CP646" t="s">
        <v>266</v>
      </c>
      <c r="CS646" t="s">
        <v>198</v>
      </c>
      <c r="CT646" t="s">
        <v>5534</v>
      </c>
      <c r="CU646" t="s">
        <v>292</v>
      </c>
      <c r="CV646" t="s">
        <v>293</v>
      </c>
      <c r="CW646" t="s">
        <v>9115</v>
      </c>
      <c r="CX646" t="s">
        <v>235</v>
      </c>
      <c r="CY646" t="s">
        <v>183</v>
      </c>
      <c r="CZ646" t="s">
        <v>211</v>
      </c>
      <c r="DA646" t="s">
        <v>298</v>
      </c>
      <c r="DC646" t="s">
        <v>3588</v>
      </c>
      <c r="DD646" t="s">
        <v>9116</v>
      </c>
      <c r="DE646" t="s">
        <v>267</v>
      </c>
      <c r="DF646" t="s">
        <v>268</v>
      </c>
      <c r="DG646" t="s">
        <v>9117</v>
      </c>
      <c r="DH646" t="s">
        <v>235</v>
      </c>
      <c r="DI646" t="s">
        <v>183</v>
      </c>
      <c r="DJ646" t="s">
        <v>211</v>
      </c>
      <c r="DK646" t="s">
        <v>298</v>
      </c>
      <c r="DM646" t="s">
        <v>5806</v>
      </c>
      <c r="DN646" t="s">
        <v>5856</v>
      </c>
      <c r="DO646" t="s">
        <v>273</v>
      </c>
      <c r="DP646" t="s">
        <v>274</v>
      </c>
      <c r="DQ646" t="s">
        <v>9118</v>
      </c>
      <c r="DR646" t="s">
        <v>235</v>
      </c>
      <c r="DS646" t="s">
        <v>183</v>
      </c>
      <c r="DT646" t="s">
        <v>211</v>
      </c>
      <c r="DU646" t="s">
        <v>206</v>
      </c>
      <c r="DW646" t="s">
        <v>9119</v>
      </c>
      <c r="DX646" t="s">
        <v>8456</v>
      </c>
      <c r="DY646" t="s">
        <v>302</v>
      </c>
      <c r="DZ646" t="s">
        <v>303</v>
      </c>
      <c r="EA646" t="s">
        <v>9120</v>
      </c>
      <c r="EB646" t="s">
        <v>796</v>
      </c>
      <c r="EC646" t="s">
        <v>183</v>
      </c>
      <c r="ED646" t="s">
        <v>211</v>
      </c>
      <c r="EE646" t="s">
        <v>306</v>
      </c>
      <c r="EG646" t="s">
        <v>9119</v>
      </c>
      <c r="EH646" t="s">
        <v>9121</v>
      </c>
      <c r="EI646" t="s">
        <v>238</v>
      </c>
      <c r="EJ646" t="s">
        <v>239</v>
      </c>
      <c r="EK646" t="s">
        <v>9122</v>
      </c>
      <c r="EL646" t="s">
        <v>295</v>
      </c>
      <c r="EM646" t="s">
        <v>183</v>
      </c>
      <c r="EN646" t="s">
        <v>211</v>
      </c>
      <c r="EO646" t="s">
        <v>339</v>
      </c>
      <c r="EQ646" t="s">
        <v>9123</v>
      </c>
      <c r="FA646" t="s">
        <v>198</v>
      </c>
      <c r="FK646" t="s">
        <v>198</v>
      </c>
      <c r="FU646" t="s">
        <v>198</v>
      </c>
    </row>
    <row r="647" spans="1:177">
      <c r="A647" s="1" t="str">
        <f>HYPERLINK("http://digipan.lumentumllc.com/apps/getLink/index.php?t=PropLink&amp;p=4637471","PL")</f>
        <v>PL</v>
      </c>
      <c r="B647" s="1" t="str">
        <f>HYPERLINK("http://digipan.lumentumllc.com/apps/getLink/index.php?t=TaxLink&amp;p=4637471","TL")</f>
        <v>TL</v>
      </c>
      <c r="C647" s="1" t="str">
        <f>HYPERLINK("http://digipan.lumentumllc.com/apps/getMap/index.php?p=4637471","Map")</f>
        <v>Map</v>
      </c>
      <c r="E647" t="s">
        <v>177</v>
      </c>
      <c r="F647" t="s">
        <v>178</v>
      </c>
      <c r="L647" t="s">
        <v>9124</v>
      </c>
      <c r="N647" t="s">
        <v>9124</v>
      </c>
      <c r="O647" t="s">
        <v>9124</v>
      </c>
      <c r="P647" t="s">
        <v>9125</v>
      </c>
      <c r="Q647" t="s">
        <v>9124</v>
      </c>
      <c r="V647">
        <v>741</v>
      </c>
      <c r="W647">
        <v>3</v>
      </c>
      <c r="X647">
        <v>2017</v>
      </c>
      <c r="Y647">
        <v>2018</v>
      </c>
      <c r="Z647">
        <v>2411.5500000000002</v>
      </c>
      <c r="AB647" t="s">
        <v>181</v>
      </c>
      <c r="AC647" t="s">
        <v>182</v>
      </c>
      <c r="AD647" t="s">
        <v>183</v>
      </c>
      <c r="AE647">
        <v>1</v>
      </c>
      <c r="AF647">
        <v>1</v>
      </c>
      <c r="AG647" t="s">
        <v>1200</v>
      </c>
      <c r="AH647">
        <v>0</v>
      </c>
      <c r="AI647">
        <v>2197.64</v>
      </c>
      <c r="AJ647">
        <v>109.88</v>
      </c>
      <c r="AK647">
        <v>2307.52</v>
      </c>
      <c r="AL647">
        <v>147301</v>
      </c>
      <c r="AM647">
        <v>28000</v>
      </c>
      <c r="AN647">
        <v>119301</v>
      </c>
      <c r="AO647">
        <v>2007</v>
      </c>
      <c r="AP647">
        <v>2016</v>
      </c>
      <c r="AQ647">
        <v>1.64</v>
      </c>
      <c r="AR647">
        <v>1.57</v>
      </c>
      <c r="AS647" t="s">
        <v>9126</v>
      </c>
      <c r="AT647" t="s">
        <v>3747</v>
      </c>
      <c r="AU647" t="s">
        <v>177</v>
      </c>
      <c r="AV647" t="s">
        <v>1030</v>
      </c>
      <c r="AW647" t="s">
        <v>182</v>
      </c>
      <c r="AX647">
        <v>1</v>
      </c>
      <c r="AY647" t="s">
        <v>188</v>
      </c>
      <c r="AZ647" t="s">
        <v>206</v>
      </c>
      <c r="BA647" t="s">
        <v>355</v>
      </c>
      <c r="BB647" t="s">
        <v>191</v>
      </c>
      <c r="BC647" t="s">
        <v>182</v>
      </c>
      <c r="BD647" t="s">
        <v>182</v>
      </c>
      <c r="BE647" t="s">
        <v>383</v>
      </c>
      <c r="BF647">
        <v>1</v>
      </c>
      <c r="BG647">
        <v>1</v>
      </c>
      <c r="BH647">
        <v>1998</v>
      </c>
      <c r="BI647" t="s">
        <v>9127</v>
      </c>
      <c r="BJ647" t="s">
        <v>315</v>
      </c>
      <c r="BK647" t="s">
        <v>195</v>
      </c>
      <c r="BL647" t="s">
        <v>199</v>
      </c>
      <c r="BM647" t="s">
        <v>286</v>
      </c>
      <c r="BN647" t="s">
        <v>182</v>
      </c>
      <c r="BO647" t="s">
        <v>2226</v>
      </c>
      <c r="BP647" t="s">
        <v>9128</v>
      </c>
      <c r="BQ647" t="s">
        <v>2227</v>
      </c>
      <c r="BR647" t="s">
        <v>563</v>
      </c>
      <c r="BS647" t="s">
        <v>198</v>
      </c>
      <c r="BT647" t="s">
        <v>9129</v>
      </c>
      <c r="BU647" t="s">
        <v>182</v>
      </c>
      <c r="BV647" t="s">
        <v>198</v>
      </c>
      <c r="BW647" t="s">
        <v>198</v>
      </c>
      <c r="BX647" t="s">
        <v>199</v>
      </c>
      <c r="BY647" t="s">
        <v>198</v>
      </c>
      <c r="BZ647" t="s">
        <v>199</v>
      </c>
      <c r="CA647" t="s">
        <v>199</v>
      </c>
      <c r="CB647" t="s">
        <v>9130</v>
      </c>
      <c r="CC647" t="s">
        <v>201</v>
      </c>
      <c r="CD647" t="s">
        <v>202</v>
      </c>
      <c r="CE647" t="s">
        <v>9131</v>
      </c>
      <c r="CF647" t="s">
        <v>536</v>
      </c>
      <c r="CG647" t="s">
        <v>177</v>
      </c>
      <c r="CH647" t="s">
        <v>537</v>
      </c>
      <c r="CI647" t="s">
        <v>9132</v>
      </c>
      <c r="CJ647" t="s">
        <v>5532</v>
      </c>
      <c r="CK647" t="s">
        <v>232</v>
      </c>
      <c r="CL647" t="s">
        <v>233</v>
      </c>
      <c r="CM647" t="s">
        <v>9133</v>
      </c>
      <c r="CN647" t="s">
        <v>235</v>
      </c>
      <c r="CO647" t="s">
        <v>183</v>
      </c>
      <c r="CP647" t="s">
        <v>266</v>
      </c>
      <c r="CS647" t="s">
        <v>198</v>
      </c>
      <c r="CT647" t="s">
        <v>4018</v>
      </c>
      <c r="CU647" t="s">
        <v>207</v>
      </c>
      <c r="CV647" t="s">
        <v>208</v>
      </c>
      <c r="CW647" t="s">
        <v>9134</v>
      </c>
      <c r="CX647" t="s">
        <v>235</v>
      </c>
      <c r="CY647" t="s">
        <v>183</v>
      </c>
      <c r="CZ647" t="s">
        <v>211</v>
      </c>
      <c r="DA647" t="s">
        <v>264</v>
      </c>
      <c r="DC647" t="s">
        <v>2276</v>
      </c>
      <c r="DM647" t="s">
        <v>198</v>
      </c>
      <c r="DW647" t="s">
        <v>198</v>
      </c>
      <c r="EG647" t="s">
        <v>198</v>
      </c>
      <c r="EQ647" t="s">
        <v>198</v>
      </c>
      <c r="FA647" t="s">
        <v>198</v>
      </c>
      <c r="FK647" t="s">
        <v>198</v>
      </c>
      <c r="FU647" t="s">
        <v>198</v>
      </c>
    </row>
    <row r="648" spans="1:177">
      <c r="A648" s="1" t="str">
        <f>HYPERLINK("http://digipan.lumentumllc.com/apps/getLink/index.php?t=PropLink&amp;p=6594158","PL")</f>
        <v>PL</v>
      </c>
      <c r="B648" s="1" t="str">
        <f>HYPERLINK("http://digipan.lumentumllc.com/apps/getLink/index.php?t=TaxLink&amp;p=6594158","TL")</f>
        <v>TL</v>
      </c>
      <c r="C648" s="1" t="str">
        <f>HYPERLINK("http://digipan.lumentumllc.com/apps/getMap/index.php?p=6594158","Map")</f>
        <v>Map</v>
      </c>
      <c r="E648" t="s">
        <v>177</v>
      </c>
      <c r="F648" t="s">
        <v>178</v>
      </c>
      <c r="L648" t="s">
        <v>9135</v>
      </c>
      <c r="N648" t="s">
        <v>9135</v>
      </c>
      <c r="O648" t="s">
        <v>9135</v>
      </c>
      <c r="P648" t="s">
        <v>9136</v>
      </c>
      <c r="Q648" t="s">
        <v>9135</v>
      </c>
      <c r="V648">
        <v>742</v>
      </c>
      <c r="W648">
        <v>3</v>
      </c>
      <c r="X648">
        <v>2017</v>
      </c>
      <c r="Y648">
        <v>2018</v>
      </c>
      <c r="Z648">
        <v>1935.69</v>
      </c>
      <c r="AB648" t="s">
        <v>181</v>
      </c>
      <c r="AC648" t="s">
        <v>182</v>
      </c>
      <c r="AD648" t="s">
        <v>183</v>
      </c>
      <c r="AE648">
        <v>0</v>
      </c>
      <c r="AF648">
        <v>1</v>
      </c>
      <c r="AG648" t="s">
        <v>821</v>
      </c>
      <c r="AH648">
        <v>100</v>
      </c>
      <c r="AK648">
        <v>0</v>
      </c>
      <c r="AL648">
        <v>185210</v>
      </c>
      <c r="AM648">
        <v>28000</v>
      </c>
      <c r="AN648">
        <v>157210</v>
      </c>
      <c r="AO648">
        <v>1738</v>
      </c>
      <c r="AP648">
        <v>2016</v>
      </c>
      <c r="AQ648">
        <v>1.05</v>
      </c>
      <c r="AS648" t="s">
        <v>9137</v>
      </c>
      <c r="AT648" t="s">
        <v>3747</v>
      </c>
      <c r="AU648" t="s">
        <v>177</v>
      </c>
      <c r="AV648" t="s">
        <v>1030</v>
      </c>
      <c r="AW648" t="s">
        <v>202</v>
      </c>
      <c r="AX648">
        <v>1</v>
      </c>
      <c r="AY648" t="s">
        <v>188</v>
      </c>
      <c r="AZ648" t="s">
        <v>206</v>
      </c>
      <c r="BA648" t="s">
        <v>355</v>
      </c>
      <c r="BB648" t="s">
        <v>191</v>
      </c>
      <c r="BC648" t="s">
        <v>182</v>
      </c>
      <c r="BD648" t="s">
        <v>182</v>
      </c>
      <c r="BE648" t="s">
        <v>383</v>
      </c>
      <c r="BF648">
        <v>1</v>
      </c>
      <c r="BG648">
        <v>1</v>
      </c>
      <c r="BH648">
        <v>2000</v>
      </c>
      <c r="BI648" t="s">
        <v>9138</v>
      </c>
      <c r="BJ648" t="s">
        <v>315</v>
      </c>
      <c r="BK648" t="s">
        <v>195</v>
      </c>
      <c r="BL648" t="s">
        <v>9139</v>
      </c>
      <c r="BM648" t="s">
        <v>368</v>
      </c>
      <c r="BN648" t="s">
        <v>182</v>
      </c>
      <c r="BO648" t="s">
        <v>9140</v>
      </c>
      <c r="BP648" t="s">
        <v>3234</v>
      </c>
      <c r="BR648" t="s">
        <v>1123</v>
      </c>
      <c r="BS648" t="s">
        <v>6454</v>
      </c>
      <c r="BT648" t="s">
        <v>5675</v>
      </c>
      <c r="BU648" t="s">
        <v>182</v>
      </c>
      <c r="BV648" t="s">
        <v>198</v>
      </c>
      <c r="BW648" t="s">
        <v>198</v>
      </c>
      <c r="BX648" t="s">
        <v>199</v>
      </c>
      <c r="BY648" t="s">
        <v>198</v>
      </c>
      <c r="BZ648" t="s">
        <v>199</v>
      </c>
      <c r="CA648" t="s">
        <v>199</v>
      </c>
      <c r="CB648" t="s">
        <v>9141</v>
      </c>
      <c r="CC648" t="s">
        <v>201</v>
      </c>
      <c r="CD648" t="s">
        <v>182</v>
      </c>
      <c r="CE648" t="s">
        <v>4213</v>
      </c>
      <c r="CF648" t="s">
        <v>1029</v>
      </c>
      <c r="CG648" t="s">
        <v>177</v>
      </c>
      <c r="CH648" t="s">
        <v>1030</v>
      </c>
      <c r="CI648" t="s">
        <v>9142</v>
      </c>
      <c r="CJ648" t="s">
        <v>9143</v>
      </c>
      <c r="CK648" t="s">
        <v>273</v>
      </c>
      <c r="CL648" t="s">
        <v>274</v>
      </c>
      <c r="CM648" t="s">
        <v>9144</v>
      </c>
      <c r="CN648" t="s">
        <v>235</v>
      </c>
      <c r="CO648" t="s">
        <v>183</v>
      </c>
      <c r="CP648" t="s">
        <v>211</v>
      </c>
      <c r="CQ648" t="s">
        <v>206</v>
      </c>
      <c r="CS648" t="s">
        <v>9145</v>
      </c>
      <c r="DC648" t="s">
        <v>198</v>
      </c>
      <c r="DM648" t="s">
        <v>198</v>
      </c>
      <c r="DW648" t="s">
        <v>198</v>
      </c>
      <c r="EG648" t="s">
        <v>198</v>
      </c>
      <c r="EQ648" t="s">
        <v>198</v>
      </c>
      <c r="FA648" t="s">
        <v>198</v>
      </c>
      <c r="FK648" t="s">
        <v>198</v>
      </c>
      <c r="FU648" t="s">
        <v>198</v>
      </c>
    </row>
    <row r="649" spans="1:177">
      <c r="A649" s="1" t="str">
        <f>HYPERLINK("http://digipan.lumentumllc.com/apps/getLink/index.php?t=PropLink&amp;p=15743075","PL")</f>
        <v>PL</v>
      </c>
      <c r="B649" s="1" t="str">
        <f>HYPERLINK("http://digipan.lumentumllc.com/apps/getLink/index.php?t=TaxLink&amp;p=15743075","TL")</f>
        <v>TL</v>
      </c>
      <c r="C649" s="1" t="str">
        <f>HYPERLINK("http://digipan.lumentumllc.com/apps/getMap/index.php?p=15743075","Map")</f>
        <v>Map</v>
      </c>
      <c r="E649" t="s">
        <v>177</v>
      </c>
      <c r="F649" t="s">
        <v>178</v>
      </c>
      <c r="L649" t="s">
        <v>9146</v>
      </c>
      <c r="N649" t="s">
        <v>9146</v>
      </c>
      <c r="O649" t="s">
        <v>9146</v>
      </c>
      <c r="Q649" t="s">
        <v>9146</v>
      </c>
      <c r="V649">
        <v>743</v>
      </c>
      <c r="W649">
        <v>3</v>
      </c>
      <c r="X649">
        <v>2017</v>
      </c>
      <c r="Y649">
        <v>2018</v>
      </c>
      <c r="Z649">
        <v>1715.93</v>
      </c>
      <c r="AG649" t="s">
        <v>184</v>
      </c>
      <c r="AH649">
        <v>0</v>
      </c>
      <c r="AK649">
        <v>0</v>
      </c>
      <c r="AL649">
        <v>165266</v>
      </c>
      <c r="AM649">
        <v>28000</v>
      </c>
      <c r="AN649">
        <v>137266</v>
      </c>
      <c r="AO649">
        <v>1537</v>
      </c>
      <c r="AP649">
        <v>2016</v>
      </c>
      <c r="AQ649">
        <v>1.04</v>
      </c>
      <c r="AS649" t="s">
        <v>9147</v>
      </c>
      <c r="AT649" t="s">
        <v>3747</v>
      </c>
      <c r="AU649" t="s">
        <v>177</v>
      </c>
      <c r="AV649" t="s">
        <v>1030</v>
      </c>
      <c r="AW649" t="s">
        <v>202</v>
      </c>
      <c r="AX649">
        <v>1</v>
      </c>
      <c r="AY649" t="s">
        <v>188</v>
      </c>
      <c r="AZ649" t="s">
        <v>206</v>
      </c>
      <c r="BA649" t="s">
        <v>355</v>
      </c>
      <c r="BB649" t="s">
        <v>191</v>
      </c>
      <c r="BC649" t="s">
        <v>182</v>
      </c>
      <c r="BD649" t="s">
        <v>182</v>
      </c>
      <c r="BE649" t="s">
        <v>9148</v>
      </c>
      <c r="BF649">
        <v>1</v>
      </c>
      <c r="BG649">
        <v>1</v>
      </c>
      <c r="BH649">
        <v>2003</v>
      </c>
      <c r="BI649" t="s">
        <v>5017</v>
      </c>
      <c r="BJ649" t="s">
        <v>315</v>
      </c>
      <c r="BK649" t="s">
        <v>195</v>
      </c>
      <c r="BL649" t="s">
        <v>9149</v>
      </c>
      <c r="BM649" t="s">
        <v>410</v>
      </c>
      <c r="BN649" t="s">
        <v>182</v>
      </c>
      <c r="BO649" t="s">
        <v>8018</v>
      </c>
      <c r="BP649" t="s">
        <v>9150</v>
      </c>
      <c r="BQ649" t="s">
        <v>1896</v>
      </c>
      <c r="BR649" t="s">
        <v>563</v>
      </c>
      <c r="BS649" t="s">
        <v>198</v>
      </c>
      <c r="BT649" t="s">
        <v>9151</v>
      </c>
      <c r="BU649" t="s">
        <v>182</v>
      </c>
      <c r="BV649" t="s">
        <v>198</v>
      </c>
      <c r="BW649" t="s">
        <v>198</v>
      </c>
      <c r="BX649" t="s">
        <v>199</v>
      </c>
      <c r="BY649" t="s">
        <v>198</v>
      </c>
      <c r="BZ649" t="s">
        <v>199</v>
      </c>
      <c r="CA649" t="s">
        <v>199</v>
      </c>
      <c r="CB649" t="s">
        <v>9152</v>
      </c>
      <c r="CC649" t="s">
        <v>201</v>
      </c>
      <c r="CD649" t="s">
        <v>182</v>
      </c>
      <c r="CE649" t="s">
        <v>9153</v>
      </c>
      <c r="CF649" t="s">
        <v>1029</v>
      </c>
      <c r="CG649" t="s">
        <v>177</v>
      </c>
      <c r="CH649" t="s">
        <v>1030</v>
      </c>
      <c r="CI649" t="s">
        <v>9154</v>
      </c>
      <c r="CS649" t="s">
        <v>198</v>
      </c>
      <c r="DC649" t="s">
        <v>198</v>
      </c>
      <c r="DM649" t="s">
        <v>198</v>
      </c>
      <c r="DW649" t="s">
        <v>198</v>
      </c>
      <c r="EG649" t="s">
        <v>198</v>
      </c>
      <c r="EQ649" t="s">
        <v>198</v>
      </c>
      <c r="FA649" t="s">
        <v>198</v>
      </c>
      <c r="FK649" t="s">
        <v>198</v>
      </c>
      <c r="FU649" t="s">
        <v>198</v>
      </c>
    </row>
    <row r="650" spans="1:177">
      <c r="A650" s="1" t="str">
        <f>HYPERLINK("http://digipan.lumentumllc.com/apps/getLink/index.php?t=PropLink&amp;p=5245329","PL")</f>
        <v>PL</v>
      </c>
      <c r="B650" s="1" t="str">
        <f>HYPERLINK("http://digipan.lumentumllc.com/apps/getLink/index.php?t=TaxLink&amp;p=5245329","TL")</f>
        <v>TL</v>
      </c>
      <c r="C650" s="1" t="str">
        <f>HYPERLINK("http://digipan.lumentumllc.com/apps/getMap/index.php?p=5245329","Map")</f>
        <v>Map</v>
      </c>
      <c r="E650" t="s">
        <v>177</v>
      </c>
      <c r="F650" t="s">
        <v>178</v>
      </c>
      <c r="L650" t="s">
        <v>9155</v>
      </c>
      <c r="N650" t="s">
        <v>9155</v>
      </c>
      <c r="O650" t="s">
        <v>9155</v>
      </c>
      <c r="P650" t="s">
        <v>9156</v>
      </c>
      <c r="Q650" t="s">
        <v>9155</v>
      </c>
      <c r="V650">
        <v>744</v>
      </c>
      <c r="W650">
        <v>3</v>
      </c>
      <c r="X650">
        <v>2017</v>
      </c>
      <c r="Y650">
        <v>2018</v>
      </c>
      <c r="Z650">
        <v>2832.5</v>
      </c>
      <c r="AB650" t="s">
        <v>181</v>
      </c>
      <c r="AC650" t="s">
        <v>182</v>
      </c>
      <c r="AD650" t="s">
        <v>183</v>
      </c>
      <c r="AE650">
        <v>0</v>
      </c>
      <c r="AF650">
        <v>2</v>
      </c>
      <c r="AG650" t="s">
        <v>216</v>
      </c>
      <c r="AH650">
        <v>100</v>
      </c>
      <c r="AK650">
        <v>0</v>
      </c>
      <c r="AL650">
        <v>242029</v>
      </c>
      <c r="AM650">
        <v>28000</v>
      </c>
      <c r="AN650">
        <v>214029</v>
      </c>
      <c r="AO650">
        <v>2562</v>
      </c>
      <c r="AP650">
        <v>2016</v>
      </c>
      <c r="AQ650">
        <v>1.17</v>
      </c>
      <c r="AS650" t="s">
        <v>9157</v>
      </c>
      <c r="AT650" t="s">
        <v>3747</v>
      </c>
      <c r="AU650" t="s">
        <v>177</v>
      </c>
      <c r="AV650" t="s">
        <v>1030</v>
      </c>
      <c r="AW650" t="s">
        <v>202</v>
      </c>
      <c r="AX650">
        <v>1</v>
      </c>
      <c r="AY650" t="s">
        <v>188</v>
      </c>
      <c r="AZ650" t="s">
        <v>206</v>
      </c>
      <c r="BA650" t="s">
        <v>355</v>
      </c>
      <c r="BB650" t="s">
        <v>9158</v>
      </c>
      <c r="BC650" t="s">
        <v>182</v>
      </c>
      <c r="BD650" t="s">
        <v>182</v>
      </c>
      <c r="BE650" t="s">
        <v>9159</v>
      </c>
      <c r="BF650">
        <v>1</v>
      </c>
      <c r="BG650">
        <v>1</v>
      </c>
      <c r="BH650">
        <v>2003</v>
      </c>
      <c r="BI650" t="s">
        <v>9160</v>
      </c>
      <c r="BJ650" t="s">
        <v>315</v>
      </c>
      <c r="BK650" t="s">
        <v>195</v>
      </c>
      <c r="BL650" t="s">
        <v>199</v>
      </c>
      <c r="BM650" t="s">
        <v>346</v>
      </c>
      <c r="BN650" t="s">
        <v>182</v>
      </c>
      <c r="BO650" t="s">
        <v>1204</v>
      </c>
      <c r="BP650" t="s">
        <v>9161</v>
      </c>
      <c r="BQ650" t="s">
        <v>800</v>
      </c>
      <c r="BS650" t="s">
        <v>198</v>
      </c>
      <c r="BT650" t="s">
        <v>9162</v>
      </c>
      <c r="BU650" t="s">
        <v>182</v>
      </c>
      <c r="BV650" t="s">
        <v>198</v>
      </c>
      <c r="BW650" t="s">
        <v>198</v>
      </c>
      <c r="BX650" t="s">
        <v>199</v>
      </c>
      <c r="BY650" t="s">
        <v>198</v>
      </c>
      <c r="BZ650" t="s">
        <v>199</v>
      </c>
      <c r="CA650" t="s">
        <v>199</v>
      </c>
      <c r="CB650" t="s">
        <v>9163</v>
      </c>
      <c r="CC650" t="s">
        <v>201</v>
      </c>
      <c r="CD650" t="s">
        <v>182</v>
      </c>
      <c r="CE650" t="s">
        <v>9164</v>
      </c>
      <c r="CF650" t="s">
        <v>1029</v>
      </c>
      <c r="CG650" t="s">
        <v>177</v>
      </c>
      <c r="CH650" t="s">
        <v>1030</v>
      </c>
      <c r="CI650" t="s">
        <v>9165</v>
      </c>
      <c r="CJ650" t="s">
        <v>6740</v>
      </c>
      <c r="CK650" t="s">
        <v>302</v>
      </c>
      <c r="CL650" t="s">
        <v>303</v>
      </c>
      <c r="CM650" t="s">
        <v>9166</v>
      </c>
      <c r="CN650" t="s">
        <v>235</v>
      </c>
      <c r="CO650" t="s">
        <v>183</v>
      </c>
      <c r="CP650" t="s">
        <v>211</v>
      </c>
      <c r="CQ650" t="s">
        <v>329</v>
      </c>
      <c r="CS650" t="s">
        <v>9167</v>
      </c>
      <c r="CT650" t="s">
        <v>9168</v>
      </c>
      <c r="CU650" t="s">
        <v>346</v>
      </c>
      <c r="CV650" t="s">
        <v>347</v>
      </c>
      <c r="CW650" t="s">
        <v>9169</v>
      </c>
      <c r="CX650" t="s">
        <v>235</v>
      </c>
      <c r="CY650" t="s">
        <v>183</v>
      </c>
      <c r="CZ650" t="s">
        <v>211</v>
      </c>
      <c r="DA650" t="s">
        <v>264</v>
      </c>
      <c r="DC650" t="s">
        <v>9170</v>
      </c>
      <c r="DM650" t="s">
        <v>198</v>
      </c>
      <c r="DW650" t="s">
        <v>198</v>
      </c>
      <c r="EG650" t="s">
        <v>198</v>
      </c>
      <c r="EQ650" t="s">
        <v>198</v>
      </c>
      <c r="FA650" t="s">
        <v>198</v>
      </c>
      <c r="FK650" t="s">
        <v>198</v>
      </c>
      <c r="FU650" t="s">
        <v>198</v>
      </c>
    </row>
    <row r="651" spans="1:177">
      <c r="A651" s="1" t="str">
        <f>HYPERLINK("http://digipan.lumentumllc.com/apps/getLink/index.php?t=PropLink&amp;p=5245455","PL")</f>
        <v>PL</v>
      </c>
      <c r="B651" s="1" t="str">
        <f>HYPERLINK("http://digipan.lumentumllc.com/apps/getLink/index.php?t=TaxLink&amp;p=5245455","TL")</f>
        <v>TL</v>
      </c>
      <c r="C651" s="1" t="str">
        <f>HYPERLINK("http://digipan.lumentumllc.com/apps/getMap/index.php?p=5245455","Map")</f>
        <v>Map</v>
      </c>
      <c r="E651" t="s">
        <v>177</v>
      </c>
      <c r="F651" t="s">
        <v>178</v>
      </c>
      <c r="L651" t="s">
        <v>9171</v>
      </c>
      <c r="N651" t="s">
        <v>9171</v>
      </c>
      <c r="O651" t="s">
        <v>9171</v>
      </c>
      <c r="P651" t="s">
        <v>9172</v>
      </c>
      <c r="Q651" t="s">
        <v>9171</v>
      </c>
      <c r="V651">
        <v>745</v>
      </c>
      <c r="W651">
        <v>3</v>
      </c>
      <c r="X651">
        <v>2017</v>
      </c>
      <c r="Y651">
        <v>2018</v>
      </c>
      <c r="Z651">
        <v>734.39</v>
      </c>
      <c r="AB651" t="s">
        <v>181</v>
      </c>
      <c r="AC651" t="s">
        <v>182</v>
      </c>
      <c r="AD651" t="s">
        <v>183</v>
      </c>
      <c r="AE651">
        <v>0</v>
      </c>
      <c r="AF651">
        <v>6</v>
      </c>
      <c r="AG651" t="s">
        <v>528</v>
      </c>
      <c r="AH651">
        <v>100</v>
      </c>
      <c r="AK651">
        <v>0</v>
      </c>
      <c r="AL651">
        <v>42900</v>
      </c>
      <c r="AM651">
        <v>42900</v>
      </c>
      <c r="AN651">
        <v>0</v>
      </c>
      <c r="AO651">
        <v>659</v>
      </c>
      <c r="AP651">
        <v>2016</v>
      </c>
      <c r="AQ651">
        <v>1.71</v>
      </c>
      <c r="AS651" t="s">
        <v>3209</v>
      </c>
      <c r="AT651" t="s">
        <v>3747</v>
      </c>
      <c r="AU651" t="s">
        <v>177</v>
      </c>
      <c r="AV651" t="s">
        <v>1030</v>
      </c>
      <c r="AW651" t="s">
        <v>182</v>
      </c>
      <c r="AX651">
        <v>0</v>
      </c>
      <c r="AY651" t="s">
        <v>312</v>
      </c>
      <c r="AZ651" t="s">
        <v>199</v>
      </c>
      <c r="BA651" t="s">
        <v>313</v>
      </c>
      <c r="BB651" t="s">
        <v>191</v>
      </c>
      <c r="BC651" t="s">
        <v>182</v>
      </c>
      <c r="BD651" t="s">
        <v>182</v>
      </c>
      <c r="BE651" t="s">
        <v>9173</v>
      </c>
      <c r="BF651">
        <v>0</v>
      </c>
      <c r="BG651">
        <v>0</v>
      </c>
      <c r="BH651">
        <v>0</v>
      </c>
      <c r="BI651" t="s">
        <v>199</v>
      </c>
      <c r="BJ651" t="s">
        <v>315</v>
      </c>
      <c r="BL651" t="s">
        <v>1753</v>
      </c>
      <c r="BM651" t="s">
        <v>232</v>
      </c>
      <c r="BN651" t="s">
        <v>182</v>
      </c>
      <c r="BO651" t="s">
        <v>9174</v>
      </c>
      <c r="BP651" t="s">
        <v>1696</v>
      </c>
      <c r="BQ651" t="s">
        <v>226</v>
      </c>
      <c r="BR651" t="s">
        <v>227</v>
      </c>
      <c r="BS651" t="s">
        <v>198</v>
      </c>
      <c r="BT651" t="s">
        <v>9175</v>
      </c>
      <c r="BU651" t="s">
        <v>182</v>
      </c>
      <c r="BV651" t="s">
        <v>198</v>
      </c>
      <c r="BW651" t="s">
        <v>198</v>
      </c>
      <c r="BX651" t="s">
        <v>199</v>
      </c>
      <c r="BY651" t="s">
        <v>198</v>
      </c>
      <c r="BZ651" t="s">
        <v>199</v>
      </c>
      <c r="CA651" t="s">
        <v>199</v>
      </c>
      <c r="CB651" t="s">
        <v>9176</v>
      </c>
      <c r="CC651" t="s">
        <v>201</v>
      </c>
      <c r="CD651" t="s">
        <v>182</v>
      </c>
      <c r="CE651" t="s">
        <v>9177</v>
      </c>
      <c r="CF651" t="s">
        <v>413</v>
      </c>
      <c r="CG651" t="s">
        <v>177</v>
      </c>
      <c r="CH651" t="s">
        <v>7107</v>
      </c>
      <c r="CI651" t="s">
        <v>9178</v>
      </c>
      <c r="CJ651" t="s">
        <v>8189</v>
      </c>
      <c r="CK651" t="s">
        <v>292</v>
      </c>
      <c r="CL651" t="s">
        <v>293</v>
      </c>
      <c r="CM651" t="s">
        <v>9179</v>
      </c>
      <c r="CN651" t="s">
        <v>331</v>
      </c>
      <c r="CO651" t="s">
        <v>183</v>
      </c>
      <c r="CP651" t="s">
        <v>211</v>
      </c>
      <c r="CQ651" t="s">
        <v>339</v>
      </c>
      <c r="CS651" t="s">
        <v>9180</v>
      </c>
      <c r="CT651" t="s">
        <v>5702</v>
      </c>
      <c r="CU651" t="s">
        <v>267</v>
      </c>
      <c r="CV651" t="s">
        <v>268</v>
      </c>
      <c r="CW651" t="s">
        <v>9181</v>
      </c>
      <c r="CX651" t="s">
        <v>331</v>
      </c>
      <c r="CY651" t="s">
        <v>183</v>
      </c>
      <c r="CZ651" t="s">
        <v>211</v>
      </c>
      <c r="DA651" t="s">
        <v>493</v>
      </c>
      <c r="DC651" t="s">
        <v>9180</v>
      </c>
      <c r="DD651" t="s">
        <v>8676</v>
      </c>
      <c r="DE651" t="s">
        <v>273</v>
      </c>
      <c r="DF651" t="s">
        <v>274</v>
      </c>
      <c r="DG651" t="s">
        <v>9182</v>
      </c>
      <c r="DH651" t="s">
        <v>833</v>
      </c>
      <c r="DI651" t="s">
        <v>183</v>
      </c>
      <c r="DJ651" t="s">
        <v>211</v>
      </c>
      <c r="DK651" t="s">
        <v>493</v>
      </c>
      <c r="DM651" t="s">
        <v>9183</v>
      </c>
      <c r="DN651" t="s">
        <v>6518</v>
      </c>
      <c r="DO651" t="s">
        <v>302</v>
      </c>
      <c r="DP651" t="s">
        <v>303</v>
      </c>
      <c r="DQ651" t="s">
        <v>9184</v>
      </c>
      <c r="DR651" t="s">
        <v>235</v>
      </c>
      <c r="DS651" t="s">
        <v>183</v>
      </c>
      <c r="DT651" t="s">
        <v>211</v>
      </c>
      <c r="DU651" t="s">
        <v>298</v>
      </c>
      <c r="DW651" t="s">
        <v>1765</v>
      </c>
      <c r="DX651" t="s">
        <v>9185</v>
      </c>
      <c r="DY651" t="s">
        <v>238</v>
      </c>
      <c r="DZ651" t="s">
        <v>239</v>
      </c>
      <c r="EA651" t="s">
        <v>9186</v>
      </c>
      <c r="EB651" t="s">
        <v>247</v>
      </c>
      <c r="EC651" t="s">
        <v>183</v>
      </c>
      <c r="ED651" t="s">
        <v>211</v>
      </c>
      <c r="EE651" t="s">
        <v>296</v>
      </c>
      <c r="EG651" t="s">
        <v>9187</v>
      </c>
      <c r="EH651" t="s">
        <v>4850</v>
      </c>
      <c r="EI651" t="s">
        <v>346</v>
      </c>
      <c r="EJ651" t="s">
        <v>347</v>
      </c>
      <c r="EK651" t="s">
        <v>9188</v>
      </c>
      <c r="EL651" t="s">
        <v>1551</v>
      </c>
      <c r="EM651" t="s">
        <v>183</v>
      </c>
      <c r="EN651" t="s">
        <v>211</v>
      </c>
      <c r="EO651" t="s">
        <v>444</v>
      </c>
      <c r="EQ651" t="s">
        <v>9187</v>
      </c>
      <c r="FA651" t="s">
        <v>198</v>
      </c>
      <c r="FK651" t="s">
        <v>198</v>
      </c>
      <c r="FU651" t="s">
        <v>198</v>
      </c>
    </row>
    <row r="652" spans="1:177">
      <c r="A652" s="1" t="str">
        <f>HYPERLINK("http://digipan.lumentumllc.com/apps/getLink/index.php?t=PropLink&amp;p=5245460","PL")</f>
        <v>PL</v>
      </c>
      <c r="B652" s="1" t="str">
        <f>HYPERLINK("http://digipan.lumentumllc.com/apps/getLink/index.php?t=TaxLink&amp;p=5245460","TL")</f>
        <v>TL</v>
      </c>
      <c r="C652" s="1" t="str">
        <f>HYPERLINK("http://digipan.lumentumllc.com/apps/getMap/index.php?p=5245460","Map")</f>
        <v>Map</v>
      </c>
      <c r="E652" t="s">
        <v>177</v>
      </c>
      <c r="F652" t="s">
        <v>178</v>
      </c>
      <c r="L652" t="s">
        <v>9189</v>
      </c>
      <c r="N652" t="s">
        <v>9189</v>
      </c>
      <c r="O652" t="s">
        <v>9189</v>
      </c>
      <c r="P652" t="s">
        <v>9190</v>
      </c>
      <c r="Q652" t="s">
        <v>9189</v>
      </c>
      <c r="V652">
        <v>746</v>
      </c>
      <c r="W652">
        <v>3</v>
      </c>
      <c r="X652">
        <v>2017</v>
      </c>
      <c r="Y652">
        <v>2018</v>
      </c>
      <c r="Z652">
        <v>493.71</v>
      </c>
      <c r="AB652" t="s">
        <v>181</v>
      </c>
      <c r="AC652" t="s">
        <v>182</v>
      </c>
      <c r="AD652" t="s">
        <v>183</v>
      </c>
      <c r="AE652">
        <v>0</v>
      </c>
      <c r="AF652">
        <v>1</v>
      </c>
      <c r="AG652" t="s">
        <v>821</v>
      </c>
      <c r="AH652">
        <v>100</v>
      </c>
      <c r="AK652">
        <v>0</v>
      </c>
      <c r="AL652">
        <v>28200</v>
      </c>
      <c r="AM652">
        <v>28200</v>
      </c>
      <c r="AN652">
        <v>0</v>
      </c>
      <c r="AO652">
        <v>433</v>
      </c>
      <c r="AP652">
        <v>2016</v>
      </c>
      <c r="AQ652">
        <v>1.75</v>
      </c>
      <c r="AS652" t="s">
        <v>8425</v>
      </c>
      <c r="AT652" t="s">
        <v>3747</v>
      </c>
      <c r="AU652" t="s">
        <v>177</v>
      </c>
      <c r="AV652" t="s">
        <v>1030</v>
      </c>
      <c r="AW652" t="s">
        <v>182</v>
      </c>
      <c r="AX652">
        <v>0</v>
      </c>
      <c r="AY652" t="s">
        <v>312</v>
      </c>
      <c r="AZ652" t="s">
        <v>199</v>
      </c>
      <c r="BA652" t="s">
        <v>313</v>
      </c>
      <c r="BB652" t="s">
        <v>191</v>
      </c>
      <c r="BC652" t="s">
        <v>182</v>
      </c>
      <c r="BD652" t="s">
        <v>182</v>
      </c>
      <c r="BE652" t="s">
        <v>9191</v>
      </c>
      <c r="BF652">
        <v>0</v>
      </c>
      <c r="BG652">
        <v>0</v>
      </c>
      <c r="BH652">
        <v>0</v>
      </c>
      <c r="BI652" t="s">
        <v>199</v>
      </c>
      <c r="BJ652" t="s">
        <v>315</v>
      </c>
      <c r="BL652" t="s">
        <v>9192</v>
      </c>
      <c r="BM652" t="s">
        <v>286</v>
      </c>
      <c r="BN652" t="s">
        <v>182</v>
      </c>
      <c r="BO652" t="s">
        <v>198</v>
      </c>
      <c r="BP652" t="s">
        <v>198</v>
      </c>
      <c r="BQ652" t="s">
        <v>198</v>
      </c>
      <c r="BR652" t="s">
        <v>198</v>
      </c>
      <c r="BS652" t="s">
        <v>198</v>
      </c>
      <c r="BT652" t="s">
        <v>198</v>
      </c>
      <c r="BU652" t="s">
        <v>182</v>
      </c>
      <c r="BV652" t="s">
        <v>198</v>
      </c>
      <c r="BW652" t="s">
        <v>198</v>
      </c>
      <c r="BX652" t="s">
        <v>199</v>
      </c>
      <c r="BY652" t="s">
        <v>198</v>
      </c>
      <c r="BZ652" t="s">
        <v>199</v>
      </c>
      <c r="CA652" t="s">
        <v>199</v>
      </c>
      <c r="CB652" t="s">
        <v>9193</v>
      </c>
      <c r="CC652" t="s">
        <v>201</v>
      </c>
      <c r="CD652" t="s">
        <v>202</v>
      </c>
      <c r="CE652" t="s">
        <v>9194</v>
      </c>
      <c r="CF652" t="s">
        <v>1029</v>
      </c>
      <c r="CG652" t="s">
        <v>177</v>
      </c>
      <c r="CH652" t="s">
        <v>1030</v>
      </c>
      <c r="CI652" t="s">
        <v>610</v>
      </c>
      <c r="CJ652" t="s">
        <v>8379</v>
      </c>
      <c r="CK652" t="s">
        <v>232</v>
      </c>
      <c r="CL652" t="s">
        <v>233</v>
      </c>
      <c r="CM652" t="s">
        <v>9195</v>
      </c>
      <c r="CN652" t="s">
        <v>331</v>
      </c>
      <c r="CO652" t="s">
        <v>183</v>
      </c>
      <c r="CP652" t="s">
        <v>211</v>
      </c>
      <c r="CQ652" t="s">
        <v>199</v>
      </c>
      <c r="CS652" t="s">
        <v>2774</v>
      </c>
      <c r="DC652" t="s">
        <v>198</v>
      </c>
      <c r="DM652" t="s">
        <v>198</v>
      </c>
      <c r="DW652" t="s">
        <v>198</v>
      </c>
      <c r="EG652" t="s">
        <v>198</v>
      </c>
      <c r="EQ652" t="s">
        <v>198</v>
      </c>
      <c r="FA652" t="s">
        <v>198</v>
      </c>
      <c r="FK652" t="s">
        <v>198</v>
      </c>
      <c r="FU652" t="s">
        <v>198</v>
      </c>
    </row>
    <row r="653" spans="1:177">
      <c r="A653" s="1" t="str">
        <f>HYPERLINK("http://digipan.lumentumllc.com/apps/getLink/index.php?t=PropLink&amp;p=15743503","PL")</f>
        <v>PL</v>
      </c>
      <c r="B653" s="1" t="str">
        <f>HYPERLINK("http://digipan.lumentumllc.com/apps/getLink/index.php?t=TaxLink&amp;p=15743503","TL")</f>
        <v>TL</v>
      </c>
      <c r="C653" s="1" t="str">
        <f>HYPERLINK("http://digipan.lumentumllc.com/apps/getMap/index.php?p=15743503","Map")</f>
        <v>Map</v>
      </c>
      <c r="E653" t="s">
        <v>177</v>
      </c>
      <c r="F653" t="s">
        <v>178</v>
      </c>
      <c r="L653" t="s">
        <v>9196</v>
      </c>
      <c r="N653" t="s">
        <v>9196</v>
      </c>
      <c r="O653" t="s">
        <v>9196</v>
      </c>
      <c r="Q653" t="s">
        <v>9196</v>
      </c>
      <c r="V653">
        <v>747</v>
      </c>
      <c r="W653">
        <v>3</v>
      </c>
      <c r="X653">
        <v>2017</v>
      </c>
      <c r="Y653">
        <v>2018</v>
      </c>
      <c r="Z653">
        <v>2549.5300000000002</v>
      </c>
      <c r="AG653" t="s">
        <v>184</v>
      </c>
      <c r="AH653">
        <v>0</v>
      </c>
      <c r="AK653">
        <v>0</v>
      </c>
      <c r="AL653">
        <v>153765</v>
      </c>
      <c r="AM653">
        <v>15000</v>
      </c>
      <c r="AN653">
        <v>138765</v>
      </c>
      <c r="AO653">
        <v>2321</v>
      </c>
      <c r="AP653">
        <v>2016</v>
      </c>
      <c r="AQ653">
        <v>1.66</v>
      </c>
      <c r="AS653" t="s">
        <v>9197</v>
      </c>
      <c r="AT653" t="s">
        <v>3747</v>
      </c>
      <c r="AU653" t="s">
        <v>177</v>
      </c>
      <c r="AV653" t="s">
        <v>1030</v>
      </c>
      <c r="AW653" t="s">
        <v>182</v>
      </c>
      <c r="AX653">
        <v>1</v>
      </c>
      <c r="AY653" t="s">
        <v>188</v>
      </c>
      <c r="AZ653" t="s">
        <v>206</v>
      </c>
      <c r="BA653" t="s">
        <v>355</v>
      </c>
      <c r="BB653" t="s">
        <v>191</v>
      </c>
      <c r="BC653" t="s">
        <v>182</v>
      </c>
      <c r="BD653" t="s">
        <v>182</v>
      </c>
      <c r="BE653" t="s">
        <v>383</v>
      </c>
      <c r="BF653">
        <v>1</v>
      </c>
      <c r="BG653">
        <v>1</v>
      </c>
      <c r="BH653">
        <v>2009</v>
      </c>
      <c r="BI653" t="s">
        <v>9198</v>
      </c>
      <c r="BJ653" t="s">
        <v>194</v>
      </c>
      <c r="BK653" t="s">
        <v>195</v>
      </c>
      <c r="BL653" t="s">
        <v>199</v>
      </c>
      <c r="BM653" t="s">
        <v>197</v>
      </c>
      <c r="BN653" t="s">
        <v>182</v>
      </c>
      <c r="BO653" t="s">
        <v>9199</v>
      </c>
      <c r="BP653" t="s">
        <v>9200</v>
      </c>
      <c r="BQ653" t="s">
        <v>800</v>
      </c>
      <c r="BR653" t="s">
        <v>4682</v>
      </c>
      <c r="BS653" t="s">
        <v>198</v>
      </c>
      <c r="BT653" t="s">
        <v>9201</v>
      </c>
      <c r="BU653" t="s">
        <v>182</v>
      </c>
      <c r="BV653" t="s">
        <v>198</v>
      </c>
      <c r="BW653" t="s">
        <v>198</v>
      </c>
      <c r="BX653" t="s">
        <v>199</v>
      </c>
      <c r="BY653" t="s">
        <v>198</v>
      </c>
      <c r="BZ653" t="s">
        <v>199</v>
      </c>
      <c r="CA653" t="s">
        <v>199</v>
      </c>
      <c r="CB653" t="s">
        <v>9202</v>
      </c>
      <c r="CC653" t="s">
        <v>201</v>
      </c>
      <c r="CD653" t="s">
        <v>202</v>
      </c>
      <c r="CE653" t="s">
        <v>9194</v>
      </c>
      <c r="CF653" t="s">
        <v>1029</v>
      </c>
      <c r="CG653" t="s">
        <v>177</v>
      </c>
      <c r="CH653" t="s">
        <v>1030</v>
      </c>
      <c r="CI653" t="s">
        <v>4099</v>
      </c>
      <c r="CS653" t="s">
        <v>198</v>
      </c>
      <c r="DC653" t="s">
        <v>198</v>
      </c>
      <c r="DM653" t="s">
        <v>198</v>
      </c>
      <c r="DW653" t="s">
        <v>198</v>
      </c>
      <c r="EG653" t="s">
        <v>198</v>
      </c>
      <c r="EQ653" t="s">
        <v>198</v>
      </c>
      <c r="FA653" t="s">
        <v>198</v>
      </c>
      <c r="FK653" t="s">
        <v>198</v>
      </c>
      <c r="FU653" t="s">
        <v>198</v>
      </c>
    </row>
    <row r="654" spans="1:177">
      <c r="A654" s="1" t="str">
        <f>HYPERLINK("http://digipan.lumentumllc.com/apps/getLink/index.php?t=PropLink&amp;p=5245461","PL")</f>
        <v>PL</v>
      </c>
      <c r="B654" s="1" t="str">
        <f>HYPERLINK("http://digipan.lumentumllc.com/apps/getLink/index.php?t=TaxLink&amp;p=5245461","TL")</f>
        <v>TL</v>
      </c>
      <c r="C654" s="1" t="str">
        <f>HYPERLINK("http://digipan.lumentumllc.com/apps/getMap/index.php?p=5245461","Map")</f>
        <v>Map</v>
      </c>
      <c r="E654" t="s">
        <v>177</v>
      </c>
      <c r="F654" t="s">
        <v>178</v>
      </c>
      <c r="L654" t="s">
        <v>9203</v>
      </c>
      <c r="N654" t="s">
        <v>9203</v>
      </c>
      <c r="O654" t="s">
        <v>9203</v>
      </c>
      <c r="P654" t="s">
        <v>9204</v>
      </c>
      <c r="Q654" t="s">
        <v>9203</v>
      </c>
      <c r="V654">
        <v>748</v>
      </c>
      <c r="W654">
        <v>3</v>
      </c>
      <c r="X654">
        <v>2017</v>
      </c>
      <c r="Y654">
        <v>2018</v>
      </c>
      <c r="Z654">
        <v>277.60000000000002</v>
      </c>
      <c r="AB654" t="s">
        <v>181</v>
      </c>
      <c r="AC654" t="s">
        <v>182</v>
      </c>
      <c r="AD654" t="s">
        <v>183</v>
      </c>
      <c r="AE654">
        <v>0</v>
      </c>
      <c r="AF654">
        <v>1</v>
      </c>
      <c r="AG654" t="s">
        <v>821</v>
      </c>
      <c r="AH654">
        <v>100</v>
      </c>
      <c r="AK654">
        <v>0</v>
      </c>
      <c r="AL654">
        <v>15000</v>
      </c>
      <c r="AM654">
        <v>15000</v>
      </c>
      <c r="AN654">
        <v>0</v>
      </c>
      <c r="AO654">
        <v>184</v>
      </c>
      <c r="AP654">
        <v>2016</v>
      </c>
      <c r="AQ654">
        <v>1.85</v>
      </c>
      <c r="AS654" t="s">
        <v>8425</v>
      </c>
      <c r="AT654" t="s">
        <v>3747</v>
      </c>
      <c r="AU654" t="s">
        <v>177</v>
      </c>
      <c r="AV654" t="s">
        <v>1030</v>
      </c>
      <c r="AW654" t="s">
        <v>182</v>
      </c>
      <c r="AX654">
        <v>0</v>
      </c>
      <c r="AY654" t="s">
        <v>312</v>
      </c>
      <c r="AZ654" t="s">
        <v>199</v>
      </c>
      <c r="BA654" t="s">
        <v>313</v>
      </c>
      <c r="BB654" t="s">
        <v>191</v>
      </c>
      <c r="BC654" t="s">
        <v>182</v>
      </c>
      <c r="BD654" t="s">
        <v>182</v>
      </c>
      <c r="BE654" t="s">
        <v>383</v>
      </c>
      <c r="BF654">
        <v>0</v>
      </c>
      <c r="BG654">
        <v>0</v>
      </c>
      <c r="BH654">
        <v>0</v>
      </c>
      <c r="BI654" t="s">
        <v>199</v>
      </c>
      <c r="BJ654" t="s">
        <v>315</v>
      </c>
      <c r="BL654" t="s">
        <v>196</v>
      </c>
      <c r="BM654" t="s">
        <v>232</v>
      </c>
      <c r="BN654" t="s">
        <v>182</v>
      </c>
      <c r="BO654" t="s">
        <v>198</v>
      </c>
      <c r="BP654" t="s">
        <v>198</v>
      </c>
      <c r="BQ654" t="s">
        <v>198</v>
      </c>
      <c r="BR654" t="s">
        <v>198</v>
      </c>
      <c r="BS654" t="s">
        <v>198</v>
      </c>
      <c r="BT654" t="s">
        <v>198</v>
      </c>
      <c r="BU654" t="s">
        <v>182</v>
      </c>
      <c r="BV654" t="s">
        <v>198</v>
      </c>
      <c r="BW654" t="s">
        <v>198</v>
      </c>
      <c r="BX654" t="s">
        <v>199</v>
      </c>
      <c r="BY654" t="s">
        <v>198</v>
      </c>
      <c r="BZ654" t="s">
        <v>199</v>
      </c>
      <c r="CA654" t="s">
        <v>199</v>
      </c>
      <c r="CB654" t="s">
        <v>9193</v>
      </c>
      <c r="CC654" t="s">
        <v>201</v>
      </c>
      <c r="CD654" t="s">
        <v>202</v>
      </c>
      <c r="CE654" t="s">
        <v>9194</v>
      </c>
      <c r="CF654" t="s">
        <v>1029</v>
      </c>
      <c r="CG654" t="s">
        <v>177</v>
      </c>
      <c r="CH654" t="s">
        <v>1030</v>
      </c>
      <c r="CI654" t="s">
        <v>4622</v>
      </c>
      <c r="CJ654" t="s">
        <v>9116</v>
      </c>
      <c r="CK654" t="s">
        <v>232</v>
      </c>
      <c r="CL654" t="s">
        <v>233</v>
      </c>
      <c r="CM654" t="s">
        <v>1195</v>
      </c>
      <c r="CN654" t="s">
        <v>235</v>
      </c>
      <c r="CO654" t="s">
        <v>183</v>
      </c>
      <c r="CP654" t="s">
        <v>211</v>
      </c>
      <c r="CQ654" t="s">
        <v>199</v>
      </c>
      <c r="CS654" t="s">
        <v>2774</v>
      </c>
      <c r="DC654" t="s">
        <v>198</v>
      </c>
      <c r="DM654" t="s">
        <v>198</v>
      </c>
      <c r="DW654" t="s">
        <v>198</v>
      </c>
      <c r="EG654" t="s">
        <v>198</v>
      </c>
      <c r="EQ654" t="s">
        <v>198</v>
      </c>
      <c r="FA654" t="s">
        <v>198</v>
      </c>
      <c r="FK654" t="s">
        <v>198</v>
      </c>
      <c r="FU654" t="s">
        <v>198</v>
      </c>
    </row>
    <row r="655" spans="1:177">
      <c r="A655" s="1" t="str">
        <f>HYPERLINK("http://digipan.lumentumllc.com/apps/getLink/index.php?t=PropLink&amp;p=6594159","PL")</f>
        <v>PL</v>
      </c>
      <c r="B655" s="1" t="str">
        <f>HYPERLINK("http://digipan.lumentumllc.com/apps/getLink/index.php?t=TaxLink&amp;p=6594159","TL")</f>
        <v>TL</v>
      </c>
      <c r="C655" s="1" t="str">
        <f>HYPERLINK("http://digipan.lumentumllc.com/apps/getMap/index.php?p=6594159","Map")</f>
        <v>Map</v>
      </c>
      <c r="E655" t="s">
        <v>177</v>
      </c>
      <c r="F655" t="s">
        <v>178</v>
      </c>
      <c r="L655" t="s">
        <v>9205</v>
      </c>
      <c r="N655" t="s">
        <v>9205</v>
      </c>
      <c r="O655" t="s">
        <v>9205</v>
      </c>
      <c r="P655" t="s">
        <v>9206</v>
      </c>
      <c r="Q655" t="s">
        <v>9205</v>
      </c>
      <c r="V655">
        <v>750</v>
      </c>
      <c r="W655">
        <v>3</v>
      </c>
      <c r="X655">
        <v>2017</v>
      </c>
      <c r="Y655">
        <v>2018</v>
      </c>
      <c r="Z655">
        <v>880.26</v>
      </c>
      <c r="AB655" t="s">
        <v>181</v>
      </c>
      <c r="AC655" t="s">
        <v>182</v>
      </c>
      <c r="AD655" t="s">
        <v>183</v>
      </c>
      <c r="AE655">
        <v>2</v>
      </c>
      <c r="AF655">
        <v>0</v>
      </c>
      <c r="AG655" t="s">
        <v>1737</v>
      </c>
      <c r="AH655">
        <v>0</v>
      </c>
      <c r="AI655">
        <v>686.88</v>
      </c>
      <c r="AJ655">
        <v>50.58</v>
      </c>
      <c r="AK655">
        <v>737.46</v>
      </c>
      <c r="AL655">
        <v>51810</v>
      </c>
      <c r="AM655">
        <v>13500</v>
      </c>
      <c r="AN655">
        <v>38310</v>
      </c>
      <c r="AO655">
        <v>291</v>
      </c>
      <c r="AP655">
        <v>2016</v>
      </c>
      <c r="AQ655">
        <v>1.7</v>
      </c>
      <c r="AR655">
        <v>1.42</v>
      </c>
      <c r="AS655" t="s">
        <v>9207</v>
      </c>
      <c r="AT655" t="s">
        <v>3747</v>
      </c>
      <c r="AU655" t="s">
        <v>177</v>
      </c>
      <c r="AV655" t="s">
        <v>1030</v>
      </c>
      <c r="AW655" t="s">
        <v>182</v>
      </c>
      <c r="AX655">
        <v>2</v>
      </c>
      <c r="AY655" t="s">
        <v>188</v>
      </c>
      <c r="AZ655" t="s">
        <v>189</v>
      </c>
      <c r="BA655" t="s">
        <v>190</v>
      </c>
      <c r="BB655" t="s">
        <v>191</v>
      </c>
      <c r="BC655" t="s">
        <v>182</v>
      </c>
      <c r="BD655" t="s">
        <v>182</v>
      </c>
      <c r="BE655" t="s">
        <v>383</v>
      </c>
      <c r="BF655">
        <v>1</v>
      </c>
      <c r="BG655">
        <v>1</v>
      </c>
      <c r="BH655">
        <v>2007</v>
      </c>
      <c r="BI655" t="s">
        <v>1271</v>
      </c>
      <c r="BJ655" t="s">
        <v>194</v>
      </c>
      <c r="BL655" t="s">
        <v>199</v>
      </c>
      <c r="BM655" t="s">
        <v>207</v>
      </c>
      <c r="BN655" t="s">
        <v>182</v>
      </c>
      <c r="BO655" t="s">
        <v>198</v>
      </c>
      <c r="BP655" t="s">
        <v>198</v>
      </c>
      <c r="BQ655" t="s">
        <v>198</v>
      </c>
      <c r="BR655" t="s">
        <v>198</v>
      </c>
      <c r="BS655" t="s">
        <v>198</v>
      </c>
      <c r="BT655" t="s">
        <v>198</v>
      </c>
      <c r="BU655" t="s">
        <v>182</v>
      </c>
      <c r="BV655" t="s">
        <v>198</v>
      </c>
      <c r="BW655" t="s">
        <v>198</v>
      </c>
      <c r="BX655" t="s">
        <v>199</v>
      </c>
      <c r="BY655" t="s">
        <v>198</v>
      </c>
      <c r="BZ655" t="s">
        <v>199</v>
      </c>
      <c r="CA655" t="s">
        <v>199</v>
      </c>
      <c r="CB655" t="s">
        <v>9208</v>
      </c>
      <c r="CC655" t="s">
        <v>201</v>
      </c>
      <c r="CD655" t="s">
        <v>182</v>
      </c>
      <c r="CE655" t="s">
        <v>9209</v>
      </c>
      <c r="CF655" t="s">
        <v>1029</v>
      </c>
      <c r="CG655" t="s">
        <v>177</v>
      </c>
      <c r="CH655" t="s">
        <v>1030</v>
      </c>
      <c r="CI655" t="s">
        <v>9132</v>
      </c>
      <c r="CJ655" t="s">
        <v>5715</v>
      </c>
      <c r="CK655" t="s">
        <v>232</v>
      </c>
      <c r="CL655" t="s">
        <v>233</v>
      </c>
      <c r="CM655" t="s">
        <v>9210</v>
      </c>
      <c r="CN655" t="s">
        <v>341</v>
      </c>
      <c r="CO655" t="s">
        <v>183</v>
      </c>
      <c r="CP655" t="s">
        <v>266</v>
      </c>
      <c r="CS655" t="s">
        <v>198</v>
      </c>
      <c r="CT655" t="s">
        <v>8654</v>
      </c>
      <c r="CU655" t="s">
        <v>292</v>
      </c>
      <c r="CV655" t="s">
        <v>293</v>
      </c>
      <c r="CW655" t="s">
        <v>9211</v>
      </c>
      <c r="CX655" t="s">
        <v>235</v>
      </c>
      <c r="CY655" t="s">
        <v>183</v>
      </c>
      <c r="CZ655" t="s">
        <v>266</v>
      </c>
      <c r="DC655" t="s">
        <v>198</v>
      </c>
      <c r="DM655" t="s">
        <v>198</v>
      </c>
      <c r="DW655" t="s">
        <v>198</v>
      </c>
      <c r="EG655" t="s">
        <v>198</v>
      </c>
      <c r="EQ655" t="s">
        <v>198</v>
      </c>
      <c r="FA655" t="s">
        <v>198</v>
      </c>
      <c r="FK655" t="s">
        <v>198</v>
      </c>
      <c r="FU655" t="s">
        <v>198</v>
      </c>
    </row>
    <row r="656" spans="1:177">
      <c r="A656" s="1" t="str">
        <f>HYPERLINK("http://digipan.lumentumllc.com/apps/getLink/index.php?t=PropLink&amp;p=6886683","PL")</f>
        <v>PL</v>
      </c>
      <c r="B656" s="1" t="str">
        <f>HYPERLINK("http://digipan.lumentumllc.com/apps/getLink/index.php?t=TaxLink&amp;p=6886683","TL")</f>
        <v>TL</v>
      </c>
      <c r="C656" s="1" t="str">
        <f>HYPERLINK("http://digipan.lumentumllc.com/apps/getMap/index.php?p=6886683","Map")</f>
        <v>Map</v>
      </c>
      <c r="E656" t="s">
        <v>177</v>
      </c>
      <c r="F656" t="s">
        <v>178</v>
      </c>
      <c r="L656" t="s">
        <v>9212</v>
      </c>
      <c r="N656" t="s">
        <v>9212</v>
      </c>
      <c r="O656" t="s">
        <v>9212</v>
      </c>
      <c r="P656" t="s">
        <v>9213</v>
      </c>
      <c r="Q656" t="s">
        <v>9212</v>
      </c>
      <c r="V656">
        <v>751</v>
      </c>
      <c r="W656">
        <v>3</v>
      </c>
      <c r="X656">
        <v>2017</v>
      </c>
      <c r="Y656">
        <v>2018</v>
      </c>
      <c r="Z656">
        <v>1067.28</v>
      </c>
      <c r="AB656" t="s">
        <v>181</v>
      </c>
      <c r="AC656" t="s">
        <v>182</v>
      </c>
      <c r="AD656" t="s">
        <v>183</v>
      </c>
      <c r="AE656">
        <v>0</v>
      </c>
      <c r="AF656">
        <v>2</v>
      </c>
      <c r="AG656" t="s">
        <v>216</v>
      </c>
      <c r="AH656">
        <v>100</v>
      </c>
      <c r="AK656">
        <v>0</v>
      </c>
      <c r="AL656">
        <v>70085</v>
      </c>
      <c r="AM656">
        <v>13500</v>
      </c>
      <c r="AN656">
        <v>56585</v>
      </c>
      <c r="AO656">
        <v>809</v>
      </c>
      <c r="AP656">
        <v>2016</v>
      </c>
      <c r="AQ656">
        <v>1.52</v>
      </c>
      <c r="AS656" t="s">
        <v>9214</v>
      </c>
      <c r="AT656" t="s">
        <v>3747</v>
      </c>
      <c r="AU656" t="s">
        <v>177</v>
      </c>
      <c r="AV656" t="s">
        <v>1030</v>
      </c>
      <c r="AW656" t="s">
        <v>182</v>
      </c>
      <c r="AX656">
        <v>2</v>
      </c>
      <c r="AY656" t="s">
        <v>188</v>
      </c>
      <c r="AZ656" t="s">
        <v>189</v>
      </c>
      <c r="BA656" t="s">
        <v>190</v>
      </c>
      <c r="BB656" t="s">
        <v>191</v>
      </c>
      <c r="BC656" t="s">
        <v>182</v>
      </c>
      <c r="BD656" t="s">
        <v>182</v>
      </c>
      <c r="BE656" t="s">
        <v>383</v>
      </c>
      <c r="BF656">
        <v>1</v>
      </c>
      <c r="BG656">
        <v>1</v>
      </c>
      <c r="BH656">
        <v>2001</v>
      </c>
      <c r="BI656" t="s">
        <v>7155</v>
      </c>
      <c r="BJ656" t="s">
        <v>194</v>
      </c>
      <c r="BK656" t="s">
        <v>195</v>
      </c>
      <c r="BL656" t="s">
        <v>2281</v>
      </c>
      <c r="BM656" t="s">
        <v>267</v>
      </c>
      <c r="BN656" t="s">
        <v>182</v>
      </c>
      <c r="BO656" t="s">
        <v>9215</v>
      </c>
      <c r="BP656" t="s">
        <v>5560</v>
      </c>
      <c r="BQ656" t="s">
        <v>226</v>
      </c>
      <c r="BR656" t="s">
        <v>227</v>
      </c>
      <c r="BS656" t="s">
        <v>198</v>
      </c>
      <c r="BT656" t="s">
        <v>228</v>
      </c>
      <c r="BU656" t="s">
        <v>182</v>
      </c>
      <c r="BV656" t="s">
        <v>198</v>
      </c>
      <c r="BW656" t="s">
        <v>198</v>
      </c>
      <c r="BX656" t="s">
        <v>199</v>
      </c>
      <c r="BY656" t="s">
        <v>198</v>
      </c>
      <c r="BZ656" t="s">
        <v>199</v>
      </c>
      <c r="CA656" t="s">
        <v>199</v>
      </c>
      <c r="CB656" t="s">
        <v>9216</v>
      </c>
      <c r="CC656" t="s">
        <v>201</v>
      </c>
      <c r="CD656" t="s">
        <v>182</v>
      </c>
      <c r="CE656" t="s">
        <v>9217</v>
      </c>
      <c r="CF656" t="s">
        <v>1029</v>
      </c>
      <c r="CG656" t="s">
        <v>177</v>
      </c>
      <c r="CH656" t="s">
        <v>1030</v>
      </c>
      <c r="CI656" t="s">
        <v>9218</v>
      </c>
      <c r="CJ656" t="s">
        <v>8230</v>
      </c>
      <c r="CK656" t="s">
        <v>292</v>
      </c>
      <c r="CL656" t="s">
        <v>293</v>
      </c>
      <c r="CM656" t="s">
        <v>9219</v>
      </c>
      <c r="CN656" t="s">
        <v>235</v>
      </c>
      <c r="CO656" t="s">
        <v>183</v>
      </c>
      <c r="CP656" t="s">
        <v>211</v>
      </c>
      <c r="CQ656" t="s">
        <v>206</v>
      </c>
      <c r="CS656" t="s">
        <v>4688</v>
      </c>
      <c r="CT656" t="s">
        <v>5622</v>
      </c>
      <c r="CU656" t="s">
        <v>267</v>
      </c>
      <c r="CV656" t="s">
        <v>268</v>
      </c>
      <c r="CW656" t="s">
        <v>9220</v>
      </c>
      <c r="CX656" t="s">
        <v>235</v>
      </c>
      <c r="CY656" t="s">
        <v>183</v>
      </c>
      <c r="CZ656" t="s">
        <v>211</v>
      </c>
      <c r="DA656" t="s">
        <v>306</v>
      </c>
      <c r="DC656" t="s">
        <v>4688</v>
      </c>
      <c r="DM656" t="s">
        <v>198</v>
      </c>
      <c r="DW656" t="s">
        <v>198</v>
      </c>
      <c r="EG656" t="s">
        <v>198</v>
      </c>
      <c r="EQ656" t="s">
        <v>198</v>
      </c>
      <c r="FA656" t="s">
        <v>198</v>
      </c>
      <c r="FK656" t="s">
        <v>198</v>
      </c>
      <c r="FU656" t="s">
        <v>198</v>
      </c>
    </row>
    <row r="657" spans="1:177">
      <c r="A657" s="1" t="str">
        <f>HYPERLINK("http://digipan.lumentumllc.com/apps/getLink/index.php?t=PropLink&amp;p=6128947","PL")</f>
        <v>PL</v>
      </c>
      <c r="B657" s="1" t="str">
        <f>HYPERLINK("http://digipan.lumentumllc.com/apps/getLink/index.php?t=TaxLink&amp;p=6128947","TL")</f>
        <v>TL</v>
      </c>
      <c r="C657" s="1" t="str">
        <f>HYPERLINK("http://digipan.lumentumllc.com/apps/getMap/index.php?p=6128947","Map")</f>
        <v>Map</v>
      </c>
      <c r="E657" t="s">
        <v>177</v>
      </c>
      <c r="F657" t="s">
        <v>178</v>
      </c>
      <c r="L657" t="s">
        <v>9221</v>
      </c>
      <c r="N657" t="s">
        <v>9221</v>
      </c>
      <c r="O657" t="s">
        <v>9221</v>
      </c>
      <c r="P657" t="s">
        <v>9222</v>
      </c>
      <c r="Q657" t="s">
        <v>9221</v>
      </c>
      <c r="V657">
        <v>752</v>
      </c>
      <c r="W657">
        <v>3</v>
      </c>
      <c r="X657">
        <v>2017</v>
      </c>
      <c r="Y657">
        <v>2018</v>
      </c>
      <c r="Z657">
        <v>2333.73</v>
      </c>
      <c r="AG657" t="s">
        <v>184</v>
      </c>
      <c r="AH657">
        <v>0</v>
      </c>
      <c r="AK657">
        <v>0</v>
      </c>
      <c r="AL657">
        <v>171829</v>
      </c>
      <c r="AM657">
        <v>13500</v>
      </c>
      <c r="AN657">
        <v>158329</v>
      </c>
      <c r="AO657">
        <v>2170</v>
      </c>
      <c r="AP657">
        <v>2016</v>
      </c>
      <c r="AQ657">
        <v>1.36</v>
      </c>
      <c r="AS657" t="s">
        <v>9223</v>
      </c>
      <c r="AT657" t="s">
        <v>3747</v>
      </c>
      <c r="AU657" t="s">
        <v>177</v>
      </c>
      <c r="AV657" t="s">
        <v>1030</v>
      </c>
      <c r="AW657" t="s">
        <v>202</v>
      </c>
      <c r="AX657">
        <v>1</v>
      </c>
      <c r="AY657" t="s">
        <v>188</v>
      </c>
      <c r="AZ657" t="s">
        <v>206</v>
      </c>
      <c r="BA657" t="s">
        <v>355</v>
      </c>
      <c r="BB657" t="s">
        <v>191</v>
      </c>
      <c r="BC657" t="s">
        <v>182</v>
      </c>
      <c r="BD657" t="s">
        <v>182</v>
      </c>
      <c r="BE657" t="s">
        <v>383</v>
      </c>
      <c r="BF657">
        <v>1</v>
      </c>
      <c r="BG657">
        <v>1</v>
      </c>
      <c r="BH657">
        <v>2000</v>
      </c>
      <c r="BI657" t="s">
        <v>9224</v>
      </c>
      <c r="BJ657" t="s">
        <v>194</v>
      </c>
      <c r="BK657" t="s">
        <v>195</v>
      </c>
      <c r="BL657" t="s">
        <v>9225</v>
      </c>
      <c r="BM657" t="s">
        <v>1825</v>
      </c>
      <c r="BN657" t="s">
        <v>182</v>
      </c>
      <c r="BO657" t="s">
        <v>198</v>
      </c>
      <c r="BP657" t="s">
        <v>198</v>
      </c>
      <c r="BQ657" t="s">
        <v>198</v>
      </c>
      <c r="BR657" t="s">
        <v>198</v>
      </c>
      <c r="BS657" t="s">
        <v>198</v>
      </c>
      <c r="BT657" t="s">
        <v>198</v>
      </c>
      <c r="BU657" t="s">
        <v>182</v>
      </c>
      <c r="BV657" t="s">
        <v>198</v>
      </c>
      <c r="BW657" t="s">
        <v>198</v>
      </c>
      <c r="BX657" t="s">
        <v>199</v>
      </c>
      <c r="BY657" t="s">
        <v>198</v>
      </c>
      <c r="BZ657" t="s">
        <v>199</v>
      </c>
      <c r="CA657" t="s">
        <v>199</v>
      </c>
      <c r="CB657" t="s">
        <v>9226</v>
      </c>
      <c r="CC657" t="s">
        <v>201</v>
      </c>
      <c r="CD657" t="s">
        <v>202</v>
      </c>
      <c r="CE657" t="s">
        <v>9227</v>
      </c>
      <c r="CF657" t="s">
        <v>1029</v>
      </c>
      <c r="CG657" t="s">
        <v>177</v>
      </c>
      <c r="CH657" t="s">
        <v>1030</v>
      </c>
      <c r="CI657" t="s">
        <v>9228</v>
      </c>
      <c r="CS657" t="s">
        <v>198</v>
      </c>
      <c r="DC657" t="s">
        <v>198</v>
      </c>
      <c r="DM657" t="s">
        <v>198</v>
      </c>
      <c r="DW657" t="s">
        <v>198</v>
      </c>
      <c r="EG657" t="s">
        <v>198</v>
      </c>
      <c r="EQ657" t="s">
        <v>198</v>
      </c>
      <c r="FA657" t="s">
        <v>198</v>
      </c>
      <c r="FK657" t="s">
        <v>198</v>
      </c>
      <c r="FU657" t="s">
        <v>198</v>
      </c>
    </row>
    <row r="658" spans="1:177">
      <c r="A658" s="1" t="str">
        <f>HYPERLINK("http://digipan.lumentumllc.com/apps/getLink/index.php?t=PropLink&amp;p=4637488","PL")</f>
        <v>PL</v>
      </c>
      <c r="B658" s="1" t="str">
        <f>HYPERLINK("http://digipan.lumentumllc.com/apps/getLink/index.php?t=TaxLink&amp;p=4637488","TL")</f>
        <v>TL</v>
      </c>
      <c r="C658" s="1" t="str">
        <f>HYPERLINK("http://digipan.lumentumllc.com/apps/getMap/index.php?p=4637488","Map")</f>
        <v>Map</v>
      </c>
      <c r="E658" t="s">
        <v>177</v>
      </c>
      <c r="F658" t="s">
        <v>178</v>
      </c>
      <c r="L658" t="s">
        <v>9229</v>
      </c>
      <c r="N658" t="s">
        <v>9229</v>
      </c>
      <c r="O658" t="s">
        <v>9229</v>
      </c>
      <c r="P658" t="s">
        <v>9230</v>
      </c>
      <c r="Q658" t="s">
        <v>9229</v>
      </c>
      <c r="V658">
        <v>753</v>
      </c>
      <c r="W658">
        <v>3</v>
      </c>
      <c r="X658">
        <v>2017</v>
      </c>
      <c r="Y658">
        <v>2018</v>
      </c>
      <c r="Z658">
        <v>512.65</v>
      </c>
      <c r="AB658" t="s">
        <v>181</v>
      </c>
      <c r="AC658" t="s">
        <v>182</v>
      </c>
      <c r="AD658" t="s">
        <v>183</v>
      </c>
      <c r="AE658">
        <v>0</v>
      </c>
      <c r="AF658">
        <v>4</v>
      </c>
      <c r="AG658" t="s">
        <v>381</v>
      </c>
      <c r="AH658">
        <v>100</v>
      </c>
      <c r="AK658">
        <v>0</v>
      </c>
      <c r="AL658">
        <v>69962</v>
      </c>
      <c r="AM658">
        <v>13500</v>
      </c>
      <c r="AN658">
        <v>56462</v>
      </c>
      <c r="AO658">
        <v>443</v>
      </c>
      <c r="AP658">
        <v>2016</v>
      </c>
      <c r="AQ658">
        <v>0.73</v>
      </c>
      <c r="AS658" t="s">
        <v>9231</v>
      </c>
      <c r="AT658" t="s">
        <v>3747</v>
      </c>
      <c r="AU658" t="s">
        <v>177</v>
      </c>
      <c r="AV658" t="s">
        <v>1030</v>
      </c>
      <c r="AW658" t="s">
        <v>202</v>
      </c>
      <c r="AX658">
        <v>1</v>
      </c>
      <c r="AY658" t="s">
        <v>188</v>
      </c>
      <c r="AZ658" t="s">
        <v>206</v>
      </c>
      <c r="BA658" t="s">
        <v>355</v>
      </c>
      <c r="BB658" t="s">
        <v>191</v>
      </c>
      <c r="BC658" t="s">
        <v>182</v>
      </c>
      <c r="BD658" t="s">
        <v>182</v>
      </c>
      <c r="BE658" t="s">
        <v>383</v>
      </c>
      <c r="BF658">
        <v>1</v>
      </c>
      <c r="BG658">
        <v>1</v>
      </c>
      <c r="BH658">
        <v>1982</v>
      </c>
      <c r="BI658" t="s">
        <v>9232</v>
      </c>
      <c r="BJ658" t="s">
        <v>194</v>
      </c>
      <c r="BK658" t="s">
        <v>195</v>
      </c>
      <c r="BL658" t="s">
        <v>9233</v>
      </c>
      <c r="BM658" t="s">
        <v>4973</v>
      </c>
      <c r="BN658" t="s">
        <v>182</v>
      </c>
      <c r="BO658" t="s">
        <v>1283</v>
      </c>
      <c r="BP658" t="s">
        <v>9234</v>
      </c>
      <c r="BQ658" t="s">
        <v>562</v>
      </c>
      <c r="BR658" t="s">
        <v>582</v>
      </c>
      <c r="BS658" t="s">
        <v>198</v>
      </c>
      <c r="BT658" t="s">
        <v>9235</v>
      </c>
      <c r="BU658" t="s">
        <v>182</v>
      </c>
      <c r="BV658" t="s">
        <v>198</v>
      </c>
      <c r="BW658" t="s">
        <v>198</v>
      </c>
      <c r="BX658" t="s">
        <v>199</v>
      </c>
      <c r="BY658" t="s">
        <v>198</v>
      </c>
      <c r="BZ658" t="s">
        <v>199</v>
      </c>
      <c r="CA658" t="s">
        <v>199</v>
      </c>
      <c r="CB658" t="s">
        <v>9236</v>
      </c>
      <c r="CC658" t="s">
        <v>201</v>
      </c>
      <c r="CD658" t="s">
        <v>182</v>
      </c>
      <c r="CE658" t="s">
        <v>9237</v>
      </c>
      <c r="CF658" t="s">
        <v>1029</v>
      </c>
      <c r="CG658" t="s">
        <v>177</v>
      </c>
      <c r="CH658" t="s">
        <v>1030</v>
      </c>
      <c r="CI658" t="s">
        <v>9238</v>
      </c>
      <c r="CJ658" t="s">
        <v>8865</v>
      </c>
      <c r="CK658" t="s">
        <v>232</v>
      </c>
      <c r="CL658" t="s">
        <v>233</v>
      </c>
      <c r="CM658" t="s">
        <v>9239</v>
      </c>
      <c r="CN658" t="s">
        <v>235</v>
      </c>
      <c r="CO658" t="s">
        <v>183</v>
      </c>
      <c r="CP658" t="s">
        <v>211</v>
      </c>
      <c r="CQ658" t="s">
        <v>199</v>
      </c>
      <c r="CS658" t="s">
        <v>2149</v>
      </c>
      <c r="CT658" t="s">
        <v>9240</v>
      </c>
      <c r="CU658" t="s">
        <v>302</v>
      </c>
      <c r="CV658" t="s">
        <v>303</v>
      </c>
      <c r="CW658" t="s">
        <v>9241</v>
      </c>
      <c r="CX658" t="s">
        <v>235</v>
      </c>
      <c r="CY658" t="s">
        <v>183</v>
      </c>
      <c r="CZ658" t="s">
        <v>211</v>
      </c>
      <c r="DA658" t="s">
        <v>339</v>
      </c>
      <c r="DC658" t="s">
        <v>9242</v>
      </c>
      <c r="DD658" t="s">
        <v>9243</v>
      </c>
      <c r="DE658" t="s">
        <v>238</v>
      </c>
      <c r="DF658" t="s">
        <v>239</v>
      </c>
      <c r="DG658" t="s">
        <v>9244</v>
      </c>
      <c r="DH658" t="s">
        <v>235</v>
      </c>
      <c r="DI658" t="s">
        <v>183</v>
      </c>
      <c r="DJ658" t="s">
        <v>211</v>
      </c>
      <c r="DK658" t="s">
        <v>189</v>
      </c>
      <c r="DM658" t="s">
        <v>9245</v>
      </c>
      <c r="DN658" t="s">
        <v>9246</v>
      </c>
      <c r="DO658" t="s">
        <v>207</v>
      </c>
      <c r="DP658" t="s">
        <v>208</v>
      </c>
      <c r="DQ658" t="s">
        <v>9247</v>
      </c>
      <c r="DR658" t="s">
        <v>688</v>
      </c>
      <c r="DS658" t="s">
        <v>183</v>
      </c>
      <c r="DT658" t="s">
        <v>211</v>
      </c>
      <c r="DU658" t="s">
        <v>206</v>
      </c>
      <c r="DW658" t="s">
        <v>9248</v>
      </c>
      <c r="EG658" t="s">
        <v>198</v>
      </c>
      <c r="EQ658" t="s">
        <v>198</v>
      </c>
      <c r="FA658" t="s">
        <v>198</v>
      </c>
      <c r="FK658" t="s">
        <v>198</v>
      </c>
      <c r="FU658" t="s">
        <v>198</v>
      </c>
    </row>
    <row r="659" spans="1:177">
      <c r="A659" s="1" t="str">
        <f>HYPERLINK("http://digipan.lumentumllc.com/apps/getLink/index.php?t=PropLink&amp;p=6461806","PL")</f>
        <v>PL</v>
      </c>
      <c r="B659" s="1" t="str">
        <f>HYPERLINK("http://digipan.lumentumllc.com/apps/getLink/index.php?t=TaxLink&amp;p=6461806","TL")</f>
        <v>TL</v>
      </c>
      <c r="C659" s="1" t="str">
        <f>HYPERLINK("http://digipan.lumentumllc.com/apps/getMap/index.php?p=6461806","Map")</f>
        <v>Map</v>
      </c>
      <c r="E659" t="s">
        <v>177</v>
      </c>
      <c r="F659" t="s">
        <v>178</v>
      </c>
      <c r="L659" t="s">
        <v>9249</v>
      </c>
      <c r="N659" t="s">
        <v>9249</v>
      </c>
      <c r="O659" t="s">
        <v>9249</v>
      </c>
      <c r="P659" t="s">
        <v>9250</v>
      </c>
      <c r="Q659" t="s">
        <v>9249</v>
      </c>
      <c r="V659">
        <v>754</v>
      </c>
      <c r="W659">
        <v>3</v>
      </c>
      <c r="X659">
        <v>2017</v>
      </c>
      <c r="Y659">
        <v>2018</v>
      </c>
      <c r="Z659">
        <v>684.42</v>
      </c>
      <c r="AB659" t="s">
        <v>181</v>
      </c>
      <c r="AC659" t="s">
        <v>182</v>
      </c>
      <c r="AD659" t="s">
        <v>183</v>
      </c>
      <c r="AE659">
        <v>0</v>
      </c>
      <c r="AF659">
        <v>2</v>
      </c>
      <c r="AG659" t="s">
        <v>216</v>
      </c>
      <c r="AH659">
        <v>100</v>
      </c>
      <c r="AK659">
        <v>0</v>
      </c>
      <c r="AL659">
        <v>39848</v>
      </c>
      <c r="AM659">
        <v>28500</v>
      </c>
      <c r="AN659">
        <v>11348</v>
      </c>
      <c r="AO659">
        <v>575</v>
      </c>
      <c r="AP659">
        <v>2016</v>
      </c>
      <c r="AQ659">
        <v>1.72</v>
      </c>
      <c r="AS659" t="s">
        <v>9251</v>
      </c>
      <c r="AT659" t="s">
        <v>3747</v>
      </c>
      <c r="AU659" t="s">
        <v>177</v>
      </c>
      <c r="AV659" t="s">
        <v>1030</v>
      </c>
      <c r="AW659" t="s">
        <v>182</v>
      </c>
      <c r="AX659">
        <v>2</v>
      </c>
      <c r="AY659" t="s">
        <v>188</v>
      </c>
      <c r="AZ659" t="s">
        <v>189</v>
      </c>
      <c r="BA659" t="s">
        <v>190</v>
      </c>
      <c r="BB659" t="s">
        <v>191</v>
      </c>
      <c r="BC659" t="s">
        <v>182</v>
      </c>
      <c r="BD659" t="s">
        <v>182</v>
      </c>
      <c r="BE659" t="s">
        <v>9252</v>
      </c>
      <c r="BF659">
        <v>1</v>
      </c>
      <c r="BG659">
        <v>1</v>
      </c>
      <c r="BH659">
        <v>1984</v>
      </c>
      <c r="BI659" t="s">
        <v>9253</v>
      </c>
      <c r="BJ659" t="s">
        <v>285</v>
      </c>
      <c r="BK659" t="s">
        <v>195</v>
      </c>
      <c r="BL659" t="s">
        <v>9254</v>
      </c>
      <c r="BM659" t="s">
        <v>1332</v>
      </c>
      <c r="BN659" t="s">
        <v>182</v>
      </c>
      <c r="BO659" t="s">
        <v>9255</v>
      </c>
      <c r="BP659" t="s">
        <v>9256</v>
      </c>
      <c r="BR659" t="s">
        <v>9257</v>
      </c>
      <c r="BS659" t="s">
        <v>9258</v>
      </c>
      <c r="BT659" t="s">
        <v>9259</v>
      </c>
      <c r="BU659" t="s">
        <v>182</v>
      </c>
      <c r="BV659" t="s">
        <v>198</v>
      </c>
      <c r="BW659" t="s">
        <v>198</v>
      </c>
      <c r="BX659" t="s">
        <v>199</v>
      </c>
      <c r="BY659" t="s">
        <v>198</v>
      </c>
      <c r="BZ659" t="s">
        <v>199</v>
      </c>
      <c r="CA659" t="s">
        <v>199</v>
      </c>
      <c r="CB659" t="s">
        <v>9260</v>
      </c>
      <c r="CC659" t="s">
        <v>201</v>
      </c>
      <c r="CD659" t="s">
        <v>182</v>
      </c>
      <c r="CE659" t="s">
        <v>9261</v>
      </c>
      <c r="CF659" t="s">
        <v>413</v>
      </c>
      <c r="CG659" t="s">
        <v>177</v>
      </c>
      <c r="CH659" t="s">
        <v>6095</v>
      </c>
      <c r="CI659" t="s">
        <v>9262</v>
      </c>
      <c r="CJ659" t="s">
        <v>9263</v>
      </c>
      <c r="CK659" t="s">
        <v>273</v>
      </c>
      <c r="CL659" t="s">
        <v>274</v>
      </c>
      <c r="CM659" t="s">
        <v>9264</v>
      </c>
      <c r="CN659" t="s">
        <v>838</v>
      </c>
      <c r="CO659" t="s">
        <v>183</v>
      </c>
      <c r="CP659" t="s">
        <v>211</v>
      </c>
      <c r="CQ659" t="s">
        <v>296</v>
      </c>
      <c r="CS659" t="s">
        <v>9265</v>
      </c>
      <c r="CT659" t="s">
        <v>193</v>
      </c>
      <c r="CU659" t="s">
        <v>302</v>
      </c>
      <c r="CV659" t="s">
        <v>303</v>
      </c>
      <c r="CW659" t="s">
        <v>9266</v>
      </c>
      <c r="CX659" t="s">
        <v>511</v>
      </c>
      <c r="CY659" t="s">
        <v>183</v>
      </c>
      <c r="CZ659" t="s">
        <v>211</v>
      </c>
      <c r="DA659" t="s">
        <v>444</v>
      </c>
      <c r="DC659" t="s">
        <v>9265</v>
      </c>
      <c r="DM659" t="s">
        <v>198</v>
      </c>
      <c r="DW659" t="s">
        <v>198</v>
      </c>
      <c r="EG659" t="s">
        <v>198</v>
      </c>
      <c r="EQ659" t="s">
        <v>198</v>
      </c>
      <c r="FA659" t="s">
        <v>198</v>
      </c>
      <c r="FK659" t="s">
        <v>198</v>
      </c>
      <c r="FU659" t="s">
        <v>198</v>
      </c>
    </row>
    <row r="660" spans="1:177">
      <c r="A660" s="1" t="str">
        <f>HYPERLINK("http://digipan.lumentumllc.com/apps/getLink/index.php?t=PropLink&amp;p=4637493","PL")</f>
        <v>PL</v>
      </c>
      <c r="B660" s="1" t="str">
        <f>HYPERLINK("http://digipan.lumentumllc.com/apps/getLink/index.php?t=TaxLink&amp;p=4637493","TL")</f>
        <v>TL</v>
      </c>
      <c r="C660" s="1" t="str">
        <f>HYPERLINK("http://digipan.lumentumllc.com/apps/getMap/index.php?p=4637493","Map")</f>
        <v>Map</v>
      </c>
      <c r="E660" t="s">
        <v>177</v>
      </c>
      <c r="F660" t="s">
        <v>178</v>
      </c>
      <c r="L660" t="s">
        <v>9267</v>
      </c>
      <c r="N660" t="s">
        <v>9267</v>
      </c>
      <c r="O660" t="s">
        <v>9267</v>
      </c>
      <c r="P660" t="s">
        <v>9268</v>
      </c>
      <c r="Q660" t="s">
        <v>9267</v>
      </c>
      <c r="V660">
        <v>755</v>
      </c>
      <c r="W660">
        <v>3</v>
      </c>
      <c r="X660">
        <v>2017</v>
      </c>
      <c r="Y660">
        <v>2018</v>
      </c>
      <c r="Z660">
        <v>435.33</v>
      </c>
      <c r="AB660" t="s">
        <v>181</v>
      </c>
      <c r="AC660" t="s">
        <v>182</v>
      </c>
      <c r="AD660" t="s">
        <v>183</v>
      </c>
      <c r="AE660">
        <v>1</v>
      </c>
      <c r="AF660">
        <v>3</v>
      </c>
      <c r="AG660" t="s">
        <v>363</v>
      </c>
      <c r="AH660">
        <v>67</v>
      </c>
      <c r="AI660">
        <v>421.7</v>
      </c>
      <c r="AJ660">
        <v>21.09</v>
      </c>
      <c r="AK660">
        <v>442.79</v>
      </c>
      <c r="AL660">
        <v>54256</v>
      </c>
      <c r="AM660">
        <v>13500</v>
      </c>
      <c r="AN660">
        <v>40756</v>
      </c>
      <c r="AO660">
        <v>365</v>
      </c>
      <c r="AP660">
        <v>2016</v>
      </c>
      <c r="AQ660">
        <v>0.8</v>
      </c>
      <c r="AR660">
        <v>0.82</v>
      </c>
      <c r="AS660" t="s">
        <v>9269</v>
      </c>
      <c r="AT660" t="s">
        <v>3747</v>
      </c>
      <c r="AU660" t="s">
        <v>177</v>
      </c>
      <c r="AV660" t="s">
        <v>1030</v>
      </c>
      <c r="AW660" t="s">
        <v>202</v>
      </c>
      <c r="AX660">
        <v>1</v>
      </c>
      <c r="AY660" t="s">
        <v>188</v>
      </c>
      <c r="AZ660" t="s">
        <v>206</v>
      </c>
      <c r="BA660" t="s">
        <v>355</v>
      </c>
      <c r="BB660" t="s">
        <v>191</v>
      </c>
      <c r="BC660" t="s">
        <v>182</v>
      </c>
      <c r="BD660" t="s">
        <v>182</v>
      </c>
      <c r="BE660" t="s">
        <v>7258</v>
      </c>
      <c r="BF660">
        <v>1</v>
      </c>
      <c r="BG660">
        <v>1</v>
      </c>
      <c r="BH660">
        <v>1987</v>
      </c>
      <c r="BI660" t="s">
        <v>9270</v>
      </c>
      <c r="BJ660" t="s">
        <v>194</v>
      </c>
      <c r="BK660" t="s">
        <v>195</v>
      </c>
      <c r="BL660" t="s">
        <v>199</v>
      </c>
      <c r="BM660" t="s">
        <v>1041</v>
      </c>
      <c r="BN660" t="s">
        <v>182</v>
      </c>
      <c r="BO660" t="s">
        <v>198</v>
      </c>
      <c r="BP660" t="s">
        <v>198</v>
      </c>
      <c r="BQ660" t="s">
        <v>198</v>
      </c>
      <c r="BR660" t="s">
        <v>198</v>
      </c>
      <c r="BS660" t="s">
        <v>198</v>
      </c>
      <c r="BT660" t="s">
        <v>198</v>
      </c>
      <c r="BU660" t="s">
        <v>182</v>
      </c>
      <c r="BV660" t="s">
        <v>198</v>
      </c>
      <c r="BW660" t="s">
        <v>198</v>
      </c>
      <c r="BX660" t="s">
        <v>199</v>
      </c>
      <c r="BY660" t="s">
        <v>198</v>
      </c>
      <c r="BZ660" t="s">
        <v>199</v>
      </c>
      <c r="CA660" t="s">
        <v>199</v>
      </c>
      <c r="CB660" t="s">
        <v>9271</v>
      </c>
      <c r="CC660" t="s">
        <v>201</v>
      </c>
      <c r="CD660" t="s">
        <v>182</v>
      </c>
      <c r="CE660" t="s">
        <v>9272</v>
      </c>
      <c r="CF660" t="s">
        <v>1029</v>
      </c>
      <c r="CG660" t="s">
        <v>177</v>
      </c>
      <c r="CH660" t="s">
        <v>1030</v>
      </c>
      <c r="CI660" t="s">
        <v>9273</v>
      </c>
      <c r="CJ660" t="s">
        <v>5622</v>
      </c>
      <c r="CK660" t="s">
        <v>232</v>
      </c>
      <c r="CL660" t="s">
        <v>233</v>
      </c>
      <c r="CM660" t="s">
        <v>9274</v>
      </c>
      <c r="CN660" t="s">
        <v>235</v>
      </c>
      <c r="CO660" t="s">
        <v>183</v>
      </c>
      <c r="CP660" t="s">
        <v>266</v>
      </c>
      <c r="CS660" t="s">
        <v>198</v>
      </c>
      <c r="CT660" t="s">
        <v>5426</v>
      </c>
      <c r="CU660" t="s">
        <v>292</v>
      </c>
      <c r="CV660" t="s">
        <v>293</v>
      </c>
      <c r="CW660" t="s">
        <v>9275</v>
      </c>
      <c r="CX660" t="s">
        <v>235</v>
      </c>
      <c r="CY660" t="s">
        <v>183</v>
      </c>
      <c r="CZ660" t="s">
        <v>211</v>
      </c>
      <c r="DA660" t="s">
        <v>345</v>
      </c>
      <c r="DC660" t="s">
        <v>375</v>
      </c>
      <c r="DD660" t="s">
        <v>5644</v>
      </c>
      <c r="DE660" t="s">
        <v>267</v>
      </c>
      <c r="DF660" t="s">
        <v>268</v>
      </c>
      <c r="DG660" t="s">
        <v>9276</v>
      </c>
      <c r="DH660" t="s">
        <v>235</v>
      </c>
      <c r="DI660" t="s">
        <v>183</v>
      </c>
      <c r="DJ660" t="s">
        <v>211</v>
      </c>
      <c r="DK660" t="s">
        <v>345</v>
      </c>
      <c r="DM660" t="s">
        <v>9277</v>
      </c>
      <c r="DN660" t="s">
        <v>9278</v>
      </c>
      <c r="DO660" t="s">
        <v>207</v>
      </c>
      <c r="DP660" t="s">
        <v>208</v>
      </c>
      <c r="DQ660" t="s">
        <v>9279</v>
      </c>
      <c r="DR660" t="s">
        <v>235</v>
      </c>
      <c r="DS660" t="s">
        <v>183</v>
      </c>
      <c r="DT660" t="s">
        <v>211</v>
      </c>
      <c r="DU660" t="s">
        <v>270</v>
      </c>
      <c r="DW660" t="s">
        <v>9280</v>
      </c>
      <c r="EG660" t="s">
        <v>198</v>
      </c>
      <c r="EQ660" t="s">
        <v>198</v>
      </c>
      <c r="FA660" t="s">
        <v>198</v>
      </c>
      <c r="FK660" t="s">
        <v>198</v>
      </c>
      <c r="FU660" t="s">
        <v>198</v>
      </c>
    </row>
    <row r="661" spans="1:177">
      <c r="A661" s="1" t="str">
        <f>HYPERLINK("http://digipan.lumentumllc.com/apps/getLink/index.php?t=PropLink&amp;p=5245467","PL")</f>
        <v>PL</v>
      </c>
      <c r="B661" s="1" t="str">
        <f>HYPERLINK("http://digipan.lumentumllc.com/apps/getLink/index.php?t=TaxLink&amp;p=5245467","TL")</f>
        <v>TL</v>
      </c>
      <c r="C661" s="1" t="str">
        <f>HYPERLINK("http://digipan.lumentumllc.com/apps/getMap/index.php?p=5245467","Map")</f>
        <v>Map</v>
      </c>
      <c r="E661" t="s">
        <v>177</v>
      </c>
      <c r="F661" t="s">
        <v>178</v>
      </c>
      <c r="L661" t="s">
        <v>9281</v>
      </c>
      <c r="N661" t="s">
        <v>9281</v>
      </c>
      <c r="O661" t="s">
        <v>9281</v>
      </c>
      <c r="P661" t="s">
        <v>9282</v>
      </c>
      <c r="Q661" t="s">
        <v>9281</v>
      </c>
      <c r="V661">
        <v>756</v>
      </c>
      <c r="W661">
        <v>3</v>
      </c>
      <c r="X661">
        <v>2017</v>
      </c>
      <c r="Y661">
        <v>2018</v>
      </c>
      <c r="Z661">
        <v>717</v>
      </c>
      <c r="AB661" t="s">
        <v>181</v>
      </c>
      <c r="AC661" t="s">
        <v>182</v>
      </c>
      <c r="AD661" t="s">
        <v>183</v>
      </c>
      <c r="AE661">
        <v>0</v>
      </c>
      <c r="AF661">
        <v>3</v>
      </c>
      <c r="AG661" t="s">
        <v>216</v>
      </c>
      <c r="AH661">
        <v>100</v>
      </c>
      <c r="AK661">
        <v>0</v>
      </c>
      <c r="AL661">
        <v>44410</v>
      </c>
      <c r="AM661">
        <v>13500</v>
      </c>
      <c r="AN661">
        <v>30910</v>
      </c>
      <c r="AO661">
        <v>561</v>
      </c>
      <c r="AP661">
        <v>2016</v>
      </c>
      <c r="AQ661">
        <v>1.61</v>
      </c>
      <c r="AS661" t="s">
        <v>9283</v>
      </c>
      <c r="AT661" t="s">
        <v>3747</v>
      </c>
      <c r="AU661" t="s">
        <v>177</v>
      </c>
      <c r="AV661" t="s">
        <v>1030</v>
      </c>
      <c r="AW661" t="s">
        <v>182</v>
      </c>
      <c r="AX661">
        <v>2</v>
      </c>
      <c r="AY661" t="s">
        <v>188</v>
      </c>
      <c r="AZ661" t="s">
        <v>189</v>
      </c>
      <c r="BA661" t="s">
        <v>190</v>
      </c>
      <c r="BB661" t="s">
        <v>191</v>
      </c>
      <c r="BC661" t="s">
        <v>182</v>
      </c>
      <c r="BD661" t="s">
        <v>182</v>
      </c>
      <c r="BE661" t="s">
        <v>7258</v>
      </c>
      <c r="BF661">
        <v>1</v>
      </c>
      <c r="BG661">
        <v>1</v>
      </c>
      <c r="BH661">
        <v>1996</v>
      </c>
      <c r="BI661" t="s">
        <v>1271</v>
      </c>
      <c r="BJ661" t="s">
        <v>194</v>
      </c>
      <c r="BK661" t="s">
        <v>195</v>
      </c>
      <c r="BL661" t="s">
        <v>1473</v>
      </c>
      <c r="BM661" t="s">
        <v>4554</v>
      </c>
      <c r="BN661" t="s">
        <v>182</v>
      </c>
      <c r="BO661" t="s">
        <v>198</v>
      </c>
      <c r="BP661" t="s">
        <v>198</v>
      </c>
      <c r="BQ661" t="s">
        <v>198</v>
      </c>
      <c r="BR661" t="s">
        <v>198</v>
      </c>
      <c r="BS661" t="s">
        <v>198</v>
      </c>
      <c r="BT661" t="s">
        <v>198</v>
      </c>
      <c r="BU661" t="s">
        <v>182</v>
      </c>
      <c r="BV661" t="s">
        <v>198</v>
      </c>
      <c r="BW661" t="s">
        <v>198</v>
      </c>
      <c r="BX661" t="s">
        <v>199</v>
      </c>
      <c r="BY661" t="s">
        <v>198</v>
      </c>
      <c r="BZ661" t="s">
        <v>199</v>
      </c>
      <c r="CA661" t="s">
        <v>199</v>
      </c>
      <c r="CB661" t="s">
        <v>9284</v>
      </c>
      <c r="CC661" t="s">
        <v>201</v>
      </c>
      <c r="CD661" t="s">
        <v>182</v>
      </c>
      <c r="CE661" t="s">
        <v>9285</v>
      </c>
      <c r="CF661" t="s">
        <v>1029</v>
      </c>
      <c r="CG661" t="s">
        <v>177</v>
      </c>
      <c r="CH661" t="s">
        <v>1030</v>
      </c>
      <c r="CI661" t="s">
        <v>9286</v>
      </c>
      <c r="CJ661" t="s">
        <v>8717</v>
      </c>
      <c r="CK661" t="s">
        <v>292</v>
      </c>
      <c r="CL661" t="s">
        <v>293</v>
      </c>
      <c r="CM661" t="s">
        <v>9287</v>
      </c>
      <c r="CN661" t="s">
        <v>235</v>
      </c>
      <c r="CO661" t="s">
        <v>183</v>
      </c>
      <c r="CP661" t="s">
        <v>211</v>
      </c>
      <c r="CQ661" t="s">
        <v>342</v>
      </c>
      <c r="CS661" t="s">
        <v>9288</v>
      </c>
      <c r="CT661" t="s">
        <v>9289</v>
      </c>
      <c r="CU661" t="s">
        <v>346</v>
      </c>
      <c r="CV661" t="s">
        <v>347</v>
      </c>
      <c r="CW661" t="s">
        <v>9290</v>
      </c>
      <c r="CX661" t="s">
        <v>816</v>
      </c>
      <c r="CY661" t="s">
        <v>183</v>
      </c>
      <c r="CZ661" t="s">
        <v>211</v>
      </c>
      <c r="DA661" t="s">
        <v>339</v>
      </c>
      <c r="DC661" t="s">
        <v>7508</v>
      </c>
      <c r="DD661" t="s">
        <v>1053</v>
      </c>
      <c r="DE661" t="s">
        <v>207</v>
      </c>
      <c r="DF661" t="s">
        <v>208</v>
      </c>
      <c r="DG661" t="s">
        <v>9291</v>
      </c>
      <c r="DH661" t="s">
        <v>576</v>
      </c>
      <c r="DI661" t="s">
        <v>183</v>
      </c>
      <c r="DJ661" t="s">
        <v>211</v>
      </c>
      <c r="DK661" t="s">
        <v>342</v>
      </c>
      <c r="DM661" t="s">
        <v>8771</v>
      </c>
      <c r="DW661" t="s">
        <v>198</v>
      </c>
      <c r="EG661" t="s">
        <v>198</v>
      </c>
      <c r="EQ661" t="s">
        <v>198</v>
      </c>
      <c r="FA661" t="s">
        <v>198</v>
      </c>
      <c r="FK661" t="s">
        <v>198</v>
      </c>
      <c r="FU661" t="s">
        <v>198</v>
      </c>
    </row>
    <row r="662" spans="1:177">
      <c r="A662" s="1" t="str">
        <f>HYPERLINK("http://digipan.lumentumllc.com/apps/getLink/index.php?t=PropLink&amp;p=5245470","PL")</f>
        <v>PL</v>
      </c>
      <c r="B662" s="1" t="str">
        <f>HYPERLINK("http://digipan.lumentumllc.com/apps/getLink/index.php?t=TaxLink&amp;p=5245470","TL")</f>
        <v>TL</v>
      </c>
      <c r="C662" s="1" t="str">
        <f>HYPERLINK("http://digipan.lumentumllc.com/apps/getMap/index.php?p=5245470","Map")</f>
        <v>Map</v>
      </c>
      <c r="E662" t="s">
        <v>177</v>
      </c>
      <c r="F662" t="s">
        <v>178</v>
      </c>
      <c r="L662" t="s">
        <v>9292</v>
      </c>
      <c r="N662" t="s">
        <v>9292</v>
      </c>
      <c r="O662" t="s">
        <v>9292</v>
      </c>
      <c r="P662" t="s">
        <v>9293</v>
      </c>
      <c r="Q662" t="s">
        <v>9292</v>
      </c>
      <c r="V662">
        <v>758</v>
      </c>
      <c r="W662">
        <v>3</v>
      </c>
      <c r="X662">
        <v>2017</v>
      </c>
      <c r="Y662">
        <v>2018</v>
      </c>
      <c r="Z662">
        <v>438.29</v>
      </c>
      <c r="AB662" t="s">
        <v>181</v>
      </c>
      <c r="AC662" t="s">
        <v>182</v>
      </c>
      <c r="AD662" t="s">
        <v>183</v>
      </c>
      <c r="AE662">
        <v>1</v>
      </c>
      <c r="AF662">
        <v>6</v>
      </c>
      <c r="AG662" t="s">
        <v>322</v>
      </c>
      <c r="AH662">
        <v>83</v>
      </c>
      <c r="AI662">
        <v>438.98</v>
      </c>
      <c r="AJ662">
        <v>21.95</v>
      </c>
      <c r="AK662">
        <v>460.93</v>
      </c>
      <c r="AL662">
        <v>24815</v>
      </c>
      <c r="AM662">
        <v>13500</v>
      </c>
      <c r="AN662">
        <v>11315</v>
      </c>
      <c r="AO662">
        <v>381</v>
      </c>
      <c r="AP662">
        <v>2016</v>
      </c>
      <c r="AQ662">
        <v>1.77</v>
      </c>
      <c r="AR662">
        <v>1.86</v>
      </c>
      <c r="AS662" t="s">
        <v>9294</v>
      </c>
      <c r="AT662" t="s">
        <v>3747</v>
      </c>
      <c r="AU662" t="s">
        <v>177</v>
      </c>
      <c r="AV662" t="s">
        <v>1030</v>
      </c>
      <c r="AW662" t="s">
        <v>182</v>
      </c>
      <c r="AX662">
        <v>2</v>
      </c>
      <c r="AY662" t="s">
        <v>188</v>
      </c>
      <c r="AZ662" t="s">
        <v>189</v>
      </c>
      <c r="BA662" t="s">
        <v>190</v>
      </c>
      <c r="BB662" t="s">
        <v>191</v>
      </c>
      <c r="BC662" t="s">
        <v>182</v>
      </c>
      <c r="BD662" t="s">
        <v>182</v>
      </c>
      <c r="BE662" t="s">
        <v>1884</v>
      </c>
      <c r="BF662">
        <v>1</v>
      </c>
      <c r="BG662">
        <v>1</v>
      </c>
      <c r="BH662">
        <v>1984</v>
      </c>
      <c r="BI662" t="s">
        <v>9295</v>
      </c>
      <c r="BJ662" t="s">
        <v>285</v>
      </c>
      <c r="BK662" t="s">
        <v>195</v>
      </c>
      <c r="BL662" t="s">
        <v>9296</v>
      </c>
      <c r="BM662" t="s">
        <v>286</v>
      </c>
      <c r="BN662" t="s">
        <v>182</v>
      </c>
      <c r="BO662" t="s">
        <v>9297</v>
      </c>
      <c r="BP662" t="s">
        <v>9298</v>
      </c>
      <c r="BS662" t="s">
        <v>9299</v>
      </c>
      <c r="BT662" t="s">
        <v>198</v>
      </c>
      <c r="BU662" t="s">
        <v>182</v>
      </c>
      <c r="BV662" t="s">
        <v>198</v>
      </c>
      <c r="BW662" t="s">
        <v>198</v>
      </c>
      <c r="BX662" t="s">
        <v>199</v>
      </c>
      <c r="BY662" t="s">
        <v>198</v>
      </c>
      <c r="BZ662" t="s">
        <v>199</v>
      </c>
      <c r="CA662" t="s">
        <v>199</v>
      </c>
      <c r="CB662" t="s">
        <v>9300</v>
      </c>
      <c r="CC662" t="s">
        <v>201</v>
      </c>
      <c r="CD662" t="s">
        <v>182</v>
      </c>
      <c r="CE662" t="s">
        <v>9301</v>
      </c>
      <c r="CF662" t="s">
        <v>1029</v>
      </c>
      <c r="CG662" t="s">
        <v>177</v>
      </c>
      <c r="CH662" t="s">
        <v>1030</v>
      </c>
      <c r="CI662" t="s">
        <v>4622</v>
      </c>
      <c r="CJ662" t="s">
        <v>9302</v>
      </c>
      <c r="CK662" t="s">
        <v>232</v>
      </c>
      <c r="CL662" t="s">
        <v>233</v>
      </c>
      <c r="CM662" t="s">
        <v>9303</v>
      </c>
      <c r="CN662" t="s">
        <v>235</v>
      </c>
      <c r="CO662" t="s">
        <v>183</v>
      </c>
      <c r="CP662" t="s">
        <v>266</v>
      </c>
      <c r="CS662" t="s">
        <v>198</v>
      </c>
      <c r="CT662" t="s">
        <v>8318</v>
      </c>
      <c r="CU662" t="s">
        <v>292</v>
      </c>
      <c r="CV662" t="s">
        <v>293</v>
      </c>
      <c r="CW662" t="s">
        <v>9304</v>
      </c>
      <c r="CX662" t="s">
        <v>278</v>
      </c>
      <c r="CY662" t="s">
        <v>183</v>
      </c>
      <c r="CZ662" t="s">
        <v>211</v>
      </c>
      <c r="DA662" t="s">
        <v>298</v>
      </c>
      <c r="DC662" t="s">
        <v>457</v>
      </c>
      <c r="DD662" t="s">
        <v>5700</v>
      </c>
      <c r="DE662" t="s">
        <v>267</v>
      </c>
      <c r="DF662" t="s">
        <v>268</v>
      </c>
      <c r="DG662" t="s">
        <v>9305</v>
      </c>
      <c r="DH662" t="s">
        <v>511</v>
      </c>
      <c r="DI662" t="s">
        <v>183</v>
      </c>
      <c r="DJ662" t="s">
        <v>211</v>
      </c>
      <c r="DK662" t="s">
        <v>298</v>
      </c>
      <c r="DM662" t="s">
        <v>2096</v>
      </c>
      <c r="DN662" t="s">
        <v>6280</v>
      </c>
      <c r="DO662" t="s">
        <v>273</v>
      </c>
      <c r="DP662" t="s">
        <v>274</v>
      </c>
      <c r="DQ662" t="s">
        <v>9306</v>
      </c>
      <c r="DR662" t="s">
        <v>833</v>
      </c>
      <c r="DS662" t="s">
        <v>183</v>
      </c>
      <c r="DT662" t="s">
        <v>211</v>
      </c>
      <c r="DU662" t="s">
        <v>298</v>
      </c>
      <c r="DW662" t="s">
        <v>462</v>
      </c>
      <c r="DX662" t="s">
        <v>6717</v>
      </c>
      <c r="DY662" t="s">
        <v>302</v>
      </c>
      <c r="DZ662" t="s">
        <v>303</v>
      </c>
      <c r="EA662" t="s">
        <v>9307</v>
      </c>
      <c r="EB662" t="s">
        <v>440</v>
      </c>
      <c r="EC662" t="s">
        <v>183</v>
      </c>
      <c r="ED662" t="s">
        <v>211</v>
      </c>
      <c r="EE662" t="s">
        <v>298</v>
      </c>
      <c r="EG662" t="s">
        <v>8657</v>
      </c>
      <c r="EH662" t="s">
        <v>9308</v>
      </c>
      <c r="EI662" t="s">
        <v>238</v>
      </c>
      <c r="EJ662" t="s">
        <v>239</v>
      </c>
      <c r="EK662" t="s">
        <v>9309</v>
      </c>
      <c r="EL662" t="s">
        <v>278</v>
      </c>
      <c r="EM662" t="s">
        <v>183</v>
      </c>
      <c r="EN662" t="s">
        <v>211</v>
      </c>
      <c r="EO662" t="s">
        <v>212</v>
      </c>
      <c r="EQ662" t="s">
        <v>970</v>
      </c>
      <c r="ER662" t="s">
        <v>1095</v>
      </c>
      <c r="ES662" t="s">
        <v>207</v>
      </c>
      <c r="ET662" t="s">
        <v>208</v>
      </c>
      <c r="EU662" t="s">
        <v>9310</v>
      </c>
      <c r="EV662" t="s">
        <v>576</v>
      </c>
      <c r="EW662" t="s">
        <v>183</v>
      </c>
      <c r="EX662" t="s">
        <v>211</v>
      </c>
      <c r="EY662" t="s">
        <v>270</v>
      </c>
      <c r="FA662" t="s">
        <v>9311</v>
      </c>
      <c r="FK662" t="s">
        <v>198</v>
      </c>
      <c r="FU662" t="s">
        <v>198</v>
      </c>
    </row>
    <row r="663" spans="1:177">
      <c r="A663" s="1" t="str">
        <f>HYPERLINK("http://digipan.lumentumllc.com/apps/getLink/index.php?t=PropLink&amp;p=5245472","PL")</f>
        <v>PL</v>
      </c>
      <c r="B663" s="1" t="str">
        <f>HYPERLINK("http://digipan.lumentumllc.com/apps/getLink/index.php?t=TaxLink&amp;p=5245472","TL")</f>
        <v>TL</v>
      </c>
      <c r="C663" s="1" t="str">
        <f>HYPERLINK("http://digipan.lumentumllc.com/apps/getMap/index.php?p=5245472","Map")</f>
        <v>Map</v>
      </c>
      <c r="E663" t="s">
        <v>177</v>
      </c>
      <c r="F663" t="s">
        <v>178</v>
      </c>
      <c r="L663" t="s">
        <v>9312</v>
      </c>
      <c r="N663" t="s">
        <v>9312</v>
      </c>
      <c r="O663" t="s">
        <v>9312</v>
      </c>
      <c r="P663" t="s">
        <v>9313</v>
      </c>
      <c r="Q663" t="s">
        <v>9312</v>
      </c>
      <c r="V663">
        <v>759</v>
      </c>
      <c r="W663">
        <v>3</v>
      </c>
      <c r="X663">
        <v>2017</v>
      </c>
      <c r="Y663">
        <v>2018</v>
      </c>
      <c r="Z663">
        <v>322.41000000000003</v>
      </c>
      <c r="AB663" t="s">
        <v>181</v>
      </c>
      <c r="AC663" t="s">
        <v>182</v>
      </c>
      <c r="AD663" t="s">
        <v>183</v>
      </c>
      <c r="AE663">
        <v>2</v>
      </c>
      <c r="AF663">
        <v>2</v>
      </c>
      <c r="AG663" t="s">
        <v>2087</v>
      </c>
      <c r="AH663">
        <v>33</v>
      </c>
      <c r="AI663">
        <v>583.6</v>
      </c>
      <c r="AJ663">
        <v>29.18</v>
      </c>
      <c r="AK663">
        <v>612.78</v>
      </c>
      <c r="AL663">
        <v>40461</v>
      </c>
      <c r="AM663">
        <v>13500</v>
      </c>
      <c r="AN663">
        <v>26961</v>
      </c>
      <c r="AO663">
        <v>225</v>
      </c>
      <c r="AP663">
        <v>2016</v>
      </c>
      <c r="AQ663">
        <v>0.8</v>
      </c>
      <c r="AR663">
        <v>1.51</v>
      </c>
      <c r="AS663" t="s">
        <v>9314</v>
      </c>
      <c r="AT663" t="s">
        <v>3747</v>
      </c>
      <c r="AU663" t="s">
        <v>177</v>
      </c>
      <c r="AV663" t="s">
        <v>1030</v>
      </c>
      <c r="AW663" t="s">
        <v>202</v>
      </c>
      <c r="AX663">
        <v>2</v>
      </c>
      <c r="AY663" t="s">
        <v>188</v>
      </c>
      <c r="AZ663" t="s">
        <v>189</v>
      </c>
      <c r="BA663" t="s">
        <v>190</v>
      </c>
      <c r="BB663" t="s">
        <v>191</v>
      </c>
      <c r="BC663" t="s">
        <v>182</v>
      </c>
      <c r="BD663" t="s">
        <v>182</v>
      </c>
      <c r="BE663" t="s">
        <v>383</v>
      </c>
      <c r="BF663">
        <v>1</v>
      </c>
      <c r="BG663">
        <v>1</v>
      </c>
      <c r="BH663">
        <v>1993</v>
      </c>
      <c r="BI663" t="s">
        <v>4209</v>
      </c>
      <c r="BJ663" t="s">
        <v>194</v>
      </c>
      <c r="BK663" t="s">
        <v>195</v>
      </c>
      <c r="BL663" t="s">
        <v>2960</v>
      </c>
      <c r="BM663" t="s">
        <v>2269</v>
      </c>
      <c r="BN663" t="s">
        <v>182</v>
      </c>
      <c r="BO663" t="s">
        <v>198</v>
      </c>
      <c r="BP663" t="s">
        <v>198</v>
      </c>
      <c r="BQ663" t="s">
        <v>198</v>
      </c>
      <c r="BR663" t="s">
        <v>198</v>
      </c>
      <c r="BS663" t="s">
        <v>198</v>
      </c>
      <c r="BT663" t="s">
        <v>198</v>
      </c>
      <c r="BU663" t="s">
        <v>182</v>
      </c>
      <c r="BV663" t="s">
        <v>198</v>
      </c>
      <c r="BW663" t="s">
        <v>198</v>
      </c>
      <c r="BX663" t="s">
        <v>199</v>
      </c>
      <c r="BY663" t="s">
        <v>198</v>
      </c>
      <c r="BZ663" t="s">
        <v>199</v>
      </c>
      <c r="CA663" t="s">
        <v>199</v>
      </c>
      <c r="CB663" t="s">
        <v>9315</v>
      </c>
      <c r="CC663" t="s">
        <v>201</v>
      </c>
      <c r="CD663" t="s">
        <v>202</v>
      </c>
      <c r="CE663" t="s">
        <v>9316</v>
      </c>
      <c r="CF663" t="s">
        <v>1029</v>
      </c>
      <c r="CG663" t="s">
        <v>177</v>
      </c>
      <c r="CH663" t="s">
        <v>1030</v>
      </c>
      <c r="CI663" t="s">
        <v>1335</v>
      </c>
      <c r="CJ663" t="s">
        <v>5644</v>
      </c>
      <c r="CK663" t="s">
        <v>232</v>
      </c>
      <c r="CL663" t="s">
        <v>233</v>
      </c>
      <c r="CM663" t="s">
        <v>9317</v>
      </c>
      <c r="CN663" t="s">
        <v>235</v>
      </c>
      <c r="CO663" t="s">
        <v>183</v>
      </c>
      <c r="CP663" t="s">
        <v>266</v>
      </c>
      <c r="CS663" t="s">
        <v>198</v>
      </c>
      <c r="CT663" t="s">
        <v>5488</v>
      </c>
      <c r="CU663" t="s">
        <v>292</v>
      </c>
      <c r="CV663" t="s">
        <v>293</v>
      </c>
      <c r="CW663" t="s">
        <v>9318</v>
      </c>
      <c r="CX663" t="s">
        <v>235</v>
      </c>
      <c r="CY663" t="s">
        <v>183</v>
      </c>
      <c r="CZ663" t="s">
        <v>266</v>
      </c>
      <c r="DC663" t="s">
        <v>198</v>
      </c>
      <c r="DD663" t="s">
        <v>1752</v>
      </c>
      <c r="DE663" t="s">
        <v>346</v>
      </c>
      <c r="DF663" t="s">
        <v>347</v>
      </c>
      <c r="DG663" t="s">
        <v>9319</v>
      </c>
      <c r="DH663" t="s">
        <v>391</v>
      </c>
      <c r="DI663" t="s">
        <v>183</v>
      </c>
      <c r="DJ663" t="s">
        <v>211</v>
      </c>
      <c r="DK663" t="s">
        <v>339</v>
      </c>
      <c r="DM663" t="s">
        <v>9320</v>
      </c>
      <c r="DN663" t="s">
        <v>1134</v>
      </c>
      <c r="DO663" t="s">
        <v>207</v>
      </c>
      <c r="DP663" t="s">
        <v>208</v>
      </c>
      <c r="DQ663" t="s">
        <v>9321</v>
      </c>
      <c r="DR663" t="s">
        <v>576</v>
      </c>
      <c r="DS663" t="s">
        <v>183</v>
      </c>
      <c r="DT663" t="s">
        <v>211</v>
      </c>
      <c r="DU663" t="s">
        <v>493</v>
      </c>
      <c r="DW663" t="s">
        <v>9320</v>
      </c>
      <c r="EG663" t="s">
        <v>198</v>
      </c>
      <c r="EQ663" t="s">
        <v>198</v>
      </c>
      <c r="FA663" t="s">
        <v>198</v>
      </c>
      <c r="FK663" t="s">
        <v>198</v>
      </c>
      <c r="FU663" t="s">
        <v>198</v>
      </c>
    </row>
    <row r="664" spans="1:177">
      <c r="A664" s="1" t="str">
        <f>HYPERLINK("http://digipan.lumentumllc.com/apps/getLink/index.php?t=PropLink&amp;p=15743592","PL")</f>
        <v>PL</v>
      </c>
      <c r="B664" s="1" t="str">
        <f>HYPERLINK("http://digipan.lumentumllc.com/apps/getLink/index.php?t=TaxLink&amp;p=15743592","TL")</f>
        <v>TL</v>
      </c>
      <c r="C664" s="1" t="str">
        <f>HYPERLINK("http://digipan.lumentumllc.com/apps/getMap/index.php?p=15743592","Map")</f>
        <v>Map</v>
      </c>
      <c r="E664" t="s">
        <v>177</v>
      </c>
      <c r="F664" t="s">
        <v>178</v>
      </c>
      <c r="L664" t="s">
        <v>9322</v>
      </c>
      <c r="N664" t="s">
        <v>9322</v>
      </c>
      <c r="O664" t="s">
        <v>9322</v>
      </c>
      <c r="Q664" t="s">
        <v>9322</v>
      </c>
      <c r="V664">
        <v>760</v>
      </c>
      <c r="W664">
        <v>3</v>
      </c>
      <c r="X664">
        <v>2017</v>
      </c>
      <c r="Y664">
        <v>2018</v>
      </c>
      <c r="Z664">
        <v>601.24</v>
      </c>
      <c r="AB664" t="s">
        <v>181</v>
      </c>
      <c r="AC664" t="s">
        <v>182</v>
      </c>
      <c r="AD664" t="s">
        <v>6467</v>
      </c>
      <c r="AE664">
        <v>0</v>
      </c>
      <c r="AF664">
        <v>1</v>
      </c>
      <c r="AG664" t="s">
        <v>821</v>
      </c>
      <c r="AH664">
        <v>100</v>
      </c>
      <c r="AK664">
        <v>0</v>
      </c>
      <c r="AL664">
        <v>34768</v>
      </c>
      <c r="AM664">
        <v>13500</v>
      </c>
      <c r="AN664">
        <v>21268</v>
      </c>
      <c r="AO664">
        <v>50</v>
      </c>
      <c r="AP664">
        <v>2016</v>
      </c>
      <c r="AQ664">
        <v>1.73</v>
      </c>
      <c r="AS664" t="s">
        <v>9323</v>
      </c>
      <c r="AT664" t="s">
        <v>3747</v>
      </c>
      <c r="AU664" t="s">
        <v>177</v>
      </c>
      <c r="AV664" t="s">
        <v>1030</v>
      </c>
      <c r="AW664" t="s">
        <v>182</v>
      </c>
      <c r="AX664">
        <v>2</v>
      </c>
      <c r="AY664" t="s">
        <v>188</v>
      </c>
      <c r="AZ664" t="s">
        <v>189</v>
      </c>
      <c r="BA664" t="s">
        <v>190</v>
      </c>
      <c r="BB664" t="s">
        <v>191</v>
      </c>
      <c r="BC664" t="s">
        <v>182</v>
      </c>
      <c r="BD664" t="s">
        <v>182</v>
      </c>
      <c r="BE664" t="s">
        <v>383</v>
      </c>
      <c r="BF664">
        <v>1</v>
      </c>
      <c r="BG664">
        <v>1</v>
      </c>
      <c r="BH664">
        <v>1984</v>
      </c>
      <c r="BI664" t="s">
        <v>2185</v>
      </c>
      <c r="BJ664" t="s">
        <v>194</v>
      </c>
      <c r="BK664" t="s">
        <v>195</v>
      </c>
      <c r="BL664" t="s">
        <v>199</v>
      </c>
      <c r="BM664" t="s">
        <v>207</v>
      </c>
      <c r="BN664" t="s">
        <v>182</v>
      </c>
      <c r="BO664" t="s">
        <v>9324</v>
      </c>
      <c r="BP664" t="s">
        <v>9325</v>
      </c>
      <c r="BQ664" t="s">
        <v>562</v>
      </c>
      <c r="BR664" t="s">
        <v>563</v>
      </c>
      <c r="BS664" t="s">
        <v>198</v>
      </c>
      <c r="BT664" t="s">
        <v>293</v>
      </c>
      <c r="BU664" t="s">
        <v>182</v>
      </c>
      <c r="BV664" t="s">
        <v>198</v>
      </c>
      <c r="BW664" t="s">
        <v>198</v>
      </c>
      <c r="BX664" t="s">
        <v>199</v>
      </c>
      <c r="BY664" t="s">
        <v>198</v>
      </c>
      <c r="BZ664" t="s">
        <v>199</v>
      </c>
      <c r="CA664" t="s">
        <v>199</v>
      </c>
      <c r="CB664" t="s">
        <v>9326</v>
      </c>
      <c r="CC664" t="s">
        <v>201</v>
      </c>
      <c r="CD664" t="s">
        <v>202</v>
      </c>
      <c r="CE664" t="s">
        <v>9327</v>
      </c>
      <c r="CF664" t="s">
        <v>1029</v>
      </c>
      <c r="CG664" t="s">
        <v>177</v>
      </c>
      <c r="CH664" t="s">
        <v>1030</v>
      </c>
      <c r="CI664" t="s">
        <v>1114</v>
      </c>
      <c r="CJ664" t="s">
        <v>9328</v>
      </c>
      <c r="CK664" t="s">
        <v>302</v>
      </c>
      <c r="CL664" t="s">
        <v>303</v>
      </c>
      <c r="CM664" t="s">
        <v>9329</v>
      </c>
      <c r="CN664" t="s">
        <v>482</v>
      </c>
      <c r="CO664" t="s">
        <v>5</v>
      </c>
      <c r="CP664" t="s">
        <v>211</v>
      </c>
      <c r="CQ664" t="s">
        <v>250</v>
      </c>
      <c r="CS664" t="s">
        <v>9330</v>
      </c>
      <c r="DC664" t="s">
        <v>198</v>
      </c>
      <c r="DM664" t="s">
        <v>198</v>
      </c>
      <c r="DW664" t="s">
        <v>198</v>
      </c>
      <c r="EG664" t="s">
        <v>198</v>
      </c>
      <c r="EQ664" t="s">
        <v>198</v>
      </c>
      <c r="FA664" t="s">
        <v>198</v>
      </c>
      <c r="FK664" t="s">
        <v>198</v>
      </c>
      <c r="FU664" t="s">
        <v>198</v>
      </c>
    </row>
    <row r="665" spans="1:177">
      <c r="A665" s="1" t="str">
        <f>HYPERLINK("http://digipan.lumentumllc.com/apps/getLink/index.php?t=PropLink&amp;p=6886707","PL")</f>
        <v>PL</v>
      </c>
      <c r="B665" s="1" t="str">
        <f>HYPERLINK("http://digipan.lumentumllc.com/apps/getLink/index.php?t=TaxLink&amp;p=6886707","TL")</f>
        <v>TL</v>
      </c>
      <c r="C665" s="1" t="str">
        <f>HYPERLINK("http://digipan.lumentumllc.com/apps/getMap/index.php?p=6886707","Map")</f>
        <v>Map</v>
      </c>
      <c r="E665" t="s">
        <v>177</v>
      </c>
      <c r="F665" t="s">
        <v>178</v>
      </c>
      <c r="L665" t="s">
        <v>9331</v>
      </c>
      <c r="N665" t="s">
        <v>9331</v>
      </c>
      <c r="O665" t="s">
        <v>9331</v>
      </c>
      <c r="P665" t="s">
        <v>9332</v>
      </c>
      <c r="Q665" t="s">
        <v>9331</v>
      </c>
      <c r="V665">
        <v>761</v>
      </c>
      <c r="W665">
        <v>3</v>
      </c>
      <c r="X665">
        <v>2017</v>
      </c>
      <c r="Y665">
        <v>2018</v>
      </c>
      <c r="Z665">
        <v>360.2</v>
      </c>
      <c r="AB665" t="s">
        <v>181</v>
      </c>
      <c r="AC665" t="s">
        <v>182</v>
      </c>
      <c r="AD665" t="s">
        <v>183</v>
      </c>
      <c r="AE665">
        <v>0</v>
      </c>
      <c r="AF665">
        <v>3</v>
      </c>
      <c r="AG665" t="s">
        <v>381</v>
      </c>
      <c r="AH665">
        <v>100</v>
      </c>
      <c r="AK665">
        <v>0</v>
      </c>
      <c r="AL665">
        <v>22500</v>
      </c>
      <c r="AM665">
        <v>15000</v>
      </c>
      <c r="AN665">
        <v>7500</v>
      </c>
      <c r="AO665">
        <v>253</v>
      </c>
      <c r="AP665">
        <v>2016</v>
      </c>
      <c r="AQ665">
        <v>1.6</v>
      </c>
      <c r="AS665" t="s">
        <v>9333</v>
      </c>
      <c r="AT665" t="s">
        <v>3747</v>
      </c>
      <c r="AU665" t="s">
        <v>177</v>
      </c>
      <c r="AV665" t="s">
        <v>1030</v>
      </c>
      <c r="AW665" t="s">
        <v>182</v>
      </c>
      <c r="AX665">
        <v>0</v>
      </c>
      <c r="AY665" t="s">
        <v>312</v>
      </c>
      <c r="AZ665" t="s">
        <v>199</v>
      </c>
      <c r="BA665" t="s">
        <v>313</v>
      </c>
      <c r="BB665" t="s">
        <v>191</v>
      </c>
      <c r="BC665" t="s">
        <v>182</v>
      </c>
      <c r="BD665" t="s">
        <v>182</v>
      </c>
      <c r="BE665" t="s">
        <v>383</v>
      </c>
      <c r="BF665">
        <v>0</v>
      </c>
      <c r="BG665">
        <v>0</v>
      </c>
      <c r="BH665">
        <v>0</v>
      </c>
      <c r="BI665" t="s">
        <v>199</v>
      </c>
      <c r="BJ665" t="s">
        <v>315</v>
      </c>
      <c r="BL665" t="s">
        <v>199</v>
      </c>
      <c r="BM665" t="s">
        <v>368</v>
      </c>
      <c r="BN665" t="s">
        <v>182</v>
      </c>
      <c r="BO665" t="s">
        <v>198</v>
      </c>
      <c r="BP665" t="s">
        <v>198</v>
      </c>
      <c r="BQ665" t="s">
        <v>198</v>
      </c>
      <c r="BR665" t="s">
        <v>198</v>
      </c>
      <c r="BS665" t="s">
        <v>198</v>
      </c>
      <c r="BT665" t="s">
        <v>198</v>
      </c>
      <c r="BU665" t="s">
        <v>182</v>
      </c>
      <c r="BV665" t="s">
        <v>198</v>
      </c>
      <c r="BW665" t="s">
        <v>198</v>
      </c>
      <c r="BX665" t="s">
        <v>199</v>
      </c>
      <c r="BY665" t="s">
        <v>198</v>
      </c>
      <c r="BZ665" t="s">
        <v>199</v>
      </c>
      <c r="CA665" t="s">
        <v>199</v>
      </c>
      <c r="CB665" t="s">
        <v>9334</v>
      </c>
      <c r="CC665" t="s">
        <v>201</v>
      </c>
      <c r="CD665" t="s">
        <v>182</v>
      </c>
      <c r="CE665" t="s">
        <v>9335</v>
      </c>
      <c r="CF665" t="s">
        <v>1029</v>
      </c>
      <c r="CG665" t="s">
        <v>177</v>
      </c>
      <c r="CH665" t="s">
        <v>1030</v>
      </c>
      <c r="CI665" t="s">
        <v>9336</v>
      </c>
      <c r="CJ665" t="s">
        <v>5858</v>
      </c>
      <c r="CK665" t="s">
        <v>232</v>
      </c>
      <c r="CL665" t="s">
        <v>233</v>
      </c>
      <c r="CM665" t="s">
        <v>9337</v>
      </c>
      <c r="CN665" t="s">
        <v>688</v>
      </c>
      <c r="CO665" t="s">
        <v>183</v>
      </c>
      <c r="CP665" t="s">
        <v>211</v>
      </c>
      <c r="CQ665" t="s">
        <v>342</v>
      </c>
      <c r="CS665" t="s">
        <v>2177</v>
      </c>
      <c r="CT665" t="s">
        <v>8746</v>
      </c>
      <c r="CU665" t="s">
        <v>292</v>
      </c>
      <c r="CV665" t="s">
        <v>293</v>
      </c>
      <c r="CW665" t="s">
        <v>9338</v>
      </c>
      <c r="CX665" t="s">
        <v>235</v>
      </c>
      <c r="CY665" t="s">
        <v>183</v>
      </c>
      <c r="CZ665" t="s">
        <v>211</v>
      </c>
      <c r="DA665" t="s">
        <v>345</v>
      </c>
      <c r="DC665" t="s">
        <v>2177</v>
      </c>
      <c r="DD665" t="s">
        <v>5713</v>
      </c>
      <c r="DE665" t="s">
        <v>267</v>
      </c>
      <c r="DF665" t="s">
        <v>268</v>
      </c>
      <c r="DG665" t="s">
        <v>9339</v>
      </c>
      <c r="DH665" t="s">
        <v>1164</v>
      </c>
      <c r="DI665" t="s">
        <v>183</v>
      </c>
      <c r="DJ665" t="s">
        <v>211</v>
      </c>
      <c r="DK665" t="s">
        <v>199</v>
      </c>
      <c r="DM665" t="s">
        <v>3445</v>
      </c>
      <c r="DW665" t="s">
        <v>198</v>
      </c>
      <c r="EG665" t="s">
        <v>198</v>
      </c>
      <c r="EQ665" t="s">
        <v>198</v>
      </c>
      <c r="FA665" t="s">
        <v>198</v>
      </c>
      <c r="FK665" t="s">
        <v>198</v>
      </c>
      <c r="FU665" t="s">
        <v>198</v>
      </c>
    </row>
    <row r="666" spans="1:177">
      <c r="A666" s="1" t="str">
        <f>HYPERLINK("http://digipan.lumentumllc.com/apps/getLink/index.php?t=PropLink&amp;p=4637669","PL")</f>
        <v>PL</v>
      </c>
      <c r="B666" s="1" t="str">
        <f>HYPERLINK("http://digipan.lumentumllc.com/apps/getLink/index.php?t=TaxLink&amp;p=4637669","TL")</f>
        <v>TL</v>
      </c>
      <c r="C666" s="1" t="str">
        <f>HYPERLINK("http://digipan.lumentumllc.com/apps/getMap/index.php?p=4637669","Map")</f>
        <v>Map</v>
      </c>
      <c r="E666" t="s">
        <v>177</v>
      </c>
      <c r="F666" t="s">
        <v>178</v>
      </c>
      <c r="L666" t="s">
        <v>9340</v>
      </c>
      <c r="N666" t="s">
        <v>9340</v>
      </c>
      <c r="O666" t="s">
        <v>9340</v>
      </c>
      <c r="P666" t="s">
        <v>9341</v>
      </c>
      <c r="Q666" t="s">
        <v>9340</v>
      </c>
      <c r="V666">
        <v>762</v>
      </c>
      <c r="W666">
        <v>3</v>
      </c>
      <c r="X666">
        <v>2017</v>
      </c>
      <c r="Y666">
        <v>2018</v>
      </c>
      <c r="Z666">
        <v>978.21</v>
      </c>
      <c r="AG666" t="s">
        <v>184</v>
      </c>
      <c r="AH666">
        <v>0</v>
      </c>
      <c r="AK666">
        <v>0</v>
      </c>
      <c r="AL666">
        <v>106275</v>
      </c>
      <c r="AM666">
        <v>15000</v>
      </c>
      <c r="AN666">
        <v>91275</v>
      </c>
      <c r="AO666">
        <v>859</v>
      </c>
      <c r="AP666">
        <v>2016</v>
      </c>
      <c r="AQ666">
        <v>0.92</v>
      </c>
      <c r="AS666" t="s">
        <v>9342</v>
      </c>
      <c r="AT666" t="s">
        <v>3747</v>
      </c>
      <c r="AU666" t="s">
        <v>177</v>
      </c>
      <c r="AV666" t="s">
        <v>1030</v>
      </c>
      <c r="AW666" t="s">
        <v>202</v>
      </c>
      <c r="AX666">
        <v>1</v>
      </c>
      <c r="AY666" t="s">
        <v>188</v>
      </c>
      <c r="AZ666" t="s">
        <v>206</v>
      </c>
      <c r="BA666" t="s">
        <v>355</v>
      </c>
      <c r="BB666" t="s">
        <v>191</v>
      </c>
      <c r="BC666" t="s">
        <v>182</v>
      </c>
      <c r="BD666" t="s">
        <v>182</v>
      </c>
      <c r="BE666" t="s">
        <v>383</v>
      </c>
      <c r="BF666">
        <v>1</v>
      </c>
      <c r="BG666">
        <v>1</v>
      </c>
      <c r="BH666">
        <v>2006</v>
      </c>
      <c r="BI666" t="s">
        <v>9343</v>
      </c>
      <c r="BJ666" t="s">
        <v>194</v>
      </c>
      <c r="BK666" t="s">
        <v>195</v>
      </c>
      <c r="BL666" t="s">
        <v>9344</v>
      </c>
      <c r="BM666" t="s">
        <v>197</v>
      </c>
      <c r="BN666" t="s">
        <v>182</v>
      </c>
      <c r="BO666" t="s">
        <v>1510</v>
      </c>
      <c r="BP666" t="s">
        <v>9345</v>
      </c>
      <c r="BQ666" t="s">
        <v>1520</v>
      </c>
      <c r="BR666" t="s">
        <v>1300</v>
      </c>
      <c r="BS666" t="s">
        <v>198</v>
      </c>
      <c r="BT666" t="s">
        <v>9346</v>
      </c>
      <c r="BU666" t="s">
        <v>182</v>
      </c>
      <c r="BV666" t="s">
        <v>198</v>
      </c>
      <c r="BW666" t="s">
        <v>198</v>
      </c>
      <c r="BX666" t="s">
        <v>199</v>
      </c>
      <c r="BY666" t="s">
        <v>198</v>
      </c>
      <c r="BZ666" t="s">
        <v>199</v>
      </c>
      <c r="CA666" t="s">
        <v>199</v>
      </c>
      <c r="CB666" t="s">
        <v>9347</v>
      </c>
      <c r="CC666" t="s">
        <v>201</v>
      </c>
      <c r="CD666" t="s">
        <v>202</v>
      </c>
      <c r="CE666" t="s">
        <v>9348</v>
      </c>
      <c r="CF666" t="s">
        <v>1029</v>
      </c>
      <c r="CG666" t="s">
        <v>177</v>
      </c>
      <c r="CH666" t="s">
        <v>1030</v>
      </c>
      <c r="CI666" t="s">
        <v>9349</v>
      </c>
      <c r="CS666" t="s">
        <v>198</v>
      </c>
      <c r="DC666" t="s">
        <v>198</v>
      </c>
      <c r="DM666" t="s">
        <v>198</v>
      </c>
      <c r="DW666" t="s">
        <v>198</v>
      </c>
      <c r="EG666" t="s">
        <v>198</v>
      </c>
      <c r="EQ666" t="s">
        <v>198</v>
      </c>
      <c r="FA666" t="s">
        <v>198</v>
      </c>
      <c r="FK666" t="s">
        <v>198</v>
      </c>
      <c r="FU666" t="s">
        <v>198</v>
      </c>
    </row>
    <row r="667" spans="1:177">
      <c r="A667" s="1" t="str">
        <f>HYPERLINK("http://digipan.lumentumllc.com/apps/getLink/index.php?t=PropLink&amp;p=15746566","PL")</f>
        <v>PL</v>
      </c>
      <c r="B667" s="1" t="str">
        <f>HYPERLINK("http://digipan.lumentumllc.com/apps/getLink/index.php?t=TaxLink&amp;p=15746566","TL")</f>
        <v>TL</v>
      </c>
      <c r="C667" s="1" t="str">
        <f>HYPERLINK("http://digipan.lumentumllc.com/apps/getMap/index.php?p=15746566","Map")</f>
        <v>Map</v>
      </c>
      <c r="E667" t="s">
        <v>177</v>
      </c>
      <c r="F667" t="s">
        <v>178</v>
      </c>
      <c r="L667" t="s">
        <v>9350</v>
      </c>
      <c r="N667" t="s">
        <v>9350</v>
      </c>
      <c r="O667" t="s">
        <v>9350</v>
      </c>
      <c r="Q667" t="s">
        <v>9350</v>
      </c>
      <c r="V667">
        <v>763</v>
      </c>
      <c r="W667">
        <v>3</v>
      </c>
      <c r="X667">
        <v>2017</v>
      </c>
      <c r="Y667">
        <v>2018</v>
      </c>
      <c r="Z667">
        <v>1808.72</v>
      </c>
      <c r="AG667" t="s">
        <v>184</v>
      </c>
      <c r="AH667">
        <v>0</v>
      </c>
      <c r="AK667">
        <v>0</v>
      </c>
      <c r="AL667">
        <v>109533</v>
      </c>
      <c r="AM667">
        <v>15000</v>
      </c>
      <c r="AN667">
        <v>94533</v>
      </c>
      <c r="AO667">
        <v>261</v>
      </c>
      <c r="AP667">
        <v>2016</v>
      </c>
      <c r="AQ667">
        <v>1.65</v>
      </c>
      <c r="AS667" t="s">
        <v>9351</v>
      </c>
      <c r="AT667" t="s">
        <v>3747</v>
      </c>
      <c r="AU667" t="s">
        <v>177</v>
      </c>
      <c r="AV667" t="s">
        <v>1030</v>
      </c>
      <c r="AW667" t="s">
        <v>182</v>
      </c>
      <c r="AX667">
        <v>2</v>
      </c>
      <c r="AY667" t="s">
        <v>188</v>
      </c>
      <c r="AZ667" t="s">
        <v>189</v>
      </c>
      <c r="BA667" t="s">
        <v>190</v>
      </c>
      <c r="BB667" t="s">
        <v>191</v>
      </c>
      <c r="BC667" t="s">
        <v>182</v>
      </c>
      <c r="BD667" t="s">
        <v>182</v>
      </c>
      <c r="BE667" t="s">
        <v>383</v>
      </c>
      <c r="BF667">
        <v>1</v>
      </c>
      <c r="BG667">
        <v>1</v>
      </c>
      <c r="BH667">
        <v>2009</v>
      </c>
      <c r="BI667" t="s">
        <v>9352</v>
      </c>
      <c r="BJ667" t="s">
        <v>194</v>
      </c>
      <c r="BK667" t="s">
        <v>195</v>
      </c>
      <c r="BL667" t="s">
        <v>199</v>
      </c>
      <c r="BM667" t="s">
        <v>238</v>
      </c>
      <c r="BN667" t="s">
        <v>182</v>
      </c>
      <c r="BO667" t="s">
        <v>198</v>
      </c>
      <c r="BP667" t="s">
        <v>198</v>
      </c>
      <c r="BQ667" t="s">
        <v>198</v>
      </c>
      <c r="BR667" t="s">
        <v>198</v>
      </c>
      <c r="BS667" t="s">
        <v>198</v>
      </c>
      <c r="BT667" t="s">
        <v>198</v>
      </c>
      <c r="BU667" t="s">
        <v>182</v>
      </c>
      <c r="BV667" t="s">
        <v>198</v>
      </c>
      <c r="BW667" t="s">
        <v>198</v>
      </c>
      <c r="BX667" t="s">
        <v>199</v>
      </c>
      <c r="BY667" t="s">
        <v>198</v>
      </c>
      <c r="BZ667" t="s">
        <v>199</v>
      </c>
      <c r="CA667" t="s">
        <v>199</v>
      </c>
      <c r="CB667" t="s">
        <v>9353</v>
      </c>
      <c r="CC667" t="s">
        <v>201</v>
      </c>
      <c r="CD667" t="s">
        <v>182</v>
      </c>
      <c r="CE667" t="s">
        <v>9354</v>
      </c>
      <c r="CF667" t="s">
        <v>1029</v>
      </c>
      <c r="CG667" t="s">
        <v>177</v>
      </c>
      <c r="CH667" t="s">
        <v>1030</v>
      </c>
      <c r="CI667" t="s">
        <v>9355</v>
      </c>
      <c r="CS667" t="s">
        <v>198</v>
      </c>
      <c r="DC667" t="s">
        <v>198</v>
      </c>
      <c r="DM667" t="s">
        <v>198</v>
      </c>
      <c r="DW667" t="s">
        <v>198</v>
      </c>
      <c r="EG667" t="s">
        <v>198</v>
      </c>
      <c r="EQ667" t="s">
        <v>198</v>
      </c>
      <c r="FA667" t="s">
        <v>198</v>
      </c>
      <c r="FK667" t="s">
        <v>198</v>
      </c>
      <c r="FU667" t="s">
        <v>198</v>
      </c>
    </row>
    <row r="668" spans="1:177">
      <c r="A668" s="1" t="str">
        <f>HYPERLINK("http://digipan.lumentumllc.com/apps/getLink/index.php?t=PropLink&amp;p=5246111","PL")</f>
        <v>PL</v>
      </c>
      <c r="B668" s="1" t="str">
        <f>HYPERLINK("http://digipan.lumentumllc.com/apps/getLink/index.php?t=TaxLink&amp;p=5246111","TL")</f>
        <v>TL</v>
      </c>
      <c r="C668" s="1" t="str">
        <f>HYPERLINK("http://digipan.lumentumllc.com/apps/getMap/index.php?p=5246111","Map")</f>
        <v>Map</v>
      </c>
      <c r="E668" t="s">
        <v>177</v>
      </c>
      <c r="F668" t="s">
        <v>178</v>
      </c>
      <c r="L668" t="s">
        <v>9356</v>
      </c>
      <c r="N668" t="s">
        <v>9356</v>
      </c>
      <c r="O668" t="s">
        <v>9356</v>
      </c>
      <c r="P668" t="s">
        <v>9357</v>
      </c>
      <c r="Q668" t="s">
        <v>9356</v>
      </c>
      <c r="V668">
        <v>767</v>
      </c>
      <c r="W668">
        <v>3</v>
      </c>
      <c r="X668">
        <v>2017</v>
      </c>
      <c r="Y668">
        <v>2018</v>
      </c>
      <c r="Z668">
        <v>899.77</v>
      </c>
      <c r="AB668" t="s">
        <v>181</v>
      </c>
      <c r="AC668" t="s">
        <v>182</v>
      </c>
      <c r="AD668" t="s">
        <v>183</v>
      </c>
      <c r="AE668">
        <v>1</v>
      </c>
      <c r="AF668">
        <v>5</v>
      </c>
      <c r="AG668" t="s">
        <v>951</v>
      </c>
      <c r="AH668">
        <v>80</v>
      </c>
      <c r="AI668">
        <v>911.92</v>
      </c>
      <c r="AJ668">
        <v>45.6</v>
      </c>
      <c r="AK668">
        <v>957.52</v>
      </c>
      <c r="AL668">
        <v>53001</v>
      </c>
      <c r="AM668">
        <v>30840</v>
      </c>
      <c r="AN668">
        <v>22161</v>
      </c>
      <c r="AO668">
        <v>818</v>
      </c>
      <c r="AP668">
        <v>2016</v>
      </c>
      <c r="AQ668">
        <v>1.7</v>
      </c>
      <c r="AR668">
        <v>1.81</v>
      </c>
      <c r="AS668" t="s">
        <v>9358</v>
      </c>
      <c r="AT668" t="s">
        <v>3747</v>
      </c>
      <c r="AU668" t="s">
        <v>177</v>
      </c>
      <c r="AV668" t="s">
        <v>1030</v>
      </c>
      <c r="AW668" t="s">
        <v>182</v>
      </c>
      <c r="AX668">
        <v>2</v>
      </c>
      <c r="AY668" t="s">
        <v>188</v>
      </c>
      <c r="AZ668" t="s">
        <v>189</v>
      </c>
      <c r="BA668" t="s">
        <v>190</v>
      </c>
      <c r="BB668" t="s">
        <v>191</v>
      </c>
      <c r="BC668" t="s">
        <v>182</v>
      </c>
      <c r="BD668" t="s">
        <v>182</v>
      </c>
      <c r="BE668" t="s">
        <v>9359</v>
      </c>
      <c r="BF668">
        <v>1</v>
      </c>
      <c r="BG668">
        <v>1</v>
      </c>
      <c r="BH668">
        <v>1973</v>
      </c>
      <c r="BI668" t="s">
        <v>9360</v>
      </c>
      <c r="BJ668" t="s">
        <v>194</v>
      </c>
      <c r="BK668" t="s">
        <v>195</v>
      </c>
      <c r="BL668" t="s">
        <v>2395</v>
      </c>
      <c r="BM668" t="s">
        <v>273</v>
      </c>
      <c r="BN668" t="s">
        <v>182</v>
      </c>
      <c r="BO668" t="s">
        <v>9361</v>
      </c>
      <c r="BP668" t="s">
        <v>9362</v>
      </c>
      <c r="BQ668" t="s">
        <v>226</v>
      </c>
      <c r="BR668" t="s">
        <v>227</v>
      </c>
      <c r="BS668" t="s">
        <v>198</v>
      </c>
      <c r="BT668" t="s">
        <v>228</v>
      </c>
      <c r="BU668" t="s">
        <v>182</v>
      </c>
      <c r="BV668" t="s">
        <v>198</v>
      </c>
      <c r="BW668" t="s">
        <v>198</v>
      </c>
      <c r="BX668" t="s">
        <v>199</v>
      </c>
      <c r="BY668" t="s">
        <v>198</v>
      </c>
      <c r="BZ668" t="s">
        <v>199</v>
      </c>
      <c r="CA668" t="s">
        <v>199</v>
      </c>
      <c r="CB668" t="s">
        <v>9363</v>
      </c>
      <c r="CC668" t="s">
        <v>201</v>
      </c>
      <c r="CD668" t="s">
        <v>182</v>
      </c>
      <c r="CE668" t="s">
        <v>9364</v>
      </c>
      <c r="CF668" t="s">
        <v>1029</v>
      </c>
      <c r="CG668" t="s">
        <v>177</v>
      </c>
      <c r="CH668" t="s">
        <v>1030</v>
      </c>
      <c r="CI668" t="s">
        <v>9365</v>
      </c>
      <c r="CJ668" t="s">
        <v>5750</v>
      </c>
      <c r="CK668" t="s">
        <v>232</v>
      </c>
      <c r="CL668" t="s">
        <v>233</v>
      </c>
      <c r="CM668" t="s">
        <v>9366</v>
      </c>
      <c r="CN668" t="s">
        <v>235</v>
      </c>
      <c r="CO668" t="s">
        <v>183</v>
      </c>
      <c r="CP668" t="s">
        <v>266</v>
      </c>
      <c r="CS668" t="s">
        <v>198</v>
      </c>
      <c r="CT668" t="s">
        <v>8363</v>
      </c>
      <c r="CU668" t="s">
        <v>292</v>
      </c>
      <c r="CV668" t="s">
        <v>293</v>
      </c>
      <c r="CW668" t="s">
        <v>9367</v>
      </c>
      <c r="CX668" t="s">
        <v>235</v>
      </c>
      <c r="CY668" t="s">
        <v>183</v>
      </c>
      <c r="CZ668" t="s">
        <v>211</v>
      </c>
      <c r="DA668" t="s">
        <v>298</v>
      </c>
      <c r="DC668" t="s">
        <v>457</v>
      </c>
      <c r="DD668" t="s">
        <v>6121</v>
      </c>
      <c r="DE668" t="s">
        <v>273</v>
      </c>
      <c r="DF668" t="s">
        <v>274</v>
      </c>
      <c r="DG668" t="s">
        <v>9368</v>
      </c>
      <c r="DH668" t="s">
        <v>235</v>
      </c>
      <c r="DI668" t="s">
        <v>183</v>
      </c>
      <c r="DJ668" t="s">
        <v>211</v>
      </c>
      <c r="DK668" t="s">
        <v>298</v>
      </c>
      <c r="DM668" t="s">
        <v>3275</v>
      </c>
      <c r="DN668" t="s">
        <v>9369</v>
      </c>
      <c r="DO668" t="s">
        <v>302</v>
      </c>
      <c r="DP668" t="s">
        <v>303</v>
      </c>
      <c r="DQ668" t="s">
        <v>9370</v>
      </c>
      <c r="DR668" t="s">
        <v>511</v>
      </c>
      <c r="DS668" t="s">
        <v>183</v>
      </c>
      <c r="DT668" t="s">
        <v>211</v>
      </c>
      <c r="DU668" t="s">
        <v>199</v>
      </c>
      <c r="DW668" t="s">
        <v>9371</v>
      </c>
      <c r="DX668" t="s">
        <v>9372</v>
      </c>
      <c r="DY668" t="s">
        <v>346</v>
      </c>
      <c r="DZ668" t="s">
        <v>347</v>
      </c>
      <c r="EA668" t="s">
        <v>9373</v>
      </c>
      <c r="EB668" t="s">
        <v>833</v>
      </c>
      <c r="EC668" t="s">
        <v>183</v>
      </c>
      <c r="ED668" t="s">
        <v>211</v>
      </c>
      <c r="EE668" t="s">
        <v>342</v>
      </c>
      <c r="EG668" t="s">
        <v>2516</v>
      </c>
      <c r="EH668" t="s">
        <v>9168</v>
      </c>
      <c r="EI668" t="s">
        <v>207</v>
      </c>
      <c r="EJ668" t="s">
        <v>208</v>
      </c>
      <c r="EK668" t="s">
        <v>9374</v>
      </c>
      <c r="EL668" t="s">
        <v>576</v>
      </c>
      <c r="EM668" t="s">
        <v>183</v>
      </c>
      <c r="EN668" t="s">
        <v>211</v>
      </c>
      <c r="EO668" t="s">
        <v>342</v>
      </c>
      <c r="EQ668" t="s">
        <v>4036</v>
      </c>
      <c r="FA668" t="s">
        <v>198</v>
      </c>
      <c r="FK668" t="s">
        <v>198</v>
      </c>
      <c r="FU668" t="s">
        <v>198</v>
      </c>
    </row>
    <row r="669" spans="1:177">
      <c r="A669" s="1" t="str">
        <f>HYPERLINK("http://digipan.lumentumllc.com/apps/getLink/index.php?t=PropLink&amp;p=6461905","PL")</f>
        <v>PL</v>
      </c>
      <c r="B669" s="1" t="str">
        <f>HYPERLINK("http://digipan.lumentumllc.com/apps/getLink/index.php?t=TaxLink&amp;p=6461905","TL")</f>
        <v>TL</v>
      </c>
      <c r="C669" s="1" t="str">
        <f>HYPERLINK("http://digipan.lumentumllc.com/apps/getMap/index.php?p=6461905","Map")</f>
        <v>Map</v>
      </c>
      <c r="E669" t="s">
        <v>177</v>
      </c>
      <c r="F669" t="s">
        <v>178</v>
      </c>
      <c r="L669" t="s">
        <v>9375</v>
      </c>
      <c r="N669" t="s">
        <v>9375</v>
      </c>
      <c r="O669" t="s">
        <v>9375</v>
      </c>
      <c r="P669" t="s">
        <v>9376</v>
      </c>
      <c r="Q669" t="s">
        <v>9375</v>
      </c>
      <c r="V669">
        <v>768</v>
      </c>
      <c r="W669">
        <v>3</v>
      </c>
      <c r="X669">
        <v>2017</v>
      </c>
      <c r="Y669">
        <v>2018</v>
      </c>
      <c r="Z669">
        <v>1700.18</v>
      </c>
      <c r="AB669" t="s">
        <v>181</v>
      </c>
      <c r="AC669" t="s">
        <v>182</v>
      </c>
      <c r="AD669" t="s">
        <v>183</v>
      </c>
      <c r="AE669">
        <v>0</v>
      </c>
      <c r="AF669">
        <v>4</v>
      </c>
      <c r="AG669" t="s">
        <v>744</v>
      </c>
      <c r="AH669">
        <v>100</v>
      </c>
      <c r="AK669">
        <v>0</v>
      </c>
      <c r="AL669">
        <v>145163</v>
      </c>
      <c r="AM669">
        <v>33520</v>
      </c>
      <c r="AN669">
        <v>111643</v>
      </c>
      <c r="AO669">
        <v>1436</v>
      </c>
      <c r="AP669">
        <v>2016</v>
      </c>
      <c r="AQ669">
        <v>1.17</v>
      </c>
      <c r="AS669" t="s">
        <v>9377</v>
      </c>
      <c r="AT669" t="s">
        <v>3747</v>
      </c>
      <c r="AU669" t="s">
        <v>177</v>
      </c>
      <c r="AV669" t="s">
        <v>1030</v>
      </c>
      <c r="AW669" t="s">
        <v>202</v>
      </c>
      <c r="AX669">
        <v>2</v>
      </c>
      <c r="AY669" t="s">
        <v>188</v>
      </c>
      <c r="AZ669" t="s">
        <v>189</v>
      </c>
      <c r="BA669" t="s">
        <v>190</v>
      </c>
      <c r="BB669" t="s">
        <v>191</v>
      </c>
      <c r="BC669" t="s">
        <v>182</v>
      </c>
      <c r="BD669" t="s">
        <v>182</v>
      </c>
      <c r="BE669" t="s">
        <v>9378</v>
      </c>
      <c r="BF669">
        <v>3</v>
      </c>
      <c r="BG669">
        <v>3</v>
      </c>
      <c r="BH669">
        <v>1998</v>
      </c>
      <c r="BI669" t="s">
        <v>9379</v>
      </c>
      <c r="BJ669" t="s">
        <v>194</v>
      </c>
      <c r="BK669" t="s">
        <v>195</v>
      </c>
      <c r="BL669" t="s">
        <v>199</v>
      </c>
      <c r="BM669" t="s">
        <v>410</v>
      </c>
      <c r="BN669" t="s">
        <v>182</v>
      </c>
      <c r="BO669" t="s">
        <v>198</v>
      </c>
      <c r="BP669" t="s">
        <v>198</v>
      </c>
      <c r="BQ669" t="s">
        <v>198</v>
      </c>
      <c r="BR669" t="s">
        <v>198</v>
      </c>
      <c r="BS669" t="s">
        <v>198</v>
      </c>
      <c r="BT669" t="s">
        <v>198</v>
      </c>
      <c r="BU669" t="s">
        <v>182</v>
      </c>
      <c r="BV669" t="s">
        <v>198</v>
      </c>
      <c r="BW669" t="s">
        <v>198</v>
      </c>
      <c r="BX669" t="s">
        <v>199</v>
      </c>
      <c r="BY669" t="s">
        <v>198</v>
      </c>
      <c r="BZ669" t="s">
        <v>199</v>
      </c>
      <c r="CA669" t="s">
        <v>199</v>
      </c>
      <c r="CB669" t="s">
        <v>9380</v>
      </c>
      <c r="CC669" t="s">
        <v>201</v>
      </c>
      <c r="CD669" t="s">
        <v>202</v>
      </c>
      <c r="CE669" t="s">
        <v>9381</v>
      </c>
      <c r="CF669" t="s">
        <v>1029</v>
      </c>
      <c r="CG669" t="s">
        <v>177</v>
      </c>
      <c r="CH669" t="s">
        <v>1030</v>
      </c>
      <c r="CI669" t="s">
        <v>9382</v>
      </c>
      <c r="CJ669" t="s">
        <v>5775</v>
      </c>
      <c r="CK669" t="s">
        <v>232</v>
      </c>
      <c r="CL669" t="s">
        <v>233</v>
      </c>
      <c r="CM669" t="s">
        <v>9383</v>
      </c>
      <c r="CN669" t="s">
        <v>235</v>
      </c>
      <c r="CO669" t="s">
        <v>183</v>
      </c>
      <c r="CP669" t="s">
        <v>211</v>
      </c>
      <c r="CQ669" t="s">
        <v>264</v>
      </c>
      <c r="CS669" t="s">
        <v>9384</v>
      </c>
      <c r="CT669" t="s">
        <v>5684</v>
      </c>
      <c r="CU669" t="s">
        <v>292</v>
      </c>
      <c r="CV669" t="s">
        <v>293</v>
      </c>
      <c r="CW669" t="s">
        <v>9385</v>
      </c>
      <c r="CX669" t="s">
        <v>235</v>
      </c>
      <c r="CY669" t="s">
        <v>183</v>
      </c>
      <c r="CZ669" t="s">
        <v>211</v>
      </c>
      <c r="DA669" t="s">
        <v>471</v>
      </c>
      <c r="DC669" t="s">
        <v>9384</v>
      </c>
      <c r="DD669" t="s">
        <v>5827</v>
      </c>
      <c r="DE669" t="s">
        <v>267</v>
      </c>
      <c r="DF669" t="s">
        <v>268</v>
      </c>
      <c r="DG669" t="s">
        <v>9386</v>
      </c>
      <c r="DH669" t="s">
        <v>235</v>
      </c>
      <c r="DI669" t="s">
        <v>183</v>
      </c>
      <c r="DJ669" t="s">
        <v>211</v>
      </c>
      <c r="DK669" t="s">
        <v>298</v>
      </c>
      <c r="DM669" t="s">
        <v>2428</v>
      </c>
      <c r="DN669" t="s">
        <v>9387</v>
      </c>
      <c r="DO669" t="s">
        <v>273</v>
      </c>
      <c r="DP669" t="s">
        <v>274</v>
      </c>
      <c r="DQ669" t="s">
        <v>9388</v>
      </c>
      <c r="DR669" t="s">
        <v>235</v>
      </c>
      <c r="DS669" t="s">
        <v>183</v>
      </c>
      <c r="DT669" t="s">
        <v>211</v>
      </c>
      <c r="DU669" t="s">
        <v>298</v>
      </c>
      <c r="DW669" t="s">
        <v>1811</v>
      </c>
      <c r="EG669" t="s">
        <v>198</v>
      </c>
      <c r="EQ669" t="s">
        <v>198</v>
      </c>
      <c r="FA669" t="s">
        <v>198</v>
      </c>
      <c r="FK669" t="s">
        <v>198</v>
      </c>
      <c r="FU669" t="s">
        <v>198</v>
      </c>
    </row>
    <row r="670" spans="1:177">
      <c r="A670" s="1" t="str">
        <f>HYPERLINK("http://digipan.lumentumllc.com/apps/getLink/index.php?t=PropLink&amp;p=5246114","PL")</f>
        <v>PL</v>
      </c>
      <c r="B670" s="1" t="str">
        <f>HYPERLINK("http://digipan.lumentumllc.com/apps/getLink/index.php?t=TaxLink&amp;p=5246114","TL")</f>
        <v>TL</v>
      </c>
      <c r="C670" s="1" t="str">
        <f>HYPERLINK("http://digipan.lumentumllc.com/apps/getMap/index.php?p=5246114","Map")</f>
        <v>Map</v>
      </c>
      <c r="E670" t="s">
        <v>177</v>
      </c>
      <c r="F670" t="s">
        <v>178</v>
      </c>
      <c r="L670" t="s">
        <v>9389</v>
      </c>
      <c r="N670" t="s">
        <v>9389</v>
      </c>
      <c r="O670" t="s">
        <v>9389</v>
      </c>
      <c r="P670" t="s">
        <v>9390</v>
      </c>
      <c r="Q670" t="s">
        <v>9389</v>
      </c>
      <c r="V670">
        <v>769</v>
      </c>
      <c r="W670">
        <v>3</v>
      </c>
      <c r="X670">
        <v>2017</v>
      </c>
      <c r="Y670">
        <v>2018</v>
      </c>
      <c r="Z670">
        <v>419.9</v>
      </c>
      <c r="AB670" t="s">
        <v>181</v>
      </c>
      <c r="AC670" t="s">
        <v>182</v>
      </c>
      <c r="AD670" t="s">
        <v>183</v>
      </c>
      <c r="AE670">
        <v>1</v>
      </c>
      <c r="AF670">
        <v>2</v>
      </c>
      <c r="AG670" t="s">
        <v>363</v>
      </c>
      <c r="AH670">
        <v>67</v>
      </c>
      <c r="AI670">
        <v>403.72</v>
      </c>
      <c r="AJ670">
        <v>20.190000000000001</v>
      </c>
      <c r="AK670">
        <v>423.91</v>
      </c>
      <c r="AL670">
        <v>60626</v>
      </c>
      <c r="AM670">
        <v>15150</v>
      </c>
      <c r="AN670">
        <v>45476</v>
      </c>
      <c r="AO670">
        <v>348</v>
      </c>
      <c r="AP670">
        <v>2016</v>
      </c>
      <c r="AQ670">
        <v>0.69</v>
      </c>
      <c r="AR670">
        <v>0.7</v>
      </c>
      <c r="AS670" t="s">
        <v>9391</v>
      </c>
      <c r="AT670" t="s">
        <v>3747</v>
      </c>
      <c r="AU670" t="s">
        <v>177</v>
      </c>
      <c r="AV670" t="s">
        <v>1030</v>
      </c>
      <c r="AW670" t="s">
        <v>202</v>
      </c>
      <c r="AX670">
        <v>2</v>
      </c>
      <c r="AY670" t="s">
        <v>188</v>
      </c>
      <c r="AZ670" t="s">
        <v>189</v>
      </c>
      <c r="BA670" t="s">
        <v>190</v>
      </c>
      <c r="BB670" t="s">
        <v>191</v>
      </c>
      <c r="BC670" t="s">
        <v>182</v>
      </c>
      <c r="BD670" t="s">
        <v>182</v>
      </c>
      <c r="BE670" t="s">
        <v>899</v>
      </c>
      <c r="BF670">
        <v>1</v>
      </c>
      <c r="BG670">
        <v>1</v>
      </c>
      <c r="BH670">
        <v>1997</v>
      </c>
      <c r="BI670" t="s">
        <v>450</v>
      </c>
      <c r="BJ670" t="s">
        <v>194</v>
      </c>
      <c r="BK670" t="s">
        <v>195</v>
      </c>
      <c r="BL670" t="s">
        <v>199</v>
      </c>
      <c r="BM670" t="s">
        <v>1311</v>
      </c>
      <c r="BN670" t="s">
        <v>182</v>
      </c>
      <c r="BO670" t="s">
        <v>198</v>
      </c>
      <c r="BP670" t="s">
        <v>198</v>
      </c>
      <c r="BQ670" t="s">
        <v>198</v>
      </c>
      <c r="BR670" t="s">
        <v>198</v>
      </c>
      <c r="BS670" t="s">
        <v>198</v>
      </c>
      <c r="BT670" t="s">
        <v>198</v>
      </c>
      <c r="BU670" t="s">
        <v>182</v>
      </c>
      <c r="BV670" t="s">
        <v>198</v>
      </c>
      <c r="BW670" t="s">
        <v>198</v>
      </c>
      <c r="BX670" t="s">
        <v>199</v>
      </c>
      <c r="BY670" t="s">
        <v>198</v>
      </c>
      <c r="BZ670" t="s">
        <v>199</v>
      </c>
      <c r="CA670" t="s">
        <v>199</v>
      </c>
      <c r="CB670" t="s">
        <v>9392</v>
      </c>
      <c r="CC670" t="s">
        <v>201</v>
      </c>
      <c r="CD670" t="s">
        <v>182</v>
      </c>
      <c r="CE670" t="s">
        <v>9393</v>
      </c>
      <c r="CF670" t="s">
        <v>1029</v>
      </c>
      <c r="CG670" t="s">
        <v>177</v>
      </c>
      <c r="CH670" t="s">
        <v>1030</v>
      </c>
      <c r="CI670" t="s">
        <v>9394</v>
      </c>
      <c r="CJ670" t="s">
        <v>5813</v>
      </c>
      <c r="CK670" t="s">
        <v>232</v>
      </c>
      <c r="CL670" t="s">
        <v>233</v>
      </c>
      <c r="CM670" t="s">
        <v>9395</v>
      </c>
      <c r="CN670" t="s">
        <v>235</v>
      </c>
      <c r="CO670" t="s">
        <v>183</v>
      </c>
      <c r="CP670" t="s">
        <v>266</v>
      </c>
      <c r="CS670" t="s">
        <v>198</v>
      </c>
      <c r="CT670" t="s">
        <v>8602</v>
      </c>
      <c r="CU670" t="s">
        <v>267</v>
      </c>
      <c r="CV670" t="s">
        <v>268</v>
      </c>
      <c r="CW670" t="s">
        <v>9396</v>
      </c>
      <c r="CX670" t="s">
        <v>235</v>
      </c>
      <c r="CY670" t="s">
        <v>183</v>
      </c>
      <c r="CZ670" t="s">
        <v>211</v>
      </c>
      <c r="DA670" t="s">
        <v>342</v>
      </c>
      <c r="DC670" t="s">
        <v>392</v>
      </c>
      <c r="DD670" t="s">
        <v>9397</v>
      </c>
      <c r="DE670" t="s">
        <v>273</v>
      </c>
      <c r="DF670" t="s">
        <v>274</v>
      </c>
      <c r="DG670" t="s">
        <v>9398</v>
      </c>
      <c r="DH670" t="s">
        <v>235</v>
      </c>
      <c r="DI670" t="s">
        <v>183</v>
      </c>
      <c r="DJ670" t="s">
        <v>211</v>
      </c>
      <c r="DK670" t="s">
        <v>345</v>
      </c>
      <c r="DM670" t="s">
        <v>392</v>
      </c>
      <c r="DW670" t="s">
        <v>198</v>
      </c>
      <c r="EG670" t="s">
        <v>198</v>
      </c>
      <c r="EQ670" t="s">
        <v>198</v>
      </c>
      <c r="FA670" t="s">
        <v>198</v>
      </c>
      <c r="FK670" t="s">
        <v>198</v>
      </c>
      <c r="FU670" t="s">
        <v>198</v>
      </c>
    </row>
    <row r="671" spans="1:177">
      <c r="A671" s="1" t="str">
        <f>HYPERLINK("http://digipan.lumentumllc.com/apps/getLink/index.php?t=PropLink&amp;p=6129002","PL")</f>
        <v>PL</v>
      </c>
      <c r="B671" s="1" t="str">
        <f>HYPERLINK("http://digipan.lumentumllc.com/apps/getLink/index.php?t=TaxLink&amp;p=6129002","TL")</f>
        <v>TL</v>
      </c>
      <c r="C671" s="1" t="str">
        <f>HYPERLINK("http://digipan.lumentumllc.com/apps/getMap/index.php?p=6129002","Map")</f>
        <v>Map</v>
      </c>
      <c r="E671" t="s">
        <v>177</v>
      </c>
      <c r="F671" t="s">
        <v>178</v>
      </c>
      <c r="L671" t="s">
        <v>9399</v>
      </c>
      <c r="N671" t="s">
        <v>9399</v>
      </c>
      <c r="O671" t="s">
        <v>9399</v>
      </c>
      <c r="P671" t="s">
        <v>9400</v>
      </c>
      <c r="Q671" t="s">
        <v>9399</v>
      </c>
      <c r="V671">
        <v>770</v>
      </c>
      <c r="W671">
        <v>3</v>
      </c>
      <c r="X671">
        <v>2017</v>
      </c>
      <c r="Y671">
        <v>2018</v>
      </c>
      <c r="Z671">
        <v>2694.63</v>
      </c>
      <c r="AB671" t="s">
        <v>181</v>
      </c>
      <c r="AC671" t="s">
        <v>182</v>
      </c>
      <c r="AD671" t="s">
        <v>183</v>
      </c>
      <c r="AE671">
        <v>1</v>
      </c>
      <c r="AF671">
        <v>5</v>
      </c>
      <c r="AG671" t="s">
        <v>322</v>
      </c>
      <c r="AH671">
        <v>83</v>
      </c>
      <c r="AI671">
        <v>2196.79</v>
      </c>
      <c r="AJ671">
        <v>109.84</v>
      </c>
      <c r="AK671">
        <v>2306.63</v>
      </c>
      <c r="AL671">
        <v>220013</v>
      </c>
      <c r="AM671">
        <v>55440</v>
      </c>
      <c r="AN671">
        <v>164573</v>
      </c>
      <c r="AO671">
        <v>2006</v>
      </c>
      <c r="AP671">
        <v>2016</v>
      </c>
      <c r="AQ671">
        <v>1.22</v>
      </c>
      <c r="AR671">
        <v>1.05</v>
      </c>
      <c r="AS671" t="s">
        <v>9401</v>
      </c>
      <c r="AT671" t="s">
        <v>3747</v>
      </c>
      <c r="AU671" t="s">
        <v>177</v>
      </c>
      <c r="AV671" t="s">
        <v>1030</v>
      </c>
      <c r="AW671" t="s">
        <v>202</v>
      </c>
      <c r="AX671">
        <v>1</v>
      </c>
      <c r="AY671" t="s">
        <v>188</v>
      </c>
      <c r="AZ671" t="s">
        <v>206</v>
      </c>
      <c r="BA671" t="s">
        <v>355</v>
      </c>
      <c r="BB671" t="s">
        <v>191</v>
      </c>
      <c r="BC671" t="s">
        <v>182</v>
      </c>
      <c r="BD671" t="s">
        <v>2072</v>
      </c>
      <c r="BE671" t="s">
        <v>9402</v>
      </c>
      <c r="BF671">
        <v>1</v>
      </c>
      <c r="BG671">
        <v>1</v>
      </c>
      <c r="BH671">
        <v>1997</v>
      </c>
      <c r="BI671" t="s">
        <v>9403</v>
      </c>
      <c r="BJ671" t="s">
        <v>194</v>
      </c>
      <c r="BK671" t="s">
        <v>195</v>
      </c>
      <c r="BL671" t="s">
        <v>199</v>
      </c>
      <c r="BM671" t="s">
        <v>1825</v>
      </c>
      <c r="BN671" t="s">
        <v>182</v>
      </c>
      <c r="BO671" t="s">
        <v>982</v>
      </c>
      <c r="BP671" t="s">
        <v>8325</v>
      </c>
      <c r="BS671" t="s">
        <v>9404</v>
      </c>
      <c r="BT671" t="s">
        <v>198</v>
      </c>
      <c r="BU671" t="s">
        <v>182</v>
      </c>
      <c r="BV671" t="s">
        <v>198</v>
      </c>
      <c r="BW671" t="s">
        <v>198</v>
      </c>
      <c r="BX671" t="s">
        <v>199</v>
      </c>
      <c r="BY671" t="s">
        <v>198</v>
      </c>
      <c r="BZ671" t="s">
        <v>199</v>
      </c>
      <c r="CA671" t="s">
        <v>199</v>
      </c>
      <c r="CB671" t="s">
        <v>9405</v>
      </c>
      <c r="CC671" t="s">
        <v>201</v>
      </c>
      <c r="CD671" t="s">
        <v>182</v>
      </c>
      <c r="CE671" t="s">
        <v>9406</v>
      </c>
      <c r="CF671" t="s">
        <v>1029</v>
      </c>
      <c r="CG671" t="s">
        <v>177</v>
      </c>
      <c r="CH671" t="s">
        <v>1030</v>
      </c>
      <c r="CI671" t="s">
        <v>5867</v>
      </c>
      <c r="CJ671" t="s">
        <v>5827</v>
      </c>
      <c r="CK671" t="s">
        <v>232</v>
      </c>
      <c r="CL671" t="s">
        <v>233</v>
      </c>
      <c r="CM671" t="s">
        <v>9407</v>
      </c>
      <c r="CN671" t="s">
        <v>235</v>
      </c>
      <c r="CO671" t="s">
        <v>183</v>
      </c>
      <c r="CP671" t="s">
        <v>266</v>
      </c>
      <c r="CS671" t="s">
        <v>198</v>
      </c>
      <c r="CT671" t="s">
        <v>5702</v>
      </c>
      <c r="CU671" t="s">
        <v>292</v>
      </c>
      <c r="CV671" t="s">
        <v>293</v>
      </c>
      <c r="CW671" t="s">
        <v>9408</v>
      </c>
      <c r="CX671" t="s">
        <v>235</v>
      </c>
      <c r="CY671" t="s">
        <v>183</v>
      </c>
      <c r="CZ671" t="s">
        <v>211</v>
      </c>
      <c r="DA671" t="s">
        <v>298</v>
      </c>
      <c r="DC671" t="s">
        <v>9409</v>
      </c>
      <c r="DD671" t="s">
        <v>5856</v>
      </c>
      <c r="DE671" t="s">
        <v>267</v>
      </c>
      <c r="DF671" t="s">
        <v>268</v>
      </c>
      <c r="DG671" t="s">
        <v>9410</v>
      </c>
      <c r="DH671" t="s">
        <v>235</v>
      </c>
      <c r="DI671" t="s">
        <v>183</v>
      </c>
      <c r="DJ671" t="s">
        <v>211</v>
      </c>
      <c r="DK671" t="s">
        <v>329</v>
      </c>
      <c r="DM671" t="s">
        <v>9411</v>
      </c>
      <c r="DN671" t="s">
        <v>6174</v>
      </c>
      <c r="DO671" t="s">
        <v>273</v>
      </c>
      <c r="DP671" t="s">
        <v>274</v>
      </c>
      <c r="DQ671" t="s">
        <v>9412</v>
      </c>
      <c r="DR671" t="s">
        <v>235</v>
      </c>
      <c r="DS671" t="s">
        <v>183</v>
      </c>
      <c r="DT671" t="s">
        <v>211</v>
      </c>
      <c r="DU671" t="s">
        <v>298</v>
      </c>
      <c r="DW671" t="s">
        <v>9411</v>
      </c>
      <c r="DX671" t="s">
        <v>9413</v>
      </c>
      <c r="DY671" t="s">
        <v>302</v>
      </c>
      <c r="DZ671" t="s">
        <v>303</v>
      </c>
      <c r="EA671" t="s">
        <v>9414</v>
      </c>
      <c r="EB671" t="s">
        <v>235</v>
      </c>
      <c r="EC671" t="s">
        <v>183</v>
      </c>
      <c r="ED671" t="s">
        <v>211</v>
      </c>
      <c r="EE671" t="s">
        <v>345</v>
      </c>
      <c r="EG671" t="s">
        <v>1372</v>
      </c>
      <c r="EH671" t="s">
        <v>8822</v>
      </c>
      <c r="EI671" t="s">
        <v>238</v>
      </c>
      <c r="EJ671" t="s">
        <v>239</v>
      </c>
      <c r="EK671" t="s">
        <v>9415</v>
      </c>
      <c r="EL671" t="s">
        <v>235</v>
      </c>
      <c r="EM671" t="s">
        <v>183</v>
      </c>
      <c r="EN671" t="s">
        <v>211</v>
      </c>
      <c r="EO671" t="s">
        <v>345</v>
      </c>
      <c r="EQ671" t="s">
        <v>9416</v>
      </c>
      <c r="FA671" t="s">
        <v>198</v>
      </c>
      <c r="FK671" t="s">
        <v>198</v>
      </c>
      <c r="FU671" t="s">
        <v>198</v>
      </c>
    </row>
    <row r="672" spans="1:177">
      <c r="A672" s="1" t="str">
        <f>HYPERLINK("http://digipan.lumentumllc.com/apps/getLink/index.php?t=PropLink&amp;p=6129004","PL")</f>
        <v>PL</v>
      </c>
      <c r="B672" s="1" t="str">
        <f>HYPERLINK("http://digipan.lumentumllc.com/apps/getLink/index.php?t=TaxLink&amp;p=6129004","TL")</f>
        <v>TL</v>
      </c>
      <c r="C672" s="1" t="str">
        <f>HYPERLINK("http://digipan.lumentumllc.com/apps/getMap/index.php?p=6129004","Map")</f>
        <v>Map</v>
      </c>
      <c r="E672" t="s">
        <v>177</v>
      </c>
      <c r="F672" t="s">
        <v>178</v>
      </c>
      <c r="L672" t="s">
        <v>9417</v>
      </c>
      <c r="N672" t="s">
        <v>9417</v>
      </c>
      <c r="O672" t="s">
        <v>9417</v>
      </c>
      <c r="P672" t="s">
        <v>9418</v>
      </c>
      <c r="Q672" t="s">
        <v>9417</v>
      </c>
      <c r="V672">
        <v>771</v>
      </c>
      <c r="W672">
        <v>3</v>
      </c>
      <c r="X672">
        <v>2017</v>
      </c>
      <c r="Y672">
        <v>2018</v>
      </c>
      <c r="Z672">
        <v>1786.81</v>
      </c>
      <c r="AB672" t="s">
        <v>181</v>
      </c>
      <c r="AC672" t="s">
        <v>182</v>
      </c>
      <c r="AD672" t="s">
        <v>183</v>
      </c>
      <c r="AE672">
        <v>1</v>
      </c>
      <c r="AF672">
        <v>3</v>
      </c>
      <c r="AG672" t="s">
        <v>257</v>
      </c>
      <c r="AH672">
        <v>75</v>
      </c>
      <c r="AI672">
        <v>1607.83</v>
      </c>
      <c r="AJ672">
        <v>80.39</v>
      </c>
      <c r="AK672">
        <v>1688.22</v>
      </c>
      <c r="AL672">
        <v>110338</v>
      </c>
      <c r="AM672">
        <v>40000</v>
      </c>
      <c r="AN672">
        <v>70338</v>
      </c>
      <c r="AO672">
        <v>1462</v>
      </c>
      <c r="AP672">
        <v>2016</v>
      </c>
      <c r="AQ672">
        <v>1.62</v>
      </c>
      <c r="AR672">
        <v>1.53</v>
      </c>
      <c r="AS672" t="s">
        <v>9419</v>
      </c>
      <c r="AT672" t="s">
        <v>3747</v>
      </c>
      <c r="AU672" t="s">
        <v>177</v>
      </c>
      <c r="AV672" t="s">
        <v>1030</v>
      </c>
      <c r="AW672" t="s">
        <v>182</v>
      </c>
      <c r="AX672">
        <v>2</v>
      </c>
      <c r="AY672" t="s">
        <v>188</v>
      </c>
      <c r="AZ672" t="s">
        <v>189</v>
      </c>
      <c r="BA672" t="s">
        <v>190</v>
      </c>
      <c r="BB672" t="s">
        <v>191</v>
      </c>
      <c r="BC672" t="s">
        <v>182</v>
      </c>
      <c r="BD672" t="s">
        <v>182</v>
      </c>
      <c r="BE672" t="s">
        <v>247</v>
      </c>
      <c r="BF672">
        <v>2</v>
      </c>
      <c r="BG672">
        <v>2</v>
      </c>
      <c r="BH672">
        <v>1996</v>
      </c>
      <c r="BI672" t="s">
        <v>9420</v>
      </c>
      <c r="BJ672" t="s">
        <v>194</v>
      </c>
      <c r="BK672" t="s">
        <v>195</v>
      </c>
      <c r="BL672" t="s">
        <v>199</v>
      </c>
      <c r="BM672" t="s">
        <v>302</v>
      </c>
      <c r="BN672" t="s">
        <v>182</v>
      </c>
      <c r="BO672" t="s">
        <v>8840</v>
      </c>
      <c r="BP672" t="s">
        <v>2421</v>
      </c>
      <c r="BS672" t="s">
        <v>9421</v>
      </c>
      <c r="BT672" t="s">
        <v>198</v>
      </c>
      <c r="BU672" t="s">
        <v>182</v>
      </c>
      <c r="BV672" t="s">
        <v>198</v>
      </c>
      <c r="BW672" t="s">
        <v>198</v>
      </c>
      <c r="BX672" t="s">
        <v>199</v>
      </c>
      <c r="BY672" t="s">
        <v>198</v>
      </c>
      <c r="BZ672" t="s">
        <v>199</v>
      </c>
      <c r="CA672" t="s">
        <v>199</v>
      </c>
      <c r="CB672" t="s">
        <v>9422</v>
      </c>
      <c r="CC672" t="s">
        <v>201</v>
      </c>
      <c r="CD672" t="s">
        <v>182</v>
      </c>
      <c r="CE672" t="s">
        <v>9423</v>
      </c>
      <c r="CF672" t="s">
        <v>9424</v>
      </c>
      <c r="CG672" t="s">
        <v>177</v>
      </c>
      <c r="CH672" t="s">
        <v>1030</v>
      </c>
      <c r="CI672" t="s">
        <v>9425</v>
      </c>
      <c r="CJ672" t="s">
        <v>5856</v>
      </c>
      <c r="CK672" t="s">
        <v>232</v>
      </c>
      <c r="CL672" t="s">
        <v>233</v>
      </c>
      <c r="CM672" t="s">
        <v>9426</v>
      </c>
      <c r="CN672" t="s">
        <v>235</v>
      </c>
      <c r="CO672" t="s">
        <v>183</v>
      </c>
      <c r="CP672" t="s">
        <v>266</v>
      </c>
      <c r="CS672" t="s">
        <v>198</v>
      </c>
      <c r="CT672" t="s">
        <v>8865</v>
      </c>
      <c r="CU672" t="s">
        <v>292</v>
      </c>
      <c r="CV672" t="s">
        <v>293</v>
      </c>
      <c r="CW672" t="s">
        <v>9427</v>
      </c>
      <c r="CX672" t="s">
        <v>235</v>
      </c>
      <c r="CY672" t="s">
        <v>183</v>
      </c>
      <c r="CZ672" t="s">
        <v>211</v>
      </c>
      <c r="DA672" t="s">
        <v>337</v>
      </c>
      <c r="DC672" t="s">
        <v>9428</v>
      </c>
      <c r="DD672" t="s">
        <v>1693</v>
      </c>
      <c r="DE672" t="s">
        <v>273</v>
      </c>
      <c r="DF672" t="s">
        <v>274</v>
      </c>
      <c r="DG672" t="s">
        <v>9429</v>
      </c>
      <c r="DH672" t="s">
        <v>235</v>
      </c>
      <c r="DI672" t="s">
        <v>183</v>
      </c>
      <c r="DJ672" t="s">
        <v>211</v>
      </c>
      <c r="DK672" t="s">
        <v>212</v>
      </c>
      <c r="DM672" t="s">
        <v>4873</v>
      </c>
      <c r="DN672" t="s">
        <v>9430</v>
      </c>
      <c r="DO672" t="s">
        <v>238</v>
      </c>
      <c r="DP672" t="s">
        <v>239</v>
      </c>
      <c r="DQ672" t="s">
        <v>9431</v>
      </c>
      <c r="DR672" t="s">
        <v>331</v>
      </c>
      <c r="DS672" t="s">
        <v>183</v>
      </c>
      <c r="DT672" t="s">
        <v>211</v>
      </c>
      <c r="DU672" t="s">
        <v>206</v>
      </c>
      <c r="DW672" t="s">
        <v>9432</v>
      </c>
      <c r="EG672" t="s">
        <v>198</v>
      </c>
      <c r="EQ672" t="s">
        <v>198</v>
      </c>
      <c r="FA672" t="s">
        <v>198</v>
      </c>
      <c r="FK672" t="s">
        <v>198</v>
      </c>
      <c r="FU672" t="s">
        <v>198</v>
      </c>
    </row>
    <row r="673" spans="1:177">
      <c r="A673" s="1" t="str">
        <f>HYPERLINK("http://digipan.lumentumllc.com/apps/getLink/index.php?t=PropLink&amp;p=5246116","PL")</f>
        <v>PL</v>
      </c>
      <c r="B673" s="1" t="str">
        <f>HYPERLINK("http://digipan.lumentumllc.com/apps/getLink/index.php?t=TaxLink&amp;p=5246116","TL")</f>
        <v>TL</v>
      </c>
      <c r="C673" s="1" t="str">
        <f>HYPERLINK("http://digipan.lumentumllc.com/apps/getMap/index.php?p=5246116","Map")</f>
        <v>Map</v>
      </c>
      <c r="E673" t="s">
        <v>177</v>
      </c>
      <c r="F673" t="s">
        <v>178</v>
      </c>
      <c r="L673" t="s">
        <v>9433</v>
      </c>
      <c r="N673" t="s">
        <v>9433</v>
      </c>
      <c r="O673" t="s">
        <v>9433</v>
      </c>
      <c r="P673" t="s">
        <v>9434</v>
      </c>
      <c r="Q673" t="s">
        <v>9433</v>
      </c>
      <c r="V673">
        <v>772</v>
      </c>
      <c r="W673">
        <v>3</v>
      </c>
      <c r="X673">
        <v>2017</v>
      </c>
      <c r="Y673">
        <v>2018</v>
      </c>
      <c r="Z673">
        <v>984.34</v>
      </c>
      <c r="AB673" t="s">
        <v>181</v>
      </c>
      <c r="AC673" t="s">
        <v>182</v>
      </c>
      <c r="AD673" t="s">
        <v>183</v>
      </c>
      <c r="AE673">
        <v>1</v>
      </c>
      <c r="AF673">
        <v>7</v>
      </c>
      <c r="AG673" t="s">
        <v>418</v>
      </c>
      <c r="AH673">
        <v>86</v>
      </c>
      <c r="AI673">
        <v>902.64</v>
      </c>
      <c r="AJ673">
        <v>45.13</v>
      </c>
      <c r="AK673">
        <v>947.77</v>
      </c>
      <c r="AL673">
        <v>58361</v>
      </c>
      <c r="AM673">
        <v>24120</v>
      </c>
      <c r="AN673">
        <v>34241</v>
      </c>
      <c r="AO673">
        <v>810</v>
      </c>
      <c r="AP673">
        <v>2016</v>
      </c>
      <c r="AQ673">
        <v>1.69</v>
      </c>
      <c r="AR673">
        <v>1.62</v>
      </c>
      <c r="AS673" t="s">
        <v>9435</v>
      </c>
      <c r="AT673" t="s">
        <v>3747</v>
      </c>
      <c r="AU673" t="s">
        <v>177</v>
      </c>
      <c r="AV673" t="s">
        <v>1030</v>
      </c>
      <c r="AW673" t="s">
        <v>182</v>
      </c>
      <c r="AX673">
        <v>2</v>
      </c>
      <c r="AY673" t="s">
        <v>188</v>
      </c>
      <c r="AZ673" t="s">
        <v>189</v>
      </c>
      <c r="BA673" t="s">
        <v>190</v>
      </c>
      <c r="BB673" t="s">
        <v>191</v>
      </c>
      <c r="BC673" t="s">
        <v>182</v>
      </c>
      <c r="BD673" t="s">
        <v>182</v>
      </c>
      <c r="BE673" t="s">
        <v>9436</v>
      </c>
      <c r="BF673">
        <v>1</v>
      </c>
      <c r="BG673">
        <v>1</v>
      </c>
      <c r="BH673">
        <v>2003</v>
      </c>
      <c r="BI673" t="s">
        <v>1271</v>
      </c>
      <c r="BJ673" t="s">
        <v>194</v>
      </c>
      <c r="BK673" t="s">
        <v>195</v>
      </c>
      <c r="BL673" t="s">
        <v>2281</v>
      </c>
      <c r="BM673" t="s">
        <v>286</v>
      </c>
      <c r="BN673" t="s">
        <v>182</v>
      </c>
      <c r="BO673" t="s">
        <v>9437</v>
      </c>
      <c r="BP673" t="s">
        <v>3881</v>
      </c>
      <c r="BQ673" t="s">
        <v>603</v>
      </c>
      <c r="BR673" t="s">
        <v>2318</v>
      </c>
      <c r="BS673" t="s">
        <v>198</v>
      </c>
      <c r="BT673" t="s">
        <v>9438</v>
      </c>
      <c r="BU673" t="s">
        <v>182</v>
      </c>
      <c r="BV673" t="s">
        <v>198</v>
      </c>
      <c r="BW673" t="s">
        <v>198</v>
      </c>
      <c r="BX673" t="s">
        <v>199</v>
      </c>
      <c r="BY673" t="s">
        <v>198</v>
      </c>
      <c r="BZ673" t="s">
        <v>199</v>
      </c>
      <c r="CA673" t="s">
        <v>199</v>
      </c>
      <c r="CB673" t="s">
        <v>4502</v>
      </c>
      <c r="CC673" t="s">
        <v>201</v>
      </c>
      <c r="CD673" t="s">
        <v>182</v>
      </c>
      <c r="CE673" t="s">
        <v>4503</v>
      </c>
      <c r="CF673" t="s">
        <v>425</v>
      </c>
      <c r="CG673" t="s">
        <v>177</v>
      </c>
      <c r="CH673" t="s">
        <v>421</v>
      </c>
      <c r="CI673" t="s">
        <v>9439</v>
      </c>
      <c r="CJ673" t="s">
        <v>9143</v>
      </c>
      <c r="CK673" t="s">
        <v>232</v>
      </c>
      <c r="CL673" t="s">
        <v>233</v>
      </c>
      <c r="CM673" t="s">
        <v>9440</v>
      </c>
      <c r="CN673" t="s">
        <v>235</v>
      </c>
      <c r="CO673" t="s">
        <v>183</v>
      </c>
      <c r="CP673" t="s">
        <v>266</v>
      </c>
      <c r="CS673" t="s">
        <v>198</v>
      </c>
      <c r="CT673" t="s">
        <v>5815</v>
      </c>
      <c r="CU673" t="s">
        <v>292</v>
      </c>
      <c r="CV673" t="s">
        <v>293</v>
      </c>
      <c r="CW673" t="s">
        <v>9441</v>
      </c>
      <c r="CX673" t="s">
        <v>235</v>
      </c>
      <c r="CY673" t="s">
        <v>183</v>
      </c>
      <c r="CZ673" t="s">
        <v>211</v>
      </c>
      <c r="DA673" t="s">
        <v>345</v>
      </c>
      <c r="DC673" t="s">
        <v>4550</v>
      </c>
      <c r="DD673" t="s">
        <v>5875</v>
      </c>
      <c r="DE673" t="s">
        <v>267</v>
      </c>
      <c r="DF673" t="s">
        <v>268</v>
      </c>
      <c r="DG673" t="s">
        <v>9442</v>
      </c>
      <c r="DH673" t="s">
        <v>235</v>
      </c>
      <c r="DI673" t="s">
        <v>183</v>
      </c>
      <c r="DJ673" t="s">
        <v>211</v>
      </c>
      <c r="DK673" t="s">
        <v>345</v>
      </c>
      <c r="DM673" t="s">
        <v>4509</v>
      </c>
      <c r="DN673" t="s">
        <v>6300</v>
      </c>
      <c r="DO673" t="s">
        <v>273</v>
      </c>
      <c r="DP673" t="s">
        <v>274</v>
      </c>
      <c r="DQ673" t="s">
        <v>9443</v>
      </c>
      <c r="DR673" t="s">
        <v>235</v>
      </c>
      <c r="DS673" t="s">
        <v>183</v>
      </c>
      <c r="DT673" t="s">
        <v>211</v>
      </c>
      <c r="DU673" t="s">
        <v>345</v>
      </c>
      <c r="DW673" t="s">
        <v>1613</v>
      </c>
      <c r="DX673" t="s">
        <v>9444</v>
      </c>
      <c r="DY673" t="s">
        <v>302</v>
      </c>
      <c r="DZ673" t="s">
        <v>303</v>
      </c>
      <c r="EA673" t="s">
        <v>9445</v>
      </c>
      <c r="EB673" t="s">
        <v>436</v>
      </c>
      <c r="EC673" t="s">
        <v>183</v>
      </c>
      <c r="ED673" t="s">
        <v>211</v>
      </c>
      <c r="EE673" t="s">
        <v>345</v>
      </c>
      <c r="EG673" t="s">
        <v>4512</v>
      </c>
      <c r="EH673" t="s">
        <v>7006</v>
      </c>
      <c r="EI673" t="s">
        <v>238</v>
      </c>
      <c r="EJ673" t="s">
        <v>239</v>
      </c>
      <c r="EK673" t="s">
        <v>9446</v>
      </c>
      <c r="EL673" t="s">
        <v>440</v>
      </c>
      <c r="EM673" t="s">
        <v>183</v>
      </c>
      <c r="EN673" t="s">
        <v>211</v>
      </c>
      <c r="EO673" t="s">
        <v>345</v>
      </c>
      <c r="EQ673" t="s">
        <v>3657</v>
      </c>
      <c r="ER673" t="s">
        <v>6190</v>
      </c>
      <c r="ES673" t="s">
        <v>346</v>
      </c>
      <c r="ET673" t="s">
        <v>347</v>
      </c>
      <c r="EU673" t="s">
        <v>9447</v>
      </c>
      <c r="EV673" t="s">
        <v>1164</v>
      </c>
      <c r="EW673" t="s">
        <v>183</v>
      </c>
      <c r="EX673" t="s">
        <v>211</v>
      </c>
      <c r="EY673" t="s">
        <v>345</v>
      </c>
      <c r="FA673" t="s">
        <v>4517</v>
      </c>
      <c r="FB673" t="s">
        <v>9448</v>
      </c>
      <c r="FC673" t="s">
        <v>207</v>
      </c>
      <c r="FD673" t="s">
        <v>208</v>
      </c>
      <c r="FE673" t="s">
        <v>9449</v>
      </c>
      <c r="FF673" t="s">
        <v>576</v>
      </c>
      <c r="FG673" t="s">
        <v>183</v>
      </c>
      <c r="FH673" t="s">
        <v>211</v>
      </c>
      <c r="FI673" t="s">
        <v>345</v>
      </c>
      <c r="FK673" t="s">
        <v>4520</v>
      </c>
      <c r="FU673" t="s">
        <v>198</v>
      </c>
    </row>
    <row r="674" spans="1:177">
      <c r="A674" s="1" t="str">
        <f>HYPERLINK("http://digipan.lumentumllc.com/apps/getLink/index.php?t=PropLink&amp;p=5246118","PL")</f>
        <v>PL</v>
      </c>
      <c r="B674" s="1" t="str">
        <f>HYPERLINK("http://digipan.lumentumllc.com/apps/getLink/index.php?t=TaxLink&amp;p=5246118","TL")</f>
        <v>TL</v>
      </c>
      <c r="C674" s="1" t="str">
        <f>HYPERLINK("http://digipan.lumentumllc.com/apps/getMap/index.php?p=5246118","Map")</f>
        <v>Map</v>
      </c>
      <c r="E674" t="s">
        <v>177</v>
      </c>
      <c r="F674" t="s">
        <v>178</v>
      </c>
      <c r="L674" t="s">
        <v>9450</v>
      </c>
      <c r="N674" t="s">
        <v>9450</v>
      </c>
      <c r="O674" t="s">
        <v>9450</v>
      </c>
      <c r="P674" t="s">
        <v>9451</v>
      </c>
      <c r="Q674" t="s">
        <v>9450</v>
      </c>
      <c r="V674">
        <v>774</v>
      </c>
      <c r="W674">
        <v>3</v>
      </c>
      <c r="X674">
        <v>2017</v>
      </c>
      <c r="Y674">
        <v>2018</v>
      </c>
      <c r="Z674">
        <v>867.04</v>
      </c>
      <c r="AB674" t="s">
        <v>181</v>
      </c>
      <c r="AC674" t="s">
        <v>182</v>
      </c>
      <c r="AD674" t="s">
        <v>183</v>
      </c>
      <c r="AE674">
        <v>1</v>
      </c>
      <c r="AF674">
        <v>7</v>
      </c>
      <c r="AG674" t="s">
        <v>418</v>
      </c>
      <c r="AH674">
        <v>86</v>
      </c>
      <c r="AI674">
        <v>779.28</v>
      </c>
      <c r="AJ674">
        <v>38.96</v>
      </c>
      <c r="AK674">
        <v>818.24</v>
      </c>
      <c r="AL674">
        <v>52502</v>
      </c>
      <c r="AM674">
        <v>33280</v>
      </c>
      <c r="AN674">
        <v>19222</v>
      </c>
      <c r="AO674">
        <v>696</v>
      </c>
      <c r="AP674">
        <v>2016</v>
      </c>
      <c r="AQ674">
        <v>1.65</v>
      </c>
      <c r="AR674">
        <v>1.56</v>
      </c>
      <c r="AS674" t="s">
        <v>9452</v>
      </c>
      <c r="AT674" t="s">
        <v>3747</v>
      </c>
      <c r="AU674" t="s">
        <v>177</v>
      </c>
      <c r="AV674" t="s">
        <v>1030</v>
      </c>
      <c r="AW674" t="s">
        <v>182</v>
      </c>
      <c r="AX674">
        <v>2</v>
      </c>
      <c r="AY674" t="s">
        <v>188</v>
      </c>
      <c r="AZ674" t="s">
        <v>189</v>
      </c>
      <c r="BA674" t="s">
        <v>190</v>
      </c>
      <c r="BB674" t="s">
        <v>191</v>
      </c>
      <c r="BC674" t="s">
        <v>182</v>
      </c>
      <c r="BD674" t="s">
        <v>182</v>
      </c>
      <c r="BE674" t="s">
        <v>9453</v>
      </c>
      <c r="BF674">
        <v>1</v>
      </c>
      <c r="BG674">
        <v>1</v>
      </c>
      <c r="BH674">
        <v>1988</v>
      </c>
      <c r="BI674" t="s">
        <v>1202</v>
      </c>
      <c r="BJ674" t="s">
        <v>194</v>
      </c>
      <c r="BK674" t="s">
        <v>195</v>
      </c>
      <c r="BL674" t="s">
        <v>199</v>
      </c>
      <c r="BM674" t="s">
        <v>559</v>
      </c>
      <c r="BN674" t="s">
        <v>182</v>
      </c>
      <c r="BO674" t="s">
        <v>198</v>
      </c>
      <c r="BP674" t="s">
        <v>198</v>
      </c>
      <c r="BQ674" t="s">
        <v>198</v>
      </c>
      <c r="BR674" t="s">
        <v>198</v>
      </c>
      <c r="BS674" t="s">
        <v>198</v>
      </c>
      <c r="BT674" t="s">
        <v>198</v>
      </c>
      <c r="BU674" t="s">
        <v>182</v>
      </c>
      <c r="BV674" t="s">
        <v>198</v>
      </c>
      <c r="BW674" t="s">
        <v>198</v>
      </c>
      <c r="BX674" t="s">
        <v>199</v>
      </c>
      <c r="BY674" t="s">
        <v>198</v>
      </c>
      <c r="BZ674" t="s">
        <v>199</v>
      </c>
      <c r="CA674" t="s">
        <v>199</v>
      </c>
      <c r="CB674" t="s">
        <v>4502</v>
      </c>
      <c r="CC674" t="s">
        <v>201</v>
      </c>
      <c r="CD674" t="s">
        <v>182</v>
      </c>
      <c r="CE674" t="s">
        <v>4503</v>
      </c>
      <c r="CF674" t="s">
        <v>425</v>
      </c>
      <c r="CG674" t="s">
        <v>177</v>
      </c>
      <c r="CH674" t="s">
        <v>421</v>
      </c>
      <c r="CI674" t="s">
        <v>9454</v>
      </c>
      <c r="CJ674" t="s">
        <v>8676</v>
      </c>
      <c r="CK674" t="s">
        <v>232</v>
      </c>
      <c r="CL674" t="s">
        <v>233</v>
      </c>
      <c r="CM674" t="s">
        <v>9455</v>
      </c>
      <c r="CN674" t="s">
        <v>235</v>
      </c>
      <c r="CO674" t="s">
        <v>183</v>
      </c>
      <c r="CP674" t="s">
        <v>266</v>
      </c>
      <c r="CS674" t="s">
        <v>198</v>
      </c>
      <c r="CT674" t="s">
        <v>5644</v>
      </c>
      <c r="CU674" t="s">
        <v>292</v>
      </c>
      <c r="CV674" t="s">
        <v>293</v>
      </c>
      <c r="CW674" t="s">
        <v>9456</v>
      </c>
      <c r="CX674" t="s">
        <v>235</v>
      </c>
      <c r="CY674" t="s">
        <v>183</v>
      </c>
      <c r="CZ674" t="s">
        <v>211</v>
      </c>
      <c r="DA674" t="s">
        <v>345</v>
      </c>
      <c r="DC674" t="s">
        <v>4550</v>
      </c>
      <c r="DD674" t="s">
        <v>5891</v>
      </c>
      <c r="DE674" t="s">
        <v>267</v>
      </c>
      <c r="DF674" t="s">
        <v>268</v>
      </c>
      <c r="DG674" t="s">
        <v>9457</v>
      </c>
      <c r="DH674" t="s">
        <v>235</v>
      </c>
      <c r="DI674" t="s">
        <v>183</v>
      </c>
      <c r="DJ674" t="s">
        <v>211</v>
      </c>
      <c r="DK674" t="s">
        <v>345</v>
      </c>
      <c r="DM674" t="s">
        <v>4509</v>
      </c>
      <c r="DN674" t="s">
        <v>2632</v>
      </c>
      <c r="DO674" t="s">
        <v>273</v>
      </c>
      <c r="DP674" t="s">
        <v>274</v>
      </c>
      <c r="DQ674" t="s">
        <v>9458</v>
      </c>
      <c r="DR674" t="s">
        <v>838</v>
      </c>
      <c r="DS674" t="s">
        <v>183</v>
      </c>
      <c r="DT674" t="s">
        <v>211</v>
      </c>
      <c r="DU674" t="s">
        <v>345</v>
      </c>
      <c r="DW674" t="s">
        <v>1613</v>
      </c>
      <c r="DX674" t="s">
        <v>6981</v>
      </c>
      <c r="DY674" t="s">
        <v>302</v>
      </c>
      <c r="DZ674" t="s">
        <v>303</v>
      </c>
      <c r="EA674" t="s">
        <v>9459</v>
      </c>
      <c r="EB674" t="s">
        <v>511</v>
      </c>
      <c r="EC674" t="s">
        <v>183</v>
      </c>
      <c r="ED674" t="s">
        <v>211</v>
      </c>
      <c r="EE674" t="s">
        <v>345</v>
      </c>
      <c r="EG674" t="s">
        <v>4512</v>
      </c>
      <c r="EH674" t="s">
        <v>9460</v>
      </c>
      <c r="EI674" t="s">
        <v>238</v>
      </c>
      <c r="EJ674" t="s">
        <v>239</v>
      </c>
      <c r="EK674" t="s">
        <v>9461</v>
      </c>
      <c r="EL674" t="s">
        <v>440</v>
      </c>
      <c r="EM674" t="s">
        <v>183</v>
      </c>
      <c r="EN674" t="s">
        <v>211</v>
      </c>
      <c r="EO674" t="s">
        <v>345</v>
      </c>
      <c r="EQ674" t="s">
        <v>3657</v>
      </c>
      <c r="ER674" t="s">
        <v>6248</v>
      </c>
      <c r="ES674" t="s">
        <v>346</v>
      </c>
      <c r="ET674" t="s">
        <v>347</v>
      </c>
      <c r="EU674" t="s">
        <v>9462</v>
      </c>
      <c r="EV674" t="s">
        <v>2515</v>
      </c>
      <c r="EW674" t="s">
        <v>183</v>
      </c>
      <c r="EX674" t="s">
        <v>211</v>
      </c>
      <c r="EY674" t="s">
        <v>345</v>
      </c>
      <c r="FA674" t="s">
        <v>4517</v>
      </c>
      <c r="FB674" t="s">
        <v>9463</v>
      </c>
      <c r="FC674" t="s">
        <v>207</v>
      </c>
      <c r="FD674" t="s">
        <v>208</v>
      </c>
      <c r="FE674" t="s">
        <v>9464</v>
      </c>
      <c r="FF674" t="s">
        <v>576</v>
      </c>
      <c r="FG674" t="s">
        <v>183</v>
      </c>
      <c r="FH674" t="s">
        <v>211</v>
      </c>
      <c r="FI674" t="s">
        <v>345</v>
      </c>
      <c r="FK674" t="s">
        <v>4520</v>
      </c>
      <c r="FU674" t="s">
        <v>198</v>
      </c>
    </row>
    <row r="675" spans="1:177">
      <c r="A675" s="1" t="str">
        <f>HYPERLINK("http://digipan.lumentumllc.com/apps/getLink/index.php?t=PropLink&amp;p=6461907","PL")</f>
        <v>PL</v>
      </c>
      <c r="B675" s="1" t="str">
        <f>HYPERLINK("http://digipan.lumentumllc.com/apps/getLink/index.php?t=TaxLink&amp;p=6461907","TL")</f>
        <v>TL</v>
      </c>
      <c r="C675" s="1" t="str">
        <f>HYPERLINK("http://digipan.lumentumllc.com/apps/getMap/index.php?p=6461907","Map")</f>
        <v>Map</v>
      </c>
      <c r="E675" t="s">
        <v>177</v>
      </c>
      <c r="F675" t="s">
        <v>178</v>
      </c>
      <c r="L675" t="s">
        <v>9465</v>
      </c>
      <c r="N675" t="s">
        <v>9465</v>
      </c>
      <c r="O675" t="s">
        <v>9465</v>
      </c>
      <c r="P675" t="s">
        <v>9466</v>
      </c>
      <c r="Q675" t="s">
        <v>9465</v>
      </c>
      <c r="V675">
        <v>775</v>
      </c>
      <c r="W675">
        <v>3</v>
      </c>
      <c r="X675">
        <v>2017</v>
      </c>
      <c r="Y675">
        <v>2018</v>
      </c>
      <c r="Z675">
        <v>627.25</v>
      </c>
      <c r="AB675" t="s">
        <v>181</v>
      </c>
      <c r="AC675" t="s">
        <v>182</v>
      </c>
      <c r="AD675" t="s">
        <v>183</v>
      </c>
      <c r="AE675">
        <v>1</v>
      </c>
      <c r="AF675">
        <v>1</v>
      </c>
      <c r="AG675" t="s">
        <v>2222</v>
      </c>
      <c r="AH675">
        <v>50</v>
      </c>
      <c r="AI675">
        <v>657.37</v>
      </c>
      <c r="AJ675">
        <v>32.869999999999997</v>
      </c>
      <c r="AK675">
        <v>690.24</v>
      </c>
      <c r="AL675">
        <v>36357</v>
      </c>
      <c r="AM675">
        <v>31520</v>
      </c>
      <c r="AN675">
        <v>4837</v>
      </c>
      <c r="AO675">
        <v>583</v>
      </c>
      <c r="AP675">
        <v>2016</v>
      </c>
      <c r="AQ675">
        <v>1.73</v>
      </c>
      <c r="AR675">
        <v>1.9</v>
      </c>
      <c r="AS675" t="s">
        <v>9467</v>
      </c>
      <c r="AT675" t="s">
        <v>3747</v>
      </c>
      <c r="AU675" t="s">
        <v>177</v>
      </c>
      <c r="AV675" t="s">
        <v>1030</v>
      </c>
      <c r="AW675" t="s">
        <v>182</v>
      </c>
      <c r="AX675">
        <v>2</v>
      </c>
      <c r="AY675" t="s">
        <v>188</v>
      </c>
      <c r="AZ675" t="s">
        <v>189</v>
      </c>
      <c r="BA675" t="s">
        <v>190</v>
      </c>
      <c r="BB675" t="s">
        <v>191</v>
      </c>
      <c r="BC675" t="s">
        <v>182</v>
      </c>
      <c r="BD675" t="s">
        <v>182</v>
      </c>
      <c r="BE675" t="s">
        <v>9468</v>
      </c>
      <c r="BF675">
        <v>1</v>
      </c>
      <c r="BG675">
        <v>1</v>
      </c>
      <c r="BH675">
        <v>1980</v>
      </c>
      <c r="BI675" t="s">
        <v>7778</v>
      </c>
      <c r="BJ675" t="s">
        <v>194</v>
      </c>
      <c r="BK675" t="s">
        <v>195</v>
      </c>
      <c r="BL675" t="s">
        <v>199</v>
      </c>
      <c r="BM675" t="s">
        <v>273</v>
      </c>
      <c r="BN675" t="s">
        <v>182</v>
      </c>
      <c r="BO675" t="s">
        <v>198</v>
      </c>
      <c r="BP675" t="s">
        <v>198</v>
      </c>
      <c r="BQ675" t="s">
        <v>198</v>
      </c>
      <c r="BR675" t="s">
        <v>198</v>
      </c>
      <c r="BS675" t="s">
        <v>198</v>
      </c>
      <c r="BT675" t="s">
        <v>198</v>
      </c>
      <c r="BU675" t="s">
        <v>182</v>
      </c>
      <c r="BV675" t="s">
        <v>198</v>
      </c>
      <c r="BW675" t="s">
        <v>198</v>
      </c>
      <c r="BX675" t="s">
        <v>199</v>
      </c>
      <c r="BY675" t="s">
        <v>198</v>
      </c>
      <c r="BZ675" t="s">
        <v>199</v>
      </c>
      <c r="CA675" t="s">
        <v>199</v>
      </c>
      <c r="CB675" t="s">
        <v>9469</v>
      </c>
      <c r="CC675" t="s">
        <v>201</v>
      </c>
      <c r="CD675" t="s">
        <v>182</v>
      </c>
      <c r="CE675" t="s">
        <v>9470</v>
      </c>
      <c r="CF675" t="s">
        <v>1029</v>
      </c>
      <c r="CG675" t="s">
        <v>177</v>
      </c>
      <c r="CH675" t="s">
        <v>1030</v>
      </c>
      <c r="CI675" t="s">
        <v>4843</v>
      </c>
      <c r="CJ675" t="s">
        <v>5891</v>
      </c>
      <c r="CK675" t="s">
        <v>232</v>
      </c>
      <c r="CL675" t="s">
        <v>233</v>
      </c>
      <c r="CM675" t="s">
        <v>9471</v>
      </c>
      <c r="CN675" t="s">
        <v>235</v>
      </c>
      <c r="CO675" t="s">
        <v>183</v>
      </c>
      <c r="CP675" t="s">
        <v>266</v>
      </c>
      <c r="CS675" t="s">
        <v>198</v>
      </c>
      <c r="CT675" t="s">
        <v>9472</v>
      </c>
      <c r="CU675" t="s">
        <v>346</v>
      </c>
      <c r="CV675" t="s">
        <v>303</v>
      </c>
      <c r="CW675" t="s">
        <v>9473</v>
      </c>
      <c r="CX675" t="s">
        <v>511</v>
      </c>
      <c r="CY675" t="s">
        <v>183</v>
      </c>
      <c r="CZ675" t="s">
        <v>211</v>
      </c>
      <c r="DA675" t="s">
        <v>189</v>
      </c>
      <c r="DC675" t="s">
        <v>9474</v>
      </c>
      <c r="DM675" t="s">
        <v>198</v>
      </c>
      <c r="DW675" t="s">
        <v>198</v>
      </c>
      <c r="EG675" t="s">
        <v>198</v>
      </c>
      <c r="EQ675" t="s">
        <v>198</v>
      </c>
      <c r="FA675" t="s">
        <v>198</v>
      </c>
      <c r="FK675" t="s">
        <v>198</v>
      </c>
      <c r="FU675" t="s">
        <v>198</v>
      </c>
    </row>
    <row r="676" spans="1:177">
      <c r="A676" s="1" t="str">
        <f>HYPERLINK("http://digipan.lumentumllc.com/apps/getLink/index.php?t=PropLink&amp;p=6886709","PL")</f>
        <v>PL</v>
      </c>
      <c r="B676" s="1" t="str">
        <f>HYPERLINK("http://digipan.lumentumllc.com/apps/getLink/index.php?t=TaxLink&amp;p=6886709","TL")</f>
        <v>TL</v>
      </c>
      <c r="C676" s="1" t="str">
        <f>HYPERLINK("http://digipan.lumentumllc.com/apps/getMap/index.php?p=6886709","Map")</f>
        <v>Map</v>
      </c>
      <c r="E676" t="s">
        <v>177</v>
      </c>
      <c r="F676" t="s">
        <v>178</v>
      </c>
      <c r="L676" t="s">
        <v>9475</v>
      </c>
      <c r="N676" t="s">
        <v>9475</v>
      </c>
      <c r="O676" t="s">
        <v>9475</v>
      </c>
      <c r="P676" t="s">
        <v>9476</v>
      </c>
      <c r="Q676" t="s">
        <v>9475</v>
      </c>
      <c r="V676">
        <v>776</v>
      </c>
      <c r="W676">
        <v>3</v>
      </c>
      <c r="X676">
        <v>2017</v>
      </c>
      <c r="Y676">
        <v>2018</v>
      </c>
      <c r="Z676">
        <v>1558.02</v>
      </c>
      <c r="AB676" t="s">
        <v>181</v>
      </c>
      <c r="AC676" t="s">
        <v>182</v>
      </c>
      <c r="AD676" t="s">
        <v>183</v>
      </c>
      <c r="AE676">
        <v>0</v>
      </c>
      <c r="AF676">
        <v>1</v>
      </c>
      <c r="AG676" t="s">
        <v>821</v>
      </c>
      <c r="AH676">
        <v>100</v>
      </c>
      <c r="AK676">
        <v>0</v>
      </c>
      <c r="AL676">
        <v>234692</v>
      </c>
      <c r="AM676">
        <v>28720</v>
      </c>
      <c r="AN676">
        <v>205972</v>
      </c>
      <c r="AO676">
        <v>1391</v>
      </c>
      <c r="AP676">
        <v>2016</v>
      </c>
      <c r="AQ676">
        <v>0.66</v>
      </c>
      <c r="AS676" t="s">
        <v>9477</v>
      </c>
      <c r="AT676" t="s">
        <v>3747</v>
      </c>
      <c r="AU676" t="s">
        <v>177</v>
      </c>
      <c r="AV676" t="s">
        <v>1030</v>
      </c>
      <c r="AW676" t="s">
        <v>202</v>
      </c>
      <c r="AX676">
        <v>1</v>
      </c>
      <c r="AY676" t="s">
        <v>188</v>
      </c>
      <c r="AZ676" t="s">
        <v>206</v>
      </c>
      <c r="BA676" t="s">
        <v>355</v>
      </c>
      <c r="BB676" t="s">
        <v>191</v>
      </c>
      <c r="BC676" t="s">
        <v>182</v>
      </c>
      <c r="BD676" t="s">
        <v>182</v>
      </c>
      <c r="BE676" t="s">
        <v>9478</v>
      </c>
      <c r="BF676">
        <v>1</v>
      </c>
      <c r="BG676">
        <v>1</v>
      </c>
      <c r="BH676">
        <v>1991</v>
      </c>
      <c r="BI676" t="s">
        <v>9479</v>
      </c>
      <c r="BJ676" t="s">
        <v>315</v>
      </c>
      <c r="BK676" t="s">
        <v>195</v>
      </c>
      <c r="BL676" t="s">
        <v>196</v>
      </c>
      <c r="BM676" t="s">
        <v>2269</v>
      </c>
      <c r="BN676" t="s">
        <v>182</v>
      </c>
      <c r="BO676" t="s">
        <v>198</v>
      </c>
      <c r="BP676" t="s">
        <v>198</v>
      </c>
      <c r="BQ676" t="s">
        <v>198</v>
      </c>
      <c r="BR676" t="s">
        <v>198</v>
      </c>
      <c r="BS676" t="s">
        <v>198</v>
      </c>
      <c r="BT676" t="s">
        <v>198</v>
      </c>
      <c r="BU676" t="s">
        <v>182</v>
      </c>
      <c r="BV676" t="s">
        <v>198</v>
      </c>
      <c r="BW676" t="s">
        <v>198</v>
      </c>
      <c r="BX676" t="s">
        <v>199</v>
      </c>
      <c r="BY676" t="s">
        <v>198</v>
      </c>
      <c r="BZ676" t="s">
        <v>199</v>
      </c>
      <c r="CA676" t="s">
        <v>199</v>
      </c>
      <c r="CB676" t="s">
        <v>9480</v>
      </c>
      <c r="CC676" t="s">
        <v>201</v>
      </c>
      <c r="CD676" t="s">
        <v>182</v>
      </c>
      <c r="CE676" t="s">
        <v>9481</v>
      </c>
      <c r="CF676" t="s">
        <v>1029</v>
      </c>
      <c r="CG676" t="s">
        <v>177</v>
      </c>
      <c r="CH676" t="s">
        <v>1030</v>
      </c>
      <c r="CI676" t="s">
        <v>9482</v>
      </c>
      <c r="CJ676" t="s">
        <v>6124</v>
      </c>
      <c r="CK676" t="s">
        <v>267</v>
      </c>
      <c r="CL676" t="s">
        <v>268</v>
      </c>
      <c r="CM676" t="s">
        <v>9483</v>
      </c>
      <c r="CN676" t="s">
        <v>235</v>
      </c>
      <c r="CO676" t="s">
        <v>183</v>
      </c>
      <c r="CP676" t="s">
        <v>211</v>
      </c>
      <c r="CQ676" t="s">
        <v>342</v>
      </c>
      <c r="CS676" t="s">
        <v>5675</v>
      </c>
      <c r="DC676" t="s">
        <v>198</v>
      </c>
      <c r="DM676" t="s">
        <v>198</v>
      </c>
      <c r="DW676" t="s">
        <v>198</v>
      </c>
      <c r="EG676" t="s">
        <v>198</v>
      </c>
      <c r="EQ676" t="s">
        <v>198</v>
      </c>
      <c r="FA676" t="s">
        <v>198</v>
      </c>
      <c r="FK676" t="s">
        <v>198</v>
      </c>
      <c r="FU676" t="s">
        <v>198</v>
      </c>
    </row>
    <row r="677" spans="1:177">
      <c r="A677" s="1" t="str">
        <f>HYPERLINK("http://digipan.lumentumllc.com/apps/getLink/index.php?t=PropLink&amp;p=6886710","PL")</f>
        <v>PL</v>
      </c>
      <c r="B677" s="1" t="str">
        <f>HYPERLINK("http://digipan.lumentumllc.com/apps/getLink/index.php?t=TaxLink&amp;p=6886710","TL")</f>
        <v>TL</v>
      </c>
      <c r="C677" s="1" t="str">
        <f>HYPERLINK("http://digipan.lumentumllc.com/apps/getMap/index.php?p=6886710","Map")</f>
        <v>Map</v>
      </c>
      <c r="E677" t="s">
        <v>177</v>
      </c>
      <c r="F677" t="s">
        <v>178</v>
      </c>
      <c r="L677" t="s">
        <v>9484</v>
      </c>
      <c r="N677" t="s">
        <v>9484</v>
      </c>
      <c r="O677" t="s">
        <v>9484</v>
      </c>
      <c r="P677" t="s">
        <v>9485</v>
      </c>
      <c r="Q677" t="s">
        <v>9484</v>
      </c>
      <c r="V677">
        <v>777</v>
      </c>
      <c r="W677">
        <v>3</v>
      </c>
      <c r="X677">
        <v>2017</v>
      </c>
      <c r="Y677">
        <v>2018</v>
      </c>
      <c r="Z677">
        <v>260.95999999999998</v>
      </c>
      <c r="AB677" t="s">
        <v>181</v>
      </c>
      <c r="AC677" t="s">
        <v>182</v>
      </c>
      <c r="AD677" t="s">
        <v>183</v>
      </c>
      <c r="AE677">
        <v>0</v>
      </c>
      <c r="AF677">
        <v>2</v>
      </c>
      <c r="AG677" t="s">
        <v>216</v>
      </c>
      <c r="AH677">
        <v>100</v>
      </c>
      <c r="AK677">
        <v>0</v>
      </c>
      <c r="AL677">
        <v>15000</v>
      </c>
      <c r="AM677">
        <v>15000</v>
      </c>
      <c r="AN677">
        <v>0</v>
      </c>
      <c r="AO677">
        <v>184</v>
      </c>
      <c r="AP677">
        <v>2016</v>
      </c>
      <c r="AQ677">
        <v>1.74</v>
      </c>
      <c r="AS677" t="s">
        <v>9486</v>
      </c>
      <c r="AT677" t="s">
        <v>3747</v>
      </c>
      <c r="AU677" t="s">
        <v>177</v>
      </c>
      <c r="AV677" t="s">
        <v>1030</v>
      </c>
      <c r="AW677" t="s">
        <v>182</v>
      </c>
      <c r="AX677">
        <v>0</v>
      </c>
      <c r="AY677" t="s">
        <v>312</v>
      </c>
      <c r="AZ677" t="s">
        <v>199</v>
      </c>
      <c r="BA677" t="s">
        <v>313</v>
      </c>
      <c r="BB677" t="s">
        <v>191</v>
      </c>
      <c r="BC677" t="s">
        <v>182</v>
      </c>
      <c r="BD677" t="s">
        <v>182</v>
      </c>
      <c r="BE677" t="s">
        <v>383</v>
      </c>
      <c r="BF677">
        <v>0</v>
      </c>
      <c r="BG677">
        <v>0</v>
      </c>
      <c r="BH677">
        <v>0</v>
      </c>
      <c r="BI677" t="s">
        <v>199</v>
      </c>
      <c r="BJ677" t="s">
        <v>248</v>
      </c>
      <c r="BL677" t="s">
        <v>199</v>
      </c>
      <c r="BM677" t="s">
        <v>273</v>
      </c>
      <c r="BN677" t="s">
        <v>182</v>
      </c>
      <c r="BO677" t="s">
        <v>198</v>
      </c>
      <c r="BP677" t="s">
        <v>198</v>
      </c>
      <c r="BQ677" t="s">
        <v>198</v>
      </c>
      <c r="BR677" t="s">
        <v>198</v>
      </c>
      <c r="BS677" t="s">
        <v>198</v>
      </c>
      <c r="BT677" t="s">
        <v>198</v>
      </c>
      <c r="BU677" t="s">
        <v>182</v>
      </c>
      <c r="BV677" t="s">
        <v>198</v>
      </c>
      <c r="BW677" t="s">
        <v>198</v>
      </c>
      <c r="BX677" t="s">
        <v>199</v>
      </c>
      <c r="BY677" t="s">
        <v>198</v>
      </c>
      <c r="BZ677" t="s">
        <v>199</v>
      </c>
      <c r="CA677" t="s">
        <v>199</v>
      </c>
      <c r="CB677" t="s">
        <v>9487</v>
      </c>
      <c r="CC677" t="s">
        <v>201</v>
      </c>
      <c r="CD677" t="s">
        <v>182</v>
      </c>
      <c r="CE677" t="s">
        <v>9488</v>
      </c>
      <c r="CF677" t="s">
        <v>1029</v>
      </c>
      <c r="CG677" t="s">
        <v>177</v>
      </c>
      <c r="CH677" t="s">
        <v>1030</v>
      </c>
      <c r="CI677" t="s">
        <v>9489</v>
      </c>
      <c r="CJ677" t="s">
        <v>5858</v>
      </c>
      <c r="CK677" t="s">
        <v>292</v>
      </c>
      <c r="CL677" t="s">
        <v>293</v>
      </c>
      <c r="CM677" t="s">
        <v>9490</v>
      </c>
      <c r="CN677" t="s">
        <v>235</v>
      </c>
      <c r="CO677" t="s">
        <v>183</v>
      </c>
      <c r="CP677" t="s">
        <v>211</v>
      </c>
      <c r="CQ677" t="s">
        <v>290</v>
      </c>
      <c r="CS677" t="s">
        <v>4890</v>
      </c>
      <c r="CT677" t="s">
        <v>5924</v>
      </c>
      <c r="CU677" t="s">
        <v>267</v>
      </c>
      <c r="CV677" t="s">
        <v>268</v>
      </c>
      <c r="CW677" t="s">
        <v>9491</v>
      </c>
      <c r="CX677" t="s">
        <v>247</v>
      </c>
      <c r="CY677" t="s">
        <v>183</v>
      </c>
      <c r="CZ677" t="s">
        <v>211</v>
      </c>
      <c r="DA677" t="s">
        <v>342</v>
      </c>
      <c r="DC677" t="s">
        <v>5675</v>
      </c>
      <c r="DM677" t="s">
        <v>198</v>
      </c>
      <c r="DW677" t="s">
        <v>198</v>
      </c>
      <c r="EG677" t="s">
        <v>198</v>
      </c>
      <c r="EQ677" t="s">
        <v>198</v>
      </c>
      <c r="FA677" t="s">
        <v>198</v>
      </c>
      <c r="FK677" t="s">
        <v>198</v>
      </c>
      <c r="FU677" t="s">
        <v>198</v>
      </c>
    </row>
    <row r="678" spans="1:177">
      <c r="A678" s="1" t="str">
        <f>HYPERLINK("http://digipan.lumentumllc.com/apps/getLink/index.php?t=PropLink&amp;p=5246126","PL")</f>
        <v>PL</v>
      </c>
      <c r="B678" s="1" t="str">
        <f>HYPERLINK("http://digipan.lumentumllc.com/apps/getLink/index.php?t=TaxLink&amp;p=5246126","TL")</f>
        <v>TL</v>
      </c>
      <c r="C678" s="1" t="str">
        <f>HYPERLINK("http://digipan.lumentumllc.com/apps/getMap/index.php?p=5246126","Map")</f>
        <v>Map</v>
      </c>
      <c r="E678" t="s">
        <v>177</v>
      </c>
      <c r="F678" t="s">
        <v>178</v>
      </c>
      <c r="L678" t="s">
        <v>9492</v>
      </c>
      <c r="N678" t="s">
        <v>9492</v>
      </c>
      <c r="O678" t="s">
        <v>9492</v>
      </c>
      <c r="P678" t="s">
        <v>9493</v>
      </c>
      <c r="Q678" t="s">
        <v>9492</v>
      </c>
      <c r="V678">
        <v>779</v>
      </c>
      <c r="W678">
        <v>3</v>
      </c>
      <c r="X678">
        <v>2017</v>
      </c>
      <c r="Y678">
        <v>2018</v>
      </c>
      <c r="Z678">
        <v>899.14</v>
      </c>
      <c r="AB678" t="s">
        <v>181</v>
      </c>
      <c r="AC678" t="s">
        <v>182</v>
      </c>
      <c r="AD678" t="s">
        <v>183</v>
      </c>
      <c r="AE678">
        <v>0</v>
      </c>
      <c r="AF678">
        <v>6</v>
      </c>
      <c r="AG678" t="s">
        <v>3266</v>
      </c>
      <c r="AH678">
        <v>100</v>
      </c>
      <c r="AK678">
        <v>0</v>
      </c>
      <c r="AL678">
        <v>52964</v>
      </c>
      <c r="AM678">
        <v>25000</v>
      </c>
      <c r="AN678">
        <v>27964</v>
      </c>
      <c r="AO678">
        <v>825</v>
      </c>
      <c r="AP678">
        <v>2016</v>
      </c>
      <c r="AQ678">
        <v>1.7</v>
      </c>
      <c r="AS678" t="s">
        <v>9494</v>
      </c>
      <c r="AT678" t="s">
        <v>3747</v>
      </c>
      <c r="AU678" t="s">
        <v>177</v>
      </c>
      <c r="AV678" t="s">
        <v>1030</v>
      </c>
      <c r="AW678" t="s">
        <v>182</v>
      </c>
      <c r="AX678">
        <v>0</v>
      </c>
      <c r="AY678" t="s">
        <v>312</v>
      </c>
      <c r="AZ678" t="s">
        <v>199</v>
      </c>
      <c r="BA678" t="s">
        <v>313</v>
      </c>
      <c r="BB678" t="s">
        <v>191</v>
      </c>
      <c r="BC678" t="s">
        <v>182</v>
      </c>
      <c r="BD678" t="s">
        <v>182</v>
      </c>
      <c r="BE678" t="s">
        <v>1844</v>
      </c>
      <c r="BF678">
        <v>1</v>
      </c>
      <c r="BG678">
        <v>1</v>
      </c>
      <c r="BH678">
        <v>2005</v>
      </c>
      <c r="BI678" t="s">
        <v>5114</v>
      </c>
      <c r="BJ678" t="s">
        <v>396</v>
      </c>
      <c r="BK678" t="s">
        <v>195</v>
      </c>
      <c r="BL678" t="s">
        <v>199</v>
      </c>
      <c r="BM678" t="s">
        <v>286</v>
      </c>
      <c r="BN678" t="s">
        <v>182</v>
      </c>
      <c r="BO678" t="s">
        <v>9495</v>
      </c>
      <c r="BP678" t="s">
        <v>9496</v>
      </c>
      <c r="BQ678" t="s">
        <v>562</v>
      </c>
      <c r="BR678" t="s">
        <v>563</v>
      </c>
      <c r="BS678" t="s">
        <v>198</v>
      </c>
      <c r="BT678" t="s">
        <v>9497</v>
      </c>
      <c r="BU678" t="s">
        <v>182</v>
      </c>
      <c r="BV678" t="s">
        <v>198</v>
      </c>
      <c r="BW678" t="s">
        <v>198</v>
      </c>
      <c r="BX678" t="s">
        <v>199</v>
      </c>
      <c r="BY678" t="s">
        <v>198</v>
      </c>
      <c r="BZ678" t="s">
        <v>199</v>
      </c>
      <c r="CA678" t="s">
        <v>199</v>
      </c>
      <c r="CB678" t="s">
        <v>9498</v>
      </c>
      <c r="CC678" t="s">
        <v>201</v>
      </c>
      <c r="CD678" t="s">
        <v>182</v>
      </c>
      <c r="CE678" t="s">
        <v>9499</v>
      </c>
      <c r="CF678" t="s">
        <v>1029</v>
      </c>
      <c r="CG678" t="s">
        <v>177</v>
      </c>
      <c r="CH678" t="s">
        <v>1030</v>
      </c>
      <c r="CI678" t="s">
        <v>9500</v>
      </c>
      <c r="CJ678" t="s">
        <v>6124</v>
      </c>
      <c r="CK678" t="s">
        <v>232</v>
      </c>
      <c r="CL678" t="s">
        <v>233</v>
      </c>
      <c r="CM678" t="s">
        <v>9501</v>
      </c>
      <c r="CN678" t="s">
        <v>235</v>
      </c>
      <c r="CO678" t="s">
        <v>183</v>
      </c>
      <c r="CP678" t="s">
        <v>211</v>
      </c>
      <c r="CQ678" t="s">
        <v>329</v>
      </c>
      <c r="CS678" t="s">
        <v>4023</v>
      </c>
      <c r="CT678" t="s">
        <v>9263</v>
      </c>
      <c r="CU678" t="s">
        <v>267</v>
      </c>
      <c r="CV678" t="s">
        <v>268</v>
      </c>
      <c r="CW678" t="s">
        <v>9502</v>
      </c>
      <c r="CX678" t="s">
        <v>235</v>
      </c>
      <c r="CY678" t="s">
        <v>183</v>
      </c>
      <c r="CZ678" t="s">
        <v>211</v>
      </c>
      <c r="DA678" t="s">
        <v>270</v>
      </c>
      <c r="DC678" t="s">
        <v>4871</v>
      </c>
      <c r="DD678" t="s">
        <v>6390</v>
      </c>
      <c r="DE678" t="s">
        <v>273</v>
      </c>
      <c r="DF678" t="s">
        <v>274</v>
      </c>
      <c r="DG678" t="s">
        <v>9503</v>
      </c>
      <c r="DH678" t="s">
        <v>235</v>
      </c>
      <c r="DI678" t="s">
        <v>183</v>
      </c>
      <c r="DJ678" t="s">
        <v>211</v>
      </c>
      <c r="DK678" t="s">
        <v>270</v>
      </c>
      <c r="DM678" t="s">
        <v>4984</v>
      </c>
      <c r="DN678" t="s">
        <v>9504</v>
      </c>
      <c r="DO678" t="s">
        <v>238</v>
      </c>
      <c r="DP678" t="s">
        <v>239</v>
      </c>
      <c r="DQ678" t="s">
        <v>9505</v>
      </c>
      <c r="DR678" t="s">
        <v>278</v>
      </c>
      <c r="DS678" t="s">
        <v>183</v>
      </c>
      <c r="DT678" t="s">
        <v>211</v>
      </c>
      <c r="DU678" t="s">
        <v>270</v>
      </c>
      <c r="DW678" t="s">
        <v>9506</v>
      </c>
      <c r="DX678" t="s">
        <v>2209</v>
      </c>
      <c r="DY678" t="s">
        <v>346</v>
      </c>
      <c r="DZ678" t="s">
        <v>347</v>
      </c>
      <c r="EA678" t="s">
        <v>9507</v>
      </c>
      <c r="EB678" t="s">
        <v>816</v>
      </c>
      <c r="EC678" t="s">
        <v>183</v>
      </c>
      <c r="ED678" t="s">
        <v>211</v>
      </c>
      <c r="EE678" t="s">
        <v>345</v>
      </c>
      <c r="EG678" t="s">
        <v>3391</v>
      </c>
      <c r="EH678" t="s">
        <v>9508</v>
      </c>
      <c r="EI678" t="s">
        <v>207</v>
      </c>
      <c r="EJ678" t="s">
        <v>208</v>
      </c>
      <c r="EK678" t="s">
        <v>9509</v>
      </c>
      <c r="EL678" t="s">
        <v>576</v>
      </c>
      <c r="EM678" t="s">
        <v>183</v>
      </c>
      <c r="EN678" t="s">
        <v>211</v>
      </c>
      <c r="EO678" t="s">
        <v>329</v>
      </c>
      <c r="EQ678" t="s">
        <v>1880</v>
      </c>
      <c r="FA678" t="s">
        <v>198</v>
      </c>
      <c r="FK678" t="s">
        <v>198</v>
      </c>
      <c r="FU678" t="s">
        <v>198</v>
      </c>
    </row>
    <row r="679" spans="1:177">
      <c r="A679" s="1" t="str">
        <f>HYPERLINK("http://digipan.lumentumllc.com/apps/getLink/index.php?t=PropLink&amp;p=6594190","PL")</f>
        <v>PL</v>
      </c>
      <c r="B679" s="1" t="str">
        <f>HYPERLINK("http://digipan.lumentumllc.com/apps/getLink/index.php?t=TaxLink&amp;p=6594190","TL")</f>
        <v>TL</v>
      </c>
      <c r="C679" s="1" t="str">
        <f>HYPERLINK("http://digipan.lumentumllc.com/apps/getMap/index.php?p=6594190","Map")</f>
        <v>Map</v>
      </c>
      <c r="E679" t="s">
        <v>177</v>
      </c>
      <c r="F679" t="s">
        <v>178</v>
      </c>
      <c r="L679" t="s">
        <v>9510</v>
      </c>
      <c r="N679" t="s">
        <v>9510</v>
      </c>
      <c r="O679" t="s">
        <v>9510</v>
      </c>
      <c r="P679" t="s">
        <v>9511</v>
      </c>
      <c r="Q679" t="s">
        <v>9510</v>
      </c>
      <c r="V679">
        <v>780</v>
      </c>
      <c r="W679">
        <v>3</v>
      </c>
      <c r="X679">
        <v>2017</v>
      </c>
      <c r="Y679">
        <v>2018</v>
      </c>
      <c r="Z679">
        <v>299.49</v>
      </c>
      <c r="AB679" t="s">
        <v>181</v>
      </c>
      <c r="AC679" t="s">
        <v>182</v>
      </c>
      <c r="AD679" t="s">
        <v>183</v>
      </c>
      <c r="AE679">
        <v>0</v>
      </c>
      <c r="AF679">
        <v>3</v>
      </c>
      <c r="AG679" t="s">
        <v>381</v>
      </c>
      <c r="AH679">
        <v>100</v>
      </c>
      <c r="AK679">
        <v>0</v>
      </c>
      <c r="AL679">
        <v>46125</v>
      </c>
      <c r="AM679">
        <v>25000</v>
      </c>
      <c r="AN679">
        <v>21125</v>
      </c>
      <c r="AO679">
        <v>238</v>
      </c>
      <c r="AP679">
        <v>2016</v>
      </c>
      <c r="AQ679">
        <v>0.65</v>
      </c>
      <c r="AS679" t="s">
        <v>9512</v>
      </c>
      <c r="AT679" t="s">
        <v>3747</v>
      </c>
      <c r="AU679" t="s">
        <v>177</v>
      </c>
      <c r="AV679" t="s">
        <v>1030</v>
      </c>
      <c r="AW679" t="s">
        <v>202</v>
      </c>
      <c r="AX679">
        <v>2</v>
      </c>
      <c r="AY679" t="s">
        <v>188</v>
      </c>
      <c r="AZ679" t="s">
        <v>189</v>
      </c>
      <c r="BA679" t="s">
        <v>190</v>
      </c>
      <c r="BB679" t="s">
        <v>191</v>
      </c>
      <c r="BC679" t="s">
        <v>182</v>
      </c>
      <c r="BD679" t="s">
        <v>182</v>
      </c>
      <c r="BE679" t="s">
        <v>2224</v>
      </c>
      <c r="BF679">
        <v>1</v>
      </c>
      <c r="BG679">
        <v>1</v>
      </c>
      <c r="BH679">
        <v>1984</v>
      </c>
      <c r="BI679" t="s">
        <v>9513</v>
      </c>
      <c r="BJ679" t="s">
        <v>194</v>
      </c>
      <c r="BK679" t="s">
        <v>195</v>
      </c>
      <c r="BL679" t="s">
        <v>9514</v>
      </c>
      <c r="BM679" t="s">
        <v>1003</v>
      </c>
      <c r="BN679" t="s">
        <v>182</v>
      </c>
      <c r="BO679" t="s">
        <v>9515</v>
      </c>
      <c r="BP679" t="s">
        <v>9516</v>
      </c>
      <c r="BS679" t="s">
        <v>9517</v>
      </c>
      <c r="BT679" t="s">
        <v>198</v>
      </c>
      <c r="BU679" t="s">
        <v>182</v>
      </c>
      <c r="BV679" t="s">
        <v>198</v>
      </c>
      <c r="BW679" t="s">
        <v>198</v>
      </c>
      <c r="BX679" t="s">
        <v>199</v>
      </c>
      <c r="BY679" t="s">
        <v>198</v>
      </c>
      <c r="BZ679" t="s">
        <v>199</v>
      </c>
      <c r="CA679" t="s">
        <v>199</v>
      </c>
      <c r="CB679" t="s">
        <v>9518</v>
      </c>
      <c r="CC679" t="s">
        <v>201</v>
      </c>
      <c r="CD679" t="s">
        <v>182</v>
      </c>
      <c r="CE679" t="s">
        <v>9519</v>
      </c>
      <c r="CF679" t="s">
        <v>1029</v>
      </c>
      <c r="CG679" t="s">
        <v>177</v>
      </c>
      <c r="CH679" t="s">
        <v>1030</v>
      </c>
      <c r="CI679" t="s">
        <v>9520</v>
      </c>
      <c r="CJ679" t="s">
        <v>5713</v>
      </c>
      <c r="CK679" t="s">
        <v>292</v>
      </c>
      <c r="CL679" t="s">
        <v>293</v>
      </c>
      <c r="CM679" t="s">
        <v>9521</v>
      </c>
      <c r="CN679" t="s">
        <v>235</v>
      </c>
      <c r="CO679" t="s">
        <v>183</v>
      </c>
      <c r="CP679" t="s">
        <v>211</v>
      </c>
      <c r="CQ679" t="s">
        <v>345</v>
      </c>
      <c r="CS679" t="s">
        <v>3157</v>
      </c>
      <c r="CT679" t="s">
        <v>3808</v>
      </c>
      <c r="CU679" t="s">
        <v>267</v>
      </c>
      <c r="CV679" t="s">
        <v>268</v>
      </c>
      <c r="CW679" t="s">
        <v>9522</v>
      </c>
      <c r="CX679" t="s">
        <v>235</v>
      </c>
      <c r="CY679" t="s">
        <v>183</v>
      </c>
      <c r="CZ679" t="s">
        <v>211</v>
      </c>
      <c r="DA679" t="s">
        <v>337</v>
      </c>
      <c r="DC679" t="s">
        <v>9523</v>
      </c>
      <c r="DD679" t="s">
        <v>9524</v>
      </c>
      <c r="DE679" t="s">
        <v>273</v>
      </c>
      <c r="DF679" t="s">
        <v>274</v>
      </c>
      <c r="DG679" t="s">
        <v>9525</v>
      </c>
      <c r="DH679" t="s">
        <v>235</v>
      </c>
      <c r="DI679" t="s">
        <v>183</v>
      </c>
      <c r="DJ679" t="s">
        <v>211</v>
      </c>
      <c r="DK679" t="s">
        <v>290</v>
      </c>
      <c r="DM679" t="s">
        <v>9526</v>
      </c>
      <c r="DW679" t="s">
        <v>198</v>
      </c>
      <c r="EG679" t="s">
        <v>198</v>
      </c>
      <c r="EQ679" t="s">
        <v>198</v>
      </c>
      <c r="FA679" t="s">
        <v>198</v>
      </c>
      <c r="FK679" t="s">
        <v>198</v>
      </c>
      <c r="FU679" t="s">
        <v>198</v>
      </c>
    </row>
    <row r="680" spans="1:177">
      <c r="A680" s="1" t="str">
        <f>HYPERLINK("http://digipan.lumentumllc.com/apps/getLink/index.php?t=PropLink&amp;p=5246130","PL")</f>
        <v>PL</v>
      </c>
      <c r="B680" s="1" t="str">
        <f>HYPERLINK("http://digipan.lumentumllc.com/apps/getLink/index.php?t=TaxLink&amp;p=5246130","TL")</f>
        <v>TL</v>
      </c>
      <c r="C680" s="1" t="str">
        <f>HYPERLINK("http://digipan.lumentumllc.com/apps/getMap/index.php?p=5246130","Map")</f>
        <v>Map</v>
      </c>
      <c r="E680" t="s">
        <v>177</v>
      </c>
      <c r="F680" t="s">
        <v>178</v>
      </c>
      <c r="L680" t="s">
        <v>9527</v>
      </c>
      <c r="N680" t="s">
        <v>9527</v>
      </c>
      <c r="O680" t="s">
        <v>9527</v>
      </c>
      <c r="P680" t="s">
        <v>9528</v>
      </c>
      <c r="Q680" t="s">
        <v>9527</v>
      </c>
      <c r="V680">
        <v>781</v>
      </c>
      <c r="W680">
        <v>3</v>
      </c>
      <c r="X680">
        <v>2017</v>
      </c>
      <c r="Y680">
        <v>2018</v>
      </c>
      <c r="Z680">
        <v>811.82</v>
      </c>
      <c r="AB680" t="s">
        <v>181</v>
      </c>
      <c r="AC680" t="s">
        <v>182</v>
      </c>
      <c r="AD680" t="s">
        <v>183</v>
      </c>
      <c r="AE680">
        <v>1</v>
      </c>
      <c r="AF680">
        <v>7</v>
      </c>
      <c r="AG680" t="s">
        <v>418</v>
      </c>
      <c r="AH680">
        <v>86</v>
      </c>
      <c r="AI680">
        <v>790.76</v>
      </c>
      <c r="AJ680">
        <v>39.54</v>
      </c>
      <c r="AK680">
        <v>830.3</v>
      </c>
      <c r="AL680">
        <v>123448</v>
      </c>
      <c r="AM680">
        <v>25000</v>
      </c>
      <c r="AN680">
        <v>98448</v>
      </c>
      <c r="AO680">
        <v>706</v>
      </c>
      <c r="AP680">
        <v>2016</v>
      </c>
      <c r="AQ680">
        <v>0.66</v>
      </c>
      <c r="AR680">
        <v>0.67</v>
      </c>
      <c r="AS680" t="s">
        <v>9529</v>
      </c>
      <c r="AT680" t="s">
        <v>3747</v>
      </c>
      <c r="AU680" t="s">
        <v>177</v>
      </c>
      <c r="AV680" t="s">
        <v>1030</v>
      </c>
      <c r="AW680" t="s">
        <v>202</v>
      </c>
      <c r="AX680">
        <v>1</v>
      </c>
      <c r="AY680" t="s">
        <v>188</v>
      </c>
      <c r="AZ680" t="s">
        <v>206</v>
      </c>
      <c r="BA680" t="s">
        <v>355</v>
      </c>
      <c r="BB680" t="s">
        <v>191</v>
      </c>
      <c r="BC680" t="s">
        <v>182</v>
      </c>
      <c r="BD680" t="s">
        <v>182</v>
      </c>
      <c r="BE680" t="s">
        <v>4363</v>
      </c>
      <c r="BF680">
        <v>1</v>
      </c>
      <c r="BG680">
        <v>1</v>
      </c>
      <c r="BH680">
        <v>1985</v>
      </c>
      <c r="BI680" t="s">
        <v>9530</v>
      </c>
      <c r="BJ680" t="s">
        <v>194</v>
      </c>
      <c r="BK680" t="s">
        <v>195</v>
      </c>
      <c r="BL680" t="s">
        <v>9531</v>
      </c>
      <c r="BM680" t="s">
        <v>533</v>
      </c>
      <c r="BN680" t="s">
        <v>182</v>
      </c>
      <c r="BO680" t="s">
        <v>198</v>
      </c>
      <c r="BP680" t="s">
        <v>198</v>
      </c>
      <c r="BQ680" t="s">
        <v>198</v>
      </c>
      <c r="BR680" t="s">
        <v>198</v>
      </c>
      <c r="BS680" t="s">
        <v>198</v>
      </c>
      <c r="BT680" t="s">
        <v>198</v>
      </c>
      <c r="BU680" t="s">
        <v>182</v>
      </c>
      <c r="BV680" t="s">
        <v>198</v>
      </c>
      <c r="BW680" t="s">
        <v>198</v>
      </c>
      <c r="BX680" t="s">
        <v>199</v>
      </c>
      <c r="BY680" t="s">
        <v>198</v>
      </c>
      <c r="BZ680" t="s">
        <v>199</v>
      </c>
      <c r="CA680" t="s">
        <v>199</v>
      </c>
      <c r="CB680" t="s">
        <v>9532</v>
      </c>
      <c r="CC680" t="s">
        <v>201</v>
      </c>
      <c r="CD680" t="s">
        <v>182</v>
      </c>
      <c r="CE680" t="s">
        <v>9533</v>
      </c>
      <c r="CF680" t="s">
        <v>1029</v>
      </c>
      <c r="CG680" t="s">
        <v>177</v>
      </c>
      <c r="CH680" t="s">
        <v>1030</v>
      </c>
      <c r="CI680" t="s">
        <v>9534</v>
      </c>
      <c r="CJ680" t="s">
        <v>9263</v>
      </c>
      <c r="CK680" t="s">
        <v>232</v>
      </c>
      <c r="CL680" t="s">
        <v>233</v>
      </c>
      <c r="CM680" t="s">
        <v>9535</v>
      </c>
      <c r="CN680" t="s">
        <v>235</v>
      </c>
      <c r="CO680" t="s">
        <v>183</v>
      </c>
      <c r="CP680" t="s">
        <v>266</v>
      </c>
      <c r="CS680" t="s">
        <v>198</v>
      </c>
      <c r="CT680" t="s">
        <v>5750</v>
      </c>
      <c r="CU680" t="s">
        <v>292</v>
      </c>
      <c r="CV680" t="s">
        <v>293</v>
      </c>
      <c r="CW680" t="s">
        <v>9536</v>
      </c>
      <c r="CX680" t="s">
        <v>235</v>
      </c>
      <c r="CY680" t="s">
        <v>183</v>
      </c>
      <c r="CZ680" t="s">
        <v>211</v>
      </c>
      <c r="DA680" t="s">
        <v>298</v>
      </c>
      <c r="DC680" t="s">
        <v>4023</v>
      </c>
      <c r="DD680" t="s">
        <v>6253</v>
      </c>
      <c r="DE680" t="s">
        <v>267</v>
      </c>
      <c r="DF680" t="s">
        <v>268</v>
      </c>
      <c r="DG680" t="s">
        <v>9537</v>
      </c>
      <c r="DH680" t="s">
        <v>235</v>
      </c>
      <c r="DI680" t="s">
        <v>183</v>
      </c>
      <c r="DJ680" t="s">
        <v>211</v>
      </c>
      <c r="DK680" t="s">
        <v>298</v>
      </c>
      <c r="DM680" t="s">
        <v>2670</v>
      </c>
      <c r="DN680" t="s">
        <v>6462</v>
      </c>
      <c r="DO680" t="s">
        <v>273</v>
      </c>
      <c r="DP680" t="s">
        <v>274</v>
      </c>
      <c r="DQ680" t="s">
        <v>9538</v>
      </c>
      <c r="DR680" t="s">
        <v>235</v>
      </c>
      <c r="DS680" t="s">
        <v>183</v>
      </c>
      <c r="DT680" t="s">
        <v>211</v>
      </c>
      <c r="DU680" t="s">
        <v>345</v>
      </c>
      <c r="DW680" t="s">
        <v>9539</v>
      </c>
      <c r="DX680" t="s">
        <v>6929</v>
      </c>
      <c r="DY680" t="s">
        <v>302</v>
      </c>
      <c r="DZ680" t="s">
        <v>303</v>
      </c>
      <c r="EA680" t="s">
        <v>9540</v>
      </c>
      <c r="EB680" t="s">
        <v>235</v>
      </c>
      <c r="EC680" t="s">
        <v>183</v>
      </c>
      <c r="ED680" t="s">
        <v>211</v>
      </c>
      <c r="EE680" t="s">
        <v>345</v>
      </c>
      <c r="EG680" t="s">
        <v>9541</v>
      </c>
      <c r="EH680" t="s">
        <v>9542</v>
      </c>
      <c r="EI680" t="s">
        <v>238</v>
      </c>
      <c r="EJ680" t="s">
        <v>239</v>
      </c>
      <c r="EK680" t="s">
        <v>9543</v>
      </c>
      <c r="EL680" t="s">
        <v>235</v>
      </c>
      <c r="EM680" t="s">
        <v>183</v>
      </c>
      <c r="EN680" t="s">
        <v>211</v>
      </c>
      <c r="EO680" t="s">
        <v>298</v>
      </c>
      <c r="EQ680" t="s">
        <v>1619</v>
      </c>
      <c r="ER680" t="s">
        <v>9544</v>
      </c>
      <c r="ES680" t="s">
        <v>346</v>
      </c>
      <c r="ET680" t="s">
        <v>347</v>
      </c>
      <c r="EU680" t="s">
        <v>9545</v>
      </c>
      <c r="EV680" t="s">
        <v>235</v>
      </c>
      <c r="EW680" t="s">
        <v>183</v>
      </c>
      <c r="EX680" t="s">
        <v>211</v>
      </c>
      <c r="EY680" t="s">
        <v>337</v>
      </c>
      <c r="FA680" t="s">
        <v>9546</v>
      </c>
      <c r="FB680" t="s">
        <v>1752</v>
      </c>
      <c r="FC680" t="s">
        <v>207</v>
      </c>
      <c r="FD680" t="s">
        <v>208</v>
      </c>
      <c r="FE680" t="s">
        <v>9547</v>
      </c>
      <c r="FF680" t="s">
        <v>235</v>
      </c>
      <c r="FG680" t="s">
        <v>183</v>
      </c>
      <c r="FH680" t="s">
        <v>211</v>
      </c>
      <c r="FI680" t="s">
        <v>334</v>
      </c>
      <c r="FK680" t="s">
        <v>9548</v>
      </c>
      <c r="FU680" t="s">
        <v>198</v>
      </c>
    </row>
    <row r="681" spans="1:177">
      <c r="A681" s="1" t="str">
        <f>HYPERLINK("http://digipan.lumentumllc.com/apps/getLink/index.php?t=PropLink&amp;p=6129014","PL")</f>
        <v>PL</v>
      </c>
      <c r="B681" s="1" t="str">
        <f>HYPERLINK("http://digipan.lumentumllc.com/apps/getLink/index.php?t=TaxLink&amp;p=6129014","TL")</f>
        <v>TL</v>
      </c>
      <c r="C681" s="1" t="str">
        <f>HYPERLINK("http://digipan.lumentumllc.com/apps/getMap/index.php?p=6129014","Map")</f>
        <v>Map</v>
      </c>
      <c r="E681" t="s">
        <v>177</v>
      </c>
      <c r="F681" t="s">
        <v>178</v>
      </c>
      <c r="L681" t="s">
        <v>9549</v>
      </c>
      <c r="N681" t="s">
        <v>9549</v>
      </c>
      <c r="O681" t="s">
        <v>9549</v>
      </c>
      <c r="P681" t="s">
        <v>9550</v>
      </c>
      <c r="Q681" t="s">
        <v>9549</v>
      </c>
      <c r="V681">
        <v>782</v>
      </c>
      <c r="W681">
        <v>3</v>
      </c>
      <c r="X681">
        <v>2017</v>
      </c>
      <c r="Y681">
        <v>2018</v>
      </c>
      <c r="Z681">
        <v>550.07000000000005</v>
      </c>
      <c r="AB681" t="s">
        <v>181</v>
      </c>
      <c r="AC681" t="s">
        <v>182</v>
      </c>
      <c r="AD681" t="s">
        <v>183</v>
      </c>
      <c r="AE681">
        <v>0</v>
      </c>
      <c r="AF681">
        <v>7</v>
      </c>
      <c r="AG681" t="s">
        <v>528</v>
      </c>
      <c r="AH681">
        <v>100</v>
      </c>
      <c r="AK681">
        <v>0</v>
      </c>
      <c r="AL681">
        <v>31643</v>
      </c>
      <c r="AM681">
        <v>25000</v>
      </c>
      <c r="AN681">
        <v>6643</v>
      </c>
      <c r="AO681">
        <v>486</v>
      </c>
      <c r="AP681">
        <v>2016</v>
      </c>
      <c r="AQ681">
        <v>1.74</v>
      </c>
      <c r="AS681" t="s">
        <v>9551</v>
      </c>
      <c r="AT681" t="s">
        <v>3747</v>
      </c>
      <c r="AU681" t="s">
        <v>177</v>
      </c>
      <c r="AV681" t="s">
        <v>1030</v>
      </c>
      <c r="AW681" t="s">
        <v>182</v>
      </c>
      <c r="AX681">
        <v>2</v>
      </c>
      <c r="AY681" t="s">
        <v>188</v>
      </c>
      <c r="AZ681" t="s">
        <v>189</v>
      </c>
      <c r="BA681" t="s">
        <v>190</v>
      </c>
      <c r="BB681" t="s">
        <v>191</v>
      </c>
      <c r="BC681" t="s">
        <v>182</v>
      </c>
      <c r="BD681" t="s">
        <v>182</v>
      </c>
      <c r="BE681" t="s">
        <v>1930</v>
      </c>
      <c r="BF681">
        <v>1</v>
      </c>
      <c r="BG681">
        <v>1</v>
      </c>
      <c r="BH681">
        <v>1983</v>
      </c>
      <c r="BI681" t="s">
        <v>9552</v>
      </c>
      <c r="BJ681" t="s">
        <v>285</v>
      </c>
      <c r="BK681" t="s">
        <v>195</v>
      </c>
      <c r="BL681" t="s">
        <v>199</v>
      </c>
      <c r="BM681" t="s">
        <v>1041</v>
      </c>
      <c r="BN681" t="s">
        <v>182</v>
      </c>
      <c r="BO681" t="s">
        <v>3842</v>
      </c>
      <c r="BP681" t="s">
        <v>9553</v>
      </c>
      <c r="BS681" t="s">
        <v>9554</v>
      </c>
      <c r="BT681" t="s">
        <v>198</v>
      </c>
      <c r="BU681" t="s">
        <v>182</v>
      </c>
      <c r="BV681" t="s">
        <v>198</v>
      </c>
      <c r="BW681" t="s">
        <v>198</v>
      </c>
      <c r="BX681" t="s">
        <v>199</v>
      </c>
      <c r="BY681" t="s">
        <v>198</v>
      </c>
      <c r="BZ681" t="s">
        <v>199</v>
      </c>
      <c r="CA681" t="s">
        <v>199</v>
      </c>
      <c r="CB681" t="s">
        <v>9555</v>
      </c>
      <c r="CC681" t="s">
        <v>201</v>
      </c>
      <c r="CD681" t="s">
        <v>182</v>
      </c>
      <c r="CE681" t="s">
        <v>9556</v>
      </c>
      <c r="CF681" t="s">
        <v>1029</v>
      </c>
      <c r="CG681" t="s">
        <v>177</v>
      </c>
      <c r="CH681" t="s">
        <v>1030</v>
      </c>
      <c r="CI681" t="s">
        <v>9557</v>
      </c>
      <c r="CJ681" t="s">
        <v>3808</v>
      </c>
      <c r="CK681" t="s">
        <v>232</v>
      </c>
      <c r="CL681" t="s">
        <v>233</v>
      </c>
      <c r="CM681" t="s">
        <v>9558</v>
      </c>
      <c r="CN681" t="s">
        <v>235</v>
      </c>
      <c r="CO681" t="s">
        <v>183</v>
      </c>
      <c r="CP681" t="s">
        <v>211</v>
      </c>
      <c r="CQ681" t="s">
        <v>296</v>
      </c>
      <c r="CS681" t="s">
        <v>2625</v>
      </c>
      <c r="CT681" t="s">
        <v>5775</v>
      </c>
      <c r="CU681" t="s">
        <v>292</v>
      </c>
      <c r="CV681" t="s">
        <v>293</v>
      </c>
      <c r="CW681" t="s">
        <v>9559</v>
      </c>
      <c r="CX681" t="s">
        <v>482</v>
      </c>
      <c r="CY681" t="s">
        <v>183</v>
      </c>
      <c r="CZ681" t="s">
        <v>211</v>
      </c>
      <c r="DA681" t="s">
        <v>444</v>
      </c>
      <c r="DC681" t="s">
        <v>2625</v>
      </c>
      <c r="DD681" t="s">
        <v>8783</v>
      </c>
      <c r="DE681" t="s">
        <v>267</v>
      </c>
      <c r="DF681" t="s">
        <v>268</v>
      </c>
      <c r="DG681" t="s">
        <v>9560</v>
      </c>
      <c r="DH681" t="s">
        <v>235</v>
      </c>
      <c r="DI681" t="s">
        <v>183</v>
      </c>
      <c r="DJ681" t="s">
        <v>211</v>
      </c>
      <c r="DK681" t="s">
        <v>460</v>
      </c>
      <c r="DM681" t="s">
        <v>9561</v>
      </c>
      <c r="DN681" t="s">
        <v>6505</v>
      </c>
      <c r="DO681" t="s">
        <v>273</v>
      </c>
      <c r="DP681" t="s">
        <v>274</v>
      </c>
      <c r="DQ681" t="s">
        <v>9562</v>
      </c>
      <c r="DR681" t="s">
        <v>514</v>
      </c>
      <c r="DS681" t="s">
        <v>183</v>
      </c>
      <c r="DT681" t="s">
        <v>211</v>
      </c>
      <c r="DU681" t="s">
        <v>847</v>
      </c>
      <c r="DW681" t="s">
        <v>9561</v>
      </c>
      <c r="DX681" t="s">
        <v>9563</v>
      </c>
      <c r="DY681" t="s">
        <v>302</v>
      </c>
      <c r="DZ681" t="s">
        <v>303</v>
      </c>
      <c r="EA681" t="s">
        <v>9564</v>
      </c>
      <c r="EB681" t="s">
        <v>511</v>
      </c>
      <c r="EC681" t="s">
        <v>183</v>
      </c>
      <c r="ED681" t="s">
        <v>211</v>
      </c>
      <c r="EE681" t="s">
        <v>345</v>
      </c>
      <c r="EG681" t="s">
        <v>2553</v>
      </c>
      <c r="EH681" t="s">
        <v>9565</v>
      </c>
      <c r="EI681" t="s">
        <v>238</v>
      </c>
      <c r="EJ681" t="s">
        <v>239</v>
      </c>
      <c r="EK681" t="s">
        <v>9566</v>
      </c>
      <c r="EL681" t="s">
        <v>278</v>
      </c>
      <c r="EM681" t="s">
        <v>183</v>
      </c>
      <c r="EN681" t="s">
        <v>211</v>
      </c>
      <c r="EO681" t="s">
        <v>345</v>
      </c>
      <c r="EQ681" t="s">
        <v>9416</v>
      </c>
      <c r="ER681" t="s">
        <v>9372</v>
      </c>
      <c r="ES681" t="s">
        <v>207</v>
      </c>
      <c r="ET681" t="s">
        <v>208</v>
      </c>
      <c r="EU681" t="s">
        <v>9567</v>
      </c>
      <c r="EV681" t="s">
        <v>576</v>
      </c>
      <c r="EW681" t="s">
        <v>183</v>
      </c>
      <c r="EX681" t="s">
        <v>211</v>
      </c>
      <c r="EY681" t="s">
        <v>264</v>
      </c>
      <c r="FA681" t="s">
        <v>9568</v>
      </c>
      <c r="FK681" t="s">
        <v>198</v>
      </c>
      <c r="FU681" t="s">
        <v>198</v>
      </c>
    </row>
    <row r="682" spans="1:177">
      <c r="A682" s="1" t="str">
        <f>HYPERLINK("http://digipan.lumentumllc.com/apps/getLink/index.php?t=PropLink&amp;p=5246133","PL")</f>
        <v>PL</v>
      </c>
      <c r="B682" s="1" t="str">
        <f>HYPERLINK("http://digipan.lumentumllc.com/apps/getLink/index.php?t=TaxLink&amp;p=5246133","TL")</f>
        <v>TL</v>
      </c>
      <c r="C682" s="1" t="str">
        <f>HYPERLINK("http://digipan.lumentumllc.com/apps/getMap/index.php?p=5246133","Map")</f>
        <v>Map</v>
      </c>
      <c r="E682" t="s">
        <v>177</v>
      </c>
      <c r="F682" t="s">
        <v>178</v>
      </c>
      <c r="L682" t="s">
        <v>9569</v>
      </c>
      <c r="N682" t="s">
        <v>9569</v>
      </c>
      <c r="O682" t="s">
        <v>9569</v>
      </c>
      <c r="P682" t="s">
        <v>9570</v>
      </c>
      <c r="Q682" t="s">
        <v>9569</v>
      </c>
      <c r="V682">
        <v>783</v>
      </c>
      <c r="W682">
        <v>3</v>
      </c>
      <c r="X682">
        <v>2017</v>
      </c>
      <c r="Y682">
        <v>2018</v>
      </c>
      <c r="Z682">
        <v>337.05</v>
      </c>
      <c r="AB682" t="s">
        <v>181</v>
      </c>
      <c r="AC682" t="s">
        <v>182</v>
      </c>
      <c r="AD682" t="s">
        <v>183</v>
      </c>
      <c r="AE682">
        <v>0</v>
      </c>
      <c r="AF682">
        <v>2</v>
      </c>
      <c r="AG682" t="s">
        <v>821</v>
      </c>
      <c r="AH682">
        <v>100</v>
      </c>
      <c r="AK682">
        <v>0</v>
      </c>
      <c r="AL682">
        <v>57920</v>
      </c>
      <c r="AM682">
        <v>25000</v>
      </c>
      <c r="AN682">
        <v>32920</v>
      </c>
      <c r="AO682">
        <v>362</v>
      </c>
      <c r="AP682">
        <v>2016</v>
      </c>
      <c r="AQ682">
        <v>0.57999999999999996</v>
      </c>
      <c r="AS682" t="s">
        <v>9571</v>
      </c>
      <c r="AT682" t="s">
        <v>3747</v>
      </c>
      <c r="AU682" t="s">
        <v>177</v>
      </c>
      <c r="AV682" t="s">
        <v>1030</v>
      </c>
      <c r="AW682" t="s">
        <v>202</v>
      </c>
      <c r="AX682">
        <v>2</v>
      </c>
      <c r="AY682" t="s">
        <v>188</v>
      </c>
      <c r="AZ682" t="s">
        <v>189</v>
      </c>
      <c r="BA682" t="s">
        <v>190</v>
      </c>
      <c r="BB682" t="s">
        <v>191</v>
      </c>
      <c r="BC682" t="s">
        <v>182</v>
      </c>
      <c r="BD682" t="s">
        <v>182</v>
      </c>
      <c r="BE682" t="s">
        <v>2579</v>
      </c>
      <c r="BF682">
        <v>1</v>
      </c>
      <c r="BG682">
        <v>1</v>
      </c>
      <c r="BH682">
        <v>1996</v>
      </c>
      <c r="BI682" t="s">
        <v>1291</v>
      </c>
      <c r="BJ682" t="s">
        <v>194</v>
      </c>
      <c r="BK682" t="s">
        <v>195</v>
      </c>
      <c r="BL682" t="s">
        <v>2281</v>
      </c>
      <c r="BM682" t="s">
        <v>292</v>
      </c>
      <c r="BN682" t="s">
        <v>182</v>
      </c>
      <c r="BO682" t="s">
        <v>9572</v>
      </c>
      <c r="BP682" t="s">
        <v>8899</v>
      </c>
      <c r="BQ682" t="s">
        <v>226</v>
      </c>
      <c r="BR682" t="s">
        <v>227</v>
      </c>
      <c r="BS682" t="s">
        <v>198</v>
      </c>
      <c r="BT682" t="s">
        <v>9573</v>
      </c>
      <c r="BU682" t="s">
        <v>182</v>
      </c>
      <c r="BV682" t="s">
        <v>198</v>
      </c>
      <c r="BW682" t="s">
        <v>198</v>
      </c>
      <c r="BX682" t="s">
        <v>199</v>
      </c>
      <c r="BY682" t="s">
        <v>198</v>
      </c>
      <c r="BZ682" t="s">
        <v>199</v>
      </c>
      <c r="CA682" t="s">
        <v>199</v>
      </c>
      <c r="CB682" t="s">
        <v>9574</v>
      </c>
      <c r="CC682" t="s">
        <v>201</v>
      </c>
      <c r="CD682" t="s">
        <v>182</v>
      </c>
      <c r="CE682" t="s">
        <v>9575</v>
      </c>
      <c r="CF682" t="s">
        <v>1029</v>
      </c>
      <c r="CG682" t="s">
        <v>177</v>
      </c>
      <c r="CH682" t="s">
        <v>1030</v>
      </c>
      <c r="CI682" t="s">
        <v>9576</v>
      </c>
      <c r="CJ682" t="s">
        <v>6253</v>
      </c>
      <c r="CK682" t="s">
        <v>232</v>
      </c>
      <c r="CL682" t="s">
        <v>233</v>
      </c>
      <c r="CM682" t="s">
        <v>9577</v>
      </c>
      <c r="CN682" t="s">
        <v>235</v>
      </c>
      <c r="CO682" t="s">
        <v>183</v>
      </c>
      <c r="CP682" t="s">
        <v>211</v>
      </c>
      <c r="CQ682" t="s">
        <v>189</v>
      </c>
      <c r="CS682" t="s">
        <v>9578</v>
      </c>
      <c r="CT682" t="s">
        <v>9579</v>
      </c>
      <c r="CU682" t="s">
        <v>207</v>
      </c>
      <c r="CV682" t="s">
        <v>208</v>
      </c>
      <c r="CW682" t="s">
        <v>9580</v>
      </c>
      <c r="CX682" t="s">
        <v>576</v>
      </c>
      <c r="CY682" t="s">
        <v>183</v>
      </c>
      <c r="CZ682" t="s">
        <v>211</v>
      </c>
      <c r="DA682" t="s">
        <v>270</v>
      </c>
      <c r="DC682" t="s">
        <v>9581</v>
      </c>
      <c r="DM682" t="s">
        <v>198</v>
      </c>
      <c r="DW682" t="s">
        <v>198</v>
      </c>
      <c r="EG682" t="s">
        <v>198</v>
      </c>
      <c r="EQ682" t="s">
        <v>198</v>
      </c>
      <c r="FA682" t="s">
        <v>198</v>
      </c>
      <c r="FK682" t="s">
        <v>198</v>
      </c>
      <c r="FU682" t="s">
        <v>198</v>
      </c>
    </row>
    <row r="683" spans="1:177">
      <c r="A683" s="1" t="str">
        <f>HYPERLINK("http://digipan.lumentumllc.com/apps/getLink/index.php?t=PropLink&amp;p=5246139","PL")</f>
        <v>PL</v>
      </c>
      <c r="B683" s="1" t="str">
        <f>HYPERLINK("http://digipan.lumentumllc.com/apps/getLink/index.php?t=TaxLink&amp;p=5246139","TL")</f>
        <v>TL</v>
      </c>
      <c r="C683" s="1" t="str">
        <f>HYPERLINK("http://digipan.lumentumllc.com/apps/getMap/index.php?p=5246139","Map")</f>
        <v>Map</v>
      </c>
      <c r="E683" t="s">
        <v>177</v>
      </c>
      <c r="F683" t="s">
        <v>178</v>
      </c>
      <c r="L683" t="s">
        <v>9582</v>
      </c>
      <c r="N683" t="s">
        <v>9582</v>
      </c>
      <c r="O683" t="s">
        <v>9582</v>
      </c>
      <c r="P683" t="s">
        <v>9583</v>
      </c>
      <c r="Q683" t="s">
        <v>9582</v>
      </c>
      <c r="V683">
        <v>784</v>
      </c>
      <c r="W683">
        <v>3</v>
      </c>
      <c r="X683">
        <v>2017</v>
      </c>
      <c r="Y683">
        <v>2018</v>
      </c>
      <c r="Z683">
        <v>3114.67</v>
      </c>
      <c r="AB683" t="s">
        <v>181</v>
      </c>
      <c r="AC683" t="s">
        <v>182</v>
      </c>
      <c r="AD683" t="s">
        <v>183</v>
      </c>
      <c r="AE683">
        <v>1</v>
      </c>
      <c r="AF683">
        <v>6</v>
      </c>
      <c r="AG683" t="s">
        <v>418</v>
      </c>
      <c r="AH683">
        <v>86</v>
      </c>
      <c r="AI683">
        <v>2834.78</v>
      </c>
      <c r="AJ683">
        <v>141.74</v>
      </c>
      <c r="AK683">
        <v>2976.52</v>
      </c>
      <c r="AL683">
        <v>191191</v>
      </c>
      <c r="AM683">
        <v>106624</v>
      </c>
      <c r="AN683">
        <v>84567</v>
      </c>
      <c r="AO683">
        <v>2596</v>
      </c>
      <c r="AP683">
        <v>2016</v>
      </c>
      <c r="AQ683">
        <v>1.63</v>
      </c>
      <c r="AR683">
        <v>1.56</v>
      </c>
      <c r="AS683" t="s">
        <v>9584</v>
      </c>
      <c r="AT683" t="s">
        <v>3747</v>
      </c>
      <c r="AU683" t="s">
        <v>177</v>
      </c>
      <c r="AV683" t="s">
        <v>1030</v>
      </c>
      <c r="AW683" t="s">
        <v>182</v>
      </c>
      <c r="AX683">
        <v>2</v>
      </c>
      <c r="AY683" t="s">
        <v>188</v>
      </c>
      <c r="AZ683" t="s">
        <v>189</v>
      </c>
      <c r="BA683" t="s">
        <v>190</v>
      </c>
      <c r="BB683" t="s">
        <v>191</v>
      </c>
      <c r="BC683" t="s">
        <v>182</v>
      </c>
      <c r="BD683" t="s">
        <v>182</v>
      </c>
      <c r="BE683" t="s">
        <v>9585</v>
      </c>
      <c r="BF683">
        <v>2</v>
      </c>
      <c r="BG683">
        <v>2</v>
      </c>
      <c r="BH683">
        <v>2003</v>
      </c>
      <c r="BI683" t="s">
        <v>9586</v>
      </c>
      <c r="BJ683" t="s">
        <v>194</v>
      </c>
      <c r="BK683" t="s">
        <v>195</v>
      </c>
      <c r="BL683" t="s">
        <v>1741</v>
      </c>
      <c r="BM683" t="s">
        <v>451</v>
      </c>
      <c r="BN683" t="s">
        <v>182</v>
      </c>
      <c r="BO683" t="s">
        <v>9587</v>
      </c>
      <c r="BP683" t="s">
        <v>9588</v>
      </c>
      <c r="BQ683" t="s">
        <v>603</v>
      </c>
      <c r="BR683" t="s">
        <v>9589</v>
      </c>
      <c r="BS683" t="s">
        <v>198</v>
      </c>
      <c r="BT683" t="s">
        <v>9590</v>
      </c>
      <c r="BU683" t="s">
        <v>182</v>
      </c>
      <c r="BV683" t="s">
        <v>198</v>
      </c>
      <c r="BW683" t="s">
        <v>198</v>
      </c>
      <c r="BX683" t="s">
        <v>199</v>
      </c>
      <c r="BY683" t="s">
        <v>198</v>
      </c>
      <c r="BZ683" t="s">
        <v>199</v>
      </c>
      <c r="CA683" t="s">
        <v>199</v>
      </c>
      <c r="CB683" t="s">
        <v>9591</v>
      </c>
      <c r="CC683" t="s">
        <v>201</v>
      </c>
      <c r="CD683" t="s">
        <v>182</v>
      </c>
      <c r="CE683" t="s">
        <v>9592</v>
      </c>
      <c r="CF683" t="s">
        <v>5215</v>
      </c>
      <c r="CG683" t="s">
        <v>177</v>
      </c>
      <c r="CH683" t="s">
        <v>7084</v>
      </c>
      <c r="CI683" t="s">
        <v>9593</v>
      </c>
      <c r="CJ683" t="s">
        <v>6280</v>
      </c>
      <c r="CK683" t="s">
        <v>232</v>
      </c>
      <c r="CL683" t="s">
        <v>233</v>
      </c>
      <c r="CM683" t="s">
        <v>9594</v>
      </c>
      <c r="CN683" t="s">
        <v>235</v>
      </c>
      <c r="CO683" t="s">
        <v>183</v>
      </c>
      <c r="CP683" t="s">
        <v>266</v>
      </c>
      <c r="CS683" t="s">
        <v>198</v>
      </c>
      <c r="CT683" t="s">
        <v>5827</v>
      </c>
      <c r="CU683" t="s">
        <v>292</v>
      </c>
      <c r="CV683" t="s">
        <v>293</v>
      </c>
      <c r="CW683" t="s">
        <v>9595</v>
      </c>
      <c r="CX683" t="s">
        <v>235</v>
      </c>
      <c r="CY683" t="s">
        <v>183</v>
      </c>
      <c r="CZ683" t="s">
        <v>211</v>
      </c>
      <c r="DA683" t="s">
        <v>345</v>
      </c>
      <c r="DC683" t="s">
        <v>2485</v>
      </c>
      <c r="DD683" t="s">
        <v>4704</v>
      </c>
      <c r="DE683" t="s">
        <v>267</v>
      </c>
      <c r="DF683" t="s">
        <v>268</v>
      </c>
      <c r="DG683" t="s">
        <v>9596</v>
      </c>
      <c r="DH683" t="s">
        <v>235</v>
      </c>
      <c r="DI683" t="s">
        <v>183</v>
      </c>
      <c r="DJ683" t="s">
        <v>211</v>
      </c>
      <c r="DK683" t="s">
        <v>345</v>
      </c>
      <c r="DM683" t="s">
        <v>5111</v>
      </c>
      <c r="DN683" t="s">
        <v>8416</v>
      </c>
      <c r="DO683" t="s">
        <v>273</v>
      </c>
      <c r="DP683" t="s">
        <v>274</v>
      </c>
      <c r="DQ683" t="s">
        <v>9597</v>
      </c>
      <c r="DR683" t="s">
        <v>235</v>
      </c>
      <c r="DS683" t="s">
        <v>183</v>
      </c>
      <c r="DT683" t="s">
        <v>211</v>
      </c>
      <c r="DU683" t="s">
        <v>298</v>
      </c>
      <c r="DW683" t="s">
        <v>3727</v>
      </c>
      <c r="DX683" t="s">
        <v>6949</v>
      </c>
      <c r="DY683" t="s">
        <v>302</v>
      </c>
      <c r="DZ683" t="s">
        <v>303</v>
      </c>
      <c r="EA683" t="s">
        <v>9598</v>
      </c>
      <c r="EB683" t="s">
        <v>235</v>
      </c>
      <c r="EC683" t="s">
        <v>183</v>
      </c>
      <c r="ED683" t="s">
        <v>211</v>
      </c>
      <c r="EE683" t="s">
        <v>189</v>
      </c>
      <c r="EG683" t="s">
        <v>9599</v>
      </c>
      <c r="EH683" t="s">
        <v>9600</v>
      </c>
      <c r="EI683" t="s">
        <v>238</v>
      </c>
      <c r="EJ683" t="s">
        <v>239</v>
      </c>
      <c r="EK683" t="s">
        <v>9601</v>
      </c>
      <c r="EL683" t="s">
        <v>235</v>
      </c>
      <c r="EM683" t="s">
        <v>183</v>
      </c>
      <c r="EN683" t="s">
        <v>211</v>
      </c>
      <c r="EO683" t="s">
        <v>460</v>
      </c>
      <c r="EQ683" t="s">
        <v>9599</v>
      </c>
      <c r="ER683" t="s">
        <v>6436</v>
      </c>
      <c r="ES683" t="s">
        <v>346</v>
      </c>
      <c r="ET683" t="s">
        <v>347</v>
      </c>
      <c r="EU683" t="s">
        <v>9602</v>
      </c>
      <c r="EV683" t="s">
        <v>816</v>
      </c>
      <c r="EW683" t="s">
        <v>183</v>
      </c>
      <c r="EX683" t="s">
        <v>211</v>
      </c>
      <c r="EY683" t="s">
        <v>270</v>
      </c>
      <c r="FA683" t="s">
        <v>9603</v>
      </c>
      <c r="FK683" t="s">
        <v>198</v>
      </c>
      <c r="FU683" t="s">
        <v>198</v>
      </c>
    </row>
    <row r="684" spans="1:177">
      <c r="A684" s="1" t="str">
        <f>HYPERLINK("http://digipan.lumentumllc.com/apps/getLink/index.php?t=PropLink&amp;p=5246333","PL")</f>
        <v>PL</v>
      </c>
      <c r="B684" s="1" t="str">
        <f>HYPERLINK("http://digipan.lumentumllc.com/apps/getLink/index.php?t=TaxLink&amp;p=5246333","TL")</f>
        <v>TL</v>
      </c>
      <c r="C684" s="1" t="str">
        <f>HYPERLINK("http://digipan.lumentumllc.com/apps/getMap/index.php?p=5246333","Map")</f>
        <v>Map</v>
      </c>
      <c r="E684" t="s">
        <v>177</v>
      </c>
      <c r="F684" t="s">
        <v>178</v>
      </c>
      <c r="L684" t="s">
        <v>9604</v>
      </c>
      <c r="N684" t="s">
        <v>9604</v>
      </c>
      <c r="O684" t="s">
        <v>9604</v>
      </c>
      <c r="P684" t="s">
        <v>9605</v>
      </c>
      <c r="Q684" t="s">
        <v>9604</v>
      </c>
      <c r="V684">
        <v>785</v>
      </c>
      <c r="W684">
        <v>3</v>
      </c>
      <c r="X684">
        <v>2017</v>
      </c>
      <c r="Y684">
        <v>2018</v>
      </c>
      <c r="Z684">
        <v>1828.85</v>
      </c>
      <c r="AB684" t="s">
        <v>181</v>
      </c>
      <c r="AC684" t="s">
        <v>182</v>
      </c>
      <c r="AD684" t="s">
        <v>183</v>
      </c>
      <c r="AE684">
        <v>0</v>
      </c>
      <c r="AF684">
        <v>8</v>
      </c>
      <c r="AG684" t="s">
        <v>1059</v>
      </c>
      <c r="AH684">
        <v>100</v>
      </c>
      <c r="AK684">
        <v>0</v>
      </c>
      <c r="AL684">
        <v>164149</v>
      </c>
      <c r="AM684">
        <v>30000</v>
      </c>
      <c r="AN684">
        <v>134149</v>
      </c>
      <c r="AO684">
        <v>1621</v>
      </c>
      <c r="AP684">
        <v>2016</v>
      </c>
      <c r="AQ684">
        <v>1.1100000000000001</v>
      </c>
      <c r="AS684" t="s">
        <v>9606</v>
      </c>
      <c r="AT684" t="s">
        <v>3747</v>
      </c>
      <c r="AU684" t="s">
        <v>177</v>
      </c>
      <c r="AV684" t="s">
        <v>1030</v>
      </c>
      <c r="AW684" t="s">
        <v>202</v>
      </c>
      <c r="AX684">
        <v>1</v>
      </c>
      <c r="AY684" t="s">
        <v>188</v>
      </c>
      <c r="AZ684" t="s">
        <v>206</v>
      </c>
      <c r="BA684" t="s">
        <v>355</v>
      </c>
      <c r="BB684" t="s">
        <v>191</v>
      </c>
      <c r="BC684" t="s">
        <v>182</v>
      </c>
      <c r="BD684" t="s">
        <v>182</v>
      </c>
      <c r="BE684" t="s">
        <v>838</v>
      </c>
      <c r="BF684">
        <v>1</v>
      </c>
      <c r="BG684">
        <v>1</v>
      </c>
      <c r="BH684">
        <v>1940</v>
      </c>
      <c r="BI684" t="s">
        <v>9607</v>
      </c>
      <c r="BJ684" t="s">
        <v>194</v>
      </c>
      <c r="BK684" t="s">
        <v>195</v>
      </c>
      <c r="BL684" t="s">
        <v>9608</v>
      </c>
      <c r="BM684" t="s">
        <v>286</v>
      </c>
      <c r="BN684" t="s">
        <v>182</v>
      </c>
      <c r="BO684" t="s">
        <v>5651</v>
      </c>
      <c r="BP684" t="s">
        <v>9609</v>
      </c>
      <c r="BQ684" t="s">
        <v>562</v>
      </c>
      <c r="BR684" t="s">
        <v>563</v>
      </c>
      <c r="BS684" t="s">
        <v>198</v>
      </c>
      <c r="BT684" t="s">
        <v>9610</v>
      </c>
      <c r="BU684" t="s">
        <v>182</v>
      </c>
      <c r="BV684" t="s">
        <v>198</v>
      </c>
      <c r="BW684" t="s">
        <v>198</v>
      </c>
      <c r="BX684" t="s">
        <v>199</v>
      </c>
      <c r="BY684" t="s">
        <v>198</v>
      </c>
      <c r="BZ684" t="s">
        <v>199</v>
      </c>
      <c r="CA684" t="s">
        <v>199</v>
      </c>
      <c r="CB684" t="s">
        <v>9611</v>
      </c>
      <c r="CC684" t="s">
        <v>201</v>
      </c>
      <c r="CD684" t="s">
        <v>182</v>
      </c>
      <c r="CE684" t="s">
        <v>9612</v>
      </c>
      <c r="CF684" t="s">
        <v>1029</v>
      </c>
      <c r="CG684" t="s">
        <v>177</v>
      </c>
      <c r="CH684" t="s">
        <v>1030</v>
      </c>
      <c r="CI684" t="s">
        <v>9613</v>
      </c>
      <c r="CJ684" t="s">
        <v>9614</v>
      </c>
      <c r="CK684" t="s">
        <v>232</v>
      </c>
      <c r="CL684" t="s">
        <v>233</v>
      </c>
      <c r="CM684" t="s">
        <v>9615</v>
      </c>
      <c r="CN684" t="s">
        <v>235</v>
      </c>
      <c r="CO684" t="s">
        <v>183</v>
      </c>
      <c r="CP684" t="s">
        <v>211</v>
      </c>
      <c r="CQ684" t="s">
        <v>329</v>
      </c>
      <c r="CS684" t="s">
        <v>1235</v>
      </c>
      <c r="CT684" t="s">
        <v>8602</v>
      </c>
      <c r="CU684" t="s">
        <v>292</v>
      </c>
      <c r="CV684" t="s">
        <v>293</v>
      </c>
      <c r="CW684" t="s">
        <v>9616</v>
      </c>
      <c r="CX684" t="s">
        <v>235</v>
      </c>
      <c r="CY684" t="s">
        <v>183</v>
      </c>
      <c r="CZ684" t="s">
        <v>211</v>
      </c>
      <c r="DA684" t="s">
        <v>329</v>
      </c>
      <c r="DC684" t="s">
        <v>1611</v>
      </c>
      <c r="DD684" t="s">
        <v>4736</v>
      </c>
      <c r="DE684" t="s">
        <v>267</v>
      </c>
      <c r="DF684" t="s">
        <v>268</v>
      </c>
      <c r="DG684" t="s">
        <v>9617</v>
      </c>
      <c r="DH684" t="s">
        <v>235</v>
      </c>
      <c r="DI684" t="s">
        <v>183</v>
      </c>
      <c r="DJ684" t="s">
        <v>211</v>
      </c>
      <c r="DK684" t="s">
        <v>329</v>
      </c>
      <c r="DM684" t="s">
        <v>1645</v>
      </c>
      <c r="DN684" t="s">
        <v>6740</v>
      </c>
      <c r="DO684" t="s">
        <v>273</v>
      </c>
      <c r="DP684" t="s">
        <v>274</v>
      </c>
      <c r="DQ684" t="s">
        <v>9618</v>
      </c>
      <c r="DR684" t="s">
        <v>235</v>
      </c>
      <c r="DS684" t="s">
        <v>183</v>
      </c>
      <c r="DT684" t="s">
        <v>211</v>
      </c>
      <c r="DU684" t="s">
        <v>329</v>
      </c>
      <c r="DW684" t="s">
        <v>8491</v>
      </c>
      <c r="DX684" t="s">
        <v>9619</v>
      </c>
      <c r="DY684" t="s">
        <v>302</v>
      </c>
      <c r="DZ684" t="s">
        <v>303</v>
      </c>
      <c r="EA684" t="s">
        <v>9620</v>
      </c>
      <c r="EB684" t="s">
        <v>235</v>
      </c>
      <c r="EC684" t="s">
        <v>183</v>
      </c>
      <c r="ED684" t="s">
        <v>211</v>
      </c>
      <c r="EE684" t="s">
        <v>339</v>
      </c>
      <c r="EG684" t="s">
        <v>9621</v>
      </c>
      <c r="EH684" t="s">
        <v>9622</v>
      </c>
      <c r="EI684" t="s">
        <v>238</v>
      </c>
      <c r="EJ684" t="s">
        <v>239</v>
      </c>
      <c r="EK684" t="s">
        <v>9623</v>
      </c>
      <c r="EL684" t="s">
        <v>235</v>
      </c>
      <c r="EM684" t="s">
        <v>183</v>
      </c>
      <c r="EN684" t="s">
        <v>211</v>
      </c>
      <c r="EO684" t="s">
        <v>290</v>
      </c>
      <c r="EQ684" t="s">
        <v>9624</v>
      </c>
      <c r="ER684" t="s">
        <v>9625</v>
      </c>
      <c r="ES684" t="s">
        <v>346</v>
      </c>
      <c r="ET684" t="s">
        <v>347</v>
      </c>
      <c r="EU684" t="s">
        <v>9626</v>
      </c>
      <c r="EV684" t="s">
        <v>235</v>
      </c>
      <c r="EW684" t="s">
        <v>183</v>
      </c>
      <c r="EX684" t="s">
        <v>211</v>
      </c>
      <c r="EY684" t="s">
        <v>329</v>
      </c>
      <c r="FA684" t="s">
        <v>1770</v>
      </c>
      <c r="FB684" t="s">
        <v>9627</v>
      </c>
      <c r="FC684" t="s">
        <v>207</v>
      </c>
      <c r="FD684" t="s">
        <v>208</v>
      </c>
      <c r="FE684" t="s">
        <v>9628</v>
      </c>
      <c r="FF684" t="s">
        <v>235</v>
      </c>
      <c r="FG684" t="s">
        <v>183</v>
      </c>
      <c r="FH684" t="s">
        <v>211</v>
      </c>
      <c r="FI684" t="s">
        <v>296</v>
      </c>
      <c r="FK684" t="s">
        <v>4807</v>
      </c>
      <c r="FU684" t="s">
        <v>198</v>
      </c>
    </row>
    <row r="685" spans="1:177">
      <c r="A685" s="1" t="str">
        <f>HYPERLINK("http://digipan.lumentumllc.com/apps/getLink/index.php?t=PropLink&amp;p=15748102","PL")</f>
        <v>PL</v>
      </c>
      <c r="B685" s="1" t="str">
        <f>HYPERLINK("http://digipan.lumentumllc.com/apps/getLink/index.php?t=TaxLink&amp;p=15748102","TL")</f>
        <v>TL</v>
      </c>
      <c r="C685" s="1" t="str">
        <f>HYPERLINK("http://digipan.lumentumllc.com/apps/getMap/index.php?p=15748102","Map")</f>
        <v>Map</v>
      </c>
      <c r="E685" t="s">
        <v>177</v>
      </c>
      <c r="F685" t="s">
        <v>178</v>
      </c>
      <c r="L685" t="s">
        <v>9629</v>
      </c>
      <c r="N685" t="s">
        <v>9629</v>
      </c>
      <c r="O685" t="s">
        <v>9629</v>
      </c>
      <c r="Q685" t="s">
        <v>9629</v>
      </c>
      <c r="V685">
        <v>786</v>
      </c>
      <c r="W685">
        <v>3</v>
      </c>
      <c r="X685">
        <v>2017</v>
      </c>
      <c r="Y685">
        <v>2018</v>
      </c>
      <c r="Z685">
        <v>1018.75</v>
      </c>
      <c r="AG685" t="s">
        <v>184</v>
      </c>
      <c r="AH685">
        <v>0</v>
      </c>
      <c r="AK685">
        <v>0</v>
      </c>
      <c r="AL685">
        <v>85523</v>
      </c>
      <c r="AM685">
        <v>29680</v>
      </c>
      <c r="AN685">
        <v>55843</v>
      </c>
      <c r="AO685">
        <v>947</v>
      </c>
      <c r="AP685">
        <v>2016</v>
      </c>
      <c r="AQ685">
        <v>1.19</v>
      </c>
      <c r="AS685" t="s">
        <v>9630</v>
      </c>
      <c r="AT685" t="s">
        <v>3747</v>
      </c>
      <c r="AU685" t="s">
        <v>177</v>
      </c>
      <c r="AV685" t="s">
        <v>1030</v>
      </c>
      <c r="AW685" t="s">
        <v>202</v>
      </c>
      <c r="AX685">
        <v>2</v>
      </c>
      <c r="AY685" t="s">
        <v>188</v>
      </c>
      <c r="AZ685" t="s">
        <v>189</v>
      </c>
      <c r="BA685" t="s">
        <v>190</v>
      </c>
      <c r="BB685" t="s">
        <v>191</v>
      </c>
      <c r="BC685" t="s">
        <v>182</v>
      </c>
      <c r="BD685" t="s">
        <v>182</v>
      </c>
      <c r="BE685" t="s">
        <v>9631</v>
      </c>
      <c r="BF685">
        <v>3</v>
      </c>
      <c r="BG685">
        <v>3</v>
      </c>
      <c r="BH685">
        <v>1999</v>
      </c>
      <c r="BI685" t="s">
        <v>9632</v>
      </c>
      <c r="BJ685" t="s">
        <v>194</v>
      </c>
      <c r="BK685" t="s">
        <v>195</v>
      </c>
      <c r="BL685" t="s">
        <v>1741</v>
      </c>
      <c r="BM685" t="s">
        <v>197</v>
      </c>
      <c r="BN685" t="s">
        <v>182</v>
      </c>
      <c r="BO685" t="s">
        <v>9633</v>
      </c>
      <c r="BP685" t="s">
        <v>9634</v>
      </c>
      <c r="BQ685" t="s">
        <v>581</v>
      </c>
      <c r="BR685" t="s">
        <v>6777</v>
      </c>
      <c r="BS685" t="s">
        <v>198</v>
      </c>
      <c r="BT685" t="s">
        <v>9635</v>
      </c>
      <c r="BU685" t="s">
        <v>182</v>
      </c>
      <c r="BV685" t="s">
        <v>198</v>
      </c>
      <c r="BW685" t="s">
        <v>198</v>
      </c>
      <c r="BX685" t="s">
        <v>199</v>
      </c>
      <c r="BY685" t="s">
        <v>198</v>
      </c>
      <c r="BZ685" t="s">
        <v>199</v>
      </c>
      <c r="CA685" t="s">
        <v>199</v>
      </c>
      <c r="CB685" t="s">
        <v>9636</v>
      </c>
      <c r="CC685" t="s">
        <v>201</v>
      </c>
      <c r="CD685" t="s">
        <v>202</v>
      </c>
      <c r="CE685" t="s">
        <v>9637</v>
      </c>
      <c r="CF685" t="s">
        <v>1029</v>
      </c>
      <c r="CG685" t="s">
        <v>177</v>
      </c>
      <c r="CH685" t="s">
        <v>1030</v>
      </c>
      <c r="CI685" t="s">
        <v>5475</v>
      </c>
      <c r="CS685" t="s">
        <v>198</v>
      </c>
      <c r="DC685" t="s">
        <v>198</v>
      </c>
      <c r="DM685" t="s">
        <v>198</v>
      </c>
      <c r="DW685" t="s">
        <v>198</v>
      </c>
      <c r="EG685" t="s">
        <v>198</v>
      </c>
      <c r="EQ685" t="s">
        <v>198</v>
      </c>
      <c r="FA685" t="s">
        <v>198</v>
      </c>
      <c r="FK685" t="s">
        <v>198</v>
      </c>
      <c r="FU685" t="s">
        <v>198</v>
      </c>
    </row>
    <row r="686" spans="1:177">
      <c r="A686" s="1" t="str">
        <f>HYPERLINK("http://digipan.lumentumllc.com/apps/getLink/index.php?t=PropLink&amp;p=5246786","PL")</f>
        <v>PL</v>
      </c>
      <c r="B686" s="1" t="str">
        <f>HYPERLINK("http://digipan.lumentumllc.com/apps/getLink/index.php?t=TaxLink&amp;p=5246786","TL")</f>
        <v>TL</v>
      </c>
      <c r="C686" s="1" t="str">
        <f>HYPERLINK("http://digipan.lumentumllc.com/apps/getMap/index.php?p=5246786","Map")</f>
        <v>Map</v>
      </c>
      <c r="E686" t="s">
        <v>177</v>
      </c>
      <c r="F686" t="s">
        <v>178</v>
      </c>
      <c r="L686" t="s">
        <v>9638</v>
      </c>
      <c r="N686" t="s">
        <v>9638</v>
      </c>
      <c r="O686" t="s">
        <v>9638</v>
      </c>
      <c r="P686" t="s">
        <v>9639</v>
      </c>
      <c r="Q686" t="s">
        <v>9638</v>
      </c>
      <c r="V686">
        <v>787</v>
      </c>
      <c r="W686">
        <v>3</v>
      </c>
      <c r="X686">
        <v>2017</v>
      </c>
      <c r="Y686">
        <v>2018</v>
      </c>
      <c r="Z686">
        <v>3001.21</v>
      </c>
      <c r="AB686" t="s">
        <v>181</v>
      </c>
      <c r="AC686" t="s">
        <v>182</v>
      </c>
      <c r="AD686" t="s">
        <v>183</v>
      </c>
      <c r="AE686">
        <v>1</v>
      </c>
      <c r="AF686">
        <v>7</v>
      </c>
      <c r="AG686" t="s">
        <v>418</v>
      </c>
      <c r="AH686">
        <v>86</v>
      </c>
      <c r="AI686">
        <v>2837.71</v>
      </c>
      <c r="AJ686">
        <v>141.88999999999999</v>
      </c>
      <c r="AK686">
        <v>2979.6</v>
      </c>
      <c r="AL686">
        <v>237103</v>
      </c>
      <c r="AM686">
        <v>52950</v>
      </c>
      <c r="AN686">
        <v>184153</v>
      </c>
      <c r="AO686">
        <v>2599</v>
      </c>
      <c r="AP686">
        <v>2016</v>
      </c>
      <c r="AQ686">
        <v>1.27</v>
      </c>
      <c r="AR686">
        <v>1.26</v>
      </c>
      <c r="AS686" t="s">
        <v>9640</v>
      </c>
      <c r="AT686" t="s">
        <v>3747</v>
      </c>
      <c r="AU686" t="s">
        <v>177</v>
      </c>
      <c r="AV686" t="s">
        <v>1030</v>
      </c>
      <c r="AW686" t="s">
        <v>202</v>
      </c>
      <c r="AX686">
        <v>1</v>
      </c>
      <c r="AY686" t="s">
        <v>188</v>
      </c>
      <c r="AZ686" t="s">
        <v>206</v>
      </c>
      <c r="BA686" t="s">
        <v>355</v>
      </c>
      <c r="BB686" t="s">
        <v>191</v>
      </c>
      <c r="BC686" t="s">
        <v>182</v>
      </c>
      <c r="BD686" t="s">
        <v>182</v>
      </c>
      <c r="BE686" t="s">
        <v>2105</v>
      </c>
      <c r="BF686">
        <v>3</v>
      </c>
      <c r="BG686">
        <v>3</v>
      </c>
      <c r="BH686">
        <v>1962</v>
      </c>
      <c r="BI686" t="s">
        <v>9641</v>
      </c>
      <c r="BJ686" t="s">
        <v>194</v>
      </c>
      <c r="BK686" t="s">
        <v>195</v>
      </c>
      <c r="BL686" t="s">
        <v>199</v>
      </c>
      <c r="BM686" t="s">
        <v>325</v>
      </c>
      <c r="BN686" t="s">
        <v>182</v>
      </c>
      <c r="BO686" t="s">
        <v>198</v>
      </c>
      <c r="BP686" t="s">
        <v>198</v>
      </c>
      <c r="BQ686" t="s">
        <v>198</v>
      </c>
      <c r="BR686" t="s">
        <v>198</v>
      </c>
      <c r="BS686" t="s">
        <v>198</v>
      </c>
      <c r="BT686" t="s">
        <v>198</v>
      </c>
      <c r="BU686" t="s">
        <v>182</v>
      </c>
      <c r="BV686" t="s">
        <v>198</v>
      </c>
      <c r="BW686" t="s">
        <v>198</v>
      </c>
      <c r="BX686" t="s">
        <v>199</v>
      </c>
      <c r="BY686" t="s">
        <v>198</v>
      </c>
      <c r="BZ686" t="s">
        <v>199</v>
      </c>
      <c r="CA686" t="s">
        <v>199</v>
      </c>
      <c r="CB686" t="s">
        <v>9642</v>
      </c>
      <c r="CC686" t="s">
        <v>201</v>
      </c>
      <c r="CD686" t="s">
        <v>182</v>
      </c>
      <c r="CE686" t="s">
        <v>9643</v>
      </c>
      <c r="CF686" t="s">
        <v>1029</v>
      </c>
      <c r="CG686" t="s">
        <v>177</v>
      </c>
      <c r="CH686" t="s">
        <v>1030</v>
      </c>
      <c r="CI686" t="s">
        <v>9644</v>
      </c>
      <c r="CJ686" t="s">
        <v>8783</v>
      </c>
      <c r="CK686" t="s">
        <v>232</v>
      </c>
      <c r="CL686" t="s">
        <v>233</v>
      </c>
      <c r="CM686" t="s">
        <v>9645</v>
      </c>
      <c r="CN686" t="s">
        <v>235</v>
      </c>
      <c r="CO686" t="s">
        <v>183</v>
      </c>
      <c r="CP686" t="s">
        <v>266</v>
      </c>
      <c r="CS686" t="s">
        <v>198</v>
      </c>
      <c r="CT686" t="s">
        <v>5856</v>
      </c>
      <c r="CU686" t="s">
        <v>292</v>
      </c>
      <c r="CV686" t="s">
        <v>293</v>
      </c>
      <c r="CW686" t="s">
        <v>9646</v>
      </c>
      <c r="CX686" t="s">
        <v>235</v>
      </c>
      <c r="CY686" t="s">
        <v>183</v>
      </c>
      <c r="CZ686" t="s">
        <v>211</v>
      </c>
      <c r="DA686" t="s">
        <v>298</v>
      </c>
      <c r="DC686" t="s">
        <v>1066</v>
      </c>
      <c r="DD686" t="s">
        <v>6140</v>
      </c>
      <c r="DE686" t="s">
        <v>267</v>
      </c>
      <c r="DF686" t="s">
        <v>268</v>
      </c>
      <c r="DG686" t="s">
        <v>9647</v>
      </c>
      <c r="DH686" t="s">
        <v>235</v>
      </c>
      <c r="DI686" t="s">
        <v>183</v>
      </c>
      <c r="DJ686" t="s">
        <v>211</v>
      </c>
      <c r="DK686" t="s">
        <v>298</v>
      </c>
      <c r="DM686" t="s">
        <v>5919</v>
      </c>
      <c r="DN686" t="s">
        <v>9648</v>
      </c>
      <c r="DO686" t="s">
        <v>273</v>
      </c>
      <c r="DP686" t="s">
        <v>274</v>
      </c>
      <c r="DQ686" t="s">
        <v>9649</v>
      </c>
      <c r="DR686" t="s">
        <v>235</v>
      </c>
      <c r="DS686" t="s">
        <v>183</v>
      </c>
      <c r="DT686" t="s">
        <v>211</v>
      </c>
      <c r="DU686" t="s">
        <v>298</v>
      </c>
      <c r="DW686" t="s">
        <v>1069</v>
      </c>
      <c r="DX686" t="s">
        <v>237</v>
      </c>
      <c r="DY686" t="s">
        <v>302</v>
      </c>
      <c r="DZ686" t="s">
        <v>303</v>
      </c>
      <c r="EA686" t="s">
        <v>9650</v>
      </c>
      <c r="EB686" t="s">
        <v>235</v>
      </c>
      <c r="EC686" t="s">
        <v>183</v>
      </c>
      <c r="ED686" t="s">
        <v>211</v>
      </c>
      <c r="EE686" t="s">
        <v>298</v>
      </c>
      <c r="EG686" t="s">
        <v>437</v>
      </c>
      <c r="EH686" t="s">
        <v>9651</v>
      </c>
      <c r="EI686" t="s">
        <v>238</v>
      </c>
      <c r="EJ686" t="s">
        <v>239</v>
      </c>
      <c r="EK686" t="s">
        <v>9652</v>
      </c>
      <c r="EL686" t="s">
        <v>235</v>
      </c>
      <c r="EM686" t="s">
        <v>183</v>
      </c>
      <c r="EN686" t="s">
        <v>211</v>
      </c>
      <c r="EO686" t="s">
        <v>345</v>
      </c>
      <c r="EQ686" t="s">
        <v>8192</v>
      </c>
      <c r="ER686" t="s">
        <v>6460</v>
      </c>
      <c r="ES686" t="s">
        <v>346</v>
      </c>
      <c r="ET686" t="s">
        <v>347</v>
      </c>
      <c r="EU686" t="s">
        <v>9653</v>
      </c>
      <c r="EV686" t="s">
        <v>235</v>
      </c>
      <c r="EW686" t="s">
        <v>183</v>
      </c>
      <c r="EX686" t="s">
        <v>211</v>
      </c>
      <c r="EY686" t="s">
        <v>298</v>
      </c>
      <c r="FA686" t="s">
        <v>3166</v>
      </c>
      <c r="FB686" t="s">
        <v>6319</v>
      </c>
      <c r="FC686" t="s">
        <v>207</v>
      </c>
      <c r="FD686" t="s">
        <v>208</v>
      </c>
      <c r="FE686" t="s">
        <v>9654</v>
      </c>
      <c r="FF686" t="s">
        <v>235</v>
      </c>
      <c r="FG686" t="s">
        <v>183</v>
      </c>
      <c r="FH686" t="s">
        <v>211</v>
      </c>
      <c r="FI686" t="s">
        <v>298</v>
      </c>
      <c r="FK686" t="s">
        <v>5208</v>
      </c>
      <c r="FU686" t="s">
        <v>198</v>
      </c>
    </row>
    <row r="687" spans="1:177">
      <c r="A687" s="1" t="str">
        <f>HYPERLINK("http://digipan.lumentumllc.com/apps/getLink/index.php?t=PropLink&amp;p=6129181","PL")</f>
        <v>PL</v>
      </c>
      <c r="B687" s="1" t="str">
        <f>HYPERLINK("http://digipan.lumentumllc.com/apps/getLink/index.php?t=TaxLink&amp;p=6129181","TL")</f>
        <v>TL</v>
      </c>
      <c r="C687" s="1" t="str">
        <f>HYPERLINK("http://digipan.lumentumllc.com/apps/getMap/index.php?p=6129181","Map")</f>
        <v>Map</v>
      </c>
      <c r="E687" t="s">
        <v>177</v>
      </c>
      <c r="F687" t="s">
        <v>178</v>
      </c>
      <c r="L687" t="s">
        <v>9655</v>
      </c>
      <c r="N687" t="s">
        <v>9655</v>
      </c>
      <c r="O687" t="s">
        <v>9655</v>
      </c>
      <c r="P687" t="s">
        <v>9656</v>
      </c>
      <c r="Q687" t="s">
        <v>9655</v>
      </c>
      <c r="V687">
        <v>788</v>
      </c>
      <c r="W687">
        <v>3</v>
      </c>
      <c r="X687">
        <v>2017</v>
      </c>
      <c r="Y687">
        <v>2018</v>
      </c>
      <c r="Z687">
        <v>925.16</v>
      </c>
      <c r="AB687" t="s">
        <v>181</v>
      </c>
      <c r="AC687" t="s">
        <v>182</v>
      </c>
      <c r="AD687" t="s">
        <v>183</v>
      </c>
      <c r="AE687">
        <v>0</v>
      </c>
      <c r="AF687">
        <v>6</v>
      </c>
      <c r="AG687" t="s">
        <v>528</v>
      </c>
      <c r="AH687">
        <v>100</v>
      </c>
      <c r="AK687">
        <v>0</v>
      </c>
      <c r="AL687">
        <v>54552</v>
      </c>
      <c r="AM687">
        <v>39695</v>
      </c>
      <c r="AN687">
        <v>14857</v>
      </c>
      <c r="AO687">
        <v>911</v>
      </c>
      <c r="AP687">
        <v>2016</v>
      </c>
      <c r="AQ687">
        <v>1.7</v>
      </c>
      <c r="AS687" t="s">
        <v>9657</v>
      </c>
      <c r="AT687" t="s">
        <v>3747</v>
      </c>
      <c r="AU687" t="s">
        <v>177</v>
      </c>
      <c r="AV687" t="s">
        <v>1030</v>
      </c>
      <c r="AW687" t="s">
        <v>182</v>
      </c>
      <c r="AX687">
        <v>2</v>
      </c>
      <c r="AY687" t="s">
        <v>188</v>
      </c>
      <c r="AZ687" t="s">
        <v>189</v>
      </c>
      <c r="BA687" t="s">
        <v>190</v>
      </c>
      <c r="BB687" t="s">
        <v>191</v>
      </c>
      <c r="BC687" t="s">
        <v>182</v>
      </c>
      <c r="BD687" t="s">
        <v>182</v>
      </c>
      <c r="BE687" t="s">
        <v>1944</v>
      </c>
      <c r="BF687">
        <v>2</v>
      </c>
      <c r="BG687">
        <v>2</v>
      </c>
      <c r="BH687">
        <v>1980</v>
      </c>
      <c r="BI687" t="s">
        <v>2652</v>
      </c>
      <c r="BJ687" t="s">
        <v>285</v>
      </c>
      <c r="BK687" t="s">
        <v>195</v>
      </c>
      <c r="BL687" t="s">
        <v>9658</v>
      </c>
      <c r="BM687" t="s">
        <v>346</v>
      </c>
      <c r="BN687" t="s">
        <v>182</v>
      </c>
      <c r="BO687" t="s">
        <v>198</v>
      </c>
      <c r="BP687" t="s">
        <v>198</v>
      </c>
      <c r="BQ687" t="s">
        <v>198</v>
      </c>
      <c r="BR687" t="s">
        <v>198</v>
      </c>
      <c r="BS687" t="s">
        <v>198</v>
      </c>
      <c r="BT687" t="s">
        <v>198</v>
      </c>
      <c r="BU687" t="s">
        <v>182</v>
      </c>
      <c r="BV687" t="s">
        <v>198</v>
      </c>
      <c r="BW687" t="s">
        <v>198</v>
      </c>
      <c r="BX687" t="s">
        <v>199</v>
      </c>
      <c r="BY687" t="s">
        <v>198</v>
      </c>
      <c r="BZ687" t="s">
        <v>199</v>
      </c>
      <c r="CA687" t="s">
        <v>199</v>
      </c>
      <c r="CB687" t="s">
        <v>9659</v>
      </c>
      <c r="CC687" t="s">
        <v>201</v>
      </c>
      <c r="CD687" t="s">
        <v>182</v>
      </c>
      <c r="CE687" t="s">
        <v>9660</v>
      </c>
      <c r="CF687" t="s">
        <v>1029</v>
      </c>
      <c r="CG687" t="s">
        <v>177</v>
      </c>
      <c r="CH687" t="s">
        <v>1030</v>
      </c>
      <c r="CI687" t="s">
        <v>9661</v>
      </c>
      <c r="CJ687" t="s">
        <v>4704</v>
      </c>
      <c r="CK687" t="s">
        <v>232</v>
      </c>
      <c r="CL687" t="s">
        <v>233</v>
      </c>
      <c r="CM687" t="s">
        <v>9662</v>
      </c>
      <c r="CN687" t="s">
        <v>235</v>
      </c>
      <c r="CO687" t="s">
        <v>183</v>
      </c>
      <c r="CP687" t="s">
        <v>211</v>
      </c>
      <c r="CQ687" t="s">
        <v>329</v>
      </c>
      <c r="CS687" t="s">
        <v>3588</v>
      </c>
      <c r="CT687" t="s">
        <v>8628</v>
      </c>
      <c r="CU687" t="s">
        <v>292</v>
      </c>
      <c r="CV687" t="s">
        <v>293</v>
      </c>
      <c r="CW687" t="s">
        <v>9663</v>
      </c>
      <c r="CX687" t="s">
        <v>235</v>
      </c>
      <c r="CY687" t="s">
        <v>183</v>
      </c>
      <c r="CZ687" t="s">
        <v>211</v>
      </c>
      <c r="DA687" t="s">
        <v>270</v>
      </c>
      <c r="DC687" t="s">
        <v>9664</v>
      </c>
      <c r="DD687" t="s">
        <v>9387</v>
      </c>
      <c r="DE687" t="s">
        <v>267</v>
      </c>
      <c r="DF687" t="s">
        <v>268</v>
      </c>
      <c r="DG687" t="s">
        <v>9665</v>
      </c>
      <c r="DH687" t="s">
        <v>235</v>
      </c>
      <c r="DI687" t="s">
        <v>183</v>
      </c>
      <c r="DJ687" t="s">
        <v>211</v>
      </c>
      <c r="DK687" t="s">
        <v>298</v>
      </c>
      <c r="DM687" t="s">
        <v>868</v>
      </c>
      <c r="DN687" t="s">
        <v>6544</v>
      </c>
      <c r="DO687" t="s">
        <v>273</v>
      </c>
      <c r="DP687" t="s">
        <v>274</v>
      </c>
      <c r="DQ687" t="s">
        <v>9666</v>
      </c>
      <c r="DR687" t="s">
        <v>235</v>
      </c>
      <c r="DS687" t="s">
        <v>183</v>
      </c>
      <c r="DT687" t="s">
        <v>211</v>
      </c>
      <c r="DU687" t="s">
        <v>298</v>
      </c>
      <c r="DW687" t="s">
        <v>2749</v>
      </c>
      <c r="DX687" t="s">
        <v>9667</v>
      </c>
      <c r="DY687" t="s">
        <v>302</v>
      </c>
      <c r="DZ687" t="s">
        <v>303</v>
      </c>
      <c r="EA687" t="s">
        <v>9668</v>
      </c>
      <c r="EB687" t="s">
        <v>436</v>
      </c>
      <c r="EC687" t="s">
        <v>183</v>
      </c>
      <c r="ED687" t="s">
        <v>211</v>
      </c>
      <c r="EE687" t="s">
        <v>493</v>
      </c>
      <c r="EG687" t="s">
        <v>9669</v>
      </c>
      <c r="EH687" t="s">
        <v>9670</v>
      </c>
      <c r="EI687" t="s">
        <v>238</v>
      </c>
      <c r="EJ687" t="s">
        <v>239</v>
      </c>
      <c r="EK687" t="s">
        <v>9671</v>
      </c>
      <c r="EL687" t="s">
        <v>278</v>
      </c>
      <c r="EM687" t="s">
        <v>183</v>
      </c>
      <c r="EN687" t="s">
        <v>211</v>
      </c>
      <c r="EO687" t="s">
        <v>493</v>
      </c>
      <c r="EQ687" t="s">
        <v>4832</v>
      </c>
      <c r="FA687" t="s">
        <v>198</v>
      </c>
      <c r="FK687" t="s">
        <v>198</v>
      </c>
      <c r="FU687" t="s">
        <v>198</v>
      </c>
    </row>
    <row r="688" spans="1:177">
      <c r="A688" s="1" t="str">
        <f>HYPERLINK("http://digipan.lumentumllc.com/apps/getLink/index.php?t=PropLink&amp;p=6129257","PL")</f>
        <v>PL</v>
      </c>
      <c r="B688" s="1" t="str">
        <f>HYPERLINK("http://digipan.lumentumllc.com/apps/getLink/index.php?t=TaxLink&amp;p=6129257","TL")</f>
        <v>TL</v>
      </c>
      <c r="C688" s="1" t="str">
        <f>HYPERLINK("http://digipan.lumentumllc.com/apps/getMap/index.php?p=6129257","Map")</f>
        <v>Map</v>
      </c>
      <c r="E688" t="s">
        <v>177</v>
      </c>
      <c r="F688" t="s">
        <v>178</v>
      </c>
      <c r="L688" t="s">
        <v>9672</v>
      </c>
      <c r="N688" t="s">
        <v>9672</v>
      </c>
      <c r="O688" t="s">
        <v>9672</v>
      </c>
      <c r="P688" t="s">
        <v>9673</v>
      </c>
      <c r="Q688" t="s">
        <v>9672</v>
      </c>
      <c r="V688">
        <v>790</v>
      </c>
      <c r="W688">
        <v>3</v>
      </c>
      <c r="X688">
        <v>2017</v>
      </c>
      <c r="Y688">
        <v>2018</v>
      </c>
      <c r="Z688">
        <v>18982.240000000002</v>
      </c>
      <c r="AB688" t="s">
        <v>181</v>
      </c>
      <c r="AC688" t="s">
        <v>182</v>
      </c>
      <c r="AD688" t="s">
        <v>183</v>
      </c>
      <c r="AE688">
        <v>0</v>
      </c>
      <c r="AF688">
        <v>2</v>
      </c>
      <c r="AG688" t="s">
        <v>216</v>
      </c>
      <c r="AH688">
        <v>100</v>
      </c>
      <c r="AK688">
        <v>0</v>
      </c>
      <c r="AL688">
        <v>1157435</v>
      </c>
      <c r="AM688">
        <v>308880</v>
      </c>
      <c r="AN688">
        <v>848555</v>
      </c>
      <c r="AO688">
        <v>17870</v>
      </c>
      <c r="AP688">
        <v>2016</v>
      </c>
      <c r="AQ688">
        <v>1.64</v>
      </c>
      <c r="AS688" t="s">
        <v>9674</v>
      </c>
      <c r="AT688" t="s">
        <v>3747</v>
      </c>
      <c r="AU688" t="s">
        <v>177</v>
      </c>
      <c r="AV688" t="s">
        <v>1030</v>
      </c>
      <c r="AW688" t="s">
        <v>182</v>
      </c>
      <c r="AX688">
        <v>38</v>
      </c>
      <c r="AY688" t="s">
        <v>3641</v>
      </c>
      <c r="AZ688" t="s">
        <v>9675</v>
      </c>
      <c r="BA688" t="s">
        <v>9676</v>
      </c>
      <c r="BB688" t="s">
        <v>191</v>
      </c>
      <c r="BC688" t="s">
        <v>182</v>
      </c>
      <c r="BD688" t="s">
        <v>182</v>
      </c>
      <c r="BE688" t="s">
        <v>9677</v>
      </c>
      <c r="BF688">
        <v>1</v>
      </c>
      <c r="BG688">
        <v>0</v>
      </c>
      <c r="BH688">
        <v>1971</v>
      </c>
      <c r="BI688" t="s">
        <v>9678</v>
      </c>
      <c r="BJ688" t="s">
        <v>194</v>
      </c>
      <c r="BK688" t="s">
        <v>840</v>
      </c>
      <c r="BL688" t="s">
        <v>9679</v>
      </c>
      <c r="BM688" t="s">
        <v>1041</v>
      </c>
      <c r="BN688" t="s">
        <v>182</v>
      </c>
      <c r="BO688" t="s">
        <v>198</v>
      </c>
      <c r="BP688" t="s">
        <v>198</v>
      </c>
      <c r="BQ688" t="s">
        <v>198</v>
      </c>
      <c r="BR688" t="s">
        <v>198</v>
      </c>
      <c r="BS688" t="s">
        <v>198</v>
      </c>
      <c r="BT688" t="s">
        <v>198</v>
      </c>
      <c r="BU688" t="s">
        <v>182</v>
      </c>
      <c r="BV688" t="s">
        <v>198</v>
      </c>
      <c r="BW688" t="s">
        <v>198</v>
      </c>
      <c r="BX688" t="s">
        <v>199</v>
      </c>
      <c r="BY688" t="s">
        <v>198</v>
      </c>
      <c r="BZ688" t="s">
        <v>199</v>
      </c>
      <c r="CA688" t="s">
        <v>199</v>
      </c>
      <c r="CB688" t="s">
        <v>9680</v>
      </c>
      <c r="CC688" t="s">
        <v>201</v>
      </c>
      <c r="CD688" t="s">
        <v>182</v>
      </c>
      <c r="CE688" t="s">
        <v>9681</v>
      </c>
      <c r="CF688" t="s">
        <v>1029</v>
      </c>
      <c r="CG688" t="s">
        <v>177</v>
      </c>
      <c r="CH688" t="s">
        <v>1030</v>
      </c>
      <c r="CI688" t="s">
        <v>9682</v>
      </c>
      <c r="CJ688" t="s">
        <v>6192</v>
      </c>
      <c r="CK688" t="s">
        <v>267</v>
      </c>
      <c r="CL688" t="s">
        <v>268</v>
      </c>
      <c r="CM688" t="s">
        <v>9683</v>
      </c>
      <c r="CN688" t="s">
        <v>235</v>
      </c>
      <c r="CO688" t="s">
        <v>183</v>
      </c>
      <c r="CP688" t="s">
        <v>211</v>
      </c>
      <c r="CQ688" t="s">
        <v>189</v>
      </c>
      <c r="CS688" t="s">
        <v>9684</v>
      </c>
      <c r="CT688" t="s">
        <v>9685</v>
      </c>
      <c r="CU688" t="s">
        <v>302</v>
      </c>
      <c r="CV688" t="s">
        <v>303</v>
      </c>
      <c r="CW688" t="s">
        <v>9686</v>
      </c>
      <c r="CX688" t="s">
        <v>235</v>
      </c>
      <c r="CY688" t="s">
        <v>183</v>
      </c>
      <c r="CZ688" t="s">
        <v>211</v>
      </c>
      <c r="DA688" t="s">
        <v>199</v>
      </c>
      <c r="DC688" t="s">
        <v>6165</v>
      </c>
      <c r="DM688" t="s">
        <v>198</v>
      </c>
      <c r="DW688" t="s">
        <v>198</v>
      </c>
      <c r="EG688" t="s">
        <v>198</v>
      </c>
      <c r="EQ688" t="s">
        <v>198</v>
      </c>
      <c r="FA688" t="s">
        <v>198</v>
      </c>
      <c r="FK688" t="s">
        <v>198</v>
      </c>
      <c r="FU688" t="s">
        <v>198</v>
      </c>
    </row>
    <row r="689" spans="1:177">
      <c r="A689" s="1" t="str">
        <f>HYPERLINK("http://digipan.lumentumllc.com/apps/getLink/index.php?t=PropLink&amp;p=5247346","PL")</f>
        <v>PL</v>
      </c>
      <c r="B689" s="1" t="str">
        <f>HYPERLINK("http://digipan.lumentumllc.com/apps/getLink/index.php?t=TaxLink&amp;p=5247346","TL")</f>
        <v>TL</v>
      </c>
      <c r="C689" s="1" t="str">
        <f>HYPERLINK("http://digipan.lumentumllc.com/apps/getMap/index.php?p=5247346","Map")</f>
        <v>Map</v>
      </c>
      <c r="E689" t="s">
        <v>177</v>
      </c>
      <c r="F689" t="s">
        <v>178</v>
      </c>
      <c r="L689" t="s">
        <v>9687</v>
      </c>
      <c r="N689" t="s">
        <v>9687</v>
      </c>
      <c r="O689" t="s">
        <v>9687</v>
      </c>
      <c r="P689" t="s">
        <v>9688</v>
      </c>
      <c r="Q689" t="s">
        <v>9687</v>
      </c>
      <c r="V689">
        <v>791</v>
      </c>
      <c r="W689">
        <v>3</v>
      </c>
      <c r="X689">
        <v>2017</v>
      </c>
      <c r="Y689">
        <v>2018</v>
      </c>
      <c r="Z689">
        <v>48.37</v>
      </c>
      <c r="AB689" t="s">
        <v>181</v>
      </c>
      <c r="AC689" t="s">
        <v>182</v>
      </c>
      <c r="AD689" t="s">
        <v>1037</v>
      </c>
      <c r="AE689">
        <v>7</v>
      </c>
      <c r="AF689">
        <v>0</v>
      </c>
      <c r="AG689" t="s">
        <v>1038</v>
      </c>
      <c r="AH689">
        <v>0</v>
      </c>
      <c r="AI689">
        <v>490.86</v>
      </c>
      <c r="AJ689">
        <v>336.01</v>
      </c>
      <c r="AK689">
        <v>826.87</v>
      </c>
      <c r="AL689">
        <v>1000</v>
      </c>
      <c r="AM689">
        <v>1000</v>
      </c>
      <c r="AN689">
        <v>0</v>
      </c>
      <c r="AO689">
        <v>15</v>
      </c>
      <c r="AP689">
        <v>2016</v>
      </c>
      <c r="AQ689">
        <v>4.84</v>
      </c>
      <c r="AR689">
        <v>82.69</v>
      </c>
      <c r="AS689" t="s">
        <v>9689</v>
      </c>
      <c r="AT689" t="s">
        <v>3747</v>
      </c>
      <c r="AU689" t="s">
        <v>177</v>
      </c>
      <c r="AV689" t="s">
        <v>1030</v>
      </c>
      <c r="AW689" t="s">
        <v>182</v>
      </c>
      <c r="AX689">
        <v>0</v>
      </c>
      <c r="AY689" t="s">
        <v>312</v>
      </c>
      <c r="AZ689" t="s">
        <v>199</v>
      </c>
      <c r="BA689" t="s">
        <v>313</v>
      </c>
      <c r="BB689" t="s">
        <v>191</v>
      </c>
      <c r="BC689" t="s">
        <v>182</v>
      </c>
      <c r="BD689" t="s">
        <v>182</v>
      </c>
      <c r="BE689" t="s">
        <v>478</v>
      </c>
      <c r="BF689">
        <v>0</v>
      </c>
      <c r="BG689">
        <v>0</v>
      </c>
      <c r="BH689">
        <v>0</v>
      </c>
      <c r="BI689" t="s">
        <v>199</v>
      </c>
      <c r="BJ689" t="s">
        <v>315</v>
      </c>
      <c r="BL689" t="s">
        <v>9690</v>
      </c>
      <c r="BM689" t="s">
        <v>1041</v>
      </c>
      <c r="BN689" t="s">
        <v>182</v>
      </c>
      <c r="BO689" t="s">
        <v>198</v>
      </c>
      <c r="BP689" t="s">
        <v>198</v>
      </c>
      <c r="BQ689" t="s">
        <v>198</v>
      </c>
      <c r="BR689" t="s">
        <v>198</v>
      </c>
      <c r="BS689" t="s">
        <v>198</v>
      </c>
      <c r="BT689" t="s">
        <v>198</v>
      </c>
      <c r="BU689" t="s">
        <v>182</v>
      </c>
      <c r="BV689" t="s">
        <v>198</v>
      </c>
      <c r="BW689" t="s">
        <v>198</v>
      </c>
      <c r="BX689" t="s">
        <v>199</v>
      </c>
      <c r="BY689" t="s">
        <v>198</v>
      </c>
      <c r="BZ689" t="s">
        <v>199</v>
      </c>
      <c r="CA689" t="s">
        <v>199</v>
      </c>
      <c r="CB689" t="s">
        <v>9691</v>
      </c>
      <c r="CC689" t="s">
        <v>201</v>
      </c>
      <c r="CD689" t="s">
        <v>182</v>
      </c>
      <c r="CE689" t="s">
        <v>9692</v>
      </c>
      <c r="CF689" t="s">
        <v>6417</v>
      </c>
      <c r="CG689" t="s">
        <v>9693</v>
      </c>
      <c r="CH689" t="s">
        <v>9694</v>
      </c>
      <c r="CI689" t="s">
        <v>9695</v>
      </c>
      <c r="CJ689" t="s">
        <v>4736</v>
      </c>
      <c r="CK689" t="s">
        <v>232</v>
      </c>
      <c r="CL689" t="s">
        <v>233</v>
      </c>
      <c r="CM689" t="s">
        <v>9696</v>
      </c>
      <c r="CN689" t="s">
        <v>482</v>
      </c>
      <c r="CO689" t="s">
        <v>5</v>
      </c>
      <c r="CP689" t="s">
        <v>266</v>
      </c>
      <c r="CS689" t="s">
        <v>198</v>
      </c>
      <c r="CT689" t="s">
        <v>9143</v>
      </c>
      <c r="CU689" t="s">
        <v>292</v>
      </c>
      <c r="CV689" t="s">
        <v>293</v>
      </c>
      <c r="CW689" t="s">
        <v>9697</v>
      </c>
      <c r="CX689" t="s">
        <v>482</v>
      </c>
      <c r="CY689" t="s">
        <v>183</v>
      </c>
      <c r="CZ689" t="s">
        <v>266</v>
      </c>
      <c r="DC689" t="s">
        <v>198</v>
      </c>
      <c r="DD689" t="s">
        <v>1693</v>
      </c>
      <c r="DE689" t="s">
        <v>267</v>
      </c>
      <c r="DF689" t="s">
        <v>268</v>
      </c>
      <c r="DG689" t="s">
        <v>9698</v>
      </c>
      <c r="DH689" t="s">
        <v>482</v>
      </c>
      <c r="DI689" t="s">
        <v>183</v>
      </c>
      <c r="DJ689" t="s">
        <v>266</v>
      </c>
      <c r="DM689" t="s">
        <v>198</v>
      </c>
      <c r="DN689" t="s">
        <v>6585</v>
      </c>
      <c r="DO689" t="s">
        <v>273</v>
      </c>
      <c r="DP689" t="s">
        <v>274</v>
      </c>
      <c r="DQ689" t="s">
        <v>9699</v>
      </c>
      <c r="DR689" t="s">
        <v>482</v>
      </c>
      <c r="DS689" t="s">
        <v>183</v>
      </c>
      <c r="DT689" t="s">
        <v>266</v>
      </c>
      <c r="DW689" t="s">
        <v>198</v>
      </c>
      <c r="DX689" t="s">
        <v>9700</v>
      </c>
      <c r="DY689" t="s">
        <v>302</v>
      </c>
      <c r="DZ689" t="s">
        <v>303</v>
      </c>
      <c r="EA689" t="s">
        <v>9701</v>
      </c>
      <c r="EB689" t="s">
        <v>1615</v>
      </c>
      <c r="EC689" t="s">
        <v>183</v>
      </c>
      <c r="ED689" t="s">
        <v>266</v>
      </c>
      <c r="EG689" t="s">
        <v>198</v>
      </c>
      <c r="EH689" t="s">
        <v>9702</v>
      </c>
      <c r="EI689" t="s">
        <v>238</v>
      </c>
      <c r="EJ689" t="s">
        <v>239</v>
      </c>
      <c r="EK689" t="s">
        <v>9703</v>
      </c>
      <c r="EL689" t="s">
        <v>482</v>
      </c>
      <c r="EM689" t="s">
        <v>183</v>
      </c>
      <c r="EN689" t="s">
        <v>266</v>
      </c>
      <c r="EQ689" t="s">
        <v>198</v>
      </c>
      <c r="ER689" t="s">
        <v>9704</v>
      </c>
      <c r="ES689" t="s">
        <v>346</v>
      </c>
      <c r="ET689" t="s">
        <v>347</v>
      </c>
      <c r="EU689" t="s">
        <v>9705</v>
      </c>
      <c r="EV689" t="s">
        <v>576</v>
      </c>
      <c r="EW689" t="s">
        <v>183</v>
      </c>
      <c r="EX689" t="s">
        <v>266</v>
      </c>
      <c r="FA689" t="s">
        <v>198</v>
      </c>
      <c r="FK689" t="s">
        <v>198</v>
      </c>
      <c r="FU689" t="s">
        <v>198</v>
      </c>
    </row>
    <row r="690" spans="1:177">
      <c r="A690" s="1" t="str">
        <f>HYPERLINK("http://digipan.lumentumllc.com/apps/getLink/index.php?t=PropLink&amp;p=15754825","PL")</f>
        <v>PL</v>
      </c>
      <c r="B690" s="1" t="str">
        <f>HYPERLINK("http://digipan.lumentumllc.com/apps/getLink/index.php?t=TaxLink&amp;p=15754825","TL")</f>
        <v>TL</v>
      </c>
      <c r="C690" s="1" t="str">
        <f>HYPERLINK("http://digipan.lumentumllc.com/apps/getMap/index.php?p=15754825","Map")</f>
        <v>Map</v>
      </c>
      <c r="E690" t="s">
        <v>177</v>
      </c>
      <c r="F690" t="s">
        <v>178</v>
      </c>
      <c r="L690" t="s">
        <v>9706</v>
      </c>
      <c r="N690" t="s">
        <v>9706</v>
      </c>
      <c r="O690" t="s">
        <v>9706</v>
      </c>
      <c r="Q690" t="s">
        <v>9706</v>
      </c>
      <c r="V690">
        <v>792</v>
      </c>
      <c r="W690">
        <v>3</v>
      </c>
      <c r="X690">
        <v>2017</v>
      </c>
      <c r="Y690">
        <v>2018</v>
      </c>
      <c r="Z690">
        <v>575.03</v>
      </c>
      <c r="AG690" t="s">
        <v>184</v>
      </c>
      <c r="AH690">
        <v>0</v>
      </c>
      <c r="AK690">
        <v>0</v>
      </c>
      <c r="AL690">
        <v>33168</v>
      </c>
      <c r="AM690">
        <v>18540</v>
      </c>
      <c r="AN690">
        <v>14628</v>
      </c>
      <c r="AO690">
        <v>287</v>
      </c>
      <c r="AP690">
        <v>2016</v>
      </c>
      <c r="AQ690">
        <v>1.73</v>
      </c>
      <c r="AS690" t="s">
        <v>9707</v>
      </c>
      <c r="AT690" t="s">
        <v>3747</v>
      </c>
      <c r="AU690" t="s">
        <v>177</v>
      </c>
      <c r="AV690" t="s">
        <v>1030</v>
      </c>
      <c r="AW690" t="s">
        <v>182</v>
      </c>
      <c r="AX690">
        <v>2</v>
      </c>
      <c r="AY690" t="s">
        <v>188</v>
      </c>
      <c r="AZ690" t="s">
        <v>189</v>
      </c>
      <c r="BA690" t="s">
        <v>190</v>
      </c>
      <c r="BB690" t="s">
        <v>191</v>
      </c>
      <c r="BC690" t="s">
        <v>182</v>
      </c>
      <c r="BD690" t="s">
        <v>182</v>
      </c>
      <c r="BE690" t="s">
        <v>9708</v>
      </c>
      <c r="BF690">
        <v>1</v>
      </c>
      <c r="BG690">
        <v>1</v>
      </c>
      <c r="BH690">
        <v>1989</v>
      </c>
      <c r="BI690" t="s">
        <v>4941</v>
      </c>
      <c r="BJ690" t="s">
        <v>194</v>
      </c>
      <c r="BK690" t="s">
        <v>195</v>
      </c>
      <c r="BL690" t="s">
        <v>9709</v>
      </c>
      <c r="BM690" t="s">
        <v>410</v>
      </c>
      <c r="BN690" t="s">
        <v>182</v>
      </c>
      <c r="BO690" t="s">
        <v>3012</v>
      </c>
      <c r="BP690" t="s">
        <v>9710</v>
      </c>
      <c r="BQ690" t="s">
        <v>581</v>
      </c>
      <c r="BR690" t="s">
        <v>643</v>
      </c>
      <c r="BS690" t="s">
        <v>198</v>
      </c>
      <c r="BT690" t="s">
        <v>9711</v>
      </c>
      <c r="BU690" t="s">
        <v>182</v>
      </c>
      <c r="BV690" t="s">
        <v>198</v>
      </c>
      <c r="BW690" t="s">
        <v>198</v>
      </c>
      <c r="BX690" t="s">
        <v>199</v>
      </c>
      <c r="BY690" t="s">
        <v>198</v>
      </c>
      <c r="BZ690" t="s">
        <v>199</v>
      </c>
      <c r="CA690" t="s">
        <v>199</v>
      </c>
      <c r="CB690" t="s">
        <v>9712</v>
      </c>
      <c r="CC690" t="s">
        <v>201</v>
      </c>
      <c r="CD690" t="s">
        <v>202</v>
      </c>
      <c r="CE690" t="s">
        <v>9713</v>
      </c>
      <c r="CF690" t="s">
        <v>1029</v>
      </c>
      <c r="CG690" t="s">
        <v>177</v>
      </c>
      <c r="CH690" t="s">
        <v>1030</v>
      </c>
      <c r="CI690" t="s">
        <v>9714</v>
      </c>
      <c r="CS690" t="s">
        <v>198</v>
      </c>
      <c r="DC690" t="s">
        <v>198</v>
      </c>
      <c r="DM690" t="s">
        <v>198</v>
      </c>
      <c r="DW690" t="s">
        <v>198</v>
      </c>
      <c r="EG690" t="s">
        <v>198</v>
      </c>
      <c r="EQ690" t="s">
        <v>198</v>
      </c>
      <c r="FA690" t="s">
        <v>198</v>
      </c>
      <c r="FK690" t="s">
        <v>198</v>
      </c>
      <c r="FU690" t="s">
        <v>198</v>
      </c>
    </row>
    <row r="691" spans="1:177">
      <c r="A691" s="1" t="str">
        <f>HYPERLINK("http://digipan.lumentumllc.com/apps/getLink/index.php?t=PropLink&amp;p=6594312","PL")</f>
        <v>PL</v>
      </c>
      <c r="B691" s="1" t="str">
        <f>HYPERLINK("http://digipan.lumentumllc.com/apps/getLink/index.php?t=TaxLink&amp;p=6594312","TL")</f>
        <v>TL</v>
      </c>
      <c r="C691" s="1" t="str">
        <f>HYPERLINK("http://digipan.lumentumllc.com/apps/getMap/index.php?p=6594312","Map")</f>
        <v>Map</v>
      </c>
      <c r="E691" t="s">
        <v>177</v>
      </c>
      <c r="F691" t="s">
        <v>178</v>
      </c>
      <c r="L691" t="s">
        <v>9715</v>
      </c>
      <c r="N691" t="s">
        <v>9715</v>
      </c>
      <c r="O691" t="s">
        <v>9715</v>
      </c>
      <c r="P691" t="s">
        <v>9716</v>
      </c>
      <c r="Q691" t="s">
        <v>9715</v>
      </c>
      <c r="V691">
        <v>793</v>
      </c>
      <c r="W691">
        <v>3</v>
      </c>
      <c r="X691">
        <v>2017</v>
      </c>
      <c r="Y691">
        <v>2018</v>
      </c>
      <c r="Z691">
        <v>793.29</v>
      </c>
      <c r="AB691" t="s">
        <v>181</v>
      </c>
      <c r="AC691" t="s">
        <v>182</v>
      </c>
      <c r="AD691" t="s">
        <v>183</v>
      </c>
      <c r="AE691">
        <v>0</v>
      </c>
      <c r="AF691">
        <v>4</v>
      </c>
      <c r="AG691" t="s">
        <v>744</v>
      </c>
      <c r="AH691">
        <v>100</v>
      </c>
      <c r="AK691">
        <v>0</v>
      </c>
      <c r="AL691">
        <v>146025</v>
      </c>
      <c r="AM691">
        <v>26032</v>
      </c>
      <c r="AN691">
        <v>119993</v>
      </c>
      <c r="AO691">
        <v>689</v>
      </c>
      <c r="AP691">
        <v>2016</v>
      </c>
      <c r="AQ691">
        <v>0.54</v>
      </c>
      <c r="AS691" t="s">
        <v>9717</v>
      </c>
      <c r="AT691" t="s">
        <v>3747</v>
      </c>
      <c r="AU691" t="s">
        <v>177</v>
      </c>
      <c r="AV691" t="s">
        <v>1030</v>
      </c>
      <c r="AW691" t="s">
        <v>202</v>
      </c>
      <c r="AX691">
        <v>50</v>
      </c>
      <c r="AY691" t="s">
        <v>218</v>
      </c>
      <c r="AZ691" t="s">
        <v>589</v>
      </c>
      <c r="BA691" t="s">
        <v>590</v>
      </c>
      <c r="BB691" t="s">
        <v>191</v>
      </c>
      <c r="BC691" t="s">
        <v>182</v>
      </c>
      <c r="BD691" t="s">
        <v>182</v>
      </c>
      <c r="BE691" t="s">
        <v>9718</v>
      </c>
      <c r="BF691">
        <v>1</v>
      </c>
      <c r="BG691">
        <v>1</v>
      </c>
      <c r="BH691">
        <v>1964</v>
      </c>
      <c r="BI691" t="s">
        <v>9719</v>
      </c>
      <c r="BJ691" t="s">
        <v>194</v>
      </c>
      <c r="BK691" t="s">
        <v>195</v>
      </c>
      <c r="BL691" t="s">
        <v>9720</v>
      </c>
      <c r="BM691" t="s">
        <v>3644</v>
      </c>
      <c r="BN691" t="s">
        <v>182</v>
      </c>
      <c r="BO691" t="s">
        <v>9721</v>
      </c>
      <c r="BP691" t="s">
        <v>9722</v>
      </c>
      <c r="BS691" t="s">
        <v>9723</v>
      </c>
      <c r="BT691" t="s">
        <v>198</v>
      </c>
      <c r="BU691" t="s">
        <v>182</v>
      </c>
      <c r="BV691" t="s">
        <v>198</v>
      </c>
      <c r="BW691" t="s">
        <v>198</v>
      </c>
      <c r="BX691" t="s">
        <v>199</v>
      </c>
      <c r="BY691" t="s">
        <v>198</v>
      </c>
      <c r="BZ691" t="s">
        <v>199</v>
      </c>
      <c r="CA691" t="s">
        <v>199</v>
      </c>
      <c r="CB691" t="s">
        <v>9724</v>
      </c>
      <c r="CC691" t="s">
        <v>201</v>
      </c>
      <c r="CD691" t="s">
        <v>182</v>
      </c>
      <c r="CE691" t="s">
        <v>9725</v>
      </c>
      <c r="CF691" t="s">
        <v>1029</v>
      </c>
      <c r="CG691" t="s">
        <v>177</v>
      </c>
      <c r="CH691" t="s">
        <v>1030</v>
      </c>
      <c r="CI691" t="s">
        <v>9726</v>
      </c>
      <c r="CJ691" t="s">
        <v>9387</v>
      </c>
      <c r="CK691" t="s">
        <v>232</v>
      </c>
      <c r="CL691" t="s">
        <v>233</v>
      </c>
      <c r="CM691" t="s">
        <v>9727</v>
      </c>
      <c r="CN691" t="s">
        <v>235</v>
      </c>
      <c r="CO691" t="s">
        <v>183</v>
      </c>
      <c r="CP691" t="s">
        <v>211</v>
      </c>
      <c r="CQ691" t="s">
        <v>250</v>
      </c>
      <c r="CS691" t="s">
        <v>9728</v>
      </c>
      <c r="CT691" t="s">
        <v>8676</v>
      </c>
      <c r="CU691" t="s">
        <v>292</v>
      </c>
      <c r="CV691" t="s">
        <v>293</v>
      </c>
      <c r="CW691" t="s">
        <v>9729</v>
      </c>
      <c r="CX691" t="s">
        <v>235</v>
      </c>
      <c r="CY691" t="s">
        <v>183</v>
      </c>
      <c r="CZ691" t="s">
        <v>211</v>
      </c>
      <c r="DA691" t="s">
        <v>487</v>
      </c>
      <c r="DC691" t="s">
        <v>9728</v>
      </c>
      <c r="DD691" t="s">
        <v>2632</v>
      </c>
      <c r="DE691" t="s">
        <v>267</v>
      </c>
      <c r="DF691" t="s">
        <v>268</v>
      </c>
      <c r="DG691" t="s">
        <v>9730</v>
      </c>
      <c r="DH691" t="s">
        <v>235</v>
      </c>
      <c r="DI691" t="s">
        <v>183</v>
      </c>
      <c r="DJ691" t="s">
        <v>211</v>
      </c>
      <c r="DK691" t="s">
        <v>298</v>
      </c>
      <c r="DM691" t="s">
        <v>459</v>
      </c>
      <c r="DN691" t="s">
        <v>6602</v>
      </c>
      <c r="DO691" t="s">
        <v>273</v>
      </c>
      <c r="DP691" t="s">
        <v>274</v>
      </c>
      <c r="DQ691" t="s">
        <v>9731</v>
      </c>
      <c r="DR691" t="s">
        <v>235</v>
      </c>
      <c r="DS691" t="s">
        <v>183</v>
      </c>
      <c r="DT691" t="s">
        <v>211</v>
      </c>
      <c r="DU691" t="s">
        <v>523</v>
      </c>
      <c r="DW691" t="s">
        <v>9732</v>
      </c>
      <c r="EG691" t="s">
        <v>198</v>
      </c>
      <c r="EQ691" t="s">
        <v>198</v>
      </c>
      <c r="FA691" t="s">
        <v>198</v>
      </c>
      <c r="FK691" t="s">
        <v>198</v>
      </c>
      <c r="FU691" t="s">
        <v>198</v>
      </c>
    </row>
    <row r="692" spans="1:177">
      <c r="A692" s="1" t="str">
        <f>HYPERLINK("http://digipan.lumentumllc.com/apps/getLink/index.php?t=PropLink&amp;p=6462021","PL")</f>
        <v>PL</v>
      </c>
      <c r="B692" s="1" t="str">
        <f>HYPERLINK("http://digipan.lumentumllc.com/apps/getLink/index.php?t=TaxLink&amp;p=6462021","TL")</f>
        <v>TL</v>
      </c>
      <c r="C692" s="1" t="str">
        <f>HYPERLINK("http://digipan.lumentumllc.com/apps/getMap/index.php?p=6462021","Map")</f>
        <v>Map</v>
      </c>
      <c r="E692" t="s">
        <v>177</v>
      </c>
      <c r="F692" t="s">
        <v>178</v>
      </c>
      <c r="L692" t="s">
        <v>9733</v>
      </c>
      <c r="N692" t="s">
        <v>9733</v>
      </c>
      <c r="O692" t="s">
        <v>9733</v>
      </c>
      <c r="P692" t="s">
        <v>9734</v>
      </c>
      <c r="Q692" t="s">
        <v>9733</v>
      </c>
      <c r="V692">
        <v>794</v>
      </c>
      <c r="W692">
        <v>3</v>
      </c>
      <c r="X692">
        <v>2017</v>
      </c>
      <c r="Y692">
        <v>2018</v>
      </c>
      <c r="Z692">
        <v>285.77</v>
      </c>
      <c r="AB692" t="s">
        <v>181</v>
      </c>
      <c r="AC692" t="s">
        <v>182</v>
      </c>
      <c r="AD692" t="s">
        <v>183</v>
      </c>
      <c r="AE692">
        <v>5</v>
      </c>
      <c r="AF692">
        <v>0</v>
      </c>
      <c r="AG692" t="s">
        <v>7313</v>
      </c>
      <c r="AH692">
        <v>0</v>
      </c>
      <c r="AI692">
        <v>1168.71</v>
      </c>
      <c r="AJ692">
        <v>357.36</v>
      </c>
      <c r="AK692">
        <v>1526.07</v>
      </c>
      <c r="AL692">
        <v>16800</v>
      </c>
      <c r="AM692">
        <v>16800</v>
      </c>
      <c r="AN692">
        <v>0</v>
      </c>
      <c r="AO692">
        <v>227</v>
      </c>
      <c r="AP692">
        <v>2016</v>
      </c>
      <c r="AQ692">
        <v>1.7</v>
      </c>
      <c r="AR692">
        <v>9.08</v>
      </c>
      <c r="AS692" t="s">
        <v>3209</v>
      </c>
      <c r="AT692" t="s">
        <v>3747</v>
      </c>
      <c r="AU692" t="s">
        <v>177</v>
      </c>
      <c r="AV692" t="s">
        <v>1030</v>
      </c>
      <c r="AW692" t="s">
        <v>182</v>
      </c>
      <c r="AX692">
        <v>0</v>
      </c>
      <c r="AY692" t="s">
        <v>312</v>
      </c>
      <c r="AZ692" t="s">
        <v>199</v>
      </c>
      <c r="BA692" t="s">
        <v>313</v>
      </c>
      <c r="BB692" t="s">
        <v>191</v>
      </c>
      <c r="BC692" t="s">
        <v>182</v>
      </c>
      <c r="BD692" t="s">
        <v>182</v>
      </c>
      <c r="BE692" t="s">
        <v>365</v>
      </c>
      <c r="BF692">
        <v>0</v>
      </c>
      <c r="BG692">
        <v>0</v>
      </c>
      <c r="BH692">
        <v>0</v>
      </c>
      <c r="BI692" t="s">
        <v>199</v>
      </c>
      <c r="BJ692" t="s">
        <v>315</v>
      </c>
      <c r="BL692" t="s">
        <v>9735</v>
      </c>
      <c r="BM692" t="s">
        <v>679</v>
      </c>
      <c r="BN692" t="s">
        <v>182</v>
      </c>
      <c r="BO692" t="s">
        <v>198</v>
      </c>
      <c r="BP692" t="s">
        <v>198</v>
      </c>
      <c r="BQ692" t="s">
        <v>198</v>
      </c>
      <c r="BR692" t="s">
        <v>198</v>
      </c>
      <c r="BS692" t="s">
        <v>198</v>
      </c>
      <c r="BT692" t="s">
        <v>198</v>
      </c>
      <c r="BU692" t="s">
        <v>182</v>
      </c>
      <c r="BV692" t="s">
        <v>198</v>
      </c>
      <c r="BW692" t="s">
        <v>198</v>
      </c>
      <c r="BX692" t="s">
        <v>199</v>
      </c>
      <c r="BY692" t="s">
        <v>198</v>
      </c>
      <c r="BZ692" t="s">
        <v>199</v>
      </c>
      <c r="CA692" t="s">
        <v>199</v>
      </c>
      <c r="CB692" t="s">
        <v>9736</v>
      </c>
      <c r="CC692" t="s">
        <v>201</v>
      </c>
      <c r="CD692" t="s">
        <v>182</v>
      </c>
      <c r="CE692" t="s">
        <v>9737</v>
      </c>
      <c r="CF692" t="s">
        <v>5331</v>
      </c>
      <c r="CG692" t="s">
        <v>177</v>
      </c>
      <c r="CH692" t="s">
        <v>371</v>
      </c>
      <c r="CI692" t="s">
        <v>9738</v>
      </c>
      <c r="CJ692" t="s">
        <v>9397</v>
      </c>
      <c r="CK692" t="s">
        <v>232</v>
      </c>
      <c r="CL692" t="s">
        <v>233</v>
      </c>
      <c r="CM692" t="s">
        <v>9739</v>
      </c>
      <c r="CN692" t="s">
        <v>1551</v>
      </c>
      <c r="CO692" t="s">
        <v>183</v>
      </c>
      <c r="CP692" t="s">
        <v>266</v>
      </c>
      <c r="CS692" t="s">
        <v>198</v>
      </c>
      <c r="CT692" t="s">
        <v>9740</v>
      </c>
      <c r="CU692" t="s">
        <v>292</v>
      </c>
      <c r="CV692" t="s">
        <v>293</v>
      </c>
      <c r="CW692" t="s">
        <v>9741</v>
      </c>
      <c r="CX692" t="s">
        <v>333</v>
      </c>
      <c r="CY692" t="s">
        <v>183</v>
      </c>
      <c r="CZ692" t="s">
        <v>266</v>
      </c>
      <c r="DC692" t="s">
        <v>198</v>
      </c>
      <c r="DD692" t="s">
        <v>6546</v>
      </c>
      <c r="DE692" t="s">
        <v>267</v>
      </c>
      <c r="DF692" t="s">
        <v>268</v>
      </c>
      <c r="DG692" t="s">
        <v>9742</v>
      </c>
      <c r="DH692" t="s">
        <v>247</v>
      </c>
      <c r="DI692" t="s">
        <v>183</v>
      </c>
      <c r="DJ692" t="s">
        <v>266</v>
      </c>
      <c r="DM692" t="s">
        <v>198</v>
      </c>
      <c r="DN692" t="s">
        <v>193</v>
      </c>
      <c r="DO692" t="s">
        <v>273</v>
      </c>
      <c r="DP692" t="s">
        <v>274</v>
      </c>
      <c r="DQ692" t="s">
        <v>9743</v>
      </c>
      <c r="DR692" t="s">
        <v>387</v>
      </c>
      <c r="DS692" t="s">
        <v>183</v>
      </c>
      <c r="DT692" t="s">
        <v>266</v>
      </c>
      <c r="DW692" t="s">
        <v>198</v>
      </c>
      <c r="DX692" t="s">
        <v>8560</v>
      </c>
      <c r="DY692" t="s">
        <v>302</v>
      </c>
      <c r="DZ692" t="s">
        <v>303</v>
      </c>
      <c r="EA692" t="s">
        <v>8905</v>
      </c>
      <c r="EB692" t="s">
        <v>341</v>
      </c>
      <c r="EC692" t="s">
        <v>183</v>
      </c>
      <c r="ED692" t="s">
        <v>266</v>
      </c>
      <c r="EG692" t="s">
        <v>198</v>
      </c>
      <c r="EQ692" t="s">
        <v>198</v>
      </c>
      <c r="FA692" t="s">
        <v>198</v>
      </c>
      <c r="FK692" t="s">
        <v>198</v>
      </c>
      <c r="FU692" t="s">
        <v>198</v>
      </c>
    </row>
    <row r="693" spans="1:177">
      <c r="A693" s="1" t="str">
        <f>HYPERLINK("http://digipan.lumentumllc.com/apps/getLink/index.php?t=PropLink&amp;p=7112519","PL")</f>
        <v>PL</v>
      </c>
      <c r="B693" s="1" t="str">
        <f>HYPERLINK("http://digipan.lumentumllc.com/apps/getLink/index.php?t=TaxLink&amp;p=7112519","TL")</f>
        <v>TL</v>
      </c>
      <c r="C693" s="1" t="str">
        <f>HYPERLINK("http://digipan.lumentumllc.com/apps/getMap/index.php?p=7112519","Map")</f>
        <v>Map</v>
      </c>
      <c r="E693" t="s">
        <v>177</v>
      </c>
      <c r="F693" t="s">
        <v>178</v>
      </c>
      <c r="L693" t="s">
        <v>9744</v>
      </c>
      <c r="N693" t="s">
        <v>9744</v>
      </c>
      <c r="O693" t="s">
        <v>9744</v>
      </c>
      <c r="P693" t="s">
        <v>9745</v>
      </c>
      <c r="Q693" t="s">
        <v>9744</v>
      </c>
      <c r="V693">
        <v>795</v>
      </c>
      <c r="W693">
        <v>3</v>
      </c>
      <c r="X693">
        <v>2017</v>
      </c>
      <c r="Y693">
        <v>2018</v>
      </c>
      <c r="Z693">
        <v>375.44</v>
      </c>
      <c r="AB693" t="s">
        <v>181</v>
      </c>
      <c r="AC693" t="s">
        <v>182</v>
      </c>
      <c r="AD693" t="s">
        <v>183</v>
      </c>
      <c r="AE693">
        <v>1</v>
      </c>
      <c r="AF693">
        <v>2</v>
      </c>
      <c r="AG693" t="s">
        <v>2222</v>
      </c>
      <c r="AH693">
        <v>50</v>
      </c>
      <c r="AI693">
        <v>325.83999999999997</v>
      </c>
      <c r="AJ693">
        <v>21.18</v>
      </c>
      <c r="AK693">
        <v>347.02</v>
      </c>
      <c r="AL693">
        <v>22500</v>
      </c>
      <c r="AM693">
        <v>22500</v>
      </c>
      <c r="AN693">
        <v>0</v>
      </c>
      <c r="AO693">
        <v>276</v>
      </c>
      <c r="AP693">
        <v>2016</v>
      </c>
      <c r="AQ693">
        <v>1.67</v>
      </c>
      <c r="AR693">
        <v>1.54</v>
      </c>
      <c r="AS693" t="s">
        <v>9746</v>
      </c>
      <c r="AT693" t="s">
        <v>3747</v>
      </c>
      <c r="AU693" t="s">
        <v>177</v>
      </c>
      <c r="AV693" t="s">
        <v>1030</v>
      </c>
      <c r="AW693" t="s">
        <v>182</v>
      </c>
      <c r="AX693">
        <v>0</v>
      </c>
      <c r="AY693" t="s">
        <v>312</v>
      </c>
      <c r="AZ693" t="s">
        <v>199</v>
      </c>
      <c r="BA693" t="s">
        <v>313</v>
      </c>
      <c r="BB693" t="s">
        <v>191</v>
      </c>
      <c r="BC693" t="s">
        <v>182</v>
      </c>
      <c r="BD693" t="s">
        <v>182</v>
      </c>
      <c r="BE693" t="s">
        <v>2589</v>
      </c>
      <c r="BF693">
        <v>0</v>
      </c>
      <c r="BG693">
        <v>0</v>
      </c>
      <c r="BH693">
        <v>0</v>
      </c>
      <c r="BI693" t="s">
        <v>199</v>
      </c>
      <c r="BJ693" t="s">
        <v>248</v>
      </c>
      <c r="BL693" t="s">
        <v>9747</v>
      </c>
      <c r="BM693" t="s">
        <v>207</v>
      </c>
      <c r="BN693" t="s">
        <v>182</v>
      </c>
      <c r="BO693" t="s">
        <v>198</v>
      </c>
      <c r="BP693" t="s">
        <v>198</v>
      </c>
      <c r="BQ693" t="s">
        <v>198</v>
      </c>
      <c r="BR693" t="s">
        <v>198</v>
      </c>
      <c r="BS693" t="s">
        <v>198</v>
      </c>
      <c r="BT693" t="s">
        <v>198</v>
      </c>
      <c r="BU693" t="s">
        <v>182</v>
      </c>
      <c r="BV693" t="s">
        <v>198</v>
      </c>
      <c r="BW693" t="s">
        <v>198</v>
      </c>
      <c r="BX693" t="s">
        <v>199</v>
      </c>
      <c r="BY693" t="s">
        <v>198</v>
      </c>
      <c r="BZ693" t="s">
        <v>199</v>
      </c>
      <c r="CA693" t="s">
        <v>199</v>
      </c>
      <c r="CB693" t="s">
        <v>9748</v>
      </c>
      <c r="CC693" t="s">
        <v>201</v>
      </c>
      <c r="CD693" t="s">
        <v>182</v>
      </c>
      <c r="CE693" t="s">
        <v>9749</v>
      </c>
      <c r="CF693" t="s">
        <v>1029</v>
      </c>
      <c r="CG693" t="s">
        <v>177</v>
      </c>
      <c r="CH693" t="s">
        <v>1030</v>
      </c>
      <c r="CI693" t="s">
        <v>9750</v>
      </c>
      <c r="CJ693" t="s">
        <v>6174</v>
      </c>
      <c r="CK693" t="s">
        <v>232</v>
      </c>
      <c r="CL693" t="s">
        <v>233</v>
      </c>
      <c r="CM693" t="s">
        <v>9751</v>
      </c>
      <c r="CN693" t="s">
        <v>688</v>
      </c>
      <c r="CO693" t="s">
        <v>183</v>
      </c>
      <c r="CP693" t="s">
        <v>266</v>
      </c>
      <c r="CS693" t="s">
        <v>198</v>
      </c>
      <c r="CT693" t="s">
        <v>9263</v>
      </c>
      <c r="CU693" t="s">
        <v>292</v>
      </c>
      <c r="CV693" t="s">
        <v>293</v>
      </c>
      <c r="CW693" t="s">
        <v>9752</v>
      </c>
      <c r="CX693" t="s">
        <v>333</v>
      </c>
      <c r="CY693" t="s">
        <v>183</v>
      </c>
      <c r="CZ693" t="s">
        <v>211</v>
      </c>
      <c r="DA693" t="s">
        <v>298</v>
      </c>
      <c r="DC693" t="s">
        <v>4023</v>
      </c>
      <c r="DD693" t="s">
        <v>6409</v>
      </c>
      <c r="DE693" t="s">
        <v>207</v>
      </c>
      <c r="DF693" t="s">
        <v>208</v>
      </c>
      <c r="DG693" t="s">
        <v>2389</v>
      </c>
      <c r="DH693" t="s">
        <v>576</v>
      </c>
      <c r="DI693" t="s">
        <v>183</v>
      </c>
      <c r="DJ693" t="s">
        <v>211</v>
      </c>
      <c r="DK693" t="s">
        <v>444</v>
      </c>
      <c r="DM693" t="s">
        <v>3032</v>
      </c>
      <c r="DW693" t="s">
        <v>198</v>
      </c>
      <c r="EG693" t="s">
        <v>198</v>
      </c>
      <c r="EQ693" t="s">
        <v>198</v>
      </c>
      <c r="FA693" t="s">
        <v>198</v>
      </c>
      <c r="FK693" t="s">
        <v>198</v>
      </c>
      <c r="FU693" t="s">
        <v>198</v>
      </c>
    </row>
    <row r="694" spans="1:177">
      <c r="A694" s="1" t="str">
        <f>HYPERLINK("http://digipan.lumentumllc.com/apps/getLink/index.php?t=PropLink&amp;p=6594313","PL")</f>
        <v>PL</v>
      </c>
      <c r="B694" s="1" t="str">
        <f>HYPERLINK("http://digipan.lumentumllc.com/apps/getLink/index.php?t=TaxLink&amp;p=6594313","TL")</f>
        <v>TL</v>
      </c>
      <c r="C694" s="1" t="str">
        <f>HYPERLINK("http://digipan.lumentumllc.com/apps/getMap/index.php?p=6594313","Map")</f>
        <v>Map</v>
      </c>
      <c r="E694" t="s">
        <v>177</v>
      </c>
      <c r="F694" t="s">
        <v>178</v>
      </c>
      <c r="L694" t="s">
        <v>9753</v>
      </c>
      <c r="N694" t="s">
        <v>9753</v>
      </c>
      <c r="O694" t="s">
        <v>9753</v>
      </c>
      <c r="P694" t="s">
        <v>9754</v>
      </c>
      <c r="Q694" t="s">
        <v>9753</v>
      </c>
      <c r="V694">
        <v>796</v>
      </c>
      <c r="W694">
        <v>3</v>
      </c>
      <c r="X694">
        <v>2017</v>
      </c>
      <c r="Y694">
        <v>2018</v>
      </c>
      <c r="Z694">
        <v>410.47</v>
      </c>
      <c r="AB694" t="s">
        <v>181</v>
      </c>
      <c r="AC694" t="s">
        <v>182</v>
      </c>
      <c r="AD694" t="s">
        <v>183</v>
      </c>
      <c r="AE694">
        <v>0</v>
      </c>
      <c r="AF694">
        <v>1</v>
      </c>
      <c r="AG694" t="s">
        <v>821</v>
      </c>
      <c r="AH694">
        <v>100</v>
      </c>
      <c r="AK694">
        <v>0</v>
      </c>
      <c r="AL694">
        <v>23643</v>
      </c>
      <c r="AM694">
        <v>15000</v>
      </c>
      <c r="AN694">
        <v>8643</v>
      </c>
      <c r="AO694">
        <v>317</v>
      </c>
      <c r="AP694">
        <v>2016</v>
      </c>
      <c r="AQ694">
        <v>1.74</v>
      </c>
      <c r="AS694" t="s">
        <v>9755</v>
      </c>
      <c r="AT694" t="s">
        <v>3747</v>
      </c>
      <c r="AU694" t="s">
        <v>177</v>
      </c>
      <c r="AV694" t="s">
        <v>1030</v>
      </c>
      <c r="AW694" t="s">
        <v>182</v>
      </c>
      <c r="AX694">
        <v>2</v>
      </c>
      <c r="AY694" t="s">
        <v>188</v>
      </c>
      <c r="AZ694" t="s">
        <v>189</v>
      </c>
      <c r="BA694" t="s">
        <v>190</v>
      </c>
      <c r="BB694" t="s">
        <v>191</v>
      </c>
      <c r="BC694" t="s">
        <v>182</v>
      </c>
      <c r="BD694" t="s">
        <v>182</v>
      </c>
      <c r="BE694" t="s">
        <v>9756</v>
      </c>
      <c r="BF694">
        <v>1</v>
      </c>
      <c r="BG694">
        <v>1</v>
      </c>
      <c r="BH694">
        <v>1973</v>
      </c>
      <c r="BI694" t="s">
        <v>4122</v>
      </c>
      <c r="BJ694" t="s">
        <v>194</v>
      </c>
      <c r="BK694" t="s">
        <v>195</v>
      </c>
      <c r="BL694" t="s">
        <v>9757</v>
      </c>
      <c r="BM694" t="s">
        <v>4554</v>
      </c>
      <c r="BN694" t="s">
        <v>182</v>
      </c>
      <c r="BO694" t="s">
        <v>198</v>
      </c>
      <c r="BP694" t="s">
        <v>198</v>
      </c>
      <c r="BQ694" t="s">
        <v>198</v>
      </c>
      <c r="BR694" t="s">
        <v>198</v>
      </c>
      <c r="BS694" t="s">
        <v>198</v>
      </c>
      <c r="BT694" t="s">
        <v>198</v>
      </c>
      <c r="BU694" t="s">
        <v>182</v>
      </c>
      <c r="BV694" t="s">
        <v>198</v>
      </c>
      <c r="BW694" t="s">
        <v>198</v>
      </c>
      <c r="BX694" t="s">
        <v>199</v>
      </c>
      <c r="BY694" t="s">
        <v>198</v>
      </c>
      <c r="BZ694" t="s">
        <v>199</v>
      </c>
      <c r="CA694" t="s">
        <v>199</v>
      </c>
      <c r="CB694" t="s">
        <v>9758</v>
      </c>
      <c r="CC694" t="s">
        <v>201</v>
      </c>
      <c r="CD694" t="s">
        <v>182</v>
      </c>
      <c r="CE694" t="s">
        <v>9759</v>
      </c>
      <c r="CF694" t="s">
        <v>9760</v>
      </c>
      <c r="CG694" t="s">
        <v>177</v>
      </c>
      <c r="CH694" t="s">
        <v>9761</v>
      </c>
      <c r="CI694" t="s">
        <v>9762</v>
      </c>
      <c r="CJ694" t="s">
        <v>6684</v>
      </c>
      <c r="CK694" t="s">
        <v>273</v>
      </c>
      <c r="CL694" t="s">
        <v>274</v>
      </c>
      <c r="CM694" t="s">
        <v>9763</v>
      </c>
      <c r="CN694" t="s">
        <v>1164</v>
      </c>
      <c r="CO694" t="s">
        <v>183</v>
      </c>
      <c r="CP694" t="s">
        <v>211</v>
      </c>
      <c r="CQ694" t="s">
        <v>206</v>
      </c>
      <c r="CS694" t="s">
        <v>9119</v>
      </c>
      <c r="DC694" t="s">
        <v>198</v>
      </c>
      <c r="DM694" t="s">
        <v>198</v>
      </c>
      <c r="DW694" t="s">
        <v>198</v>
      </c>
      <c r="EG694" t="s">
        <v>198</v>
      </c>
      <c r="EQ694" t="s">
        <v>198</v>
      </c>
      <c r="FA694" t="s">
        <v>198</v>
      </c>
      <c r="FK694" t="s">
        <v>198</v>
      </c>
      <c r="FU694" t="s">
        <v>198</v>
      </c>
    </row>
    <row r="695" spans="1:177">
      <c r="A695" s="1" t="str">
        <f>HYPERLINK("http://digipan.lumentumllc.com/apps/getLink/index.php?t=PropLink&amp;p=6594314","PL")</f>
        <v>PL</v>
      </c>
      <c r="B695" s="1" t="str">
        <f>HYPERLINK("http://digipan.lumentumllc.com/apps/getLink/index.php?t=TaxLink&amp;p=6594314","TL")</f>
        <v>TL</v>
      </c>
      <c r="C695" s="1" t="str">
        <f>HYPERLINK("http://digipan.lumentumllc.com/apps/getMap/index.php?p=6594314","Map")</f>
        <v>Map</v>
      </c>
      <c r="E695" t="s">
        <v>177</v>
      </c>
      <c r="F695" t="s">
        <v>178</v>
      </c>
      <c r="L695" t="s">
        <v>9764</v>
      </c>
      <c r="N695" t="s">
        <v>9764</v>
      </c>
      <c r="O695" t="s">
        <v>9764</v>
      </c>
      <c r="P695" t="s">
        <v>9765</v>
      </c>
      <c r="Q695" t="s">
        <v>9764</v>
      </c>
      <c r="V695">
        <v>797</v>
      </c>
      <c r="W695">
        <v>3</v>
      </c>
      <c r="X695">
        <v>2017</v>
      </c>
      <c r="Y695">
        <v>2018</v>
      </c>
      <c r="Z695">
        <v>1866.5</v>
      </c>
      <c r="AG695" t="s">
        <v>184</v>
      </c>
      <c r="AH695">
        <v>0</v>
      </c>
      <c r="AK695">
        <v>0</v>
      </c>
      <c r="AL695">
        <v>112047</v>
      </c>
      <c r="AM695">
        <v>13500</v>
      </c>
      <c r="AN695">
        <v>98547</v>
      </c>
      <c r="AO695">
        <v>1725</v>
      </c>
      <c r="AP695">
        <v>2016</v>
      </c>
      <c r="AQ695">
        <v>1.67</v>
      </c>
      <c r="AS695" t="s">
        <v>9766</v>
      </c>
      <c r="AT695" t="s">
        <v>3747</v>
      </c>
      <c r="AU695" t="s">
        <v>177</v>
      </c>
      <c r="AV695" t="s">
        <v>1030</v>
      </c>
      <c r="AW695" t="s">
        <v>182</v>
      </c>
      <c r="AX695">
        <v>1</v>
      </c>
      <c r="AY695" t="s">
        <v>188</v>
      </c>
      <c r="AZ695" t="s">
        <v>206</v>
      </c>
      <c r="BA695" t="s">
        <v>355</v>
      </c>
      <c r="BB695" t="s">
        <v>191</v>
      </c>
      <c r="BC695" t="s">
        <v>182</v>
      </c>
      <c r="BD695" t="s">
        <v>182</v>
      </c>
      <c r="BE695" t="s">
        <v>6557</v>
      </c>
      <c r="BF695">
        <v>1</v>
      </c>
      <c r="BG695">
        <v>1</v>
      </c>
      <c r="BH695">
        <v>1983</v>
      </c>
      <c r="BI695" t="s">
        <v>2902</v>
      </c>
      <c r="BJ695" t="s">
        <v>194</v>
      </c>
      <c r="BK695" t="s">
        <v>195</v>
      </c>
      <c r="BL695" t="s">
        <v>2801</v>
      </c>
      <c r="BM695" t="s">
        <v>1041</v>
      </c>
      <c r="BN695" t="s">
        <v>182</v>
      </c>
      <c r="BO695" t="s">
        <v>198</v>
      </c>
      <c r="BP695" t="s">
        <v>198</v>
      </c>
      <c r="BQ695" t="s">
        <v>198</v>
      </c>
      <c r="BR695" t="s">
        <v>198</v>
      </c>
      <c r="BS695" t="s">
        <v>198</v>
      </c>
      <c r="BT695" t="s">
        <v>198</v>
      </c>
      <c r="BU695" t="s">
        <v>182</v>
      </c>
      <c r="BV695" t="s">
        <v>198</v>
      </c>
      <c r="BW695" t="s">
        <v>198</v>
      </c>
      <c r="BX695" t="s">
        <v>199</v>
      </c>
      <c r="BY695" t="s">
        <v>198</v>
      </c>
      <c r="BZ695" t="s">
        <v>199</v>
      </c>
      <c r="CA695" t="s">
        <v>199</v>
      </c>
      <c r="CB695" t="s">
        <v>9680</v>
      </c>
      <c r="CC695" t="s">
        <v>201</v>
      </c>
      <c r="CD695" t="s">
        <v>182</v>
      </c>
      <c r="CE695" t="s">
        <v>9767</v>
      </c>
      <c r="CF695" t="s">
        <v>1029</v>
      </c>
      <c r="CG695" t="s">
        <v>177</v>
      </c>
      <c r="CH695" t="s">
        <v>1030</v>
      </c>
      <c r="CI695" t="s">
        <v>9768</v>
      </c>
      <c r="CS695" t="s">
        <v>198</v>
      </c>
      <c r="DC695" t="s">
        <v>198</v>
      </c>
      <c r="DM695" t="s">
        <v>198</v>
      </c>
      <c r="DW695" t="s">
        <v>198</v>
      </c>
      <c r="EG695" t="s">
        <v>198</v>
      </c>
      <c r="EQ695" t="s">
        <v>198</v>
      </c>
      <c r="FA695" t="s">
        <v>198</v>
      </c>
      <c r="FK695" t="s">
        <v>198</v>
      </c>
      <c r="FU695" t="s">
        <v>198</v>
      </c>
    </row>
    <row r="696" spans="1:177">
      <c r="A696" s="1" t="str">
        <f>HYPERLINK("http://digipan.lumentumllc.com/apps/getLink/index.php?t=PropLink&amp;p=5247358","PL")</f>
        <v>PL</v>
      </c>
      <c r="B696" s="1" t="str">
        <f>HYPERLINK("http://digipan.lumentumllc.com/apps/getLink/index.php?t=TaxLink&amp;p=5247358","TL")</f>
        <v>TL</v>
      </c>
      <c r="C696" s="1" t="str">
        <f>HYPERLINK("http://digipan.lumentumllc.com/apps/getMap/index.php?p=5247358","Map")</f>
        <v>Map</v>
      </c>
      <c r="E696" t="s">
        <v>177</v>
      </c>
      <c r="F696" t="s">
        <v>178</v>
      </c>
      <c r="L696" t="s">
        <v>9769</v>
      </c>
      <c r="N696" t="s">
        <v>9769</v>
      </c>
      <c r="O696" t="s">
        <v>9769</v>
      </c>
      <c r="P696" t="s">
        <v>9770</v>
      </c>
      <c r="Q696" t="s">
        <v>9769</v>
      </c>
      <c r="V696">
        <v>798</v>
      </c>
      <c r="W696">
        <v>3</v>
      </c>
      <c r="X696">
        <v>2017</v>
      </c>
      <c r="Y696">
        <v>2018</v>
      </c>
      <c r="Z696">
        <v>1306.78</v>
      </c>
      <c r="AB696" t="s">
        <v>181</v>
      </c>
      <c r="AC696" t="s">
        <v>182</v>
      </c>
      <c r="AD696" t="s">
        <v>183</v>
      </c>
      <c r="AE696">
        <v>1</v>
      </c>
      <c r="AF696">
        <v>4</v>
      </c>
      <c r="AG696" t="s">
        <v>951</v>
      </c>
      <c r="AH696">
        <v>80</v>
      </c>
      <c r="AI696">
        <v>1317.15</v>
      </c>
      <c r="AJ696">
        <v>65.86</v>
      </c>
      <c r="AK696">
        <v>1383.01</v>
      </c>
      <c r="AL696">
        <v>114424</v>
      </c>
      <c r="AM696">
        <v>20000</v>
      </c>
      <c r="AN696">
        <v>94424</v>
      </c>
      <c r="AO696">
        <v>1193</v>
      </c>
      <c r="AP696">
        <v>2016</v>
      </c>
      <c r="AQ696">
        <v>1.1399999999999999</v>
      </c>
      <c r="AR696">
        <v>1.21</v>
      </c>
      <c r="AS696" t="s">
        <v>9771</v>
      </c>
      <c r="AT696" t="s">
        <v>3747</v>
      </c>
      <c r="AU696" t="s">
        <v>177</v>
      </c>
      <c r="AV696" t="s">
        <v>1030</v>
      </c>
      <c r="AW696" t="s">
        <v>202</v>
      </c>
      <c r="AX696">
        <v>1</v>
      </c>
      <c r="AY696" t="s">
        <v>188</v>
      </c>
      <c r="AZ696" t="s">
        <v>206</v>
      </c>
      <c r="BA696" t="s">
        <v>355</v>
      </c>
      <c r="BB696" t="s">
        <v>191</v>
      </c>
      <c r="BC696" t="s">
        <v>182</v>
      </c>
      <c r="BD696" t="s">
        <v>182</v>
      </c>
      <c r="BE696" t="s">
        <v>6073</v>
      </c>
      <c r="BF696">
        <v>1</v>
      </c>
      <c r="BG696">
        <v>1</v>
      </c>
      <c r="BH696">
        <v>1992</v>
      </c>
      <c r="BI696" t="s">
        <v>9772</v>
      </c>
      <c r="BJ696" t="s">
        <v>194</v>
      </c>
      <c r="BK696" t="s">
        <v>195</v>
      </c>
      <c r="BL696" t="s">
        <v>199</v>
      </c>
      <c r="BM696" t="s">
        <v>286</v>
      </c>
      <c r="BN696" t="s">
        <v>182</v>
      </c>
      <c r="BO696" t="s">
        <v>198</v>
      </c>
      <c r="BP696" t="s">
        <v>198</v>
      </c>
      <c r="BQ696" t="s">
        <v>198</v>
      </c>
      <c r="BR696" t="s">
        <v>198</v>
      </c>
      <c r="BS696" t="s">
        <v>198</v>
      </c>
      <c r="BT696" t="s">
        <v>198</v>
      </c>
      <c r="BU696" t="s">
        <v>182</v>
      </c>
      <c r="BV696" t="s">
        <v>198</v>
      </c>
      <c r="BW696" t="s">
        <v>198</v>
      </c>
      <c r="BX696" t="s">
        <v>199</v>
      </c>
      <c r="BY696" t="s">
        <v>198</v>
      </c>
      <c r="BZ696" t="s">
        <v>199</v>
      </c>
      <c r="CA696" t="s">
        <v>199</v>
      </c>
      <c r="CB696" t="s">
        <v>9773</v>
      </c>
      <c r="CC696" t="s">
        <v>201</v>
      </c>
      <c r="CD696" t="s">
        <v>202</v>
      </c>
      <c r="CE696" t="s">
        <v>9774</v>
      </c>
      <c r="CF696" t="s">
        <v>1029</v>
      </c>
      <c r="CG696" t="s">
        <v>177</v>
      </c>
      <c r="CH696" t="s">
        <v>1030</v>
      </c>
      <c r="CI696" t="s">
        <v>9775</v>
      </c>
      <c r="CJ696" t="s">
        <v>1693</v>
      </c>
      <c r="CK696" t="s">
        <v>232</v>
      </c>
      <c r="CL696" t="s">
        <v>233</v>
      </c>
      <c r="CM696" t="s">
        <v>9776</v>
      </c>
      <c r="CN696" t="s">
        <v>235</v>
      </c>
      <c r="CO696" t="s">
        <v>183</v>
      </c>
      <c r="CP696" t="s">
        <v>266</v>
      </c>
      <c r="CS696" t="s">
        <v>198</v>
      </c>
      <c r="CT696" t="s">
        <v>6280</v>
      </c>
      <c r="CU696" t="s">
        <v>292</v>
      </c>
      <c r="CV696" t="s">
        <v>293</v>
      </c>
      <c r="CW696" t="s">
        <v>9777</v>
      </c>
      <c r="CX696" t="s">
        <v>235</v>
      </c>
      <c r="CY696" t="s">
        <v>183</v>
      </c>
      <c r="CZ696" t="s">
        <v>211</v>
      </c>
      <c r="DA696" t="s">
        <v>487</v>
      </c>
      <c r="DC696" t="s">
        <v>9778</v>
      </c>
      <c r="DD696" t="s">
        <v>9524</v>
      </c>
      <c r="DE696" t="s">
        <v>267</v>
      </c>
      <c r="DF696" t="s">
        <v>268</v>
      </c>
      <c r="DG696" t="s">
        <v>9779</v>
      </c>
      <c r="DH696" t="s">
        <v>235</v>
      </c>
      <c r="DI696" t="s">
        <v>183</v>
      </c>
      <c r="DJ696" t="s">
        <v>211</v>
      </c>
      <c r="DK696" t="s">
        <v>342</v>
      </c>
      <c r="DM696" t="s">
        <v>3805</v>
      </c>
      <c r="DN696" t="s">
        <v>9780</v>
      </c>
      <c r="DO696" t="s">
        <v>238</v>
      </c>
      <c r="DP696" t="s">
        <v>239</v>
      </c>
      <c r="DQ696" t="s">
        <v>9781</v>
      </c>
      <c r="DR696" t="s">
        <v>235</v>
      </c>
      <c r="DS696" t="s">
        <v>183</v>
      </c>
      <c r="DT696" t="s">
        <v>211</v>
      </c>
      <c r="DU696" t="s">
        <v>298</v>
      </c>
      <c r="DW696" t="s">
        <v>7527</v>
      </c>
      <c r="DX696" t="s">
        <v>6662</v>
      </c>
      <c r="DY696" t="s">
        <v>346</v>
      </c>
      <c r="DZ696" t="s">
        <v>347</v>
      </c>
      <c r="EA696" t="s">
        <v>9782</v>
      </c>
      <c r="EB696" t="s">
        <v>235</v>
      </c>
      <c r="EC696" t="s">
        <v>183</v>
      </c>
      <c r="ED696" t="s">
        <v>211</v>
      </c>
      <c r="EE696" t="s">
        <v>212</v>
      </c>
      <c r="EG696" t="s">
        <v>9783</v>
      </c>
      <c r="EQ696" t="s">
        <v>198</v>
      </c>
      <c r="FA696" t="s">
        <v>198</v>
      </c>
      <c r="FK696" t="s">
        <v>198</v>
      </c>
      <c r="FU696" t="s">
        <v>198</v>
      </c>
    </row>
    <row r="697" spans="1:177">
      <c r="A697" s="1" t="str">
        <f>HYPERLINK("http://digipan.lumentumllc.com/apps/getLink/index.php?t=PropLink&amp;p=4638237","PL")</f>
        <v>PL</v>
      </c>
      <c r="B697" s="1" t="str">
        <f>HYPERLINK("http://digipan.lumentumllc.com/apps/getLink/index.php?t=TaxLink&amp;p=4638237","TL")</f>
        <v>TL</v>
      </c>
      <c r="C697" s="1" t="str">
        <f>HYPERLINK("http://digipan.lumentumllc.com/apps/getMap/index.php?p=4638237","Map")</f>
        <v>Map</v>
      </c>
      <c r="E697" t="s">
        <v>177</v>
      </c>
      <c r="F697" t="s">
        <v>178</v>
      </c>
      <c r="L697" t="s">
        <v>9784</v>
      </c>
      <c r="N697" t="s">
        <v>9784</v>
      </c>
      <c r="O697" t="s">
        <v>9784</v>
      </c>
      <c r="P697" t="s">
        <v>9785</v>
      </c>
      <c r="Q697" t="s">
        <v>9784</v>
      </c>
      <c r="V697">
        <v>799</v>
      </c>
      <c r="W697">
        <v>3</v>
      </c>
      <c r="X697">
        <v>2017</v>
      </c>
      <c r="Y697">
        <v>2018</v>
      </c>
      <c r="Z697">
        <v>620.24</v>
      </c>
      <c r="AB697" t="s">
        <v>181</v>
      </c>
      <c r="AC697" t="s">
        <v>182</v>
      </c>
      <c r="AD697" t="s">
        <v>183</v>
      </c>
      <c r="AE697">
        <v>1</v>
      </c>
      <c r="AF697">
        <v>5</v>
      </c>
      <c r="AG697" t="s">
        <v>322</v>
      </c>
      <c r="AH697">
        <v>83</v>
      </c>
      <c r="AI697">
        <v>564.23</v>
      </c>
      <c r="AJ697">
        <v>28.21</v>
      </c>
      <c r="AK697">
        <v>592.44000000000005</v>
      </c>
      <c r="AL697">
        <v>36359</v>
      </c>
      <c r="AM697">
        <v>20000</v>
      </c>
      <c r="AN697">
        <v>16359</v>
      </c>
      <c r="AO697">
        <v>497</v>
      </c>
      <c r="AP697">
        <v>2016</v>
      </c>
      <c r="AQ697">
        <v>1.71</v>
      </c>
      <c r="AR697">
        <v>1.63</v>
      </c>
      <c r="AS697" t="s">
        <v>9786</v>
      </c>
      <c r="AT697" t="s">
        <v>3747</v>
      </c>
      <c r="AU697" t="s">
        <v>177</v>
      </c>
      <c r="AV697" t="s">
        <v>1030</v>
      </c>
      <c r="AW697" t="s">
        <v>182</v>
      </c>
      <c r="AX697">
        <v>1</v>
      </c>
      <c r="AY697" t="s">
        <v>188</v>
      </c>
      <c r="AZ697" t="s">
        <v>206</v>
      </c>
      <c r="BA697" t="s">
        <v>355</v>
      </c>
      <c r="BB697" t="s">
        <v>191</v>
      </c>
      <c r="BC697" t="s">
        <v>182</v>
      </c>
      <c r="BD697" t="s">
        <v>182</v>
      </c>
      <c r="BE697" t="s">
        <v>6085</v>
      </c>
      <c r="BF697">
        <v>1</v>
      </c>
      <c r="BG697">
        <v>1</v>
      </c>
      <c r="BH697">
        <v>1935</v>
      </c>
      <c r="BI697" t="s">
        <v>4941</v>
      </c>
      <c r="BJ697" t="s">
        <v>194</v>
      </c>
      <c r="BK697" t="s">
        <v>195</v>
      </c>
      <c r="BL697" t="s">
        <v>199</v>
      </c>
      <c r="BM697" t="s">
        <v>410</v>
      </c>
      <c r="BN697" t="s">
        <v>182</v>
      </c>
      <c r="BO697" t="s">
        <v>198</v>
      </c>
      <c r="BP697" t="s">
        <v>198</v>
      </c>
      <c r="BQ697" t="s">
        <v>198</v>
      </c>
      <c r="BR697" t="s">
        <v>198</v>
      </c>
      <c r="BS697" t="s">
        <v>198</v>
      </c>
      <c r="BT697" t="s">
        <v>198</v>
      </c>
      <c r="BU697" t="s">
        <v>182</v>
      </c>
      <c r="BV697" t="s">
        <v>198</v>
      </c>
      <c r="BW697" t="s">
        <v>198</v>
      </c>
      <c r="BX697" t="s">
        <v>199</v>
      </c>
      <c r="BY697" t="s">
        <v>198</v>
      </c>
      <c r="BZ697" t="s">
        <v>199</v>
      </c>
      <c r="CA697" t="s">
        <v>199</v>
      </c>
      <c r="CB697" t="s">
        <v>9787</v>
      </c>
      <c r="CC697" t="s">
        <v>201</v>
      </c>
      <c r="CD697" t="s">
        <v>202</v>
      </c>
      <c r="CE697" t="s">
        <v>9788</v>
      </c>
      <c r="CF697" t="s">
        <v>413</v>
      </c>
      <c r="CG697" t="s">
        <v>177</v>
      </c>
      <c r="CH697" t="s">
        <v>414</v>
      </c>
      <c r="CI697" t="s">
        <v>9789</v>
      </c>
      <c r="CJ697" t="s">
        <v>6338</v>
      </c>
      <c r="CK697" t="s">
        <v>232</v>
      </c>
      <c r="CL697" t="s">
        <v>233</v>
      </c>
      <c r="CM697" t="s">
        <v>9790</v>
      </c>
      <c r="CN697" t="s">
        <v>235</v>
      </c>
      <c r="CO697" t="s">
        <v>183</v>
      </c>
      <c r="CP697" t="s">
        <v>266</v>
      </c>
      <c r="CS697" t="s">
        <v>198</v>
      </c>
      <c r="CT697" t="s">
        <v>8783</v>
      </c>
      <c r="CU697" t="s">
        <v>292</v>
      </c>
      <c r="CV697" t="s">
        <v>293</v>
      </c>
      <c r="CW697" t="s">
        <v>9791</v>
      </c>
      <c r="CX697" t="s">
        <v>235</v>
      </c>
      <c r="CY697" t="s">
        <v>183</v>
      </c>
      <c r="CZ697" t="s">
        <v>211</v>
      </c>
      <c r="DA697" t="s">
        <v>298</v>
      </c>
      <c r="DC697" t="s">
        <v>1066</v>
      </c>
      <c r="DD697" t="s">
        <v>6493</v>
      </c>
      <c r="DE697" t="s">
        <v>267</v>
      </c>
      <c r="DF697" t="s">
        <v>268</v>
      </c>
      <c r="DG697" t="s">
        <v>9792</v>
      </c>
      <c r="DH697" t="s">
        <v>235</v>
      </c>
      <c r="DI697" t="s">
        <v>183</v>
      </c>
      <c r="DJ697" t="s">
        <v>211</v>
      </c>
      <c r="DK697" t="s">
        <v>337</v>
      </c>
      <c r="DM697" t="s">
        <v>3319</v>
      </c>
      <c r="DN697" t="s">
        <v>6717</v>
      </c>
      <c r="DO697" t="s">
        <v>273</v>
      </c>
      <c r="DP697" t="s">
        <v>274</v>
      </c>
      <c r="DQ697" t="s">
        <v>9793</v>
      </c>
      <c r="DR697" t="s">
        <v>514</v>
      </c>
      <c r="DS697" t="s">
        <v>183</v>
      </c>
      <c r="DT697" t="s">
        <v>211</v>
      </c>
      <c r="DU697" t="s">
        <v>345</v>
      </c>
      <c r="DW697" t="s">
        <v>9794</v>
      </c>
      <c r="DX697" t="s">
        <v>8658</v>
      </c>
      <c r="DY697" t="s">
        <v>302</v>
      </c>
      <c r="DZ697" t="s">
        <v>303</v>
      </c>
      <c r="EA697" t="s">
        <v>9795</v>
      </c>
      <c r="EB697" t="s">
        <v>436</v>
      </c>
      <c r="EC697" t="s">
        <v>183</v>
      </c>
      <c r="ED697" t="s">
        <v>211</v>
      </c>
      <c r="EE697" t="s">
        <v>345</v>
      </c>
      <c r="EG697" t="s">
        <v>2598</v>
      </c>
      <c r="EH697" t="s">
        <v>9796</v>
      </c>
      <c r="EI697" t="s">
        <v>238</v>
      </c>
      <c r="EJ697" t="s">
        <v>239</v>
      </c>
      <c r="EK697" t="s">
        <v>9797</v>
      </c>
      <c r="EL697" t="s">
        <v>331</v>
      </c>
      <c r="EM697" t="s">
        <v>183</v>
      </c>
      <c r="EN697" t="s">
        <v>211</v>
      </c>
      <c r="EO697" t="s">
        <v>345</v>
      </c>
      <c r="EQ697" t="s">
        <v>3388</v>
      </c>
      <c r="FA697" t="s">
        <v>198</v>
      </c>
      <c r="FK697" t="s">
        <v>198</v>
      </c>
      <c r="FU697" t="s">
        <v>198</v>
      </c>
    </row>
    <row r="698" spans="1:177">
      <c r="A698" s="1" t="str">
        <f>HYPERLINK("http://digipan.lumentumllc.com/apps/getLink/index.php?t=PropLink&amp;p=6886806","PL")</f>
        <v>PL</v>
      </c>
      <c r="B698" s="1" t="str">
        <f>HYPERLINK("http://digipan.lumentumllc.com/apps/getLink/index.php?t=TaxLink&amp;p=6886806","TL")</f>
        <v>TL</v>
      </c>
      <c r="C698" s="1" t="str">
        <f>HYPERLINK("http://digipan.lumentumllc.com/apps/getMap/index.php?p=6886806","Map")</f>
        <v>Map</v>
      </c>
      <c r="E698" t="s">
        <v>177</v>
      </c>
      <c r="F698" t="s">
        <v>178</v>
      </c>
      <c r="L698" t="s">
        <v>9798</v>
      </c>
      <c r="N698" t="s">
        <v>9798</v>
      </c>
      <c r="O698" t="s">
        <v>9798</v>
      </c>
      <c r="P698" t="s">
        <v>9799</v>
      </c>
      <c r="Q698" t="s">
        <v>9798</v>
      </c>
      <c r="V698">
        <v>801</v>
      </c>
      <c r="W698">
        <v>3</v>
      </c>
      <c r="X698">
        <v>2017</v>
      </c>
      <c r="Y698">
        <v>2018</v>
      </c>
      <c r="Z698">
        <v>1925.85</v>
      </c>
      <c r="AB698" t="s">
        <v>181</v>
      </c>
      <c r="AC698" t="s">
        <v>202</v>
      </c>
      <c r="AD698" t="s">
        <v>183</v>
      </c>
      <c r="AE698">
        <v>0</v>
      </c>
      <c r="AF698">
        <v>2</v>
      </c>
      <c r="AG698" t="s">
        <v>216</v>
      </c>
      <c r="AH698">
        <v>100</v>
      </c>
      <c r="AK698">
        <v>0</v>
      </c>
      <c r="AL698">
        <v>115673</v>
      </c>
      <c r="AM698">
        <v>20000</v>
      </c>
      <c r="AN698">
        <v>95673</v>
      </c>
      <c r="AO698">
        <v>1784</v>
      </c>
      <c r="AP698">
        <v>2016</v>
      </c>
      <c r="AQ698">
        <v>1.66</v>
      </c>
      <c r="AS698" t="s">
        <v>9800</v>
      </c>
      <c r="AT698" t="s">
        <v>3747</v>
      </c>
      <c r="AU698" t="s">
        <v>177</v>
      </c>
      <c r="AV698" t="s">
        <v>1030</v>
      </c>
      <c r="AW698" t="s">
        <v>182</v>
      </c>
      <c r="AX698">
        <v>1</v>
      </c>
      <c r="AY698" t="s">
        <v>188</v>
      </c>
      <c r="AZ698" t="s">
        <v>206</v>
      </c>
      <c r="BA698" t="s">
        <v>355</v>
      </c>
      <c r="BB698" t="s">
        <v>191</v>
      </c>
      <c r="BC698" t="s">
        <v>182</v>
      </c>
      <c r="BD698" t="s">
        <v>182</v>
      </c>
      <c r="BE698" t="s">
        <v>882</v>
      </c>
      <c r="BF698">
        <v>1</v>
      </c>
      <c r="BG698">
        <v>1</v>
      </c>
      <c r="BH698">
        <v>1973</v>
      </c>
      <c r="BI698" t="s">
        <v>9801</v>
      </c>
      <c r="BJ698" t="s">
        <v>194</v>
      </c>
      <c r="BK698" t="s">
        <v>195</v>
      </c>
      <c r="BL698" t="s">
        <v>1002</v>
      </c>
      <c r="BM698" t="s">
        <v>9802</v>
      </c>
      <c r="BN698" t="s">
        <v>182</v>
      </c>
      <c r="BO698" t="s">
        <v>9803</v>
      </c>
      <c r="BP698" t="s">
        <v>317</v>
      </c>
      <c r="BS698" t="s">
        <v>9804</v>
      </c>
      <c r="BT698" t="s">
        <v>198</v>
      </c>
      <c r="BU698" t="s">
        <v>182</v>
      </c>
      <c r="BV698" t="s">
        <v>198</v>
      </c>
      <c r="BW698" t="s">
        <v>198</v>
      </c>
      <c r="BX698" t="s">
        <v>199</v>
      </c>
      <c r="BY698" t="s">
        <v>198</v>
      </c>
      <c r="BZ698" t="s">
        <v>199</v>
      </c>
      <c r="CA698" t="s">
        <v>199</v>
      </c>
      <c r="CB698" t="s">
        <v>9805</v>
      </c>
      <c r="CC698" t="s">
        <v>201</v>
      </c>
      <c r="CD698" t="s">
        <v>202</v>
      </c>
      <c r="CE698" t="s">
        <v>9806</v>
      </c>
      <c r="CF698" t="s">
        <v>1029</v>
      </c>
      <c r="CG698" t="s">
        <v>177</v>
      </c>
      <c r="CH698" t="s">
        <v>1030</v>
      </c>
      <c r="CI698" t="s">
        <v>9807</v>
      </c>
      <c r="CJ698" t="s">
        <v>4736</v>
      </c>
      <c r="CK698" t="s">
        <v>292</v>
      </c>
      <c r="CL698" t="s">
        <v>293</v>
      </c>
      <c r="CM698" t="s">
        <v>9808</v>
      </c>
      <c r="CN698" t="s">
        <v>235</v>
      </c>
      <c r="CO698" t="s">
        <v>183</v>
      </c>
      <c r="CP698" t="s">
        <v>211</v>
      </c>
      <c r="CQ698" t="s">
        <v>270</v>
      </c>
      <c r="CR698" t="s">
        <v>271</v>
      </c>
      <c r="CS698" t="s">
        <v>338</v>
      </c>
      <c r="CT698" t="s">
        <v>8456</v>
      </c>
      <c r="CU698" t="s">
        <v>267</v>
      </c>
      <c r="CV698" t="s">
        <v>268</v>
      </c>
      <c r="CW698" t="s">
        <v>9079</v>
      </c>
      <c r="CX698" t="s">
        <v>235</v>
      </c>
      <c r="CY698" t="s">
        <v>183</v>
      </c>
      <c r="CZ698" t="s">
        <v>211</v>
      </c>
      <c r="DB698" t="s">
        <v>271</v>
      </c>
      <c r="DC698" t="s">
        <v>198</v>
      </c>
      <c r="DM698" t="s">
        <v>198</v>
      </c>
      <c r="DW698" t="s">
        <v>198</v>
      </c>
      <c r="EG698" t="s">
        <v>198</v>
      </c>
      <c r="EQ698" t="s">
        <v>198</v>
      </c>
      <c r="FA698" t="s">
        <v>198</v>
      </c>
      <c r="FK698" t="s">
        <v>198</v>
      </c>
      <c r="FU698" t="s">
        <v>198</v>
      </c>
    </row>
    <row r="699" spans="1:177">
      <c r="A699" s="1" t="str">
        <f>HYPERLINK("http://digipan.lumentumllc.com/apps/getLink/index.php?t=PropLink&amp;p=6129267","PL")</f>
        <v>PL</v>
      </c>
      <c r="B699" s="1" t="str">
        <f>HYPERLINK("http://digipan.lumentumllc.com/apps/getLink/index.php?t=TaxLink&amp;p=6129267","TL")</f>
        <v>TL</v>
      </c>
      <c r="C699" s="1" t="str">
        <f>HYPERLINK("http://digipan.lumentumllc.com/apps/getMap/index.php?p=6129267","Map")</f>
        <v>Map</v>
      </c>
      <c r="E699" t="s">
        <v>177</v>
      </c>
      <c r="F699" t="s">
        <v>178</v>
      </c>
      <c r="L699" t="s">
        <v>9809</v>
      </c>
      <c r="N699" t="s">
        <v>9809</v>
      </c>
      <c r="O699" t="s">
        <v>9809</v>
      </c>
      <c r="P699" t="s">
        <v>9810</v>
      </c>
      <c r="Q699" t="s">
        <v>9809</v>
      </c>
      <c r="V699">
        <v>802</v>
      </c>
      <c r="W699">
        <v>3</v>
      </c>
      <c r="X699">
        <v>2017</v>
      </c>
      <c r="Y699">
        <v>2018</v>
      </c>
      <c r="Z699">
        <v>951.26</v>
      </c>
      <c r="AG699" t="s">
        <v>184</v>
      </c>
      <c r="AH699">
        <v>0</v>
      </c>
      <c r="AK699">
        <v>0</v>
      </c>
      <c r="AL699">
        <v>115136</v>
      </c>
      <c r="AM699">
        <v>20000</v>
      </c>
      <c r="AN699">
        <v>95136</v>
      </c>
      <c r="AO699">
        <v>834</v>
      </c>
      <c r="AP699">
        <v>2016</v>
      </c>
      <c r="AQ699">
        <v>0.83</v>
      </c>
      <c r="AS699" t="s">
        <v>9811</v>
      </c>
      <c r="AT699" t="s">
        <v>3747</v>
      </c>
      <c r="AU699" t="s">
        <v>177</v>
      </c>
      <c r="AV699" t="s">
        <v>1030</v>
      </c>
      <c r="AW699" t="s">
        <v>202</v>
      </c>
      <c r="AX699">
        <v>1</v>
      </c>
      <c r="AY699" t="s">
        <v>188</v>
      </c>
      <c r="AZ699" t="s">
        <v>206</v>
      </c>
      <c r="BA699" t="s">
        <v>355</v>
      </c>
      <c r="BB699" t="s">
        <v>191</v>
      </c>
      <c r="BC699" t="s">
        <v>182</v>
      </c>
      <c r="BD699" t="s">
        <v>182</v>
      </c>
      <c r="BE699" t="s">
        <v>9812</v>
      </c>
      <c r="BF699">
        <v>1</v>
      </c>
      <c r="BG699">
        <v>1</v>
      </c>
      <c r="BH699">
        <v>1972</v>
      </c>
      <c r="BI699" t="s">
        <v>9813</v>
      </c>
      <c r="BJ699" t="s">
        <v>194</v>
      </c>
      <c r="BK699" t="s">
        <v>195</v>
      </c>
      <c r="BL699" t="s">
        <v>9814</v>
      </c>
      <c r="BM699" t="s">
        <v>1311</v>
      </c>
      <c r="BN699" t="s">
        <v>182</v>
      </c>
      <c r="BO699" t="s">
        <v>9815</v>
      </c>
      <c r="BP699" t="s">
        <v>9816</v>
      </c>
      <c r="BQ699" t="s">
        <v>2227</v>
      </c>
      <c r="BR699" t="s">
        <v>563</v>
      </c>
      <c r="BS699" t="s">
        <v>9817</v>
      </c>
      <c r="BT699" t="s">
        <v>1405</v>
      </c>
      <c r="BU699" t="s">
        <v>182</v>
      </c>
      <c r="BV699" t="s">
        <v>198</v>
      </c>
      <c r="BW699" t="s">
        <v>198</v>
      </c>
      <c r="BX699" t="s">
        <v>199</v>
      </c>
      <c r="BY699" t="s">
        <v>198</v>
      </c>
      <c r="BZ699" t="s">
        <v>199</v>
      </c>
      <c r="CA699" t="s">
        <v>199</v>
      </c>
      <c r="CB699" t="s">
        <v>9818</v>
      </c>
      <c r="CC699" t="s">
        <v>201</v>
      </c>
      <c r="CD699" t="s">
        <v>182</v>
      </c>
      <c r="CE699" t="s">
        <v>9819</v>
      </c>
      <c r="CF699" t="s">
        <v>1029</v>
      </c>
      <c r="CG699" t="s">
        <v>177</v>
      </c>
      <c r="CH699" t="s">
        <v>1030</v>
      </c>
      <c r="CI699" t="s">
        <v>2915</v>
      </c>
      <c r="CS699" t="s">
        <v>198</v>
      </c>
      <c r="DC699" t="s">
        <v>198</v>
      </c>
      <c r="DM699" t="s">
        <v>198</v>
      </c>
      <c r="DW699" t="s">
        <v>198</v>
      </c>
      <c r="EG699" t="s">
        <v>198</v>
      </c>
      <c r="EQ699" t="s">
        <v>198</v>
      </c>
      <c r="FA699" t="s">
        <v>198</v>
      </c>
      <c r="FK699" t="s">
        <v>198</v>
      </c>
      <c r="FU699" t="s">
        <v>198</v>
      </c>
    </row>
    <row r="700" spans="1:177">
      <c r="A700" s="1" t="str">
        <f>HYPERLINK("http://digipan.lumentumllc.com/apps/getLink/index.php?t=PropLink&amp;p=5247371","PL")</f>
        <v>PL</v>
      </c>
      <c r="B700" s="1" t="str">
        <f>HYPERLINK("http://digipan.lumentumllc.com/apps/getLink/index.php?t=TaxLink&amp;p=5247371","TL")</f>
        <v>TL</v>
      </c>
      <c r="C700" s="1" t="str">
        <f>HYPERLINK("http://digipan.lumentumllc.com/apps/getMap/index.php?p=5247371","Map")</f>
        <v>Map</v>
      </c>
      <c r="E700" t="s">
        <v>177</v>
      </c>
      <c r="F700" t="s">
        <v>178</v>
      </c>
      <c r="L700" t="s">
        <v>9820</v>
      </c>
      <c r="N700" t="s">
        <v>9820</v>
      </c>
      <c r="O700" t="s">
        <v>9820</v>
      </c>
      <c r="P700" t="s">
        <v>9821</v>
      </c>
      <c r="Q700" t="s">
        <v>9820</v>
      </c>
      <c r="V700">
        <v>803</v>
      </c>
      <c r="W700">
        <v>3</v>
      </c>
      <c r="X700">
        <v>2017</v>
      </c>
      <c r="Y700">
        <v>2018</v>
      </c>
      <c r="Z700">
        <v>352.88</v>
      </c>
      <c r="AB700" t="s">
        <v>181</v>
      </c>
      <c r="AC700" t="s">
        <v>182</v>
      </c>
      <c r="AD700" t="s">
        <v>183</v>
      </c>
      <c r="AE700">
        <v>1</v>
      </c>
      <c r="AF700">
        <v>6</v>
      </c>
      <c r="AG700" t="s">
        <v>322</v>
      </c>
      <c r="AH700">
        <v>83</v>
      </c>
      <c r="AI700">
        <v>337.15</v>
      </c>
      <c r="AJ700">
        <v>16.86</v>
      </c>
      <c r="AK700">
        <v>354.01</v>
      </c>
      <c r="AL700">
        <v>50888</v>
      </c>
      <c r="AM700">
        <v>20000</v>
      </c>
      <c r="AN700">
        <v>30888</v>
      </c>
      <c r="AO700">
        <v>287</v>
      </c>
      <c r="AP700">
        <v>2016</v>
      </c>
      <c r="AQ700">
        <v>0.69</v>
      </c>
      <c r="AR700">
        <v>0.7</v>
      </c>
      <c r="AS700" t="s">
        <v>9822</v>
      </c>
      <c r="AT700" t="s">
        <v>3747</v>
      </c>
      <c r="AU700" t="s">
        <v>177</v>
      </c>
      <c r="AV700" t="s">
        <v>1030</v>
      </c>
      <c r="AW700" t="s">
        <v>202</v>
      </c>
      <c r="AX700">
        <v>2</v>
      </c>
      <c r="AY700" t="s">
        <v>188</v>
      </c>
      <c r="AZ700" t="s">
        <v>189</v>
      </c>
      <c r="BA700" t="s">
        <v>190</v>
      </c>
      <c r="BB700" t="s">
        <v>191</v>
      </c>
      <c r="BC700" t="s">
        <v>182</v>
      </c>
      <c r="BD700" t="s">
        <v>182</v>
      </c>
      <c r="BE700" t="s">
        <v>383</v>
      </c>
      <c r="BF700">
        <v>1</v>
      </c>
      <c r="BG700">
        <v>1</v>
      </c>
      <c r="BH700">
        <v>1997</v>
      </c>
      <c r="BI700" t="s">
        <v>1271</v>
      </c>
      <c r="BJ700" t="s">
        <v>194</v>
      </c>
      <c r="BK700" t="s">
        <v>195</v>
      </c>
      <c r="BL700" t="s">
        <v>199</v>
      </c>
      <c r="BM700" t="s">
        <v>1156</v>
      </c>
      <c r="BN700" t="s">
        <v>182</v>
      </c>
      <c r="BO700" t="s">
        <v>198</v>
      </c>
      <c r="BP700" t="s">
        <v>198</v>
      </c>
      <c r="BQ700" t="s">
        <v>198</v>
      </c>
      <c r="BR700" t="s">
        <v>198</v>
      </c>
      <c r="BS700" t="s">
        <v>198</v>
      </c>
      <c r="BT700" t="s">
        <v>198</v>
      </c>
      <c r="BU700" t="s">
        <v>182</v>
      </c>
      <c r="BV700" t="s">
        <v>198</v>
      </c>
      <c r="BW700" t="s">
        <v>198</v>
      </c>
      <c r="BX700" t="s">
        <v>199</v>
      </c>
      <c r="BY700" t="s">
        <v>198</v>
      </c>
      <c r="BZ700" t="s">
        <v>199</v>
      </c>
      <c r="CA700" t="s">
        <v>199</v>
      </c>
      <c r="CB700" t="s">
        <v>9823</v>
      </c>
      <c r="CC700" t="s">
        <v>201</v>
      </c>
      <c r="CD700" t="s">
        <v>182</v>
      </c>
      <c r="CE700" t="s">
        <v>9824</v>
      </c>
      <c r="CF700" t="s">
        <v>1029</v>
      </c>
      <c r="CG700" t="s">
        <v>177</v>
      </c>
      <c r="CH700" t="s">
        <v>1030</v>
      </c>
      <c r="CI700" t="s">
        <v>9825</v>
      </c>
      <c r="CJ700" t="s">
        <v>9524</v>
      </c>
      <c r="CK700" t="s">
        <v>232</v>
      </c>
      <c r="CL700" t="s">
        <v>233</v>
      </c>
      <c r="CM700" t="s">
        <v>9826</v>
      </c>
      <c r="CN700" t="s">
        <v>235</v>
      </c>
      <c r="CO700" t="s">
        <v>183</v>
      </c>
      <c r="CP700" t="s">
        <v>266</v>
      </c>
      <c r="CS700" t="s">
        <v>198</v>
      </c>
      <c r="CT700" t="s">
        <v>1693</v>
      </c>
      <c r="CU700" t="s">
        <v>292</v>
      </c>
      <c r="CV700" t="s">
        <v>293</v>
      </c>
      <c r="CW700" t="s">
        <v>9827</v>
      </c>
      <c r="CX700" t="s">
        <v>235</v>
      </c>
      <c r="CY700" t="s">
        <v>183</v>
      </c>
      <c r="CZ700" t="s">
        <v>211</v>
      </c>
      <c r="DA700" t="s">
        <v>460</v>
      </c>
      <c r="DC700" t="s">
        <v>9828</v>
      </c>
      <c r="DD700" t="s">
        <v>6544</v>
      </c>
      <c r="DE700" t="s">
        <v>267</v>
      </c>
      <c r="DF700" t="s">
        <v>268</v>
      </c>
      <c r="DG700" t="s">
        <v>9829</v>
      </c>
      <c r="DH700" t="s">
        <v>235</v>
      </c>
      <c r="DI700" t="s">
        <v>183</v>
      </c>
      <c r="DJ700" t="s">
        <v>211</v>
      </c>
      <c r="DK700" t="s">
        <v>329</v>
      </c>
      <c r="DM700" t="s">
        <v>462</v>
      </c>
      <c r="DN700" t="s">
        <v>6951</v>
      </c>
      <c r="DO700" t="s">
        <v>273</v>
      </c>
      <c r="DP700" t="s">
        <v>274</v>
      </c>
      <c r="DQ700" t="s">
        <v>9830</v>
      </c>
      <c r="DR700" t="s">
        <v>235</v>
      </c>
      <c r="DS700" t="s">
        <v>183</v>
      </c>
      <c r="DT700" t="s">
        <v>211</v>
      </c>
      <c r="DU700" t="s">
        <v>329</v>
      </c>
      <c r="DW700" t="s">
        <v>8149</v>
      </c>
      <c r="DX700" t="s">
        <v>7196</v>
      </c>
      <c r="DY700" t="s">
        <v>302</v>
      </c>
      <c r="DZ700" t="s">
        <v>303</v>
      </c>
      <c r="EA700" t="s">
        <v>9831</v>
      </c>
      <c r="EB700" t="s">
        <v>1341</v>
      </c>
      <c r="EC700" t="s">
        <v>183</v>
      </c>
      <c r="ED700" t="s">
        <v>211</v>
      </c>
      <c r="EE700" t="s">
        <v>329</v>
      </c>
      <c r="EG700" t="s">
        <v>3277</v>
      </c>
      <c r="EH700" t="s">
        <v>2563</v>
      </c>
      <c r="EI700" t="s">
        <v>346</v>
      </c>
      <c r="EJ700" t="s">
        <v>347</v>
      </c>
      <c r="EK700" t="s">
        <v>9832</v>
      </c>
      <c r="EL700" t="s">
        <v>1551</v>
      </c>
      <c r="EM700" t="s">
        <v>183</v>
      </c>
      <c r="EN700" t="s">
        <v>211</v>
      </c>
      <c r="EO700" t="s">
        <v>290</v>
      </c>
      <c r="EQ700" t="s">
        <v>9833</v>
      </c>
      <c r="ER700" t="s">
        <v>9834</v>
      </c>
      <c r="ES700" t="s">
        <v>207</v>
      </c>
      <c r="ET700" t="s">
        <v>208</v>
      </c>
      <c r="EU700" t="s">
        <v>9835</v>
      </c>
      <c r="EV700" t="s">
        <v>576</v>
      </c>
      <c r="EW700" t="s">
        <v>183</v>
      </c>
      <c r="EX700" t="s">
        <v>211</v>
      </c>
      <c r="EY700" t="s">
        <v>296</v>
      </c>
      <c r="FA700" t="s">
        <v>9836</v>
      </c>
      <c r="FK700" t="s">
        <v>198</v>
      </c>
      <c r="FU700" t="s">
        <v>198</v>
      </c>
    </row>
    <row r="701" spans="1:177">
      <c r="A701" s="1" t="str">
        <f>HYPERLINK("http://digipan.lumentumllc.com/apps/getLink/index.php?t=PropLink&amp;p=6129268","PL")</f>
        <v>PL</v>
      </c>
      <c r="B701" s="1" t="str">
        <f>HYPERLINK("http://digipan.lumentumllc.com/apps/getLink/index.php?t=TaxLink&amp;p=6129268","TL")</f>
        <v>TL</v>
      </c>
      <c r="C701" s="1" t="str">
        <f>HYPERLINK("http://digipan.lumentumllc.com/apps/getMap/index.php?p=6129268","Map")</f>
        <v>Map</v>
      </c>
      <c r="E701" t="s">
        <v>177</v>
      </c>
      <c r="F701" t="s">
        <v>178</v>
      </c>
      <c r="L701" t="s">
        <v>9837</v>
      </c>
      <c r="N701" t="s">
        <v>9837</v>
      </c>
      <c r="O701" t="s">
        <v>9837</v>
      </c>
      <c r="P701" t="s">
        <v>9838</v>
      </c>
      <c r="Q701" t="s">
        <v>9837</v>
      </c>
      <c r="V701">
        <v>804</v>
      </c>
      <c r="W701">
        <v>3</v>
      </c>
      <c r="X701">
        <v>2017</v>
      </c>
      <c r="Y701">
        <v>2018</v>
      </c>
      <c r="Z701">
        <v>359.45</v>
      </c>
      <c r="AB701" t="s">
        <v>181</v>
      </c>
      <c r="AC701" t="s">
        <v>182</v>
      </c>
      <c r="AD701" t="s">
        <v>183</v>
      </c>
      <c r="AE701">
        <v>0</v>
      </c>
      <c r="AF701">
        <v>2</v>
      </c>
      <c r="AG701" t="s">
        <v>216</v>
      </c>
      <c r="AH701">
        <v>100</v>
      </c>
      <c r="AK701">
        <v>0</v>
      </c>
      <c r="AL701">
        <v>20000</v>
      </c>
      <c r="AM701">
        <v>20000</v>
      </c>
      <c r="AN701">
        <v>0</v>
      </c>
      <c r="AO701">
        <v>307</v>
      </c>
      <c r="AP701">
        <v>2016</v>
      </c>
      <c r="AQ701">
        <v>1.8</v>
      </c>
      <c r="AS701" t="s">
        <v>9839</v>
      </c>
      <c r="AT701" t="s">
        <v>3747</v>
      </c>
      <c r="AU701" t="s">
        <v>177</v>
      </c>
      <c r="AV701" t="s">
        <v>1030</v>
      </c>
      <c r="AW701" t="s">
        <v>182</v>
      </c>
      <c r="AX701">
        <v>0</v>
      </c>
      <c r="AY701" t="s">
        <v>312</v>
      </c>
      <c r="AZ701" t="s">
        <v>199</v>
      </c>
      <c r="BA701" t="s">
        <v>313</v>
      </c>
      <c r="BB701" t="s">
        <v>191</v>
      </c>
      <c r="BC701" t="s">
        <v>182</v>
      </c>
      <c r="BD701" t="s">
        <v>182</v>
      </c>
      <c r="BE701" t="s">
        <v>2393</v>
      </c>
      <c r="BF701">
        <v>0</v>
      </c>
      <c r="BG701">
        <v>0</v>
      </c>
      <c r="BH701">
        <v>0</v>
      </c>
      <c r="BI701" t="s">
        <v>199</v>
      </c>
      <c r="BJ701" t="s">
        <v>315</v>
      </c>
      <c r="BL701" t="s">
        <v>199</v>
      </c>
      <c r="BM701" t="s">
        <v>1311</v>
      </c>
      <c r="BN701" t="s">
        <v>182</v>
      </c>
      <c r="BO701" t="s">
        <v>198</v>
      </c>
      <c r="BP701" t="s">
        <v>198</v>
      </c>
      <c r="BQ701" t="s">
        <v>198</v>
      </c>
      <c r="BR701" t="s">
        <v>198</v>
      </c>
      <c r="BS701" t="s">
        <v>198</v>
      </c>
      <c r="BT701" t="s">
        <v>198</v>
      </c>
      <c r="BU701" t="s">
        <v>182</v>
      </c>
      <c r="BV701" t="s">
        <v>198</v>
      </c>
      <c r="BW701" t="s">
        <v>198</v>
      </c>
      <c r="BX701" t="s">
        <v>199</v>
      </c>
      <c r="BY701" t="s">
        <v>198</v>
      </c>
      <c r="BZ701" t="s">
        <v>199</v>
      </c>
      <c r="CA701" t="s">
        <v>199</v>
      </c>
      <c r="CB701" t="s">
        <v>9840</v>
      </c>
      <c r="CC701" t="s">
        <v>201</v>
      </c>
      <c r="CD701" t="s">
        <v>182</v>
      </c>
      <c r="CE701" t="s">
        <v>7878</v>
      </c>
      <c r="CF701" t="s">
        <v>204</v>
      </c>
      <c r="CG701" t="s">
        <v>177</v>
      </c>
      <c r="CH701" t="s">
        <v>187</v>
      </c>
      <c r="CI701" t="s">
        <v>7271</v>
      </c>
      <c r="CJ701" t="s">
        <v>6338</v>
      </c>
      <c r="CK701" t="s">
        <v>292</v>
      </c>
      <c r="CL701" t="s">
        <v>293</v>
      </c>
      <c r="CM701" t="s">
        <v>9841</v>
      </c>
      <c r="CN701" t="s">
        <v>387</v>
      </c>
      <c r="CO701" t="s">
        <v>183</v>
      </c>
      <c r="CP701" t="s">
        <v>211</v>
      </c>
      <c r="CQ701" t="s">
        <v>345</v>
      </c>
      <c r="CS701" t="s">
        <v>1088</v>
      </c>
      <c r="CT701" t="s">
        <v>9842</v>
      </c>
      <c r="CU701" t="s">
        <v>273</v>
      </c>
      <c r="CV701" t="s">
        <v>274</v>
      </c>
      <c r="CW701" t="s">
        <v>9843</v>
      </c>
      <c r="CX701" t="s">
        <v>1491</v>
      </c>
      <c r="CY701" t="s">
        <v>183</v>
      </c>
      <c r="CZ701" t="s">
        <v>211</v>
      </c>
      <c r="DA701" t="s">
        <v>270</v>
      </c>
      <c r="DC701" t="s">
        <v>4984</v>
      </c>
      <c r="DM701" t="s">
        <v>198</v>
      </c>
      <c r="DW701" t="s">
        <v>198</v>
      </c>
      <c r="EG701" t="s">
        <v>198</v>
      </c>
      <c r="EQ701" t="s">
        <v>198</v>
      </c>
      <c r="FA701" t="s">
        <v>198</v>
      </c>
      <c r="FK701" t="s">
        <v>198</v>
      </c>
      <c r="FU701" t="s">
        <v>198</v>
      </c>
    </row>
    <row r="702" spans="1:177">
      <c r="A702" s="1" t="str">
        <f>HYPERLINK("http://digipan.lumentumllc.com/apps/getLink/index.php?t=PropLink&amp;p=15755152","PL")</f>
        <v>PL</v>
      </c>
      <c r="B702" s="1" t="str">
        <f>HYPERLINK("http://digipan.lumentumllc.com/apps/getLink/index.php?t=TaxLink&amp;p=15755152","TL")</f>
        <v>TL</v>
      </c>
      <c r="C702" s="1" t="str">
        <f>HYPERLINK("http://digipan.lumentumllc.com/apps/getMap/index.php?p=15755152","Map")</f>
        <v>Map</v>
      </c>
      <c r="E702" t="s">
        <v>177</v>
      </c>
      <c r="F702" t="s">
        <v>178</v>
      </c>
      <c r="L702" t="s">
        <v>9844</v>
      </c>
      <c r="N702" t="s">
        <v>9844</v>
      </c>
      <c r="O702" t="s">
        <v>9844</v>
      </c>
      <c r="Q702" t="s">
        <v>9844</v>
      </c>
      <c r="V702">
        <v>805</v>
      </c>
      <c r="W702">
        <v>3</v>
      </c>
      <c r="X702">
        <v>2017</v>
      </c>
      <c r="Y702">
        <v>2018</v>
      </c>
      <c r="Z702">
        <v>493.02</v>
      </c>
      <c r="AB702" t="s">
        <v>181</v>
      </c>
      <c r="AC702" t="s">
        <v>182</v>
      </c>
      <c r="AD702" t="s">
        <v>6467</v>
      </c>
      <c r="AE702">
        <v>0</v>
      </c>
      <c r="AF702">
        <v>1</v>
      </c>
      <c r="AG702" t="s">
        <v>821</v>
      </c>
      <c r="AH702">
        <v>100</v>
      </c>
      <c r="AK702">
        <v>0</v>
      </c>
      <c r="AL702">
        <v>28158</v>
      </c>
      <c r="AM702">
        <v>20000</v>
      </c>
      <c r="AN702">
        <v>8158</v>
      </c>
      <c r="AO702">
        <v>53</v>
      </c>
      <c r="AP702">
        <v>2016</v>
      </c>
      <c r="AQ702">
        <v>1.75</v>
      </c>
      <c r="AS702" t="s">
        <v>9845</v>
      </c>
      <c r="AT702" t="s">
        <v>3747</v>
      </c>
      <c r="AU702" t="s">
        <v>177</v>
      </c>
      <c r="AV702" t="s">
        <v>1030</v>
      </c>
      <c r="AW702" t="s">
        <v>182</v>
      </c>
      <c r="AX702">
        <v>2</v>
      </c>
      <c r="AY702" t="s">
        <v>188</v>
      </c>
      <c r="AZ702" t="s">
        <v>189</v>
      </c>
      <c r="BA702" t="s">
        <v>190</v>
      </c>
      <c r="BB702" t="s">
        <v>191</v>
      </c>
      <c r="BC702" t="s">
        <v>182</v>
      </c>
      <c r="BD702" t="s">
        <v>182</v>
      </c>
      <c r="BE702" t="s">
        <v>5212</v>
      </c>
      <c r="BF702">
        <v>1</v>
      </c>
      <c r="BG702">
        <v>1</v>
      </c>
      <c r="BH702">
        <v>1977</v>
      </c>
      <c r="BI702" t="s">
        <v>5238</v>
      </c>
      <c r="BJ702" t="s">
        <v>285</v>
      </c>
      <c r="BK702" t="s">
        <v>195</v>
      </c>
      <c r="BL702" t="s">
        <v>9846</v>
      </c>
      <c r="BM702" t="s">
        <v>207</v>
      </c>
      <c r="BN702" t="s">
        <v>182</v>
      </c>
      <c r="BO702" t="s">
        <v>9847</v>
      </c>
      <c r="BP702" t="s">
        <v>9848</v>
      </c>
      <c r="BQ702" t="s">
        <v>562</v>
      </c>
      <c r="BR702" t="s">
        <v>6200</v>
      </c>
      <c r="BS702" t="s">
        <v>198</v>
      </c>
      <c r="BT702" t="s">
        <v>9849</v>
      </c>
      <c r="BU702" t="s">
        <v>182</v>
      </c>
      <c r="BV702" t="s">
        <v>198</v>
      </c>
      <c r="BW702" t="s">
        <v>198</v>
      </c>
      <c r="BX702" t="s">
        <v>199</v>
      </c>
      <c r="BY702" t="s">
        <v>198</v>
      </c>
      <c r="BZ702" t="s">
        <v>199</v>
      </c>
      <c r="CA702" t="s">
        <v>199</v>
      </c>
      <c r="CB702" t="s">
        <v>9850</v>
      </c>
      <c r="CC702" t="s">
        <v>201</v>
      </c>
      <c r="CD702" t="s">
        <v>202</v>
      </c>
      <c r="CE702" t="s">
        <v>9851</v>
      </c>
      <c r="CF702" t="s">
        <v>1029</v>
      </c>
      <c r="CG702" t="s">
        <v>177</v>
      </c>
      <c r="CH702" t="s">
        <v>1030</v>
      </c>
      <c r="CI702" t="s">
        <v>9852</v>
      </c>
      <c r="CJ702" t="s">
        <v>9853</v>
      </c>
      <c r="CK702" t="s">
        <v>267</v>
      </c>
      <c r="CL702" t="s">
        <v>268</v>
      </c>
      <c r="CM702" t="s">
        <v>9854</v>
      </c>
      <c r="CN702" t="s">
        <v>482</v>
      </c>
      <c r="CO702" t="s">
        <v>5</v>
      </c>
      <c r="CP702" t="s">
        <v>211</v>
      </c>
      <c r="CQ702" t="s">
        <v>250</v>
      </c>
      <c r="CS702" t="s">
        <v>9855</v>
      </c>
      <c r="DC702" t="s">
        <v>198</v>
      </c>
      <c r="DM702" t="s">
        <v>198</v>
      </c>
      <c r="DW702" t="s">
        <v>198</v>
      </c>
      <c r="EG702" t="s">
        <v>198</v>
      </c>
      <c r="EQ702" t="s">
        <v>198</v>
      </c>
      <c r="FA702" t="s">
        <v>198</v>
      </c>
      <c r="FK702" t="s">
        <v>198</v>
      </c>
      <c r="FU702" t="s">
        <v>198</v>
      </c>
    </row>
    <row r="703" spans="1:177">
      <c r="A703" s="1" t="str">
        <f>HYPERLINK("http://digipan.lumentumllc.com/apps/getLink/index.php?t=PropLink&amp;p=5247374","PL")</f>
        <v>PL</v>
      </c>
      <c r="B703" s="1" t="str">
        <f>HYPERLINK("http://digipan.lumentumllc.com/apps/getLink/index.php?t=TaxLink&amp;p=5247374","TL")</f>
        <v>TL</v>
      </c>
      <c r="C703" s="1" t="str">
        <f>HYPERLINK("http://digipan.lumentumllc.com/apps/getMap/index.php?p=5247374","Map")</f>
        <v>Map</v>
      </c>
      <c r="E703" t="s">
        <v>177</v>
      </c>
      <c r="F703" t="s">
        <v>178</v>
      </c>
      <c r="L703" t="s">
        <v>9856</v>
      </c>
      <c r="N703" t="s">
        <v>9856</v>
      </c>
      <c r="O703" t="s">
        <v>9856</v>
      </c>
      <c r="P703" t="s">
        <v>9857</v>
      </c>
      <c r="Q703" t="s">
        <v>9856</v>
      </c>
      <c r="V703">
        <v>806</v>
      </c>
      <c r="W703">
        <v>3</v>
      </c>
      <c r="X703">
        <v>2017</v>
      </c>
      <c r="Y703">
        <v>2018</v>
      </c>
      <c r="Z703">
        <v>589.75</v>
      </c>
      <c r="AB703" t="s">
        <v>181</v>
      </c>
      <c r="AC703" t="s">
        <v>202</v>
      </c>
      <c r="AD703" t="s">
        <v>183</v>
      </c>
      <c r="AE703">
        <v>1</v>
      </c>
      <c r="AF703">
        <v>6</v>
      </c>
      <c r="AG703" t="s">
        <v>322</v>
      </c>
      <c r="AH703">
        <v>83</v>
      </c>
      <c r="AI703">
        <v>584.20000000000005</v>
      </c>
      <c r="AJ703">
        <v>29.21</v>
      </c>
      <c r="AK703">
        <v>613.41</v>
      </c>
      <c r="AL703">
        <v>79991</v>
      </c>
      <c r="AM703">
        <v>20000</v>
      </c>
      <c r="AN703">
        <v>59991</v>
      </c>
      <c r="AO703">
        <v>515</v>
      </c>
      <c r="AP703">
        <v>2016</v>
      </c>
      <c r="AQ703">
        <v>0.74</v>
      </c>
      <c r="AR703">
        <v>0.77</v>
      </c>
      <c r="AS703" t="s">
        <v>9858</v>
      </c>
      <c r="AT703" t="s">
        <v>3747</v>
      </c>
      <c r="AU703" t="s">
        <v>177</v>
      </c>
      <c r="AV703" t="s">
        <v>1030</v>
      </c>
      <c r="AW703" t="s">
        <v>202</v>
      </c>
      <c r="AX703">
        <v>2</v>
      </c>
      <c r="AY703" t="s">
        <v>188</v>
      </c>
      <c r="AZ703" t="s">
        <v>189</v>
      </c>
      <c r="BA703" t="s">
        <v>190</v>
      </c>
      <c r="BB703" t="s">
        <v>191</v>
      </c>
      <c r="BC703" t="s">
        <v>182</v>
      </c>
      <c r="BD703" t="s">
        <v>182</v>
      </c>
      <c r="BE703" t="s">
        <v>259</v>
      </c>
      <c r="BF703">
        <v>1</v>
      </c>
      <c r="BG703">
        <v>1</v>
      </c>
      <c r="BH703">
        <v>1998</v>
      </c>
      <c r="BI703" t="s">
        <v>1709</v>
      </c>
      <c r="BJ703" t="s">
        <v>194</v>
      </c>
      <c r="BK703" t="s">
        <v>195</v>
      </c>
      <c r="BL703" t="s">
        <v>9859</v>
      </c>
      <c r="BM703" t="s">
        <v>533</v>
      </c>
      <c r="BN703" t="s">
        <v>182</v>
      </c>
      <c r="BO703" t="s">
        <v>9860</v>
      </c>
      <c r="BP703" t="s">
        <v>9861</v>
      </c>
      <c r="BQ703" t="s">
        <v>562</v>
      </c>
      <c r="BS703" t="s">
        <v>198</v>
      </c>
      <c r="BT703" t="s">
        <v>9862</v>
      </c>
      <c r="BU703" t="s">
        <v>182</v>
      </c>
      <c r="BV703" t="s">
        <v>198</v>
      </c>
      <c r="BW703" t="s">
        <v>198</v>
      </c>
      <c r="BX703" t="s">
        <v>199</v>
      </c>
      <c r="BY703" t="s">
        <v>198</v>
      </c>
      <c r="BZ703" t="s">
        <v>199</v>
      </c>
      <c r="CA703" t="s">
        <v>199</v>
      </c>
      <c r="CB703" t="s">
        <v>9863</v>
      </c>
      <c r="CC703" t="s">
        <v>201</v>
      </c>
      <c r="CD703" t="s">
        <v>182</v>
      </c>
      <c r="CE703" t="s">
        <v>9864</v>
      </c>
      <c r="CF703" t="s">
        <v>1029</v>
      </c>
      <c r="CG703" t="s">
        <v>177</v>
      </c>
      <c r="CH703" t="s">
        <v>1030</v>
      </c>
      <c r="CI703" t="s">
        <v>3818</v>
      </c>
      <c r="CJ703" t="s">
        <v>9082</v>
      </c>
      <c r="CK703" t="s">
        <v>232</v>
      </c>
      <c r="CL703" t="s">
        <v>233</v>
      </c>
      <c r="CM703" t="s">
        <v>9865</v>
      </c>
      <c r="CN703" t="s">
        <v>235</v>
      </c>
      <c r="CO703" t="s">
        <v>183</v>
      </c>
      <c r="CP703" t="s">
        <v>266</v>
      </c>
      <c r="CS703" t="s">
        <v>198</v>
      </c>
      <c r="CT703" t="s">
        <v>6585</v>
      </c>
      <c r="CU703" t="s">
        <v>267</v>
      </c>
      <c r="CV703" t="s">
        <v>268</v>
      </c>
      <c r="CW703" t="s">
        <v>9866</v>
      </c>
      <c r="CX703" t="s">
        <v>235</v>
      </c>
      <c r="CY703" t="s">
        <v>183</v>
      </c>
      <c r="CZ703" t="s">
        <v>211</v>
      </c>
      <c r="DA703" t="s">
        <v>270</v>
      </c>
      <c r="DB703" t="s">
        <v>271</v>
      </c>
      <c r="DC703" t="s">
        <v>272</v>
      </c>
      <c r="DD703" t="s">
        <v>9444</v>
      </c>
      <c r="DE703" t="s">
        <v>273</v>
      </c>
      <c r="DF703" t="s">
        <v>274</v>
      </c>
      <c r="DG703" t="s">
        <v>9867</v>
      </c>
      <c r="DH703" t="s">
        <v>235</v>
      </c>
      <c r="DI703" t="s">
        <v>183</v>
      </c>
      <c r="DJ703" t="s">
        <v>211</v>
      </c>
      <c r="DL703" t="s">
        <v>271</v>
      </c>
      <c r="DM703" t="s">
        <v>198</v>
      </c>
      <c r="DN703" t="s">
        <v>8751</v>
      </c>
      <c r="DO703" t="s">
        <v>302</v>
      </c>
      <c r="DP703" t="s">
        <v>303</v>
      </c>
      <c r="DQ703" t="s">
        <v>9868</v>
      </c>
      <c r="DR703" t="s">
        <v>436</v>
      </c>
      <c r="DS703" t="s">
        <v>183</v>
      </c>
      <c r="DT703" t="s">
        <v>211</v>
      </c>
      <c r="DU703" t="s">
        <v>865</v>
      </c>
      <c r="DW703" t="s">
        <v>5675</v>
      </c>
      <c r="DX703" t="s">
        <v>9869</v>
      </c>
      <c r="DY703" t="s">
        <v>238</v>
      </c>
      <c r="DZ703" t="s">
        <v>239</v>
      </c>
      <c r="EA703" t="s">
        <v>9870</v>
      </c>
      <c r="EB703" t="s">
        <v>278</v>
      </c>
      <c r="EC703" t="s">
        <v>183</v>
      </c>
      <c r="ED703" t="s">
        <v>211</v>
      </c>
      <c r="EE703" t="s">
        <v>298</v>
      </c>
      <c r="EG703" t="s">
        <v>1815</v>
      </c>
      <c r="EH703" t="s">
        <v>9871</v>
      </c>
      <c r="EI703" t="s">
        <v>346</v>
      </c>
      <c r="EJ703" t="s">
        <v>347</v>
      </c>
      <c r="EK703" t="s">
        <v>9872</v>
      </c>
      <c r="EL703" t="s">
        <v>440</v>
      </c>
      <c r="EM703" t="s">
        <v>183</v>
      </c>
      <c r="EN703" t="s">
        <v>211</v>
      </c>
      <c r="EO703" t="s">
        <v>337</v>
      </c>
      <c r="EQ703" t="s">
        <v>1352</v>
      </c>
      <c r="ER703" t="s">
        <v>9873</v>
      </c>
      <c r="ES703" t="s">
        <v>207</v>
      </c>
      <c r="ET703" t="s">
        <v>208</v>
      </c>
      <c r="EU703" t="s">
        <v>9874</v>
      </c>
      <c r="EV703" t="s">
        <v>576</v>
      </c>
      <c r="EW703" t="s">
        <v>183</v>
      </c>
      <c r="EX703" t="s">
        <v>211</v>
      </c>
      <c r="EY703" t="s">
        <v>345</v>
      </c>
      <c r="FA703" t="s">
        <v>3065</v>
      </c>
      <c r="FK703" t="s">
        <v>198</v>
      </c>
      <c r="FU703" t="s">
        <v>198</v>
      </c>
    </row>
    <row r="704" spans="1:177">
      <c r="A704" s="1" t="str">
        <f>HYPERLINK("http://digipan.lumentumllc.com/apps/getLink/index.php?t=PropLink&amp;p=5247375","PL")</f>
        <v>PL</v>
      </c>
      <c r="B704" s="1" t="str">
        <f>HYPERLINK("http://digipan.lumentumllc.com/apps/getLink/index.php?t=TaxLink&amp;p=5247375","TL")</f>
        <v>TL</v>
      </c>
      <c r="C704" s="1" t="str">
        <f>HYPERLINK("http://digipan.lumentumllc.com/apps/getMap/index.php?p=5247375","Map")</f>
        <v>Map</v>
      </c>
      <c r="E704" t="s">
        <v>177</v>
      </c>
      <c r="F704" t="s">
        <v>178</v>
      </c>
      <c r="L704" t="s">
        <v>9875</v>
      </c>
      <c r="N704" t="s">
        <v>9875</v>
      </c>
      <c r="O704" t="s">
        <v>9875</v>
      </c>
      <c r="P704" t="s">
        <v>9876</v>
      </c>
      <c r="Q704" t="s">
        <v>9875</v>
      </c>
      <c r="V704">
        <v>807</v>
      </c>
      <c r="W704">
        <v>3</v>
      </c>
      <c r="X704">
        <v>2017</v>
      </c>
      <c r="Y704">
        <v>2018</v>
      </c>
      <c r="Z704">
        <v>526.03</v>
      </c>
      <c r="AB704" t="s">
        <v>181</v>
      </c>
      <c r="AC704" t="s">
        <v>182</v>
      </c>
      <c r="AD704" t="s">
        <v>183</v>
      </c>
      <c r="AE704">
        <v>0</v>
      </c>
      <c r="AF704">
        <v>6</v>
      </c>
      <c r="AG704" t="s">
        <v>3266</v>
      </c>
      <c r="AH704">
        <v>100</v>
      </c>
      <c r="AK704">
        <v>0</v>
      </c>
      <c r="AL704">
        <v>30174</v>
      </c>
      <c r="AM704">
        <v>20000</v>
      </c>
      <c r="AN704">
        <v>10174</v>
      </c>
      <c r="AO704">
        <v>465</v>
      </c>
      <c r="AP704">
        <v>2016</v>
      </c>
      <c r="AQ704">
        <v>1.74</v>
      </c>
      <c r="AS704" t="s">
        <v>9877</v>
      </c>
      <c r="AT704" t="s">
        <v>3747</v>
      </c>
      <c r="AU704" t="s">
        <v>177</v>
      </c>
      <c r="AV704" t="s">
        <v>1030</v>
      </c>
      <c r="AW704" t="s">
        <v>182</v>
      </c>
      <c r="AX704">
        <v>1</v>
      </c>
      <c r="AY704" t="s">
        <v>188</v>
      </c>
      <c r="AZ704" t="s">
        <v>206</v>
      </c>
      <c r="BA704" t="s">
        <v>355</v>
      </c>
      <c r="BB704" t="s">
        <v>191</v>
      </c>
      <c r="BC704" t="s">
        <v>182</v>
      </c>
      <c r="BD704" t="s">
        <v>182</v>
      </c>
      <c r="BE704" t="s">
        <v>4284</v>
      </c>
      <c r="BF704">
        <v>1</v>
      </c>
      <c r="BG704">
        <v>1</v>
      </c>
      <c r="BH704">
        <v>1973</v>
      </c>
      <c r="BI704" t="s">
        <v>9627</v>
      </c>
      <c r="BJ704" t="s">
        <v>285</v>
      </c>
      <c r="BK704" t="s">
        <v>195</v>
      </c>
      <c r="BL704" t="s">
        <v>4365</v>
      </c>
      <c r="BM704" t="s">
        <v>501</v>
      </c>
      <c r="BN704" t="s">
        <v>182</v>
      </c>
      <c r="BO704" t="s">
        <v>198</v>
      </c>
      <c r="BP704" t="s">
        <v>198</v>
      </c>
      <c r="BQ704" t="s">
        <v>198</v>
      </c>
      <c r="BR704" t="s">
        <v>198</v>
      </c>
      <c r="BS704" t="s">
        <v>198</v>
      </c>
      <c r="BT704" t="s">
        <v>198</v>
      </c>
      <c r="BU704" t="s">
        <v>182</v>
      </c>
      <c r="BV704" t="s">
        <v>198</v>
      </c>
      <c r="BW704" t="s">
        <v>198</v>
      </c>
      <c r="BX704" t="s">
        <v>199</v>
      </c>
      <c r="BY704" t="s">
        <v>198</v>
      </c>
      <c r="BZ704" t="s">
        <v>199</v>
      </c>
      <c r="CA704" t="s">
        <v>199</v>
      </c>
      <c r="CB704" t="s">
        <v>9878</v>
      </c>
      <c r="CC704" t="s">
        <v>201</v>
      </c>
      <c r="CD704" t="s">
        <v>182</v>
      </c>
      <c r="CE704" t="s">
        <v>9879</v>
      </c>
      <c r="CF704" t="s">
        <v>1029</v>
      </c>
      <c r="CG704" t="s">
        <v>177</v>
      </c>
      <c r="CH704" t="s">
        <v>1030</v>
      </c>
      <c r="CI704" t="s">
        <v>7271</v>
      </c>
      <c r="CJ704" t="s">
        <v>6493</v>
      </c>
      <c r="CK704" t="s">
        <v>232</v>
      </c>
      <c r="CL704" t="s">
        <v>233</v>
      </c>
      <c r="CM704" t="s">
        <v>9880</v>
      </c>
      <c r="CN704" t="s">
        <v>235</v>
      </c>
      <c r="CO704" t="s">
        <v>183</v>
      </c>
      <c r="CP704" t="s">
        <v>211</v>
      </c>
      <c r="CQ704" t="s">
        <v>290</v>
      </c>
      <c r="CS704" t="s">
        <v>8411</v>
      </c>
      <c r="CT704" t="s">
        <v>6602</v>
      </c>
      <c r="CU704" t="s">
        <v>267</v>
      </c>
      <c r="CV704" t="s">
        <v>268</v>
      </c>
      <c r="CW704" t="s">
        <v>9881</v>
      </c>
      <c r="CX704" t="s">
        <v>331</v>
      </c>
      <c r="CY704" t="s">
        <v>183</v>
      </c>
      <c r="CZ704" t="s">
        <v>211</v>
      </c>
      <c r="DA704" t="s">
        <v>339</v>
      </c>
      <c r="DC704" t="s">
        <v>9882</v>
      </c>
      <c r="DD704" t="s">
        <v>9883</v>
      </c>
      <c r="DE704" t="s">
        <v>302</v>
      </c>
      <c r="DF704" t="s">
        <v>303</v>
      </c>
      <c r="DG704" t="s">
        <v>9884</v>
      </c>
      <c r="DH704" t="s">
        <v>511</v>
      </c>
      <c r="DI704" t="s">
        <v>183</v>
      </c>
      <c r="DJ704" t="s">
        <v>211</v>
      </c>
      <c r="DK704" t="s">
        <v>329</v>
      </c>
      <c r="DM704" t="s">
        <v>467</v>
      </c>
      <c r="DN704" t="s">
        <v>9885</v>
      </c>
      <c r="DO704" t="s">
        <v>238</v>
      </c>
      <c r="DP704" t="s">
        <v>239</v>
      </c>
      <c r="DQ704" t="s">
        <v>9886</v>
      </c>
      <c r="DR704" t="s">
        <v>440</v>
      </c>
      <c r="DS704" t="s">
        <v>183</v>
      </c>
      <c r="DT704" t="s">
        <v>211</v>
      </c>
      <c r="DU704" t="s">
        <v>298</v>
      </c>
      <c r="DW704" t="s">
        <v>467</v>
      </c>
      <c r="DX704" t="s">
        <v>6793</v>
      </c>
      <c r="DY704" t="s">
        <v>346</v>
      </c>
      <c r="DZ704" t="s">
        <v>347</v>
      </c>
      <c r="EA704" t="s">
        <v>9887</v>
      </c>
      <c r="EB704" t="s">
        <v>391</v>
      </c>
      <c r="EC704" t="s">
        <v>183</v>
      </c>
      <c r="ED704" t="s">
        <v>211</v>
      </c>
      <c r="EE704" t="s">
        <v>345</v>
      </c>
      <c r="EG704" t="s">
        <v>3391</v>
      </c>
      <c r="EH704" t="s">
        <v>9888</v>
      </c>
      <c r="EI704" t="s">
        <v>207</v>
      </c>
      <c r="EJ704" t="s">
        <v>208</v>
      </c>
      <c r="EK704" t="s">
        <v>9889</v>
      </c>
      <c r="EL704" t="s">
        <v>576</v>
      </c>
      <c r="EM704" t="s">
        <v>183</v>
      </c>
      <c r="EN704" t="s">
        <v>211</v>
      </c>
      <c r="EO704" t="s">
        <v>345</v>
      </c>
      <c r="EQ704" t="s">
        <v>5893</v>
      </c>
      <c r="FA704" t="s">
        <v>198</v>
      </c>
      <c r="FK704" t="s">
        <v>198</v>
      </c>
      <c r="FU704" t="s">
        <v>198</v>
      </c>
    </row>
    <row r="705" spans="1:177">
      <c r="A705" s="1" t="str">
        <f>HYPERLINK("http://digipan.lumentumllc.com/apps/getLink/index.php?t=PropLink&amp;p=15755206","PL")</f>
        <v>PL</v>
      </c>
      <c r="B705" s="1" t="str">
        <f>HYPERLINK("http://digipan.lumentumllc.com/apps/getLink/index.php?t=TaxLink&amp;p=15755206","TL")</f>
        <v>TL</v>
      </c>
      <c r="C705" s="1" t="str">
        <f>HYPERLINK("http://digipan.lumentumllc.com/apps/getMap/index.php?p=15755206","Map")</f>
        <v>Map</v>
      </c>
      <c r="E705" t="s">
        <v>177</v>
      </c>
      <c r="F705" t="s">
        <v>178</v>
      </c>
      <c r="L705" t="s">
        <v>9890</v>
      </c>
      <c r="N705" t="s">
        <v>9890</v>
      </c>
      <c r="O705" t="s">
        <v>9890</v>
      </c>
      <c r="Q705" t="s">
        <v>9890</v>
      </c>
      <c r="V705">
        <v>809</v>
      </c>
      <c r="W705">
        <v>3</v>
      </c>
      <c r="X705">
        <v>2017</v>
      </c>
      <c r="Y705">
        <v>2018</v>
      </c>
      <c r="Z705">
        <v>544.57000000000005</v>
      </c>
      <c r="AB705" t="s">
        <v>181</v>
      </c>
      <c r="AC705" t="s">
        <v>182</v>
      </c>
      <c r="AD705" t="s">
        <v>183</v>
      </c>
      <c r="AE705">
        <v>1</v>
      </c>
      <c r="AF705">
        <v>0</v>
      </c>
      <c r="AG705" t="s">
        <v>1200</v>
      </c>
      <c r="AH705">
        <v>0</v>
      </c>
      <c r="AI705">
        <v>487.07</v>
      </c>
      <c r="AJ705">
        <v>24.35</v>
      </c>
      <c r="AK705">
        <v>511.42</v>
      </c>
      <c r="AL705">
        <v>32373</v>
      </c>
      <c r="AM705">
        <v>20000</v>
      </c>
      <c r="AN705">
        <v>12373</v>
      </c>
      <c r="AO705">
        <v>425</v>
      </c>
      <c r="AP705">
        <v>2016</v>
      </c>
      <c r="AQ705">
        <v>1.68</v>
      </c>
      <c r="AR705">
        <v>1.58</v>
      </c>
      <c r="AS705" t="s">
        <v>9891</v>
      </c>
      <c r="AT705" t="s">
        <v>3747</v>
      </c>
      <c r="AU705" t="s">
        <v>177</v>
      </c>
      <c r="AV705" t="s">
        <v>1030</v>
      </c>
      <c r="AW705" t="s">
        <v>182</v>
      </c>
      <c r="AX705">
        <v>2</v>
      </c>
      <c r="AY705" t="s">
        <v>188</v>
      </c>
      <c r="AZ705" t="s">
        <v>189</v>
      </c>
      <c r="BA705" t="s">
        <v>190</v>
      </c>
      <c r="BB705" t="s">
        <v>191</v>
      </c>
      <c r="BC705" t="s">
        <v>182</v>
      </c>
      <c r="BD705" t="s">
        <v>182</v>
      </c>
      <c r="BE705" t="s">
        <v>383</v>
      </c>
      <c r="BF705">
        <v>1</v>
      </c>
      <c r="BG705">
        <v>1</v>
      </c>
      <c r="BH705">
        <v>1988</v>
      </c>
      <c r="BI705" t="s">
        <v>9892</v>
      </c>
      <c r="BJ705" t="s">
        <v>194</v>
      </c>
      <c r="BK705" t="s">
        <v>195</v>
      </c>
      <c r="BL705" t="s">
        <v>9893</v>
      </c>
      <c r="BM705" t="s">
        <v>292</v>
      </c>
      <c r="BN705" t="s">
        <v>182</v>
      </c>
      <c r="BO705" t="s">
        <v>8682</v>
      </c>
      <c r="BP705" t="s">
        <v>1696</v>
      </c>
      <c r="BQ705" t="s">
        <v>800</v>
      </c>
      <c r="BS705" t="s">
        <v>198</v>
      </c>
      <c r="BT705" t="s">
        <v>9894</v>
      </c>
      <c r="BU705" t="s">
        <v>182</v>
      </c>
      <c r="BV705" t="s">
        <v>198</v>
      </c>
      <c r="BW705" t="s">
        <v>198</v>
      </c>
      <c r="BX705" t="s">
        <v>199</v>
      </c>
      <c r="BY705" t="s">
        <v>198</v>
      </c>
      <c r="BZ705" t="s">
        <v>199</v>
      </c>
      <c r="CA705" t="s">
        <v>199</v>
      </c>
      <c r="CB705" t="s">
        <v>9895</v>
      </c>
      <c r="CC705" t="s">
        <v>201</v>
      </c>
      <c r="CD705" t="s">
        <v>182</v>
      </c>
      <c r="CE705" t="s">
        <v>5462</v>
      </c>
      <c r="CF705" t="s">
        <v>1029</v>
      </c>
      <c r="CG705" t="s">
        <v>177</v>
      </c>
      <c r="CH705" t="s">
        <v>1030</v>
      </c>
      <c r="CI705" t="s">
        <v>9896</v>
      </c>
      <c r="CJ705" t="s">
        <v>6505</v>
      </c>
      <c r="CK705" t="s">
        <v>232</v>
      </c>
      <c r="CL705" t="s">
        <v>233</v>
      </c>
      <c r="CM705" t="s">
        <v>9897</v>
      </c>
      <c r="CN705" t="s">
        <v>331</v>
      </c>
      <c r="CO705" t="s">
        <v>183</v>
      </c>
      <c r="CP705" t="s">
        <v>266</v>
      </c>
      <c r="CS705" t="s">
        <v>198</v>
      </c>
      <c r="DC705" t="s">
        <v>198</v>
      </c>
      <c r="DM705" t="s">
        <v>198</v>
      </c>
      <c r="DW705" t="s">
        <v>198</v>
      </c>
      <c r="EG705" t="s">
        <v>198</v>
      </c>
      <c r="EQ705" t="s">
        <v>198</v>
      </c>
      <c r="FA705" t="s">
        <v>198</v>
      </c>
      <c r="FK705" t="s">
        <v>198</v>
      </c>
      <c r="FU705" t="s">
        <v>198</v>
      </c>
    </row>
    <row r="706" spans="1:177">
      <c r="A706" s="1" t="str">
        <f>HYPERLINK("http://digipan.lumentumllc.com/apps/getLink/index.php?t=PropLink&amp;p=5247377","PL")</f>
        <v>PL</v>
      </c>
      <c r="B706" s="1" t="str">
        <f>HYPERLINK("http://digipan.lumentumllc.com/apps/getLink/index.php?t=TaxLink&amp;p=5247377","TL")</f>
        <v>TL</v>
      </c>
      <c r="C706" s="1" t="str">
        <f>HYPERLINK("http://digipan.lumentumllc.com/apps/getMap/index.php?p=5247377","Map")</f>
        <v>Map</v>
      </c>
      <c r="E706" t="s">
        <v>177</v>
      </c>
      <c r="F706" t="s">
        <v>178</v>
      </c>
      <c r="L706" t="s">
        <v>9898</v>
      </c>
      <c r="N706" t="s">
        <v>9898</v>
      </c>
      <c r="O706" t="s">
        <v>9898</v>
      </c>
      <c r="P706" t="s">
        <v>9899</v>
      </c>
      <c r="Q706" t="s">
        <v>9898</v>
      </c>
      <c r="V706">
        <v>810</v>
      </c>
      <c r="W706">
        <v>3</v>
      </c>
      <c r="X706">
        <v>2017</v>
      </c>
      <c r="Y706">
        <v>2018</v>
      </c>
      <c r="Z706">
        <v>590.72</v>
      </c>
      <c r="AB706" t="s">
        <v>181</v>
      </c>
      <c r="AC706" t="s">
        <v>202</v>
      </c>
      <c r="AD706" t="s">
        <v>183</v>
      </c>
      <c r="AE706">
        <v>2</v>
      </c>
      <c r="AF706">
        <v>6</v>
      </c>
      <c r="AG706" t="s">
        <v>794</v>
      </c>
      <c r="AH706">
        <v>71</v>
      </c>
      <c r="AI706">
        <v>1303.68</v>
      </c>
      <c r="AJ706">
        <v>65.180000000000007</v>
      </c>
      <c r="AK706">
        <v>1368.86</v>
      </c>
      <c r="AL706">
        <v>34125</v>
      </c>
      <c r="AM706">
        <v>20000</v>
      </c>
      <c r="AN706">
        <v>14125</v>
      </c>
      <c r="AO706">
        <v>582</v>
      </c>
      <c r="AP706">
        <v>2016</v>
      </c>
      <c r="AQ706">
        <v>1.73</v>
      </c>
      <c r="AR706">
        <v>4.01</v>
      </c>
      <c r="AS706" t="s">
        <v>9900</v>
      </c>
      <c r="AT706" t="s">
        <v>3747</v>
      </c>
      <c r="AU706" t="s">
        <v>177</v>
      </c>
      <c r="AV706" t="s">
        <v>1030</v>
      </c>
      <c r="AW706" t="s">
        <v>182</v>
      </c>
      <c r="AX706">
        <v>2</v>
      </c>
      <c r="AY706" t="s">
        <v>188</v>
      </c>
      <c r="AZ706" t="s">
        <v>189</v>
      </c>
      <c r="BA706" t="s">
        <v>190</v>
      </c>
      <c r="BB706" t="s">
        <v>191</v>
      </c>
      <c r="BC706" t="s">
        <v>182</v>
      </c>
      <c r="BD706" t="s">
        <v>182</v>
      </c>
      <c r="BE706" t="s">
        <v>383</v>
      </c>
      <c r="BF706">
        <v>1</v>
      </c>
      <c r="BG706">
        <v>1</v>
      </c>
      <c r="BH706">
        <v>1972</v>
      </c>
      <c r="BI706" t="s">
        <v>6524</v>
      </c>
      <c r="BJ706" t="s">
        <v>194</v>
      </c>
      <c r="BK706" t="s">
        <v>195</v>
      </c>
      <c r="BL706" t="s">
        <v>199</v>
      </c>
      <c r="BM706" t="s">
        <v>286</v>
      </c>
      <c r="BN706" t="s">
        <v>182</v>
      </c>
      <c r="BO706" t="s">
        <v>198</v>
      </c>
      <c r="BP706" t="s">
        <v>198</v>
      </c>
      <c r="BQ706" t="s">
        <v>198</v>
      </c>
      <c r="BR706" t="s">
        <v>198</v>
      </c>
      <c r="BS706" t="s">
        <v>198</v>
      </c>
      <c r="BT706" t="s">
        <v>198</v>
      </c>
      <c r="BU706" t="s">
        <v>182</v>
      </c>
      <c r="BV706" t="s">
        <v>198</v>
      </c>
      <c r="BW706" t="s">
        <v>198</v>
      </c>
      <c r="BX706" t="s">
        <v>199</v>
      </c>
      <c r="BY706" t="s">
        <v>198</v>
      </c>
      <c r="BZ706" t="s">
        <v>199</v>
      </c>
      <c r="CA706" t="s">
        <v>199</v>
      </c>
      <c r="CB706" t="s">
        <v>9901</v>
      </c>
      <c r="CC706" t="s">
        <v>201</v>
      </c>
      <c r="CD706" t="s">
        <v>182</v>
      </c>
      <c r="CE706" t="s">
        <v>9902</v>
      </c>
      <c r="CF706" t="s">
        <v>1029</v>
      </c>
      <c r="CG706" t="s">
        <v>177</v>
      </c>
      <c r="CH706" t="s">
        <v>1030</v>
      </c>
      <c r="CI706" t="s">
        <v>4843</v>
      </c>
      <c r="CJ706" t="s">
        <v>8456</v>
      </c>
      <c r="CK706" t="s">
        <v>232</v>
      </c>
      <c r="CL706" t="s">
        <v>233</v>
      </c>
      <c r="CM706" t="s">
        <v>9903</v>
      </c>
      <c r="CN706" t="s">
        <v>235</v>
      </c>
      <c r="CO706" t="s">
        <v>183</v>
      </c>
      <c r="CP706" t="s">
        <v>266</v>
      </c>
      <c r="CS706" t="s">
        <v>198</v>
      </c>
      <c r="CT706" t="s">
        <v>6546</v>
      </c>
      <c r="CU706" t="s">
        <v>292</v>
      </c>
      <c r="CV706" t="s">
        <v>293</v>
      </c>
      <c r="CW706" t="s">
        <v>9904</v>
      </c>
      <c r="CX706" t="s">
        <v>235</v>
      </c>
      <c r="CY706" t="s">
        <v>183</v>
      </c>
      <c r="CZ706" t="s">
        <v>266</v>
      </c>
      <c r="DC706" t="s">
        <v>198</v>
      </c>
      <c r="DD706" t="s">
        <v>193</v>
      </c>
      <c r="DE706" t="s">
        <v>267</v>
      </c>
      <c r="DF706" t="s">
        <v>268</v>
      </c>
      <c r="DG706" t="s">
        <v>9905</v>
      </c>
      <c r="DH706" t="s">
        <v>235</v>
      </c>
      <c r="DI706" t="s">
        <v>183</v>
      </c>
      <c r="DJ706" t="s">
        <v>211</v>
      </c>
      <c r="DK706" t="s">
        <v>199</v>
      </c>
      <c r="DL706" t="s">
        <v>271</v>
      </c>
      <c r="DM706" t="s">
        <v>604</v>
      </c>
      <c r="DN706" t="s">
        <v>6981</v>
      </c>
      <c r="DO706" t="s">
        <v>273</v>
      </c>
      <c r="DP706" t="s">
        <v>274</v>
      </c>
      <c r="DQ706" t="s">
        <v>9906</v>
      </c>
      <c r="DR706" t="s">
        <v>514</v>
      </c>
      <c r="DS706" t="s">
        <v>183</v>
      </c>
      <c r="DT706" t="s">
        <v>211</v>
      </c>
      <c r="DU706" t="s">
        <v>427</v>
      </c>
      <c r="DV706" t="s">
        <v>271</v>
      </c>
      <c r="DW706" t="s">
        <v>604</v>
      </c>
      <c r="DX706" t="s">
        <v>8814</v>
      </c>
      <c r="DY706" t="s">
        <v>302</v>
      </c>
      <c r="DZ706" t="s">
        <v>303</v>
      </c>
      <c r="EA706" t="s">
        <v>9907</v>
      </c>
      <c r="EB706" t="s">
        <v>511</v>
      </c>
      <c r="EC706" t="s">
        <v>183</v>
      </c>
      <c r="ED706" t="s">
        <v>211</v>
      </c>
      <c r="EF706" t="s">
        <v>271</v>
      </c>
      <c r="EG706" t="s">
        <v>198</v>
      </c>
      <c r="EH706" t="s">
        <v>9908</v>
      </c>
      <c r="EI706" t="s">
        <v>238</v>
      </c>
      <c r="EJ706" t="s">
        <v>239</v>
      </c>
      <c r="EK706" t="s">
        <v>9909</v>
      </c>
      <c r="EL706" t="s">
        <v>440</v>
      </c>
      <c r="EM706" t="s">
        <v>183</v>
      </c>
      <c r="EN706" t="s">
        <v>211</v>
      </c>
      <c r="EO706" t="s">
        <v>298</v>
      </c>
      <c r="EQ706" t="s">
        <v>467</v>
      </c>
      <c r="ER706" t="s">
        <v>6833</v>
      </c>
      <c r="ES706" t="s">
        <v>346</v>
      </c>
      <c r="ET706" t="s">
        <v>347</v>
      </c>
      <c r="EU706" t="s">
        <v>9910</v>
      </c>
      <c r="EV706" t="s">
        <v>816</v>
      </c>
      <c r="EW706" t="s">
        <v>183</v>
      </c>
      <c r="EX706" t="s">
        <v>211</v>
      </c>
      <c r="EY706" t="s">
        <v>298</v>
      </c>
      <c r="FA706" t="s">
        <v>878</v>
      </c>
      <c r="FB706" t="s">
        <v>6714</v>
      </c>
      <c r="FC706" t="s">
        <v>207</v>
      </c>
      <c r="FD706" t="s">
        <v>208</v>
      </c>
      <c r="FE706" t="s">
        <v>9911</v>
      </c>
      <c r="FF706" t="s">
        <v>576</v>
      </c>
      <c r="FG706" t="s">
        <v>183</v>
      </c>
      <c r="FH706" t="s">
        <v>211</v>
      </c>
      <c r="FI706" t="s">
        <v>189</v>
      </c>
      <c r="FJ706" t="s">
        <v>271</v>
      </c>
      <c r="FK706" t="s">
        <v>9091</v>
      </c>
      <c r="FU706" t="s">
        <v>198</v>
      </c>
    </row>
    <row r="707" spans="1:177">
      <c r="A707" s="1" t="str">
        <f>HYPERLINK("http://digipan.lumentumllc.com/apps/getLink/index.php?t=PropLink&amp;p=4638244","PL")</f>
        <v>PL</v>
      </c>
      <c r="B707" s="1" t="str">
        <f>HYPERLINK("http://digipan.lumentumllc.com/apps/getLink/index.php?t=TaxLink&amp;p=4638244","TL")</f>
        <v>TL</v>
      </c>
      <c r="C707" s="1" t="str">
        <f>HYPERLINK("http://digipan.lumentumllc.com/apps/getMap/index.php?p=4638244","Map")</f>
        <v>Map</v>
      </c>
      <c r="E707" t="s">
        <v>177</v>
      </c>
      <c r="F707" t="s">
        <v>178</v>
      </c>
      <c r="L707" t="s">
        <v>9912</v>
      </c>
      <c r="N707" t="s">
        <v>9912</v>
      </c>
      <c r="O707" t="s">
        <v>9912</v>
      </c>
      <c r="P707" t="s">
        <v>9913</v>
      </c>
      <c r="Q707" t="s">
        <v>9912</v>
      </c>
      <c r="V707">
        <v>811</v>
      </c>
      <c r="W707">
        <v>3</v>
      </c>
      <c r="X707">
        <v>2017</v>
      </c>
      <c r="Y707">
        <v>2018</v>
      </c>
      <c r="Z707">
        <v>713.28</v>
      </c>
      <c r="AB707" t="s">
        <v>181</v>
      </c>
      <c r="AC707" t="s">
        <v>182</v>
      </c>
      <c r="AD707" t="s">
        <v>183</v>
      </c>
      <c r="AE707">
        <v>0</v>
      </c>
      <c r="AF707">
        <v>2</v>
      </c>
      <c r="AG707" t="s">
        <v>821</v>
      </c>
      <c r="AH707">
        <v>100</v>
      </c>
      <c r="AK707">
        <v>0</v>
      </c>
      <c r="AL707">
        <v>41611</v>
      </c>
      <c r="AM707">
        <v>20000</v>
      </c>
      <c r="AN707">
        <v>21611</v>
      </c>
      <c r="AO707">
        <v>640</v>
      </c>
      <c r="AP707">
        <v>2016</v>
      </c>
      <c r="AQ707">
        <v>1.71</v>
      </c>
      <c r="AS707" t="s">
        <v>9914</v>
      </c>
      <c r="AT707" t="s">
        <v>3747</v>
      </c>
      <c r="AU707" t="s">
        <v>177</v>
      </c>
      <c r="AV707" t="s">
        <v>1030</v>
      </c>
      <c r="AW707" t="s">
        <v>182</v>
      </c>
      <c r="AX707">
        <v>2</v>
      </c>
      <c r="AY707" t="s">
        <v>188</v>
      </c>
      <c r="AZ707" t="s">
        <v>189</v>
      </c>
      <c r="BA707" t="s">
        <v>190</v>
      </c>
      <c r="BB707" t="s">
        <v>191</v>
      </c>
      <c r="BC707" t="s">
        <v>182</v>
      </c>
      <c r="BD707" t="s">
        <v>182</v>
      </c>
      <c r="BE707" t="s">
        <v>1869</v>
      </c>
      <c r="BF707">
        <v>1</v>
      </c>
      <c r="BG707">
        <v>1</v>
      </c>
      <c r="BH707">
        <v>1983</v>
      </c>
      <c r="BI707" t="s">
        <v>9915</v>
      </c>
      <c r="BJ707" t="s">
        <v>194</v>
      </c>
      <c r="BK707" t="s">
        <v>195</v>
      </c>
      <c r="BL707" t="s">
        <v>9050</v>
      </c>
      <c r="BM707" t="s">
        <v>1041</v>
      </c>
      <c r="BN707" t="s">
        <v>182</v>
      </c>
      <c r="BO707" t="s">
        <v>9916</v>
      </c>
      <c r="BP707" t="s">
        <v>2911</v>
      </c>
      <c r="BQ707" t="s">
        <v>603</v>
      </c>
      <c r="BS707" t="s">
        <v>198</v>
      </c>
      <c r="BT707" t="s">
        <v>9917</v>
      </c>
      <c r="BU707" t="s">
        <v>182</v>
      </c>
      <c r="BV707" t="s">
        <v>198</v>
      </c>
      <c r="BW707" t="s">
        <v>198</v>
      </c>
      <c r="BX707" t="s">
        <v>199</v>
      </c>
      <c r="BY707" t="s">
        <v>198</v>
      </c>
      <c r="BZ707" t="s">
        <v>199</v>
      </c>
      <c r="CA707" t="s">
        <v>199</v>
      </c>
      <c r="CB707" t="s">
        <v>9918</v>
      </c>
      <c r="CC707" t="s">
        <v>201</v>
      </c>
      <c r="CD707" t="s">
        <v>182</v>
      </c>
      <c r="CE707" t="s">
        <v>9919</v>
      </c>
      <c r="CF707" t="s">
        <v>413</v>
      </c>
      <c r="CG707" t="s">
        <v>177</v>
      </c>
      <c r="CH707" t="s">
        <v>414</v>
      </c>
      <c r="CI707" t="s">
        <v>9920</v>
      </c>
      <c r="CJ707" t="s">
        <v>6390</v>
      </c>
      <c r="CK707" t="s">
        <v>292</v>
      </c>
      <c r="CL707" t="s">
        <v>293</v>
      </c>
      <c r="CM707" t="s">
        <v>9921</v>
      </c>
      <c r="CN707" t="s">
        <v>235</v>
      </c>
      <c r="CO707" t="s">
        <v>183</v>
      </c>
      <c r="CP707" t="s">
        <v>211</v>
      </c>
      <c r="CQ707" t="s">
        <v>339</v>
      </c>
      <c r="CS707" t="s">
        <v>5356</v>
      </c>
      <c r="CT707" t="s">
        <v>9922</v>
      </c>
      <c r="CU707" t="s">
        <v>207</v>
      </c>
      <c r="CV707" t="s">
        <v>208</v>
      </c>
      <c r="CW707" t="s">
        <v>9923</v>
      </c>
      <c r="CX707" t="s">
        <v>576</v>
      </c>
      <c r="CY707" t="s">
        <v>183</v>
      </c>
      <c r="CZ707" t="s">
        <v>211</v>
      </c>
      <c r="DA707" t="s">
        <v>199</v>
      </c>
      <c r="DC707" t="s">
        <v>5223</v>
      </c>
      <c r="DM707" t="s">
        <v>198</v>
      </c>
      <c r="DW707" t="s">
        <v>198</v>
      </c>
      <c r="EG707" t="s">
        <v>198</v>
      </c>
      <c r="EQ707" t="s">
        <v>198</v>
      </c>
      <c r="FA707" t="s">
        <v>198</v>
      </c>
      <c r="FK707" t="s">
        <v>198</v>
      </c>
      <c r="FU707" t="s">
        <v>198</v>
      </c>
    </row>
    <row r="708" spans="1:177">
      <c r="A708" s="1" t="str">
        <f>HYPERLINK("http://digipan.lumentumllc.com/apps/getLink/index.php?t=PropLink&amp;p=15755236","PL")</f>
        <v>PL</v>
      </c>
      <c r="B708" s="1" t="str">
        <f>HYPERLINK("http://digipan.lumentumllc.com/apps/getLink/index.php?t=TaxLink&amp;p=15755236","TL")</f>
        <v>TL</v>
      </c>
      <c r="C708" s="1" t="str">
        <f>HYPERLINK("http://digipan.lumentumllc.com/apps/getMap/index.php?p=15755236","Map")</f>
        <v>Map</v>
      </c>
      <c r="E708" t="s">
        <v>177</v>
      </c>
      <c r="F708" t="s">
        <v>178</v>
      </c>
      <c r="L708" t="s">
        <v>9924</v>
      </c>
      <c r="N708" t="s">
        <v>9924</v>
      </c>
      <c r="O708" t="s">
        <v>9924</v>
      </c>
      <c r="Q708" t="s">
        <v>9924</v>
      </c>
      <c r="V708">
        <v>812</v>
      </c>
      <c r="W708">
        <v>3</v>
      </c>
      <c r="X708">
        <v>2017</v>
      </c>
      <c r="Y708">
        <v>2018</v>
      </c>
      <c r="Z708">
        <v>745.52</v>
      </c>
      <c r="AB708" t="s">
        <v>181</v>
      </c>
      <c r="AC708" t="s">
        <v>182</v>
      </c>
      <c r="AD708" t="s">
        <v>183</v>
      </c>
      <c r="AE708">
        <v>0</v>
      </c>
      <c r="AF708">
        <v>1</v>
      </c>
      <c r="AG708" t="s">
        <v>821</v>
      </c>
      <c r="AH708">
        <v>100</v>
      </c>
      <c r="AK708">
        <v>0</v>
      </c>
      <c r="AL708">
        <v>98155</v>
      </c>
      <c r="AM708">
        <v>20000</v>
      </c>
      <c r="AN708">
        <v>78155</v>
      </c>
      <c r="AO708">
        <v>645</v>
      </c>
      <c r="AP708">
        <v>2016</v>
      </c>
      <c r="AQ708">
        <v>0.76</v>
      </c>
      <c r="AS708" t="s">
        <v>9925</v>
      </c>
      <c r="AT708" t="s">
        <v>3747</v>
      </c>
      <c r="AU708" t="s">
        <v>177</v>
      </c>
      <c r="AV708" t="s">
        <v>1030</v>
      </c>
      <c r="AW708" t="s">
        <v>202</v>
      </c>
      <c r="AX708">
        <v>1</v>
      </c>
      <c r="AY708" t="s">
        <v>188</v>
      </c>
      <c r="AZ708" t="s">
        <v>206</v>
      </c>
      <c r="BA708" t="s">
        <v>355</v>
      </c>
      <c r="BB708" t="s">
        <v>191</v>
      </c>
      <c r="BC708" t="s">
        <v>182</v>
      </c>
      <c r="BD708" t="s">
        <v>182</v>
      </c>
      <c r="BE708" t="s">
        <v>7049</v>
      </c>
      <c r="BF708">
        <v>1</v>
      </c>
      <c r="BG708">
        <v>1</v>
      </c>
      <c r="BH708">
        <v>1981</v>
      </c>
      <c r="BI708" t="s">
        <v>9926</v>
      </c>
      <c r="BJ708" t="s">
        <v>194</v>
      </c>
      <c r="BK708" t="s">
        <v>195</v>
      </c>
      <c r="BL708" t="s">
        <v>9927</v>
      </c>
      <c r="BM708" t="s">
        <v>981</v>
      </c>
      <c r="BN708" t="s">
        <v>182</v>
      </c>
      <c r="BO708" t="s">
        <v>198</v>
      </c>
      <c r="BP708" t="s">
        <v>198</v>
      </c>
      <c r="BQ708" t="s">
        <v>198</v>
      </c>
      <c r="BR708" t="s">
        <v>198</v>
      </c>
      <c r="BS708" t="s">
        <v>198</v>
      </c>
      <c r="BT708" t="s">
        <v>198</v>
      </c>
      <c r="BU708" t="s">
        <v>182</v>
      </c>
      <c r="BV708" t="s">
        <v>198</v>
      </c>
      <c r="BW708" t="s">
        <v>198</v>
      </c>
      <c r="BX708" t="s">
        <v>199</v>
      </c>
      <c r="BY708" t="s">
        <v>198</v>
      </c>
      <c r="BZ708" t="s">
        <v>199</v>
      </c>
      <c r="CA708" t="s">
        <v>199</v>
      </c>
      <c r="CB708" t="s">
        <v>9928</v>
      </c>
      <c r="CC708" t="s">
        <v>201</v>
      </c>
      <c r="CD708" t="s">
        <v>182</v>
      </c>
      <c r="CE708" t="s">
        <v>9929</v>
      </c>
      <c r="CF708" t="s">
        <v>1029</v>
      </c>
      <c r="CG708" t="s">
        <v>177</v>
      </c>
      <c r="CH708" t="s">
        <v>1030</v>
      </c>
      <c r="CI708" t="s">
        <v>4114</v>
      </c>
      <c r="CJ708" t="s">
        <v>9930</v>
      </c>
      <c r="CK708" t="s">
        <v>232</v>
      </c>
      <c r="CL708" t="s">
        <v>233</v>
      </c>
      <c r="CM708" t="s">
        <v>9931</v>
      </c>
      <c r="CN708" t="s">
        <v>235</v>
      </c>
      <c r="CO708" t="s">
        <v>183</v>
      </c>
      <c r="CP708" t="s">
        <v>211</v>
      </c>
      <c r="CQ708" t="s">
        <v>339</v>
      </c>
      <c r="CS708" t="s">
        <v>9932</v>
      </c>
      <c r="DC708" t="s">
        <v>198</v>
      </c>
      <c r="DM708" t="s">
        <v>198</v>
      </c>
      <c r="DW708" t="s">
        <v>198</v>
      </c>
      <c r="EG708" t="s">
        <v>198</v>
      </c>
      <c r="EQ708" t="s">
        <v>198</v>
      </c>
      <c r="FA708" t="s">
        <v>198</v>
      </c>
      <c r="FK708" t="s">
        <v>198</v>
      </c>
      <c r="FU708" t="s">
        <v>198</v>
      </c>
    </row>
    <row r="709" spans="1:177">
      <c r="A709" s="1" t="str">
        <f>HYPERLINK("http://digipan.lumentumllc.com/apps/getLink/index.php?t=PropLink&amp;p=5247383","PL")</f>
        <v>PL</v>
      </c>
      <c r="B709" s="1" t="str">
        <f>HYPERLINK("http://digipan.lumentumllc.com/apps/getLink/index.php?t=TaxLink&amp;p=5247383","TL")</f>
        <v>TL</v>
      </c>
      <c r="C709" s="1" t="str">
        <f>HYPERLINK("http://digipan.lumentumllc.com/apps/getMap/index.php?p=5247383","Map")</f>
        <v>Map</v>
      </c>
      <c r="E709" t="s">
        <v>177</v>
      </c>
      <c r="F709" t="s">
        <v>178</v>
      </c>
      <c r="L709" t="s">
        <v>9933</v>
      </c>
      <c r="N709" t="s">
        <v>9933</v>
      </c>
      <c r="O709" t="s">
        <v>9933</v>
      </c>
      <c r="P709" t="s">
        <v>9934</v>
      </c>
      <c r="Q709" t="s">
        <v>9933</v>
      </c>
      <c r="V709">
        <v>814</v>
      </c>
      <c r="W709">
        <v>3</v>
      </c>
      <c r="X709">
        <v>2017</v>
      </c>
      <c r="Y709">
        <v>2018</v>
      </c>
      <c r="Z709">
        <v>282.58999999999997</v>
      </c>
      <c r="AB709" t="s">
        <v>181</v>
      </c>
      <c r="AC709" t="s">
        <v>202</v>
      </c>
      <c r="AD709" t="s">
        <v>183</v>
      </c>
      <c r="AE709">
        <v>1</v>
      </c>
      <c r="AF709">
        <v>7</v>
      </c>
      <c r="AG709" t="s">
        <v>418</v>
      </c>
      <c r="AH709">
        <v>86</v>
      </c>
      <c r="AI709">
        <v>267.36</v>
      </c>
      <c r="AJ709">
        <v>13.37</v>
      </c>
      <c r="AK709">
        <v>280.73</v>
      </c>
      <c r="AL709">
        <v>49391</v>
      </c>
      <c r="AM709">
        <v>20000</v>
      </c>
      <c r="AN709">
        <v>29391</v>
      </c>
      <c r="AO709">
        <v>222</v>
      </c>
      <c r="AP709">
        <v>2016</v>
      </c>
      <c r="AQ709">
        <v>0.56999999999999995</v>
      </c>
      <c r="AR709">
        <v>0.56999999999999995</v>
      </c>
      <c r="AS709" t="s">
        <v>9935</v>
      </c>
      <c r="AT709" t="s">
        <v>3747</v>
      </c>
      <c r="AU709" t="s">
        <v>177</v>
      </c>
      <c r="AV709" t="s">
        <v>1030</v>
      </c>
      <c r="AW709" t="s">
        <v>202</v>
      </c>
      <c r="AX709">
        <v>2</v>
      </c>
      <c r="AY709" t="s">
        <v>188</v>
      </c>
      <c r="AZ709" t="s">
        <v>189</v>
      </c>
      <c r="BA709" t="s">
        <v>190</v>
      </c>
      <c r="BB709" t="s">
        <v>191</v>
      </c>
      <c r="BC709" t="s">
        <v>182</v>
      </c>
      <c r="BD709" t="s">
        <v>182</v>
      </c>
      <c r="BE709" t="s">
        <v>7118</v>
      </c>
      <c r="BF709">
        <v>1</v>
      </c>
      <c r="BG709">
        <v>1</v>
      </c>
      <c r="BH709">
        <v>1986</v>
      </c>
      <c r="BI709" t="s">
        <v>9936</v>
      </c>
      <c r="BJ709" t="s">
        <v>194</v>
      </c>
      <c r="BK709" t="s">
        <v>195</v>
      </c>
      <c r="BL709" t="s">
        <v>199</v>
      </c>
      <c r="BM709" t="s">
        <v>273</v>
      </c>
      <c r="BN709" t="s">
        <v>182</v>
      </c>
      <c r="BO709" t="s">
        <v>198</v>
      </c>
      <c r="BP709" t="s">
        <v>198</v>
      </c>
      <c r="BQ709" t="s">
        <v>198</v>
      </c>
      <c r="BR709" t="s">
        <v>198</v>
      </c>
      <c r="BS709" t="s">
        <v>198</v>
      </c>
      <c r="BT709" t="s">
        <v>198</v>
      </c>
      <c r="BU709" t="s">
        <v>182</v>
      </c>
      <c r="BV709" t="s">
        <v>198</v>
      </c>
      <c r="BW709" t="s">
        <v>198</v>
      </c>
      <c r="BX709" t="s">
        <v>199</v>
      </c>
      <c r="BY709" t="s">
        <v>198</v>
      </c>
      <c r="BZ709" t="s">
        <v>199</v>
      </c>
      <c r="CA709" t="s">
        <v>199</v>
      </c>
      <c r="CB709" t="s">
        <v>9937</v>
      </c>
      <c r="CC709" t="s">
        <v>201</v>
      </c>
      <c r="CD709" t="s">
        <v>182</v>
      </c>
      <c r="CE709" t="s">
        <v>9902</v>
      </c>
      <c r="CF709" t="s">
        <v>1029</v>
      </c>
      <c r="CG709" t="s">
        <v>177</v>
      </c>
      <c r="CH709" t="s">
        <v>1030</v>
      </c>
      <c r="CI709" t="s">
        <v>9938</v>
      </c>
      <c r="CJ709" t="s">
        <v>6740</v>
      </c>
      <c r="CK709" t="s">
        <v>232</v>
      </c>
      <c r="CL709" t="s">
        <v>233</v>
      </c>
      <c r="CM709" t="s">
        <v>9939</v>
      </c>
      <c r="CN709" t="s">
        <v>235</v>
      </c>
      <c r="CO709" t="s">
        <v>183</v>
      </c>
      <c r="CP709" t="s">
        <v>266</v>
      </c>
      <c r="CS709" t="s">
        <v>198</v>
      </c>
      <c r="CT709" t="s">
        <v>6437</v>
      </c>
      <c r="CU709" t="s">
        <v>292</v>
      </c>
      <c r="CV709" t="s">
        <v>293</v>
      </c>
      <c r="CW709" t="s">
        <v>9940</v>
      </c>
      <c r="CX709" t="s">
        <v>482</v>
      </c>
      <c r="CY709" t="s">
        <v>183</v>
      </c>
      <c r="CZ709" t="s">
        <v>211</v>
      </c>
      <c r="DA709" t="s">
        <v>250</v>
      </c>
      <c r="DB709" t="s">
        <v>271</v>
      </c>
      <c r="DC709" t="s">
        <v>4374</v>
      </c>
      <c r="DD709" t="s">
        <v>9941</v>
      </c>
      <c r="DE709" t="s">
        <v>267</v>
      </c>
      <c r="DF709" t="s">
        <v>268</v>
      </c>
      <c r="DG709" t="s">
        <v>9942</v>
      </c>
      <c r="DH709" t="s">
        <v>514</v>
      </c>
      <c r="DI709" t="s">
        <v>183</v>
      </c>
      <c r="DJ709" t="s">
        <v>211</v>
      </c>
      <c r="DK709" t="s">
        <v>487</v>
      </c>
      <c r="DL709" t="s">
        <v>271</v>
      </c>
      <c r="DM709" t="s">
        <v>4374</v>
      </c>
      <c r="DN709" t="s">
        <v>9943</v>
      </c>
      <c r="DO709" t="s">
        <v>273</v>
      </c>
      <c r="DP709" t="s">
        <v>274</v>
      </c>
      <c r="DQ709" t="s">
        <v>9944</v>
      </c>
      <c r="DR709" t="s">
        <v>3342</v>
      </c>
      <c r="DS709" t="s">
        <v>183</v>
      </c>
      <c r="DT709" t="s">
        <v>211</v>
      </c>
      <c r="DV709" t="s">
        <v>271</v>
      </c>
      <c r="DW709" t="s">
        <v>198</v>
      </c>
      <c r="DX709" t="s">
        <v>7532</v>
      </c>
      <c r="DY709" t="s">
        <v>302</v>
      </c>
      <c r="DZ709" t="s">
        <v>303</v>
      </c>
      <c r="EA709" t="s">
        <v>8779</v>
      </c>
      <c r="EB709" t="s">
        <v>1341</v>
      </c>
      <c r="EC709" t="s">
        <v>183</v>
      </c>
      <c r="ED709" t="s">
        <v>211</v>
      </c>
      <c r="EE709" t="s">
        <v>963</v>
      </c>
      <c r="EF709" t="s">
        <v>271</v>
      </c>
      <c r="EG709" t="s">
        <v>4374</v>
      </c>
      <c r="EH709" t="s">
        <v>5370</v>
      </c>
      <c r="EI709" t="s">
        <v>238</v>
      </c>
      <c r="EJ709" t="s">
        <v>239</v>
      </c>
      <c r="EK709" t="s">
        <v>9945</v>
      </c>
      <c r="EL709" t="s">
        <v>278</v>
      </c>
      <c r="EM709" t="s">
        <v>183</v>
      </c>
      <c r="EN709" t="s">
        <v>211</v>
      </c>
      <c r="EO709" t="s">
        <v>1185</v>
      </c>
      <c r="EP709" t="s">
        <v>271</v>
      </c>
      <c r="EQ709" t="s">
        <v>4374</v>
      </c>
      <c r="ER709" t="s">
        <v>6306</v>
      </c>
      <c r="ES709" t="s">
        <v>346</v>
      </c>
      <c r="ET709" t="s">
        <v>347</v>
      </c>
      <c r="EU709" t="s">
        <v>9946</v>
      </c>
      <c r="EV709" t="s">
        <v>1551</v>
      </c>
      <c r="EW709" t="s">
        <v>183</v>
      </c>
      <c r="EX709" t="s">
        <v>211</v>
      </c>
      <c r="EY709" t="s">
        <v>298</v>
      </c>
      <c r="FA709" t="s">
        <v>4631</v>
      </c>
      <c r="FB709" t="s">
        <v>2563</v>
      </c>
      <c r="FC709" t="s">
        <v>207</v>
      </c>
      <c r="FD709" t="s">
        <v>208</v>
      </c>
      <c r="FE709" t="s">
        <v>9947</v>
      </c>
      <c r="FF709" t="s">
        <v>576</v>
      </c>
      <c r="FG709" t="s">
        <v>183</v>
      </c>
      <c r="FH709" t="s">
        <v>211</v>
      </c>
      <c r="FI709" t="s">
        <v>298</v>
      </c>
      <c r="FK709" t="s">
        <v>474</v>
      </c>
      <c r="FU709" t="s">
        <v>198</v>
      </c>
    </row>
    <row r="710" spans="1:177">
      <c r="A710" s="1" t="str">
        <f>HYPERLINK("http://digipan.lumentumllc.com/apps/getLink/index.php?t=PropLink&amp;p=6886808","PL")</f>
        <v>PL</v>
      </c>
      <c r="B710" s="1" t="str">
        <f>HYPERLINK("http://digipan.lumentumllc.com/apps/getLink/index.php?t=TaxLink&amp;p=6886808","TL")</f>
        <v>TL</v>
      </c>
      <c r="C710" s="1" t="str">
        <f>HYPERLINK("http://digipan.lumentumllc.com/apps/getMap/index.php?p=6886808","Map")</f>
        <v>Map</v>
      </c>
      <c r="E710" t="s">
        <v>177</v>
      </c>
      <c r="F710" t="s">
        <v>178</v>
      </c>
      <c r="L710" t="s">
        <v>9948</v>
      </c>
      <c r="N710" t="s">
        <v>9948</v>
      </c>
      <c r="O710" t="s">
        <v>9948</v>
      </c>
      <c r="P710" t="s">
        <v>9949</v>
      </c>
      <c r="Q710" t="s">
        <v>9948</v>
      </c>
      <c r="V710">
        <v>815</v>
      </c>
      <c r="W710">
        <v>3</v>
      </c>
      <c r="X710">
        <v>2017</v>
      </c>
      <c r="Y710">
        <v>2018</v>
      </c>
      <c r="Z710">
        <v>603.15</v>
      </c>
      <c r="AB710" t="s">
        <v>181</v>
      </c>
      <c r="AC710" t="s">
        <v>182</v>
      </c>
      <c r="AD710" t="s">
        <v>183</v>
      </c>
      <c r="AE710">
        <v>1</v>
      </c>
      <c r="AF710">
        <v>2</v>
      </c>
      <c r="AG710" t="s">
        <v>363</v>
      </c>
      <c r="AH710">
        <v>67</v>
      </c>
      <c r="AI710">
        <v>606.15</v>
      </c>
      <c r="AJ710">
        <v>30.31</v>
      </c>
      <c r="AK710">
        <v>636.46</v>
      </c>
      <c r="AL710">
        <v>34884</v>
      </c>
      <c r="AM710">
        <v>20000</v>
      </c>
      <c r="AN710">
        <v>14884</v>
      </c>
      <c r="AO710">
        <v>536</v>
      </c>
      <c r="AP710">
        <v>2016</v>
      </c>
      <c r="AQ710">
        <v>1.73</v>
      </c>
      <c r="AR710">
        <v>1.82</v>
      </c>
      <c r="AS710" t="s">
        <v>9950</v>
      </c>
      <c r="AT710" t="s">
        <v>3747</v>
      </c>
      <c r="AU710" t="s">
        <v>177</v>
      </c>
      <c r="AV710" t="s">
        <v>1030</v>
      </c>
      <c r="AW710" t="s">
        <v>182</v>
      </c>
      <c r="AX710">
        <v>2</v>
      </c>
      <c r="AY710" t="s">
        <v>188</v>
      </c>
      <c r="AZ710" t="s">
        <v>189</v>
      </c>
      <c r="BA710" t="s">
        <v>190</v>
      </c>
      <c r="BB710" t="s">
        <v>191</v>
      </c>
      <c r="BC710" t="s">
        <v>182</v>
      </c>
      <c r="BD710" t="s">
        <v>182</v>
      </c>
      <c r="BE710" t="s">
        <v>7258</v>
      </c>
      <c r="BF710">
        <v>1</v>
      </c>
      <c r="BG710">
        <v>1</v>
      </c>
      <c r="BH710">
        <v>1972</v>
      </c>
      <c r="BI710" t="s">
        <v>2246</v>
      </c>
      <c r="BJ710" t="s">
        <v>194</v>
      </c>
      <c r="BK710" t="s">
        <v>195</v>
      </c>
      <c r="BL710" t="s">
        <v>199</v>
      </c>
      <c r="BM710" t="s">
        <v>273</v>
      </c>
      <c r="BN710" t="s">
        <v>182</v>
      </c>
      <c r="BO710" t="s">
        <v>198</v>
      </c>
      <c r="BP710" t="s">
        <v>198</v>
      </c>
      <c r="BQ710" t="s">
        <v>198</v>
      </c>
      <c r="BR710" t="s">
        <v>198</v>
      </c>
      <c r="BS710" t="s">
        <v>198</v>
      </c>
      <c r="BT710" t="s">
        <v>198</v>
      </c>
      <c r="BU710" t="s">
        <v>182</v>
      </c>
      <c r="BV710" t="s">
        <v>198</v>
      </c>
      <c r="BW710" t="s">
        <v>198</v>
      </c>
      <c r="BX710" t="s">
        <v>199</v>
      </c>
      <c r="BY710" t="s">
        <v>198</v>
      </c>
      <c r="BZ710" t="s">
        <v>199</v>
      </c>
      <c r="CA710" t="s">
        <v>199</v>
      </c>
      <c r="CB710" t="s">
        <v>9951</v>
      </c>
      <c r="CC710" t="s">
        <v>201</v>
      </c>
      <c r="CD710" t="s">
        <v>182</v>
      </c>
      <c r="CE710" t="s">
        <v>9952</v>
      </c>
      <c r="CF710" t="s">
        <v>1029</v>
      </c>
      <c r="CG710" t="s">
        <v>177</v>
      </c>
      <c r="CH710" t="s">
        <v>1030</v>
      </c>
      <c r="CI710" t="s">
        <v>686</v>
      </c>
      <c r="CJ710" t="s">
        <v>9648</v>
      </c>
      <c r="CK710" t="s">
        <v>232</v>
      </c>
      <c r="CL710" t="s">
        <v>233</v>
      </c>
      <c r="CM710" t="s">
        <v>9953</v>
      </c>
      <c r="CN710" t="s">
        <v>235</v>
      </c>
      <c r="CO710" t="s">
        <v>183</v>
      </c>
      <c r="CP710" t="s">
        <v>266</v>
      </c>
      <c r="CS710" t="s">
        <v>198</v>
      </c>
      <c r="CT710" t="s">
        <v>9524</v>
      </c>
      <c r="CU710" t="s">
        <v>292</v>
      </c>
      <c r="CV710" t="s">
        <v>293</v>
      </c>
      <c r="CW710" t="s">
        <v>9954</v>
      </c>
      <c r="CX710" t="s">
        <v>235</v>
      </c>
      <c r="CY710" t="s">
        <v>183</v>
      </c>
      <c r="CZ710" t="s">
        <v>211</v>
      </c>
      <c r="DA710" t="s">
        <v>345</v>
      </c>
      <c r="DC710" t="s">
        <v>2485</v>
      </c>
      <c r="DD710" t="s">
        <v>6717</v>
      </c>
      <c r="DE710" t="s">
        <v>267</v>
      </c>
      <c r="DF710" t="s">
        <v>268</v>
      </c>
      <c r="DG710" t="s">
        <v>9955</v>
      </c>
      <c r="DH710" t="s">
        <v>235</v>
      </c>
      <c r="DI710" t="s">
        <v>183</v>
      </c>
      <c r="DJ710" t="s">
        <v>211</v>
      </c>
      <c r="DK710" t="s">
        <v>298</v>
      </c>
      <c r="DM710" t="s">
        <v>2096</v>
      </c>
      <c r="DW710" t="s">
        <v>198</v>
      </c>
      <c r="EG710" t="s">
        <v>198</v>
      </c>
      <c r="EQ710" t="s">
        <v>198</v>
      </c>
      <c r="FA710" t="s">
        <v>198</v>
      </c>
      <c r="FK710" t="s">
        <v>198</v>
      </c>
      <c r="FU710" t="s">
        <v>198</v>
      </c>
    </row>
    <row r="711" spans="1:177">
      <c r="A711" s="1" t="str">
        <f>HYPERLINK("http://digipan.lumentumllc.com/apps/getLink/index.php?t=PropLink&amp;p=5247385","PL")</f>
        <v>PL</v>
      </c>
      <c r="B711" s="1" t="str">
        <f>HYPERLINK("http://digipan.lumentumllc.com/apps/getLink/index.php?t=TaxLink&amp;p=5247385","TL")</f>
        <v>TL</v>
      </c>
      <c r="C711" s="1" t="str">
        <f>HYPERLINK("http://digipan.lumentumllc.com/apps/getMap/index.php?p=5247385","Map")</f>
        <v>Map</v>
      </c>
      <c r="E711" t="s">
        <v>177</v>
      </c>
      <c r="F711" t="s">
        <v>178</v>
      </c>
      <c r="L711" t="s">
        <v>9956</v>
      </c>
      <c r="N711" t="s">
        <v>9956</v>
      </c>
      <c r="O711" t="s">
        <v>9956</v>
      </c>
      <c r="P711" t="s">
        <v>9957</v>
      </c>
      <c r="Q711" t="s">
        <v>9956</v>
      </c>
      <c r="V711">
        <v>818</v>
      </c>
      <c r="W711">
        <v>3</v>
      </c>
      <c r="X711">
        <v>2017</v>
      </c>
      <c r="Y711">
        <v>2018</v>
      </c>
      <c r="Z711">
        <v>2923.43</v>
      </c>
      <c r="AB711" t="s">
        <v>181</v>
      </c>
      <c r="AC711" t="s">
        <v>182</v>
      </c>
      <c r="AD711" t="s">
        <v>183</v>
      </c>
      <c r="AE711">
        <v>0</v>
      </c>
      <c r="AF711">
        <v>4</v>
      </c>
      <c r="AG711" t="s">
        <v>744</v>
      </c>
      <c r="AH711">
        <v>100</v>
      </c>
      <c r="AK711">
        <v>0</v>
      </c>
      <c r="AL711">
        <v>176601</v>
      </c>
      <c r="AM711">
        <v>20000</v>
      </c>
      <c r="AN711">
        <v>156601</v>
      </c>
      <c r="AO711">
        <v>2725</v>
      </c>
      <c r="AP711">
        <v>2016</v>
      </c>
      <c r="AQ711">
        <v>1.66</v>
      </c>
      <c r="AS711" t="s">
        <v>9958</v>
      </c>
      <c r="AT711" t="s">
        <v>3747</v>
      </c>
      <c r="AU711" t="s">
        <v>177</v>
      </c>
      <c r="AV711" t="s">
        <v>1030</v>
      </c>
      <c r="AW711" t="s">
        <v>182</v>
      </c>
      <c r="AX711">
        <v>1</v>
      </c>
      <c r="AY711" t="s">
        <v>188</v>
      </c>
      <c r="AZ711" t="s">
        <v>206</v>
      </c>
      <c r="BA711" t="s">
        <v>355</v>
      </c>
      <c r="BB711" t="s">
        <v>191</v>
      </c>
      <c r="BC711" t="s">
        <v>182</v>
      </c>
      <c r="BD711" t="s">
        <v>182</v>
      </c>
      <c r="BE711" t="s">
        <v>7767</v>
      </c>
      <c r="BF711">
        <v>1</v>
      </c>
      <c r="BG711">
        <v>1</v>
      </c>
      <c r="BH711">
        <v>1988</v>
      </c>
      <c r="BI711" t="s">
        <v>9959</v>
      </c>
      <c r="BJ711" t="s">
        <v>194</v>
      </c>
      <c r="BK711" t="s">
        <v>195</v>
      </c>
      <c r="BL711" t="s">
        <v>9960</v>
      </c>
      <c r="BM711" t="s">
        <v>267</v>
      </c>
      <c r="BN711" t="s">
        <v>182</v>
      </c>
      <c r="BO711" t="s">
        <v>9961</v>
      </c>
      <c r="BP711" t="s">
        <v>9962</v>
      </c>
      <c r="BR711" t="s">
        <v>1461</v>
      </c>
      <c r="BS711" t="s">
        <v>9963</v>
      </c>
      <c r="BT711" t="s">
        <v>198</v>
      </c>
      <c r="BU711" t="s">
        <v>182</v>
      </c>
      <c r="BV711" t="s">
        <v>198</v>
      </c>
      <c r="BW711" t="s">
        <v>198</v>
      </c>
      <c r="BX711" t="s">
        <v>199</v>
      </c>
      <c r="BY711" t="s">
        <v>198</v>
      </c>
      <c r="BZ711" t="s">
        <v>199</v>
      </c>
      <c r="CA711" t="s">
        <v>199</v>
      </c>
      <c r="CB711" t="s">
        <v>9964</v>
      </c>
      <c r="CC711" t="s">
        <v>201</v>
      </c>
      <c r="CD711" t="s">
        <v>182</v>
      </c>
      <c r="CE711" t="s">
        <v>9965</v>
      </c>
      <c r="CF711" t="s">
        <v>413</v>
      </c>
      <c r="CG711" t="s">
        <v>177</v>
      </c>
      <c r="CH711" t="s">
        <v>9966</v>
      </c>
      <c r="CI711" t="s">
        <v>9967</v>
      </c>
      <c r="CJ711" t="s">
        <v>6544</v>
      </c>
      <c r="CK711" t="s">
        <v>232</v>
      </c>
      <c r="CL711" t="s">
        <v>233</v>
      </c>
      <c r="CM711" t="s">
        <v>9968</v>
      </c>
      <c r="CN711" t="s">
        <v>235</v>
      </c>
      <c r="CO711" t="s">
        <v>183</v>
      </c>
      <c r="CP711" t="s">
        <v>211</v>
      </c>
      <c r="CQ711" t="s">
        <v>250</v>
      </c>
      <c r="CS711" t="s">
        <v>9728</v>
      </c>
      <c r="CT711" t="s">
        <v>7012</v>
      </c>
      <c r="CU711" t="s">
        <v>273</v>
      </c>
      <c r="CV711" t="s">
        <v>274</v>
      </c>
      <c r="CW711" t="s">
        <v>9969</v>
      </c>
      <c r="CX711" t="s">
        <v>235</v>
      </c>
      <c r="CY711" t="s">
        <v>183</v>
      </c>
      <c r="CZ711" t="s">
        <v>211</v>
      </c>
      <c r="DA711" t="s">
        <v>339</v>
      </c>
      <c r="DC711" t="s">
        <v>9970</v>
      </c>
      <c r="DD711" t="s">
        <v>4788</v>
      </c>
      <c r="DE711" t="s">
        <v>302</v>
      </c>
      <c r="DF711" t="s">
        <v>303</v>
      </c>
      <c r="DG711" t="s">
        <v>9971</v>
      </c>
      <c r="DH711" t="s">
        <v>235</v>
      </c>
      <c r="DI711" t="s">
        <v>183</v>
      </c>
      <c r="DJ711" t="s">
        <v>211</v>
      </c>
      <c r="DK711" t="s">
        <v>493</v>
      </c>
      <c r="DM711" t="s">
        <v>9970</v>
      </c>
      <c r="DN711" t="s">
        <v>9972</v>
      </c>
      <c r="DO711" t="s">
        <v>238</v>
      </c>
      <c r="DP711" t="s">
        <v>239</v>
      </c>
      <c r="DQ711" t="s">
        <v>9973</v>
      </c>
      <c r="DR711" t="s">
        <v>235</v>
      </c>
      <c r="DS711" t="s">
        <v>183</v>
      </c>
      <c r="DT711" t="s">
        <v>211</v>
      </c>
      <c r="DU711" t="s">
        <v>444</v>
      </c>
      <c r="DW711" t="s">
        <v>9974</v>
      </c>
      <c r="EG711" t="s">
        <v>198</v>
      </c>
      <c r="EQ711" t="s">
        <v>198</v>
      </c>
      <c r="FA711" t="s">
        <v>198</v>
      </c>
      <c r="FK711" t="s">
        <v>198</v>
      </c>
      <c r="FU711" t="s">
        <v>198</v>
      </c>
    </row>
    <row r="712" spans="1:177">
      <c r="A712" s="1" t="str">
        <f>HYPERLINK("http://digipan.lumentumllc.com/apps/getLink/index.php?t=PropLink&amp;p=15755259","PL")</f>
        <v>PL</v>
      </c>
      <c r="B712" s="1" t="str">
        <f>HYPERLINK("http://digipan.lumentumllc.com/apps/getLink/index.php?t=TaxLink&amp;p=15755259","TL")</f>
        <v>TL</v>
      </c>
      <c r="C712" s="1" t="str">
        <f>HYPERLINK("http://digipan.lumentumllc.com/apps/getMap/index.php?p=15755259","Map")</f>
        <v>Map</v>
      </c>
      <c r="E712" t="s">
        <v>177</v>
      </c>
      <c r="F712" t="s">
        <v>178</v>
      </c>
      <c r="L712" t="s">
        <v>9975</v>
      </c>
      <c r="N712" t="s">
        <v>9975</v>
      </c>
      <c r="O712" t="s">
        <v>9975</v>
      </c>
      <c r="Q712" t="s">
        <v>9975</v>
      </c>
      <c r="V712">
        <v>819</v>
      </c>
      <c r="W712">
        <v>3</v>
      </c>
      <c r="X712">
        <v>2017</v>
      </c>
      <c r="Y712">
        <v>2018</v>
      </c>
      <c r="Z712">
        <v>533.92999999999995</v>
      </c>
      <c r="AB712" t="s">
        <v>181</v>
      </c>
      <c r="AC712" t="s">
        <v>182</v>
      </c>
      <c r="AD712" t="s">
        <v>183</v>
      </c>
      <c r="AE712">
        <v>1</v>
      </c>
      <c r="AF712">
        <v>0</v>
      </c>
      <c r="AG712" t="s">
        <v>1200</v>
      </c>
      <c r="AH712">
        <v>0</v>
      </c>
      <c r="AI712">
        <v>535.96</v>
      </c>
      <c r="AJ712">
        <v>26.8</v>
      </c>
      <c r="AK712">
        <v>562.76</v>
      </c>
      <c r="AL712">
        <v>30657</v>
      </c>
      <c r="AM712">
        <v>20000</v>
      </c>
      <c r="AN712">
        <v>10657</v>
      </c>
      <c r="AO712">
        <v>471</v>
      </c>
      <c r="AP712">
        <v>2016</v>
      </c>
      <c r="AQ712">
        <v>1.74</v>
      </c>
      <c r="AR712">
        <v>1.84</v>
      </c>
      <c r="AS712" t="s">
        <v>9976</v>
      </c>
      <c r="AT712" t="s">
        <v>3747</v>
      </c>
      <c r="AU712" t="s">
        <v>177</v>
      </c>
      <c r="AV712" t="s">
        <v>1030</v>
      </c>
      <c r="AW712" t="s">
        <v>182</v>
      </c>
      <c r="AX712">
        <v>2</v>
      </c>
      <c r="AY712" t="s">
        <v>188</v>
      </c>
      <c r="AZ712" t="s">
        <v>189</v>
      </c>
      <c r="BA712" t="s">
        <v>190</v>
      </c>
      <c r="BB712" t="s">
        <v>191</v>
      </c>
      <c r="BC712" t="s">
        <v>182</v>
      </c>
      <c r="BD712" t="s">
        <v>182</v>
      </c>
      <c r="BE712" t="s">
        <v>3783</v>
      </c>
      <c r="BF712">
        <v>1</v>
      </c>
      <c r="BG712">
        <v>1</v>
      </c>
      <c r="BH712">
        <v>1973</v>
      </c>
      <c r="BI712" t="s">
        <v>9977</v>
      </c>
      <c r="BJ712" t="s">
        <v>285</v>
      </c>
      <c r="BK712" t="s">
        <v>195</v>
      </c>
      <c r="BL712" t="s">
        <v>9978</v>
      </c>
      <c r="BM712" t="s">
        <v>292</v>
      </c>
      <c r="BN712" t="s">
        <v>182</v>
      </c>
      <c r="BO712" t="s">
        <v>9979</v>
      </c>
      <c r="BP712" t="s">
        <v>9980</v>
      </c>
      <c r="BQ712" t="s">
        <v>800</v>
      </c>
      <c r="BR712" t="s">
        <v>1897</v>
      </c>
      <c r="BS712" t="s">
        <v>198</v>
      </c>
      <c r="BT712" t="s">
        <v>9981</v>
      </c>
      <c r="BU712" t="s">
        <v>182</v>
      </c>
      <c r="BV712" t="s">
        <v>198</v>
      </c>
      <c r="BW712" t="s">
        <v>198</v>
      </c>
      <c r="BX712" t="s">
        <v>199</v>
      </c>
      <c r="BY712" t="s">
        <v>198</v>
      </c>
      <c r="BZ712" t="s">
        <v>199</v>
      </c>
      <c r="CA712" t="s">
        <v>199</v>
      </c>
      <c r="CB712" t="s">
        <v>9982</v>
      </c>
      <c r="CC712" t="s">
        <v>201</v>
      </c>
      <c r="CD712" t="s">
        <v>182</v>
      </c>
      <c r="CE712" t="s">
        <v>9983</v>
      </c>
      <c r="CF712" t="s">
        <v>1029</v>
      </c>
      <c r="CG712" t="s">
        <v>177</v>
      </c>
      <c r="CH712" t="s">
        <v>1030</v>
      </c>
      <c r="CI712" t="s">
        <v>9984</v>
      </c>
      <c r="CJ712" t="s">
        <v>9853</v>
      </c>
      <c r="CK712" t="s">
        <v>232</v>
      </c>
      <c r="CL712" t="s">
        <v>233</v>
      </c>
      <c r="CM712" t="s">
        <v>9985</v>
      </c>
      <c r="CN712" t="s">
        <v>235</v>
      </c>
      <c r="CO712" t="s">
        <v>183</v>
      </c>
      <c r="CP712" t="s">
        <v>266</v>
      </c>
      <c r="CS712" t="s">
        <v>198</v>
      </c>
      <c r="DC712" t="s">
        <v>198</v>
      </c>
      <c r="DM712" t="s">
        <v>198</v>
      </c>
      <c r="DW712" t="s">
        <v>198</v>
      </c>
      <c r="EG712" t="s">
        <v>198</v>
      </c>
      <c r="EQ712" t="s">
        <v>198</v>
      </c>
      <c r="FA712" t="s">
        <v>198</v>
      </c>
      <c r="FK712" t="s">
        <v>198</v>
      </c>
      <c r="FU712" t="s">
        <v>198</v>
      </c>
    </row>
    <row r="713" spans="1:177">
      <c r="A713" s="1" t="str">
        <f>HYPERLINK("http://digipan.lumentumllc.com/apps/getLink/index.php?t=PropLink&amp;p=5247394","PL")</f>
        <v>PL</v>
      </c>
      <c r="B713" s="1" t="str">
        <f>HYPERLINK("http://digipan.lumentumllc.com/apps/getLink/index.php?t=TaxLink&amp;p=5247394","TL")</f>
        <v>TL</v>
      </c>
      <c r="C713" s="1" t="str">
        <f>HYPERLINK("http://digipan.lumentumllc.com/apps/getMap/index.php?p=5247394","Map")</f>
        <v>Map</v>
      </c>
      <c r="E713" t="s">
        <v>177</v>
      </c>
      <c r="F713" t="s">
        <v>178</v>
      </c>
      <c r="L713" t="s">
        <v>9986</v>
      </c>
      <c r="N713" t="s">
        <v>9986</v>
      </c>
      <c r="O713" t="s">
        <v>9986</v>
      </c>
      <c r="P713" t="s">
        <v>9987</v>
      </c>
      <c r="Q713" t="s">
        <v>9986</v>
      </c>
      <c r="V713">
        <v>823</v>
      </c>
      <c r="W713">
        <v>3</v>
      </c>
      <c r="X713">
        <v>2017</v>
      </c>
      <c r="Y713">
        <v>2018</v>
      </c>
      <c r="Z713">
        <v>547</v>
      </c>
      <c r="AB713" t="s">
        <v>181</v>
      </c>
      <c r="AC713" t="s">
        <v>182</v>
      </c>
      <c r="AD713" t="s">
        <v>183</v>
      </c>
      <c r="AE713">
        <v>0</v>
      </c>
      <c r="AF713">
        <v>2</v>
      </c>
      <c r="AG713" t="s">
        <v>216</v>
      </c>
      <c r="AH713">
        <v>100</v>
      </c>
      <c r="AK713">
        <v>0</v>
      </c>
      <c r="AL713">
        <v>64810</v>
      </c>
      <c r="AM713">
        <v>20000</v>
      </c>
      <c r="AN713">
        <v>44810</v>
      </c>
      <c r="AO713">
        <v>917</v>
      </c>
      <c r="AP713">
        <v>2016</v>
      </c>
      <c r="AQ713">
        <v>0.84</v>
      </c>
      <c r="AS713" t="s">
        <v>9988</v>
      </c>
      <c r="AT713" t="s">
        <v>3747</v>
      </c>
      <c r="AU713" t="s">
        <v>177</v>
      </c>
      <c r="AV713" t="s">
        <v>1030</v>
      </c>
      <c r="AW713" t="s">
        <v>202</v>
      </c>
      <c r="AX713">
        <v>2</v>
      </c>
      <c r="AY713" t="s">
        <v>188</v>
      </c>
      <c r="AZ713" t="s">
        <v>189</v>
      </c>
      <c r="BA713" t="s">
        <v>190</v>
      </c>
      <c r="BB713" t="s">
        <v>191</v>
      </c>
      <c r="BC713" t="s">
        <v>182</v>
      </c>
      <c r="BD713" t="s">
        <v>182</v>
      </c>
      <c r="BE713" t="s">
        <v>7246</v>
      </c>
      <c r="BF713">
        <v>1</v>
      </c>
      <c r="BG713">
        <v>1</v>
      </c>
      <c r="BH713">
        <v>1995</v>
      </c>
      <c r="BI713" t="s">
        <v>900</v>
      </c>
      <c r="BJ713" t="s">
        <v>194</v>
      </c>
      <c r="BK713" t="s">
        <v>195</v>
      </c>
      <c r="BL713" t="s">
        <v>199</v>
      </c>
      <c r="BM713" t="s">
        <v>302</v>
      </c>
      <c r="BN713" t="s">
        <v>182</v>
      </c>
      <c r="BO713" t="s">
        <v>3842</v>
      </c>
      <c r="BP713" t="s">
        <v>9989</v>
      </c>
      <c r="BS713" t="s">
        <v>9990</v>
      </c>
      <c r="BT713" t="s">
        <v>198</v>
      </c>
      <c r="BU713" t="s">
        <v>182</v>
      </c>
      <c r="BV713" t="s">
        <v>198</v>
      </c>
      <c r="BW713" t="s">
        <v>198</v>
      </c>
      <c r="BX713" t="s">
        <v>199</v>
      </c>
      <c r="BY713" t="s">
        <v>198</v>
      </c>
      <c r="BZ713" t="s">
        <v>199</v>
      </c>
      <c r="CA713" t="s">
        <v>199</v>
      </c>
      <c r="CB713" t="s">
        <v>9991</v>
      </c>
      <c r="CC713" t="s">
        <v>201</v>
      </c>
      <c r="CD713" t="s">
        <v>182</v>
      </c>
      <c r="CE713" t="s">
        <v>9992</v>
      </c>
      <c r="CF713" t="s">
        <v>1029</v>
      </c>
      <c r="CG713" t="s">
        <v>177</v>
      </c>
      <c r="CH713" t="s">
        <v>1030</v>
      </c>
      <c r="CI713" t="s">
        <v>9993</v>
      </c>
      <c r="CJ713" t="s">
        <v>6602</v>
      </c>
      <c r="CK713" t="s">
        <v>232</v>
      </c>
      <c r="CL713" t="s">
        <v>233</v>
      </c>
      <c r="CM713" t="s">
        <v>9994</v>
      </c>
      <c r="CN713" t="s">
        <v>235</v>
      </c>
      <c r="CO713" t="s">
        <v>183</v>
      </c>
      <c r="CP713" t="s">
        <v>211</v>
      </c>
      <c r="CQ713" t="s">
        <v>342</v>
      </c>
      <c r="CS713" t="s">
        <v>6851</v>
      </c>
      <c r="CT713" t="s">
        <v>6505</v>
      </c>
      <c r="CU713" t="s">
        <v>292</v>
      </c>
      <c r="CV713" t="s">
        <v>293</v>
      </c>
      <c r="CW713" t="s">
        <v>9995</v>
      </c>
      <c r="CX713" t="s">
        <v>235</v>
      </c>
      <c r="CY713" t="s">
        <v>183</v>
      </c>
      <c r="CZ713" t="s">
        <v>211</v>
      </c>
      <c r="DA713" t="s">
        <v>329</v>
      </c>
      <c r="DC713" t="s">
        <v>2096</v>
      </c>
      <c r="DM713" t="s">
        <v>198</v>
      </c>
      <c r="DW713" t="s">
        <v>198</v>
      </c>
      <c r="EG713" t="s">
        <v>198</v>
      </c>
      <c r="EQ713" t="s">
        <v>198</v>
      </c>
      <c r="FA713" t="s">
        <v>198</v>
      </c>
      <c r="FK713" t="s">
        <v>198</v>
      </c>
      <c r="FU713" t="s">
        <v>198</v>
      </c>
    </row>
    <row r="714" spans="1:177">
      <c r="A714" s="1" t="str">
        <f>HYPERLINK("http://digipan.lumentumllc.com/apps/getLink/index.php?t=PropLink&amp;p=5247396","PL")</f>
        <v>PL</v>
      </c>
      <c r="B714" s="1" t="str">
        <f>HYPERLINK("http://digipan.lumentumllc.com/apps/getLink/index.php?t=TaxLink&amp;p=5247396","TL")</f>
        <v>TL</v>
      </c>
      <c r="C714" s="1" t="str">
        <f>HYPERLINK("http://digipan.lumentumllc.com/apps/getMap/index.php?p=5247396","Map")</f>
        <v>Map</v>
      </c>
      <c r="E714" t="s">
        <v>177</v>
      </c>
      <c r="F714" t="s">
        <v>178</v>
      </c>
      <c r="L714" t="s">
        <v>9996</v>
      </c>
      <c r="N714" t="s">
        <v>9996</v>
      </c>
      <c r="O714" t="s">
        <v>9996</v>
      </c>
      <c r="P714" t="s">
        <v>9997</v>
      </c>
      <c r="Q714" t="s">
        <v>9996</v>
      </c>
      <c r="V714">
        <v>825</v>
      </c>
      <c r="W714">
        <v>3</v>
      </c>
      <c r="X714">
        <v>2017</v>
      </c>
      <c r="Y714">
        <v>2018</v>
      </c>
      <c r="Z714">
        <v>572.59</v>
      </c>
      <c r="AB714" t="s">
        <v>181</v>
      </c>
      <c r="AC714" t="s">
        <v>202</v>
      </c>
      <c r="AD714" t="s">
        <v>183</v>
      </c>
      <c r="AE714">
        <v>2</v>
      </c>
      <c r="AF714">
        <v>5</v>
      </c>
      <c r="AG714" t="s">
        <v>282</v>
      </c>
      <c r="AH714">
        <v>67</v>
      </c>
      <c r="AI714">
        <v>1107.06</v>
      </c>
      <c r="AJ714">
        <v>225.45</v>
      </c>
      <c r="AK714">
        <v>1332.51</v>
      </c>
      <c r="AL714">
        <v>33018</v>
      </c>
      <c r="AM714">
        <v>20000</v>
      </c>
      <c r="AN714">
        <v>13018</v>
      </c>
      <c r="AO714">
        <v>491</v>
      </c>
      <c r="AP714">
        <v>2016</v>
      </c>
      <c r="AQ714">
        <v>1.73</v>
      </c>
      <c r="AR714">
        <v>4.04</v>
      </c>
      <c r="AS714" t="s">
        <v>9998</v>
      </c>
      <c r="AT714" t="s">
        <v>3747</v>
      </c>
      <c r="AU714" t="s">
        <v>177</v>
      </c>
      <c r="AV714" t="s">
        <v>1030</v>
      </c>
      <c r="AW714" t="s">
        <v>182</v>
      </c>
      <c r="AX714">
        <v>2</v>
      </c>
      <c r="AY714" t="s">
        <v>188</v>
      </c>
      <c r="AZ714" t="s">
        <v>189</v>
      </c>
      <c r="BA714" t="s">
        <v>190</v>
      </c>
      <c r="BB714" t="s">
        <v>191</v>
      </c>
      <c r="BC714" t="s">
        <v>182</v>
      </c>
      <c r="BD714" t="s">
        <v>182</v>
      </c>
      <c r="BE714" t="s">
        <v>1385</v>
      </c>
      <c r="BF714">
        <v>1</v>
      </c>
      <c r="BG714">
        <v>1</v>
      </c>
      <c r="BH714">
        <v>1988</v>
      </c>
      <c r="BI714" t="s">
        <v>6503</v>
      </c>
      <c r="BJ714" t="s">
        <v>194</v>
      </c>
      <c r="BK714" t="s">
        <v>195</v>
      </c>
      <c r="BL714" t="s">
        <v>2050</v>
      </c>
      <c r="BM714" t="s">
        <v>410</v>
      </c>
      <c r="BN714" t="s">
        <v>182</v>
      </c>
      <c r="BO714" t="s">
        <v>4123</v>
      </c>
      <c r="BP714" t="s">
        <v>9999</v>
      </c>
      <c r="BS714" t="s">
        <v>10000</v>
      </c>
      <c r="BT714" t="s">
        <v>198</v>
      </c>
      <c r="BU714" t="s">
        <v>182</v>
      </c>
      <c r="BV714" t="s">
        <v>198</v>
      </c>
      <c r="BW714" t="s">
        <v>198</v>
      </c>
      <c r="BX714" t="s">
        <v>199</v>
      </c>
      <c r="BY714" t="s">
        <v>198</v>
      </c>
      <c r="BZ714" t="s">
        <v>199</v>
      </c>
      <c r="CA714" t="s">
        <v>199</v>
      </c>
      <c r="CB714" t="s">
        <v>10001</v>
      </c>
      <c r="CC714" t="s">
        <v>201</v>
      </c>
      <c r="CD714" t="s">
        <v>182</v>
      </c>
      <c r="CE714" t="s">
        <v>10002</v>
      </c>
      <c r="CF714" t="s">
        <v>3077</v>
      </c>
      <c r="CG714" t="s">
        <v>177</v>
      </c>
      <c r="CH714" t="s">
        <v>3078</v>
      </c>
      <c r="CI714" t="s">
        <v>10003</v>
      </c>
      <c r="CJ714" t="s">
        <v>193</v>
      </c>
      <c r="CK714" t="s">
        <v>232</v>
      </c>
      <c r="CL714" t="s">
        <v>233</v>
      </c>
      <c r="CM714" t="s">
        <v>10004</v>
      </c>
      <c r="CN714" t="s">
        <v>235</v>
      </c>
      <c r="CO714" t="s">
        <v>183</v>
      </c>
      <c r="CP714" t="s">
        <v>266</v>
      </c>
      <c r="CS714" t="s">
        <v>198</v>
      </c>
      <c r="CT714" t="s">
        <v>8416</v>
      </c>
      <c r="CU714" t="s">
        <v>292</v>
      </c>
      <c r="CV714" t="s">
        <v>293</v>
      </c>
      <c r="CW714" t="s">
        <v>10005</v>
      </c>
      <c r="CX714" t="s">
        <v>482</v>
      </c>
      <c r="CY714" t="s">
        <v>183</v>
      </c>
      <c r="CZ714" t="s">
        <v>266</v>
      </c>
      <c r="DC714" t="s">
        <v>198</v>
      </c>
      <c r="DD714" t="s">
        <v>9369</v>
      </c>
      <c r="DE714" t="s">
        <v>267</v>
      </c>
      <c r="DF714" t="s">
        <v>268</v>
      </c>
      <c r="DG714" t="s">
        <v>10006</v>
      </c>
      <c r="DH714" t="s">
        <v>511</v>
      </c>
      <c r="DI714" t="s">
        <v>183</v>
      </c>
      <c r="DJ714" t="s">
        <v>211</v>
      </c>
      <c r="DK714" t="s">
        <v>345</v>
      </c>
      <c r="DM714" t="s">
        <v>10007</v>
      </c>
      <c r="DN714" t="s">
        <v>5581</v>
      </c>
      <c r="DO714" t="s">
        <v>273</v>
      </c>
      <c r="DP714" t="s">
        <v>274</v>
      </c>
      <c r="DQ714" t="s">
        <v>10008</v>
      </c>
      <c r="DR714" t="s">
        <v>235</v>
      </c>
      <c r="DS714" t="s">
        <v>183</v>
      </c>
      <c r="DT714" t="s">
        <v>211</v>
      </c>
      <c r="DU714" t="s">
        <v>471</v>
      </c>
      <c r="DW714" t="s">
        <v>10009</v>
      </c>
      <c r="DX714" t="s">
        <v>7680</v>
      </c>
      <c r="DY714" t="s">
        <v>302</v>
      </c>
      <c r="DZ714" t="s">
        <v>303</v>
      </c>
      <c r="EA714" t="s">
        <v>10010</v>
      </c>
      <c r="EB714" t="s">
        <v>235</v>
      </c>
      <c r="EC714" t="s">
        <v>183</v>
      </c>
      <c r="ED714" t="s">
        <v>211</v>
      </c>
      <c r="EE714" t="s">
        <v>296</v>
      </c>
      <c r="EF714" t="s">
        <v>271</v>
      </c>
      <c r="EG714" t="s">
        <v>10011</v>
      </c>
      <c r="EH714" t="s">
        <v>10012</v>
      </c>
      <c r="EI714" t="s">
        <v>346</v>
      </c>
      <c r="EJ714" t="s">
        <v>347</v>
      </c>
      <c r="EK714" t="s">
        <v>10013</v>
      </c>
      <c r="EL714" t="s">
        <v>2515</v>
      </c>
      <c r="EM714" t="s">
        <v>183</v>
      </c>
      <c r="EN714" t="s">
        <v>211</v>
      </c>
      <c r="EP714" t="s">
        <v>271</v>
      </c>
      <c r="EQ714" t="s">
        <v>198</v>
      </c>
      <c r="ER714" t="s">
        <v>10014</v>
      </c>
      <c r="ES714" t="s">
        <v>207</v>
      </c>
      <c r="ET714" t="s">
        <v>208</v>
      </c>
      <c r="EU714" t="s">
        <v>10015</v>
      </c>
      <c r="EV714" t="s">
        <v>576</v>
      </c>
      <c r="EW714" t="s">
        <v>183</v>
      </c>
      <c r="EX714" t="s">
        <v>211</v>
      </c>
      <c r="EY714" t="s">
        <v>345</v>
      </c>
      <c r="FA714" t="s">
        <v>8196</v>
      </c>
      <c r="FK714" t="s">
        <v>198</v>
      </c>
      <c r="FU714" t="s">
        <v>198</v>
      </c>
    </row>
    <row r="715" spans="1:177">
      <c r="A715" s="1" t="str">
        <f>HYPERLINK("http://digipan.lumentumllc.com/apps/getLink/index.php?t=PropLink&amp;p=5247399","PL")</f>
        <v>PL</v>
      </c>
      <c r="B715" s="1" t="str">
        <f>HYPERLINK("http://digipan.lumentumllc.com/apps/getLink/index.php?t=TaxLink&amp;p=5247399","TL")</f>
        <v>TL</v>
      </c>
      <c r="C715" s="1" t="str">
        <f>HYPERLINK("http://digipan.lumentumllc.com/apps/getMap/index.php?p=5247399","Map")</f>
        <v>Map</v>
      </c>
      <c r="E715" t="s">
        <v>177</v>
      </c>
      <c r="F715" t="s">
        <v>178</v>
      </c>
      <c r="L715" t="s">
        <v>10016</v>
      </c>
      <c r="N715" t="s">
        <v>10016</v>
      </c>
      <c r="O715" t="s">
        <v>10016</v>
      </c>
      <c r="P715" t="s">
        <v>10017</v>
      </c>
      <c r="Q715" t="s">
        <v>10016</v>
      </c>
      <c r="V715">
        <v>826</v>
      </c>
      <c r="W715">
        <v>3</v>
      </c>
      <c r="X715">
        <v>2017</v>
      </c>
      <c r="Y715">
        <v>2018</v>
      </c>
      <c r="Z715">
        <v>488.16</v>
      </c>
      <c r="AB715" t="s">
        <v>181</v>
      </c>
      <c r="AC715" t="s">
        <v>182</v>
      </c>
      <c r="AD715" t="s">
        <v>183</v>
      </c>
      <c r="AE715">
        <v>0</v>
      </c>
      <c r="AF715">
        <v>2</v>
      </c>
      <c r="AG715" t="s">
        <v>821</v>
      </c>
      <c r="AH715">
        <v>100</v>
      </c>
      <c r="AK715">
        <v>0</v>
      </c>
      <c r="AL715">
        <v>27862</v>
      </c>
      <c r="AM715">
        <v>20000</v>
      </c>
      <c r="AN715">
        <v>7862</v>
      </c>
      <c r="AO715">
        <v>389</v>
      </c>
      <c r="AP715">
        <v>2016</v>
      </c>
      <c r="AQ715">
        <v>1.75</v>
      </c>
      <c r="AS715" t="s">
        <v>10018</v>
      </c>
      <c r="AT715" t="s">
        <v>3747</v>
      </c>
      <c r="AU715" t="s">
        <v>177</v>
      </c>
      <c r="AV715" t="s">
        <v>1030</v>
      </c>
      <c r="AW715" t="s">
        <v>182</v>
      </c>
      <c r="AX715">
        <v>0</v>
      </c>
      <c r="AY715" t="s">
        <v>312</v>
      </c>
      <c r="AZ715" t="s">
        <v>199</v>
      </c>
      <c r="BA715" t="s">
        <v>313</v>
      </c>
      <c r="BB715" t="s">
        <v>191</v>
      </c>
      <c r="BC715" t="s">
        <v>182</v>
      </c>
      <c r="BD715" t="s">
        <v>182</v>
      </c>
      <c r="BE715" t="s">
        <v>383</v>
      </c>
      <c r="BF715">
        <v>1</v>
      </c>
      <c r="BG715">
        <v>0</v>
      </c>
      <c r="BH715">
        <v>0</v>
      </c>
      <c r="BI715" t="s">
        <v>199</v>
      </c>
      <c r="BJ715" t="s">
        <v>248</v>
      </c>
      <c r="BL715" t="s">
        <v>1824</v>
      </c>
      <c r="BM715" t="s">
        <v>238</v>
      </c>
      <c r="BN715" t="s">
        <v>182</v>
      </c>
      <c r="BO715" t="s">
        <v>10019</v>
      </c>
      <c r="BP715" t="s">
        <v>9362</v>
      </c>
      <c r="BQ715" t="s">
        <v>904</v>
      </c>
      <c r="BR715" t="s">
        <v>563</v>
      </c>
      <c r="BS715" t="s">
        <v>198</v>
      </c>
      <c r="BT715" t="s">
        <v>8326</v>
      </c>
      <c r="BU715" t="s">
        <v>182</v>
      </c>
      <c r="BV715" t="s">
        <v>198</v>
      </c>
      <c r="BW715" t="s">
        <v>198</v>
      </c>
      <c r="BX715" t="s">
        <v>199</v>
      </c>
      <c r="BY715" t="s">
        <v>198</v>
      </c>
      <c r="BZ715" t="s">
        <v>199</v>
      </c>
      <c r="CA715" t="s">
        <v>199</v>
      </c>
      <c r="CB715" t="s">
        <v>10020</v>
      </c>
      <c r="CC715" t="s">
        <v>201</v>
      </c>
      <c r="CD715" t="s">
        <v>202</v>
      </c>
      <c r="CE715" t="s">
        <v>10021</v>
      </c>
      <c r="CF715" t="s">
        <v>1029</v>
      </c>
      <c r="CG715" t="s">
        <v>177</v>
      </c>
      <c r="CH715" t="s">
        <v>1030</v>
      </c>
      <c r="CI715" t="s">
        <v>10022</v>
      </c>
      <c r="CJ715" t="s">
        <v>10023</v>
      </c>
      <c r="CK715" t="s">
        <v>346</v>
      </c>
      <c r="CL715" t="s">
        <v>347</v>
      </c>
      <c r="CM715" t="s">
        <v>10024</v>
      </c>
      <c r="CN715" t="s">
        <v>2515</v>
      </c>
      <c r="CO715" t="s">
        <v>183</v>
      </c>
      <c r="CP715" t="s">
        <v>211</v>
      </c>
      <c r="CQ715" t="s">
        <v>189</v>
      </c>
      <c r="CS715" t="s">
        <v>10025</v>
      </c>
      <c r="CT715" t="s">
        <v>10026</v>
      </c>
      <c r="CU715" t="s">
        <v>207</v>
      </c>
      <c r="CV715" t="s">
        <v>208</v>
      </c>
      <c r="CW715" t="s">
        <v>10027</v>
      </c>
      <c r="CX715" t="s">
        <v>576</v>
      </c>
      <c r="CY715" t="s">
        <v>183</v>
      </c>
      <c r="CZ715" t="s">
        <v>211</v>
      </c>
      <c r="DA715" t="s">
        <v>460</v>
      </c>
      <c r="DC715" t="s">
        <v>10025</v>
      </c>
      <c r="DM715" t="s">
        <v>198</v>
      </c>
      <c r="DW715" t="s">
        <v>198</v>
      </c>
      <c r="EG715" t="s">
        <v>198</v>
      </c>
      <c r="EQ715" t="s">
        <v>198</v>
      </c>
      <c r="FA715" t="s">
        <v>198</v>
      </c>
      <c r="FK715" t="s">
        <v>198</v>
      </c>
      <c r="FU715" t="s">
        <v>198</v>
      </c>
    </row>
    <row r="716" spans="1:177">
      <c r="A716" s="1" t="str">
        <f>HYPERLINK("http://digipan.lumentumllc.com/apps/getLink/index.php?t=PropLink&amp;p=6594319","PL")</f>
        <v>PL</v>
      </c>
      <c r="B716" s="1" t="str">
        <f>HYPERLINK("http://digipan.lumentumllc.com/apps/getLink/index.php?t=TaxLink&amp;p=6594319","TL")</f>
        <v>TL</v>
      </c>
      <c r="C716" s="1" t="str">
        <f>HYPERLINK("http://digipan.lumentumllc.com/apps/getMap/index.php?p=6594319","Map")</f>
        <v>Map</v>
      </c>
      <c r="E716" t="s">
        <v>177</v>
      </c>
      <c r="F716" t="s">
        <v>178</v>
      </c>
      <c r="L716" t="s">
        <v>10028</v>
      </c>
      <c r="N716" t="s">
        <v>10028</v>
      </c>
      <c r="O716" t="s">
        <v>10028</v>
      </c>
      <c r="P716" t="s">
        <v>10029</v>
      </c>
      <c r="Q716" t="s">
        <v>10028</v>
      </c>
      <c r="V716">
        <v>828</v>
      </c>
      <c r="W716">
        <v>3</v>
      </c>
      <c r="X716">
        <v>2017</v>
      </c>
      <c r="Y716">
        <v>2018</v>
      </c>
      <c r="Z716">
        <v>578.24</v>
      </c>
      <c r="AB716" t="s">
        <v>181</v>
      </c>
      <c r="AC716" t="s">
        <v>202</v>
      </c>
      <c r="AD716" t="s">
        <v>1037</v>
      </c>
      <c r="AE716">
        <v>0</v>
      </c>
      <c r="AF716">
        <v>5</v>
      </c>
      <c r="AG716" t="s">
        <v>3266</v>
      </c>
      <c r="AH716">
        <v>100</v>
      </c>
      <c r="AK716">
        <v>0</v>
      </c>
      <c r="AL716">
        <v>33363</v>
      </c>
      <c r="AM716">
        <v>20000</v>
      </c>
      <c r="AN716">
        <v>13363</v>
      </c>
      <c r="AO716">
        <v>569</v>
      </c>
      <c r="AP716">
        <v>2016</v>
      </c>
      <c r="AQ716">
        <v>1.73</v>
      </c>
      <c r="AS716" t="s">
        <v>10030</v>
      </c>
      <c r="AT716" t="s">
        <v>3747</v>
      </c>
      <c r="AU716" t="s">
        <v>177</v>
      </c>
      <c r="AV716" t="s">
        <v>1030</v>
      </c>
      <c r="AW716" t="s">
        <v>182</v>
      </c>
      <c r="AX716">
        <v>2</v>
      </c>
      <c r="AY716" t="s">
        <v>188</v>
      </c>
      <c r="AZ716" t="s">
        <v>189</v>
      </c>
      <c r="BA716" t="s">
        <v>190</v>
      </c>
      <c r="BB716" t="s">
        <v>191</v>
      </c>
      <c r="BC716" t="s">
        <v>182</v>
      </c>
      <c r="BD716" t="s">
        <v>182</v>
      </c>
      <c r="BE716" t="s">
        <v>5145</v>
      </c>
      <c r="BF716">
        <v>1</v>
      </c>
      <c r="BG716">
        <v>1</v>
      </c>
      <c r="BH716">
        <v>1980</v>
      </c>
      <c r="BI716" t="s">
        <v>10031</v>
      </c>
      <c r="BJ716" t="s">
        <v>194</v>
      </c>
      <c r="BK716" t="s">
        <v>195</v>
      </c>
      <c r="BL716" t="s">
        <v>2115</v>
      </c>
      <c r="BM716" t="s">
        <v>368</v>
      </c>
      <c r="BN716" t="s">
        <v>182</v>
      </c>
      <c r="BO716" t="s">
        <v>198</v>
      </c>
      <c r="BP716" t="s">
        <v>198</v>
      </c>
      <c r="BQ716" t="s">
        <v>198</v>
      </c>
      <c r="BR716" t="s">
        <v>198</v>
      </c>
      <c r="BS716" t="s">
        <v>198</v>
      </c>
      <c r="BT716" t="s">
        <v>198</v>
      </c>
      <c r="BU716" t="s">
        <v>182</v>
      </c>
      <c r="BV716" t="s">
        <v>198</v>
      </c>
      <c r="BW716" t="s">
        <v>198</v>
      </c>
      <c r="BX716" t="s">
        <v>199</v>
      </c>
      <c r="BY716" t="s">
        <v>198</v>
      </c>
      <c r="BZ716" t="s">
        <v>199</v>
      </c>
      <c r="CA716" t="s">
        <v>199</v>
      </c>
      <c r="CB716" t="s">
        <v>10032</v>
      </c>
      <c r="CC716" t="s">
        <v>201</v>
      </c>
      <c r="CD716" t="s">
        <v>202</v>
      </c>
      <c r="CE716" t="s">
        <v>10033</v>
      </c>
      <c r="CF716" t="s">
        <v>1029</v>
      </c>
      <c r="CG716" t="s">
        <v>177</v>
      </c>
      <c r="CH716" t="s">
        <v>1030</v>
      </c>
      <c r="CI716" t="s">
        <v>10034</v>
      </c>
      <c r="CJ716" t="s">
        <v>9941</v>
      </c>
      <c r="CK716" t="s">
        <v>232</v>
      </c>
      <c r="CL716" t="s">
        <v>233</v>
      </c>
      <c r="CM716" t="s">
        <v>10035</v>
      </c>
      <c r="CN716" t="s">
        <v>331</v>
      </c>
      <c r="CO716" t="s">
        <v>183</v>
      </c>
      <c r="CP716" t="s">
        <v>211</v>
      </c>
      <c r="CQ716" t="s">
        <v>199</v>
      </c>
      <c r="CR716" t="s">
        <v>271</v>
      </c>
      <c r="CS716" t="s">
        <v>10036</v>
      </c>
      <c r="CT716" t="s">
        <v>9648</v>
      </c>
      <c r="CU716" t="s">
        <v>292</v>
      </c>
      <c r="CV716" t="s">
        <v>293</v>
      </c>
      <c r="CW716" t="s">
        <v>10037</v>
      </c>
      <c r="CX716" t="s">
        <v>482</v>
      </c>
      <c r="CY716" t="s">
        <v>183</v>
      </c>
      <c r="CZ716" t="s">
        <v>211</v>
      </c>
      <c r="DA716" t="s">
        <v>427</v>
      </c>
      <c r="DB716" t="s">
        <v>271</v>
      </c>
      <c r="DC716" t="s">
        <v>10036</v>
      </c>
      <c r="DD716" t="s">
        <v>6951</v>
      </c>
      <c r="DE716" t="s">
        <v>267</v>
      </c>
      <c r="DF716" t="s">
        <v>268</v>
      </c>
      <c r="DG716" t="s">
        <v>10038</v>
      </c>
      <c r="DH716" t="s">
        <v>235</v>
      </c>
      <c r="DI716" t="s">
        <v>183</v>
      </c>
      <c r="DJ716" t="s">
        <v>211</v>
      </c>
      <c r="DK716" t="s">
        <v>633</v>
      </c>
      <c r="DL716" t="s">
        <v>271</v>
      </c>
      <c r="DM716" t="s">
        <v>10036</v>
      </c>
      <c r="DN716" t="s">
        <v>9619</v>
      </c>
      <c r="DO716" t="s">
        <v>273</v>
      </c>
      <c r="DP716" t="s">
        <v>274</v>
      </c>
      <c r="DQ716" t="s">
        <v>10039</v>
      </c>
      <c r="DR716" t="s">
        <v>235</v>
      </c>
      <c r="DS716" t="s">
        <v>183</v>
      </c>
      <c r="DT716" t="s">
        <v>211</v>
      </c>
      <c r="DV716" t="s">
        <v>271</v>
      </c>
      <c r="DW716" t="s">
        <v>198</v>
      </c>
      <c r="DX716" t="s">
        <v>10040</v>
      </c>
      <c r="DY716" t="s">
        <v>302</v>
      </c>
      <c r="DZ716" t="s">
        <v>303</v>
      </c>
      <c r="EA716" t="s">
        <v>10041</v>
      </c>
      <c r="EB716" t="s">
        <v>482</v>
      </c>
      <c r="EC716" t="s">
        <v>5</v>
      </c>
      <c r="ED716" t="s">
        <v>211</v>
      </c>
      <c r="EE716" t="s">
        <v>296</v>
      </c>
      <c r="EG716" t="s">
        <v>10042</v>
      </c>
      <c r="EQ716" t="s">
        <v>198</v>
      </c>
      <c r="FA716" t="s">
        <v>198</v>
      </c>
      <c r="FK716" t="s">
        <v>198</v>
      </c>
      <c r="FU716" t="s">
        <v>198</v>
      </c>
    </row>
    <row r="717" spans="1:177">
      <c r="A717" s="1" t="str">
        <f>HYPERLINK("http://digipan.lumentumllc.com/apps/getLink/index.php?t=PropLink&amp;p=6886809","PL")</f>
        <v>PL</v>
      </c>
      <c r="B717" s="1" t="str">
        <f>HYPERLINK("http://digipan.lumentumllc.com/apps/getLink/index.php?t=TaxLink&amp;p=6886809","TL")</f>
        <v>TL</v>
      </c>
      <c r="C717" s="1" t="str">
        <f>HYPERLINK("http://digipan.lumentumllc.com/apps/getMap/index.php?p=6886809","Map")</f>
        <v>Map</v>
      </c>
      <c r="E717" t="s">
        <v>177</v>
      </c>
      <c r="F717" t="s">
        <v>178</v>
      </c>
      <c r="L717" t="s">
        <v>10043</v>
      </c>
      <c r="N717" t="s">
        <v>10043</v>
      </c>
      <c r="O717" t="s">
        <v>10043</v>
      </c>
      <c r="P717" t="s">
        <v>10044</v>
      </c>
      <c r="Q717" t="s">
        <v>10043</v>
      </c>
      <c r="V717">
        <v>829</v>
      </c>
      <c r="W717">
        <v>3</v>
      </c>
      <c r="X717">
        <v>2017</v>
      </c>
      <c r="Y717">
        <v>2018</v>
      </c>
      <c r="Z717">
        <v>886.31</v>
      </c>
      <c r="AB717" t="s">
        <v>181</v>
      </c>
      <c r="AC717" t="s">
        <v>182</v>
      </c>
      <c r="AD717" t="s">
        <v>183</v>
      </c>
      <c r="AE717">
        <v>0</v>
      </c>
      <c r="AF717">
        <v>2</v>
      </c>
      <c r="AG717" t="s">
        <v>216</v>
      </c>
      <c r="AH717">
        <v>100</v>
      </c>
      <c r="AK717">
        <v>0</v>
      </c>
      <c r="AL717">
        <v>54450</v>
      </c>
      <c r="AM717">
        <v>20000</v>
      </c>
      <c r="AN717">
        <v>34450</v>
      </c>
      <c r="AO717">
        <v>0</v>
      </c>
      <c r="AP717">
        <v>0</v>
      </c>
      <c r="AQ717">
        <v>1.63</v>
      </c>
      <c r="AS717" t="s">
        <v>10045</v>
      </c>
      <c r="AT717" t="s">
        <v>3747</v>
      </c>
      <c r="AU717" t="s">
        <v>177</v>
      </c>
      <c r="AV717" t="s">
        <v>1030</v>
      </c>
      <c r="AW717" t="s">
        <v>182</v>
      </c>
      <c r="AX717">
        <v>2</v>
      </c>
      <c r="AY717" t="s">
        <v>188</v>
      </c>
      <c r="AZ717" t="s">
        <v>189</v>
      </c>
      <c r="BA717" t="s">
        <v>190</v>
      </c>
      <c r="BB717" t="s">
        <v>191</v>
      </c>
      <c r="BC717" t="s">
        <v>182</v>
      </c>
      <c r="BD717" t="s">
        <v>182</v>
      </c>
      <c r="BE717" t="s">
        <v>5145</v>
      </c>
      <c r="BF717">
        <v>2</v>
      </c>
      <c r="BG717">
        <v>2</v>
      </c>
      <c r="BH717">
        <v>1987</v>
      </c>
      <c r="BI717" t="s">
        <v>10046</v>
      </c>
      <c r="BJ717" t="s">
        <v>194</v>
      </c>
      <c r="BK717" t="s">
        <v>195</v>
      </c>
      <c r="BL717" t="s">
        <v>10047</v>
      </c>
      <c r="BM717" t="s">
        <v>368</v>
      </c>
      <c r="BN717" t="s">
        <v>182</v>
      </c>
      <c r="BO717" t="s">
        <v>4177</v>
      </c>
      <c r="BP717" t="s">
        <v>10048</v>
      </c>
      <c r="BS717" t="s">
        <v>10049</v>
      </c>
      <c r="BT717" t="s">
        <v>198</v>
      </c>
      <c r="BU717" t="s">
        <v>182</v>
      </c>
      <c r="BV717" t="s">
        <v>198</v>
      </c>
      <c r="BW717" t="s">
        <v>198</v>
      </c>
      <c r="BX717" t="s">
        <v>199</v>
      </c>
      <c r="BY717" t="s">
        <v>198</v>
      </c>
      <c r="BZ717" t="s">
        <v>199</v>
      </c>
      <c r="CA717" t="s">
        <v>199</v>
      </c>
      <c r="CB717" t="s">
        <v>10050</v>
      </c>
      <c r="CC717" t="s">
        <v>201</v>
      </c>
      <c r="CD717" t="s">
        <v>182</v>
      </c>
      <c r="CE717" t="s">
        <v>10051</v>
      </c>
      <c r="CF717" t="s">
        <v>6108</v>
      </c>
      <c r="CG717" t="s">
        <v>1602</v>
      </c>
      <c r="CH717" t="s">
        <v>6109</v>
      </c>
      <c r="CI717" t="s">
        <v>10052</v>
      </c>
      <c r="CJ717" t="s">
        <v>10053</v>
      </c>
      <c r="CK717" t="s">
        <v>232</v>
      </c>
      <c r="CL717" t="s">
        <v>233</v>
      </c>
      <c r="CM717" t="s">
        <v>10054</v>
      </c>
      <c r="CN717" t="s">
        <v>235</v>
      </c>
      <c r="CO717" t="s">
        <v>183</v>
      </c>
      <c r="CP717" t="s">
        <v>211</v>
      </c>
      <c r="CQ717" t="s">
        <v>250</v>
      </c>
      <c r="CS717" t="s">
        <v>6231</v>
      </c>
      <c r="CT717" t="s">
        <v>10055</v>
      </c>
      <c r="CU717" t="s">
        <v>292</v>
      </c>
      <c r="CV717" t="s">
        <v>293</v>
      </c>
      <c r="CW717" t="s">
        <v>10056</v>
      </c>
      <c r="CX717" t="s">
        <v>235</v>
      </c>
      <c r="CY717" t="s">
        <v>183</v>
      </c>
      <c r="CZ717" t="s">
        <v>211</v>
      </c>
      <c r="DA717" t="s">
        <v>250</v>
      </c>
      <c r="DC717" t="s">
        <v>10057</v>
      </c>
      <c r="DM717" t="s">
        <v>198</v>
      </c>
      <c r="DW717" t="s">
        <v>198</v>
      </c>
      <c r="EG717" t="s">
        <v>198</v>
      </c>
      <c r="EQ717" t="s">
        <v>198</v>
      </c>
      <c r="FA717" t="s">
        <v>198</v>
      </c>
      <c r="FK717" t="s">
        <v>198</v>
      </c>
      <c r="FU717" t="s">
        <v>198</v>
      </c>
    </row>
    <row r="718" spans="1:177">
      <c r="A718" s="1" t="str">
        <f>HYPERLINK("http://digipan.lumentumllc.com/apps/getLink/index.php?t=PropLink&amp;p=15755312","PL")</f>
        <v>PL</v>
      </c>
      <c r="B718" s="1" t="str">
        <f>HYPERLINK("http://digipan.lumentumllc.com/apps/getLink/index.php?t=TaxLink&amp;p=15755312","TL")</f>
        <v>TL</v>
      </c>
      <c r="C718" s="1" t="str">
        <f>HYPERLINK("http://digipan.lumentumllc.com/apps/getMap/index.php?p=15755312","Map")</f>
        <v>Map</v>
      </c>
      <c r="E718" t="s">
        <v>177</v>
      </c>
      <c r="F718" t="s">
        <v>178</v>
      </c>
      <c r="L718" t="s">
        <v>10058</v>
      </c>
      <c r="N718" t="s">
        <v>10058</v>
      </c>
      <c r="O718" t="s">
        <v>10058</v>
      </c>
      <c r="Q718" t="s">
        <v>10058</v>
      </c>
      <c r="V718">
        <v>830</v>
      </c>
      <c r="W718">
        <v>3</v>
      </c>
      <c r="X718">
        <v>2017</v>
      </c>
      <c r="Y718">
        <v>2018</v>
      </c>
      <c r="Z718">
        <v>1078.27</v>
      </c>
      <c r="AB718" t="s">
        <v>181</v>
      </c>
      <c r="AC718" t="s">
        <v>182</v>
      </c>
      <c r="AD718" t="s">
        <v>183</v>
      </c>
      <c r="AE718">
        <v>0</v>
      </c>
      <c r="AF718">
        <v>1</v>
      </c>
      <c r="AG718" t="s">
        <v>821</v>
      </c>
      <c r="AH718">
        <v>100</v>
      </c>
      <c r="AK718">
        <v>0</v>
      </c>
      <c r="AL718">
        <v>63904</v>
      </c>
      <c r="AM718">
        <v>20000</v>
      </c>
      <c r="AN718">
        <v>43904</v>
      </c>
      <c r="AO718">
        <v>802</v>
      </c>
      <c r="AP718">
        <v>2016</v>
      </c>
      <c r="AQ718">
        <v>1.69</v>
      </c>
      <c r="AS718" t="s">
        <v>10059</v>
      </c>
      <c r="AT718" t="s">
        <v>3747</v>
      </c>
      <c r="AU718" t="s">
        <v>177</v>
      </c>
      <c r="AV718" t="s">
        <v>1030</v>
      </c>
      <c r="AW718" t="s">
        <v>182</v>
      </c>
      <c r="AX718">
        <v>2</v>
      </c>
      <c r="AY718" t="s">
        <v>188</v>
      </c>
      <c r="AZ718" t="s">
        <v>189</v>
      </c>
      <c r="BA718" t="s">
        <v>190</v>
      </c>
      <c r="BB718" t="s">
        <v>191</v>
      </c>
      <c r="BC718" t="s">
        <v>182</v>
      </c>
      <c r="BD718" t="s">
        <v>182</v>
      </c>
      <c r="BE718" t="s">
        <v>259</v>
      </c>
      <c r="BF718">
        <v>1</v>
      </c>
      <c r="BG718">
        <v>1</v>
      </c>
      <c r="BH718">
        <v>1983</v>
      </c>
      <c r="BI718" t="s">
        <v>900</v>
      </c>
      <c r="BJ718" t="s">
        <v>194</v>
      </c>
      <c r="BK718" t="s">
        <v>195</v>
      </c>
      <c r="BL718" t="s">
        <v>10060</v>
      </c>
      <c r="BM718" t="s">
        <v>232</v>
      </c>
      <c r="BN718" t="s">
        <v>182</v>
      </c>
      <c r="BO718" t="s">
        <v>10061</v>
      </c>
      <c r="BP718" t="s">
        <v>10062</v>
      </c>
      <c r="BQ718" t="s">
        <v>1520</v>
      </c>
      <c r="BR718" t="s">
        <v>582</v>
      </c>
      <c r="BS718" t="s">
        <v>198</v>
      </c>
      <c r="BT718" t="s">
        <v>10063</v>
      </c>
      <c r="BU718" t="s">
        <v>182</v>
      </c>
      <c r="BV718" t="s">
        <v>198</v>
      </c>
      <c r="BW718" t="s">
        <v>198</v>
      </c>
      <c r="BX718" t="s">
        <v>199</v>
      </c>
      <c r="BY718" t="s">
        <v>198</v>
      </c>
      <c r="BZ718" t="s">
        <v>199</v>
      </c>
      <c r="CA718" t="s">
        <v>199</v>
      </c>
      <c r="CB718" t="s">
        <v>10064</v>
      </c>
      <c r="CC718" t="s">
        <v>201</v>
      </c>
      <c r="CD718" t="s">
        <v>202</v>
      </c>
      <c r="CE718" t="s">
        <v>10065</v>
      </c>
      <c r="CF718" t="s">
        <v>1029</v>
      </c>
      <c r="CG718" t="s">
        <v>177</v>
      </c>
      <c r="CH718" t="s">
        <v>1030</v>
      </c>
      <c r="CI718" t="s">
        <v>10066</v>
      </c>
      <c r="CJ718" t="s">
        <v>6717</v>
      </c>
      <c r="CK718" t="s">
        <v>232</v>
      </c>
      <c r="CL718" t="s">
        <v>233</v>
      </c>
      <c r="CM718" t="s">
        <v>10067</v>
      </c>
      <c r="CN718" t="s">
        <v>235</v>
      </c>
      <c r="CO718" t="s">
        <v>183</v>
      </c>
      <c r="CP718" t="s">
        <v>211</v>
      </c>
      <c r="CQ718" t="s">
        <v>342</v>
      </c>
      <c r="CS718" t="s">
        <v>1088</v>
      </c>
      <c r="DC718" t="s">
        <v>198</v>
      </c>
      <c r="DM718" t="s">
        <v>198</v>
      </c>
      <c r="DW718" t="s">
        <v>198</v>
      </c>
      <c r="EG718" t="s">
        <v>198</v>
      </c>
      <c r="EQ718" t="s">
        <v>198</v>
      </c>
      <c r="FA718" t="s">
        <v>198</v>
      </c>
      <c r="FK718" t="s">
        <v>198</v>
      </c>
      <c r="FU718" t="s">
        <v>198</v>
      </c>
    </row>
    <row r="719" spans="1:177">
      <c r="A719" s="1" t="str">
        <f>HYPERLINK("http://digipan.lumentumllc.com/apps/getLink/index.php?t=PropLink&amp;p=6594320","PL")</f>
        <v>PL</v>
      </c>
      <c r="B719" s="1" t="str">
        <f>HYPERLINK("http://digipan.lumentumllc.com/apps/getLink/index.php?t=TaxLink&amp;p=6594320","TL")</f>
        <v>TL</v>
      </c>
      <c r="C719" s="1" t="str">
        <f>HYPERLINK("http://digipan.lumentumllc.com/apps/getMap/index.php?p=6594320","Map")</f>
        <v>Map</v>
      </c>
      <c r="E719" t="s">
        <v>177</v>
      </c>
      <c r="F719" t="s">
        <v>178</v>
      </c>
      <c r="L719" t="s">
        <v>10068</v>
      </c>
      <c r="N719" t="s">
        <v>10068</v>
      </c>
      <c r="O719" t="s">
        <v>10068</v>
      </c>
      <c r="P719" t="s">
        <v>10069</v>
      </c>
      <c r="Q719" t="s">
        <v>10068</v>
      </c>
      <c r="V719">
        <v>831</v>
      </c>
      <c r="W719">
        <v>3</v>
      </c>
      <c r="X719">
        <v>2017</v>
      </c>
      <c r="Y719">
        <v>2018</v>
      </c>
      <c r="Z719">
        <v>500.68</v>
      </c>
      <c r="AB719" t="s">
        <v>181</v>
      </c>
      <c r="AC719" t="s">
        <v>182</v>
      </c>
      <c r="AD719" t="s">
        <v>183</v>
      </c>
      <c r="AE719">
        <v>1</v>
      </c>
      <c r="AF719">
        <v>3</v>
      </c>
      <c r="AG719" t="s">
        <v>257</v>
      </c>
      <c r="AH719">
        <v>75</v>
      </c>
      <c r="AI719">
        <v>502.55</v>
      </c>
      <c r="AJ719">
        <v>25.13</v>
      </c>
      <c r="AK719">
        <v>527.67999999999995</v>
      </c>
      <c r="AL719">
        <v>28625</v>
      </c>
      <c r="AM719">
        <v>20000</v>
      </c>
      <c r="AN719">
        <v>8625</v>
      </c>
      <c r="AO719">
        <v>440</v>
      </c>
      <c r="AP719">
        <v>2016</v>
      </c>
      <c r="AQ719">
        <v>1.75</v>
      </c>
      <c r="AR719">
        <v>1.84</v>
      </c>
      <c r="AS719" t="s">
        <v>10070</v>
      </c>
      <c r="AT719" t="s">
        <v>3747</v>
      </c>
      <c r="AU719" t="s">
        <v>177</v>
      </c>
      <c r="AV719" t="s">
        <v>1030</v>
      </c>
      <c r="AW719" t="s">
        <v>182</v>
      </c>
      <c r="AX719">
        <v>2</v>
      </c>
      <c r="AY719" t="s">
        <v>188</v>
      </c>
      <c r="AZ719" t="s">
        <v>189</v>
      </c>
      <c r="BA719" t="s">
        <v>190</v>
      </c>
      <c r="BB719" t="s">
        <v>191</v>
      </c>
      <c r="BC719" t="s">
        <v>182</v>
      </c>
      <c r="BD719" t="s">
        <v>182</v>
      </c>
      <c r="BE719" t="s">
        <v>7767</v>
      </c>
      <c r="BF719">
        <v>1</v>
      </c>
      <c r="BG719">
        <v>1</v>
      </c>
      <c r="BH719">
        <v>1973</v>
      </c>
      <c r="BI719" t="s">
        <v>10071</v>
      </c>
      <c r="BJ719" t="s">
        <v>315</v>
      </c>
      <c r="BK719" t="s">
        <v>195</v>
      </c>
      <c r="BL719" t="s">
        <v>938</v>
      </c>
      <c r="BM719" t="s">
        <v>325</v>
      </c>
      <c r="BN719" t="s">
        <v>182</v>
      </c>
      <c r="BO719" t="s">
        <v>198</v>
      </c>
      <c r="BP719" t="s">
        <v>198</v>
      </c>
      <c r="BQ719" t="s">
        <v>198</v>
      </c>
      <c r="BR719" t="s">
        <v>198</v>
      </c>
      <c r="BS719" t="s">
        <v>198</v>
      </c>
      <c r="BT719" t="s">
        <v>198</v>
      </c>
      <c r="BU719" t="s">
        <v>182</v>
      </c>
      <c r="BV719" t="s">
        <v>198</v>
      </c>
      <c r="BW719" t="s">
        <v>198</v>
      </c>
      <c r="BX719" t="s">
        <v>199</v>
      </c>
      <c r="BY719" t="s">
        <v>198</v>
      </c>
      <c r="BZ719" t="s">
        <v>199</v>
      </c>
      <c r="CA719" t="s">
        <v>199</v>
      </c>
      <c r="CB719" t="s">
        <v>10072</v>
      </c>
      <c r="CC719" t="s">
        <v>201</v>
      </c>
      <c r="CD719" t="s">
        <v>202</v>
      </c>
      <c r="CE719" t="s">
        <v>8500</v>
      </c>
      <c r="CF719" t="s">
        <v>2333</v>
      </c>
      <c r="CG719" t="s">
        <v>177</v>
      </c>
      <c r="CH719" t="s">
        <v>2334</v>
      </c>
      <c r="CI719" t="s">
        <v>10073</v>
      </c>
      <c r="CJ719" t="s">
        <v>10074</v>
      </c>
      <c r="CK719" t="s">
        <v>232</v>
      </c>
      <c r="CL719" t="s">
        <v>233</v>
      </c>
      <c r="CM719" t="s">
        <v>10075</v>
      </c>
      <c r="CN719" t="s">
        <v>331</v>
      </c>
      <c r="CO719" t="s">
        <v>183</v>
      </c>
      <c r="CP719" t="s">
        <v>266</v>
      </c>
      <c r="CS719" t="s">
        <v>198</v>
      </c>
      <c r="CT719" t="s">
        <v>6544</v>
      </c>
      <c r="CU719" t="s">
        <v>292</v>
      </c>
      <c r="CV719" t="s">
        <v>293</v>
      </c>
      <c r="CW719" t="s">
        <v>10076</v>
      </c>
      <c r="CX719" t="s">
        <v>333</v>
      </c>
      <c r="CY719" t="s">
        <v>183</v>
      </c>
      <c r="CZ719" t="s">
        <v>211</v>
      </c>
      <c r="DA719" t="s">
        <v>270</v>
      </c>
      <c r="DC719" t="s">
        <v>3021</v>
      </c>
      <c r="DD719" t="s">
        <v>9842</v>
      </c>
      <c r="DE719" t="s">
        <v>267</v>
      </c>
      <c r="DF719" t="s">
        <v>268</v>
      </c>
      <c r="DG719" t="s">
        <v>10077</v>
      </c>
      <c r="DH719" t="s">
        <v>511</v>
      </c>
      <c r="DI719" t="s">
        <v>183</v>
      </c>
      <c r="DJ719" t="s">
        <v>211</v>
      </c>
      <c r="DK719" t="s">
        <v>270</v>
      </c>
      <c r="DM719" t="s">
        <v>8505</v>
      </c>
      <c r="DN719" t="s">
        <v>252</v>
      </c>
      <c r="DO719" t="s">
        <v>273</v>
      </c>
      <c r="DP719" t="s">
        <v>274</v>
      </c>
      <c r="DQ719" t="s">
        <v>10078</v>
      </c>
      <c r="DR719" t="s">
        <v>1164</v>
      </c>
      <c r="DS719" t="s">
        <v>183</v>
      </c>
      <c r="DT719" t="s">
        <v>211</v>
      </c>
      <c r="DU719" t="s">
        <v>189</v>
      </c>
      <c r="DW719" t="s">
        <v>1835</v>
      </c>
      <c r="EG719" t="s">
        <v>198</v>
      </c>
      <c r="EQ719" t="s">
        <v>198</v>
      </c>
      <c r="FA719" t="s">
        <v>198</v>
      </c>
      <c r="FK719" t="s">
        <v>198</v>
      </c>
      <c r="FU719" t="s">
        <v>198</v>
      </c>
    </row>
    <row r="720" spans="1:177">
      <c r="A720" s="1" t="str">
        <f>HYPERLINK("http://digipan.lumentumllc.com/apps/getLink/index.php?t=PropLink&amp;p=7112525","PL")</f>
        <v>PL</v>
      </c>
      <c r="B720" s="1" t="str">
        <f>HYPERLINK("http://digipan.lumentumllc.com/apps/getLink/index.php?t=TaxLink&amp;p=7112525","TL")</f>
        <v>TL</v>
      </c>
      <c r="C720" s="1" t="str">
        <f>HYPERLINK("http://digipan.lumentumllc.com/apps/getMap/index.php?p=7112525","Map")</f>
        <v>Map</v>
      </c>
      <c r="E720" t="s">
        <v>177</v>
      </c>
      <c r="F720" t="s">
        <v>178</v>
      </c>
      <c r="L720" t="s">
        <v>10079</v>
      </c>
      <c r="N720" t="s">
        <v>10079</v>
      </c>
      <c r="O720" t="s">
        <v>10079</v>
      </c>
      <c r="P720" t="s">
        <v>10080</v>
      </c>
      <c r="Q720" t="s">
        <v>10079</v>
      </c>
      <c r="V720">
        <v>832</v>
      </c>
      <c r="W720">
        <v>3</v>
      </c>
      <c r="X720">
        <v>2017</v>
      </c>
      <c r="Y720">
        <v>2018</v>
      </c>
      <c r="Z720">
        <v>498.32</v>
      </c>
      <c r="AG720" t="s">
        <v>184</v>
      </c>
      <c r="AH720">
        <v>0</v>
      </c>
      <c r="AK720">
        <v>0</v>
      </c>
      <c r="AL720">
        <v>28481</v>
      </c>
      <c r="AM720">
        <v>20000</v>
      </c>
      <c r="AN720">
        <v>8481</v>
      </c>
      <c r="AO720">
        <v>470</v>
      </c>
      <c r="AP720">
        <v>2016</v>
      </c>
      <c r="AQ720">
        <v>1.75</v>
      </c>
      <c r="AS720" t="s">
        <v>10081</v>
      </c>
      <c r="AT720" t="s">
        <v>3747</v>
      </c>
      <c r="AU720" t="s">
        <v>177</v>
      </c>
      <c r="AV720" t="s">
        <v>1030</v>
      </c>
      <c r="AW720" t="s">
        <v>182</v>
      </c>
      <c r="AX720">
        <v>2</v>
      </c>
      <c r="AY720" t="s">
        <v>188</v>
      </c>
      <c r="AZ720" t="s">
        <v>189</v>
      </c>
      <c r="BA720" t="s">
        <v>190</v>
      </c>
      <c r="BB720" t="s">
        <v>191</v>
      </c>
      <c r="BC720" t="s">
        <v>182</v>
      </c>
      <c r="BD720" t="s">
        <v>182</v>
      </c>
      <c r="BE720" t="s">
        <v>383</v>
      </c>
      <c r="BF720">
        <v>1</v>
      </c>
      <c r="BG720">
        <v>1</v>
      </c>
      <c r="BH720">
        <v>1973</v>
      </c>
      <c r="BI720" t="s">
        <v>10026</v>
      </c>
      <c r="BJ720" t="s">
        <v>194</v>
      </c>
      <c r="BK720" t="s">
        <v>195</v>
      </c>
      <c r="BL720" t="s">
        <v>2075</v>
      </c>
      <c r="BM720" t="s">
        <v>533</v>
      </c>
      <c r="BN720" t="s">
        <v>182</v>
      </c>
      <c r="BO720" t="s">
        <v>198</v>
      </c>
      <c r="BP720" t="s">
        <v>198</v>
      </c>
      <c r="BQ720" t="s">
        <v>198</v>
      </c>
      <c r="BR720" t="s">
        <v>198</v>
      </c>
      <c r="BS720" t="s">
        <v>198</v>
      </c>
      <c r="BT720" t="s">
        <v>198</v>
      </c>
      <c r="BU720" t="s">
        <v>182</v>
      </c>
      <c r="BV720" t="s">
        <v>198</v>
      </c>
      <c r="BW720" t="s">
        <v>198</v>
      </c>
      <c r="BX720" t="s">
        <v>199</v>
      </c>
      <c r="BY720" t="s">
        <v>198</v>
      </c>
      <c r="BZ720" t="s">
        <v>199</v>
      </c>
      <c r="CA720" t="s">
        <v>199</v>
      </c>
      <c r="CB720" t="s">
        <v>10082</v>
      </c>
      <c r="CC720" t="s">
        <v>201</v>
      </c>
      <c r="CD720" t="s">
        <v>182</v>
      </c>
      <c r="CE720" t="s">
        <v>10083</v>
      </c>
      <c r="CF720" t="s">
        <v>1029</v>
      </c>
      <c r="CG720" t="s">
        <v>177</v>
      </c>
      <c r="CH720" t="s">
        <v>1030</v>
      </c>
      <c r="CI720" t="s">
        <v>10084</v>
      </c>
      <c r="CS720" t="s">
        <v>198</v>
      </c>
      <c r="DC720" t="s">
        <v>198</v>
      </c>
      <c r="DM720" t="s">
        <v>198</v>
      </c>
      <c r="DW720" t="s">
        <v>198</v>
      </c>
      <c r="EG720" t="s">
        <v>198</v>
      </c>
      <c r="EQ720" t="s">
        <v>198</v>
      </c>
      <c r="FA720" t="s">
        <v>198</v>
      </c>
      <c r="FK720" t="s">
        <v>198</v>
      </c>
      <c r="FU720" t="s">
        <v>198</v>
      </c>
    </row>
    <row r="721" spans="1:177">
      <c r="A721" s="1" t="str">
        <f>HYPERLINK("http://digipan.lumentumllc.com/apps/getLink/index.php?t=PropLink&amp;p=5247402","PL")</f>
        <v>PL</v>
      </c>
      <c r="B721" s="1" t="str">
        <f>HYPERLINK("http://digipan.lumentumllc.com/apps/getLink/index.php?t=TaxLink&amp;p=5247402","TL")</f>
        <v>TL</v>
      </c>
      <c r="C721" s="1" t="str">
        <f>HYPERLINK("http://digipan.lumentumllc.com/apps/getMap/index.php?p=5247402","Map")</f>
        <v>Map</v>
      </c>
      <c r="E721" t="s">
        <v>177</v>
      </c>
      <c r="F721" t="s">
        <v>178</v>
      </c>
      <c r="L721" t="s">
        <v>10085</v>
      </c>
      <c r="N721" t="s">
        <v>10085</v>
      </c>
      <c r="O721" t="s">
        <v>10085</v>
      </c>
      <c r="P721" t="s">
        <v>10086</v>
      </c>
      <c r="Q721" t="s">
        <v>10085</v>
      </c>
      <c r="V721">
        <v>833</v>
      </c>
      <c r="W721">
        <v>3</v>
      </c>
      <c r="X721">
        <v>2017</v>
      </c>
      <c r="Y721">
        <v>2018</v>
      </c>
      <c r="Z721">
        <v>520.30999999999995</v>
      </c>
      <c r="AB721" t="s">
        <v>181</v>
      </c>
      <c r="AC721" t="s">
        <v>182</v>
      </c>
      <c r="AD721" t="s">
        <v>183</v>
      </c>
      <c r="AE721">
        <v>0</v>
      </c>
      <c r="AF721">
        <v>3</v>
      </c>
      <c r="AG721" t="s">
        <v>381</v>
      </c>
      <c r="AH721">
        <v>100</v>
      </c>
      <c r="AK721">
        <v>0</v>
      </c>
      <c r="AL721">
        <v>29825</v>
      </c>
      <c r="AM721">
        <v>20000</v>
      </c>
      <c r="AN721">
        <v>9825</v>
      </c>
      <c r="AO721">
        <v>421</v>
      </c>
      <c r="AP721">
        <v>2016</v>
      </c>
      <c r="AQ721">
        <v>1.74</v>
      </c>
      <c r="AS721" t="s">
        <v>10087</v>
      </c>
      <c r="AT721" t="s">
        <v>3747</v>
      </c>
      <c r="AU721" t="s">
        <v>177</v>
      </c>
      <c r="AV721" t="s">
        <v>1030</v>
      </c>
      <c r="AW721" t="s">
        <v>182</v>
      </c>
      <c r="AX721">
        <v>0</v>
      </c>
      <c r="AY721" t="s">
        <v>312</v>
      </c>
      <c r="AZ721" t="s">
        <v>199</v>
      </c>
      <c r="BA721" t="s">
        <v>313</v>
      </c>
      <c r="BB721" t="s">
        <v>191</v>
      </c>
      <c r="BC721" t="s">
        <v>182</v>
      </c>
      <c r="BD721" t="s">
        <v>182</v>
      </c>
      <c r="BE721" t="s">
        <v>383</v>
      </c>
      <c r="BF721">
        <v>1</v>
      </c>
      <c r="BG721">
        <v>0</v>
      </c>
      <c r="BH721">
        <v>0</v>
      </c>
      <c r="BI721" t="s">
        <v>199</v>
      </c>
      <c r="BJ721" t="s">
        <v>248</v>
      </c>
      <c r="BL721" t="s">
        <v>4365</v>
      </c>
      <c r="BM721" t="s">
        <v>1041</v>
      </c>
      <c r="BN721" t="s">
        <v>182</v>
      </c>
      <c r="BO721" t="s">
        <v>10088</v>
      </c>
      <c r="BP721" t="s">
        <v>5560</v>
      </c>
      <c r="BQ721" t="s">
        <v>904</v>
      </c>
      <c r="BR721" t="s">
        <v>563</v>
      </c>
      <c r="BS721" t="s">
        <v>10089</v>
      </c>
      <c r="BT721" t="s">
        <v>228</v>
      </c>
      <c r="BU721" t="s">
        <v>182</v>
      </c>
      <c r="BV721" t="s">
        <v>198</v>
      </c>
      <c r="BW721" t="s">
        <v>198</v>
      </c>
      <c r="BX721" t="s">
        <v>199</v>
      </c>
      <c r="BY721" t="s">
        <v>198</v>
      </c>
      <c r="BZ721" t="s">
        <v>199</v>
      </c>
      <c r="CA721" t="s">
        <v>199</v>
      </c>
      <c r="CB721" t="s">
        <v>10090</v>
      </c>
      <c r="CC721" t="s">
        <v>201</v>
      </c>
      <c r="CD721" t="s">
        <v>202</v>
      </c>
      <c r="CE721" t="s">
        <v>10091</v>
      </c>
      <c r="CF721" t="s">
        <v>1029</v>
      </c>
      <c r="CG721" t="s">
        <v>177</v>
      </c>
      <c r="CH721" t="s">
        <v>1030</v>
      </c>
      <c r="CI721" t="s">
        <v>10092</v>
      </c>
      <c r="CJ721" t="s">
        <v>6738</v>
      </c>
      <c r="CK721" t="s">
        <v>232</v>
      </c>
      <c r="CL721" t="s">
        <v>233</v>
      </c>
      <c r="CM721" t="s">
        <v>10093</v>
      </c>
      <c r="CN721" t="s">
        <v>1164</v>
      </c>
      <c r="CO721" t="s">
        <v>183</v>
      </c>
      <c r="CP721" t="s">
        <v>211</v>
      </c>
      <c r="CQ721" t="s">
        <v>189</v>
      </c>
      <c r="CS721" t="s">
        <v>10094</v>
      </c>
      <c r="CT721" t="s">
        <v>10095</v>
      </c>
      <c r="CU721" t="s">
        <v>238</v>
      </c>
      <c r="CV721" t="s">
        <v>239</v>
      </c>
      <c r="CW721" t="s">
        <v>10096</v>
      </c>
      <c r="CX721" t="s">
        <v>278</v>
      </c>
      <c r="CY721" t="s">
        <v>183</v>
      </c>
      <c r="CZ721" t="s">
        <v>211</v>
      </c>
      <c r="DA721" t="s">
        <v>264</v>
      </c>
      <c r="DC721" t="s">
        <v>10097</v>
      </c>
      <c r="DD721" t="s">
        <v>10098</v>
      </c>
      <c r="DE721" t="s">
        <v>346</v>
      </c>
      <c r="DF721" t="s">
        <v>347</v>
      </c>
      <c r="DG721" t="s">
        <v>10099</v>
      </c>
      <c r="DH721" t="s">
        <v>1551</v>
      </c>
      <c r="DI721" t="s">
        <v>183</v>
      </c>
      <c r="DJ721" t="s">
        <v>211</v>
      </c>
      <c r="DK721" t="s">
        <v>342</v>
      </c>
      <c r="DM721" t="s">
        <v>1268</v>
      </c>
      <c r="DW721" t="s">
        <v>198</v>
      </c>
      <c r="EG721" t="s">
        <v>198</v>
      </c>
      <c r="EQ721" t="s">
        <v>198</v>
      </c>
      <c r="FA721" t="s">
        <v>198</v>
      </c>
      <c r="FK721" t="s">
        <v>198</v>
      </c>
      <c r="FU721" t="s">
        <v>198</v>
      </c>
    </row>
    <row r="722" spans="1:177">
      <c r="A722" s="1" t="str">
        <f>HYPERLINK("http://digipan.lumentumllc.com/apps/getLink/index.php?t=PropLink&amp;p=5247404","PL")</f>
        <v>PL</v>
      </c>
      <c r="B722" s="1" t="str">
        <f>HYPERLINK("http://digipan.lumentumllc.com/apps/getLink/index.php?t=TaxLink&amp;p=5247404","TL")</f>
        <v>TL</v>
      </c>
      <c r="C722" s="1" t="str">
        <f>HYPERLINK("http://digipan.lumentumllc.com/apps/getMap/index.php?p=5247404","Map")</f>
        <v>Map</v>
      </c>
      <c r="E722" t="s">
        <v>177</v>
      </c>
      <c r="F722" t="s">
        <v>178</v>
      </c>
      <c r="L722" t="s">
        <v>10100</v>
      </c>
      <c r="N722" t="s">
        <v>10100</v>
      </c>
      <c r="O722" t="s">
        <v>10100</v>
      </c>
      <c r="P722" t="s">
        <v>10101</v>
      </c>
      <c r="Q722" t="s">
        <v>10100</v>
      </c>
      <c r="V722">
        <v>834</v>
      </c>
      <c r="W722">
        <v>3</v>
      </c>
      <c r="X722">
        <v>2017</v>
      </c>
      <c r="Y722">
        <v>2018</v>
      </c>
      <c r="Z722">
        <v>598.51</v>
      </c>
      <c r="AB722" t="s">
        <v>181</v>
      </c>
      <c r="AC722" t="s">
        <v>182</v>
      </c>
      <c r="AD722" t="s">
        <v>183</v>
      </c>
      <c r="AE722">
        <v>0</v>
      </c>
      <c r="AF722">
        <v>4</v>
      </c>
      <c r="AG722" t="s">
        <v>381</v>
      </c>
      <c r="AH722">
        <v>100</v>
      </c>
      <c r="AK722">
        <v>0</v>
      </c>
      <c r="AL722">
        <v>84892</v>
      </c>
      <c r="AM722">
        <v>20000</v>
      </c>
      <c r="AN722">
        <v>64892</v>
      </c>
      <c r="AO722">
        <v>523</v>
      </c>
      <c r="AP722">
        <v>2016</v>
      </c>
      <c r="AQ722">
        <v>0.71</v>
      </c>
      <c r="AS722" t="s">
        <v>10102</v>
      </c>
      <c r="AT722" t="s">
        <v>3747</v>
      </c>
      <c r="AU722" t="s">
        <v>177</v>
      </c>
      <c r="AV722" t="s">
        <v>1030</v>
      </c>
      <c r="AW722" t="s">
        <v>202</v>
      </c>
      <c r="AX722">
        <v>2</v>
      </c>
      <c r="AY722" t="s">
        <v>188</v>
      </c>
      <c r="AZ722" t="s">
        <v>189</v>
      </c>
      <c r="BA722" t="s">
        <v>190</v>
      </c>
      <c r="BB722" t="s">
        <v>191</v>
      </c>
      <c r="BC722" t="s">
        <v>182</v>
      </c>
      <c r="BD722" t="s">
        <v>182</v>
      </c>
      <c r="BE722" t="s">
        <v>383</v>
      </c>
      <c r="BF722">
        <v>1</v>
      </c>
      <c r="BG722">
        <v>1</v>
      </c>
      <c r="BH722">
        <v>2000</v>
      </c>
      <c r="BI722" t="s">
        <v>3615</v>
      </c>
      <c r="BJ722" t="s">
        <v>194</v>
      </c>
      <c r="BK722" t="s">
        <v>195</v>
      </c>
      <c r="BL722" t="s">
        <v>980</v>
      </c>
      <c r="BM722" t="s">
        <v>3644</v>
      </c>
      <c r="BN722" t="s">
        <v>182</v>
      </c>
      <c r="BO722" t="s">
        <v>10103</v>
      </c>
      <c r="BP722" t="s">
        <v>10104</v>
      </c>
      <c r="BQ722" t="s">
        <v>5784</v>
      </c>
      <c r="BR722" t="s">
        <v>5785</v>
      </c>
      <c r="BS722" t="s">
        <v>10105</v>
      </c>
      <c r="BT722" t="s">
        <v>198</v>
      </c>
      <c r="BU722" t="s">
        <v>182</v>
      </c>
      <c r="BV722" t="s">
        <v>198</v>
      </c>
      <c r="BW722" t="s">
        <v>198</v>
      </c>
      <c r="BX722" t="s">
        <v>199</v>
      </c>
      <c r="BY722" t="s">
        <v>198</v>
      </c>
      <c r="BZ722" t="s">
        <v>199</v>
      </c>
      <c r="CA722" t="s">
        <v>199</v>
      </c>
      <c r="CB722" t="s">
        <v>10106</v>
      </c>
      <c r="CC722" t="s">
        <v>201</v>
      </c>
      <c r="CD722" t="s">
        <v>202</v>
      </c>
      <c r="CE722" t="s">
        <v>10091</v>
      </c>
      <c r="CF722" t="s">
        <v>1029</v>
      </c>
      <c r="CG722" t="s">
        <v>177</v>
      </c>
      <c r="CH722" t="s">
        <v>1030</v>
      </c>
      <c r="CI722" t="s">
        <v>10107</v>
      </c>
      <c r="CJ722" t="s">
        <v>10108</v>
      </c>
      <c r="CK722" t="s">
        <v>232</v>
      </c>
      <c r="CL722" t="s">
        <v>233</v>
      </c>
      <c r="CM722" t="s">
        <v>10109</v>
      </c>
      <c r="CN722" t="s">
        <v>235</v>
      </c>
      <c r="CO722" t="s">
        <v>183</v>
      </c>
      <c r="CP722" t="s">
        <v>211</v>
      </c>
      <c r="CQ722" t="s">
        <v>189</v>
      </c>
      <c r="CS722" t="s">
        <v>10094</v>
      </c>
      <c r="CT722" t="s">
        <v>10110</v>
      </c>
      <c r="CU722" t="s">
        <v>238</v>
      </c>
      <c r="CV722" t="s">
        <v>239</v>
      </c>
      <c r="CW722" t="s">
        <v>10111</v>
      </c>
      <c r="CX722" t="s">
        <v>235</v>
      </c>
      <c r="CY722" t="s">
        <v>183</v>
      </c>
      <c r="CZ722" t="s">
        <v>211</v>
      </c>
      <c r="DA722" t="s">
        <v>264</v>
      </c>
      <c r="DC722" t="s">
        <v>10097</v>
      </c>
      <c r="DD722" t="s">
        <v>10112</v>
      </c>
      <c r="DE722" t="s">
        <v>346</v>
      </c>
      <c r="DF722" t="s">
        <v>347</v>
      </c>
      <c r="DG722" t="s">
        <v>10113</v>
      </c>
      <c r="DH722" t="s">
        <v>1551</v>
      </c>
      <c r="DI722" t="s">
        <v>183</v>
      </c>
      <c r="DJ722" t="s">
        <v>211</v>
      </c>
      <c r="DK722" t="s">
        <v>342</v>
      </c>
      <c r="DM722" t="s">
        <v>1268</v>
      </c>
      <c r="DN722" t="s">
        <v>10114</v>
      </c>
      <c r="DO722" t="s">
        <v>207</v>
      </c>
      <c r="DP722" t="s">
        <v>208</v>
      </c>
      <c r="DQ722" t="s">
        <v>10115</v>
      </c>
      <c r="DR722" t="s">
        <v>576</v>
      </c>
      <c r="DS722" t="s">
        <v>183</v>
      </c>
      <c r="DT722" t="s">
        <v>211</v>
      </c>
      <c r="DU722" t="s">
        <v>206</v>
      </c>
      <c r="DW722" t="s">
        <v>10116</v>
      </c>
      <c r="EG722" t="s">
        <v>198</v>
      </c>
      <c r="EQ722" t="s">
        <v>198</v>
      </c>
      <c r="FA722" t="s">
        <v>198</v>
      </c>
      <c r="FK722" t="s">
        <v>198</v>
      </c>
      <c r="FU722" t="s">
        <v>198</v>
      </c>
    </row>
    <row r="723" spans="1:177">
      <c r="A723" s="1" t="str">
        <f>HYPERLINK("http://digipan.lumentumllc.com/apps/getLink/index.php?t=PropLink&amp;p=15755343","PL")</f>
        <v>PL</v>
      </c>
      <c r="B723" s="1" t="str">
        <f>HYPERLINK("http://digipan.lumentumllc.com/apps/getLink/index.php?t=TaxLink&amp;p=15755343","TL")</f>
        <v>TL</v>
      </c>
      <c r="C723" s="1" t="str">
        <f>HYPERLINK("http://digipan.lumentumllc.com/apps/getMap/index.php?p=15755343","Map")</f>
        <v>Map</v>
      </c>
      <c r="E723" t="s">
        <v>177</v>
      </c>
      <c r="F723" t="s">
        <v>178</v>
      </c>
      <c r="L723" t="s">
        <v>10117</v>
      </c>
      <c r="N723" t="s">
        <v>10117</v>
      </c>
      <c r="O723" t="s">
        <v>10117</v>
      </c>
      <c r="Q723" t="s">
        <v>10117</v>
      </c>
      <c r="V723">
        <v>836</v>
      </c>
      <c r="W723">
        <v>3</v>
      </c>
      <c r="X723">
        <v>2017</v>
      </c>
      <c r="Y723">
        <v>2018</v>
      </c>
      <c r="Z723">
        <v>523.16999999999996</v>
      </c>
      <c r="AG723" t="s">
        <v>184</v>
      </c>
      <c r="AH723">
        <v>0</v>
      </c>
      <c r="AK723">
        <v>0</v>
      </c>
      <c r="AL723">
        <v>30000</v>
      </c>
      <c r="AM723">
        <v>30000</v>
      </c>
      <c r="AN723">
        <v>0</v>
      </c>
      <c r="AO723">
        <v>461</v>
      </c>
      <c r="AP723">
        <v>2016</v>
      </c>
      <c r="AQ723">
        <v>1.74</v>
      </c>
      <c r="AS723" t="s">
        <v>10118</v>
      </c>
      <c r="AT723" t="s">
        <v>3747</v>
      </c>
      <c r="AU723" t="s">
        <v>177</v>
      </c>
      <c r="AV723" t="s">
        <v>1030</v>
      </c>
      <c r="AW723" t="s">
        <v>182</v>
      </c>
      <c r="AX723">
        <v>0</v>
      </c>
      <c r="AY723" t="s">
        <v>312</v>
      </c>
      <c r="AZ723" t="s">
        <v>199</v>
      </c>
      <c r="BA723" t="s">
        <v>313</v>
      </c>
      <c r="BB723" t="s">
        <v>191</v>
      </c>
      <c r="BC723" t="s">
        <v>182</v>
      </c>
      <c r="BD723" t="s">
        <v>182</v>
      </c>
      <c r="BE723" t="s">
        <v>10119</v>
      </c>
      <c r="BF723">
        <v>0</v>
      </c>
      <c r="BG723">
        <v>0</v>
      </c>
      <c r="BH723">
        <v>0</v>
      </c>
      <c r="BI723" t="s">
        <v>199</v>
      </c>
      <c r="BJ723" t="s">
        <v>396</v>
      </c>
      <c r="BL723" t="s">
        <v>1824</v>
      </c>
      <c r="BM723" t="s">
        <v>1041</v>
      </c>
      <c r="BN723" t="s">
        <v>182</v>
      </c>
      <c r="BO723" t="s">
        <v>10120</v>
      </c>
      <c r="BP723" t="s">
        <v>10121</v>
      </c>
      <c r="BQ723" t="s">
        <v>800</v>
      </c>
      <c r="BS723" t="s">
        <v>198</v>
      </c>
      <c r="BT723" t="s">
        <v>10122</v>
      </c>
      <c r="BU723" t="s">
        <v>182</v>
      </c>
      <c r="BV723" t="s">
        <v>198</v>
      </c>
      <c r="BW723" t="s">
        <v>198</v>
      </c>
      <c r="BX723" t="s">
        <v>199</v>
      </c>
      <c r="BY723" t="s">
        <v>198</v>
      </c>
      <c r="BZ723" t="s">
        <v>199</v>
      </c>
      <c r="CA723" t="s">
        <v>199</v>
      </c>
      <c r="CB723" t="s">
        <v>10123</v>
      </c>
      <c r="CC723" t="s">
        <v>201</v>
      </c>
      <c r="CD723" t="s">
        <v>182</v>
      </c>
      <c r="CE723" t="s">
        <v>10124</v>
      </c>
      <c r="CF723" t="s">
        <v>1029</v>
      </c>
      <c r="CG723" t="s">
        <v>177</v>
      </c>
      <c r="CH723" t="s">
        <v>1030</v>
      </c>
      <c r="CI723" t="s">
        <v>10125</v>
      </c>
      <c r="CS723" t="s">
        <v>198</v>
      </c>
      <c r="DC723" t="s">
        <v>198</v>
      </c>
      <c r="DM723" t="s">
        <v>198</v>
      </c>
      <c r="DW723" t="s">
        <v>198</v>
      </c>
      <c r="EG723" t="s">
        <v>198</v>
      </c>
      <c r="EQ723" t="s">
        <v>198</v>
      </c>
      <c r="FA723" t="s">
        <v>198</v>
      </c>
      <c r="FK723" t="s">
        <v>198</v>
      </c>
      <c r="FU723" t="s">
        <v>198</v>
      </c>
    </row>
    <row r="724" spans="1:177">
      <c r="A724" s="1" t="str">
        <f>HYPERLINK("http://digipan.lumentumllc.com/apps/getLink/index.php?t=PropLink&amp;p=5247407","PL")</f>
        <v>PL</v>
      </c>
      <c r="B724" s="1" t="str">
        <f>HYPERLINK("http://digipan.lumentumllc.com/apps/getLink/index.php?t=TaxLink&amp;p=5247407","TL")</f>
        <v>TL</v>
      </c>
      <c r="C724" s="1" t="str">
        <f>HYPERLINK("http://digipan.lumentumllc.com/apps/getMap/index.php?p=5247407","Map")</f>
        <v>Map</v>
      </c>
      <c r="E724" t="s">
        <v>177</v>
      </c>
      <c r="F724" t="s">
        <v>178</v>
      </c>
      <c r="L724" t="s">
        <v>10126</v>
      </c>
      <c r="N724" t="s">
        <v>10126</v>
      </c>
      <c r="O724" t="s">
        <v>10126</v>
      </c>
      <c r="P724" t="s">
        <v>10127</v>
      </c>
      <c r="Q724" t="s">
        <v>10126</v>
      </c>
      <c r="V724">
        <v>837</v>
      </c>
      <c r="W724">
        <v>3</v>
      </c>
      <c r="X724">
        <v>2017</v>
      </c>
      <c r="Y724">
        <v>2018</v>
      </c>
      <c r="Z724">
        <v>527.95000000000005</v>
      </c>
      <c r="AB724" t="s">
        <v>181</v>
      </c>
      <c r="AC724" t="s">
        <v>202</v>
      </c>
      <c r="AD724" t="s">
        <v>183</v>
      </c>
      <c r="AE724">
        <v>0</v>
      </c>
      <c r="AF724">
        <v>7</v>
      </c>
      <c r="AG724" t="s">
        <v>528</v>
      </c>
      <c r="AH724">
        <v>100</v>
      </c>
      <c r="AK724">
        <v>0</v>
      </c>
      <c r="AL724">
        <v>30291</v>
      </c>
      <c r="AM724">
        <v>15000</v>
      </c>
      <c r="AN724">
        <v>15291</v>
      </c>
      <c r="AO724">
        <v>442</v>
      </c>
      <c r="AP724">
        <v>2016</v>
      </c>
      <c r="AQ724">
        <v>1.74</v>
      </c>
      <c r="AS724" t="s">
        <v>10128</v>
      </c>
      <c r="AT724" t="s">
        <v>3747</v>
      </c>
      <c r="AU724" t="s">
        <v>177</v>
      </c>
      <c r="AV724" t="s">
        <v>1030</v>
      </c>
      <c r="AW724" t="s">
        <v>182</v>
      </c>
      <c r="AX724">
        <v>2</v>
      </c>
      <c r="AY724" t="s">
        <v>188</v>
      </c>
      <c r="AZ724" t="s">
        <v>189</v>
      </c>
      <c r="BA724" t="s">
        <v>190</v>
      </c>
      <c r="BB724" t="s">
        <v>191</v>
      </c>
      <c r="BC724" t="s">
        <v>182</v>
      </c>
      <c r="BD724" t="s">
        <v>182</v>
      </c>
      <c r="BE724" t="s">
        <v>899</v>
      </c>
      <c r="BF724">
        <v>1</v>
      </c>
      <c r="BG724">
        <v>1</v>
      </c>
      <c r="BH724">
        <v>1983</v>
      </c>
      <c r="BI724" t="s">
        <v>10129</v>
      </c>
      <c r="BJ724" t="s">
        <v>194</v>
      </c>
      <c r="BK724" t="s">
        <v>195</v>
      </c>
      <c r="BL724" t="s">
        <v>1753</v>
      </c>
      <c r="BM724" t="s">
        <v>368</v>
      </c>
      <c r="BN724" t="s">
        <v>182</v>
      </c>
      <c r="BO724" t="s">
        <v>198</v>
      </c>
      <c r="BP724" t="s">
        <v>198</v>
      </c>
      <c r="BQ724" t="s">
        <v>198</v>
      </c>
      <c r="BR724" t="s">
        <v>198</v>
      </c>
      <c r="BS724" t="s">
        <v>198</v>
      </c>
      <c r="BT724" t="s">
        <v>198</v>
      </c>
      <c r="BU724" t="s">
        <v>182</v>
      </c>
      <c r="BV724" t="s">
        <v>198</v>
      </c>
      <c r="BW724" t="s">
        <v>198</v>
      </c>
      <c r="BX724" t="s">
        <v>199</v>
      </c>
      <c r="BY724" t="s">
        <v>198</v>
      </c>
      <c r="BZ724" t="s">
        <v>199</v>
      </c>
      <c r="CA724" t="s">
        <v>199</v>
      </c>
      <c r="CB724" t="s">
        <v>10130</v>
      </c>
      <c r="CC724" t="s">
        <v>201</v>
      </c>
      <c r="CD724" t="s">
        <v>202</v>
      </c>
      <c r="CE724" t="s">
        <v>10131</v>
      </c>
      <c r="CF724" t="s">
        <v>1029</v>
      </c>
      <c r="CG724" t="s">
        <v>177</v>
      </c>
      <c r="CH724" t="s">
        <v>1030</v>
      </c>
      <c r="CI724" t="s">
        <v>10132</v>
      </c>
      <c r="CJ724" t="s">
        <v>6585</v>
      </c>
      <c r="CK724" t="s">
        <v>292</v>
      </c>
      <c r="CL724" t="s">
        <v>293</v>
      </c>
      <c r="CM724" t="s">
        <v>10133</v>
      </c>
      <c r="CN724" t="s">
        <v>482</v>
      </c>
      <c r="CO724" t="s">
        <v>183</v>
      </c>
      <c r="CP724" t="s">
        <v>211</v>
      </c>
      <c r="CQ724" t="s">
        <v>270</v>
      </c>
      <c r="CR724" t="s">
        <v>271</v>
      </c>
      <c r="CS724" t="s">
        <v>2808</v>
      </c>
      <c r="CT724" t="s">
        <v>6981</v>
      </c>
      <c r="CU724" t="s">
        <v>267</v>
      </c>
      <c r="CV724" t="s">
        <v>268</v>
      </c>
      <c r="CW724" t="s">
        <v>10134</v>
      </c>
      <c r="CX724" t="s">
        <v>927</v>
      </c>
      <c r="CY724" t="s">
        <v>183</v>
      </c>
      <c r="CZ724" t="s">
        <v>211</v>
      </c>
      <c r="DB724" t="s">
        <v>271</v>
      </c>
      <c r="DC724" t="s">
        <v>198</v>
      </c>
      <c r="DD724" t="s">
        <v>9667</v>
      </c>
      <c r="DE724" t="s">
        <v>273</v>
      </c>
      <c r="DF724" t="s">
        <v>274</v>
      </c>
      <c r="DG724" t="s">
        <v>5760</v>
      </c>
      <c r="DH724" t="s">
        <v>514</v>
      </c>
      <c r="DI724" t="s">
        <v>183</v>
      </c>
      <c r="DJ724" t="s">
        <v>211</v>
      </c>
      <c r="DK724" t="s">
        <v>345</v>
      </c>
      <c r="DM724" t="s">
        <v>10135</v>
      </c>
      <c r="DN724" t="s">
        <v>10136</v>
      </c>
      <c r="DO724" t="s">
        <v>302</v>
      </c>
      <c r="DP724" t="s">
        <v>303</v>
      </c>
      <c r="DQ724" t="s">
        <v>10137</v>
      </c>
      <c r="DR724" t="s">
        <v>796</v>
      </c>
      <c r="DS724" t="s">
        <v>183</v>
      </c>
      <c r="DT724" t="s">
        <v>211</v>
      </c>
      <c r="DU724" t="s">
        <v>633</v>
      </c>
      <c r="DW724" t="s">
        <v>10138</v>
      </c>
      <c r="DX724" t="s">
        <v>10139</v>
      </c>
      <c r="DY724" t="s">
        <v>238</v>
      </c>
      <c r="DZ724" t="s">
        <v>239</v>
      </c>
      <c r="EA724" t="s">
        <v>10140</v>
      </c>
      <c r="EB724" t="s">
        <v>440</v>
      </c>
      <c r="EC724" t="s">
        <v>183</v>
      </c>
      <c r="ED724" t="s">
        <v>211</v>
      </c>
      <c r="EE724" t="s">
        <v>345</v>
      </c>
      <c r="EG724" t="s">
        <v>2753</v>
      </c>
      <c r="EH724" t="s">
        <v>10141</v>
      </c>
      <c r="EI724" t="s">
        <v>346</v>
      </c>
      <c r="EJ724" t="s">
        <v>347</v>
      </c>
      <c r="EK724" t="s">
        <v>3500</v>
      </c>
      <c r="EL724" t="s">
        <v>1551</v>
      </c>
      <c r="EM724" t="s">
        <v>183</v>
      </c>
      <c r="EN724" t="s">
        <v>211</v>
      </c>
      <c r="EO724" t="s">
        <v>337</v>
      </c>
      <c r="EQ724" t="s">
        <v>1352</v>
      </c>
      <c r="ER724" t="s">
        <v>5844</v>
      </c>
      <c r="ES724" t="s">
        <v>207</v>
      </c>
      <c r="ET724" t="s">
        <v>208</v>
      </c>
      <c r="EU724" t="s">
        <v>10142</v>
      </c>
      <c r="EV724" t="s">
        <v>576</v>
      </c>
      <c r="EW724" t="s">
        <v>183</v>
      </c>
      <c r="EX724" t="s">
        <v>211</v>
      </c>
      <c r="EY724" t="s">
        <v>298</v>
      </c>
      <c r="FA724" t="s">
        <v>2927</v>
      </c>
      <c r="FK724" t="s">
        <v>198</v>
      </c>
      <c r="FU724" t="s">
        <v>198</v>
      </c>
    </row>
    <row r="725" spans="1:177">
      <c r="A725" s="1" t="str">
        <f>HYPERLINK("http://digipan.lumentumllc.com/apps/getLink/index.php?t=PropLink&amp;p=5247411","PL")</f>
        <v>PL</v>
      </c>
      <c r="B725" s="1" t="str">
        <f>HYPERLINK("http://digipan.lumentumllc.com/apps/getLink/index.php?t=TaxLink&amp;p=5247411","TL")</f>
        <v>TL</v>
      </c>
      <c r="C725" s="1" t="str">
        <f>HYPERLINK("http://digipan.lumentumllc.com/apps/getMap/index.php?p=5247411","Map")</f>
        <v>Map</v>
      </c>
      <c r="E725" t="s">
        <v>177</v>
      </c>
      <c r="F725" t="s">
        <v>178</v>
      </c>
      <c r="L725" t="s">
        <v>10143</v>
      </c>
      <c r="N725" t="s">
        <v>10143</v>
      </c>
      <c r="O725" t="s">
        <v>10143</v>
      </c>
      <c r="P725" t="s">
        <v>10144</v>
      </c>
      <c r="Q725" t="s">
        <v>10143</v>
      </c>
      <c r="V725">
        <v>838</v>
      </c>
      <c r="W725">
        <v>3</v>
      </c>
      <c r="X725">
        <v>2017</v>
      </c>
      <c r="Y725">
        <v>2018</v>
      </c>
      <c r="Z725">
        <v>443.89</v>
      </c>
      <c r="AB725" t="s">
        <v>181</v>
      </c>
      <c r="AC725" t="s">
        <v>182</v>
      </c>
      <c r="AD725" t="s">
        <v>183</v>
      </c>
      <c r="AE725">
        <v>1</v>
      </c>
      <c r="AF725">
        <v>4</v>
      </c>
      <c r="AG725" t="s">
        <v>951</v>
      </c>
      <c r="AH725">
        <v>80</v>
      </c>
      <c r="AI725">
        <v>500.5</v>
      </c>
      <c r="AJ725">
        <v>25.03</v>
      </c>
      <c r="AK725">
        <v>525.53</v>
      </c>
      <c r="AL725">
        <v>25157</v>
      </c>
      <c r="AM725">
        <v>15000</v>
      </c>
      <c r="AN725">
        <v>10157</v>
      </c>
      <c r="AO725">
        <v>438</v>
      </c>
      <c r="AP725">
        <v>2016</v>
      </c>
      <c r="AQ725">
        <v>1.76</v>
      </c>
      <c r="AR725">
        <v>2.09</v>
      </c>
      <c r="AS725" t="s">
        <v>10145</v>
      </c>
      <c r="AT725" t="s">
        <v>3747</v>
      </c>
      <c r="AU725" t="s">
        <v>177</v>
      </c>
      <c r="AV725" t="s">
        <v>1030</v>
      </c>
      <c r="AW725" t="s">
        <v>182</v>
      </c>
      <c r="AX725">
        <v>2</v>
      </c>
      <c r="AY725" t="s">
        <v>188</v>
      </c>
      <c r="AZ725" t="s">
        <v>189</v>
      </c>
      <c r="BA725" t="s">
        <v>190</v>
      </c>
      <c r="BB725" t="s">
        <v>191</v>
      </c>
      <c r="BC725" t="s">
        <v>182</v>
      </c>
      <c r="BD725" t="s">
        <v>182</v>
      </c>
      <c r="BE725" t="s">
        <v>1884</v>
      </c>
      <c r="BF725">
        <v>1</v>
      </c>
      <c r="BG725">
        <v>1</v>
      </c>
      <c r="BH725">
        <v>1986</v>
      </c>
      <c r="BI725" t="s">
        <v>10146</v>
      </c>
      <c r="BJ725" t="s">
        <v>315</v>
      </c>
      <c r="BK725" t="s">
        <v>195</v>
      </c>
      <c r="BL725" t="s">
        <v>3841</v>
      </c>
      <c r="BM725" t="s">
        <v>1474</v>
      </c>
      <c r="BN725" t="s">
        <v>182</v>
      </c>
      <c r="BO725" t="s">
        <v>198</v>
      </c>
      <c r="BP725" t="s">
        <v>198</v>
      </c>
      <c r="BQ725" t="s">
        <v>198</v>
      </c>
      <c r="BR725" t="s">
        <v>198</v>
      </c>
      <c r="BS725" t="s">
        <v>198</v>
      </c>
      <c r="BT725" t="s">
        <v>198</v>
      </c>
      <c r="BU725" t="s">
        <v>182</v>
      </c>
      <c r="BV725" t="s">
        <v>198</v>
      </c>
      <c r="BW725" t="s">
        <v>198</v>
      </c>
      <c r="BX725" t="s">
        <v>199</v>
      </c>
      <c r="BY725" t="s">
        <v>198</v>
      </c>
      <c r="BZ725" t="s">
        <v>199</v>
      </c>
      <c r="CA725" t="s">
        <v>199</v>
      </c>
      <c r="CB725" t="s">
        <v>10147</v>
      </c>
      <c r="CC725" t="s">
        <v>201</v>
      </c>
      <c r="CD725" t="s">
        <v>202</v>
      </c>
      <c r="CE725" t="s">
        <v>10148</v>
      </c>
      <c r="CF725" t="s">
        <v>413</v>
      </c>
      <c r="CG725" t="s">
        <v>177</v>
      </c>
      <c r="CH725" t="s">
        <v>1289</v>
      </c>
      <c r="CI725" t="s">
        <v>1955</v>
      </c>
      <c r="CJ725" t="s">
        <v>9369</v>
      </c>
      <c r="CK725" t="s">
        <v>232</v>
      </c>
      <c r="CL725" t="s">
        <v>233</v>
      </c>
      <c r="CM725" t="s">
        <v>10149</v>
      </c>
      <c r="CN725" t="s">
        <v>235</v>
      </c>
      <c r="CO725" t="s">
        <v>183</v>
      </c>
      <c r="CP725" t="s">
        <v>266</v>
      </c>
      <c r="CS725" t="s">
        <v>198</v>
      </c>
      <c r="CT725" t="s">
        <v>9240</v>
      </c>
      <c r="CU725" t="s">
        <v>292</v>
      </c>
      <c r="CV725" t="s">
        <v>293</v>
      </c>
      <c r="CW725" t="s">
        <v>10150</v>
      </c>
      <c r="CX725" t="s">
        <v>333</v>
      </c>
      <c r="CY725" t="s">
        <v>183</v>
      </c>
      <c r="CZ725" t="s">
        <v>211</v>
      </c>
      <c r="DA725" t="s">
        <v>298</v>
      </c>
      <c r="DC725" t="s">
        <v>457</v>
      </c>
      <c r="DD725" t="s">
        <v>9700</v>
      </c>
      <c r="DE725" t="s">
        <v>273</v>
      </c>
      <c r="DF725" t="s">
        <v>274</v>
      </c>
      <c r="DG725" t="s">
        <v>10151</v>
      </c>
      <c r="DH725" t="s">
        <v>235</v>
      </c>
      <c r="DI725" t="s">
        <v>183</v>
      </c>
      <c r="DJ725" t="s">
        <v>211</v>
      </c>
      <c r="DK725" t="s">
        <v>250</v>
      </c>
      <c r="DM725" t="s">
        <v>10152</v>
      </c>
      <c r="DN725" t="s">
        <v>7456</v>
      </c>
      <c r="DO725" t="s">
        <v>302</v>
      </c>
      <c r="DP725" t="s">
        <v>303</v>
      </c>
      <c r="DQ725" t="s">
        <v>10153</v>
      </c>
      <c r="DR725" t="s">
        <v>796</v>
      </c>
      <c r="DS725" t="s">
        <v>183</v>
      </c>
      <c r="DT725" t="s">
        <v>211</v>
      </c>
      <c r="DU725" t="s">
        <v>487</v>
      </c>
      <c r="DW725" t="s">
        <v>10152</v>
      </c>
      <c r="DX725" t="s">
        <v>1617</v>
      </c>
      <c r="DY725" t="s">
        <v>346</v>
      </c>
      <c r="DZ725" t="s">
        <v>347</v>
      </c>
      <c r="EA725" t="s">
        <v>10154</v>
      </c>
      <c r="EB725" t="s">
        <v>2515</v>
      </c>
      <c r="EC725" t="s">
        <v>183</v>
      </c>
      <c r="ED725" t="s">
        <v>211</v>
      </c>
      <c r="EE725" t="s">
        <v>342</v>
      </c>
      <c r="EG725" t="s">
        <v>10155</v>
      </c>
      <c r="EQ725" t="s">
        <v>198</v>
      </c>
      <c r="FA725" t="s">
        <v>198</v>
      </c>
      <c r="FK725" t="s">
        <v>198</v>
      </c>
      <c r="FU725" t="s">
        <v>198</v>
      </c>
    </row>
    <row r="726" spans="1:177">
      <c r="A726" s="1" t="str">
        <f>HYPERLINK("http://digipan.lumentumllc.com/apps/getLink/index.php?t=PropLink&amp;p=5247413","PL")</f>
        <v>PL</v>
      </c>
      <c r="B726" s="1" t="str">
        <f>HYPERLINK("http://digipan.lumentumllc.com/apps/getLink/index.php?t=TaxLink&amp;p=5247413","TL")</f>
        <v>TL</v>
      </c>
      <c r="C726" s="1" t="str">
        <f>HYPERLINK("http://digipan.lumentumllc.com/apps/getMap/index.php?p=5247413","Map")</f>
        <v>Map</v>
      </c>
      <c r="E726" t="s">
        <v>177</v>
      </c>
      <c r="F726" t="s">
        <v>178</v>
      </c>
      <c r="L726" t="s">
        <v>10156</v>
      </c>
      <c r="N726" t="s">
        <v>10156</v>
      </c>
      <c r="O726" t="s">
        <v>10156</v>
      </c>
      <c r="P726" t="s">
        <v>10157</v>
      </c>
      <c r="Q726" t="s">
        <v>10156</v>
      </c>
      <c r="V726">
        <v>841</v>
      </c>
      <c r="W726">
        <v>3</v>
      </c>
      <c r="X726">
        <v>2017</v>
      </c>
      <c r="Y726">
        <v>2018</v>
      </c>
      <c r="Z726">
        <v>899.04</v>
      </c>
      <c r="AB726" t="s">
        <v>181</v>
      </c>
      <c r="AC726" t="s">
        <v>182</v>
      </c>
      <c r="AD726" t="s">
        <v>183</v>
      </c>
      <c r="AE726">
        <v>1</v>
      </c>
      <c r="AF726">
        <v>6</v>
      </c>
      <c r="AG726" t="s">
        <v>322</v>
      </c>
      <c r="AH726">
        <v>83</v>
      </c>
      <c r="AI726">
        <v>769.46</v>
      </c>
      <c r="AJ726">
        <v>38.47</v>
      </c>
      <c r="AK726">
        <v>807.93</v>
      </c>
      <c r="AL726">
        <v>57829</v>
      </c>
      <c r="AM726">
        <v>15000</v>
      </c>
      <c r="AN726">
        <v>42829</v>
      </c>
      <c r="AO726">
        <v>687</v>
      </c>
      <c r="AP726">
        <v>2016</v>
      </c>
      <c r="AQ726">
        <v>1.55</v>
      </c>
      <c r="AR726">
        <v>1.4</v>
      </c>
      <c r="AS726" t="s">
        <v>10158</v>
      </c>
      <c r="AT726" t="s">
        <v>3747</v>
      </c>
      <c r="AU726" t="s">
        <v>177</v>
      </c>
      <c r="AV726" t="s">
        <v>1030</v>
      </c>
      <c r="AW726" t="s">
        <v>182</v>
      </c>
      <c r="AX726">
        <v>2</v>
      </c>
      <c r="AY726" t="s">
        <v>188</v>
      </c>
      <c r="AZ726" t="s">
        <v>189</v>
      </c>
      <c r="BA726" t="s">
        <v>190</v>
      </c>
      <c r="BB726" t="s">
        <v>191</v>
      </c>
      <c r="BC726" t="s">
        <v>182</v>
      </c>
      <c r="BD726" t="s">
        <v>182</v>
      </c>
      <c r="BE726" t="s">
        <v>5145</v>
      </c>
      <c r="BF726">
        <v>1</v>
      </c>
      <c r="BG726">
        <v>1</v>
      </c>
      <c r="BH726">
        <v>1994</v>
      </c>
      <c r="BI726" t="s">
        <v>10159</v>
      </c>
      <c r="BJ726" t="s">
        <v>194</v>
      </c>
      <c r="BK726" t="s">
        <v>195</v>
      </c>
      <c r="BL726" t="s">
        <v>199</v>
      </c>
      <c r="BM726" t="s">
        <v>1311</v>
      </c>
      <c r="BN726" t="s">
        <v>182</v>
      </c>
      <c r="BO726" t="s">
        <v>198</v>
      </c>
      <c r="BP726" t="s">
        <v>198</v>
      </c>
      <c r="BQ726" t="s">
        <v>198</v>
      </c>
      <c r="BR726" t="s">
        <v>198</v>
      </c>
      <c r="BS726" t="s">
        <v>198</v>
      </c>
      <c r="BT726" t="s">
        <v>198</v>
      </c>
      <c r="BU726" t="s">
        <v>182</v>
      </c>
      <c r="BV726" t="s">
        <v>198</v>
      </c>
      <c r="BW726" t="s">
        <v>198</v>
      </c>
      <c r="BX726" t="s">
        <v>199</v>
      </c>
      <c r="BY726" t="s">
        <v>198</v>
      </c>
      <c r="BZ726" t="s">
        <v>199</v>
      </c>
      <c r="CA726" t="s">
        <v>199</v>
      </c>
      <c r="CB726" t="s">
        <v>10160</v>
      </c>
      <c r="CC726" t="s">
        <v>201</v>
      </c>
      <c r="CD726" t="s">
        <v>202</v>
      </c>
      <c r="CE726" t="s">
        <v>10161</v>
      </c>
      <c r="CF726" t="s">
        <v>10162</v>
      </c>
      <c r="CG726" t="s">
        <v>6826</v>
      </c>
      <c r="CH726" t="s">
        <v>10163</v>
      </c>
      <c r="CI726" t="s">
        <v>1335</v>
      </c>
      <c r="CJ726" t="s">
        <v>9413</v>
      </c>
      <c r="CK726" t="s">
        <v>232</v>
      </c>
      <c r="CL726" t="s">
        <v>233</v>
      </c>
      <c r="CM726" t="s">
        <v>10164</v>
      </c>
      <c r="CN726" t="s">
        <v>235</v>
      </c>
      <c r="CO726" t="s">
        <v>183</v>
      </c>
      <c r="CP726" t="s">
        <v>266</v>
      </c>
      <c r="CS726" t="s">
        <v>198</v>
      </c>
      <c r="CT726" t="s">
        <v>6663</v>
      </c>
      <c r="CU726" t="s">
        <v>292</v>
      </c>
      <c r="CV726" t="s">
        <v>293</v>
      </c>
      <c r="CW726" t="s">
        <v>10165</v>
      </c>
      <c r="CX726" t="s">
        <v>333</v>
      </c>
      <c r="CY726" t="s">
        <v>183</v>
      </c>
      <c r="CZ726" t="s">
        <v>211</v>
      </c>
      <c r="DA726" t="s">
        <v>329</v>
      </c>
      <c r="DC726" t="s">
        <v>2151</v>
      </c>
      <c r="DD726" t="s">
        <v>9943</v>
      </c>
      <c r="DE726" t="s">
        <v>267</v>
      </c>
      <c r="DF726" t="s">
        <v>268</v>
      </c>
      <c r="DG726" t="s">
        <v>10166</v>
      </c>
      <c r="DH726" t="s">
        <v>235</v>
      </c>
      <c r="DI726" t="s">
        <v>183</v>
      </c>
      <c r="DJ726" t="s">
        <v>211</v>
      </c>
      <c r="DK726" t="s">
        <v>298</v>
      </c>
      <c r="DM726" t="s">
        <v>2151</v>
      </c>
      <c r="DN726" t="s">
        <v>376</v>
      </c>
      <c r="DO726" t="s">
        <v>273</v>
      </c>
      <c r="DP726" t="s">
        <v>274</v>
      </c>
      <c r="DQ726" t="s">
        <v>10167</v>
      </c>
      <c r="DR726" t="s">
        <v>235</v>
      </c>
      <c r="DS726" t="s">
        <v>183</v>
      </c>
      <c r="DT726" t="s">
        <v>211</v>
      </c>
      <c r="DU726" t="s">
        <v>525</v>
      </c>
      <c r="DW726" t="s">
        <v>2151</v>
      </c>
      <c r="DX726" t="s">
        <v>10168</v>
      </c>
      <c r="DY726" t="s">
        <v>238</v>
      </c>
      <c r="DZ726" t="s">
        <v>239</v>
      </c>
      <c r="EA726" t="s">
        <v>10169</v>
      </c>
      <c r="EB726" t="s">
        <v>278</v>
      </c>
      <c r="EC726" t="s">
        <v>183</v>
      </c>
      <c r="ED726" t="s">
        <v>211</v>
      </c>
      <c r="EE726" t="s">
        <v>270</v>
      </c>
      <c r="EG726" t="s">
        <v>1352</v>
      </c>
      <c r="EH726" t="s">
        <v>10170</v>
      </c>
      <c r="EI726" t="s">
        <v>346</v>
      </c>
      <c r="EJ726" t="s">
        <v>347</v>
      </c>
      <c r="EK726" t="s">
        <v>10171</v>
      </c>
      <c r="EL726" t="s">
        <v>1551</v>
      </c>
      <c r="EM726" t="s">
        <v>183</v>
      </c>
      <c r="EN726" t="s">
        <v>211</v>
      </c>
      <c r="EO726" t="s">
        <v>345</v>
      </c>
      <c r="EQ726" t="s">
        <v>4170</v>
      </c>
      <c r="ER726" t="s">
        <v>10172</v>
      </c>
      <c r="ES726" t="s">
        <v>207</v>
      </c>
      <c r="ET726" t="s">
        <v>208</v>
      </c>
      <c r="EU726" t="s">
        <v>539</v>
      </c>
      <c r="EV726" t="s">
        <v>1551</v>
      </c>
      <c r="EW726" t="s">
        <v>183</v>
      </c>
      <c r="EX726" t="s">
        <v>211</v>
      </c>
      <c r="EY726" t="s">
        <v>212</v>
      </c>
      <c r="FA726" t="s">
        <v>3856</v>
      </c>
      <c r="FK726" t="s">
        <v>198</v>
      </c>
      <c r="FU726" t="s">
        <v>198</v>
      </c>
    </row>
    <row r="727" spans="1:177">
      <c r="A727" s="1" t="str">
        <f>HYPERLINK("http://digipan.lumentumllc.com/apps/getLink/index.php?t=PropLink&amp;p=4638255","PL")</f>
        <v>PL</v>
      </c>
      <c r="B727" s="1" t="str">
        <f>HYPERLINK("http://digipan.lumentumllc.com/apps/getLink/index.php?t=TaxLink&amp;p=4638255","TL")</f>
        <v>TL</v>
      </c>
      <c r="C727" s="1" t="str">
        <f>HYPERLINK("http://digipan.lumentumllc.com/apps/getMap/index.php?p=4638255","Map")</f>
        <v>Map</v>
      </c>
      <c r="E727" t="s">
        <v>177</v>
      </c>
      <c r="F727" t="s">
        <v>178</v>
      </c>
      <c r="L727" t="s">
        <v>10173</v>
      </c>
      <c r="N727" t="s">
        <v>10173</v>
      </c>
      <c r="O727" t="s">
        <v>10173</v>
      </c>
      <c r="P727" t="s">
        <v>10174</v>
      </c>
      <c r="Q727" t="s">
        <v>10173</v>
      </c>
      <c r="V727">
        <v>842</v>
      </c>
      <c r="W727">
        <v>3</v>
      </c>
      <c r="X727">
        <v>2017</v>
      </c>
      <c r="Y727">
        <v>2018</v>
      </c>
      <c r="Z727">
        <v>618.16999999999996</v>
      </c>
      <c r="AG727" t="s">
        <v>184</v>
      </c>
      <c r="AH727">
        <v>0</v>
      </c>
      <c r="AK727">
        <v>0</v>
      </c>
      <c r="AL727">
        <v>35802</v>
      </c>
      <c r="AM727">
        <v>15000</v>
      </c>
      <c r="AN727">
        <v>20802</v>
      </c>
      <c r="AO727">
        <v>558</v>
      </c>
      <c r="AP727">
        <v>2016</v>
      </c>
      <c r="AQ727">
        <v>1.73</v>
      </c>
      <c r="AS727" t="s">
        <v>10175</v>
      </c>
      <c r="AT727" t="s">
        <v>3747</v>
      </c>
      <c r="AU727" t="s">
        <v>177</v>
      </c>
      <c r="AV727" t="s">
        <v>1030</v>
      </c>
      <c r="AW727" t="s">
        <v>182</v>
      </c>
      <c r="AX727">
        <v>2</v>
      </c>
      <c r="AY727" t="s">
        <v>188</v>
      </c>
      <c r="AZ727" t="s">
        <v>189</v>
      </c>
      <c r="BA727" t="s">
        <v>190</v>
      </c>
      <c r="BB727" t="s">
        <v>191</v>
      </c>
      <c r="BC727" t="s">
        <v>182</v>
      </c>
      <c r="BD727" t="s">
        <v>182</v>
      </c>
      <c r="BE727" t="s">
        <v>899</v>
      </c>
      <c r="BF727">
        <v>1</v>
      </c>
      <c r="BG727">
        <v>1</v>
      </c>
      <c r="BH727">
        <v>1985</v>
      </c>
      <c r="BI727" t="s">
        <v>4209</v>
      </c>
      <c r="BJ727" t="s">
        <v>194</v>
      </c>
      <c r="BK727" t="s">
        <v>195</v>
      </c>
      <c r="BL727" t="s">
        <v>10176</v>
      </c>
      <c r="BM727" t="s">
        <v>197</v>
      </c>
      <c r="BN727" t="s">
        <v>182</v>
      </c>
      <c r="BO727" t="s">
        <v>10177</v>
      </c>
      <c r="BP727" t="s">
        <v>956</v>
      </c>
      <c r="BQ727" t="s">
        <v>581</v>
      </c>
      <c r="BR727" t="s">
        <v>563</v>
      </c>
      <c r="BS727" t="s">
        <v>198</v>
      </c>
      <c r="BT727" t="s">
        <v>10178</v>
      </c>
      <c r="BU727" t="s">
        <v>182</v>
      </c>
      <c r="BV727" t="s">
        <v>198</v>
      </c>
      <c r="BW727" t="s">
        <v>198</v>
      </c>
      <c r="BX727" t="s">
        <v>199</v>
      </c>
      <c r="BY727" t="s">
        <v>198</v>
      </c>
      <c r="BZ727" t="s">
        <v>199</v>
      </c>
      <c r="CA727" t="s">
        <v>199</v>
      </c>
      <c r="CB727" t="s">
        <v>10179</v>
      </c>
      <c r="CC727" t="s">
        <v>201</v>
      </c>
      <c r="CD727" t="s">
        <v>202</v>
      </c>
      <c r="CE727" t="s">
        <v>10180</v>
      </c>
      <c r="CF727" t="s">
        <v>1029</v>
      </c>
      <c r="CG727" t="s">
        <v>177</v>
      </c>
      <c r="CH727" t="s">
        <v>1030</v>
      </c>
      <c r="CI727" t="s">
        <v>10181</v>
      </c>
      <c r="CS727" t="s">
        <v>198</v>
      </c>
      <c r="DC727" t="s">
        <v>198</v>
      </c>
      <c r="DM727" t="s">
        <v>198</v>
      </c>
      <c r="DW727" t="s">
        <v>198</v>
      </c>
      <c r="EG727" t="s">
        <v>198</v>
      </c>
      <c r="EQ727" t="s">
        <v>198</v>
      </c>
      <c r="FA727" t="s">
        <v>198</v>
      </c>
      <c r="FK727" t="s">
        <v>198</v>
      </c>
      <c r="FU727" t="s">
        <v>198</v>
      </c>
    </row>
    <row r="728" spans="1:177">
      <c r="A728" s="1" t="str">
        <f>HYPERLINK("http://digipan.lumentumllc.com/apps/getLink/index.php?t=PropLink&amp;p=5247415","PL")</f>
        <v>PL</v>
      </c>
      <c r="B728" s="1" t="str">
        <f>HYPERLINK("http://digipan.lumentumllc.com/apps/getLink/index.php?t=TaxLink&amp;p=5247415","TL")</f>
        <v>TL</v>
      </c>
      <c r="C728" s="1" t="str">
        <f>HYPERLINK("http://digipan.lumentumllc.com/apps/getMap/index.php?p=5247415","Map")</f>
        <v>Map</v>
      </c>
      <c r="E728" t="s">
        <v>177</v>
      </c>
      <c r="F728" t="s">
        <v>178</v>
      </c>
      <c r="L728" t="s">
        <v>10182</v>
      </c>
      <c r="N728" t="s">
        <v>10182</v>
      </c>
      <c r="O728" t="s">
        <v>10182</v>
      </c>
      <c r="P728" t="s">
        <v>10183</v>
      </c>
      <c r="Q728" t="s">
        <v>10182</v>
      </c>
      <c r="V728">
        <v>843</v>
      </c>
      <c r="W728">
        <v>3</v>
      </c>
      <c r="X728">
        <v>2017</v>
      </c>
      <c r="Y728">
        <v>2018</v>
      </c>
      <c r="Z728">
        <v>919.82</v>
      </c>
      <c r="AB728" t="s">
        <v>181</v>
      </c>
      <c r="AC728" t="s">
        <v>202</v>
      </c>
      <c r="AD728" t="s">
        <v>183</v>
      </c>
      <c r="AE728">
        <v>0</v>
      </c>
      <c r="AF728">
        <v>8</v>
      </c>
      <c r="AG728" t="s">
        <v>1059</v>
      </c>
      <c r="AH728">
        <v>100</v>
      </c>
      <c r="AK728">
        <v>0</v>
      </c>
      <c r="AL728">
        <v>54226</v>
      </c>
      <c r="AM728">
        <v>15000</v>
      </c>
      <c r="AN728">
        <v>39226</v>
      </c>
      <c r="AO728">
        <v>722</v>
      </c>
      <c r="AP728">
        <v>2016</v>
      </c>
      <c r="AQ728">
        <v>1.7</v>
      </c>
      <c r="AS728" t="s">
        <v>10184</v>
      </c>
      <c r="AT728" t="s">
        <v>3747</v>
      </c>
      <c r="AU728" t="s">
        <v>177</v>
      </c>
      <c r="AV728" t="s">
        <v>1030</v>
      </c>
      <c r="AW728" t="s">
        <v>182</v>
      </c>
      <c r="AX728">
        <v>2</v>
      </c>
      <c r="AY728" t="s">
        <v>188</v>
      </c>
      <c r="AZ728" t="s">
        <v>189</v>
      </c>
      <c r="BA728" t="s">
        <v>190</v>
      </c>
      <c r="BB728" t="s">
        <v>191</v>
      </c>
      <c r="BC728" t="s">
        <v>182</v>
      </c>
      <c r="BD728" t="s">
        <v>182</v>
      </c>
      <c r="BE728" t="s">
        <v>1385</v>
      </c>
      <c r="BF728">
        <v>1</v>
      </c>
      <c r="BG728">
        <v>1</v>
      </c>
      <c r="BH728">
        <v>1998</v>
      </c>
      <c r="BI728" t="s">
        <v>10185</v>
      </c>
      <c r="BJ728" t="s">
        <v>194</v>
      </c>
      <c r="BK728" t="s">
        <v>195</v>
      </c>
      <c r="BL728" t="s">
        <v>10186</v>
      </c>
      <c r="BM728" t="s">
        <v>679</v>
      </c>
      <c r="BN728" t="s">
        <v>182</v>
      </c>
      <c r="BO728" t="s">
        <v>198</v>
      </c>
      <c r="BP728" t="s">
        <v>198</v>
      </c>
      <c r="BQ728" t="s">
        <v>198</v>
      </c>
      <c r="BR728" t="s">
        <v>198</v>
      </c>
      <c r="BS728" t="s">
        <v>198</v>
      </c>
      <c r="BT728" t="s">
        <v>198</v>
      </c>
      <c r="BU728" t="s">
        <v>182</v>
      </c>
      <c r="BV728" t="s">
        <v>198</v>
      </c>
      <c r="BW728" t="s">
        <v>198</v>
      </c>
      <c r="BX728" t="s">
        <v>199</v>
      </c>
      <c r="BY728" t="s">
        <v>198</v>
      </c>
      <c r="BZ728" t="s">
        <v>199</v>
      </c>
      <c r="CA728" t="s">
        <v>199</v>
      </c>
      <c r="CB728" t="s">
        <v>10187</v>
      </c>
      <c r="CC728" t="s">
        <v>201</v>
      </c>
      <c r="CD728" t="s">
        <v>202</v>
      </c>
      <c r="CE728" t="s">
        <v>10188</v>
      </c>
      <c r="CF728" t="s">
        <v>1029</v>
      </c>
      <c r="CG728" t="s">
        <v>177</v>
      </c>
      <c r="CH728" t="s">
        <v>1030</v>
      </c>
      <c r="CI728" t="s">
        <v>10189</v>
      </c>
      <c r="CJ728" t="s">
        <v>6951</v>
      </c>
      <c r="CK728" t="s">
        <v>232</v>
      </c>
      <c r="CL728" t="s">
        <v>233</v>
      </c>
      <c r="CM728" t="s">
        <v>10190</v>
      </c>
      <c r="CN728" t="s">
        <v>235</v>
      </c>
      <c r="CO728" t="s">
        <v>183</v>
      </c>
      <c r="CP728" t="s">
        <v>211</v>
      </c>
      <c r="CQ728" t="s">
        <v>342</v>
      </c>
      <c r="CS728" t="s">
        <v>7255</v>
      </c>
      <c r="CT728" t="s">
        <v>10191</v>
      </c>
      <c r="CU728" t="s">
        <v>292</v>
      </c>
      <c r="CV728" t="s">
        <v>293</v>
      </c>
      <c r="CW728" t="s">
        <v>10192</v>
      </c>
      <c r="CX728" t="s">
        <v>333</v>
      </c>
      <c r="CY728" t="s">
        <v>183</v>
      </c>
      <c r="CZ728" t="s">
        <v>211</v>
      </c>
      <c r="DA728" t="s">
        <v>250</v>
      </c>
      <c r="DB728" t="s">
        <v>271</v>
      </c>
      <c r="DC728" t="s">
        <v>4374</v>
      </c>
      <c r="DD728" t="s">
        <v>10193</v>
      </c>
      <c r="DE728" t="s">
        <v>267</v>
      </c>
      <c r="DF728" t="s">
        <v>268</v>
      </c>
      <c r="DG728" t="s">
        <v>10194</v>
      </c>
      <c r="DH728" t="s">
        <v>235</v>
      </c>
      <c r="DI728" t="s">
        <v>183</v>
      </c>
      <c r="DJ728" t="s">
        <v>211</v>
      </c>
      <c r="DK728" t="s">
        <v>487</v>
      </c>
      <c r="DL728" t="s">
        <v>271</v>
      </c>
      <c r="DM728" t="s">
        <v>4374</v>
      </c>
      <c r="DN728" t="s">
        <v>7211</v>
      </c>
      <c r="DO728" t="s">
        <v>273</v>
      </c>
      <c r="DP728" t="s">
        <v>274</v>
      </c>
      <c r="DQ728" t="s">
        <v>10195</v>
      </c>
      <c r="DR728" t="s">
        <v>3342</v>
      </c>
      <c r="DS728" t="s">
        <v>183</v>
      </c>
      <c r="DT728" t="s">
        <v>211</v>
      </c>
      <c r="DV728" t="s">
        <v>271</v>
      </c>
      <c r="DW728" t="s">
        <v>198</v>
      </c>
      <c r="DX728" t="s">
        <v>7506</v>
      </c>
      <c r="DY728" t="s">
        <v>302</v>
      </c>
      <c r="DZ728" t="s">
        <v>303</v>
      </c>
      <c r="EA728" t="s">
        <v>10196</v>
      </c>
      <c r="EB728" t="s">
        <v>235</v>
      </c>
      <c r="EC728" t="s">
        <v>183</v>
      </c>
      <c r="ED728" t="s">
        <v>211</v>
      </c>
      <c r="EE728" t="s">
        <v>865</v>
      </c>
      <c r="EG728" t="s">
        <v>5967</v>
      </c>
      <c r="EH728" t="s">
        <v>10197</v>
      </c>
      <c r="EI728" t="s">
        <v>238</v>
      </c>
      <c r="EJ728" t="s">
        <v>239</v>
      </c>
      <c r="EK728" t="s">
        <v>10198</v>
      </c>
      <c r="EL728" t="s">
        <v>440</v>
      </c>
      <c r="EM728" t="s">
        <v>183</v>
      </c>
      <c r="EN728" t="s">
        <v>211</v>
      </c>
      <c r="EO728" t="s">
        <v>525</v>
      </c>
      <c r="EQ728" t="s">
        <v>2359</v>
      </c>
      <c r="ER728" t="s">
        <v>7823</v>
      </c>
      <c r="ES728" t="s">
        <v>346</v>
      </c>
      <c r="ET728" t="s">
        <v>347</v>
      </c>
      <c r="EU728" t="s">
        <v>10199</v>
      </c>
      <c r="EV728" t="s">
        <v>2515</v>
      </c>
      <c r="EW728" t="s">
        <v>183</v>
      </c>
      <c r="EX728" t="s">
        <v>211</v>
      </c>
      <c r="EY728" t="s">
        <v>298</v>
      </c>
      <c r="FA728" t="s">
        <v>3166</v>
      </c>
      <c r="FB728" t="s">
        <v>10200</v>
      </c>
      <c r="FC728" t="s">
        <v>207</v>
      </c>
      <c r="FD728" t="s">
        <v>208</v>
      </c>
      <c r="FE728" t="s">
        <v>10201</v>
      </c>
      <c r="FF728" t="s">
        <v>576</v>
      </c>
      <c r="FG728" t="s">
        <v>183</v>
      </c>
      <c r="FH728" t="s">
        <v>211</v>
      </c>
      <c r="FI728" t="s">
        <v>329</v>
      </c>
      <c r="FK728" t="s">
        <v>10202</v>
      </c>
      <c r="FU728" t="s">
        <v>198</v>
      </c>
    </row>
    <row r="729" spans="1:177">
      <c r="A729" s="1" t="str">
        <f>HYPERLINK("http://digipan.lumentumllc.com/apps/getLink/index.php?t=PropLink&amp;p=5247417","PL")</f>
        <v>PL</v>
      </c>
      <c r="B729" s="1" t="str">
        <f>HYPERLINK("http://digipan.lumentumllc.com/apps/getLink/index.php?t=TaxLink&amp;p=5247417","TL")</f>
        <v>TL</v>
      </c>
      <c r="C729" s="1" t="str">
        <f>HYPERLINK("http://digipan.lumentumllc.com/apps/getMap/index.php?p=5247417","Map")</f>
        <v>Map</v>
      </c>
      <c r="E729" t="s">
        <v>177</v>
      </c>
      <c r="F729" t="s">
        <v>178</v>
      </c>
      <c r="L729" t="s">
        <v>10203</v>
      </c>
      <c r="N729" t="s">
        <v>10203</v>
      </c>
      <c r="O729" t="s">
        <v>10203</v>
      </c>
      <c r="P729" t="s">
        <v>10204</v>
      </c>
      <c r="Q729" t="s">
        <v>10203</v>
      </c>
      <c r="V729">
        <v>844</v>
      </c>
      <c r="W729">
        <v>3</v>
      </c>
      <c r="X729">
        <v>2017</v>
      </c>
      <c r="Y729">
        <v>2018</v>
      </c>
      <c r="Z729">
        <v>850.33</v>
      </c>
      <c r="AB729" t="s">
        <v>181</v>
      </c>
      <c r="AC729" t="s">
        <v>182</v>
      </c>
      <c r="AD729" t="s">
        <v>183</v>
      </c>
      <c r="AE729">
        <v>1</v>
      </c>
      <c r="AF729">
        <v>5</v>
      </c>
      <c r="AG729" t="s">
        <v>322</v>
      </c>
      <c r="AH729">
        <v>83</v>
      </c>
      <c r="AI729">
        <v>722.8</v>
      </c>
      <c r="AJ729">
        <v>36.14</v>
      </c>
      <c r="AK729">
        <v>758.94</v>
      </c>
      <c r="AL729">
        <v>55003</v>
      </c>
      <c r="AM729">
        <v>15000</v>
      </c>
      <c r="AN729">
        <v>40003</v>
      </c>
      <c r="AO729">
        <v>643</v>
      </c>
      <c r="AP729">
        <v>2016</v>
      </c>
      <c r="AQ729">
        <v>1.55</v>
      </c>
      <c r="AR729">
        <v>1.38</v>
      </c>
      <c r="AS729" t="s">
        <v>10205</v>
      </c>
      <c r="AT729" t="s">
        <v>3747</v>
      </c>
      <c r="AU729" t="s">
        <v>177</v>
      </c>
      <c r="AV729" t="s">
        <v>1030</v>
      </c>
      <c r="AW729" t="s">
        <v>182</v>
      </c>
      <c r="AX729">
        <v>2</v>
      </c>
      <c r="AY729" t="s">
        <v>188</v>
      </c>
      <c r="AZ729" t="s">
        <v>189</v>
      </c>
      <c r="BA729" t="s">
        <v>190</v>
      </c>
      <c r="BB729" t="s">
        <v>191</v>
      </c>
      <c r="BC729" t="s">
        <v>182</v>
      </c>
      <c r="BD729" t="s">
        <v>182</v>
      </c>
      <c r="BE729" t="s">
        <v>10206</v>
      </c>
      <c r="BF729">
        <v>1</v>
      </c>
      <c r="BG729">
        <v>1</v>
      </c>
      <c r="BH729">
        <v>1994</v>
      </c>
      <c r="BI729" t="s">
        <v>10207</v>
      </c>
      <c r="BJ729" t="s">
        <v>194</v>
      </c>
      <c r="BK729" t="s">
        <v>195</v>
      </c>
      <c r="BL729" t="s">
        <v>938</v>
      </c>
      <c r="BM729" t="s">
        <v>346</v>
      </c>
      <c r="BN729" t="s">
        <v>182</v>
      </c>
      <c r="BO729" t="s">
        <v>198</v>
      </c>
      <c r="BP729" t="s">
        <v>198</v>
      </c>
      <c r="BQ729" t="s">
        <v>198</v>
      </c>
      <c r="BR729" t="s">
        <v>198</v>
      </c>
      <c r="BS729" t="s">
        <v>198</v>
      </c>
      <c r="BT729" t="s">
        <v>198</v>
      </c>
      <c r="BU729" t="s">
        <v>182</v>
      </c>
      <c r="BV729" t="s">
        <v>198</v>
      </c>
      <c r="BW729" t="s">
        <v>198</v>
      </c>
      <c r="BX729" t="s">
        <v>199</v>
      </c>
      <c r="BY729" t="s">
        <v>198</v>
      </c>
      <c r="BZ729" t="s">
        <v>199</v>
      </c>
      <c r="CA729" t="s">
        <v>199</v>
      </c>
      <c r="CB729" t="s">
        <v>10208</v>
      </c>
      <c r="CC729" t="s">
        <v>201</v>
      </c>
      <c r="CD729" t="s">
        <v>182</v>
      </c>
      <c r="CE729" t="s">
        <v>10209</v>
      </c>
      <c r="CF729" t="s">
        <v>413</v>
      </c>
      <c r="CG729" t="s">
        <v>177</v>
      </c>
      <c r="CH729" t="s">
        <v>414</v>
      </c>
      <c r="CI729" t="s">
        <v>649</v>
      </c>
      <c r="CJ729" t="s">
        <v>9842</v>
      </c>
      <c r="CK729" t="s">
        <v>232</v>
      </c>
      <c r="CL729" t="s">
        <v>233</v>
      </c>
      <c r="CM729" t="s">
        <v>10210</v>
      </c>
      <c r="CN729" t="s">
        <v>235</v>
      </c>
      <c r="CO729" t="s">
        <v>183</v>
      </c>
      <c r="CP729" t="s">
        <v>266</v>
      </c>
      <c r="CS729" t="s">
        <v>198</v>
      </c>
      <c r="CT729" t="s">
        <v>10053</v>
      </c>
      <c r="CU729" t="s">
        <v>292</v>
      </c>
      <c r="CV729" t="s">
        <v>293</v>
      </c>
      <c r="CW729" t="s">
        <v>10211</v>
      </c>
      <c r="CX729" t="s">
        <v>235</v>
      </c>
      <c r="CY729" t="s">
        <v>183</v>
      </c>
      <c r="CZ729" t="s">
        <v>211</v>
      </c>
      <c r="DA729" t="s">
        <v>345</v>
      </c>
      <c r="DC729" t="s">
        <v>1088</v>
      </c>
      <c r="DD729" t="s">
        <v>7012</v>
      </c>
      <c r="DE729" t="s">
        <v>267</v>
      </c>
      <c r="DF729" t="s">
        <v>268</v>
      </c>
      <c r="DG729" t="s">
        <v>10212</v>
      </c>
      <c r="DH729" t="s">
        <v>235</v>
      </c>
      <c r="DI729" t="s">
        <v>183</v>
      </c>
      <c r="DJ729" t="s">
        <v>211</v>
      </c>
      <c r="DK729" t="s">
        <v>298</v>
      </c>
      <c r="DM729" t="s">
        <v>459</v>
      </c>
      <c r="DN729" t="s">
        <v>10213</v>
      </c>
      <c r="DO729" t="s">
        <v>273</v>
      </c>
      <c r="DP729" t="s">
        <v>274</v>
      </c>
      <c r="DQ729" t="s">
        <v>10214</v>
      </c>
      <c r="DR729" t="s">
        <v>235</v>
      </c>
      <c r="DS729" t="s">
        <v>183</v>
      </c>
      <c r="DT729" t="s">
        <v>211</v>
      </c>
      <c r="DU729" t="s">
        <v>337</v>
      </c>
      <c r="DW729" t="s">
        <v>10215</v>
      </c>
      <c r="DX729" t="s">
        <v>7530</v>
      </c>
      <c r="DY729" t="s">
        <v>302</v>
      </c>
      <c r="DZ729" t="s">
        <v>303</v>
      </c>
      <c r="EA729" t="s">
        <v>10216</v>
      </c>
      <c r="EB729" t="s">
        <v>796</v>
      </c>
      <c r="EC729" t="s">
        <v>183</v>
      </c>
      <c r="ED729" t="s">
        <v>211</v>
      </c>
      <c r="EE729" t="s">
        <v>298</v>
      </c>
      <c r="EG729" t="s">
        <v>464</v>
      </c>
      <c r="EH729" t="s">
        <v>10217</v>
      </c>
      <c r="EI729" t="s">
        <v>238</v>
      </c>
      <c r="EJ729" t="s">
        <v>239</v>
      </c>
      <c r="EK729" t="s">
        <v>10218</v>
      </c>
      <c r="EL729" t="s">
        <v>440</v>
      </c>
      <c r="EM729" t="s">
        <v>183</v>
      </c>
      <c r="EN729" t="s">
        <v>211</v>
      </c>
      <c r="EO729" t="s">
        <v>298</v>
      </c>
      <c r="EQ729" t="s">
        <v>467</v>
      </c>
      <c r="FA729" t="s">
        <v>198</v>
      </c>
      <c r="FK729" t="s">
        <v>198</v>
      </c>
      <c r="FU729" t="s">
        <v>198</v>
      </c>
    </row>
    <row r="730" spans="1:177">
      <c r="A730" s="1" t="str">
        <f>HYPERLINK("http://digipan.lumentumllc.com/apps/getLink/index.php?t=PropLink&amp;p=5247418","PL")</f>
        <v>PL</v>
      </c>
      <c r="B730" s="1" t="str">
        <f>HYPERLINK("http://digipan.lumentumllc.com/apps/getLink/index.php?t=TaxLink&amp;p=5247418","TL")</f>
        <v>TL</v>
      </c>
      <c r="C730" s="1" t="str">
        <f>HYPERLINK("http://digipan.lumentumllc.com/apps/getMap/index.php?p=5247418","Map")</f>
        <v>Map</v>
      </c>
      <c r="E730" t="s">
        <v>177</v>
      </c>
      <c r="F730" t="s">
        <v>178</v>
      </c>
      <c r="L730" t="s">
        <v>10219</v>
      </c>
      <c r="N730" t="s">
        <v>10219</v>
      </c>
      <c r="O730" t="s">
        <v>10219</v>
      </c>
      <c r="P730" t="s">
        <v>10220</v>
      </c>
      <c r="Q730" t="s">
        <v>10219</v>
      </c>
      <c r="V730">
        <v>845</v>
      </c>
      <c r="W730">
        <v>3</v>
      </c>
      <c r="X730">
        <v>2017</v>
      </c>
      <c r="Y730">
        <v>2018</v>
      </c>
      <c r="Z730">
        <v>569.36</v>
      </c>
      <c r="AB730" t="s">
        <v>181</v>
      </c>
      <c r="AC730" t="s">
        <v>182</v>
      </c>
      <c r="AD730" t="s">
        <v>183</v>
      </c>
      <c r="AE730">
        <v>0</v>
      </c>
      <c r="AF730">
        <v>4</v>
      </c>
      <c r="AG730" t="s">
        <v>744</v>
      </c>
      <c r="AH730">
        <v>100</v>
      </c>
      <c r="AK730">
        <v>0</v>
      </c>
      <c r="AL730">
        <v>32820</v>
      </c>
      <c r="AM730">
        <v>15000</v>
      </c>
      <c r="AN730">
        <v>17820</v>
      </c>
      <c r="AO730">
        <v>505</v>
      </c>
      <c r="AP730">
        <v>2016</v>
      </c>
      <c r="AQ730">
        <v>1.73</v>
      </c>
      <c r="AS730" t="s">
        <v>10221</v>
      </c>
      <c r="AT730" t="s">
        <v>3747</v>
      </c>
      <c r="AU730" t="s">
        <v>177</v>
      </c>
      <c r="AV730" t="s">
        <v>1030</v>
      </c>
      <c r="AW730" t="s">
        <v>182</v>
      </c>
      <c r="AX730">
        <v>2</v>
      </c>
      <c r="AY730" t="s">
        <v>188</v>
      </c>
      <c r="AZ730" t="s">
        <v>189</v>
      </c>
      <c r="BA730" t="s">
        <v>190</v>
      </c>
      <c r="BB730" t="s">
        <v>191</v>
      </c>
      <c r="BC730" t="s">
        <v>182</v>
      </c>
      <c r="BD730" t="s">
        <v>182</v>
      </c>
      <c r="BE730" t="s">
        <v>9812</v>
      </c>
      <c r="BF730">
        <v>2</v>
      </c>
      <c r="BG730">
        <v>1</v>
      </c>
      <c r="BH730">
        <v>1983</v>
      </c>
      <c r="BI730" t="s">
        <v>10222</v>
      </c>
      <c r="BJ730" t="s">
        <v>194</v>
      </c>
      <c r="BK730" t="s">
        <v>195</v>
      </c>
      <c r="BL730" t="s">
        <v>199</v>
      </c>
      <c r="BM730" t="s">
        <v>238</v>
      </c>
      <c r="BN730" t="s">
        <v>182</v>
      </c>
      <c r="BO730" t="s">
        <v>198</v>
      </c>
      <c r="BP730" t="s">
        <v>198</v>
      </c>
      <c r="BQ730" t="s">
        <v>198</v>
      </c>
      <c r="BR730" t="s">
        <v>198</v>
      </c>
      <c r="BS730" t="s">
        <v>198</v>
      </c>
      <c r="BT730" t="s">
        <v>198</v>
      </c>
      <c r="BU730" t="s">
        <v>182</v>
      </c>
      <c r="BV730" t="s">
        <v>198</v>
      </c>
      <c r="BW730" t="s">
        <v>198</v>
      </c>
      <c r="BX730" t="s">
        <v>199</v>
      </c>
      <c r="BY730" t="s">
        <v>198</v>
      </c>
      <c r="BZ730" t="s">
        <v>199</v>
      </c>
      <c r="CA730" t="s">
        <v>199</v>
      </c>
      <c r="CB730" t="s">
        <v>10223</v>
      </c>
      <c r="CC730" t="s">
        <v>201</v>
      </c>
      <c r="CD730" t="s">
        <v>182</v>
      </c>
      <c r="CE730" t="s">
        <v>10224</v>
      </c>
      <c r="CF730" t="s">
        <v>1029</v>
      </c>
      <c r="CG730" t="s">
        <v>177</v>
      </c>
      <c r="CH730" t="s">
        <v>1030</v>
      </c>
      <c r="CI730" t="s">
        <v>10225</v>
      </c>
      <c r="CJ730" t="s">
        <v>10074</v>
      </c>
      <c r="CK730" t="s">
        <v>292</v>
      </c>
      <c r="CL730" t="s">
        <v>293</v>
      </c>
      <c r="CM730" t="s">
        <v>10226</v>
      </c>
      <c r="CN730" t="s">
        <v>235</v>
      </c>
      <c r="CO730" t="s">
        <v>183</v>
      </c>
      <c r="CP730" t="s">
        <v>211</v>
      </c>
      <c r="CQ730" t="s">
        <v>329</v>
      </c>
      <c r="CS730" t="s">
        <v>459</v>
      </c>
      <c r="CT730" t="s">
        <v>10227</v>
      </c>
      <c r="CU730" t="s">
        <v>267</v>
      </c>
      <c r="CV730" t="s">
        <v>268</v>
      </c>
      <c r="CW730" t="s">
        <v>10228</v>
      </c>
      <c r="CX730" t="s">
        <v>511</v>
      </c>
      <c r="CY730" t="s">
        <v>183</v>
      </c>
      <c r="CZ730" t="s">
        <v>211</v>
      </c>
      <c r="DA730" t="s">
        <v>329</v>
      </c>
      <c r="DC730" t="s">
        <v>1645</v>
      </c>
      <c r="DD730" t="s">
        <v>8560</v>
      </c>
      <c r="DE730" t="s">
        <v>273</v>
      </c>
      <c r="DF730" t="s">
        <v>274</v>
      </c>
      <c r="DG730" t="s">
        <v>10229</v>
      </c>
      <c r="DH730" t="s">
        <v>235</v>
      </c>
      <c r="DI730" t="s">
        <v>183</v>
      </c>
      <c r="DJ730" t="s">
        <v>211</v>
      </c>
      <c r="DK730" t="s">
        <v>296</v>
      </c>
      <c r="DM730" t="s">
        <v>10230</v>
      </c>
      <c r="DN730" t="s">
        <v>10231</v>
      </c>
      <c r="DO730" t="s">
        <v>346</v>
      </c>
      <c r="DP730" t="s">
        <v>347</v>
      </c>
      <c r="DQ730" t="s">
        <v>10232</v>
      </c>
      <c r="DR730" t="s">
        <v>1551</v>
      </c>
      <c r="DS730" t="s">
        <v>183</v>
      </c>
      <c r="DT730" t="s">
        <v>211</v>
      </c>
      <c r="DU730" t="s">
        <v>460</v>
      </c>
      <c r="DW730" t="s">
        <v>10233</v>
      </c>
      <c r="EG730" t="s">
        <v>198</v>
      </c>
      <c r="EQ730" t="s">
        <v>198</v>
      </c>
      <c r="FA730" t="s">
        <v>198</v>
      </c>
      <c r="FK730" t="s">
        <v>198</v>
      </c>
      <c r="FU730" t="s">
        <v>198</v>
      </c>
    </row>
    <row r="731" spans="1:177">
      <c r="A731" s="1" t="str">
        <f>HYPERLINK("http://digipan.lumentumllc.com/apps/getLink/index.php?t=PropLink&amp;p=5247419","PL")</f>
        <v>PL</v>
      </c>
      <c r="B731" s="1" t="str">
        <f>HYPERLINK("http://digipan.lumentumllc.com/apps/getLink/index.php?t=TaxLink&amp;p=5247419","TL")</f>
        <v>TL</v>
      </c>
      <c r="C731" s="1" t="str">
        <f>HYPERLINK("http://digipan.lumentumllc.com/apps/getMap/index.php?p=5247419","Map")</f>
        <v>Map</v>
      </c>
      <c r="E731" t="s">
        <v>177</v>
      </c>
      <c r="F731" t="s">
        <v>178</v>
      </c>
      <c r="L731" t="s">
        <v>10234</v>
      </c>
      <c r="N731" t="s">
        <v>10234</v>
      </c>
      <c r="O731" t="s">
        <v>10234</v>
      </c>
      <c r="P731" t="s">
        <v>10235</v>
      </c>
      <c r="Q731" t="s">
        <v>10234</v>
      </c>
      <c r="V731">
        <v>846</v>
      </c>
      <c r="W731">
        <v>3</v>
      </c>
      <c r="X731">
        <v>2017</v>
      </c>
      <c r="Y731">
        <v>2018</v>
      </c>
      <c r="Z731">
        <v>451.51</v>
      </c>
      <c r="AG731" t="s">
        <v>184</v>
      </c>
      <c r="AH731">
        <v>0</v>
      </c>
      <c r="AK731">
        <v>0</v>
      </c>
      <c r="AL731">
        <v>25622</v>
      </c>
      <c r="AM731">
        <v>15000</v>
      </c>
      <c r="AN731">
        <v>10622</v>
      </c>
      <c r="AO731">
        <v>409</v>
      </c>
      <c r="AP731">
        <v>2016</v>
      </c>
      <c r="AQ731">
        <v>1.76</v>
      </c>
      <c r="AS731" t="s">
        <v>10236</v>
      </c>
      <c r="AT731" t="s">
        <v>3747</v>
      </c>
      <c r="AU731" t="s">
        <v>177</v>
      </c>
      <c r="AV731" t="s">
        <v>1030</v>
      </c>
      <c r="AW731" t="s">
        <v>182</v>
      </c>
      <c r="AX731">
        <v>2</v>
      </c>
      <c r="AY731" t="s">
        <v>188</v>
      </c>
      <c r="AZ731" t="s">
        <v>189</v>
      </c>
      <c r="BA731" t="s">
        <v>190</v>
      </c>
      <c r="BB731" t="s">
        <v>191</v>
      </c>
      <c r="BC731" t="s">
        <v>182</v>
      </c>
      <c r="BD731" t="s">
        <v>182</v>
      </c>
      <c r="BE731" t="s">
        <v>1884</v>
      </c>
      <c r="BF731">
        <v>1</v>
      </c>
      <c r="BG731">
        <v>1</v>
      </c>
      <c r="BH731">
        <v>1985</v>
      </c>
      <c r="BI731" t="s">
        <v>532</v>
      </c>
      <c r="BJ731" t="s">
        <v>285</v>
      </c>
      <c r="BK731" t="s">
        <v>195</v>
      </c>
      <c r="BL731" t="s">
        <v>199</v>
      </c>
      <c r="BM731" t="s">
        <v>325</v>
      </c>
      <c r="BN731" t="s">
        <v>182</v>
      </c>
      <c r="BO731" t="s">
        <v>198</v>
      </c>
      <c r="BP731" t="s">
        <v>198</v>
      </c>
      <c r="BQ731" t="s">
        <v>198</v>
      </c>
      <c r="BR731" t="s">
        <v>198</v>
      </c>
      <c r="BS731" t="s">
        <v>198</v>
      </c>
      <c r="BT731" t="s">
        <v>198</v>
      </c>
      <c r="BU731" t="s">
        <v>182</v>
      </c>
      <c r="BV731" t="s">
        <v>198</v>
      </c>
      <c r="BW731" t="s">
        <v>198</v>
      </c>
      <c r="BX731" t="s">
        <v>199</v>
      </c>
      <c r="BY731" t="s">
        <v>198</v>
      </c>
      <c r="BZ731" t="s">
        <v>199</v>
      </c>
      <c r="CA731" t="s">
        <v>199</v>
      </c>
      <c r="CB731" t="s">
        <v>10237</v>
      </c>
      <c r="CC731" t="s">
        <v>1407</v>
      </c>
      <c r="CD731" t="s">
        <v>202</v>
      </c>
      <c r="CE731" t="s">
        <v>10238</v>
      </c>
      <c r="CF731" t="s">
        <v>413</v>
      </c>
      <c r="CG731" t="s">
        <v>177</v>
      </c>
      <c r="CH731" t="s">
        <v>10239</v>
      </c>
      <c r="CI731" t="s">
        <v>10240</v>
      </c>
      <c r="CS731" t="s">
        <v>198</v>
      </c>
      <c r="DC731" t="s">
        <v>198</v>
      </c>
      <c r="DM731" t="s">
        <v>198</v>
      </c>
      <c r="DW731" t="s">
        <v>198</v>
      </c>
      <c r="EG731" t="s">
        <v>198</v>
      </c>
      <c r="EQ731" t="s">
        <v>198</v>
      </c>
      <c r="FA731" t="s">
        <v>198</v>
      </c>
      <c r="FK731" t="s">
        <v>198</v>
      </c>
      <c r="FU731" t="s">
        <v>198</v>
      </c>
    </row>
    <row r="732" spans="1:177">
      <c r="A732" s="1" t="str">
        <f>HYPERLINK("http://digipan.lumentumllc.com/apps/getLink/index.php?t=PropLink&amp;p=6886810","PL")</f>
        <v>PL</v>
      </c>
      <c r="B732" s="1" t="str">
        <f>HYPERLINK("http://digipan.lumentumllc.com/apps/getLink/index.php?t=TaxLink&amp;p=6886810","TL")</f>
        <v>TL</v>
      </c>
      <c r="C732" s="1" t="str">
        <f>HYPERLINK("http://digipan.lumentumllc.com/apps/getMap/index.php?p=6886810","Map")</f>
        <v>Map</v>
      </c>
      <c r="E732" t="s">
        <v>177</v>
      </c>
      <c r="F732" t="s">
        <v>178</v>
      </c>
      <c r="L732" t="s">
        <v>10241</v>
      </c>
      <c r="N732" t="s">
        <v>10241</v>
      </c>
      <c r="O732" t="s">
        <v>10241</v>
      </c>
      <c r="P732" t="s">
        <v>10242</v>
      </c>
      <c r="Q732" t="s">
        <v>10241</v>
      </c>
      <c r="V732">
        <v>847</v>
      </c>
      <c r="W732">
        <v>3</v>
      </c>
      <c r="X732">
        <v>2017</v>
      </c>
      <c r="Y732">
        <v>2018</v>
      </c>
      <c r="Z732">
        <v>724.84</v>
      </c>
      <c r="AB732" t="s">
        <v>181</v>
      </c>
      <c r="AC732" t="s">
        <v>182</v>
      </c>
      <c r="AD732" t="s">
        <v>183</v>
      </c>
      <c r="AE732">
        <v>0</v>
      </c>
      <c r="AF732">
        <v>2</v>
      </c>
      <c r="AG732" t="s">
        <v>216</v>
      </c>
      <c r="AH732">
        <v>100</v>
      </c>
      <c r="AK732">
        <v>0</v>
      </c>
      <c r="AL732">
        <v>42317</v>
      </c>
      <c r="AM732">
        <v>30240</v>
      </c>
      <c r="AN732">
        <v>12077</v>
      </c>
      <c r="AO732">
        <v>650</v>
      </c>
      <c r="AP732">
        <v>2016</v>
      </c>
      <c r="AQ732">
        <v>1.71</v>
      </c>
      <c r="AS732" t="s">
        <v>10243</v>
      </c>
      <c r="AT732" t="s">
        <v>3747</v>
      </c>
      <c r="AU732" t="s">
        <v>177</v>
      </c>
      <c r="AV732" t="s">
        <v>1030</v>
      </c>
      <c r="AW732" t="s">
        <v>182</v>
      </c>
      <c r="AX732">
        <v>2</v>
      </c>
      <c r="AY732" t="s">
        <v>188</v>
      </c>
      <c r="AZ732" t="s">
        <v>189</v>
      </c>
      <c r="BA732" t="s">
        <v>190</v>
      </c>
      <c r="BB732" t="s">
        <v>191</v>
      </c>
      <c r="BC732" t="s">
        <v>182</v>
      </c>
      <c r="BD732" t="s">
        <v>182</v>
      </c>
      <c r="BE732" t="s">
        <v>10244</v>
      </c>
      <c r="BF732">
        <v>1</v>
      </c>
      <c r="BG732">
        <v>1</v>
      </c>
      <c r="BH732">
        <v>1983</v>
      </c>
      <c r="BI732" t="s">
        <v>1530</v>
      </c>
      <c r="BJ732" t="s">
        <v>194</v>
      </c>
      <c r="BK732" t="s">
        <v>195</v>
      </c>
      <c r="BL732" t="s">
        <v>2281</v>
      </c>
      <c r="BM732" t="s">
        <v>1332</v>
      </c>
      <c r="BN732" t="s">
        <v>182</v>
      </c>
      <c r="BO732" t="s">
        <v>10245</v>
      </c>
      <c r="BP732" t="s">
        <v>10246</v>
      </c>
      <c r="BQ732" t="s">
        <v>5784</v>
      </c>
      <c r="BS732" t="s">
        <v>10247</v>
      </c>
      <c r="BT732" t="s">
        <v>198</v>
      </c>
      <c r="BU732" t="s">
        <v>182</v>
      </c>
      <c r="BV732" t="s">
        <v>198</v>
      </c>
      <c r="BW732" t="s">
        <v>198</v>
      </c>
      <c r="BX732" t="s">
        <v>199</v>
      </c>
      <c r="BY732" t="s">
        <v>198</v>
      </c>
      <c r="BZ732" t="s">
        <v>199</v>
      </c>
      <c r="CA732" t="s">
        <v>199</v>
      </c>
      <c r="CB732" t="s">
        <v>10248</v>
      </c>
      <c r="CC732" t="s">
        <v>201</v>
      </c>
      <c r="CD732" t="s">
        <v>182</v>
      </c>
      <c r="CE732" t="s">
        <v>10249</v>
      </c>
      <c r="CF732" t="s">
        <v>1029</v>
      </c>
      <c r="CG732" t="s">
        <v>177</v>
      </c>
      <c r="CH732" t="s">
        <v>1030</v>
      </c>
      <c r="CI732" t="s">
        <v>9984</v>
      </c>
      <c r="CJ732" t="s">
        <v>6794</v>
      </c>
      <c r="CK732" t="s">
        <v>232</v>
      </c>
      <c r="CL732" t="s">
        <v>233</v>
      </c>
      <c r="CM732" t="s">
        <v>10250</v>
      </c>
      <c r="CN732" t="s">
        <v>235</v>
      </c>
      <c r="CO732" t="s">
        <v>183</v>
      </c>
      <c r="CP732" t="s">
        <v>211</v>
      </c>
      <c r="CQ732" t="s">
        <v>206</v>
      </c>
      <c r="CS732" t="s">
        <v>8846</v>
      </c>
      <c r="CT732" t="s">
        <v>6929</v>
      </c>
      <c r="CU732" t="s">
        <v>267</v>
      </c>
      <c r="CV732" t="s">
        <v>268</v>
      </c>
      <c r="CW732" t="s">
        <v>10251</v>
      </c>
      <c r="CX732" t="s">
        <v>235</v>
      </c>
      <c r="CY732" t="s">
        <v>183</v>
      </c>
      <c r="CZ732" t="s">
        <v>211</v>
      </c>
      <c r="DA732" t="s">
        <v>189</v>
      </c>
      <c r="DC732" t="s">
        <v>2629</v>
      </c>
      <c r="DM732" t="s">
        <v>198</v>
      </c>
      <c r="DW732" t="s">
        <v>198</v>
      </c>
      <c r="EG732" t="s">
        <v>198</v>
      </c>
      <c r="EQ732" t="s">
        <v>198</v>
      </c>
      <c r="FA732" t="s">
        <v>198</v>
      </c>
      <c r="FK732" t="s">
        <v>198</v>
      </c>
      <c r="FU732" t="s">
        <v>198</v>
      </c>
    </row>
    <row r="733" spans="1:177">
      <c r="A733" s="1" t="str">
        <f>HYPERLINK("http://digipan.lumentumllc.com/apps/getLink/index.php?t=PropLink&amp;p=5247423","PL")</f>
        <v>PL</v>
      </c>
      <c r="B733" s="1" t="str">
        <f>HYPERLINK("http://digipan.lumentumllc.com/apps/getLink/index.php?t=TaxLink&amp;p=5247423","TL")</f>
        <v>TL</v>
      </c>
      <c r="C733" s="1" t="str">
        <f>HYPERLINK("http://digipan.lumentumllc.com/apps/getMap/index.php?p=5247423","Map")</f>
        <v>Map</v>
      </c>
      <c r="E733" t="s">
        <v>177</v>
      </c>
      <c r="F733" t="s">
        <v>178</v>
      </c>
      <c r="L733" t="s">
        <v>10252</v>
      </c>
      <c r="N733" t="s">
        <v>10252</v>
      </c>
      <c r="O733" t="s">
        <v>10252</v>
      </c>
      <c r="P733" t="s">
        <v>10253</v>
      </c>
      <c r="Q733" t="s">
        <v>10252</v>
      </c>
      <c r="V733">
        <v>848</v>
      </c>
      <c r="W733">
        <v>3</v>
      </c>
      <c r="X733">
        <v>2017</v>
      </c>
      <c r="Y733">
        <v>2018</v>
      </c>
      <c r="Z733">
        <v>802.72</v>
      </c>
      <c r="AB733" t="s">
        <v>181</v>
      </c>
      <c r="AC733" t="s">
        <v>182</v>
      </c>
      <c r="AD733" t="s">
        <v>183</v>
      </c>
      <c r="AE733">
        <v>0</v>
      </c>
      <c r="AF733">
        <v>3</v>
      </c>
      <c r="AG733" t="s">
        <v>381</v>
      </c>
      <c r="AH733">
        <v>100</v>
      </c>
      <c r="AK733">
        <v>0</v>
      </c>
      <c r="AL733">
        <v>47074</v>
      </c>
      <c r="AM733">
        <v>30480</v>
      </c>
      <c r="AN733">
        <v>16594</v>
      </c>
      <c r="AO733">
        <v>701</v>
      </c>
      <c r="AP733">
        <v>2016</v>
      </c>
      <c r="AQ733">
        <v>1.71</v>
      </c>
      <c r="AS733" t="s">
        <v>10254</v>
      </c>
      <c r="AT733" t="s">
        <v>3747</v>
      </c>
      <c r="AU733" t="s">
        <v>177</v>
      </c>
      <c r="AV733" t="s">
        <v>1030</v>
      </c>
      <c r="AW733" t="s">
        <v>182</v>
      </c>
      <c r="AX733">
        <v>2</v>
      </c>
      <c r="AY733" t="s">
        <v>188</v>
      </c>
      <c r="AZ733" t="s">
        <v>189</v>
      </c>
      <c r="BA733" t="s">
        <v>190</v>
      </c>
      <c r="BB733" t="s">
        <v>191</v>
      </c>
      <c r="BC733" t="s">
        <v>182</v>
      </c>
      <c r="BD733" t="s">
        <v>182</v>
      </c>
      <c r="BE733" t="s">
        <v>4722</v>
      </c>
      <c r="BF733">
        <v>1</v>
      </c>
      <c r="BG733">
        <v>1</v>
      </c>
      <c r="BH733">
        <v>1982</v>
      </c>
      <c r="BI733" t="s">
        <v>3333</v>
      </c>
      <c r="BJ733" t="s">
        <v>194</v>
      </c>
      <c r="BK733" t="s">
        <v>195</v>
      </c>
      <c r="BL733" t="s">
        <v>1801</v>
      </c>
      <c r="BM733" t="s">
        <v>1332</v>
      </c>
      <c r="BN733" t="s">
        <v>182</v>
      </c>
      <c r="BO733" t="s">
        <v>8682</v>
      </c>
      <c r="BP733" t="s">
        <v>10255</v>
      </c>
      <c r="BQ733" t="s">
        <v>800</v>
      </c>
      <c r="BR733" t="s">
        <v>563</v>
      </c>
      <c r="BS733" t="s">
        <v>198</v>
      </c>
      <c r="BT733" t="s">
        <v>10256</v>
      </c>
      <c r="BU733" t="s">
        <v>182</v>
      </c>
      <c r="BV733" t="s">
        <v>198</v>
      </c>
      <c r="BW733" t="s">
        <v>198</v>
      </c>
      <c r="BX733" t="s">
        <v>199</v>
      </c>
      <c r="BY733" t="s">
        <v>198</v>
      </c>
      <c r="BZ733" t="s">
        <v>199</v>
      </c>
      <c r="CA733" t="s">
        <v>199</v>
      </c>
      <c r="CB733" t="s">
        <v>10257</v>
      </c>
      <c r="CC733" t="s">
        <v>201</v>
      </c>
      <c r="CD733" t="s">
        <v>182</v>
      </c>
      <c r="CE733" t="s">
        <v>10249</v>
      </c>
      <c r="CF733" t="s">
        <v>1029</v>
      </c>
      <c r="CG733" t="s">
        <v>177</v>
      </c>
      <c r="CH733" t="s">
        <v>1030</v>
      </c>
      <c r="CI733" t="s">
        <v>10258</v>
      </c>
      <c r="CJ733" t="s">
        <v>6981</v>
      </c>
      <c r="CK733" t="s">
        <v>232</v>
      </c>
      <c r="CL733" t="s">
        <v>233</v>
      </c>
      <c r="CM733" t="s">
        <v>10259</v>
      </c>
      <c r="CN733" t="s">
        <v>235</v>
      </c>
      <c r="CO733" t="s">
        <v>183</v>
      </c>
      <c r="CP733" t="s">
        <v>211</v>
      </c>
      <c r="CQ733" t="s">
        <v>206</v>
      </c>
      <c r="CS733" t="s">
        <v>8846</v>
      </c>
      <c r="CT733" t="s">
        <v>5581</v>
      </c>
      <c r="CU733" t="s">
        <v>267</v>
      </c>
      <c r="CV733" t="s">
        <v>268</v>
      </c>
      <c r="CW733" t="s">
        <v>10260</v>
      </c>
      <c r="CX733" t="s">
        <v>235</v>
      </c>
      <c r="CY733" t="s">
        <v>183</v>
      </c>
      <c r="CZ733" t="s">
        <v>211</v>
      </c>
      <c r="DA733" t="s">
        <v>189</v>
      </c>
      <c r="DC733" t="s">
        <v>2629</v>
      </c>
      <c r="DD733" t="s">
        <v>1002</v>
      </c>
      <c r="DE733" t="s">
        <v>346</v>
      </c>
      <c r="DF733" t="s">
        <v>347</v>
      </c>
      <c r="DG733" t="s">
        <v>10261</v>
      </c>
      <c r="DH733" t="s">
        <v>2515</v>
      </c>
      <c r="DI733" t="s">
        <v>183</v>
      </c>
      <c r="DJ733" t="s">
        <v>211</v>
      </c>
      <c r="DK733" t="s">
        <v>264</v>
      </c>
      <c r="DM733" t="s">
        <v>10262</v>
      </c>
      <c r="DW733" t="s">
        <v>198</v>
      </c>
      <c r="EG733" t="s">
        <v>198</v>
      </c>
      <c r="EQ733" t="s">
        <v>198</v>
      </c>
      <c r="FA733" t="s">
        <v>198</v>
      </c>
      <c r="FK733" t="s">
        <v>198</v>
      </c>
      <c r="FU733" t="s">
        <v>198</v>
      </c>
    </row>
    <row r="734" spans="1:177">
      <c r="A734" s="1" t="str">
        <f>HYPERLINK("http://digipan.lumentumllc.com/apps/getLink/index.php?t=PropLink&amp;p=5247427","PL")</f>
        <v>PL</v>
      </c>
      <c r="B734" s="1" t="str">
        <f>HYPERLINK("http://digipan.lumentumllc.com/apps/getLink/index.php?t=TaxLink&amp;p=5247427","TL")</f>
        <v>TL</v>
      </c>
      <c r="C734" s="1" t="str">
        <f>HYPERLINK("http://digipan.lumentumllc.com/apps/getMap/index.php?p=5247427","Map")</f>
        <v>Map</v>
      </c>
      <c r="E734" t="s">
        <v>177</v>
      </c>
      <c r="F734" t="s">
        <v>178</v>
      </c>
      <c r="L734" t="s">
        <v>10263</v>
      </c>
      <c r="N734" t="s">
        <v>10263</v>
      </c>
      <c r="O734" t="s">
        <v>10263</v>
      </c>
      <c r="P734" t="s">
        <v>10264</v>
      </c>
      <c r="Q734" t="s">
        <v>10263</v>
      </c>
      <c r="V734">
        <v>851</v>
      </c>
      <c r="W734">
        <v>3</v>
      </c>
      <c r="X734">
        <v>2017</v>
      </c>
      <c r="Y734">
        <v>2018</v>
      </c>
      <c r="Z734">
        <v>621.70000000000005</v>
      </c>
      <c r="AB734" t="s">
        <v>181</v>
      </c>
      <c r="AC734" t="s">
        <v>182</v>
      </c>
      <c r="AD734" t="s">
        <v>183</v>
      </c>
      <c r="AE734">
        <v>1</v>
      </c>
      <c r="AF734">
        <v>7</v>
      </c>
      <c r="AG734" t="s">
        <v>418</v>
      </c>
      <c r="AH734">
        <v>86</v>
      </c>
      <c r="AI734">
        <v>615.29</v>
      </c>
      <c r="AJ734">
        <v>30.76</v>
      </c>
      <c r="AK734">
        <v>646.04999999999995</v>
      </c>
      <c r="AL734">
        <v>84100</v>
      </c>
      <c r="AM734">
        <v>20000</v>
      </c>
      <c r="AN734">
        <v>64100</v>
      </c>
      <c r="AO734">
        <v>544</v>
      </c>
      <c r="AP734">
        <v>2016</v>
      </c>
      <c r="AQ734">
        <v>0.74</v>
      </c>
      <c r="AR734">
        <v>0.77</v>
      </c>
      <c r="AS734" t="s">
        <v>10265</v>
      </c>
      <c r="AT734" t="s">
        <v>3747</v>
      </c>
      <c r="AU734" t="s">
        <v>177</v>
      </c>
      <c r="AV734" t="s">
        <v>1030</v>
      </c>
      <c r="AW734" t="s">
        <v>202</v>
      </c>
      <c r="AX734">
        <v>2</v>
      </c>
      <c r="AY734" t="s">
        <v>188</v>
      </c>
      <c r="AZ734" t="s">
        <v>189</v>
      </c>
      <c r="BA734" t="s">
        <v>190</v>
      </c>
      <c r="BB734" t="s">
        <v>191</v>
      </c>
      <c r="BC734" t="s">
        <v>182</v>
      </c>
      <c r="BD734" t="s">
        <v>182</v>
      </c>
      <c r="BE734" t="s">
        <v>383</v>
      </c>
      <c r="BF734">
        <v>1</v>
      </c>
      <c r="BG734">
        <v>1</v>
      </c>
      <c r="BH734">
        <v>2003</v>
      </c>
      <c r="BI734" t="s">
        <v>1709</v>
      </c>
      <c r="BJ734" t="s">
        <v>194</v>
      </c>
      <c r="BK734" t="s">
        <v>195</v>
      </c>
      <c r="BL734" t="s">
        <v>199</v>
      </c>
      <c r="BM734" t="s">
        <v>238</v>
      </c>
      <c r="BN734" t="s">
        <v>182</v>
      </c>
      <c r="BO734" t="s">
        <v>198</v>
      </c>
      <c r="BP734" t="s">
        <v>198</v>
      </c>
      <c r="BQ734" t="s">
        <v>198</v>
      </c>
      <c r="BR734" t="s">
        <v>198</v>
      </c>
      <c r="BS734" t="s">
        <v>198</v>
      </c>
      <c r="BT734" t="s">
        <v>198</v>
      </c>
      <c r="BU734" t="s">
        <v>182</v>
      </c>
      <c r="BV734" t="s">
        <v>198</v>
      </c>
      <c r="BW734" t="s">
        <v>198</v>
      </c>
      <c r="BX734" t="s">
        <v>199</v>
      </c>
      <c r="BY734" t="s">
        <v>198</v>
      </c>
      <c r="BZ734" t="s">
        <v>199</v>
      </c>
      <c r="CA734" t="s">
        <v>199</v>
      </c>
      <c r="CB734" t="s">
        <v>10266</v>
      </c>
      <c r="CC734" t="s">
        <v>201</v>
      </c>
      <c r="CD734" t="s">
        <v>182</v>
      </c>
      <c r="CE734" t="s">
        <v>10267</v>
      </c>
      <c r="CF734" t="s">
        <v>1029</v>
      </c>
      <c r="CG734" t="s">
        <v>177</v>
      </c>
      <c r="CH734" t="s">
        <v>1030</v>
      </c>
      <c r="CI734" t="s">
        <v>10268</v>
      </c>
      <c r="CJ734" t="s">
        <v>6861</v>
      </c>
      <c r="CK734" t="s">
        <v>232</v>
      </c>
      <c r="CL734" t="s">
        <v>233</v>
      </c>
      <c r="CM734" t="s">
        <v>10269</v>
      </c>
      <c r="CN734" t="s">
        <v>235</v>
      </c>
      <c r="CO734" t="s">
        <v>183</v>
      </c>
      <c r="CP734" t="s">
        <v>266</v>
      </c>
      <c r="CS734" t="s">
        <v>198</v>
      </c>
      <c r="CT734" t="s">
        <v>9369</v>
      </c>
      <c r="CU734" t="s">
        <v>292</v>
      </c>
      <c r="CV734" t="s">
        <v>293</v>
      </c>
      <c r="CW734" t="s">
        <v>10270</v>
      </c>
      <c r="CX734" t="s">
        <v>235</v>
      </c>
      <c r="CY734" t="s">
        <v>183</v>
      </c>
      <c r="CZ734" t="s">
        <v>211</v>
      </c>
      <c r="DA734" t="s">
        <v>298</v>
      </c>
      <c r="DC734" t="s">
        <v>1760</v>
      </c>
      <c r="DD734" t="s">
        <v>9619</v>
      </c>
      <c r="DE734" t="s">
        <v>267</v>
      </c>
      <c r="DF734" t="s">
        <v>268</v>
      </c>
      <c r="DG734" t="s">
        <v>10271</v>
      </c>
      <c r="DH734" t="s">
        <v>235</v>
      </c>
      <c r="DI734" t="s">
        <v>183</v>
      </c>
      <c r="DJ734" t="s">
        <v>211</v>
      </c>
      <c r="DK734" t="s">
        <v>298</v>
      </c>
      <c r="DM734" t="s">
        <v>5919</v>
      </c>
      <c r="DN734" t="s">
        <v>7059</v>
      </c>
      <c r="DO734" t="s">
        <v>273</v>
      </c>
      <c r="DP734" t="s">
        <v>274</v>
      </c>
      <c r="DQ734" t="s">
        <v>10272</v>
      </c>
      <c r="DR734" t="s">
        <v>235</v>
      </c>
      <c r="DS734" t="s">
        <v>183</v>
      </c>
      <c r="DT734" t="s">
        <v>211</v>
      </c>
      <c r="DU734" t="s">
        <v>270</v>
      </c>
      <c r="DW734" t="s">
        <v>2244</v>
      </c>
      <c r="DX734" t="s">
        <v>7937</v>
      </c>
      <c r="DY734" t="s">
        <v>302</v>
      </c>
      <c r="DZ734" t="s">
        <v>303</v>
      </c>
      <c r="EA734" t="s">
        <v>10273</v>
      </c>
      <c r="EB734" t="s">
        <v>3342</v>
      </c>
      <c r="EC734" t="s">
        <v>183</v>
      </c>
      <c r="ED734" t="s">
        <v>211</v>
      </c>
      <c r="EE734" t="s">
        <v>298</v>
      </c>
      <c r="EG734" t="s">
        <v>8657</v>
      </c>
      <c r="EH734" t="s">
        <v>10274</v>
      </c>
      <c r="EI734" t="s">
        <v>238</v>
      </c>
      <c r="EJ734" t="s">
        <v>239</v>
      </c>
      <c r="EK734" t="s">
        <v>10275</v>
      </c>
      <c r="EL734" t="s">
        <v>278</v>
      </c>
      <c r="EM734" t="s">
        <v>183</v>
      </c>
      <c r="EN734" t="s">
        <v>211</v>
      </c>
      <c r="EO734" t="s">
        <v>345</v>
      </c>
      <c r="EQ734" t="s">
        <v>4408</v>
      </c>
      <c r="ER734" t="s">
        <v>10276</v>
      </c>
      <c r="ES734" t="s">
        <v>346</v>
      </c>
      <c r="ET734" t="s">
        <v>347</v>
      </c>
      <c r="EU734" t="s">
        <v>10277</v>
      </c>
      <c r="EV734" t="s">
        <v>1551</v>
      </c>
      <c r="EW734" t="s">
        <v>183</v>
      </c>
      <c r="EX734" t="s">
        <v>211</v>
      </c>
      <c r="EY734" t="s">
        <v>298</v>
      </c>
      <c r="FA734" t="s">
        <v>5812</v>
      </c>
      <c r="FB734" t="s">
        <v>3832</v>
      </c>
      <c r="FC734" t="s">
        <v>207</v>
      </c>
      <c r="FD734" t="s">
        <v>208</v>
      </c>
      <c r="FE734" t="s">
        <v>10278</v>
      </c>
      <c r="FF734" t="s">
        <v>576</v>
      </c>
      <c r="FG734" t="s">
        <v>183</v>
      </c>
      <c r="FH734" t="s">
        <v>211</v>
      </c>
      <c r="FI734" t="s">
        <v>206</v>
      </c>
      <c r="FK734" t="s">
        <v>10279</v>
      </c>
      <c r="FU734" t="s">
        <v>198</v>
      </c>
    </row>
    <row r="735" spans="1:177">
      <c r="A735" s="1" t="str">
        <f>HYPERLINK("http://digipan.lumentumllc.com/apps/getLink/index.php?t=PropLink&amp;p=6594324","PL")</f>
        <v>PL</v>
      </c>
      <c r="B735" s="1" t="str">
        <f>HYPERLINK("http://digipan.lumentumllc.com/apps/getLink/index.php?t=TaxLink&amp;p=6594324","TL")</f>
        <v>TL</v>
      </c>
      <c r="C735" s="1" t="str">
        <f>HYPERLINK("http://digipan.lumentumllc.com/apps/getMap/index.php?p=6594324","Map")</f>
        <v>Map</v>
      </c>
      <c r="E735" t="s">
        <v>177</v>
      </c>
      <c r="F735" t="s">
        <v>178</v>
      </c>
      <c r="L735" t="s">
        <v>10280</v>
      </c>
      <c r="N735" t="s">
        <v>10280</v>
      </c>
      <c r="O735" t="s">
        <v>10280</v>
      </c>
      <c r="P735" t="s">
        <v>10281</v>
      </c>
      <c r="Q735" t="s">
        <v>10280</v>
      </c>
      <c r="V735">
        <v>852</v>
      </c>
      <c r="W735">
        <v>3</v>
      </c>
      <c r="X735">
        <v>2017</v>
      </c>
      <c r="Y735">
        <v>2018</v>
      </c>
      <c r="Z735">
        <v>378.46</v>
      </c>
      <c r="AB735" t="s">
        <v>181</v>
      </c>
      <c r="AC735" t="s">
        <v>182</v>
      </c>
      <c r="AD735" t="s">
        <v>183</v>
      </c>
      <c r="AE735">
        <v>2</v>
      </c>
      <c r="AF735">
        <v>1</v>
      </c>
      <c r="AG735" t="s">
        <v>2087</v>
      </c>
      <c r="AH735">
        <v>33</v>
      </c>
      <c r="AI735">
        <v>730.96</v>
      </c>
      <c r="AJ735">
        <v>36.549999999999997</v>
      </c>
      <c r="AK735">
        <v>767.51</v>
      </c>
      <c r="AL735">
        <v>52278</v>
      </c>
      <c r="AM735">
        <v>20000</v>
      </c>
      <c r="AN735">
        <v>32278</v>
      </c>
      <c r="AO735">
        <v>310</v>
      </c>
      <c r="AP735">
        <v>2016</v>
      </c>
      <c r="AQ735">
        <v>0.72</v>
      </c>
      <c r="AR735">
        <v>1.47</v>
      </c>
      <c r="AS735" t="s">
        <v>10282</v>
      </c>
      <c r="AT735" t="s">
        <v>3747</v>
      </c>
      <c r="AU735" t="s">
        <v>177</v>
      </c>
      <c r="AV735" t="s">
        <v>1030</v>
      </c>
      <c r="AW735" t="s">
        <v>202</v>
      </c>
      <c r="AX735">
        <v>2</v>
      </c>
      <c r="AY735" t="s">
        <v>188</v>
      </c>
      <c r="AZ735" t="s">
        <v>189</v>
      </c>
      <c r="BA735" t="s">
        <v>190</v>
      </c>
      <c r="BB735" t="s">
        <v>191</v>
      </c>
      <c r="BC735" t="s">
        <v>182</v>
      </c>
      <c r="BD735" t="s">
        <v>182</v>
      </c>
      <c r="BE735" t="s">
        <v>383</v>
      </c>
      <c r="BF735">
        <v>1</v>
      </c>
      <c r="BG735">
        <v>1</v>
      </c>
      <c r="BH735">
        <v>1995</v>
      </c>
      <c r="BI735" t="s">
        <v>10283</v>
      </c>
      <c r="BJ735" t="s">
        <v>194</v>
      </c>
      <c r="BK735" t="s">
        <v>195</v>
      </c>
      <c r="BL735" t="s">
        <v>1741</v>
      </c>
      <c r="BM735" t="s">
        <v>207</v>
      </c>
      <c r="BN735" t="s">
        <v>182</v>
      </c>
      <c r="BO735" t="s">
        <v>4339</v>
      </c>
      <c r="BP735" t="s">
        <v>10284</v>
      </c>
      <c r="BS735" t="s">
        <v>10285</v>
      </c>
      <c r="BT735" t="s">
        <v>198</v>
      </c>
      <c r="BU735" t="s">
        <v>182</v>
      </c>
      <c r="BV735" t="s">
        <v>198</v>
      </c>
      <c r="BW735" t="s">
        <v>198</v>
      </c>
      <c r="BX735" t="s">
        <v>199</v>
      </c>
      <c r="BY735" t="s">
        <v>198</v>
      </c>
      <c r="BZ735" t="s">
        <v>199</v>
      </c>
      <c r="CA735" t="s">
        <v>199</v>
      </c>
      <c r="CB735" t="s">
        <v>10286</v>
      </c>
      <c r="CC735" t="s">
        <v>201</v>
      </c>
      <c r="CD735" t="s">
        <v>182</v>
      </c>
      <c r="CE735" t="s">
        <v>10287</v>
      </c>
      <c r="CF735" t="s">
        <v>1029</v>
      </c>
      <c r="CG735" t="s">
        <v>177</v>
      </c>
      <c r="CH735" t="s">
        <v>1030</v>
      </c>
      <c r="CI735" t="s">
        <v>10288</v>
      </c>
      <c r="CJ735" t="s">
        <v>9943</v>
      </c>
      <c r="CK735" t="s">
        <v>232</v>
      </c>
      <c r="CL735" t="s">
        <v>233</v>
      </c>
      <c r="CM735" t="s">
        <v>10289</v>
      </c>
      <c r="CN735" t="s">
        <v>235</v>
      </c>
      <c r="CO735" t="s">
        <v>183</v>
      </c>
      <c r="CP735" t="s">
        <v>266</v>
      </c>
      <c r="CS735" t="s">
        <v>198</v>
      </c>
      <c r="CT735" t="s">
        <v>6762</v>
      </c>
      <c r="CU735" t="s">
        <v>292</v>
      </c>
      <c r="CV735" t="s">
        <v>293</v>
      </c>
      <c r="CW735" t="s">
        <v>10290</v>
      </c>
      <c r="CX735" t="s">
        <v>235</v>
      </c>
      <c r="CY735" t="s">
        <v>183</v>
      </c>
      <c r="CZ735" t="s">
        <v>266</v>
      </c>
      <c r="DC735" t="s">
        <v>198</v>
      </c>
      <c r="DD735" t="s">
        <v>8585</v>
      </c>
      <c r="DE735" t="s">
        <v>273</v>
      </c>
      <c r="DF735" t="s">
        <v>274</v>
      </c>
      <c r="DG735" t="s">
        <v>10291</v>
      </c>
      <c r="DH735" t="s">
        <v>235</v>
      </c>
      <c r="DI735" t="s">
        <v>183</v>
      </c>
      <c r="DJ735" t="s">
        <v>211</v>
      </c>
      <c r="DK735" t="s">
        <v>206</v>
      </c>
      <c r="DM735" t="s">
        <v>7565</v>
      </c>
      <c r="DW735" t="s">
        <v>198</v>
      </c>
      <c r="EG735" t="s">
        <v>198</v>
      </c>
      <c r="EQ735" t="s">
        <v>198</v>
      </c>
      <c r="FA735" t="s">
        <v>198</v>
      </c>
      <c r="FK735" t="s">
        <v>198</v>
      </c>
      <c r="FU735" t="s">
        <v>198</v>
      </c>
    </row>
    <row r="736" spans="1:177">
      <c r="A736" s="1" t="str">
        <f>HYPERLINK("http://digipan.lumentumllc.com/apps/getLink/index.php?t=PropLink&amp;p=5247429","PL")</f>
        <v>PL</v>
      </c>
      <c r="B736" s="1" t="str">
        <f>HYPERLINK("http://digipan.lumentumllc.com/apps/getLink/index.php?t=TaxLink&amp;p=5247429","TL")</f>
        <v>TL</v>
      </c>
      <c r="C736" s="1" t="str">
        <f>HYPERLINK("http://digipan.lumentumllc.com/apps/getMap/index.php?p=5247429","Map")</f>
        <v>Map</v>
      </c>
      <c r="E736" t="s">
        <v>177</v>
      </c>
      <c r="F736" t="s">
        <v>178</v>
      </c>
      <c r="L736" t="s">
        <v>10292</v>
      </c>
      <c r="N736" t="s">
        <v>10292</v>
      </c>
      <c r="O736" t="s">
        <v>10292</v>
      </c>
      <c r="P736" t="s">
        <v>10293</v>
      </c>
      <c r="Q736" t="s">
        <v>10292</v>
      </c>
      <c r="V736">
        <v>854</v>
      </c>
      <c r="W736">
        <v>3</v>
      </c>
      <c r="X736">
        <v>2017</v>
      </c>
      <c r="Y736">
        <v>2018</v>
      </c>
      <c r="Z736">
        <v>1104.49</v>
      </c>
      <c r="AB736" t="s">
        <v>181</v>
      </c>
      <c r="AC736" t="s">
        <v>202</v>
      </c>
      <c r="AD736" t="s">
        <v>183</v>
      </c>
      <c r="AE736">
        <v>1</v>
      </c>
      <c r="AF736">
        <v>7</v>
      </c>
      <c r="AG736" t="s">
        <v>418</v>
      </c>
      <c r="AH736">
        <v>86</v>
      </c>
      <c r="AI736">
        <v>1040.9100000000001</v>
      </c>
      <c r="AJ736">
        <v>52.05</v>
      </c>
      <c r="AK736">
        <v>1092.96</v>
      </c>
      <c r="AL736">
        <v>66983</v>
      </c>
      <c r="AM736">
        <v>20000</v>
      </c>
      <c r="AN736">
        <v>46983</v>
      </c>
      <c r="AO736">
        <v>938</v>
      </c>
      <c r="AP736">
        <v>2016</v>
      </c>
      <c r="AQ736">
        <v>1.65</v>
      </c>
      <c r="AR736">
        <v>1.63</v>
      </c>
      <c r="AS736" t="s">
        <v>10294</v>
      </c>
      <c r="AT736" t="s">
        <v>3747</v>
      </c>
      <c r="AU736" t="s">
        <v>177</v>
      </c>
      <c r="AV736" t="s">
        <v>1030</v>
      </c>
      <c r="AW736" t="s">
        <v>182</v>
      </c>
      <c r="AX736">
        <v>2</v>
      </c>
      <c r="AY736" t="s">
        <v>188</v>
      </c>
      <c r="AZ736" t="s">
        <v>189</v>
      </c>
      <c r="BA736" t="s">
        <v>190</v>
      </c>
      <c r="BB736" t="s">
        <v>191</v>
      </c>
      <c r="BC736" t="s">
        <v>182</v>
      </c>
      <c r="BD736" t="s">
        <v>182</v>
      </c>
      <c r="BE736" t="s">
        <v>5145</v>
      </c>
      <c r="BF736">
        <v>1</v>
      </c>
      <c r="BG736">
        <v>1</v>
      </c>
      <c r="BH736">
        <v>1998</v>
      </c>
      <c r="BI736" t="s">
        <v>10295</v>
      </c>
      <c r="BJ736" t="s">
        <v>194</v>
      </c>
      <c r="BK736" t="s">
        <v>195</v>
      </c>
      <c r="BL736" t="s">
        <v>6181</v>
      </c>
      <c r="BM736" t="s">
        <v>302</v>
      </c>
      <c r="BN736" t="s">
        <v>182</v>
      </c>
      <c r="BO736" t="s">
        <v>198</v>
      </c>
      <c r="BP736" t="s">
        <v>198</v>
      </c>
      <c r="BQ736" t="s">
        <v>198</v>
      </c>
      <c r="BR736" t="s">
        <v>198</v>
      </c>
      <c r="BS736" t="s">
        <v>198</v>
      </c>
      <c r="BT736" t="s">
        <v>198</v>
      </c>
      <c r="BU736" t="s">
        <v>182</v>
      </c>
      <c r="BV736" t="s">
        <v>198</v>
      </c>
      <c r="BW736" t="s">
        <v>198</v>
      </c>
      <c r="BX736" t="s">
        <v>199</v>
      </c>
      <c r="BY736" t="s">
        <v>198</v>
      </c>
      <c r="BZ736" t="s">
        <v>199</v>
      </c>
      <c r="CA736" t="s">
        <v>199</v>
      </c>
      <c r="CB736" t="s">
        <v>10296</v>
      </c>
      <c r="CC736" t="s">
        <v>201</v>
      </c>
      <c r="CD736" t="s">
        <v>182</v>
      </c>
      <c r="CE736" t="s">
        <v>10297</v>
      </c>
      <c r="CF736" t="s">
        <v>1029</v>
      </c>
      <c r="CG736" t="s">
        <v>177</v>
      </c>
      <c r="CH736" t="s">
        <v>1030</v>
      </c>
      <c r="CI736" t="s">
        <v>10298</v>
      </c>
      <c r="CJ736" t="s">
        <v>10193</v>
      </c>
      <c r="CK736" t="s">
        <v>232</v>
      </c>
      <c r="CL736" t="s">
        <v>233</v>
      </c>
      <c r="CM736" t="s">
        <v>7664</v>
      </c>
      <c r="CN736" t="s">
        <v>235</v>
      </c>
      <c r="CO736" t="s">
        <v>183</v>
      </c>
      <c r="CP736" t="s">
        <v>266</v>
      </c>
      <c r="CS736" t="s">
        <v>198</v>
      </c>
      <c r="CT736" t="s">
        <v>6951</v>
      </c>
      <c r="CU736" t="s">
        <v>292</v>
      </c>
      <c r="CV736" t="s">
        <v>293</v>
      </c>
      <c r="CW736" t="s">
        <v>10299</v>
      </c>
      <c r="CX736" t="s">
        <v>331</v>
      </c>
      <c r="CY736" t="s">
        <v>183</v>
      </c>
      <c r="CZ736" t="s">
        <v>211</v>
      </c>
      <c r="DA736" t="s">
        <v>345</v>
      </c>
      <c r="DC736" t="s">
        <v>6312</v>
      </c>
      <c r="DD736" t="s">
        <v>252</v>
      </c>
      <c r="DE736" t="s">
        <v>267</v>
      </c>
      <c r="DF736" t="s">
        <v>268</v>
      </c>
      <c r="DG736" t="s">
        <v>10300</v>
      </c>
      <c r="DH736" t="s">
        <v>331</v>
      </c>
      <c r="DI736" t="s">
        <v>183</v>
      </c>
      <c r="DJ736" t="s">
        <v>211</v>
      </c>
      <c r="DK736" t="s">
        <v>345</v>
      </c>
      <c r="DM736" t="s">
        <v>542</v>
      </c>
      <c r="DN736" t="s">
        <v>8605</v>
      </c>
      <c r="DO736" t="s">
        <v>273</v>
      </c>
      <c r="DP736" t="s">
        <v>274</v>
      </c>
      <c r="DQ736" t="s">
        <v>10301</v>
      </c>
      <c r="DR736" t="s">
        <v>235</v>
      </c>
      <c r="DS736" t="s">
        <v>183</v>
      </c>
      <c r="DT736" t="s">
        <v>211</v>
      </c>
      <c r="DU736" t="s">
        <v>345</v>
      </c>
      <c r="DW736" t="s">
        <v>392</v>
      </c>
      <c r="DX736" t="s">
        <v>10302</v>
      </c>
      <c r="DY736" t="s">
        <v>302</v>
      </c>
      <c r="DZ736" t="s">
        <v>303</v>
      </c>
      <c r="EA736" t="s">
        <v>10303</v>
      </c>
      <c r="EB736" t="s">
        <v>235</v>
      </c>
      <c r="EC736" t="s">
        <v>183</v>
      </c>
      <c r="ED736" t="s">
        <v>211</v>
      </c>
      <c r="EE736" t="s">
        <v>345</v>
      </c>
      <c r="EG736" t="s">
        <v>10304</v>
      </c>
      <c r="EH736" t="s">
        <v>10305</v>
      </c>
      <c r="EI736" t="s">
        <v>238</v>
      </c>
      <c r="EJ736" t="s">
        <v>239</v>
      </c>
      <c r="EK736" t="s">
        <v>10306</v>
      </c>
      <c r="EL736" t="s">
        <v>278</v>
      </c>
      <c r="EM736" t="s">
        <v>183</v>
      </c>
      <c r="EN736" t="s">
        <v>211</v>
      </c>
      <c r="EO736" t="s">
        <v>206</v>
      </c>
      <c r="EP736" t="s">
        <v>271</v>
      </c>
      <c r="EQ736" t="s">
        <v>1293</v>
      </c>
      <c r="ER736" t="s">
        <v>10307</v>
      </c>
      <c r="ES736" t="s">
        <v>346</v>
      </c>
      <c r="ET736" t="s">
        <v>347</v>
      </c>
      <c r="EU736" t="s">
        <v>10308</v>
      </c>
      <c r="EV736" t="s">
        <v>2515</v>
      </c>
      <c r="EW736" t="s">
        <v>183</v>
      </c>
      <c r="EX736" t="s">
        <v>211</v>
      </c>
      <c r="EZ736" t="s">
        <v>271</v>
      </c>
      <c r="FA736" t="s">
        <v>198</v>
      </c>
      <c r="FB736" t="s">
        <v>1564</v>
      </c>
      <c r="FC736" t="s">
        <v>207</v>
      </c>
      <c r="FD736" t="s">
        <v>208</v>
      </c>
      <c r="FE736" t="s">
        <v>10309</v>
      </c>
      <c r="FF736" t="s">
        <v>576</v>
      </c>
      <c r="FG736" t="s">
        <v>183</v>
      </c>
      <c r="FH736" t="s">
        <v>211</v>
      </c>
      <c r="FJ736" t="s">
        <v>271</v>
      </c>
      <c r="FK736" t="s">
        <v>198</v>
      </c>
      <c r="FU736" t="s">
        <v>198</v>
      </c>
    </row>
    <row r="737" spans="1:177">
      <c r="A737" s="1" t="str">
        <f>HYPERLINK("http://digipan.lumentumllc.com/apps/getLink/index.php?t=PropLink&amp;p=15755462","PL")</f>
        <v>PL</v>
      </c>
      <c r="B737" s="1" t="str">
        <f>HYPERLINK("http://digipan.lumentumllc.com/apps/getLink/index.php?t=TaxLink&amp;p=15755462","TL")</f>
        <v>TL</v>
      </c>
      <c r="C737" s="1" t="str">
        <f>HYPERLINK("http://digipan.lumentumllc.com/apps/getMap/index.php?p=15755462","Map")</f>
        <v>Map</v>
      </c>
      <c r="E737" t="s">
        <v>177</v>
      </c>
      <c r="F737" t="s">
        <v>178</v>
      </c>
      <c r="L737" t="s">
        <v>10310</v>
      </c>
      <c r="N737" t="s">
        <v>10310</v>
      </c>
      <c r="O737" t="s">
        <v>10310</v>
      </c>
      <c r="Q737" t="s">
        <v>10310</v>
      </c>
      <c r="V737">
        <v>855</v>
      </c>
      <c r="W737">
        <v>3</v>
      </c>
      <c r="X737">
        <v>2017</v>
      </c>
      <c r="Y737">
        <v>2018</v>
      </c>
      <c r="Z737">
        <v>669.84</v>
      </c>
      <c r="AB737" t="s">
        <v>181</v>
      </c>
      <c r="AC737" t="s">
        <v>182</v>
      </c>
      <c r="AD737" t="s">
        <v>183</v>
      </c>
      <c r="AE737">
        <v>1</v>
      </c>
      <c r="AF737">
        <v>0</v>
      </c>
      <c r="AG737" t="s">
        <v>1200</v>
      </c>
      <c r="AH737">
        <v>0</v>
      </c>
      <c r="AI737">
        <v>597.41999999999996</v>
      </c>
      <c r="AJ737">
        <v>29.87</v>
      </c>
      <c r="AK737">
        <v>627.29</v>
      </c>
      <c r="AL737">
        <v>40464</v>
      </c>
      <c r="AM737">
        <v>20000</v>
      </c>
      <c r="AN737">
        <v>20464</v>
      </c>
      <c r="AO737">
        <v>527</v>
      </c>
      <c r="AP737">
        <v>2016</v>
      </c>
      <c r="AQ737">
        <v>1.66</v>
      </c>
      <c r="AR737">
        <v>1.55</v>
      </c>
      <c r="AS737" t="s">
        <v>10311</v>
      </c>
      <c r="AT737" t="s">
        <v>3747</v>
      </c>
      <c r="AU737" t="s">
        <v>177</v>
      </c>
      <c r="AV737" t="s">
        <v>1030</v>
      </c>
      <c r="AW737" t="s">
        <v>182</v>
      </c>
      <c r="AX737">
        <v>2</v>
      </c>
      <c r="AY737" t="s">
        <v>188</v>
      </c>
      <c r="AZ737" t="s">
        <v>189</v>
      </c>
      <c r="BA737" t="s">
        <v>190</v>
      </c>
      <c r="BB737" t="s">
        <v>191</v>
      </c>
      <c r="BC737" t="s">
        <v>182</v>
      </c>
      <c r="BD737" t="s">
        <v>182</v>
      </c>
      <c r="BE737" t="s">
        <v>7246</v>
      </c>
      <c r="BF737">
        <v>1</v>
      </c>
      <c r="BG737">
        <v>1</v>
      </c>
      <c r="BH737">
        <v>1986</v>
      </c>
      <c r="BI737" t="s">
        <v>10312</v>
      </c>
      <c r="BJ737" t="s">
        <v>194</v>
      </c>
      <c r="BK737" t="s">
        <v>195</v>
      </c>
      <c r="BL737" t="s">
        <v>199</v>
      </c>
      <c r="BM737" t="s">
        <v>410</v>
      </c>
      <c r="BN737" t="s">
        <v>182</v>
      </c>
      <c r="BO737" t="s">
        <v>198</v>
      </c>
      <c r="BP737" t="s">
        <v>198</v>
      </c>
      <c r="BQ737" t="s">
        <v>198</v>
      </c>
      <c r="BR737" t="s">
        <v>198</v>
      </c>
      <c r="BS737" t="s">
        <v>198</v>
      </c>
      <c r="BT737" t="s">
        <v>198</v>
      </c>
      <c r="BU737" t="s">
        <v>182</v>
      </c>
      <c r="BV737" t="s">
        <v>198</v>
      </c>
      <c r="BW737" t="s">
        <v>198</v>
      </c>
      <c r="BX737" t="s">
        <v>199</v>
      </c>
      <c r="BY737" t="s">
        <v>198</v>
      </c>
      <c r="BZ737" t="s">
        <v>199</v>
      </c>
      <c r="CA737" t="s">
        <v>199</v>
      </c>
      <c r="CB737" t="s">
        <v>10313</v>
      </c>
      <c r="CC737" t="s">
        <v>201</v>
      </c>
      <c r="CD737" t="s">
        <v>182</v>
      </c>
      <c r="CE737" t="s">
        <v>10314</v>
      </c>
      <c r="CF737" t="s">
        <v>1029</v>
      </c>
      <c r="CG737" t="s">
        <v>177</v>
      </c>
      <c r="CH737" t="s">
        <v>1030</v>
      </c>
      <c r="CI737" t="s">
        <v>10315</v>
      </c>
      <c r="CJ737" t="s">
        <v>7012</v>
      </c>
      <c r="CK737" t="s">
        <v>232</v>
      </c>
      <c r="CL737" t="s">
        <v>233</v>
      </c>
      <c r="CM737" t="s">
        <v>10316</v>
      </c>
      <c r="CN737" t="s">
        <v>235</v>
      </c>
      <c r="CO737" t="s">
        <v>183</v>
      </c>
      <c r="CP737" t="s">
        <v>266</v>
      </c>
      <c r="CS737" t="s">
        <v>198</v>
      </c>
      <c r="DC737" t="s">
        <v>198</v>
      </c>
      <c r="DM737" t="s">
        <v>198</v>
      </c>
      <c r="DW737" t="s">
        <v>198</v>
      </c>
      <c r="EG737" t="s">
        <v>198</v>
      </c>
      <c r="EQ737" t="s">
        <v>198</v>
      </c>
      <c r="FA737" t="s">
        <v>198</v>
      </c>
      <c r="FK737" t="s">
        <v>198</v>
      </c>
      <c r="FU737" t="s">
        <v>198</v>
      </c>
    </row>
    <row r="738" spans="1:177">
      <c r="A738" s="1" t="str">
        <f>HYPERLINK("http://digipan.lumentumllc.com/apps/getLink/index.php?t=PropLink&amp;p=6886811","PL")</f>
        <v>PL</v>
      </c>
      <c r="B738" s="1" t="str">
        <f>HYPERLINK("http://digipan.lumentumllc.com/apps/getLink/index.php?t=TaxLink&amp;p=6886811","TL")</f>
        <v>TL</v>
      </c>
      <c r="C738" s="1" t="str">
        <f>HYPERLINK("http://digipan.lumentumllc.com/apps/getMap/index.php?p=6886811","Map")</f>
        <v>Map</v>
      </c>
      <c r="E738" t="s">
        <v>177</v>
      </c>
      <c r="F738" t="s">
        <v>178</v>
      </c>
      <c r="L738" t="s">
        <v>10317</v>
      </c>
      <c r="N738" t="s">
        <v>10317</v>
      </c>
      <c r="O738" t="s">
        <v>10317</v>
      </c>
      <c r="P738" t="s">
        <v>10318</v>
      </c>
      <c r="Q738" t="s">
        <v>10317</v>
      </c>
      <c r="V738">
        <v>856</v>
      </c>
      <c r="W738">
        <v>3</v>
      </c>
      <c r="X738">
        <v>2017</v>
      </c>
      <c r="Y738">
        <v>2018</v>
      </c>
      <c r="Z738">
        <v>633.34</v>
      </c>
      <c r="AB738" t="s">
        <v>181</v>
      </c>
      <c r="AC738" t="s">
        <v>202</v>
      </c>
      <c r="AD738" t="s">
        <v>183</v>
      </c>
      <c r="AE738">
        <v>0</v>
      </c>
      <c r="AF738">
        <v>3</v>
      </c>
      <c r="AG738" t="s">
        <v>381</v>
      </c>
      <c r="AH738">
        <v>100</v>
      </c>
      <c r="AK738">
        <v>0</v>
      </c>
      <c r="AL738">
        <v>39225</v>
      </c>
      <c r="AM738">
        <v>20000</v>
      </c>
      <c r="AN738">
        <v>19225</v>
      </c>
      <c r="AO738">
        <v>486</v>
      </c>
      <c r="AP738">
        <v>2016</v>
      </c>
      <c r="AQ738">
        <v>1.61</v>
      </c>
      <c r="AS738" t="s">
        <v>10319</v>
      </c>
      <c r="AT738" t="s">
        <v>3747</v>
      </c>
      <c r="AU738" t="s">
        <v>177</v>
      </c>
      <c r="AV738" t="s">
        <v>1030</v>
      </c>
      <c r="AW738" t="s">
        <v>182</v>
      </c>
      <c r="AX738">
        <v>2</v>
      </c>
      <c r="AY738" t="s">
        <v>188</v>
      </c>
      <c r="AZ738" t="s">
        <v>189</v>
      </c>
      <c r="BA738" t="s">
        <v>190</v>
      </c>
      <c r="BB738" t="s">
        <v>191</v>
      </c>
      <c r="BC738" t="s">
        <v>182</v>
      </c>
      <c r="BD738" t="s">
        <v>182</v>
      </c>
      <c r="BE738" t="s">
        <v>2938</v>
      </c>
      <c r="BF738">
        <v>1</v>
      </c>
      <c r="BG738">
        <v>1</v>
      </c>
      <c r="BH738">
        <v>1988</v>
      </c>
      <c r="BI738" t="s">
        <v>10320</v>
      </c>
      <c r="BJ738" t="s">
        <v>194</v>
      </c>
      <c r="BK738" t="s">
        <v>195</v>
      </c>
      <c r="BL738" t="s">
        <v>199</v>
      </c>
      <c r="BM738" t="s">
        <v>679</v>
      </c>
      <c r="BN738" t="s">
        <v>182</v>
      </c>
      <c r="BO738" t="s">
        <v>3842</v>
      </c>
      <c r="BP738" t="s">
        <v>10321</v>
      </c>
      <c r="BS738" t="s">
        <v>10322</v>
      </c>
      <c r="BT738" t="s">
        <v>198</v>
      </c>
      <c r="BU738" t="s">
        <v>182</v>
      </c>
      <c r="BV738" t="s">
        <v>198</v>
      </c>
      <c r="BW738" t="s">
        <v>198</v>
      </c>
      <c r="BX738" t="s">
        <v>199</v>
      </c>
      <c r="BY738" t="s">
        <v>198</v>
      </c>
      <c r="BZ738" t="s">
        <v>199</v>
      </c>
      <c r="CA738" t="s">
        <v>199</v>
      </c>
      <c r="CB738" t="s">
        <v>10323</v>
      </c>
      <c r="CC738" t="s">
        <v>201</v>
      </c>
      <c r="CD738" t="s">
        <v>202</v>
      </c>
      <c r="CE738" t="s">
        <v>10324</v>
      </c>
      <c r="CF738" t="s">
        <v>1029</v>
      </c>
      <c r="CG738" t="s">
        <v>177</v>
      </c>
      <c r="CH738" t="s">
        <v>1030</v>
      </c>
      <c r="CI738" t="s">
        <v>10325</v>
      </c>
      <c r="CJ738" t="s">
        <v>6929</v>
      </c>
      <c r="CK738" t="s">
        <v>232</v>
      </c>
      <c r="CL738" t="s">
        <v>233</v>
      </c>
      <c r="CM738" t="s">
        <v>10326</v>
      </c>
      <c r="CN738" t="s">
        <v>235</v>
      </c>
      <c r="CO738" t="s">
        <v>183</v>
      </c>
      <c r="CP738" t="s">
        <v>211</v>
      </c>
      <c r="CQ738" t="s">
        <v>206</v>
      </c>
      <c r="CR738" t="s">
        <v>271</v>
      </c>
      <c r="CS738" t="s">
        <v>10327</v>
      </c>
      <c r="CT738" t="s">
        <v>9842</v>
      </c>
      <c r="CU738" t="s">
        <v>292</v>
      </c>
      <c r="CV738" t="s">
        <v>293</v>
      </c>
      <c r="CW738" t="s">
        <v>10328</v>
      </c>
      <c r="CX738" t="s">
        <v>235</v>
      </c>
      <c r="CY738" t="s">
        <v>183</v>
      </c>
      <c r="CZ738" t="s">
        <v>211</v>
      </c>
      <c r="DB738" t="s">
        <v>271</v>
      </c>
      <c r="DC738" t="s">
        <v>198</v>
      </c>
      <c r="DD738" t="s">
        <v>276</v>
      </c>
      <c r="DE738" t="s">
        <v>267</v>
      </c>
      <c r="DF738" t="s">
        <v>268</v>
      </c>
      <c r="DG738" t="s">
        <v>10329</v>
      </c>
      <c r="DH738" t="s">
        <v>235</v>
      </c>
      <c r="DI738" t="s">
        <v>183</v>
      </c>
      <c r="DJ738" t="s">
        <v>211</v>
      </c>
      <c r="DL738" t="s">
        <v>271</v>
      </c>
      <c r="DM738" t="s">
        <v>198</v>
      </c>
      <c r="DW738" t="s">
        <v>198</v>
      </c>
      <c r="EG738" t="s">
        <v>198</v>
      </c>
      <c r="EQ738" t="s">
        <v>198</v>
      </c>
      <c r="FA738" t="s">
        <v>198</v>
      </c>
      <c r="FK738" t="s">
        <v>198</v>
      </c>
      <c r="FU738" t="s">
        <v>198</v>
      </c>
    </row>
    <row r="739" spans="1:177">
      <c r="A739" s="1" t="str">
        <f>HYPERLINK("http://digipan.lumentumllc.com/apps/getLink/index.php?t=PropLink&amp;p=6129283","PL")</f>
        <v>PL</v>
      </c>
      <c r="B739" s="1" t="str">
        <f>HYPERLINK("http://digipan.lumentumllc.com/apps/getLink/index.php?t=TaxLink&amp;p=6129283","TL")</f>
        <v>TL</v>
      </c>
      <c r="C739" s="1" t="str">
        <f>HYPERLINK("http://digipan.lumentumllc.com/apps/getMap/index.php?p=6129283","Map")</f>
        <v>Map</v>
      </c>
      <c r="E739" t="s">
        <v>177</v>
      </c>
      <c r="F739" t="s">
        <v>178</v>
      </c>
      <c r="L739" t="s">
        <v>10330</v>
      </c>
      <c r="N739" t="s">
        <v>10330</v>
      </c>
      <c r="O739" t="s">
        <v>10330</v>
      </c>
      <c r="P739" t="s">
        <v>10331</v>
      </c>
      <c r="Q739" t="s">
        <v>10330</v>
      </c>
      <c r="V739">
        <v>857</v>
      </c>
      <c r="W739">
        <v>3</v>
      </c>
      <c r="X739">
        <v>2017</v>
      </c>
      <c r="Y739">
        <v>2018</v>
      </c>
      <c r="Z739">
        <v>359.45</v>
      </c>
      <c r="AB739" t="s">
        <v>181</v>
      </c>
      <c r="AC739" t="s">
        <v>182</v>
      </c>
      <c r="AD739" t="s">
        <v>183</v>
      </c>
      <c r="AE739">
        <v>0</v>
      </c>
      <c r="AF739">
        <v>3</v>
      </c>
      <c r="AG739" t="s">
        <v>381</v>
      </c>
      <c r="AH739">
        <v>100</v>
      </c>
      <c r="AK739">
        <v>0</v>
      </c>
      <c r="AL739">
        <v>20000</v>
      </c>
      <c r="AM739">
        <v>20000</v>
      </c>
      <c r="AN739">
        <v>0</v>
      </c>
      <c r="AO739">
        <v>307</v>
      </c>
      <c r="AP739">
        <v>2016</v>
      </c>
      <c r="AQ739">
        <v>1.8</v>
      </c>
      <c r="AS739" t="s">
        <v>10332</v>
      </c>
      <c r="AT739" t="s">
        <v>3747</v>
      </c>
      <c r="AU739" t="s">
        <v>177</v>
      </c>
      <c r="AV739" t="s">
        <v>1030</v>
      </c>
      <c r="AW739" t="s">
        <v>182</v>
      </c>
      <c r="AX739">
        <v>0</v>
      </c>
      <c r="AY739" t="s">
        <v>312</v>
      </c>
      <c r="AZ739" t="s">
        <v>199</v>
      </c>
      <c r="BA739" t="s">
        <v>313</v>
      </c>
      <c r="BB739" t="s">
        <v>191</v>
      </c>
      <c r="BC739" t="s">
        <v>182</v>
      </c>
      <c r="BD739" t="s">
        <v>182</v>
      </c>
      <c r="BE739" t="s">
        <v>1884</v>
      </c>
      <c r="BF739">
        <v>0</v>
      </c>
      <c r="BG739">
        <v>0</v>
      </c>
      <c r="BH739">
        <v>0</v>
      </c>
      <c r="BI739" t="s">
        <v>199</v>
      </c>
      <c r="BJ739" t="s">
        <v>315</v>
      </c>
      <c r="BL739" t="s">
        <v>199</v>
      </c>
      <c r="BM739" t="s">
        <v>238</v>
      </c>
      <c r="BN739" t="s">
        <v>182</v>
      </c>
      <c r="BO739" t="s">
        <v>198</v>
      </c>
      <c r="BP739" t="s">
        <v>198</v>
      </c>
      <c r="BQ739" t="s">
        <v>198</v>
      </c>
      <c r="BR739" t="s">
        <v>198</v>
      </c>
      <c r="BS739" t="s">
        <v>198</v>
      </c>
      <c r="BT739" t="s">
        <v>198</v>
      </c>
      <c r="BU739" t="s">
        <v>182</v>
      </c>
      <c r="BV739" t="s">
        <v>198</v>
      </c>
      <c r="BW739" t="s">
        <v>198</v>
      </c>
      <c r="BX739" t="s">
        <v>199</v>
      </c>
      <c r="BY739" t="s">
        <v>198</v>
      </c>
      <c r="BZ739" t="s">
        <v>199</v>
      </c>
      <c r="CA739" t="s">
        <v>199</v>
      </c>
      <c r="CB739" t="s">
        <v>10333</v>
      </c>
      <c r="CC739" t="s">
        <v>201</v>
      </c>
      <c r="CD739" t="s">
        <v>182</v>
      </c>
      <c r="CE739" t="s">
        <v>10334</v>
      </c>
      <c r="CF739" t="s">
        <v>1029</v>
      </c>
      <c r="CG739" t="s">
        <v>177</v>
      </c>
      <c r="CH739" t="s">
        <v>1030</v>
      </c>
      <c r="CI739" t="s">
        <v>10335</v>
      </c>
      <c r="CJ739" t="s">
        <v>9444</v>
      </c>
      <c r="CK739" t="s">
        <v>292</v>
      </c>
      <c r="CL739" t="s">
        <v>293</v>
      </c>
      <c r="CM739" t="s">
        <v>9841</v>
      </c>
      <c r="CN739" t="s">
        <v>235</v>
      </c>
      <c r="CO739" t="s">
        <v>183</v>
      </c>
      <c r="CP739" t="s">
        <v>211</v>
      </c>
      <c r="CQ739" t="s">
        <v>199</v>
      </c>
      <c r="CS739" t="s">
        <v>10336</v>
      </c>
      <c r="CT739" t="s">
        <v>9667</v>
      </c>
      <c r="CU739" t="s">
        <v>267</v>
      </c>
      <c r="CV739" t="s">
        <v>268</v>
      </c>
      <c r="CW739" t="s">
        <v>10337</v>
      </c>
      <c r="CX739" t="s">
        <v>305</v>
      </c>
      <c r="CY739" t="s">
        <v>183</v>
      </c>
      <c r="CZ739" t="s">
        <v>211</v>
      </c>
      <c r="DA739" t="s">
        <v>199</v>
      </c>
      <c r="DC739" t="s">
        <v>10338</v>
      </c>
      <c r="DD739" t="s">
        <v>7647</v>
      </c>
      <c r="DE739" t="s">
        <v>302</v>
      </c>
      <c r="DF739" t="s">
        <v>303</v>
      </c>
      <c r="DG739" t="s">
        <v>10339</v>
      </c>
      <c r="DH739" t="s">
        <v>440</v>
      </c>
      <c r="DI739" t="s">
        <v>183</v>
      </c>
      <c r="DJ739" t="s">
        <v>211</v>
      </c>
      <c r="DK739" t="s">
        <v>199</v>
      </c>
      <c r="DM739" t="s">
        <v>6165</v>
      </c>
      <c r="DW739" t="s">
        <v>198</v>
      </c>
      <c r="EG739" t="s">
        <v>198</v>
      </c>
      <c r="EQ739" t="s">
        <v>198</v>
      </c>
      <c r="FA739" t="s">
        <v>198</v>
      </c>
      <c r="FK739" t="s">
        <v>198</v>
      </c>
      <c r="FU739" t="s">
        <v>198</v>
      </c>
    </row>
    <row r="740" spans="1:177">
      <c r="A740" s="1" t="str">
        <f>HYPERLINK("http://digipan.lumentumllc.com/apps/getLink/index.php?t=PropLink&amp;p=5247432","PL")</f>
        <v>PL</v>
      </c>
      <c r="B740" s="1" t="str">
        <f>HYPERLINK("http://digipan.lumentumllc.com/apps/getLink/index.php?t=TaxLink&amp;p=5247432","TL")</f>
        <v>TL</v>
      </c>
      <c r="C740" s="1" t="str">
        <f>HYPERLINK("http://digipan.lumentumllc.com/apps/getMap/index.php?p=5247432","Map")</f>
        <v>Map</v>
      </c>
      <c r="E740" t="s">
        <v>177</v>
      </c>
      <c r="F740" t="s">
        <v>178</v>
      </c>
      <c r="L740" t="s">
        <v>10340</v>
      </c>
      <c r="N740" t="s">
        <v>10340</v>
      </c>
      <c r="O740" t="s">
        <v>10340</v>
      </c>
      <c r="P740" t="s">
        <v>10341</v>
      </c>
      <c r="Q740" t="s">
        <v>10340</v>
      </c>
      <c r="V740">
        <v>858</v>
      </c>
      <c r="W740">
        <v>3</v>
      </c>
      <c r="X740">
        <v>2017</v>
      </c>
      <c r="Y740">
        <v>2018</v>
      </c>
      <c r="Z740">
        <v>349.5</v>
      </c>
      <c r="AB740" t="s">
        <v>181</v>
      </c>
      <c r="AC740" t="s">
        <v>182</v>
      </c>
      <c r="AD740" t="s">
        <v>183</v>
      </c>
      <c r="AE740">
        <v>0</v>
      </c>
      <c r="AF740">
        <v>2</v>
      </c>
      <c r="AG740" t="s">
        <v>216</v>
      </c>
      <c r="AH740">
        <v>100</v>
      </c>
      <c r="AK740">
        <v>0</v>
      </c>
      <c r="AL740">
        <v>50625</v>
      </c>
      <c r="AM740">
        <v>20000</v>
      </c>
      <c r="AN740">
        <v>30625</v>
      </c>
      <c r="AO740">
        <v>284</v>
      </c>
      <c r="AP740">
        <v>2016</v>
      </c>
      <c r="AQ740">
        <v>0.69</v>
      </c>
      <c r="AS740" t="s">
        <v>10342</v>
      </c>
      <c r="AT740" t="s">
        <v>3747</v>
      </c>
      <c r="AU740" t="s">
        <v>177</v>
      </c>
      <c r="AV740" t="s">
        <v>1030</v>
      </c>
      <c r="AW740" t="s">
        <v>202</v>
      </c>
      <c r="AX740">
        <v>2</v>
      </c>
      <c r="AY740" t="s">
        <v>188</v>
      </c>
      <c r="AZ740" t="s">
        <v>189</v>
      </c>
      <c r="BA740" t="s">
        <v>190</v>
      </c>
      <c r="BB740" t="s">
        <v>191</v>
      </c>
      <c r="BC740" t="s">
        <v>182</v>
      </c>
      <c r="BD740" t="s">
        <v>182</v>
      </c>
      <c r="BE740" t="s">
        <v>383</v>
      </c>
      <c r="BF740">
        <v>1</v>
      </c>
      <c r="BG740">
        <v>1</v>
      </c>
      <c r="BH740">
        <v>1997</v>
      </c>
      <c r="BI740" t="s">
        <v>1271</v>
      </c>
      <c r="BJ740" t="s">
        <v>194</v>
      </c>
      <c r="BK740" t="s">
        <v>195</v>
      </c>
      <c r="BL740" t="s">
        <v>9514</v>
      </c>
      <c r="BM740" t="s">
        <v>981</v>
      </c>
      <c r="BN740" t="s">
        <v>182</v>
      </c>
      <c r="BO740" t="s">
        <v>198</v>
      </c>
      <c r="BP740" t="s">
        <v>198</v>
      </c>
      <c r="BQ740" t="s">
        <v>198</v>
      </c>
      <c r="BR740" t="s">
        <v>198</v>
      </c>
      <c r="BS740" t="s">
        <v>198</v>
      </c>
      <c r="BT740" t="s">
        <v>198</v>
      </c>
      <c r="BU740" t="s">
        <v>182</v>
      </c>
      <c r="BV740" t="s">
        <v>198</v>
      </c>
      <c r="BW740" t="s">
        <v>198</v>
      </c>
      <c r="BX740" t="s">
        <v>199</v>
      </c>
      <c r="BY740" t="s">
        <v>198</v>
      </c>
      <c r="BZ740" t="s">
        <v>199</v>
      </c>
      <c r="CA740" t="s">
        <v>199</v>
      </c>
      <c r="CB740" t="s">
        <v>10343</v>
      </c>
      <c r="CC740" t="s">
        <v>201</v>
      </c>
      <c r="CD740" t="s">
        <v>182</v>
      </c>
      <c r="CE740" t="s">
        <v>10344</v>
      </c>
      <c r="CF740" t="s">
        <v>1029</v>
      </c>
      <c r="CG740" t="s">
        <v>177</v>
      </c>
      <c r="CH740" t="s">
        <v>1030</v>
      </c>
      <c r="CI740" t="s">
        <v>10345</v>
      </c>
      <c r="CJ740" t="s">
        <v>307</v>
      </c>
      <c r="CK740" t="s">
        <v>267</v>
      </c>
      <c r="CL740" t="s">
        <v>268</v>
      </c>
      <c r="CM740" t="s">
        <v>10346</v>
      </c>
      <c r="CN740" t="s">
        <v>235</v>
      </c>
      <c r="CO740" t="s">
        <v>183</v>
      </c>
      <c r="CP740" t="s">
        <v>211</v>
      </c>
      <c r="CQ740" t="s">
        <v>199</v>
      </c>
      <c r="CS740" t="s">
        <v>1012</v>
      </c>
      <c r="CT740" t="s">
        <v>10347</v>
      </c>
      <c r="CU740" t="s">
        <v>346</v>
      </c>
      <c r="CV740" t="s">
        <v>347</v>
      </c>
      <c r="CW740" t="s">
        <v>10348</v>
      </c>
      <c r="CX740" t="s">
        <v>1551</v>
      </c>
      <c r="CY740" t="s">
        <v>183</v>
      </c>
      <c r="CZ740" t="s">
        <v>211</v>
      </c>
      <c r="DA740" t="s">
        <v>296</v>
      </c>
      <c r="DC740" t="s">
        <v>3032</v>
      </c>
      <c r="DM740" t="s">
        <v>198</v>
      </c>
      <c r="DW740" t="s">
        <v>198</v>
      </c>
      <c r="EG740" t="s">
        <v>198</v>
      </c>
      <c r="EQ740" t="s">
        <v>198</v>
      </c>
      <c r="FA740" t="s">
        <v>198</v>
      </c>
      <c r="FK740" t="s">
        <v>198</v>
      </c>
      <c r="FU740" t="s">
        <v>198</v>
      </c>
    </row>
    <row r="741" spans="1:177">
      <c r="A741" s="1" t="str">
        <f>HYPERLINK("http://digipan.lumentumllc.com/apps/getLink/index.php?t=PropLink&amp;p=5247433","PL")</f>
        <v>PL</v>
      </c>
      <c r="B741" s="1" t="str">
        <f>HYPERLINK("http://digipan.lumentumllc.com/apps/getLink/index.php?t=TaxLink&amp;p=5247433","TL")</f>
        <v>TL</v>
      </c>
      <c r="C741" s="1" t="str">
        <f>HYPERLINK("http://digipan.lumentumllc.com/apps/getMap/index.php?p=5247433","Map")</f>
        <v>Map</v>
      </c>
      <c r="E741" t="s">
        <v>177</v>
      </c>
      <c r="F741" t="s">
        <v>178</v>
      </c>
      <c r="L741" t="s">
        <v>10349</v>
      </c>
      <c r="N741" t="s">
        <v>10349</v>
      </c>
      <c r="O741" t="s">
        <v>10349</v>
      </c>
      <c r="P741" t="s">
        <v>10350</v>
      </c>
      <c r="Q741" t="s">
        <v>10349</v>
      </c>
      <c r="V741">
        <v>859</v>
      </c>
      <c r="W741">
        <v>3</v>
      </c>
      <c r="X741">
        <v>2017</v>
      </c>
      <c r="Y741">
        <v>2018</v>
      </c>
      <c r="Z741">
        <v>887.42</v>
      </c>
      <c r="AB741" t="s">
        <v>181</v>
      </c>
      <c r="AC741" t="s">
        <v>182</v>
      </c>
      <c r="AD741" t="s">
        <v>183</v>
      </c>
      <c r="AE741">
        <v>0</v>
      </c>
      <c r="AF741">
        <v>4</v>
      </c>
      <c r="AG741" t="s">
        <v>744</v>
      </c>
      <c r="AH741">
        <v>100</v>
      </c>
      <c r="AK741">
        <v>0</v>
      </c>
      <c r="AL741">
        <v>52248</v>
      </c>
      <c r="AM741">
        <v>20000</v>
      </c>
      <c r="AN741">
        <v>32248</v>
      </c>
      <c r="AO741">
        <v>337</v>
      </c>
      <c r="AP741">
        <v>2016</v>
      </c>
      <c r="AQ741">
        <v>1.7</v>
      </c>
      <c r="AS741" t="s">
        <v>10351</v>
      </c>
      <c r="AT741" t="s">
        <v>3747</v>
      </c>
      <c r="AU741" t="s">
        <v>177</v>
      </c>
      <c r="AV741" t="s">
        <v>1030</v>
      </c>
      <c r="AW741" t="s">
        <v>182</v>
      </c>
      <c r="AX741">
        <v>2</v>
      </c>
      <c r="AY741" t="s">
        <v>188</v>
      </c>
      <c r="AZ741" t="s">
        <v>189</v>
      </c>
      <c r="BA741" t="s">
        <v>190</v>
      </c>
      <c r="BB741" t="s">
        <v>191</v>
      </c>
      <c r="BC741" t="s">
        <v>182</v>
      </c>
      <c r="BD741" t="s">
        <v>182</v>
      </c>
      <c r="BE741" t="s">
        <v>9812</v>
      </c>
      <c r="BF741">
        <v>1</v>
      </c>
      <c r="BG741">
        <v>1</v>
      </c>
      <c r="BH741">
        <v>1984</v>
      </c>
      <c r="BI741" t="s">
        <v>10352</v>
      </c>
      <c r="BJ741" t="s">
        <v>194</v>
      </c>
      <c r="BK741" t="s">
        <v>195</v>
      </c>
      <c r="BL741" t="s">
        <v>10353</v>
      </c>
      <c r="BM741" t="s">
        <v>559</v>
      </c>
      <c r="BN741" t="s">
        <v>182</v>
      </c>
      <c r="BO741" t="s">
        <v>10354</v>
      </c>
      <c r="BP741" t="s">
        <v>10355</v>
      </c>
      <c r="BS741" t="s">
        <v>10356</v>
      </c>
      <c r="BT741" t="s">
        <v>198</v>
      </c>
      <c r="BU741" t="s">
        <v>182</v>
      </c>
      <c r="BV741" t="s">
        <v>198</v>
      </c>
      <c r="BW741" t="s">
        <v>198</v>
      </c>
      <c r="BX741" t="s">
        <v>199</v>
      </c>
      <c r="BY741" t="s">
        <v>198</v>
      </c>
      <c r="BZ741" t="s">
        <v>199</v>
      </c>
      <c r="CA741" t="s">
        <v>199</v>
      </c>
      <c r="CB741" t="s">
        <v>10357</v>
      </c>
      <c r="CC741" t="s">
        <v>201</v>
      </c>
      <c r="CD741" t="s">
        <v>182</v>
      </c>
      <c r="CE741" t="s">
        <v>10358</v>
      </c>
      <c r="CF741" t="s">
        <v>413</v>
      </c>
      <c r="CG741" t="s">
        <v>177</v>
      </c>
      <c r="CH741" t="s">
        <v>7465</v>
      </c>
      <c r="CI741" t="s">
        <v>10359</v>
      </c>
      <c r="CJ741" t="s">
        <v>6818</v>
      </c>
      <c r="CK741" t="s">
        <v>292</v>
      </c>
      <c r="CL741" t="s">
        <v>293</v>
      </c>
      <c r="CM741" t="s">
        <v>10360</v>
      </c>
      <c r="CN741" t="s">
        <v>235</v>
      </c>
      <c r="CO741" t="s">
        <v>183</v>
      </c>
      <c r="CP741" t="s">
        <v>211</v>
      </c>
      <c r="CQ741" t="s">
        <v>342</v>
      </c>
      <c r="CS741" t="s">
        <v>2917</v>
      </c>
      <c r="CT741" t="s">
        <v>9685</v>
      </c>
      <c r="CU741" t="s">
        <v>267</v>
      </c>
      <c r="CV741" t="s">
        <v>268</v>
      </c>
      <c r="CW741" t="s">
        <v>10361</v>
      </c>
      <c r="CX741" t="s">
        <v>235</v>
      </c>
      <c r="CY741" t="s">
        <v>183</v>
      </c>
      <c r="CZ741" t="s">
        <v>211</v>
      </c>
      <c r="DA741" t="s">
        <v>199</v>
      </c>
      <c r="DC741" t="s">
        <v>3445</v>
      </c>
      <c r="DD741" t="s">
        <v>8658</v>
      </c>
      <c r="DE741" t="s">
        <v>273</v>
      </c>
      <c r="DF741" t="s">
        <v>274</v>
      </c>
      <c r="DG741" t="s">
        <v>10362</v>
      </c>
      <c r="DH741" t="s">
        <v>235</v>
      </c>
      <c r="DI741" t="s">
        <v>183</v>
      </c>
      <c r="DJ741" t="s">
        <v>211</v>
      </c>
      <c r="DK741" t="s">
        <v>212</v>
      </c>
      <c r="DM741" t="s">
        <v>10363</v>
      </c>
      <c r="DN741" t="s">
        <v>10364</v>
      </c>
      <c r="DO741" t="s">
        <v>346</v>
      </c>
      <c r="DP741" t="s">
        <v>347</v>
      </c>
      <c r="DQ741" t="s">
        <v>10365</v>
      </c>
      <c r="DR741" t="s">
        <v>1551</v>
      </c>
      <c r="DS741" t="s">
        <v>183</v>
      </c>
      <c r="DT741" t="s">
        <v>211</v>
      </c>
      <c r="DU741" t="s">
        <v>298</v>
      </c>
      <c r="DW741" t="s">
        <v>1818</v>
      </c>
      <c r="EG741" t="s">
        <v>198</v>
      </c>
      <c r="EQ741" t="s">
        <v>198</v>
      </c>
      <c r="FA741" t="s">
        <v>198</v>
      </c>
      <c r="FK741" t="s">
        <v>198</v>
      </c>
      <c r="FU741" t="s">
        <v>198</v>
      </c>
    </row>
    <row r="742" spans="1:177">
      <c r="A742" s="1" t="str">
        <f>HYPERLINK("http://digipan.lumentumllc.com/apps/getLink/index.php?t=PropLink&amp;p=5247435","PL")</f>
        <v>PL</v>
      </c>
      <c r="B742" s="1" t="str">
        <f>HYPERLINK("http://digipan.lumentumllc.com/apps/getLink/index.php?t=TaxLink&amp;p=5247435","TL")</f>
        <v>TL</v>
      </c>
      <c r="C742" s="1" t="str">
        <f>HYPERLINK("http://digipan.lumentumllc.com/apps/getMap/index.php?p=5247435","Map")</f>
        <v>Map</v>
      </c>
      <c r="E742" t="s">
        <v>177</v>
      </c>
      <c r="F742" t="s">
        <v>178</v>
      </c>
      <c r="L742" t="s">
        <v>10366</v>
      </c>
      <c r="N742" t="s">
        <v>10366</v>
      </c>
      <c r="O742" t="s">
        <v>10366</v>
      </c>
      <c r="P742" t="s">
        <v>10367</v>
      </c>
      <c r="Q742" t="s">
        <v>10366</v>
      </c>
      <c r="V742">
        <v>860</v>
      </c>
      <c r="W742">
        <v>3</v>
      </c>
      <c r="X742">
        <v>2017</v>
      </c>
      <c r="Y742">
        <v>2018</v>
      </c>
      <c r="Z742">
        <v>568.53</v>
      </c>
      <c r="AB742" t="s">
        <v>181</v>
      </c>
      <c r="AC742" t="s">
        <v>182</v>
      </c>
      <c r="AD742" t="s">
        <v>183</v>
      </c>
      <c r="AE742">
        <v>0</v>
      </c>
      <c r="AF742">
        <v>8</v>
      </c>
      <c r="AG742" t="s">
        <v>1059</v>
      </c>
      <c r="AH742">
        <v>100</v>
      </c>
      <c r="AK742">
        <v>0</v>
      </c>
      <c r="AL742">
        <v>80584</v>
      </c>
      <c r="AM742">
        <v>20000</v>
      </c>
      <c r="AN742">
        <v>60584</v>
      </c>
      <c r="AO742">
        <v>496</v>
      </c>
      <c r="AP742">
        <v>2016</v>
      </c>
      <c r="AQ742">
        <v>0.71</v>
      </c>
      <c r="AS742" t="s">
        <v>10368</v>
      </c>
      <c r="AT742" t="s">
        <v>3747</v>
      </c>
      <c r="AU742" t="s">
        <v>177</v>
      </c>
      <c r="AV742" t="s">
        <v>1030</v>
      </c>
      <c r="AW742" t="s">
        <v>202</v>
      </c>
      <c r="AX742">
        <v>2</v>
      </c>
      <c r="AY742" t="s">
        <v>188</v>
      </c>
      <c r="AZ742" t="s">
        <v>189</v>
      </c>
      <c r="BA742" t="s">
        <v>190</v>
      </c>
      <c r="BB742" t="s">
        <v>191</v>
      </c>
      <c r="BC742" t="s">
        <v>182</v>
      </c>
      <c r="BD742" t="s">
        <v>182</v>
      </c>
      <c r="BE742" t="s">
        <v>1884</v>
      </c>
      <c r="BF742">
        <v>1</v>
      </c>
      <c r="BG742">
        <v>1</v>
      </c>
      <c r="BH742">
        <v>2000</v>
      </c>
      <c r="BI742" t="s">
        <v>10369</v>
      </c>
      <c r="BJ742" t="s">
        <v>194</v>
      </c>
      <c r="BK742" t="s">
        <v>195</v>
      </c>
      <c r="BL742" t="s">
        <v>10370</v>
      </c>
      <c r="BM742" t="s">
        <v>1332</v>
      </c>
      <c r="BN742" t="s">
        <v>182</v>
      </c>
      <c r="BO742" t="s">
        <v>10371</v>
      </c>
      <c r="BP742" t="s">
        <v>10372</v>
      </c>
      <c r="BS742" t="s">
        <v>10373</v>
      </c>
      <c r="BT742" t="s">
        <v>198</v>
      </c>
      <c r="BU742" t="s">
        <v>182</v>
      </c>
      <c r="BV742" t="s">
        <v>198</v>
      </c>
      <c r="BW742" t="s">
        <v>198</v>
      </c>
      <c r="BX742" t="s">
        <v>199</v>
      </c>
      <c r="BY742" t="s">
        <v>198</v>
      </c>
      <c r="BZ742" t="s">
        <v>199</v>
      </c>
      <c r="CA742" t="s">
        <v>199</v>
      </c>
      <c r="CB742" t="s">
        <v>10374</v>
      </c>
      <c r="CC742" t="s">
        <v>201</v>
      </c>
      <c r="CD742" t="s">
        <v>202</v>
      </c>
      <c r="CE742" t="s">
        <v>10375</v>
      </c>
      <c r="CF742" t="s">
        <v>1029</v>
      </c>
      <c r="CG742" t="s">
        <v>177</v>
      </c>
      <c r="CH742" t="s">
        <v>1030</v>
      </c>
      <c r="CI742" t="s">
        <v>10376</v>
      </c>
      <c r="CJ742" t="s">
        <v>9563</v>
      </c>
      <c r="CK742" t="s">
        <v>232</v>
      </c>
      <c r="CL742" t="s">
        <v>233</v>
      </c>
      <c r="CM742" t="s">
        <v>10377</v>
      </c>
      <c r="CN742" t="s">
        <v>235</v>
      </c>
      <c r="CO742" t="s">
        <v>183</v>
      </c>
      <c r="CP742" t="s">
        <v>211</v>
      </c>
      <c r="CQ742" t="s">
        <v>329</v>
      </c>
      <c r="CS742" t="s">
        <v>1760</v>
      </c>
      <c r="CT742" t="s">
        <v>6834</v>
      </c>
      <c r="CU742" t="s">
        <v>292</v>
      </c>
      <c r="CV742" t="s">
        <v>293</v>
      </c>
      <c r="CW742" t="s">
        <v>10378</v>
      </c>
      <c r="CX742" t="s">
        <v>235</v>
      </c>
      <c r="CY742" t="s">
        <v>183</v>
      </c>
      <c r="CZ742" t="s">
        <v>211</v>
      </c>
      <c r="DA742" t="s">
        <v>298</v>
      </c>
      <c r="DC742" t="s">
        <v>1760</v>
      </c>
      <c r="DD742" t="s">
        <v>9700</v>
      </c>
      <c r="DE742" t="s">
        <v>267</v>
      </c>
      <c r="DF742" t="s">
        <v>268</v>
      </c>
      <c r="DG742" t="s">
        <v>10379</v>
      </c>
      <c r="DH742" t="s">
        <v>235</v>
      </c>
      <c r="DI742" t="s">
        <v>183</v>
      </c>
      <c r="DJ742" t="s">
        <v>211</v>
      </c>
      <c r="DK742" t="s">
        <v>298</v>
      </c>
      <c r="DM742" t="s">
        <v>5919</v>
      </c>
      <c r="DN742" t="s">
        <v>10380</v>
      </c>
      <c r="DO742" t="s">
        <v>273</v>
      </c>
      <c r="DP742" t="s">
        <v>274</v>
      </c>
      <c r="DQ742" t="s">
        <v>10381</v>
      </c>
      <c r="DR742" t="s">
        <v>235</v>
      </c>
      <c r="DS742" t="s">
        <v>183</v>
      </c>
      <c r="DT742" t="s">
        <v>211</v>
      </c>
      <c r="DU742" t="s">
        <v>298</v>
      </c>
      <c r="DW742" t="s">
        <v>5484</v>
      </c>
      <c r="DX742" t="s">
        <v>7678</v>
      </c>
      <c r="DY742" t="s">
        <v>302</v>
      </c>
      <c r="DZ742" t="s">
        <v>303</v>
      </c>
      <c r="EA742" t="s">
        <v>10382</v>
      </c>
      <c r="EB742" t="s">
        <v>3342</v>
      </c>
      <c r="EC742" t="s">
        <v>183</v>
      </c>
      <c r="ED742" t="s">
        <v>211</v>
      </c>
      <c r="EE742" t="s">
        <v>298</v>
      </c>
      <c r="EG742" t="s">
        <v>4379</v>
      </c>
      <c r="EH742" t="s">
        <v>10383</v>
      </c>
      <c r="EI742" t="s">
        <v>238</v>
      </c>
      <c r="EJ742" t="s">
        <v>239</v>
      </c>
      <c r="EK742" t="s">
        <v>10384</v>
      </c>
      <c r="EL742" t="s">
        <v>278</v>
      </c>
      <c r="EM742" t="s">
        <v>183</v>
      </c>
      <c r="EN742" t="s">
        <v>211</v>
      </c>
      <c r="EO742" t="s">
        <v>298</v>
      </c>
      <c r="EQ742" t="s">
        <v>467</v>
      </c>
      <c r="ER742" t="s">
        <v>10385</v>
      </c>
      <c r="ES742" t="s">
        <v>346</v>
      </c>
      <c r="ET742" t="s">
        <v>347</v>
      </c>
      <c r="EU742" t="s">
        <v>10386</v>
      </c>
      <c r="EV742" t="s">
        <v>1551</v>
      </c>
      <c r="EW742" t="s">
        <v>183</v>
      </c>
      <c r="EX742" t="s">
        <v>211</v>
      </c>
      <c r="EY742" t="s">
        <v>298</v>
      </c>
      <c r="FA742" t="s">
        <v>1622</v>
      </c>
      <c r="FB742" t="s">
        <v>10387</v>
      </c>
      <c r="FC742" t="s">
        <v>207</v>
      </c>
      <c r="FD742" t="s">
        <v>208</v>
      </c>
      <c r="FE742" t="s">
        <v>10388</v>
      </c>
      <c r="FF742" t="s">
        <v>576</v>
      </c>
      <c r="FG742" t="s">
        <v>183</v>
      </c>
      <c r="FH742" t="s">
        <v>211</v>
      </c>
      <c r="FI742" t="s">
        <v>298</v>
      </c>
      <c r="FK742" t="s">
        <v>1381</v>
      </c>
      <c r="FU742" t="s">
        <v>198</v>
      </c>
    </row>
    <row r="743" spans="1:177">
      <c r="A743" s="1" t="str">
        <f>HYPERLINK("http://digipan.lumentumllc.com/apps/getLink/index.php?t=PropLink&amp;p=7112529","PL")</f>
        <v>PL</v>
      </c>
      <c r="B743" s="1" t="str">
        <f>HYPERLINK("http://digipan.lumentumllc.com/apps/getLink/index.php?t=TaxLink&amp;p=7112529","TL")</f>
        <v>TL</v>
      </c>
      <c r="C743" s="1" t="str">
        <f>HYPERLINK("http://digipan.lumentumllc.com/apps/getMap/index.php?p=7112529","Map")</f>
        <v>Map</v>
      </c>
      <c r="E743" t="s">
        <v>177</v>
      </c>
      <c r="F743" t="s">
        <v>178</v>
      </c>
      <c r="L743" t="s">
        <v>10389</v>
      </c>
      <c r="N743" t="s">
        <v>10389</v>
      </c>
      <c r="O743" t="s">
        <v>10389</v>
      </c>
      <c r="P743" t="s">
        <v>10390</v>
      </c>
      <c r="Q743" t="s">
        <v>10389</v>
      </c>
      <c r="V743">
        <v>861</v>
      </c>
      <c r="W743">
        <v>3</v>
      </c>
      <c r="X743">
        <v>2017</v>
      </c>
      <c r="Y743">
        <v>2018</v>
      </c>
      <c r="Z743">
        <v>359.45</v>
      </c>
      <c r="AB743" t="s">
        <v>181</v>
      </c>
      <c r="AC743" t="s">
        <v>182</v>
      </c>
      <c r="AD743" t="s">
        <v>183</v>
      </c>
      <c r="AE743">
        <v>1</v>
      </c>
      <c r="AF743">
        <v>1</v>
      </c>
      <c r="AG743" t="s">
        <v>2222</v>
      </c>
      <c r="AH743">
        <v>50</v>
      </c>
      <c r="AI743">
        <v>359.04</v>
      </c>
      <c r="AJ743">
        <v>23.34</v>
      </c>
      <c r="AK743">
        <v>382.38</v>
      </c>
      <c r="AL743">
        <v>20000</v>
      </c>
      <c r="AM743">
        <v>20000</v>
      </c>
      <c r="AN743">
        <v>0</v>
      </c>
      <c r="AO743">
        <v>307</v>
      </c>
      <c r="AP743">
        <v>2016</v>
      </c>
      <c r="AQ743">
        <v>1.8</v>
      </c>
      <c r="AR743">
        <v>1.91</v>
      </c>
      <c r="AS743" t="s">
        <v>10391</v>
      </c>
      <c r="AT743" t="s">
        <v>3747</v>
      </c>
      <c r="AU743" t="s">
        <v>177</v>
      </c>
      <c r="AV743" t="s">
        <v>1030</v>
      </c>
      <c r="AW743" t="s">
        <v>182</v>
      </c>
      <c r="AX743">
        <v>0</v>
      </c>
      <c r="AY743" t="s">
        <v>312</v>
      </c>
      <c r="AZ743" t="s">
        <v>199</v>
      </c>
      <c r="BA743" t="s">
        <v>313</v>
      </c>
      <c r="BB743" t="s">
        <v>191</v>
      </c>
      <c r="BC743" t="s">
        <v>182</v>
      </c>
      <c r="BD743" t="s">
        <v>182</v>
      </c>
      <c r="BE743" t="s">
        <v>383</v>
      </c>
      <c r="BF743">
        <v>0</v>
      </c>
      <c r="BG743">
        <v>0</v>
      </c>
      <c r="BH743">
        <v>0</v>
      </c>
      <c r="BI743" t="s">
        <v>199</v>
      </c>
      <c r="BJ743" t="s">
        <v>315</v>
      </c>
      <c r="BL743" t="s">
        <v>2581</v>
      </c>
      <c r="BM743" t="s">
        <v>368</v>
      </c>
      <c r="BN743" t="s">
        <v>182</v>
      </c>
      <c r="BO743" t="s">
        <v>9803</v>
      </c>
      <c r="BP743" t="s">
        <v>2911</v>
      </c>
      <c r="BS743" t="s">
        <v>10392</v>
      </c>
      <c r="BT743" t="s">
        <v>198</v>
      </c>
      <c r="BU743" t="s">
        <v>182</v>
      </c>
      <c r="BV743" t="s">
        <v>198</v>
      </c>
      <c r="BW743" t="s">
        <v>198</v>
      </c>
      <c r="BX743" t="s">
        <v>199</v>
      </c>
      <c r="BY743" t="s">
        <v>198</v>
      </c>
      <c r="BZ743" t="s">
        <v>199</v>
      </c>
      <c r="CA743" t="s">
        <v>199</v>
      </c>
      <c r="CB743" t="s">
        <v>9805</v>
      </c>
      <c r="CC743" t="s">
        <v>201</v>
      </c>
      <c r="CD743" t="s">
        <v>202</v>
      </c>
      <c r="CE743" t="s">
        <v>10393</v>
      </c>
      <c r="CF743" t="s">
        <v>1029</v>
      </c>
      <c r="CG743" t="s">
        <v>177</v>
      </c>
      <c r="CH743" t="s">
        <v>1030</v>
      </c>
      <c r="CI743" t="s">
        <v>10394</v>
      </c>
      <c r="CJ743" t="s">
        <v>6949</v>
      </c>
      <c r="CK743" t="s">
        <v>232</v>
      </c>
      <c r="CL743" t="s">
        <v>233</v>
      </c>
      <c r="CM743" t="s">
        <v>10395</v>
      </c>
      <c r="CN743" t="s">
        <v>688</v>
      </c>
      <c r="CO743" t="s">
        <v>183</v>
      </c>
      <c r="CP743" t="s">
        <v>266</v>
      </c>
      <c r="CS743" t="s">
        <v>198</v>
      </c>
      <c r="CT743" t="s">
        <v>6861</v>
      </c>
      <c r="CU743" t="s">
        <v>292</v>
      </c>
      <c r="CV743" t="s">
        <v>293</v>
      </c>
      <c r="CW743" t="s">
        <v>9841</v>
      </c>
      <c r="CX743" t="s">
        <v>389</v>
      </c>
      <c r="CY743" t="s">
        <v>183</v>
      </c>
      <c r="CZ743" t="s">
        <v>211</v>
      </c>
      <c r="DA743" t="s">
        <v>337</v>
      </c>
      <c r="DC743" t="s">
        <v>540</v>
      </c>
      <c r="DM743" t="s">
        <v>198</v>
      </c>
      <c r="DW743" t="s">
        <v>198</v>
      </c>
      <c r="EG743" t="s">
        <v>198</v>
      </c>
      <c r="EQ743" t="s">
        <v>198</v>
      </c>
      <c r="FA743" t="s">
        <v>198</v>
      </c>
      <c r="FK743" t="s">
        <v>198</v>
      </c>
      <c r="FU743" t="s">
        <v>198</v>
      </c>
    </row>
    <row r="744" spans="1:177">
      <c r="A744" s="1" t="str">
        <f>HYPERLINK("http://digipan.lumentumllc.com/apps/getLink/index.php?t=PropLink&amp;p=4638264","PL")</f>
        <v>PL</v>
      </c>
      <c r="B744" s="1" t="str">
        <f>HYPERLINK("http://digipan.lumentumllc.com/apps/getLink/index.php?t=TaxLink&amp;p=4638264","TL")</f>
        <v>TL</v>
      </c>
      <c r="C744" s="1" t="str">
        <f>HYPERLINK("http://digipan.lumentumllc.com/apps/getMap/index.php?p=4638264","Map")</f>
        <v>Map</v>
      </c>
      <c r="E744" t="s">
        <v>177</v>
      </c>
      <c r="F744" t="s">
        <v>178</v>
      </c>
      <c r="L744" t="s">
        <v>10396</v>
      </c>
      <c r="N744" t="s">
        <v>10396</v>
      </c>
      <c r="O744" t="s">
        <v>10396</v>
      </c>
      <c r="P744" t="s">
        <v>10397</v>
      </c>
      <c r="Q744" t="s">
        <v>10396</v>
      </c>
      <c r="V744">
        <v>862</v>
      </c>
      <c r="W744">
        <v>3</v>
      </c>
      <c r="X744">
        <v>2017</v>
      </c>
      <c r="Y744">
        <v>2018</v>
      </c>
      <c r="Z744">
        <v>326.98</v>
      </c>
      <c r="AB744" t="s">
        <v>181</v>
      </c>
      <c r="AC744" t="s">
        <v>182</v>
      </c>
      <c r="AD744" t="s">
        <v>183</v>
      </c>
      <c r="AE744">
        <v>0</v>
      </c>
      <c r="AF744">
        <v>6</v>
      </c>
      <c r="AG744" t="s">
        <v>3266</v>
      </c>
      <c r="AH744">
        <v>100</v>
      </c>
      <c r="AK744">
        <v>0</v>
      </c>
      <c r="AL744">
        <v>52136</v>
      </c>
      <c r="AM744">
        <v>20000</v>
      </c>
      <c r="AN744">
        <v>32136</v>
      </c>
      <c r="AO744">
        <v>263</v>
      </c>
      <c r="AP744">
        <v>2016</v>
      </c>
      <c r="AQ744">
        <v>0.63</v>
      </c>
      <c r="AS744" t="s">
        <v>10398</v>
      </c>
      <c r="AT744" t="s">
        <v>3747</v>
      </c>
      <c r="AU744" t="s">
        <v>177</v>
      </c>
      <c r="AV744" t="s">
        <v>1030</v>
      </c>
      <c r="AW744" t="s">
        <v>202</v>
      </c>
      <c r="AX744">
        <v>2</v>
      </c>
      <c r="AY744" t="s">
        <v>188</v>
      </c>
      <c r="AZ744" t="s">
        <v>189</v>
      </c>
      <c r="BA744" t="s">
        <v>190</v>
      </c>
      <c r="BB744" t="s">
        <v>191</v>
      </c>
      <c r="BC744" t="s">
        <v>182</v>
      </c>
      <c r="BD744" t="s">
        <v>182</v>
      </c>
      <c r="BE744" t="s">
        <v>1869</v>
      </c>
      <c r="BF744">
        <v>1</v>
      </c>
      <c r="BG744">
        <v>1</v>
      </c>
      <c r="BH744">
        <v>1989</v>
      </c>
      <c r="BI744" t="s">
        <v>705</v>
      </c>
      <c r="BJ744" t="s">
        <v>194</v>
      </c>
      <c r="BK744" t="s">
        <v>195</v>
      </c>
      <c r="BL744" t="s">
        <v>199</v>
      </c>
      <c r="BM744" t="s">
        <v>1779</v>
      </c>
      <c r="BN744" t="s">
        <v>182</v>
      </c>
      <c r="BO744" t="s">
        <v>10399</v>
      </c>
      <c r="BP744" t="s">
        <v>10400</v>
      </c>
      <c r="BS744" t="s">
        <v>10401</v>
      </c>
      <c r="BT744" t="s">
        <v>198</v>
      </c>
      <c r="BU744" t="s">
        <v>182</v>
      </c>
      <c r="BV744" t="s">
        <v>198</v>
      </c>
      <c r="BW744" t="s">
        <v>198</v>
      </c>
      <c r="BX744" t="s">
        <v>199</v>
      </c>
      <c r="BY744" t="s">
        <v>198</v>
      </c>
      <c r="BZ744" t="s">
        <v>199</v>
      </c>
      <c r="CA744" t="s">
        <v>199</v>
      </c>
      <c r="CB744" t="s">
        <v>10402</v>
      </c>
      <c r="CC744" t="s">
        <v>201</v>
      </c>
      <c r="CD744" t="s">
        <v>182</v>
      </c>
      <c r="CE744" t="s">
        <v>10403</v>
      </c>
      <c r="CF744" t="s">
        <v>1029</v>
      </c>
      <c r="CG744" t="s">
        <v>177</v>
      </c>
      <c r="CH744" t="s">
        <v>1030</v>
      </c>
      <c r="CI744" t="s">
        <v>10404</v>
      </c>
      <c r="CJ744" t="s">
        <v>237</v>
      </c>
      <c r="CK744" t="s">
        <v>232</v>
      </c>
      <c r="CL744" t="s">
        <v>233</v>
      </c>
      <c r="CM744" t="s">
        <v>10405</v>
      </c>
      <c r="CN744" t="s">
        <v>235</v>
      </c>
      <c r="CO744" t="s">
        <v>183</v>
      </c>
      <c r="CP744" t="s">
        <v>211</v>
      </c>
      <c r="CQ744" t="s">
        <v>206</v>
      </c>
      <c r="CS744" t="s">
        <v>10406</v>
      </c>
      <c r="CT744" t="s">
        <v>10193</v>
      </c>
      <c r="CU744" t="s">
        <v>292</v>
      </c>
      <c r="CV744" t="s">
        <v>293</v>
      </c>
      <c r="CW744" t="s">
        <v>10407</v>
      </c>
      <c r="CX744" t="s">
        <v>235</v>
      </c>
      <c r="CY744" t="s">
        <v>183</v>
      </c>
      <c r="CZ744" t="s">
        <v>211</v>
      </c>
      <c r="DA744" t="s">
        <v>189</v>
      </c>
      <c r="DC744" t="s">
        <v>10408</v>
      </c>
      <c r="DD744" t="s">
        <v>7211</v>
      </c>
      <c r="DE744" t="s">
        <v>267</v>
      </c>
      <c r="DF744" t="s">
        <v>268</v>
      </c>
      <c r="DG744" t="s">
        <v>10409</v>
      </c>
      <c r="DH744" t="s">
        <v>235</v>
      </c>
      <c r="DI744" t="s">
        <v>183</v>
      </c>
      <c r="DJ744" t="s">
        <v>211</v>
      </c>
      <c r="DK744" t="s">
        <v>206</v>
      </c>
      <c r="DM744" t="s">
        <v>10410</v>
      </c>
      <c r="DN744" t="s">
        <v>10411</v>
      </c>
      <c r="DO744" t="s">
        <v>273</v>
      </c>
      <c r="DP744" t="s">
        <v>274</v>
      </c>
      <c r="DQ744" t="s">
        <v>10412</v>
      </c>
      <c r="DR744" t="s">
        <v>235</v>
      </c>
      <c r="DS744" t="s">
        <v>183</v>
      </c>
      <c r="DT744" t="s">
        <v>211</v>
      </c>
      <c r="DU744" t="s">
        <v>199</v>
      </c>
      <c r="DW744" t="s">
        <v>9175</v>
      </c>
      <c r="DX744" t="s">
        <v>10413</v>
      </c>
      <c r="DY744" t="s">
        <v>238</v>
      </c>
      <c r="DZ744" t="s">
        <v>239</v>
      </c>
      <c r="EA744" t="s">
        <v>4582</v>
      </c>
      <c r="EB744" t="s">
        <v>278</v>
      </c>
      <c r="EC744" t="s">
        <v>183</v>
      </c>
      <c r="ED744" t="s">
        <v>211</v>
      </c>
      <c r="EE744" t="s">
        <v>199</v>
      </c>
      <c r="EG744" t="s">
        <v>7383</v>
      </c>
      <c r="EH744" t="s">
        <v>10170</v>
      </c>
      <c r="EI744" t="s">
        <v>207</v>
      </c>
      <c r="EJ744" t="s">
        <v>208</v>
      </c>
      <c r="EK744" t="s">
        <v>10414</v>
      </c>
      <c r="EL744" t="s">
        <v>576</v>
      </c>
      <c r="EM744" t="s">
        <v>183</v>
      </c>
      <c r="EN744" t="s">
        <v>211</v>
      </c>
      <c r="EO744" t="s">
        <v>199</v>
      </c>
      <c r="EQ744" t="s">
        <v>5223</v>
      </c>
      <c r="FA744" t="s">
        <v>198</v>
      </c>
      <c r="FK744" t="s">
        <v>198</v>
      </c>
      <c r="FU744" t="s">
        <v>198</v>
      </c>
    </row>
    <row r="745" spans="1:177">
      <c r="A745" s="1" t="str">
        <f>HYPERLINK("http://digipan.lumentumllc.com/apps/getLink/index.php?t=PropLink&amp;p=5247439","PL")</f>
        <v>PL</v>
      </c>
      <c r="B745" s="1" t="str">
        <f>HYPERLINK("http://digipan.lumentumllc.com/apps/getLink/index.php?t=TaxLink&amp;p=5247439","TL")</f>
        <v>TL</v>
      </c>
      <c r="C745" s="1" t="str">
        <f>HYPERLINK("http://digipan.lumentumllc.com/apps/getMap/index.php?p=5247439","Map")</f>
        <v>Map</v>
      </c>
      <c r="E745" t="s">
        <v>177</v>
      </c>
      <c r="F745" t="s">
        <v>178</v>
      </c>
      <c r="L745" t="s">
        <v>10415</v>
      </c>
      <c r="N745" t="s">
        <v>10415</v>
      </c>
      <c r="O745" t="s">
        <v>10415</v>
      </c>
      <c r="P745" t="s">
        <v>10416</v>
      </c>
      <c r="Q745" t="s">
        <v>10415</v>
      </c>
      <c r="V745">
        <v>865</v>
      </c>
      <c r="W745">
        <v>3</v>
      </c>
      <c r="X745">
        <v>2017</v>
      </c>
      <c r="Y745">
        <v>2018</v>
      </c>
      <c r="Z745">
        <v>451.71</v>
      </c>
      <c r="AB745" t="s">
        <v>181</v>
      </c>
      <c r="AC745" t="s">
        <v>182</v>
      </c>
      <c r="AD745" t="s">
        <v>183</v>
      </c>
      <c r="AE745">
        <v>1</v>
      </c>
      <c r="AF745">
        <v>7</v>
      </c>
      <c r="AG745" t="s">
        <v>418</v>
      </c>
      <c r="AH745">
        <v>86</v>
      </c>
      <c r="AI745">
        <v>444.96</v>
      </c>
      <c r="AJ745">
        <v>22.25</v>
      </c>
      <c r="AK745">
        <v>467.21</v>
      </c>
      <c r="AL745">
        <v>61841</v>
      </c>
      <c r="AM745">
        <v>20000</v>
      </c>
      <c r="AN745">
        <v>41841</v>
      </c>
      <c r="AO745">
        <v>386</v>
      </c>
      <c r="AP745">
        <v>2016</v>
      </c>
      <c r="AQ745">
        <v>0.73</v>
      </c>
      <c r="AR745">
        <v>0.76</v>
      </c>
      <c r="AS745" t="s">
        <v>10417</v>
      </c>
      <c r="AT745" t="s">
        <v>3747</v>
      </c>
      <c r="AU745" t="s">
        <v>177</v>
      </c>
      <c r="AV745" t="s">
        <v>1030</v>
      </c>
      <c r="AW745" t="s">
        <v>202</v>
      </c>
      <c r="AX745">
        <v>2</v>
      </c>
      <c r="AY745" t="s">
        <v>188</v>
      </c>
      <c r="AZ745" t="s">
        <v>189</v>
      </c>
      <c r="BA745" t="s">
        <v>190</v>
      </c>
      <c r="BB745" t="s">
        <v>191</v>
      </c>
      <c r="BC745" t="s">
        <v>182</v>
      </c>
      <c r="BD745" t="s">
        <v>182</v>
      </c>
      <c r="BE745" t="s">
        <v>383</v>
      </c>
      <c r="BF745">
        <v>1</v>
      </c>
      <c r="BG745">
        <v>1</v>
      </c>
      <c r="BH745">
        <v>1996</v>
      </c>
      <c r="BI745" t="s">
        <v>10418</v>
      </c>
      <c r="BJ745" t="s">
        <v>194</v>
      </c>
      <c r="BK745" t="s">
        <v>195</v>
      </c>
      <c r="BL745" t="s">
        <v>10419</v>
      </c>
      <c r="BM745" t="s">
        <v>1825</v>
      </c>
      <c r="BN745" t="s">
        <v>182</v>
      </c>
      <c r="BO745" t="s">
        <v>198</v>
      </c>
      <c r="BP745" t="s">
        <v>198</v>
      </c>
      <c r="BQ745" t="s">
        <v>198</v>
      </c>
      <c r="BR745" t="s">
        <v>198</v>
      </c>
      <c r="BS745" t="s">
        <v>198</v>
      </c>
      <c r="BT745" t="s">
        <v>198</v>
      </c>
      <c r="BU745" t="s">
        <v>182</v>
      </c>
      <c r="BV745" t="s">
        <v>198</v>
      </c>
      <c r="BW745" t="s">
        <v>198</v>
      </c>
      <c r="BX745" t="s">
        <v>199</v>
      </c>
      <c r="BY745" t="s">
        <v>198</v>
      </c>
      <c r="BZ745" t="s">
        <v>199</v>
      </c>
      <c r="CA745" t="s">
        <v>199</v>
      </c>
      <c r="CB745" t="s">
        <v>10420</v>
      </c>
      <c r="CC745" t="s">
        <v>201</v>
      </c>
      <c r="CD745" t="s">
        <v>182</v>
      </c>
      <c r="CE745" t="s">
        <v>10421</v>
      </c>
      <c r="CF745" t="s">
        <v>1029</v>
      </c>
      <c r="CG745" t="s">
        <v>177</v>
      </c>
      <c r="CH745" t="s">
        <v>1030</v>
      </c>
      <c r="CI745" t="s">
        <v>10422</v>
      </c>
      <c r="CJ745" t="s">
        <v>307</v>
      </c>
      <c r="CK745" t="s">
        <v>232</v>
      </c>
      <c r="CL745" t="s">
        <v>233</v>
      </c>
      <c r="CM745" t="s">
        <v>10423</v>
      </c>
      <c r="CN745" t="s">
        <v>235</v>
      </c>
      <c r="CO745" t="s">
        <v>183</v>
      </c>
      <c r="CP745" t="s">
        <v>266</v>
      </c>
      <c r="CS745" t="s">
        <v>198</v>
      </c>
      <c r="CT745" t="s">
        <v>5581</v>
      </c>
      <c r="CU745" t="s">
        <v>292</v>
      </c>
      <c r="CV745" t="s">
        <v>293</v>
      </c>
      <c r="CW745" t="s">
        <v>10424</v>
      </c>
      <c r="CX745" t="s">
        <v>235</v>
      </c>
      <c r="CY745" t="s">
        <v>183</v>
      </c>
      <c r="CZ745" t="s">
        <v>211</v>
      </c>
      <c r="DA745" t="s">
        <v>298</v>
      </c>
      <c r="DC745" t="s">
        <v>1641</v>
      </c>
      <c r="DD745" t="s">
        <v>10425</v>
      </c>
      <c r="DE745" t="s">
        <v>267</v>
      </c>
      <c r="DF745" t="s">
        <v>268</v>
      </c>
      <c r="DG745" t="s">
        <v>10426</v>
      </c>
      <c r="DH745" t="s">
        <v>235</v>
      </c>
      <c r="DI745" t="s">
        <v>183</v>
      </c>
      <c r="DJ745" t="s">
        <v>211</v>
      </c>
      <c r="DK745" t="s">
        <v>298</v>
      </c>
      <c r="DM745" t="s">
        <v>459</v>
      </c>
      <c r="DN745" t="s">
        <v>7182</v>
      </c>
      <c r="DO745" t="s">
        <v>273</v>
      </c>
      <c r="DP745" t="s">
        <v>274</v>
      </c>
      <c r="DQ745" t="s">
        <v>10427</v>
      </c>
      <c r="DR745" t="s">
        <v>235</v>
      </c>
      <c r="DS745" t="s">
        <v>183</v>
      </c>
      <c r="DT745" t="s">
        <v>211</v>
      </c>
      <c r="DU745" t="s">
        <v>298</v>
      </c>
      <c r="DW745" t="s">
        <v>1069</v>
      </c>
      <c r="DX745" t="s">
        <v>8013</v>
      </c>
      <c r="DY745" t="s">
        <v>302</v>
      </c>
      <c r="DZ745" t="s">
        <v>303</v>
      </c>
      <c r="EA745" t="s">
        <v>10428</v>
      </c>
      <c r="EB745" t="s">
        <v>3342</v>
      </c>
      <c r="EC745" t="s">
        <v>183</v>
      </c>
      <c r="ED745" t="s">
        <v>211</v>
      </c>
      <c r="EE745" t="s">
        <v>298</v>
      </c>
      <c r="EG745" t="s">
        <v>2359</v>
      </c>
      <c r="EH745" t="s">
        <v>10429</v>
      </c>
      <c r="EI745" t="s">
        <v>238</v>
      </c>
      <c r="EJ745" t="s">
        <v>239</v>
      </c>
      <c r="EK745" t="s">
        <v>10430</v>
      </c>
      <c r="EL745" t="s">
        <v>278</v>
      </c>
      <c r="EM745" t="s">
        <v>183</v>
      </c>
      <c r="EN745" t="s">
        <v>211</v>
      </c>
      <c r="EO745" t="s">
        <v>298</v>
      </c>
      <c r="EQ745" t="s">
        <v>467</v>
      </c>
      <c r="ER745" t="s">
        <v>10431</v>
      </c>
      <c r="ES745" t="s">
        <v>346</v>
      </c>
      <c r="ET745" t="s">
        <v>347</v>
      </c>
      <c r="EU745" t="s">
        <v>10432</v>
      </c>
      <c r="EV745" t="s">
        <v>1551</v>
      </c>
      <c r="EW745" t="s">
        <v>183</v>
      </c>
      <c r="EX745" t="s">
        <v>211</v>
      </c>
      <c r="EY745" t="s">
        <v>298</v>
      </c>
      <c r="FA745" t="s">
        <v>878</v>
      </c>
      <c r="FB745" t="s">
        <v>7823</v>
      </c>
      <c r="FC745" t="s">
        <v>207</v>
      </c>
      <c r="FD745" t="s">
        <v>208</v>
      </c>
      <c r="FE745" t="s">
        <v>10433</v>
      </c>
      <c r="FF745" t="s">
        <v>341</v>
      </c>
      <c r="FG745" t="s">
        <v>183</v>
      </c>
      <c r="FH745" t="s">
        <v>211</v>
      </c>
      <c r="FI745" t="s">
        <v>298</v>
      </c>
      <c r="FK745" t="s">
        <v>1167</v>
      </c>
      <c r="FU745" t="s">
        <v>198</v>
      </c>
    </row>
    <row r="746" spans="1:177">
      <c r="A746" s="1" t="str">
        <f>HYPERLINK("http://digipan.lumentumllc.com/apps/getLink/index.php?t=PropLink&amp;p=4638266","PL")</f>
        <v>PL</v>
      </c>
      <c r="B746" s="1" t="str">
        <f>HYPERLINK("http://digipan.lumentumllc.com/apps/getLink/index.php?t=TaxLink&amp;p=4638266","TL")</f>
        <v>TL</v>
      </c>
      <c r="C746" s="1" t="str">
        <f>HYPERLINK("http://digipan.lumentumllc.com/apps/getMap/index.php?p=4638266","Map")</f>
        <v>Map</v>
      </c>
      <c r="E746" t="s">
        <v>177</v>
      </c>
      <c r="F746" t="s">
        <v>178</v>
      </c>
      <c r="L746" t="s">
        <v>10434</v>
      </c>
      <c r="N746" t="s">
        <v>10434</v>
      </c>
      <c r="O746" t="s">
        <v>10434</v>
      </c>
      <c r="P746" t="s">
        <v>10435</v>
      </c>
      <c r="Q746" t="s">
        <v>10434</v>
      </c>
      <c r="V746">
        <v>866</v>
      </c>
      <c r="W746">
        <v>3</v>
      </c>
      <c r="X746">
        <v>2017</v>
      </c>
      <c r="Y746">
        <v>2018</v>
      </c>
      <c r="Z746">
        <v>614.34</v>
      </c>
      <c r="AB746" t="s">
        <v>181</v>
      </c>
      <c r="AC746" t="s">
        <v>182</v>
      </c>
      <c r="AD746" t="s">
        <v>183</v>
      </c>
      <c r="AE746">
        <v>0</v>
      </c>
      <c r="AF746">
        <v>3</v>
      </c>
      <c r="AG746" t="s">
        <v>216</v>
      </c>
      <c r="AH746">
        <v>100</v>
      </c>
      <c r="AK746">
        <v>0</v>
      </c>
      <c r="AL746">
        <v>90583</v>
      </c>
      <c r="AM746">
        <v>20000</v>
      </c>
      <c r="AN746">
        <v>70583</v>
      </c>
      <c r="AO746">
        <v>538</v>
      </c>
      <c r="AP746">
        <v>2016</v>
      </c>
      <c r="AQ746">
        <v>0.68</v>
      </c>
      <c r="AS746" t="s">
        <v>10436</v>
      </c>
      <c r="AT746" t="s">
        <v>3747</v>
      </c>
      <c r="AU746" t="s">
        <v>177</v>
      </c>
      <c r="AV746" t="s">
        <v>1030</v>
      </c>
      <c r="AW746" t="s">
        <v>202</v>
      </c>
      <c r="AX746">
        <v>1</v>
      </c>
      <c r="AY746" t="s">
        <v>188</v>
      </c>
      <c r="AZ746" t="s">
        <v>206</v>
      </c>
      <c r="BA746" t="s">
        <v>355</v>
      </c>
      <c r="BB746" t="s">
        <v>191</v>
      </c>
      <c r="BC746" t="s">
        <v>182</v>
      </c>
      <c r="BD746" t="s">
        <v>182</v>
      </c>
      <c r="BE746" t="s">
        <v>7258</v>
      </c>
      <c r="BF746">
        <v>1</v>
      </c>
      <c r="BG746">
        <v>1</v>
      </c>
      <c r="BH746">
        <v>1984</v>
      </c>
      <c r="BI746" t="s">
        <v>10437</v>
      </c>
      <c r="BJ746" t="s">
        <v>285</v>
      </c>
      <c r="BK746" t="s">
        <v>195</v>
      </c>
      <c r="BL746" t="s">
        <v>2281</v>
      </c>
      <c r="BM746" t="s">
        <v>238</v>
      </c>
      <c r="BN746" t="s">
        <v>182</v>
      </c>
      <c r="BO746" t="s">
        <v>10438</v>
      </c>
      <c r="BP746" t="s">
        <v>10439</v>
      </c>
      <c r="BQ746" t="s">
        <v>1520</v>
      </c>
      <c r="BR746" t="s">
        <v>2318</v>
      </c>
      <c r="BS746" t="s">
        <v>198</v>
      </c>
      <c r="BT746" t="s">
        <v>10440</v>
      </c>
      <c r="BU746" t="s">
        <v>182</v>
      </c>
      <c r="BV746" t="s">
        <v>198</v>
      </c>
      <c r="BW746" t="s">
        <v>198</v>
      </c>
      <c r="BX746" t="s">
        <v>199</v>
      </c>
      <c r="BY746" t="s">
        <v>198</v>
      </c>
      <c r="BZ746" t="s">
        <v>199</v>
      </c>
      <c r="CA746" t="s">
        <v>199</v>
      </c>
      <c r="CB746" t="s">
        <v>10441</v>
      </c>
      <c r="CC746" t="s">
        <v>201</v>
      </c>
      <c r="CD746" t="s">
        <v>202</v>
      </c>
      <c r="CE746" t="s">
        <v>10442</v>
      </c>
      <c r="CF746" t="s">
        <v>1029</v>
      </c>
      <c r="CG746" t="s">
        <v>177</v>
      </c>
      <c r="CH746" t="s">
        <v>1030</v>
      </c>
      <c r="CI746" t="s">
        <v>10443</v>
      </c>
      <c r="CJ746" t="s">
        <v>6949</v>
      </c>
      <c r="CK746" t="s">
        <v>292</v>
      </c>
      <c r="CL746" t="s">
        <v>293</v>
      </c>
      <c r="CM746" t="s">
        <v>10444</v>
      </c>
      <c r="CN746" t="s">
        <v>235</v>
      </c>
      <c r="CO746" t="s">
        <v>183</v>
      </c>
      <c r="CP746" t="s">
        <v>211</v>
      </c>
      <c r="CQ746" t="s">
        <v>212</v>
      </c>
      <c r="CS746" t="s">
        <v>10445</v>
      </c>
      <c r="CT746" t="s">
        <v>7762</v>
      </c>
      <c r="CU746" t="s">
        <v>302</v>
      </c>
      <c r="CV746" t="s">
        <v>303</v>
      </c>
      <c r="CW746" t="s">
        <v>10446</v>
      </c>
      <c r="CX746" t="s">
        <v>235</v>
      </c>
      <c r="CY746" t="s">
        <v>183</v>
      </c>
      <c r="CZ746" t="s">
        <v>211</v>
      </c>
      <c r="DA746" t="s">
        <v>296</v>
      </c>
      <c r="DC746" t="s">
        <v>10447</v>
      </c>
      <c r="DD746" t="s">
        <v>10231</v>
      </c>
      <c r="DE746" t="s">
        <v>207</v>
      </c>
      <c r="DF746" t="s">
        <v>208</v>
      </c>
      <c r="DG746" t="s">
        <v>10448</v>
      </c>
      <c r="DH746" t="s">
        <v>235</v>
      </c>
      <c r="DI746" t="s">
        <v>183</v>
      </c>
      <c r="DJ746" t="s">
        <v>211</v>
      </c>
      <c r="DK746" t="s">
        <v>206</v>
      </c>
      <c r="DM746" t="s">
        <v>10116</v>
      </c>
      <c r="DW746" t="s">
        <v>198</v>
      </c>
      <c r="EG746" t="s">
        <v>198</v>
      </c>
      <c r="EQ746" t="s">
        <v>198</v>
      </c>
      <c r="FA746" t="s">
        <v>198</v>
      </c>
      <c r="FK746" t="s">
        <v>198</v>
      </c>
      <c r="FU746" t="s">
        <v>198</v>
      </c>
    </row>
    <row r="747" spans="1:177">
      <c r="A747" s="1" t="str">
        <f>HYPERLINK("http://digipan.lumentumllc.com/apps/getLink/index.php?t=PropLink&amp;p=6129287","PL")</f>
        <v>PL</v>
      </c>
      <c r="B747" s="1" t="str">
        <f>HYPERLINK("http://digipan.lumentumllc.com/apps/getLink/index.php?t=TaxLink&amp;p=6129287","TL")</f>
        <v>TL</v>
      </c>
      <c r="C747" s="1" t="str">
        <f>HYPERLINK("http://digipan.lumentumllc.com/apps/getMap/index.php?p=6129287","Map")</f>
        <v>Map</v>
      </c>
      <c r="E747" t="s">
        <v>177</v>
      </c>
      <c r="F747" t="s">
        <v>178</v>
      </c>
      <c r="L747" t="s">
        <v>10449</v>
      </c>
      <c r="N747" t="s">
        <v>10449</v>
      </c>
      <c r="O747" t="s">
        <v>10449</v>
      </c>
      <c r="P747" t="s">
        <v>10450</v>
      </c>
      <c r="Q747" t="s">
        <v>10449</v>
      </c>
      <c r="V747">
        <v>869</v>
      </c>
      <c r="W747">
        <v>3</v>
      </c>
      <c r="X747">
        <v>2017</v>
      </c>
      <c r="Y747">
        <v>2018</v>
      </c>
      <c r="Z747">
        <v>749.99</v>
      </c>
      <c r="AB747" t="s">
        <v>181</v>
      </c>
      <c r="AC747" t="s">
        <v>182</v>
      </c>
      <c r="AD747" t="s">
        <v>183</v>
      </c>
      <c r="AE747">
        <v>1</v>
      </c>
      <c r="AF747">
        <v>0</v>
      </c>
      <c r="AG747" t="s">
        <v>1200</v>
      </c>
      <c r="AH747">
        <v>0</v>
      </c>
      <c r="AI747">
        <v>787.64</v>
      </c>
      <c r="AJ747">
        <v>39.380000000000003</v>
      </c>
      <c r="AK747">
        <v>827.02</v>
      </c>
      <c r="AL747">
        <v>43853</v>
      </c>
      <c r="AM747">
        <v>20000</v>
      </c>
      <c r="AN747">
        <v>23853</v>
      </c>
      <c r="AO747">
        <v>703</v>
      </c>
      <c r="AP747">
        <v>2016</v>
      </c>
      <c r="AQ747">
        <v>1.71</v>
      </c>
      <c r="AR747">
        <v>1.89</v>
      </c>
      <c r="AS747" t="s">
        <v>10451</v>
      </c>
      <c r="AT747" t="s">
        <v>3747</v>
      </c>
      <c r="AU747" t="s">
        <v>177</v>
      </c>
      <c r="AV747" t="s">
        <v>1030</v>
      </c>
      <c r="AW747" t="s">
        <v>182</v>
      </c>
      <c r="AX747">
        <v>2</v>
      </c>
      <c r="AY747" t="s">
        <v>188</v>
      </c>
      <c r="AZ747" t="s">
        <v>189</v>
      </c>
      <c r="BA747" t="s">
        <v>190</v>
      </c>
      <c r="BB747" t="s">
        <v>191</v>
      </c>
      <c r="BC747" t="s">
        <v>182</v>
      </c>
      <c r="BD747" t="s">
        <v>182</v>
      </c>
      <c r="BE747" t="s">
        <v>899</v>
      </c>
      <c r="BF747">
        <v>1</v>
      </c>
      <c r="BG747">
        <v>1</v>
      </c>
      <c r="BH747">
        <v>1985</v>
      </c>
      <c r="BI747" t="s">
        <v>10452</v>
      </c>
      <c r="BJ747" t="s">
        <v>194</v>
      </c>
      <c r="BK747" t="s">
        <v>195</v>
      </c>
      <c r="BL747" t="s">
        <v>199</v>
      </c>
      <c r="BM747" t="s">
        <v>559</v>
      </c>
      <c r="BN747" t="s">
        <v>182</v>
      </c>
      <c r="BO747" t="s">
        <v>198</v>
      </c>
      <c r="BP747" t="s">
        <v>198</v>
      </c>
      <c r="BQ747" t="s">
        <v>198</v>
      </c>
      <c r="BR747" t="s">
        <v>198</v>
      </c>
      <c r="BS747" t="s">
        <v>198</v>
      </c>
      <c r="BT747" t="s">
        <v>198</v>
      </c>
      <c r="BU747" t="s">
        <v>182</v>
      </c>
      <c r="BV747" t="s">
        <v>198</v>
      </c>
      <c r="BW747" t="s">
        <v>198</v>
      </c>
      <c r="BX747" t="s">
        <v>199</v>
      </c>
      <c r="BY747" t="s">
        <v>198</v>
      </c>
      <c r="BZ747" t="s">
        <v>199</v>
      </c>
      <c r="CA747" t="s">
        <v>199</v>
      </c>
      <c r="CB747" t="s">
        <v>10453</v>
      </c>
      <c r="CC747" t="s">
        <v>201</v>
      </c>
      <c r="CD747" t="s">
        <v>182</v>
      </c>
      <c r="CE747" t="s">
        <v>10454</v>
      </c>
      <c r="CF747" t="s">
        <v>10455</v>
      </c>
      <c r="CG747" t="s">
        <v>5450</v>
      </c>
      <c r="CH747" t="s">
        <v>10456</v>
      </c>
      <c r="CI747" t="s">
        <v>10457</v>
      </c>
      <c r="CJ747" t="s">
        <v>10213</v>
      </c>
      <c r="CK747" t="s">
        <v>232</v>
      </c>
      <c r="CL747" t="s">
        <v>233</v>
      </c>
      <c r="CM747" t="s">
        <v>10458</v>
      </c>
      <c r="CN747" t="s">
        <v>235</v>
      </c>
      <c r="CO747" t="s">
        <v>183</v>
      </c>
      <c r="CP747" t="s">
        <v>266</v>
      </c>
      <c r="CS747" t="s">
        <v>198</v>
      </c>
      <c r="DC747" t="s">
        <v>198</v>
      </c>
      <c r="DM747" t="s">
        <v>198</v>
      </c>
      <c r="DW747" t="s">
        <v>198</v>
      </c>
      <c r="EG747" t="s">
        <v>198</v>
      </c>
      <c r="EQ747" t="s">
        <v>198</v>
      </c>
      <c r="FA747" t="s">
        <v>198</v>
      </c>
      <c r="FK747" t="s">
        <v>198</v>
      </c>
      <c r="FU747" t="s">
        <v>198</v>
      </c>
    </row>
    <row r="748" spans="1:177">
      <c r="A748" s="1" t="str">
        <f>HYPERLINK("http://digipan.lumentumllc.com/apps/getLink/index.php?t=PropLink&amp;p=5247446","PL")</f>
        <v>PL</v>
      </c>
      <c r="B748" s="1" t="str">
        <f>HYPERLINK("http://digipan.lumentumllc.com/apps/getLink/index.php?t=TaxLink&amp;p=5247446","TL")</f>
        <v>TL</v>
      </c>
      <c r="C748" s="1" t="str">
        <f>HYPERLINK("http://digipan.lumentumllc.com/apps/getMap/index.php?p=5247446","Map")</f>
        <v>Map</v>
      </c>
      <c r="E748" t="s">
        <v>177</v>
      </c>
      <c r="F748" t="s">
        <v>178</v>
      </c>
      <c r="L748" t="s">
        <v>10459</v>
      </c>
      <c r="N748" t="s">
        <v>10459</v>
      </c>
      <c r="O748" t="s">
        <v>10459</v>
      </c>
      <c r="P748" t="s">
        <v>10460</v>
      </c>
      <c r="Q748" t="s">
        <v>10459</v>
      </c>
      <c r="V748">
        <v>870</v>
      </c>
      <c r="W748">
        <v>3</v>
      </c>
      <c r="X748">
        <v>2017</v>
      </c>
      <c r="Y748">
        <v>2018</v>
      </c>
      <c r="Z748">
        <v>1071.33</v>
      </c>
      <c r="AB748" t="s">
        <v>181</v>
      </c>
      <c r="AC748" t="s">
        <v>182</v>
      </c>
      <c r="AD748" t="s">
        <v>183</v>
      </c>
      <c r="AE748">
        <v>0</v>
      </c>
      <c r="AF748">
        <v>5</v>
      </c>
      <c r="AG748" t="s">
        <v>744</v>
      </c>
      <c r="AH748">
        <v>100</v>
      </c>
      <c r="AK748">
        <v>0</v>
      </c>
      <c r="AL748">
        <v>66333</v>
      </c>
      <c r="AM748">
        <v>20000</v>
      </c>
      <c r="AN748">
        <v>46333</v>
      </c>
      <c r="AO748">
        <v>855</v>
      </c>
      <c r="AP748">
        <v>2016</v>
      </c>
      <c r="AQ748">
        <v>1.62</v>
      </c>
      <c r="AS748" t="s">
        <v>10461</v>
      </c>
      <c r="AT748" t="s">
        <v>3747</v>
      </c>
      <c r="AU748" t="s">
        <v>177</v>
      </c>
      <c r="AV748" t="s">
        <v>1030</v>
      </c>
      <c r="AW748" t="s">
        <v>182</v>
      </c>
      <c r="AX748">
        <v>2</v>
      </c>
      <c r="AY748" t="s">
        <v>188</v>
      </c>
      <c r="AZ748" t="s">
        <v>189</v>
      </c>
      <c r="BA748" t="s">
        <v>190</v>
      </c>
      <c r="BB748" t="s">
        <v>191</v>
      </c>
      <c r="BC748" t="s">
        <v>182</v>
      </c>
      <c r="BD748" t="s">
        <v>182</v>
      </c>
      <c r="BE748" t="s">
        <v>899</v>
      </c>
      <c r="BF748">
        <v>1</v>
      </c>
      <c r="BG748">
        <v>1</v>
      </c>
      <c r="BH748">
        <v>1997</v>
      </c>
      <c r="BI748" t="s">
        <v>10462</v>
      </c>
      <c r="BJ748" t="s">
        <v>194</v>
      </c>
      <c r="BK748" t="s">
        <v>195</v>
      </c>
      <c r="BL748" t="s">
        <v>9225</v>
      </c>
      <c r="BM748" t="s">
        <v>4973</v>
      </c>
      <c r="BN748" t="s">
        <v>182</v>
      </c>
      <c r="BO748" t="s">
        <v>198</v>
      </c>
      <c r="BP748" t="s">
        <v>198</v>
      </c>
      <c r="BQ748" t="s">
        <v>198</v>
      </c>
      <c r="BR748" t="s">
        <v>198</v>
      </c>
      <c r="BS748" t="s">
        <v>198</v>
      </c>
      <c r="BT748" t="s">
        <v>198</v>
      </c>
      <c r="BU748" t="s">
        <v>182</v>
      </c>
      <c r="BV748" t="s">
        <v>198</v>
      </c>
      <c r="BW748" t="s">
        <v>198</v>
      </c>
      <c r="BX748" t="s">
        <v>199</v>
      </c>
      <c r="BY748" t="s">
        <v>198</v>
      </c>
      <c r="BZ748" t="s">
        <v>199</v>
      </c>
      <c r="CA748" t="s">
        <v>199</v>
      </c>
      <c r="CB748" t="s">
        <v>10463</v>
      </c>
      <c r="CC748" t="s">
        <v>201</v>
      </c>
      <c r="CD748" t="s">
        <v>202</v>
      </c>
      <c r="CE748" t="s">
        <v>10464</v>
      </c>
      <c r="CF748" t="s">
        <v>1029</v>
      </c>
      <c r="CG748" t="s">
        <v>177</v>
      </c>
      <c r="CH748" t="s">
        <v>1030</v>
      </c>
      <c r="CI748" t="s">
        <v>10465</v>
      </c>
      <c r="CJ748" t="s">
        <v>6258</v>
      </c>
      <c r="CK748" t="s">
        <v>267</v>
      </c>
      <c r="CL748" t="s">
        <v>268</v>
      </c>
      <c r="CM748" t="s">
        <v>10466</v>
      </c>
      <c r="CN748" t="s">
        <v>235</v>
      </c>
      <c r="CO748" t="s">
        <v>183</v>
      </c>
      <c r="CP748" t="s">
        <v>211</v>
      </c>
      <c r="CQ748" t="s">
        <v>199</v>
      </c>
      <c r="CS748" t="s">
        <v>2404</v>
      </c>
      <c r="CT748" t="s">
        <v>9892</v>
      </c>
      <c r="CU748" t="s">
        <v>273</v>
      </c>
      <c r="CV748" t="s">
        <v>274</v>
      </c>
      <c r="CW748" t="s">
        <v>10467</v>
      </c>
      <c r="CX748" t="s">
        <v>235</v>
      </c>
      <c r="CY748" t="s">
        <v>183</v>
      </c>
      <c r="CZ748" t="s">
        <v>211</v>
      </c>
      <c r="DA748" t="s">
        <v>427</v>
      </c>
      <c r="DC748" t="s">
        <v>268</v>
      </c>
      <c r="DD748" t="s">
        <v>10468</v>
      </c>
      <c r="DE748" t="s">
        <v>302</v>
      </c>
      <c r="DF748" t="s">
        <v>303</v>
      </c>
      <c r="DG748" t="s">
        <v>10469</v>
      </c>
      <c r="DH748" t="s">
        <v>235</v>
      </c>
      <c r="DI748" t="s">
        <v>183</v>
      </c>
      <c r="DJ748" t="s">
        <v>211</v>
      </c>
      <c r="DK748" t="s">
        <v>290</v>
      </c>
      <c r="DM748" t="s">
        <v>10470</v>
      </c>
      <c r="DN748" t="s">
        <v>10471</v>
      </c>
      <c r="DO748" t="s">
        <v>346</v>
      </c>
      <c r="DP748" t="s">
        <v>347</v>
      </c>
      <c r="DQ748" t="s">
        <v>10472</v>
      </c>
      <c r="DR748" t="s">
        <v>469</v>
      </c>
      <c r="DS748" t="s">
        <v>183</v>
      </c>
      <c r="DT748" t="s">
        <v>211</v>
      </c>
      <c r="DU748" t="s">
        <v>298</v>
      </c>
      <c r="DW748" t="s">
        <v>878</v>
      </c>
      <c r="DX748" t="s">
        <v>10276</v>
      </c>
      <c r="DY748" t="s">
        <v>207</v>
      </c>
      <c r="DZ748" t="s">
        <v>208</v>
      </c>
      <c r="EA748" t="s">
        <v>10473</v>
      </c>
      <c r="EB748" t="s">
        <v>576</v>
      </c>
      <c r="EC748" t="s">
        <v>183</v>
      </c>
      <c r="ED748" t="s">
        <v>211</v>
      </c>
      <c r="EE748" t="s">
        <v>337</v>
      </c>
      <c r="EG748" t="s">
        <v>10474</v>
      </c>
      <c r="EQ748" t="s">
        <v>198</v>
      </c>
      <c r="FA748" t="s">
        <v>198</v>
      </c>
      <c r="FK748" t="s">
        <v>198</v>
      </c>
      <c r="FU748" t="s">
        <v>198</v>
      </c>
    </row>
    <row r="749" spans="1:177">
      <c r="A749" s="1" t="str">
        <f>HYPERLINK("http://digipan.lumentumllc.com/apps/getLink/index.php?t=PropLink&amp;p=7112531","PL")</f>
        <v>PL</v>
      </c>
      <c r="B749" s="1" t="str">
        <f>HYPERLINK("http://digipan.lumentumllc.com/apps/getLink/index.php?t=TaxLink&amp;p=7112531","TL")</f>
        <v>TL</v>
      </c>
      <c r="C749" s="1" t="str">
        <f>HYPERLINK("http://digipan.lumentumllc.com/apps/getMap/index.php?p=7112531","Map")</f>
        <v>Map</v>
      </c>
      <c r="E749" t="s">
        <v>177</v>
      </c>
      <c r="F749" t="s">
        <v>178</v>
      </c>
      <c r="L749" t="s">
        <v>10475</v>
      </c>
      <c r="N749" t="s">
        <v>10475</v>
      </c>
      <c r="O749" t="s">
        <v>10475</v>
      </c>
      <c r="P749" t="s">
        <v>10476</v>
      </c>
      <c r="Q749" t="s">
        <v>10475</v>
      </c>
      <c r="V749">
        <v>871</v>
      </c>
      <c r="W749">
        <v>3</v>
      </c>
      <c r="X749">
        <v>2017</v>
      </c>
      <c r="Y749">
        <v>2018</v>
      </c>
      <c r="Z749">
        <v>469.16</v>
      </c>
      <c r="AG749" t="s">
        <v>184</v>
      </c>
      <c r="AH749">
        <v>0</v>
      </c>
      <c r="AK749">
        <v>0</v>
      </c>
      <c r="AL749">
        <v>66095</v>
      </c>
      <c r="AM749">
        <v>20000</v>
      </c>
      <c r="AN749">
        <v>46095</v>
      </c>
      <c r="AO749">
        <v>411</v>
      </c>
      <c r="AP749">
        <v>2016</v>
      </c>
      <c r="AQ749">
        <v>0.71</v>
      </c>
      <c r="AS749" t="s">
        <v>10477</v>
      </c>
      <c r="AT749" t="s">
        <v>3747</v>
      </c>
      <c r="AU749" t="s">
        <v>177</v>
      </c>
      <c r="AV749" t="s">
        <v>1030</v>
      </c>
      <c r="AW749" t="s">
        <v>202</v>
      </c>
      <c r="AX749">
        <v>2</v>
      </c>
      <c r="AY749" t="s">
        <v>188</v>
      </c>
      <c r="AZ749" t="s">
        <v>189</v>
      </c>
      <c r="BA749" t="s">
        <v>190</v>
      </c>
      <c r="BB749" t="s">
        <v>191</v>
      </c>
      <c r="BC749" t="s">
        <v>182</v>
      </c>
      <c r="BD749" t="s">
        <v>182</v>
      </c>
      <c r="BE749" t="s">
        <v>383</v>
      </c>
      <c r="BF749">
        <v>1</v>
      </c>
      <c r="BG749">
        <v>1</v>
      </c>
      <c r="BH749">
        <v>1996</v>
      </c>
      <c r="BI749" t="s">
        <v>8738</v>
      </c>
      <c r="BJ749" t="s">
        <v>194</v>
      </c>
      <c r="BK749" t="s">
        <v>195</v>
      </c>
      <c r="BL749" t="s">
        <v>10478</v>
      </c>
      <c r="BM749" t="s">
        <v>501</v>
      </c>
      <c r="BN749" t="s">
        <v>182</v>
      </c>
      <c r="BO749" t="s">
        <v>198</v>
      </c>
      <c r="BP749" t="s">
        <v>198</v>
      </c>
      <c r="BQ749" t="s">
        <v>198</v>
      </c>
      <c r="BR749" t="s">
        <v>198</v>
      </c>
      <c r="BS749" t="s">
        <v>198</v>
      </c>
      <c r="BT749" t="s">
        <v>198</v>
      </c>
      <c r="BU749" t="s">
        <v>182</v>
      </c>
      <c r="BV749" t="s">
        <v>198</v>
      </c>
      <c r="BW749" t="s">
        <v>198</v>
      </c>
      <c r="BX749" t="s">
        <v>199</v>
      </c>
      <c r="BY749" t="s">
        <v>198</v>
      </c>
      <c r="BZ749" t="s">
        <v>199</v>
      </c>
      <c r="CA749" t="s">
        <v>199</v>
      </c>
      <c r="CB749" t="s">
        <v>10479</v>
      </c>
      <c r="CC749" t="s">
        <v>201</v>
      </c>
      <c r="CD749" t="s">
        <v>182</v>
      </c>
      <c r="CE749" t="s">
        <v>10480</v>
      </c>
      <c r="CF749" t="s">
        <v>1029</v>
      </c>
      <c r="CG749" t="s">
        <v>177</v>
      </c>
      <c r="CH749" t="s">
        <v>1030</v>
      </c>
      <c r="CI749" t="s">
        <v>10481</v>
      </c>
      <c r="CS749" t="s">
        <v>198</v>
      </c>
      <c r="DC749" t="s">
        <v>198</v>
      </c>
      <c r="DM749" t="s">
        <v>198</v>
      </c>
      <c r="DW749" t="s">
        <v>198</v>
      </c>
      <c r="EG749" t="s">
        <v>198</v>
      </c>
      <c r="EQ749" t="s">
        <v>198</v>
      </c>
      <c r="FA749" t="s">
        <v>198</v>
      </c>
      <c r="FK749" t="s">
        <v>198</v>
      </c>
      <c r="FU749" t="s">
        <v>198</v>
      </c>
    </row>
    <row r="750" spans="1:177">
      <c r="A750" s="1" t="str">
        <f>HYPERLINK("http://digipan.lumentumllc.com/apps/getLink/index.php?t=PropLink&amp;p=5247453","PL")</f>
        <v>PL</v>
      </c>
      <c r="B750" s="1" t="str">
        <f>HYPERLINK("http://digipan.lumentumllc.com/apps/getLink/index.php?t=TaxLink&amp;p=5247453","TL")</f>
        <v>TL</v>
      </c>
      <c r="C750" s="1" t="str">
        <f>HYPERLINK("http://digipan.lumentumllc.com/apps/getMap/index.php?p=5247453","Map")</f>
        <v>Map</v>
      </c>
      <c r="E750" t="s">
        <v>177</v>
      </c>
      <c r="F750" t="s">
        <v>178</v>
      </c>
      <c r="L750" t="s">
        <v>10482</v>
      </c>
      <c r="N750" t="s">
        <v>10482</v>
      </c>
      <c r="O750" t="s">
        <v>10482</v>
      </c>
      <c r="P750" t="s">
        <v>10483</v>
      </c>
      <c r="Q750" t="s">
        <v>10482</v>
      </c>
      <c r="V750">
        <v>874</v>
      </c>
      <c r="W750">
        <v>3</v>
      </c>
      <c r="X750">
        <v>2017</v>
      </c>
      <c r="Y750">
        <v>2018</v>
      </c>
      <c r="Z750">
        <v>539.17999999999995</v>
      </c>
      <c r="AB750" t="s">
        <v>181</v>
      </c>
      <c r="AC750" t="s">
        <v>202</v>
      </c>
      <c r="AD750" t="s">
        <v>183</v>
      </c>
      <c r="AE750">
        <v>1</v>
      </c>
      <c r="AF750">
        <v>7</v>
      </c>
      <c r="AG750" t="s">
        <v>418</v>
      </c>
      <c r="AH750">
        <v>86</v>
      </c>
      <c r="AI750">
        <v>541.29</v>
      </c>
      <c r="AJ750">
        <v>27.06</v>
      </c>
      <c r="AK750">
        <v>568.35</v>
      </c>
      <c r="AL750">
        <v>30978</v>
      </c>
      <c r="AM750">
        <v>20000</v>
      </c>
      <c r="AN750">
        <v>10978</v>
      </c>
      <c r="AO750">
        <v>476</v>
      </c>
      <c r="AP750">
        <v>2016</v>
      </c>
      <c r="AQ750">
        <v>1.74</v>
      </c>
      <c r="AR750">
        <v>1.83</v>
      </c>
      <c r="AS750" t="s">
        <v>10484</v>
      </c>
      <c r="AT750" t="s">
        <v>3747</v>
      </c>
      <c r="AU750" t="s">
        <v>177</v>
      </c>
      <c r="AV750" t="s">
        <v>1030</v>
      </c>
      <c r="AW750" t="s">
        <v>182</v>
      </c>
      <c r="AX750">
        <v>2</v>
      </c>
      <c r="AY750" t="s">
        <v>188</v>
      </c>
      <c r="AZ750" t="s">
        <v>189</v>
      </c>
      <c r="BA750" t="s">
        <v>190</v>
      </c>
      <c r="BB750" t="s">
        <v>191</v>
      </c>
      <c r="BC750" t="s">
        <v>182</v>
      </c>
      <c r="BD750" t="s">
        <v>182</v>
      </c>
      <c r="BE750" t="s">
        <v>10485</v>
      </c>
      <c r="BF750">
        <v>1</v>
      </c>
      <c r="BG750">
        <v>1</v>
      </c>
      <c r="BH750">
        <v>1990</v>
      </c>
      <c r="BI750" t="s">
        <v>3776</v>
      </c>
      <c r="BJ750" t="s">
        <v>194</v>
      </c>
      <c r="BK750" t="s">
        <v>195</v>
      </c>
      <c r="BL750" t="s">
        <v>10478</v>
      </c>
      <c r="BM750" t="s">
        <v>3644</v>
      </c>
      <c r="BN750" t="s">
        <v>182</v>
      </c>
      <c r="BO750" t="s">
        <v>198</v>
      </c>
      <c r="BP750" t="s">
        <v>198</v>
      </c>
      <c r="BQ750" t="s">
        <v>198</v>
      </c>
      <c r="BR750" t="s">
        <v>198</v>
      </c>
      <c r="BS750" t="s">
        <v>198</v>
      </c>
      <c r="BT750" t="s">
        <v>198</v>
      </c>
      <c r="BU750" t="s">
        <v>182</v>
      </c>
      <c r="BV750" t="s">
        <v>198</v>
      </c>
      <c r="BW750" t="s">
        <v>198</v>
      </c>
      <c r="BX750" t="s">
        <v>199</v>
      </c>
      <c r="BY750" t="s">
        <v>198</v>
      </c>
      <c r="BZ750" t="s">
        <v>199</v>
      </c>
      <c r="CA750" t="s">
        <v>199</v>
      </c>
      <c r="CB750" t="s">
        <v>10486</v>
      </c>
      <c r="CC750" t="s">
        <v>201</v>
      </c>
      <c r="CD750" t="s">
        <v>182</v>
      </c>
      <c r="CE750" t="s">
        <v>10487</v>
      </c>
      <c r="CF750" t="s">
        <v>1029</v>
      </c>
      <c r="CG750" t="s">
        <v>177</v>
      </c>
      <c r="CH750" t="s">
        <v>1030</v>
      </c>
      <c r="CI750" t="s">
        <v>10488</v>
      </c>
      <c r="CJ750" t="s">
        <v>8605</v>
      </c>
      <c r="CK750" t="s">
        <v>232</v>
      </c>
      <c r="CL750" t="s">
        <v>233</v>
      </c>
      <c r="CM750" t="s">
        <v>10489</v>
      </c>
      <c r="CN750" t="s">
        <v>235</v>
      </c>
      <c r="CO750" t="s">
        <v>183</v>
      </c>
      <c r="CP750" t="s">
        <v>266</v>
      </c>
      <c r="CS750" t="s">
        <v>198</v>
      </c>
      <c r="CT750" t="s">
        <v>252</v>
      </c>
      <c r="CU750" t="s">
        <v>292</v>
      </c>
      <c r="CV750" t="s">
        <v>293</v>
      </c>
      <c r="CW750" t="s">
        <v>10272</v>
      </c>
      <c r="CX750" t="s">
        <v>333</v>
      </c>
      <c r="CY750" t="s">
        <v>183</v>
      </c>
      <c r="CZ750" t="s">
        <v>211</v>
      </c>
      <c r="DA750" t="s">
        <v>345</v>
      </c>
      <c r="DC750" t="s">
        <v>1088</v>
      </c>
      <c r="DD750" t="s">
        <v>7292</v>
      </c>
      <c r="DE750" t="s">
        <v>267</v>
      </c>
      <c r="DF750" t="s">
        <v>268</v>
      </c>
      <c r="DG750" t="s">
        <v>10490</v>
      </c>
      <c r="DH750" t="s">
        <v>235</v>
      </c>
      <c r="DI750" t="s">
        <v>183</v>
      </c>
      <c r="DJ750" t="s">
        <v>211</v>
      </c>
      <c r="DK750" t="s">
        <v>345</v>
      </c>
      <c r="DM750" t="s">
        <v>5111</v>
      </c>
      <c r="DN750" t="s">
        <v>893</v>
      </c>
      <c r="DO750" t="s">
        <v>273</v>
      </c>
      <c r="DP750" t="s">
        <v>274</v>
      </c>
      <c r="DQ750" t="s">
        <v>10491</v>
      </c>
      <c r="DR750" t="s">
        <v>235</v>
      </c>
      <c r="DS750" t="s">
        <v>183</v>
      </c>
      <c r="DT750" t="s">
        <v>211</v>
      </c>
      <c r="DU750" t="s">
        <v>206</v>
      </c>
      <c r="DV750" t="s">
        <v>271</v>
      </c>
      <c r="DW750" t="s">
        <v>301</v>
      </c>
      <c r="DX750" t="s">
        <v>10492</v>
      </c>
      <c r="DY750" t="s">
        <v>302</v>
      </c>
      <c r="DZ750" t="s">
        <v>303</v>
      </c>
      <c r="EA750" t="s">
        <v>10493</v>
      </c>
      <c r="EB750" t="s">
        <v>235</v>
      </c>
      <c r="EC750" t="s">
        <v>183</v>
      </c>
      <c r="ED750" t="s">
        <v>211</v>
      </c>
      <c r="EE750" t="s">
        <v>306</v>
      </c>
      <c r="EF750" t="s">
        <v>271</v>
      </c>
      <c r="EG750" t="s">
        <v>301</v>
      </c>
      <c r="EH750" t="s">
        <v>10494</v>
      </c>
      <c r="EI750" t="s">
        <v>238</v>
      </c>
      <c r="EJ750" t="s">
        <v>239</v>
      </c>
      <c r="EK750" t="s">
        <v>10495</v>
      </c>
      <c r="EL750" t="s">
        <v>440</v>
      </c>
      <c r="EM750" t="s">
        <v>183</v>
      </c>
      <c r="EN750" t="s">
        <v>211</v>
      </c>
      <c r="EP750" t="s">
        <v>271</v>
      </c>
      <c r="EQ750" t="s">
        <v>198</v>
      </c>
      <c r="ER750" t="s">
        <v>10496</v>
      </c>
      <c r="ES750" t="s">
        <v>346</v>
      </c>
      <c r="ET750" t="s">
        <v>347</v>
      </c>
      <c r="EU750" t="s">
        <v>10497</v>
      </c>
      <c r="EV750" t="s">
        <v>1551</v>
      </c>
      <c r="EW750" t="s">
        <v>183</v>
      </c>
      <c r="EX750" t="s">
        <v>211</v>
      </c>
      <c r="EY750" t="s">
        <v>298</v>
      </c>
      <c r="FA750" t="s">
        <v>878</v>
      </c>
      <c r="FB750" t="s">
        <v>10498</v>
      </c>
      <c r="FC750" t="s">
        <v>207</v>
      </c>
      <c r="FD750" t="s">
        <v>208</v>
      </c>
      <c r="FE750" t="s">
        <v>10499</v>
      </c>
      <c r="FF750" t="s">
        <v>576</v>
      </c>
      <c r="FG750" t="s">
        <v>183</v>
      </c>
      <c r="FH750" t="s">
        <v>211</v>
      </c>
      <c r="FI750" t="s">
        <v>345</v>
      </c>
      <c r="FK750" t="s">
        <v>1268</v>
      </c>
      <c r="FU750" t="s">
        <v>198</v>
      </c>
    </row>
    <row r="751" spans="1:177">
      <c r="A751" s="1" t="str">
        <f>HYPERLINK("http://digipan.lumentumllc.com/apps/getLink/index.php?t=PropLink&amp;p=6129288","PL")</f>
        <v>PL</v>
      </c>
      <c r="B751" s="1" t="str">
        <f>HYPERLINK("http://digipan.lumentumllc.com/apps/getLink/index.php?t=TaxLink&amp;p=6129288","TL")</f>
        <v>TL</v>
      </c>
      <c r="C751" s="1" t="str">
        <f>HYPERLINK("http://digipan.lumentumllc.com/apps/getMap/index.php?p=6129288","Map")</f>
        <v>Map</v>
      </c>
      <c r="E751" t="s">
        <v>177</v>
      </c>
      <c r="F751" t="s">
        <v>178</v>
      </c>
      <c r="L751" t="s">
        <v>10500</v>
      </c>
      <c r="N751" t="s">
        <v>10500</v>
      </c>
      <c r="O751" t="s">
        <v>10500</v>
      </c>
      <c r="P751" t="s">
        <v>10501</v>
      </c>
      <c r="Q751" t="s">
        <v>10500</v>
      </c>
      <c r="V751">
        <v>875</v>
      </c>
      <c r="W751">
        <v>3</v>
      </c>
      <c r="X751">
        <v>2017</v>
      </c>
      <c r="Y751">
        <v>2018</v>
      </c>
      <c r="Z751">
        <v>695.75</v>
      </c>
      <c r="AB751" t="s">
        <v>181</v>
      </c>
      <c r="AC751" t="s">
        <v>182</v>
      </c>
      <c r="AD751" t="s">
        <v>183</v>
      </c>
      <c r="AE751">
        <v>1</v>
      </c>
      <c r="AF751">
        <v>3</v>
      </c>
      <c r="AG751" t="s">
        <v>257</v>
      </c>
      <c r="AH751">
        <v>75</v>
      </c>
      <c r="AI751">
        <v>710.67</v>
      </c>
      <c r="AJ751">
        <v>35.53</v>
      </c>
      <c r="AK751">
        <v>746.2</v>
      </c>
      <c r="AL751">
        <v>40540</v>
      </c>
      <c r="AM751">
        <v>20000</v>
      </c>
      <c r="AN751">
        <v>20540</v>
      </c>
      <c r="AO751">
        <v>632</v>
      </c>
      <c r="AP751">
        <v>2016</v>
      </c>
      <c r="AQ751">
        <v>1.72</v>
      </c>
      <c r="AR751">
        <v>1.84</v>
      </c>
      <c r="AS751" t="s">
        <v>10502</v>
      </c>
      <c r="AT751" t="s">
        <v>3747</v>
      </c>
      <c r="AU751" t="s">
        <v>177</v>
      </c>
      <c r="AV751" t="s">
        <v>1030</v>
      </c>
      <c r="AW751" t="s">
        <v>182</v>
      </c>
      <c r="AX751">
        <v>2</v>
      </c>
      <c r="AY751" t="s">
        <v>188</v>
      </c>
      <c r="AZ751" t="s">
        <v>189</v>
      </c>
      <c r="BA751" t="s">
        <v>190</v>
      </c>
      <c r="BB751" t="s">
        <v>191</v>
      </c>
      <c r="BC751" t="s">
        <v>182</v>
      </c>
      <c r="BD751" t="s">
        <v>182</v>
      </c>
      <c r="BE751" t="s">
        <v>2167</v>
      </c>
      <c r="BF751">
        <v>2</v>
      </c>
      <c r="BG751">
        <v>2</v>
      </c>
      <c r="BH751">
        <v>1983</v>
      </c>
      <c r="BI751" t="s">
        <v>2061</v>
      </c>
      <c r="BJ751" t="s">
        <v>194</v>
      </c>
      <c r="BK751" t="s">
        <v>195</v>
      </c>
      <c r="BL751" t="s">
        <v>199</v>
      </c>
      <c r="BM751" t="s">
        <v>238</v>
      </c>
      <c r="BN751" t="s">
        <v>182</v>
      </c>
      <c r="BO751" t="s">
        <v>198</v>
      </c>
      <c r="BP751" t="s">
        <v>198</v>
      </c>
      <c r="BQ751" t="s">
        <v>198</v>
      </c>
      <c r="BR751" t="s">
        <v>198</v>
      </c>
      <c r="BS751" t="s">
        <v>198</v>
      </c>
      <c r="BT751" t="s">
        <v>198</v>
      </c>
      <c r="BU751" t="s">
        <v>182</v>
      </c>
      <c r="BV751" t="s">
        <v>198</v>
      </c>
      <c r="BW751" t="s">
        <v>198</v>
      </c>
      <c r="BX751" t="s">
        <v>199</v>
      </c>
      <c r="BY751" t="s">
        <v>198</v>
      </c>
      <c r="BZ751" t="s">
        <v>199</v>
      </c>
      <c r="CA751" t="s">
        <v>199</v>
      </c>
      <c r="CB751" t="s">
        <v>10503</v>
      </c>
      <c r="CC751" t="s">
        <v>201</v>
      </c>
      <c r="CD751" t="s">
        <v>182</v>
      </c>
      <c r="CE751" t="s">
        <v>10504</v>
      </c>
      <c r="CF751" t="s">
        <v>1029</v>
      </c>
      <c r="CG751" t="s">
        <v>177</v>
      </c>
      <c r="CH751" t="s">
        <v>1030</v>
      </c>
      <c r="CI751" t="s">
        <v>10505</v>
      </c>
      <c r="CJ751" t="s">
        <v>6258</v>
      </c>
      <c r="CK751" t="s">
        <v>232</v>
      </c>
      <c r="CL751" t="s">
        <v>233</v>
      </c>
      <c r="CM751" t="s">
        <v>10506</v>
      </c>
      <c r="CN751" t="s">
        <v>235</v>
      </c>
      <c r="CO751" t="s">
        <v>183</v>
      </c>
      <c r="CP751" t="s">
        <v>266</v>
      </c>
      <c r="CS751" t="s">
        <v>198</v>
      </c>
      <c r="CT751" t="s">
        <v>9667</v>
      </c>
      <c r="CU751" t="s">
        <v>292</v>
      </c>
      <c r="CV751" t="s">
        <v>293</v>
      </c>
      <c r="CW751" t="s">
        <v>10507</v>
      </c>
      <c r="CX751" t="s">
        <v>235</v>
      </c>
      <c r="CY751" t="s">
        <v>183</v>
      </c>
      <c r="CZ751" t="s">
        <v>211</v>
      </c>
      <c r="DA751" t="s">
        <v>212</v>
      </c>
      <c r="DC751" t="s">
        <v>10508</v>
      </c>
      <c r="DD751" t="s">
        <v>4833</v>
      </c>
      <c r="DE751" t="s">
        <v>302</v>
      </c>
      <c r="DF751" t="s">
        <v>303</v>
      </c>
      <c r="DG751" t="s">
        <v>10509</v>
      </c>
      <c r="DH751" t="s">
        <v>796</v>
      </c>
      <c r="DI751" t="s">
        <v>183</v>
      </c>
      <c r="DJ751" t="s">
        <v>211</v>
      </c>
      <c r="DK751" t="s">
        <v>329</v>
      </c>
      <c r="DM751" t="s">
        <v>875</v>
      </c>
      <c r="DN751" t="s">
        <v>10510</v>
      </c>
      <c r="DO751" t="s">
        <v>238</v>
      </c>
      <c r="DP751" t="s">
        <v>239</v>
      </c>
      <c r="DQ751" t="s">
        <v>10511</v>
      </c>
      <c r="DR751" t="s">
        <v>278</v>
      </c>
      <c r="DS751" t="s">
        <v>183</v>
      </c>
      <c r="DT751" t="s">
        <v>211</v>
      </c>
      <c r="DU751" t="s">
        <v>189</v>
      </c>
      <c r="DW751" t="s">
        <v>10512</v>
      </c>
      <c r="EG751" t="s">
        <v>198</v>
      </c>
      <c r="EQ751" t="s">
        <v>198</v>
      </c>
      <c r="FA751" t="s">
        <v>198</v>
      </c>
      <c r="FK751" t="s">
        <v>198</v>
      </c>
      <c r="FU751" t="s">
        <v>198</v>
      </c>
    </row>
    <row r="752" spans="1:177">
      <c r="A752" s="1" t="str">
        <f>HYPERLINK("http://digipan.lumentumllc.com/apps/getLink/index.php?t=PropLink&amp;p=5247456","PL")</f>
        <v>PL</v>
      </c>
      <c r="B752" s="1" t="str">
        <f>HYPERLINK("http://digipan.lumentumllc.com/apps/getLink/index.php?t=TaxLink&amp;p=5247456","TL")</f>
        <v>TL</v>
      </c>
      <c r="C752" s="1" t="str">
        <f>HYPERLINK("http://digipan.lumentumllc.com/apps/getMap/index.php?p=5247456","Map")</f>
        <v>Map</v>
      </c>
      <c r="E752" t="s">
        <v>177</v>
      </c>
      <c r="F752" t="s">
        <v>178</v>
      </c>
      <c r="L752" t="s">
        <v>10513</v>
      </c>
      <c r="N752" t="s">
        <v>10513</v>
      </c>
      <c r="O752" t="s">
        <v>10513</v>
      </c>
      <c r="P752" t="s">
        <v>10514</v>
      </c>
      <c r="Q752" t="s">
        <v>10513</v>
      </c>
      <c r="V752">
        <v>876</v>
      </c>
      <c r="W752">
        <v>3</v>
      </c>
      <c r="X752">
        <v>2017</v>
      </c>
      <c r="Y752">
        <v>2018</v>
      </c>
      <c r="Z752">
        <v>69.17</v>
      </c>
      <c r="AB752" t="s">
        <v>181</v>
      </c>
      <c r="AC752" t="s">
        <v>182</v>
      </c>
      <c r="AD752" t="s">
        <v>1037</v>
      </c>
      <c r="AE752">
        <v>7</v>
      </c>
      <c r="AF752">
        <v>0</v>
      </c>
      <c r="AG752" t="s">
        <v>1038</v>
      </c>
      <c r="AH752">
        <v>0</v>
      </c>
      <c r="AI752">
        <v>364.92</v>
      </c>
      <c r="AJ752">
        <v>216.36</v>
      </c>
      <c r="AK752">
        <v>581.28</v>
      </c>
      <c r="AL752">
        <v>2550</v>
      </c>
      <c r="AM752">
        <v>2550</v>
      </c>
      <c r="AN752">
        <v>0</v>
      </c>
      <c r="AO752">
        <v>30</v>
      </c>
      <c r="AP752">
        <v>2016</v>
      </c>
      <c r="AQ752">
        <v>2.71</v>
      </c>
      <c r="AR752">
        <v>22.8</v>
      </c>
      <c r="AS752" t="s">
        <v>10515</v>
      </c>
      <c r="AT752" t="s">
        <v>3747</v>
      </c>
      <c r="AU752" t="s">
        <v>177</v>
      </c>
      <c r="AV752" t="s">
        <v>1030</v>
      </c>
      <c r="AW752" t="s">
        <v>182</v>
      </c>
      <c r="AX752">
        <v>0</v>
      </c>
      <c r="AY752" t="s">
        <v>312</v>
      </c>
      <c r="AZ752" t="s">
        <v>199</v>
      </c>
      <c r="BA752" t="s">
        <v>313</v>
      </c>
      <c r="BB752" t="s">
        <v>191</v>
      </c>
      <c r="BC752" t="s">
        <v>182</v>
      </c>
      <c r="BD752" t="s">
        <v>182</v>
      </c>
      <c r="BE752" t="s">
        <v>6180</v>
      </c>
      <c r="BF752">
        <v>0</v>
      </c>
      <c r="BG752">
        <v>0</v>
      </c>
      <c r="BH752">
        <v>0</v>
      </c>
      <c r="BI752" t="s">
        <v>199</v>
      </c>
      <c r="BJ752" t="s">
        <v>315</v>
      </c>
      <c r="BL752" t="s">
        <v>199</v>
      </c>
      <c r="BM752" t="s">
        <v>358</v>
      </c>
      <c r="BN752" t="s">
        <v>182</v>
      </c>
      <c r="BO752" t="s">
        <v>198</v>
      </c>
      <c r="BP752" t="s">
        <v>198</v>
      </c>
      <c r="BQ752" t="s">
        <v>198</v>
      </c>
      <c r="BR752" t="s">
        <v>198</v>
      </c>
      <c r="BS752" t="s">
        <v>198</v>
      </c>
      <c r="BT752" t="s">
        <v>198</v>
      </c>
      <c r="BU752" t="s">
        <v>182</v>
      </c>
      <c r="BV752" t="s">
        <v>198</v>
      </c>
      <c r="BW752" t="s">
        <v>198</v>
      </c>
      <c r="BX752" t="s">
        <v>199</v>
      </c>
      <c r="BY752" t="s">
        <v>198</v>
      </c>
      <c r="BZ752" t="s">
        <v>199</v>
      </c>
      <c r="CA752" t="s">
        <v>199</v>
      </c>
      <c r="CB752" t="s">
        <v>10516</v>
      </c>
      <c r="CC752" t="s">
        <v>201</v>
      </c>
      <c r="CD752" t="s">
        <v>182</v>
      </c>
      <c r="CE752" t="s">
        <v>10517</v>
      </c>
      <c r="CF752" t="s">
        <v>413</v>
      </c>
      <c r="CG752" t="s">
        <v>177</v>
      </c>
      <c r="CH752" t="s">
        <v>414</v>
      </c>
      <c r="CI752" t="s">
        <v>10518</v>
      </c>
      <c r="CJ752" t="s">
        <v>7272</v>
      </c>
      <c r="CK752" t="s">
        <v>232</v>
      </c>
      <c r="CL752" t="s">
        <v>233</v>
      </c>
      <c r="CM752" t="s">
        <v>10519</v>
      </c>
      <c r="CN752" t="s">
        <v>482</v>
      </c>
      <c r="CO752" t="s">
        <v>5</v>
      </c>
      <c r="CP752" t="s">
        <v>266</v>
      </c>
      <c r="CS752" t="s">
        <v>198</v>
      </c>
      <c r="CT752" t="s">
        <v>307</v>
      </c>
      <c r="CU752" t="s">
        <v>292</v>
      </c>
      <c r="CV752" t="s">
        <v>293</v>
      </c>
      <c r="CW752" t="s">
        <v>10520</v>
      </c>
      <c r="CX752" t="s">
        <v>482</v>
      </c>
      <c r="CY752" t="s">
        <v>5</v>
      </c>
      <c r="CZ752" t="s">
        <v>266</v>
      </c>
      <c r="DC752" t="s">
        <v>198</v>
      </c>
      <c r="DD752" t="s">
        <v>7134</v>
      </c>
      <c r="DE752" t="s">
        <v>267</v>
      </c>
      <c r="DF752" t="s">
        <v>268</v>
      </c>
      <c r="DG752" t="s">
        <v>10521</v>
      </c>
      <c r="DH752" t="s">
        <v>333</v>
      </c>
      <c r="DI752" t="s">
        <v>183</v>
      </c>
      <c r="DJ752" t="s">
        <v>266</v>
      </c>
      <c r="DM752" t="s">
        <v>198</v>
      </c>
      <c r="DN752" t="s">
        <v>7509</v>
      </c>
      <c r="DO752" t="s">
        <v>273</v>
      </c>
      <c r="DP752" t="s">
        <v>274</v>
      </c>
      <c r="DQ752" t="s">
        <v>10522</v>
      </c>
      <c r="DR752" t="s">
        <v>482</v>
      </c>
      <c r="DS752" t="s">
        <v>5</v>
      </c>
      <c r="DT752" t="s">
        <v>266</v>
      </c>
      <c r="DW752" t="s">
        <v>198</v>
      </c>
      <c r="DX752" t="s">
        <v>7858</v>
      </c>
      <c r="DY752" t="s">
        <v>302</v>
      </c>
      <c r="DZ752" t="s">
        <v>303</v>
      </c>
      <c r="EA752" t="s">
        <v>10523</v>
      </c>
      <c r="EB752" t="s">
        <v>1052</v>
      </c>
      <c r="EC752" t="s">
        <v>183</v>
      </c>
      <c r="ED752" t="s">
        <v>266</v>
      </c>
      <c r="EG752" t="s">
        <v>198</v>
      </c>
      <c r="EH752" t="s">
        <v>8548</v>
      </c>
      <c r="EI752" t="s">
        <v>238</v>
      </c>
      <c r="EJ752" t="s">
        <v>239</v>
      </c>
      <c r="EK752" t="s">
        <v>10524</v>
      </c>
      <c r="EL752" t="s">
        <v>482</v>
      </c>
      <c r="EM752" t="s">
        <v>5</v>
      </c>
      <c r="EN752" t="s">
        <v>266</v>
      </c>
      <c r="EQ752" t="s">
        <v>198</v>
      </c>
      <c r="ER752" t="s">
        <v>10525</v>
      </c>
      <c r="ES752" t="s">
        <v>346</v>
      </c>
      <c r="ET752" t="s">
        <v>347</v>
      </c>
      <c r="EU752" t="s">
        <v>10526</v>
      </c>
      <c r="EV752" t="s">
        <v>254</v>
      </c>
      <c r="EW752" t="s">
        <v>183</v>
      </c>
      <c r="EX752" t="s">
        <v>266</v>
      </c>
      <c r="FA752" t="s">
        <v>198</v>
      </c>
      <c r="FK752" t="s">
        <v>198</v>
      </c>
      <c r="FU752" t="s">
        <v>198</v>
      </c>
    </row>
    <row r="753" spans="1:177">
      <c r="A753" s="1" t="str">
        <f>HYPERLINK("http://digipan.lumentumllc.com/apps/getLink/index.php?t=PropLink&amp;p=15755602","PL")</f>
        <v>PL</v>
      </c>
      <c r="B753" s="1" t="str">
        <f>HYPERLINK("http://digipan.lumentumllc.com/apps/getLink/index.php?t=TaxLink&amp;p=15755602","TL")</f>
        <v>TL</v>
      </c>
      <c r="C753" s="1" t="str">
        <f>HYPERLINK("http://digipan.lumentumllc.com/apps/getMap/index.php?p=15755602","Map")</f>
        <v>Map</v>
      </c>
      <c r="E753" t="s">
        <v>177</v>
      </c>
      <c r="F753" t="s">
        <v>178</v>
      </c>
      <c r="L753" t="s">
        <v>10527</v>
      </c>
      <c r="N753" t="s">
        <v>10527</v>
      </c>
      <c r="O753" t="s">
        <v>10527</v>
      </c>
      <c r="Q753" t="s">
        <v>10527</v>
      </c>
      <c r="V753">
        <v>878</v>
      </c>
      <c r="W753">
        <v>3</v>
      </c>
      <c r="X753">
        <v>2017</v>
      </c>
      <c r="Y753">
        <v>2018</v>
      </c>
      <c r="Z753">
        <v>1445.94</v>
      </c>
      <c r="AG753" t="s">
        <v>184</v>
      </c>
      <c r="AH753">
        <v>0</v>
      </c>
      <c r="AK753">
        <v>0</v>
      </c>
      <c r="AL753">
        <v>86360</v>
      </c>
      <c r="AM753">
        <v>20000</v>
      </c>
      <c r="AN753">
        <v>66360</v>
      </c>
      <c r="AO753">
        <v>1326</v>
      </c>
      <c r="AP753">
        <v>2016</v>
      </c>
      <c r="AQ753">
        <v>1.67</v>
      </c>
      <c r="AS753" t="s">
        <v>10528</v>
      </c>
      <c r="AT753" t="s">
        <v>3747</v>
      </c>
      <c r="AU753" t="s">
        <v>177</v>
      </c>
      <c r="AV753" t="s">
        <v>1030</v>
      </c>
      <c r="AW753" t="s">
        <v>182</v>
      </c>
      <c r="AX753">
        <v>2</v>
      </c>
      <c r="AY753" t="s">
        <v>188</v>
      </c>
      <c r="AZ753" t="s">
        <v>189</v>
      </c>
      <c r="BA753" t="s">
        <v>190</v>
      </c>
      <c r="BB753" t="s">
        <v>191</v>
      </c>
      <c r="BC753" t="s">
        <v>182</v>
      </c>
      <c r="BD753" t="s">
        <v>182</v>
      </c>
      <c r="BE753" t="s">
        <v>4906</v>
      </c>
      <c r="BF753">
        <v>1</v>
      </c>
      <c r="BG753">
        <v>1</v>
      </c>
      <c r="BH753">
        <v>2007</v>
      </c>
      <c r="BI753" t="s">
        <v>9343</v>
      </c>
      <c r="BJ753" t="s">
        <v>194</v>
      </c>
      <c r="BK753" t="s">
        <v>195</v>
      </c>
      <c r="BL753" t="s">
        <v>199</v>
      </c>
      <c r="BM753" t="s">
        <v>346</v>
      </c>
      <c r="BN753" t="s">
        <v>182</v>
      </c>
      <c r="BO753" t="s">
        <v>10529</v>
      </c>
      <c r="BP753" t="s">
        <v>10530</v>
      </c>
      <c r="BQ753" t="s">
        <v>800</v>
      </c>
      <c r="BR753" t="s">
        <v>1857</v>
      </c>
      <c r="BS753" t="s">
        <v>198</v>
      </c>
      <c r="BT753" t="s">
        <v>3245</v>
      </c>
      <c r="BU753" t="s">
        <v>182</v>
      </c>
      <c r="BV753" t="s">
        <v>198</v>
      </c>
      <c r="BW753" t="s">
        <v>198</v>
      </c>
      <c r="BX753" t="s">
        <v>199</v>
      </c>
      <c r="BY753" t="s">
        <v>198</v>
      </c>
      <c r="BZ753" t="s">
        <v>199</v>
      </c>
      <c r="CA753" t="s">
        <v>199</v>
      </c>
      <c r="CB753" t="s">
        <v>10531</v>
      </c>
      <c r="CC753" t="s">
        <v>201</v>
      </c>
      <c r="CD753" t="s">
        <v>202</v>
      </c>
      <c r="CE753" t="s">
        <v>10532</v>
      </c>
      <c r="CF753" t="s">
        <v>1029</v>
      </c>
      <c r="CG753" t="s">
        <v>177</v>
      </c>
      <c r="CH753" t="s">
        <v>1030</v>
      </c>
      <c r="CI753" t="s">
        <v>10533</v>
      </c>
      <c r="CS753" t="s">
        <v>198</v>
      </c>
      <c r="DC753" t="s">
        <v>198</v>
      </c>
      <c r="DM753" t="s">
        <v>198</v>
      </c>
      <c r="DW753" t="s">
        <v>198</v>
      </c>
      <c r="EG753" t="s">
        <v>198</v>
      </c>
      <c r="EQ753" t="s">
        <v>198</v>
      </c>
      <c r="FA753" t="s">
        <v>198</v>
      </c>
      <c r="FK753" t="s">
        <v>198</v>
      </c>
      <c r="FU753" t="s">
        <v>198</v>
      </c>
    </row>
    <row r="754" spans="1:177">
      <c r="A754" s="1" t="str">
        <f>HYPERLINK("http://digipan.lumentumllc.com/apps/getLink/index.php?t=PropLink&amp;p=15739619","PL")</f>
        <v>PL</v>
      </c>
      <c r="B754" s="1" t="str">
        <f>HYPERLINK("http://digipan.lumentumllc.com/apps/getLink/index.php?t=TaxLink&amp;p=15739619","TL")</f>
        <v>TL</v>
      </c>
      <c r="C754" s="1" t="str">
        <f>HYPERLINK("http://digipan.lumentumllc.com/apps/getMap/index.php?p=15739619","Map")</f>
        <v>Map</v>
      </c>
      <c r="E754" t="s">
        <v>177</v>
      </c>
      <c r="F754" t="s">
        <v>178</v>
      </c>
      <c r="L754" t="s">
        <v>10534</v>
      </c>
      <c r="N754" t="s">
        <v>10534</v>
      </c>
      <c r="O754" t="s">
        <v>10534</v>
      </c>
      <c r="Q754" t="s">
        <v>10534</v>
      </c>
      <c r="V754">
        <v>879</v>
      </c>
      <c r="W754">
        <v>3</v>
      </c>
      <c r="X754">
        <v>2017</v>
      </c>
      <c r="Y754">
        <v>2018</v>
      </c>
      <c r="Z754">
        <v>4056.34</v>
      </c>
      <c r="AG754" t="s">
        <v>184</v>
      </c>
      <c r="AH754">
        <v>0</v>
      </c>
      <c r="AK754">
        <v>0</v>
      </c>
      <c r="AL754">
        <v>418179</v>
      </c>
      <c r="AM754">
        <v>70560</v>
      </c>
      <c r="AN754">
        <v>347619</v>
      </c>
      <c r="AO754">
        <v>3686</v>
      </c>
      <c r="AP754">
        <v>2016</v>
      </c>
      <c r="AQ754">
        <v>0.97</v>
      </c>
      <c r="AS754" t="s">
        <v>10535</v>
      </c>
      <c r="AT754" t="s">
        <v>3747</v>
      </c>
      <c r="AU754" t="s">
        <v>177</v>
      </c>
      <c r="AV754" t="s">
        <v>1030</v>
      </c>
      <c r="AW754" t="s">
        <v>202</v>
      </c>
      <c r="AX754">
        <v>1</v>
      </c>
      <c r="AY754" t="s">
        <v>188</v>
      </c>
      <c r="AZ754" t="s">
        <v>206</v>
      </c>
      <c r="BA754" t="s">
        <v>355</v>
      </c>
      <c r="BB754" t="s">
        <v>191</v>
      </c>
      <c r="BC754" t="s">
        <v>182</v>
      </c>
      <c r="BD754" t="s">
        <v>182</v>
      </c>
      <c r="BE754" t="s">
        <v>10536</v>
      </c>
      <c r="BF754">
        <v>1</v>
      </c>
      <c r="BG754">
        <v>1</v>
      </c>
      <c r="BH754">
        <v>2010</v>
      </c>
      <c r="BI754" t="s">
        <v>10537</v>
      </c>
      <c r="BJ754" t="s">
        <v>315</v>
      </c>
      <c r="BK754" t="s">
        <v>195</v>
      </c>
      <c r="BL754" t="s">
        <v>10538</v>
      </c>
      <c r="BM754" t="s">
        <v>286</v>
      </c>
      <c r="BN754" t="s">
        <v>182</v>
      </c>
      <c r="BO754" t="s">
        <v>198</v>
      </c>
      <c r="BP754" t="s">
        <v>198</v>
      </c>
      <c r="BQ754" t="s">
        <v>198</v>
      </c>
      <c r="BR754" t="s">
        <v>198</v>
      </c>
      <c r="BS754" t="s">
        <v>198</v>
      </c>
      <c r="BT754" t="s">
        <v>198</v>
      </c>
      <c r="BU754" t="s">
        <v>182</v>
      </c>
      <c r="BV754" t="s">
        <v>198</v>
      </c>
      <c r="BW754" t="s">
        <v>198</v>
      </c>
      <c r="BX754" t="s">
        <v>199</v>
      </c>
      <c r="BY754" t="s">
        <v>198</v>
      </c>
      <c r="BZ754" t="s">
        <v>199</v>
      </c>
      <c r="CA754" t="s">
        <v>199</v>
      </c>
      <c r="CB754" t="s">
        <v>10539</v>
      </c>
      <c r="CC754" t="s">
        <v>201</v>
      </c>
      <c r="CD754" t="s">
        <v>182</v>
      </c>
      <c r="CE754" t="s">
        <v>10540</v>
      </c>
      <c r="CF754" t="s">
        <v>1029</v>
      </c>
      <c r="CG754" t="s">
        <v>177</v>
      </c>
      <c r="CH754" t="s">
        <v>1030</v>
      </c>
      <c r="CI754" t="s">
        <v>10541</v>
      </c>
      <c r="CS754" t="s">
        <v>198</v>
      </c>
      <c r="DC754" t="s">
        <v>198</v>
      </c>
      <c r="DM754" t="s">
        <v>198</v>
      </c>
      <c r="DW754" t="s">
        <v>198</v>
      </c>
      <c r="EG754" t="s">
        <v>198</v>
      </c>
      <c r="EQ754" t="s">
        <v>198</v>
      </c>
      <c r="FA754" t="s">
        <v>198</v>
      </c>
      <c r="FK754" t="s">
        <v>198</v>
      </c>
      <c r="FU754" t="s">
        <v>198</v>
      </c>
    </row>
    <row r="755" spans="1:177">
      <c r="A755" s="1" t="str">
        <f>HYPERLINK("http://digipan.lumentumllc.com/apps/getLink/index.php?t=PropLink&amp;p=15739625","PL")</f>
        <v>PL</v>
      </c>
      <c r="B755" s="1" t="str">
        <f>HYPERLINK("http://digipan.lumentumllc.com/apps/getLink/index.php?t=TaxLink&amp;p=15739625","TL")</f>
        <v>TL</v>
      </c>
      <c r="C755" s="1" t="str">
        <f>HYPERLINK("http://digipan.lumentumllc.com/apps/getMap/index.php?p=15739625","Map")</f>
        <v>Map</v>
      </c>
      <c r="E755" t="s">
        <v>177</v>
      </c>
      <c r="F755" t="s">
        <v>178</v>
      </c>
      <c r="L755" t="s">
        <v>10542</v>
      </c>
      <c r="N755" t="s">
        <v>10542</v>
      </c>
      <c r="O755" t="s">
        <v>10542</v>
      </c>
      <c r="Q755" t="s">
        <v>10542</v>
      </c>
      <c r="V755">
        <v>880</v>
      </c>
      <c r="W755">
        <v>3</v>
      </c>
      <c r="X755">
        <v>2017</v>
      </c>
      <c r="Y755">
        <v>2018</v>
      </c>
      <c r="Z755">
        <v>4298.93</v>
      </c>
      <c r="AB755" t="s">
        <v>181</v>
      </c>
      <c r="AC755" t="s">
        <v>182</v>
      </c>
      <c r="AD755" t="s">
        <v>183</v>
      </c>
      <c r="AE755">
        <v>0</v>
      </c>
      <c r="AF755">
        <v>1</v>
      </c>
      <c r="AG755" t="s">
        <v>821</v>
      </c>
      <c r="AH755">
        <v>100</v>
      </c>
      <c r="AK755">
        <v>0</v>
      </c>
      <c r="AL755">
        <v>432134</v>
      </c>
      <c r="AM755">
        <v>35480</v>
      </c>
      <c r="AN755">
        <v>396654</v>
      </c>
      <c r="AO755">
        <v>3875</v>
      </c>
      <c r="AP755">
        <v>2016</v>
      </c>
      <c r="AQ755">
        <v>0.99</v>
      </c>
      <c r="AS755" t="s">
        <v>10543</v>
      </c>
      <c r="AT755" t="s">
        <v>3747</v>
      </c>
      <c r="AU755" t="s">
        <v>177</v>
      </c>
      <c r="AV755" t="s">
        <v>1030</v>
      </c>
      <c r="AW755" t="s">
        <v>182</v>
      </c>
      <c r="AX755">
        <v>1</v>
      </c>
      <c r="AY755" t="s">
        <v>188</v>
      </c>
      <c r="AZ755" t="s">
        <v>206</v>
      </c>
      <c r="BA755" t="s">
        <v>355</v>
      </c>
      <c r="BB755" t="s">
        <v>191</v>
      </c>
      <c r="BC755" t="s">
        <v>182</v>
      </c>
      <c r="BD755" t="s">
        <v>182</v>
      </c>
      <c r="BE755" t="s">
        <v>10544</v>
      </c>
      <c r="BF755">
        <v>1</v>
      </c>
      <c r="BG755">
        <v>1</v>
      </c>
      <c r="BH755">
        <v>2014</v>
      </c>
      <c r="BI755" t="s">
        <v>10545</v>
      </c>
      <c r="BJ755" t="s">
        <v>285</v>
      </c>
      <c r="BK755" t="s">
        <v>195</v>
      </c>
      <c r="BL755" t="s">
        <v>10546</v>
      </c>
      <c r="BM755" t="s">
        <v>302</v>
      </c>
      <c r="BN755" t="s">
        <v>182</v>
      </c>
      <c r="BO755" t="s">
        <v>198</v>
      </c>
      <c r="BP755" t="s">
        <v>198</v>
      </c>
      <c r="BQ755" t="s">
        <v>198</v>
      </c>
      <c r="BR755" t="s">
        <v>198</v>
      </c>
      <c r="BS755" t="s">
        <v>198</v>
      </c>
      <c r="BT755" t="s">
        <v>198</v>
      </c>
      <c r="BU755" t="s">
        <v>182</v>
      </c>
      <c r="BV755" t="s">
        <v>198</v>
      </c>
      <c r="BW755" t="s">
        <v>198</v>
      </c>
      <c r="BX755" t="s">
        <v>199</v>
      </c>
      <c r="BY755" t="s">
        <v>198</v>
      </c>
      <c r="BZ755" t="s">
        <v>199</v>
      </c>
      <c r="CA755" t="s">
        <v>199</v>
      </c>
      <c r="CB755" t="s">
        <v>10547</v>
      </c>
      <c r="CC755" t="s">
        <v>201</v>
      </c>
      <c r="CD755" t="s">
        <v>182</v>
      </c>
      <c r="CE755" t="s">
        <v>10548</v>
      </c>
      <c r="CF755" t="s">
        <v>1029</v>
      </c>
      <c r="CG755" t="s">
        <v>177</v>
      </c>
      <c r="CH755" t="s">
        <v>1030</v>
      </c>
      <c r="CI755" t="s">
        <v>10549</v>
      </c>
      <c r="CJ755" t="s">
        <v>10380</v>
      </c>
      <c r="CK755" t="s">
        <v>232</v>
      </c>
      <c r="CL755" t="s">
        <v>233</v>
      </c>
      <c r="CM755" t="s">
        <v>10550</v>
      </c>
      <c r="CN755" t="s">
        <v>235</v>
      </c>
      <c r="CO755" t="s">
        <v>183</v>
      </c>
      <c r="CP755" t="s">
        <v>211</v>
      </c>
      <c r="CQ755" t="s">
        <v>199</v>
      </c>
      <c r="CS755" t="s">
        <v>4061</v>
      </c>
      <c r="DC755" t="s">
        <v>198</v>
      </c>
      <c r="DM755" t="s">
        <v>198</v>
      </c>
      <c r="DW755" t="s">
        <v>198</v>
      </c>
      <c r="EG755" t="s">
        <v>198</v>
      </c>
      <c r="EQ755" t="s">
        <v>198</v>
      </c>
      <c r="FA755" t="s">
        <v>198</v>
      </c>
      <c r="FK755" t="s">
        <v>198</v>
      </c>
      <c r="FU755" t="s">
        <v>198</v>
      </c>
    </row>
    <row r="756" spans="1:177">
      <c r="A756" s="1" t="str">
        <f>HYPERLINK("http://digipan.lumentumllc.com/apps/getLink/index.php?t=PropLink&amp;p=41029362","PL")</f>
        <v>PL</v>
      </c>
      <c r="B756" s="1" t="str">
        <f>HYPERLINK("http://digipan.lumentumllc.com/apps/getLink/index.php?t=TaxLink&amp;p=41029362","TL")</f>
        <v>TL</v>
      </c>
      <c r="C756" s="1" t="str">
        <f>HYPERLINK("","")</f>
        <v/>
      </c>
      <c r="E756" t="s">
        <v>177</v>
      </c>
      <c r="F756" t="s">
        <v>178</v>
      </c>
      <c r="L756" t="s">
        <v>10551</v>
      </c>
      <c r="N756" t="s">
        <v>10551</v>
      </c>
      <c r="O756" t="s">
        <v>10551</v>
      </c>
      <c r="Q756" t="s">
        <v>10551</v>
      </c>
      <c r="V756">
        <v>882</v>
      </c>
      <c r="W756">
        <v>3</v>
      </c>
      <c r="X756">
        <v>2017</v>
      </c>
      <c r="Y756">
        <v>2018</v>
      </c>
      <c r="Z756">
        <v>1310.1099999999999</v>
      </c>
      <c r="AG756" t="s">
        <v>184</v>
      </c>
      <c r="AH756">
        <v>0</v>
      </c>
      <c r="AK756">
        <v>0</v>
      </c>
      <c r="AL756">
        <v>78064</v>
      </c>
      <c r="AM756">
        <v>24600</v>
      </c>
      <c r="AN756">
        <v>53464</v>
      </c>
      <c r="AQ756">
        <v>1.68</v>
      </c>
      <c r="AS756" t="s">
        <v>10552</v>
      </c>
      <c r="AT756" t="s">
        <v>3747</v>
      </c>
      <c r="AU756" t="s">
        <v>177</v>
      </c>
      <c r="AV756" t="s">
        <v>1030</v>
      </c>
      <c r="AW756" t="s">
        <v>182</v>
      </c>
      <c r="AX756">
        <v>1</v>
      </c>
      <c r="AY756" t="s">
        <v>188</v>
      </c>
      <c r="AZ756" t="s">
        <v>206</v>
      </c>
      <c r="BA756" t="s">
        <v>355</v>
      </c>
      <c r="BB756" t="s">
        <v>191</v>
      </c>
      <c r="BC756" t="s">
        <v>202</v>
      </c>
      <c r="BD756" t="s">
        <v>182</v>
      </c>
      <c r="BE756" t="s">
        <v>4972</v>
      </c>
      <c r="BF756">
        <v>1</v>
      </c>
      <c r="BG756">
        <v>1</v>
      </c>
      <c r="BH756">
        <v>1967</v>
      </c>
      <c r="BI756" t="s">
        <v>611</v>
      </c>
      <c r="BJ756" t="s">
        <v>194</v>
      </c>
      <c r="BK756" t="s">
        <v>195</v>
      </c>
      <c r="BL756" t="s">
        <v>2304</v>
      </c>
      <c r="BM756" t="s">
        <v>197</v>
      </c>
      <c r="BN756" t="s">
        <v>182</v>
      </c>
      <c r="BO756" t="s">
        <v>198</v>
      </c>
      <c r="BP756" t="s">
        <v>198</v>
      </c>
      <c r="BQ756" t="s">
        <v>198</v>
      </c>
      <c r="BR756" t="s">
        <v>198</v>
      </c>
      <c r="BS756" t="s">
        <v>198</v>
      </c>
      <c r="BT756" t="s">
        <v>198</v>
      </c>
      <c r="BU756" t="s">
        <v>182</v>
      </c>
      <c r="BV756" t="s">
        <v>198</v>
      </c>
      <c r="BW756" t="s">
        <v>198</v>
      </c>
      <c r="BX756" t="s">
        <v>199</v>
      </c>
      <c r="BY756" t="s">
        <v>198</v>
      </c>
      <c r="CB756" t="s">
        <v>10553</v>
      </c>
      <c r="CC756" t="s">
        <v>201</v>
      </c>
      <c r="CD756" t="s">
        <v>182</v>
      </c>
      <c r="CE756" t="s">
        <v>10554</v>
      </c>
      <c r="CF756" t="s">
        <v>1029</v>
      </c>
      <c r="CG756" t="s">
        <v>177</v>
      </c>
      <c r="CH756" t="s">
        <v>1030</v>
      </c>
      <c r="CI756" t="s">
        <v>10555</v>
      </c>
      <c r="CS756" t="s">
        <v>198</v>
      </c>
      <c r="DC756" t="s">
        <v>198</v>
      </c>
      <c r="DM756" t="s">
        <v>198</v>
      </c>
      <c r="DW756" t="s">
        <v>198</v>
      </c>
      <c r="EG756" t="s">
        <v>198</v>
      </c>
      <c r="EQ756" t="s">
        <v>198</v>
      </c>
      <c r="FA756" t="s">
        <v>198</v>
      </c>
      <c r="FK756" t="s">
        <v>198</v>
      </c>
      <c r="FU756" t="s">
        <v>198</v>
      </c>
    </row>
    <row r="757" spans="1:177">
      <c r="A757" s="1" t="str">
        <f>HYPERLINK("http://digipan.lumentumllc.com/apps/getLink/index.php?t=PropLink&amp;p=6461757","PL")</f>
        <v>PL</v>
      </c>
      <c r="B757" s="1" t="str">
        <f>HYPERLINK("http://digipan.lumentumllc.com/apps/getLink/index.php?t=TaxLink&amp;p=6461757","TL")</f>
        <v>TL</v>
      </c>
      <c r="C757" s="1" t="str">
        <f>HYPERLINK("http://digipan.lumentumllc.com/apps/getMap/index.php?p=6461757","Map")</f>
        <v>Map</v>
      </c>
      <c r="E757" t="s">
        <v>177</v>
      </c>
      <c r="F757" t="s">
        <v>178</v>
      </c>
      <c r="L757" t="s">
        <v>10556</v>
      </c>
      <c r="N757" t="s">
        <v>10556</v>
      </c>
      <c r="O757" t="s">
        <v>10556</v>
      </c>
      <c r="P757" t="s">
        <v>10557</v>
      </c>
      <c r="Q757" t="s">
        <v>10556</v>
      </c>
      <c r="V757">
        <v>883</v>
      </c>
      <c r="W757">
        <v>3</v>
      </c>
      <c r="X757">
        <v>2017</v>
      </c>
      <c r="Y757">
        <v>2018</v>
      </c>
      <c r="Z757">
        <v>557.29999999999995</v>
      </c>
      <c r="AB757" t="s">
        <v>181</v>
      </c>
      <c r="AC757" t="s">
        <v>182</v>
      </c>
      <c r="AD757" t="s">
        <v>183</v>
      </c>
      <c r="AE757">
        <v>0</v>
      </c>
      <c r="AF757">
        <v>1</v>
      </c>
      <c r="AG757" t="s">
        <v>821</v>
      </c>
      <c r="AH757">
        <v>100</v>
      </c>
      <c r="AK757">
        <v>0</v>
      </c>
      <c r="AL757">
        <v>72481</v>
      </c>
      <c r="AM757">
        <v>54900</v>
      </c>
      <c r="AN757">
        <v>17581</v>
      </c>
      <c r="AO757">
        <v>485</v>
      </c>
      <c r="AP757">
        <v>2016</v>
      </c>
      <c r="AQ757">
        <v>0.77</v>
      </c>
      <c r="AS757" t="s">
        <v>10558</v>
      </c>
      <c r="AT757" t="s">
        <v>3747</v>
      </c>
      <c r="AU757" t="s">
        <v>177</v>
      </c>
      <c r="AV757" t="s">
        <v>1030</v>
      </c>
      <c r="AW757" t="s">
        <v>202</v>
      </c>
      <c r="AX757">
        <v>2</v>
      </c>
      <c r="AY757" t="s">
        <v>188</v>
      </c>
      <c r="AZ757" t="s">
        <v>189</v>
      </c>
      <c r="BA757" t="s">
        <v>190</v>
      </c>
      <c r="BB757" t="s">
        <v>191</v>
      </c>
      <c r="BC757" t="s">
        <v>182</v>
      </c>
      <c r="BD757" t="s">
        <v>182</v>
      </c>
      <c r="BE757" t="s">
        <v>10559</v>
      </c>
      <c r="BF757">
        <v>1</v>
      </c>
      <c r="BG757">
        <v>1</v>
      </c>
      <c r="BH757">
        <v>1981</v>
      </c>
      <c r="BI757" t="s">
        <v>3333</v>
      </c>
      <c r="BJ757" t="s">
        <v>194</v>
      </c>
      <c r="BK757" t="s">
        <v>195</v>
      </c>
      <c r="BL757" t="s">
        <v>199</v>
      </c>
      <c r="BM757" t="s">
        <v>302</v>
      </c>
      <c r="BN757" t="s">
        <v>182</v>
      </c>
      <c r="BO757" t="s">
        <v>198</v>
      </c>
      <c r="BP757" t="s">
        <v>198</v>
      </c>
      <c r="BQ757" t="s">
        <v>198</v>
      </c>
      <c r="BR757" t="s">
        <v>198</v>
      </c>
      <c r="BS757" t="s">
        <v>198</v>
      </c>
      <c r="BT757" t="s">
        <v>198</v>
      </c>
      <c r="BU757" t="s">
        <v>182</v>
      </c>
      <c r="BV757" t="s">
        <v>198</v>
      </c>
      <c r="BW757" t="s">
        <v>198</v>
      </c>
      <c r="BX757" t="s">
        <v>199</v>
      </c>
      <c r="BY757" t="s">
        <v>198</v>
      </c>
      <c r="BZ757" t="s">
        <v>199</v>
      </c>
      <c r="CA757" t="s">
        <v>199</v>
      </c>
      <c r="CB757" t="s">
        <v>10560</v>
      </c>
      <c r="CC757" t="s">
        <v>201</v>
      </c>
      <c r="CD757" t="s">
        <v>182</v>
      </c>
      <c r="CE757" t="s">
        <v>10561</v>
      </c>
      <c r="CF757" t="s">
        <v>1029</v>
      </c>
      <c r="CG757" t="s">
        <v>177</v>
      </c>
      <c r="CH757" t="s">
        <v>1030</v>
      </c>
      <c r="CI757" t="s">
        <v>10562</v>
      </c>
      <c r="CJ757" t="s">
        <v>7989</v>
      </c>
      <c r="CK757" t="s">
        <v>302</v>
      </c>
      <c r="CL757" t="s">
        <v>303</v>
      </c>
      <c r="CM757" t="s">
        <v>10563</v>
      </c>
      <c r="CN757" t="s">
        <v>927</v>
      </c>
      <c r="CO757" t="s">
        <v>183</v>
      </c>
      <c r="CP757" t="s">
        <v>211</v>
      </c>
      <c r="CQ757" t="s">
        <v>199</v>
      </c>
      <c r="CS757" t="s">
        <v>2038</v>
      </c>
      <c r="DC757" t="s">
        <v>198</v>
      </c>
      <c r="DM757" t="s">
        <v>198</v>
      </c>
      <c r="DW757" t="s">
        <v>198</v>
      </c>
      <c r="EG757" t="s">
        <v>198</v>
      </c>
      <c r="EQ757" t="s">
        <v>198</v>
      </c>
      <c r="FA757" t="s">
        <v>198</v>
      </c>
      <c r="FK757" t="s">
        <v>198</v>
      </c>
      <c r="FU757" t="s">
        <v>198</v>
      </c>
    </row>
    <row r="758" spans="1:177">
      <c r="A758" s="1" t="str">
        <f>HYPERLINK("http://digipan.lumentumllc.com/apps/getLink/index.php?t=PropLink&amp;p=4637422","PL")</f>
        <v>PL</v>
      </c>
      <c r="B758" s="1" t="str">
        <f>HYPERLINK("http://digipan.lumentumllc.com/apps/getLink/index.php?t=TaxLink&amp;p=4637422","TL")</f>
        <v>TL</v>
      </c>
      <c r="C758" s="1" t="str">
        <f>HYPERLINK("http://digipan.lumentumllc.com/apps/getMap/index.php?p=4637422","Map")</f>
        <v>Map</v>
      </c>
      <c r="E758" t="s">
        <v>177</v>
      </c>
      <c r="F758" t="s">
        <v>178</v>
      </c>
      <c r="L758" t="s">
        <v>10564</v>
      </c>
      <c r="N758" t="s">
        <v>10564</v>
      </c>
      <c r="O758" t="s">
        <v>10564</v>
      </c>
      <c r="P758" t="s">
        <v>10565</v>
      </c>
      <c r="Q758" t="s">
        <v>10564</v>
      </c>
      <c r="V758">
        <v>884</v>
      </c>
      <c r="W758">
        <v>3</v>
      </c>
      <c r="X758">
        <v>2017</v>
      </c>
      <c r="Y758">
        <v>2018</v>
      </c>
      <c r="Z758">
        <v>331.26</v>
      </c>
      <c r="AB758" t="s">
        <v>181</v>
      </c>
      <c r="AC758" t="s">
        <v>182</v>
      </c>
      <c r="AD758" t="s">
        <v>183</v>
      </c>
      <c r="AE758">
        <v>0</v>
      </c>
      <c r="AF758">
        <v>6</v>
      </c>
      <c r="AG758" t="s">
        <v>3266</v>
      </c>
      <c r="AH758">
        <v>100</v>
      </c>
      <c r="AK758">
        <v>0</v>
      </c>
      <c r="AL758">
        <v>181950</v>
      </c>
      <c r="AM758">
        <v>18279</v>
      </c>
      <c r="AN758">
        <v>163671</v>
      </c>
      <c r="AO758">
        <v>253</v>
      </c>
      <c r="AP758">
        <v>2016</v>
      </c>
      <c r="AQ758">
        <v>0.18</v>
      </c>
      <c r="AS758" t="s">
        <v>3209</v>
      </c>
      <c r="AT758" t="s">
        <v>3747</v>
      </c>
      <c r="AU758" t="s">
        <v>177</v>
      </c>
      <c r="AV758" t="s">
        <v>1030</v>
      </c>
      <c r="AW758" t="s">
        <v>182</v>
      </c>
      <c r="AX758">
        <v>55</v>
      </c>
      <c r="AY758" t="s">
        <v>218</v>
      </c>
      <c r="AZ758" t="s">
        <v>1682</v>
      </c>
      <c r="BA758" t="s">
        <v>1683</v>
      </c>
      <c r="BB758" t="s">
        <v>191</v>
      </c>
      <c r="BC758" t="s">
        <v>182</v>
      </c>
      <c r="BD758" t="s">
        <v>182</v>
      </c>
      <c r="BE758" t="s">
        <v>10566</v>
      </c>
      <c r="BF758">
        <v>0</v>
      </c>
      <c r="BG758">
        <v>0</v>
      </c>
      <c r="BH758">
        <v>0</v>
      </c>
      <c r="BI758" t="s">
        <v>199</v>
      </c>
      <c r="BJ758" t="s">
        <v>315</v>
      </c>
      <c r="BL758" t="s">
        <v>199</v>
      </c>
      <c r="BM758" t="s">
        <v>533</v>
      </c>
      <c r="BN758" t="s">
        <v>182</v>
      </c>
      <c r="BO758" t="s">
        <v>198</v>
      </c>
      <c r="BP758" t="s">
        <v>198</v>
      </c>
      <c r="BQ758" t="s">
        <v>198</v>
      </c>
      <c r="BR758" t="s">
        <v>198</v>
      </c>
      <c r="BS758" t="s">
        <v>198</v>
      </c>
      <c r="BT758" t="s">
        <v>198</v>
      </c>
      <c r="BU758" t="s">
        <v>182</v>
      </c>
      <c r="BV758" t="s">
        <v>198</v>
      </c>
      <c r="BW758" t="s">
        <v>198</v>
      </c>
      <c r="BX758" t="s">
        <v>199</v>
      </c>
      <c r="BY758" t="s">
        <v>198</v>
      </c>
      <c r="BZ758" t="s">
        <v>199</v>
      </c>
      <c r="CA758" t="s">
        <v>199</v>
      </c>
      <c r="CB758" t="s">
        <v>10567</v>
      </c>
      <c r="CC758" t="s">
        <v>201</v>
      </c>
      <c r="CD758" t="s">
        <v>182</v>
      </c>
      <c r="CE758" t="s">
        <v>10568</v>
      </c>
      <c r="CF758" t="s">
        <v>1029</v>
      </c>
      <c r="CG758" t="s">
        <v>177</v>
      </c>
      <c r="CH758" t="s">
        <v>1030</v>
      </c>
      <c r="CI758" t="s">
        <v>10569</v>
      </c>
      <c r="CJ758" t="s">
        <v>7292</v>
      </c>
      <c r="CK758" t="s">
        <v>232</v>
      </c>
      <c r="CL758" t="s">
        <v>233</v>
      </c>
      <c r="CM758" t="s">
        <v>10570</v>
      </c>
      <c r="CN758" t="s">
        <v>235</v>
      </c>
      <c r="CO758" t="s">
        <v>183</v>
      </c>
      <c r="CP758" t="s">
        <v>211</v>
      </c>
      <c r="CQ758" t="s">
        <v>342</v>
      </c>
      <c r="CS758" t="s">
        <v>375</v>
      </c>
      <c r="CT758" t="s">
        <v>10571</v>
      </c>
      <c r="CU758" t="s">
        <v>292</v>
      </c>
      <c r="CV758" t="s">
        <v>293</v>
      </c>
      <c r="CW758" t="s">
        <v>10572</v>
      </c>
      <c r="CX758" t="s">
        <v>235</v>
      </c>
      <c r="CY758" t="s">
        <v>183</v>
      </c>
      <c r="CZ758" t="s">
        <v>211</v>
      </c>
      <c r="DA758" t="s">
        <v>298</v>
      </c>
      <c r="DC758" t="s">
        <v>5771</v>
      </c>
      <c r="DD758" t="s">
        <v>7395</v>
      </c>
      <c r="DE758" t="s">
        <v>267</v>
      </c>
      <c r="DF758" t="s">
        <v>268</v>
      </c>
      <c r="DG758" t="s">
        <v>10573</v>
      </c>
      <c r="DH758" t="s">
        <v>331</v>
      </c>
      <c r="DI758" t="s">
        <v>183</v>
      </c>
      <c r="DJ758" t="s">
        <v>211</v>
      </c>
      <c r="DK758" t="s">
        <v>290</v>
      </c>
      <c r="DM758" t="s">
        <v>6705</v>
      </c>
      <c r="DN758" t="s">
        <v>10574</v>
      </c>
      <c r="DO758" t="s">
        <v>302</v>
      </c>
      <c r="DP758" t="s">
        <v>303</v>
      </c>
      <c r="DQ758" t="s">
        <v>10575</v>
      </c>
      <c r="DR758" t="s">
        <v>2515</v>
      </c>
      <c r="DS758" t="s">
        <v>183</v>
      </c>
      <c r="DT758" t="s">
        <v>211</v>
      </c>
      <c r="DU758" t="s">
        <v>342</v>
      </c>
      <c r="DW758" t="s">
        <v>10576</v>
      </c>
      <c r="DX758" t="s">
        <v>10577</v>
      </c>
      <c r="DY758" t="s">
        <v>238</v>
      </c>
      <c r="DZ758" t="s">
        <v>239</v>
      </c>
      <c r="EA758" t="s">
        <v>10578</v>
      </c>
      <c r="EB758" t="s">
        <v>688</v>
      </c>
      <c r="EC758" t="s">
        <v>183</v>
      </c>
      <c r="ED758" t="s">
        <v>211</v>
      </c>
      <c r="EE758" t="s">
        <v>298</v>
      </c>
      <c r="EG758" t="s">
        <v>3501</v>
      </c>
      <c r="EH758" t="s">
        <v>10579</v>
      </c>
      <c r="EI758" t="s">
        <v>207</v>
      </c>
      <c r="EJ758" t="s">
        <v>208</v>
      </c>
      <c r="EK758" t="s">
        <v>10580</v>
      </c>
      <c r="EL758" t="s">
        <v>576</v>
      </c>
      <c r="EM758" t="s">
        <v>183</v>
      </c>
      <c r="EN758" t="s">
        <v>211</v>
      </c>
      <c r="EO758" t="s">
        <v>329</v>
      </c>
      <c r="EQ758" t="s">
        <v>5141</v>
      </c>
      <c r="FA758" t="s">
        <v>198</v>
      </c>
      <c r="FK758" t="s">
        <v>198</v>
      </c>
      <c r="FU758" t="s">
        <v>198</v>
      </c>
    </row>
    <row r="759" spans="1:177">
      <c r="A759" s="1" t="str">
        <f>HYPERLINK("http://digipan.lumentumllc.com/apps/getLink/index.php?t=PropLink&amp;p=4637423","PL")</f>
        <v>PL</v>
      </c>
      <c r="B759" s="1" t="str">
        <f>HYPERLINK("http://digipan.lumentumllc.com/apps/getLink/index.php?t=TaxLink&amp;p=4637423","TL")</f>
        <v>TL</v>
      </c>
      <c r="C759" s="1" t="str">
        <f>HYPERLINK("http://digipan.lumentumllc.com/apps/getMap/index.php?p=4637423","Map")</f>
        <v>Map</v>
      </c>
      <c r="E759" t="s">
        <v>177</v>
      </c>
      <c r="F759" t="s">
        <v>178</v>
      </c>
      <c r="L759" t="s">
        <v>10581</v>
      </c>
      <c r="N759" t="s">
        <v>10581</v>
      </c>
      <c r="O759" t="s">
        <v>10581</v>
      </c>
      <c r="P759" t="s">
        <v>10582</v>
      </c>
      <c r="Q759" t="s">
        <v>10581</v>
      </c>
      <c r="V759">
        <v>885</v>
      </c>
      <c r="W759">
        <v>3</v>
      </c>
      <c r="X759">
        <v>2017</v>
      </c>
      <c r="Y759">
        <v>2018</v>
      </c>
      <c r="Z759">
        <v>288.99</v>
      </c>
      <c r="AB759" t="s">
        <v>181</v>
      </c>
      <c r="AC759" t="s">
        <v>182</v>
      </c>
      <c r="AD759" t="s">
        <v>183</v>
      </c>
      <c r="AE759">
        <v>0</v>
      </c>
      <c r="AF759">
        <v>6</v>
      </c>
      <c r="AG759" t="s">
        <v>3266</v>
      </c>
      <c r="AH759">
        <v>100</v>
      </c>
      <c r="AK759">
        <v>0</v>
      </c>
      <c r="AL759">
        <v>141645</v>
      </c>
      <c r="AM759">
        <v>15696</v>
      </c>
      <c r="AN759">
        <v>125949</v>
      </c>
      <c r="AO759">
        <v>219</v>
      </c>
      <c r="AP759">
        <v>2016</v>
      </c>
      <c r="AQ759">
        <v>0.2</v>
      </c>
      <c r="AS759" t="s">
        <v>3209</v>
      </c>
      <c r="AT759" t="s">
        <v>3747</v>
      </c>
      <c r="AU759" t="s">
        <v>177</v>
      </c>
      <c r="AV759" t="s">
        <v>1030</v>
      </c>
      <c r="AW759" t="s">
        <v>182</v>
      </c>
      <c r="AX759">
        <v>55</v>
      </c>
      <c r="AY759" t="s">
        <v>218</v>
      </c>
      <c r="AZ759" t="s">
        <v>1682</v>
      </c>
      <c r="BA759" t="s">
        <v>1683</v>
      </c>
      <c r="BB759" t="s">
        <v>191</v>
      </c>
      <c r="BC759" t="s">
        <v>182</v>
      </c>
      <c r="BD759" t="s">
        <v>182</v>
      </c>
      <c r="BE759" t="s">
        <v>10583</v>
      </c>
      <c r="BF759">
        <v>0</v>
      </c>
      <c r="BG759">
        <v>0</v>
      </c>
      <c r="BH759">
        <v>0</v>
      </c>
      <c r="BI759" t="s">
        <v>199</v>
      </c>
      <c r="BJ759" t="s">
        <v>315</v>
      </c>
      <c r="BL759" t="s">
        <v>199</v>
      </c>
      <c r="BM759" t="s">
        <v>533</v>
      </c>
      <c r="BN759" t="s">
        <v>182</v>
      </c>
      <c r="BO759" t="s">
        <v>198</v>
      </c>
      <c r="BP759" t="s">
        <v>198</v>
      </c>
      <c r="BQ759" t="s">
        <v>198</v>
      </c>
      <c r="BR759" t="s">
        <v>198</v>
      </c>
      <c r="BS759" t="s">
        <v>198</v>
      </c>
      <c r="BT759" t="s">
        <v>198</v>
      </c>
      <c r="BU759" t="s">
        <v>182</v>
      </c>
      <c r="BV759" t="s">
        <v>198</v>
      </c>
      <c r="BW759" t="s">
        <v>198</v>
      </c>
      <c r="BX759" t="s">
        <v>199</v>
      </c>
      <c r="BY759" t="s">
        <v>198</v>
      </c>
      <c r="BZ759" t="s">
        <v>199</v>
      </c>
      <c r="CA759" t="s">
        <v>199</v>
      </c>
      <c r="CB759" t="s">
        <v>10567</v>
      </c>
      <c r="CC759" t="s">
        <v>201</v>
      </c>
      <c r="CD759" t="s">
        <v>182</v>
      </c>
      <c r="CE759" t="s">
        <v>10568</v>
      </c>
      <c r="CF759" t="s">
        <v>1029</v>
      </c>
      <c r="CG759" t="s">
        <v>177</v>
      </c>
      <c r="CH759" t="s">
        <v>1030</v>
      </c>
      <c r="CI759" t="s">
        <v>10569</v>
      </c>
      <c r="CJ759" t="s">
        <v>8703</v>
      </c>
      <c r="CK759" t="s">
        <v>232</v>
      </c>
      <c r="CL759" t="s">
        <v>233</v>
      </c>
      <c r="CM759" t="s">
        <v>10584</v>
      </c>
      <c r="CN759" t="s">
        <v>235</v>
      </c>
      <c r="CO759" t="s">
        <v>183</v>
      </c>
      <c r="CP759" t="s">
        <v>211</v>
      </c>
      <c r="CQ759" t="s">
        <v>342</v>
      </c>
      <c r="CS759" t="s">
        <v>375</v>
      </c>
      <c r="CT759" t="s">
        <v>8560</v>
      </c>
      <c r="CU759" t="s">
        <v>292</v>
      </c>
      <c r="CV759" t="s">
        <v>293</v>
      </c>
      <c r="CW759" t="s">
        <v>10585</v>
      </c>
      <c r="CX759" t="s">
        <v>235</v>
      </c>
      <c r="CY759" t="s">
        <v>183</v>
      </c>
      <c r="CZ759" t="s">
        <v>211</v>
      </c>
      <c r="DA759" t="s">
        <v>206</v>
      </c>
      <c r="DC759" t="s">
        <v>10586</v>
      </c>
      <c r="DD759" t="s">
        <v>8751</v>
      </c>
      <c r="DE759" t="s">
        <v>267</v>
      </c>
      <c r="DF759" t="s">
        <v>268</v>
      </c>
      <c r="DG759" t="s">
        <v>10587</v>
      </c>
      <c r="DH759" t="s">
        <v>331</v>
      </c>
      <c r="DI759" t="s">
        <v>183</v>
      </c>
      <c r="DJ759" t="s">
        <v>211</v>
      </c>
      <c r="DK759" t="s">
        <v>290</v>
      </c>
      <c r="DM759" t="s">
        <v>6705</v>
      </c>
      <c r="DN759" t="s">
        <v>8038</v>
      </c>
      <c r="DO759" t="s">
        <v>302</v>
      </c>
      <c r="DP759" t="s">
        <v>303</v>
      </c>
      <c r="DQ759" t="s">
        <v>10588</v>
      </c>
      <c r="DR759" t="s">
        <v>341</v>
      </c>
      <c r="DS759" t="s">
        <v>183</v>
      </c>
      <c r="DT759" t="s">
        <v>211</v>
      </c>
      <c r="DU759" t="s">
        <v>342</v>
      </c>
      <c r="DW759" t="s">
        <v>10576</v>
      </c>
      <c r="DX759" t="s">
        <v>10589</v>
      </c>
      <c r="DY759" t="s">
        <v>238</v>
      </c>
      <c r="DZ759" t="s">
        <v>239</v>
      </c>
      <c r="EA759" t="s">
        <v>10590</v>
      </c>
      <c r="EB759" t="s">
        <v>1491</v>
      </c>
      <c r="EC759" t="s">
        <v>183</v>
      </c>
      <c r="ED759" t="s">
        <v>211</v>
      </c>
      <c r="EE759" t="s">
        <v>298</v>
      </c>
      <c r="EG759" t="s">
        <v>3501</v>
      </c>
      <c r="EH759" t="s">
        <v>10525</v>
      </c>
      <c r="EI759" t="s">
        <v>207</v>
      </c>
      <c r="EJ759" t="s">
        <v>208</v>
      </c>
      <c r="EK759" t="s">
        <v>10591</v>
      </c>
      <c r="EL759" t="s">
        <v>576</v>
      </c>
      <c r="EM759" t="s">
        <v>183</v>
      </c>
      <c r="EN759" t="s">
        <v>211</v>
      </c>
      <c r="EO759" t="s">
        <v>329</v>
      </c>
      <c r="EQ759" t="s">
        <v>5141</v>
      </c>
      <c r="FA759" t="s">
        <v>198</v>
      </c>
      <c r="FK759" t="s">
        <v>198</v>
      </c>
      <c r="FU759" t="s">
        <v>198</v>
      </c>
    </row>
    <row r="760" spans="1:177">
      <c r="A760" s="1" t="str">
        <f>HYPERLINK("http://digipan.lumentumllc.com/apps/getLink/index.php?t=PropLink&amp;p=5245157","PL")</f>
        <v>PL</v>
      </c>
      <c r="B760" s="1" t="str">
        <f>HYPERLINK("http://digipan.lumentumllc.com/apps/getLink/index.php?t=TaxLink&amp;p=5245157","TL")</f>
        <v>TL</v>
      </c>
      <c r="C760" s="1" t="str">
        <f>HYPERLINK("http://digipan.lumentumllc.com/apps/getMap/index.php?p=5245157","Map")</f>
        <v>Map</v>
      </c>
      <c r="E760" t="s">
        <v>177</v>
      </c>
      <c r="F760" t="s">
        <v>178</v>
      </c>
      <c r="L760" t="s">
        <v>10592</v>
      </c>
      <c r="N760" t="s">
        <v>10592</v>
      </c>
      <c r="O760" t="s">
        <v>10592</v>
      </c>
      <c r="P760" t="s">
        <v>10593</v>
      </c>
      <c r="Q760" t="s">
        <v>10592</v>
      </c>
      <c r="V760">
        <v>886</v>
      </c>
      <c r="W760">
        <v>3</v>
      </c>
      <c r="X760">
        <v>2017</v>
      </c>
      <c r="Y760">
        <v>2018</v>
      </c>
      <c r="Z760">
        <v>503.25</v>
      </c>
      <c r="AB760" t="s">
        <v>181</v>
      </c>
      <c r="AC760" t="s">
        <v>182</v>
      </c>
      <c r="AD760" t="s">
        <v>183</v>
      </c>
      <c r="AE760">
        <v>1</v>
      </c>
      <c r="AF760">
        <v>5</v>
      </c>
      <c r="AG760" t="s">
        <v>951</v>
      </c>
      <c r="AH760">
        <v>80</v>
      </c>
      <c r="AI760">
        <v>465.25</v>
      </c>
      <c r="AJ760">
        <v>23.26</v>
      </c>
      <c r="AK760">
        <v>488.51</v>
      </c>
      <c r="AL760">
        <v>238590</v>
      </c>
      <c r="AM760">
        <v>28783</v>
      </c>
      <c r="AN760">
        <v>209807</v>
      </c>
      <c r="AO760">
        <v>405</v>
      </c>
      <c r="AP760">
        <v>2016</v>
      </c>
      <c r="AQ760">
        <v>0.21</v>
      </c>
      <c r="AR760">
        <v>0.2</v>
      </c>
      <c r="AS760" t="s">
        <v>10594</v>
      </c>
      <c r="AT760" t="s">
        <v>3747</v>
      </c>
      <c r="AU760" t="s">
        <v>177</v>
      </c>
      <c r="AV760" t="s">
        <v>1030</v>
      </c>
      <c r="AW760" t="s">
        <v>182</v>
      </c>
      <c r="AX760">
        <v>55</v>
      </c>
      <c r="AY760" t="s">
        <v>218</v>
      </c>
      <c r="AZ760" t="s">
        <v>1682</v>
      </c>
      <c r="BA760" t="s">
        <v>1683</v>
      </c>
      <c r="BB760" t="s">
        <v>191</v>
      </c>
      <c r="BC760" t="s">
        <v>182</v>
      </c>
      <c r="BD760" t="s">
        <v>182</v>
      </c>
      <c r="BE760" t="s">
        <v>10595</v>
      </c>
      <c r="BF760">
        <v>0</v>
      </c>
      <c r="BG760">
        <v>0</v>
      </c>
      <c r="BH760">
        <v>0</v>
      </c>
      <c r="BI760" t="s">
        <v>199</v>
      </c>
      <c r="BJ760" t="s">
        <v>315</v>
      </c>
      <c r="BL760" t="s">
        <v>199</v>
      </c>
      <c r="BM760" t="s">
        <v>533</v>
      </c>
      <c r="BN760" t="s">
        <v>182</v>
      </c>
      <c r="BO760" t="s">
        <v>198</v>
      </c>
      <c r="BP760" t="s">
        <v>198</v>
      </c>
      <c r="BQ760" t="s">
        <v>198</v>
      </c>
      <c r="BR760" t="s">
        <v>198</v>
      </c>
      <c r="BS760" t="s">
        <v>198</v>
      </c>
      <c r="BT760" t="s">
        <v>198</v>
      </c>
      <c r="BU760" t="s">
        <v>182</v>
      </c>
      <c r="BV760" t="s">
        <v>198</v>
      </c>
      <c r="BW760" t="s">
        <v>198</v>
      </c>
      <c r="BX760" t="s">
        <v>199</v>
      </c>
      <c r="BY760" t="s">
        <v>198</v>
      </c>
      <c r="BZ760" t="s">
        <v>199</v>
      </c>
      <c r="CA760" t="s">
        <v>199</v>
      </c>
      <c r="CB760" t="s">
        <v>10596</v>
      </c>
      <c r="CC760" t="s">
        <v>201</v>
      </c>
      <c r="CD760" t="s">
        <v>182</v>
      </c>
      <c r="CE760" t="s">
        <v>10597</v>
      </c>
      <c r="CF760" t="s">
        <v>1029</v>
      </c>
      <c r="CG760" t="s">
        <v>177</v>
      </c>
      <c r="CH760" t="s">
        <v>1030</v>
      </c>
      <c r="CI760" t="s">
        <v>10598</v>
      </c>
      <c r="CJ760" t="s">
        <v>7134</v>
      </c>
      <c r="CK760" t="s">
        <v>232</v>
      </c>
      <c r="CL760" t="s">
        <v>233</v>
      </c>
      <c r="CM760" t="s">
        <v>10599</v>
      </c>
      <c r="CN760" t="s">
        <v>235</v>
      </c>
      <c r="CO760" t="s">
        <v>183</v>
      </c>
      <c r="CP760" t="s">
        <v>266</v>
      </c>
      <c r="CS760" t="s">
        <v>198</v>
      </c>
      <c r="CT760" t="s">
        <v>10425</v>
      </c>
      <c r="CU760" t="s">
        <v>292</v>
      </c>
      <c r="CV760" t="s">
        <v>293</v>
      </c>
      <c r="CW760" t="s">
        <v>10600</v>
      </c>
      <c r="CX760" t="s">
        <v>235</v>
      </c>
      <c r="CY760" t="s">
        <v>183</v>
      </c>
      <c r="CZ760" t="s">
        <v>211</v>
      </c>
      <c r="DA760" t="s">
        <v>342</v>
      </c>
      <c r="DC760" t="s">
        <v>10007</v>
      </c>
      <c r="DD760" t="s">
        <v>9883</v>
      </c>
      <c r="DE760" t="s">
        <v>267</v>
      </c>
      <c r="DF760" t="s">
        <v>268</v>
      </c>
      <c r="DG760" t="s">
        <v>10601</v>
      </c>
      <c r="DH760" t="s">
        <v>331</v>
      </c>
      <c r="DI760" t="s">
        <v>183</v>
      </c>
      <c r="DJ760" t="s">
        <v>211</v>
      </c>
      <c r="DK760" t="s">
        <v>339</v>
      </c>
      <c r="DM760" t="s">
        <v>10602</v>
      </c>
      <c r="DN760" t="s">
        <v>10603</v>
      </c>
      <c r="DO760" t="s">
        <v>302</v>
      </c>
      <c r="DP760" t="s">
        <v>303</v>
      </c>
      <c r="DQ760" t="s">
        <v>10604</v>
      </c>
      <c r="DR760" t="s">
        <v>436</v>
      </c>
      <c r="DS760" t="s">
        <v>183</v>
      </c>
      <c r="DT760" t="s">
        <v>211</v>
      </c>
      <c r="DU760" t="s">
        <v>342</v>
      </c>
      <c r="DW760" t="s">
        <v>10576</v>
      </c>
      <c r="DX760" t="s">
        <v>8588</v>
      </c>
      <c r="DY760" t="s">
        <v>238</v>
      </c>
      <c r="DZ760" t="s">
        <v>239</v>
      </c>
      <c r="EA760" t="s">
        <v>10605</v>
      </c>
      <c r="EB760" t="s">
        <v>295</v>
      </c>
      <c r="EC760" t="s">
        <v>183</v>
      </c>
      <c r="ED760" t="s">
        <v>211</v>
      </c>
      <c r="EE760" t="s">
        <v>342</v>
      </c>
      <c r="EG760" t="s">
        <v>10606</v>
      </c>
      <c r="EH760" t="s">
        <v>10607</v>
      </c>
      <c r="EI760" t="s">
        <v>207</v>
      </c>
      <c r="EJ760" t="s">
        <v>208</v>
      </c>
      <c r="EK760" t="s">
        <v>10608</v>
      </c>
      <c r="EL760" t="s">
        <v>576</v>
      </c>
      <c r="EM760" t="s">
        <v>183</v>
      </c>
      <c r="EN760" t="s">
        <v>211</v>
      </c>
      <c r="EO760" t="s">
        <v>212</v>
      </c>
      <c r="EQ760" t="s">
        <v>8432</v>
      </c>
      <c r="FA760" t="s">
        <v>198</v>
      </c>
      <c r="FK760" t="s">
        <v>198</v>
      </c>
      <c r="FU760" t="s">
        <v>198</v>
      </c>
    </row>
    <row r="761" spans="1:177">
      <c r="A761" s="1" t="str">
        <f>HYPERLINK("http://digipan.lumentumllc.com/apps/getLink/index.php?t=PropLink&amp;p=5245159","PL")</f>
        <v>PL</v>
      </c>
      <c r="B761" s="1" t="str">
        <f>HYPERLINK("http://digipan.lumentumllc.com/apps/getLink/index.php?t=TaxLink&amp;p=5245159","TL")</f>
        <v>TL</v>
      </c>
      <c r="C761" s="1" t="str">
        <f>HYPERLINK("http://digipan.lumentumllc.com/apps/getMap/index.php?p=5245159","Map")</f>
        <v>Map</v>
      </c>
      <c r="E761" t="s">
        <v>177</v>
      </c>
      <c r="F761" t="s">
        <v>178</v>
      </c>
      <c r="L761" t="s">
        <v>10609</v>
      </c>
      <c r="N761" t="s">
        <v>10609</v>
      </c>
      <c r="O761" t="s">
        <v>10609</v>
      </c>
      <c r="P761" t="s">
        <v>10610</v>
      </c>
      <c r="Q761" t="s">
        <v>10609</v>
      </c>
      <c r="V761">
        <v>888</v>
      </c>
      <c r="W761">
        <v>3</v>
      </c>
      <c r="X761">
        <v>2017</v>
      </c>
      <c r="Y761">
        <v>2018</v>
      </c>
      <c r="Z761">
        <v>140.07</v>
      </c>
      <c r="AB761" t="s">
        <v>181</v>
      </c>
      <c r="AC761" t="s">
        <v>182</v>
      </c>
      <c r="AD761" t="s">
        <v>183</v>
      </c>
      <c r="AE761">
        <v>0</v>
      </c>
      <c r="AF761">
        <v>5</v>
      </c>
      <c r="AG761" t="s">
        <v>744</v>
      </c>
      <c r="AH761">
        <v>100</v>
      </c>
      <c r="AK761">
        <v>0</v>
      </c>
      <c r="AL761">
        <v>90000</v>
      </c>
      <c r="AM761">
        <v>6600</v>
      </c>
      <c r="AN761">
        <v>83400</v>
      </c>
      <c r="AO761">
        <v>92</v>
      </c>
      <c r="AP761">
        <v>2016</v>
      </c>
      <c r="AQ761">
        <v>0.16</v>
      </c>
      <c r="AS761" t="s">
        <v>3209</v>
      </c>
      <c r="AT761" t="s">
        <v>3747</v>
      </c>
      <c r="AU761" t="s">
        <v>177</v>
      </c>
      <c r="AV761" t="s">
        <v>1030</v>
      </c>
      <c r="AW761" t="s">
        <v>182</v>
      </c>
      <c r="AX761">
        <v>55</v>
      </c>
      <c r="AY761" t="s">
        <v>218</v>
      </c>
      <c r="AZ761" t="s">
        <v>1682</v>
      </c>
      <c r="BA761" t="s">
        <v>1683</v>
      </c>
      <c r="BB761" t="s">
        <v>191</v>
      </c>
      <c r="BC761" t="s">
        <v>182</v>
      </c>
      <c r="BD761" t="s">
        <v>182</v>
      </c>
      <c r="BE761" t="s">
        <v>2132</v>
      </c>
      <c r="BF761">
        <v>0</v>
      </c>
      <c r="BG761">
        <v>0</v>
      </c>
      <c r="BH761">
        <v>0</v>
      </c>
      <c r="BI761" t="s">
        <v>199</v>
      </c>
      <c r="BJ761" t="s">
        <v>315</v>
      </c>
      <c r="BL761" t="s">
        <v>199</v>
      </c>
      <c r="BM761" t="s">
        <v>533</v>
      </c>
      <c r="BN761" t="s">
        <v>182</v>
      </c>
      <c r="BO761" t="s">
        <v>198</v>
      </c>
      <c r="BP761" t="s">
        <v>198</v>
      </c>
      <c r="BQ761" t="s">
        <v>198</v>
      </c>
      <c r="BR761" t="s">
        <v>198</v>
      </c>
      <c r="BS761" t="s">
        <v>198</v>
      </c>
      <c r="BT761" t="s">
        <v>198</v>
      </c>
      <c r="BU761" t="s">
        <v>182</v>
      </c>
      <c r="BV761" t="s">
        <v>198</v>
      </c>
      <c r="BW761" t="s">
        <v>198</v>
      </c>
      <c r="BX761" t="s">
        <v>199</v>
      </c>
      <c r="BY761" t="s">
        <v>198</v>
      </c>
      <c r="BZ761" t="s">
        <v>199</v>
      </c>
      <c r="CA761" t="s">
        <v>199</v>
      </c>
      <c r="CB761" t="s">
        <v>10596</v>
      </c>
      <c r="CC761" t="s">
        <v>201</v>
      </c>
      <c r="CD761" t="s">
        <v>182</v>
      </c>
      <c r="CE761" t="s">
        <v>10597</v>
      </c>
      <c r="CF761" t="s">
        <v>1029</v>
      </c>
      <c r="CG761" t="s">
        <v>177</v>
      </c>
      <c r="CH761" t="s">
        <v>1030</v>
      </c>
      <c r="CI761" t="s">
        <v>10611</v>
      </c>
      <c r="CJ761" t="s">
        <v>8585</v>
      </c>
      <c r="CK761" t="s">
        <v>292</v>
      </c>
      <c r="CL761" t="s">
        <v>293</v>
      </c>
      <c r="CM761" t="s">
        <v>10612</v>
      </c>
      <c r="CN761" t="s">
        <v>235</v>
      </c>
      <c r="CO761" t="s">
        <v>183</v>
      </c>
      <c r="CP761" t="s">
        <v>211</v>
      </c>
      <c r="CQ761" t="s">
        <v>342</v>
      </c>
      <c r="CS761" t="s">
        <v>10007</v>
      </c>
      <c r="CT761" t="s">
        <v>9892</v>
      </c>
      <c r="CU761" t="s">
        <v>267</v>
      </c>
      <c r="CV761" t="s">
        <v>268</v>
      </c>
      <c r="CW761" t="s">
        <v>10613</v>
      </c>
      <c r="CX761" t="s">
        <v>331</v>
      </c>
      <c r="CY761" t="s">
        <v>183</v>
      </c>
      <c r="CZ761" t="s">
        <v>211</v>
      </c>
      <c r="DA761" t="s">
        <v>339</v>
      </c>
      <c r="DC761" t="s">
        <v>10602</v>
      </c>
      <c r="DD761" t="s">
        <v>5621</v>
      </c>
      <c r="DE761" t="s">
        <v>302</v>
      </c>
      <c r="DF761" t="s">
        <v>303</v>
      </c>
      <c r="DG761" t="s">
        <v>10614</v>
      </c>
      <c r="DH761" t="s">
        <v>1491</v>
      </c>
      <c r="DI761" t="s">
        <v>183</v>
      </c>
      <c r="DJ761" t="s">
        <v>211</v>
      </c>
      <c r="DK761" t="s">
        <v>342</v>
      </c>
      <c r="DM761" t="s">
        <v>10576</v>
      </c>
      <c r="DN761" t="s">
        <v>8631</v>
      </c>
      <c r="DO761" t="s">
        <v>238</v>
      </c>
      <c r="DP761" t="s">
        <v>239</v>
      </c>
      <c r="DQ761" t="s">
        <v>10615</v>
      </c>
      <c r="DR761" t="s">
        <v>254</v>
      </c>
      <c r="DS761" t="s">
        <v>183</v>
      </c>
      <c r="DT761" t="s">
        <v>211</v>
      </c>
      <c r="DU761" t="s">
        <v>342</v>
      </c>
      <c r="DW761" t="s">
        <v>10606</v>
      </c>
      <c r="DX761" t="s">
        <v>10616</v>
      </c>
      <c r="DY761" t="s">
        <v>207</v>
      </c>
      <c r="DZ761" t="s">
        <v>208</v>
      </c>
      <c r="EA761" t="s">
        <v>10617</v>
      </c>
      <c r="EB761" t="s">
        <v>576</v>
      </c>
      <c r="EC761" t="s">
        <v>183</v>
      </c>
      <c r="ED761" t="s">
        <v>211</v>
      </c>
      <c r="EE761" t="s">
        <v>212</v>
      </c>
      <c r="EG761" t="s">
        <v>8432</v>
      </c>
      <c r="EQ761" t="s">
        <v>198</v>
      </c>
      <c r="FA761" t="s">
        <v>198</v>
      </c>
      <c r="FK761" t="s">
        <v>198</v>
      </c>
      <c r="FU761" t="s">
        <v>198</v>
      </c>
    </row>
    <row r="762" spans="1:177">
      <c r="A762" s="1" t="str">
        <f>HYPERLINK("http://digipan.lumentumllc.com/apps/getLink/index.php?t=PropLink&amp;p=15743141","PL")</f>
        <v>PL</v>
      </c>
      <c r="B762" s="1" t="str">
        <f>HYPERLINK("http://digipan.lumentumllc.com/apps/getLink/index.php?t=TaxLink&amp;p=15743141","TL")</f>
        <v>TL</v>
      </c>
      <c r="C762" s="1" t="str">
        <f>HYPERLINK("http://digipan.lumentumllc.com/apps/getMap/index.php?p=15743141","Map")</f>
        <v>Map</v>
      </c>
      <c r="E762" t="s">
        <v>177</v>
      </c>
      <c r="F762" t="s">
        <v>178</v>
      </c>
      <c r="L762" t="s">
        <v>10618</v>
      </c>
      <c r="N762" t="s">
        <v>10618</v>
      </c>
      <c r="O762" t="s">
        <v>10618</v>
      </c>
      <c r="Q762" t="s">
        <v>10618</v>
      </c>
      <c r="V762">
        <v>889</v>
      </c>
      <c r="W762">
        <v>3</v>
      </c>
      <c r="X762">
        <v>2017</v>
      </c>
      <c r="Y762">
        <v>2018</v>
      </c>
      <c r="Z762">
        <v>3182.69</v>
      </c>
      <c r="AG762" t="s">
        <v>184</v>
      </c>
      <c r="AH762">
        <v>0</v>
      </c>
      <c r="AK762">
        <v>0</v>
      </c>
      <c r="AL762">
        <v>192436</v>
      </c>
      <c r="AM762">
        <v>27500</v>
      </c>
      <c r="AN762">
        <v>164936</v>
      </c>
      <c r="AO762">
        <v>2984</v>
      </c>
      <c r="AP762">
        <v>2016</v>
      </c>
      <c r="AQ762">
        <v>1.65</v>
      </c>
      <c r="AS762" t="s">
        <v>10619</v>
      </c>
      <c r="AT762" t="s">
        <v>3747</v>
      </c>
      <c r="AU762" t="s">
        <v>177</v>
      </c>
      <c r="AV762" t="s">
        <v>1030</v>
      </c>
      <c r="AW762" t="s">
        <v>182</v>
      </c>
      <c r="AX762">
        <v>25</v>
      </c>
      <c r="AY762" t="s">
        <v>3641</v>
      </c>
      <c r="AZ762" t="s">
        <v>808</v>
      </c>
      <c r="BA762" t="s">
        <v>10620</v>
      </c>
      <c r="BB762" t="s">
        <v>191</v>
      </c>
      <c r="BC762" t="s">
        <v>182</v>
      </c>
      <c r="BD762" t="s">
        <v>182</v>
      </c>
      <c r="BE762" t="s">
        <v>576</v>
      </c>
      <c r="BF762">
        <v>1</v>
      </c>
      <c r="BG762">
        <v>0</v>
      </c>
      <c r="BH762">
        <v>1999</v>
      </c>
      <c r="BI762" t="s">
        <v>10621</v>
      </c>
      <c r="BJ762" t="s">
        <v>194</v>
      </c>
      <c r="BK762" t="s">
        <v>3643</v>
      </c>
      <c r="BL762" t="s">
        <v>10622</v>
      </c>
      <c r="BM762" t="s">
        <v>292</v>
      </c>
      <c r="BN762" t="s">
        <v>182</v>
      </c>
      <c r="BO762" t="s">
        <v>198</v>
      </c>
      <c r="BP762" t="s">
        <v>198</v>
      </c>
      <c r="BQ762" t="s">
        <v>198</v>
      </c>
      <c r="BR762" t="s">
        <v>198</v>
      </c>
      <c r="BS762" t="s">
        <v>198</v>
      </c>
      <c r="BT762" t="s">
        <v>198</v>
      </c>
      <c r="BU762" t="s">
        <v>182</v>
      </c>
      <c r="BV762" t="s">
        <v>198</v>
      </c>
      <c r="BW762" t="s">
        <v>198</v>
      </c>
      <c r="BX762" t="s">
        <v>199</v>
      </c>
      <c r="BY762" t="s">
        <v>198</v>
      </c>
      <c r="BZ762" t="s">
        <v>199</v>
      </c>
      <c r="CA762" t="s">
        <v>199</v>
      </c>
      <c r="CB762" t="s">
        <v>10623</v>
      </c>
      <c r="CC762" t="s">
        <v>201</v>
      </c>
      <c r="CD762" t="s">
        <v>182</v>
      </c>
      <c r="CE762" t="s">
        <v>10624</v>
      </c>
      <c r="CF762" t="s">
        <v>1029</v>
      </c>
      <c r="CG762" t="s">
        <v>177</v>
      </c>
      <c r="CH762" t="s">
        <v>1030</v>
      </c>
      <c r="CI762" t="s">
        <v>10625</v>
      </c>
      <c r="CS762" t="s">
        <v>198</v>
      </c>
      <c r="DC762" t="s">
        <v>198</v>
      </c>
      <c r="DM762" t="s">
        <v>198</v>
      </c>
      <c r="DW762" t="s">
        <v>198</v>
      </c>
      <c r="EG762" t="s">
        <v>198</v>
      </c>
      <c r="EQ762" t="s">
        <v>198</v>
      </c>
      <c r="FA762" t="s">
        <v>198</v>
      </c>
      <c r="FK762" t="s">
        <v>198</v>
      </c>
      <c r="FU762" t="s">
        <v>198</v>
      </c>
    </row>
    <row r="763" spans="1:177">
      <c r="A763" s="1" t="str">
        <f>HYPERLINK("http://digipan.lumentumllc.com/apps/getLink/index.php?t=PropLink&amp;p=7112399","PL")</f>
        <v>PL</v>
      </c>
      <c r="B763" s="1" t="str">
        <f>HYPERLINK("http://digipan.lumentumllc.com/apps/getLink/index.php?t=TaxLink&amp;p=7112399","TL")</f>
        <v>TL</v>
      </c>
      <c r="C763" s="1" t="str">
        <f>HYPERLINK("http://digipan.lumentumllc.com/apps/getMap/index.php?p=7112399","Map")</f>
        <v>Map</v>
      </c>
      <c r="E763" t="s">
        <v>177</v>
      </c>
      <c r="F763" t="s">
        <v>178</v>
      </c>
      <c r="L763" t="s">
        <v>10626</v>
      </c>
      <c r="N763" t="s">
        <v>10626</v>
      </c>
      <c r="O763" t="s">
        <v>10626</v>
      </c>
      <c r="P763" t="s">
        <v>10627</v>
      </c>
      <c r="Q763" t="s">
        <v>10626</v>
      </c>
      <c r="V763">
        <v>890</v>
      </c>
      <c r="W763">
        <v>3</v>
      </c>
      <c r="X763">
        <v>2017</v>
      </c>
      <c r="Y763">
        <v>2018</v>
      </c>
      <c r="Z763">
        <v>69.17</v>
      </c>
      <c r="AB763" t="s">
        <v>181</v>
      </c>
      <c r="AC763" t="s">
        <v>182</v>
      </c>
      <c r="AD763" t="s">
        <v>183</v>
      </c>
      <c r="AE763">
        <v>2</v>
      </c>
      <c r="AF763">
        <v>0</v>
      </c>
      <c r="AG763" t="s">
        <v>1737</v>
      </c>
      <c r="AH763">
        <v>0</v>
      </c>
      <c r="AI763">
        <v>128.74</v>
      </c>
      <c r="AJ763">
        <v>34.07</v>
      </c>
      <c r="AK763">
        <v>162.81</v>
      </c>
      <c r="AL763">
        <v>2550</v>
      </c>
      <c r="AM763">
        <v>2550</v>
      </c>
      <c r="AN763">
        <v>0</v>
      </c>
      <c r="AO763">
        <v>30</v>
      </c>
      <c r="AP763">
        <v>2016</v>
      </c>
      <c r="AQ763">
        <v>2.71</v>
      </c>
      <c r="AR763">
        <v>6.38</v>
      </c>
      <c r="AS763" t="s">
        <v>10628</v>
      </c>
      <c r="AT763" t="s">
        <v>3747</v>
      </c>
      <c r="AU763" t="s">
        <v>177</v>
      </c>
      <c r="AV763" t="s">
        <v>1030</v>
      </c>
      <c r="AW763" t="s">
        <v>182</v>
      </c>
      <c r="AX763">
        <v>0</v>
      </c>
      <c r="AY763" t="s">
        <v>312</v>
      </c>
      <c r="AZ763" t="s">
        <v>199</v>
      </c>
      <c r="BA763" t="s">
        <v>313</v>
      </c>
      <c r="BB763" t="s">
        <v>191</v>
      </c>
      <c r="BC763" t="s">
        <v>182</v>
      </c>
      <c r="BD763" t="s">
        <v>182</v>
      </c>
      <c r="BE763" t="s">
        <v>6180</v>
      </c>
      <c r="BF763">
        <v>0</v>
      </c>
      <c r="BG763">
        <v>0</v>
      </c>
      <c r="BH763">
        <v>0</v>
      </c>
      <c r="BI763" t="s">
        <v>199</v>
      </c>
      <c r="BJ763" t="s">
        <v>315</v>
      </c>
      <c r="BL763" t="s">
        <v>10629</v>
      </c>
      <c r="BM763" t="s">
        <v>325</v>
      </c>
      <c r="BN763" t="s">
        <v>182</v>
      </c>
      <c r="BO763" t="s">
        <v>198</v>
      </c>
      <c r="BP763" t="s">
        <v>198</v>
      </c>
      <c r="BQ763" t="s">
        <v>198</v>
      </c>
      <c r="BR763" t="s">
        <v>198</v>
      </c>
      <c r="BS763" t="s">
        <v>198</v>
      </c>
      <c r="BT763" t="s">
        <v>198</v>
      </c>
      <c r="BU763" t="s">
        <v>182</v>
      </c>
      <c r="BV763" t="s">
        <v>198</v>
      </c>
      <c r="BW763" t="s">
        <v>198</v>
      </c>
      <c r="BX763" t="s">
        <v>199</v>
      </c>
      <c r="BY763" t="s">
        <v>198</v>
      </c>
      <c r="BZ763" t="s">
        <v>199</v>
      </c>
      <c r="CA763" t="s">
        <v>199</v>
      </c>
      <c r="CB763" t="s">
        <v>10630</v>
      </c>
      <c r="CC763" t="s">
        <v>201</v>
      </c>
      <c r="CD763" t="s">
        <v>202</v>
      </c>
      <c r="CE763" t="s">
        <v>10631</v>
      </c>
      <c r="CF763" t="s">
        <v>10632</v>
      </c>
      <c r="CG763" t="s">
        <v>177</v>
      </c>
      <c r="CH763" t="s">
        <v>10633</v>
      </c>
      <c r="CI763" t="s">
        <v>10634</v>
      </c>
      <c r="CJ763" t="s">
        <v>7196</v>
      </c>
      <c r="CK763" t="s">
        <v>232</v>
      </c>
      <c r="CL763" t="s">
        <v>233</v>
      </c>
      <c r="CM763" t="s">
        <v>10635</v>
      </c>
      <c r="CN763" t="s">
        <v>482</v>
      </c>
      <c r="CO763" t="s">
        <v>183</v>
      </c>
      <c r="CP763" t="s">
        <v>266</v>
      </c>
      <c r="CS763" t="s">
        <v>198</v>
      </c>
      <c r="CT763" t="s">
        <v>6258</v>
      </c>
      <c r="CU763" t="s">
        <v>292</v>
      </c>
      <c r="CV763" t="s">
        <v>293</v>
      </c>
      <c r="CW763" t="s">
        <v>10636</v>
      </c>
      <c r="CX763" t="s">
        <v>482</v>
      </c>
      <c r="CY763" t="s">
        <v>183</v>
      </c>
      <c r="CZ763" t="s">
        <v>266</v>
      </c>
      <c r="DC763" t="s">
        <v>198</v>
      </c>
      <c r="DM763" t="s">
        <v>198</v>
      </c>
      <c r="DW763" t="s">
        <v>198</v>
      </c>
      <c r="EG763" t="s">
        <v>198</v>
      </c>
      <c r="EQ763" t="s">
        <v>198</v>
      </c>
      <c r="FA763" t="s">
        <v>198</v>
      </c>
      <c r="FK763" t="s">
        <v>198</v>
      </c>
      <c r="FU763" t="s">
        <v>198</v>
      </c>
    </row>
    <row r="764" spans="1:177">
      <c r="A764" s="1" t="str">
        <f>HYPERLINK("http://digipan.lumentumllc.com/apps/getLink/index.php?t=PropLink&amp;p=15744860","PL")</f>
        <v>PL</v>
      </c>
      <c r="B764" s="1" t="str">
        <f>HYPERLINK("http://digipan.lumentumllc.com/apps/getLink/index.php?t=TaxLink&amp;p=15744860","TL")</f>
        <v>TL</v>
      </c>
      <c r="C764" s="1" t="str">
        <f>HYPERLINK("http://digipan.lumentumllc.com/apps/getMap/index.php?p=15744860","Map")</f>
        <v>Map</v>
      </c>
      <c r="E764" t="s">
        <v>177</v>
      </c>
      <c r="F764" t="s">
        <v>178</v>
      </c>
      <c r="L764" t="s">
        <v>10637</v>
      </c>
      <c r="N764" t="s">
        <v>10637</v>
      </c>
      <c r="O764" t="s">
        <v>10637</v>
      </c>
      <c r="Q764" t="s">
        <v>10637</v>
      </c>
      <c r="V764">
        <v>891</v>
      </c>
      <c r="W764">
        <v>3</v>
      </c>
      <c r="X764">
        <v>2017</v>
      </c>
      <c r="Y764">
        <v>2018</v>
      </c>
      <c r="Z764">
        <v>1539.41</v>
      </c>
      <c r="AB764" t="s">
        <v>181</v>
      </c>
      <c r="AC764" t="s">
        <v>182</v>
      </c>
      <c r="AD764" t="s">
        <v>183</v>
      </c>
      <c r="AE764">
        <v>1</v>
      </c>
      <c r="AF764">
        <v>0</v>
      </c>
      <c r="AG764" t="s">
        <v>1200</v>
      </c>
      <c r="AH764">
        <v>0</v>
      </c>
      <c r="AI764">
        <v>1550.77</v>
      </c>
      <c r="AJ764">
        <v>77.540000000000006</v>
      </c>
      <c r="AK764">
        <v>1628.31</v>
      </c>
      <c r="AL764">
        <v>123776</v>
      </c>
      <c r="AM764">
        <v>25000</v>
      </c>
      <c r="AN764">
        <v>98776</v>
      </c>
      <c r="AO764">
        <v>1409</v>
      </c>
      <c r="AP764">
        <v>2016</v>
      </c>
      <c r="AQ764">
        <v>1.24</v>
      </c>
      <c r="AR764">
        <v>1.32</v>
      </c>
      <c r="AS764" t="s">
        <v>10638</v>
      </c>
      <c r="AT764" t="s">
        <v>3747</v>
      </c>
      <c r="AU764" t="s">
        <v>177</v>
      </c>
      <c r="AV764" t="s">
        <v>1030</v>
      </c>
      <c r="AW764" t="s">
        <v>202</v>
      </c>
      <c r="AX764">
        <v>1</v>
      </c>
      <c r="AY764" t="s">
        <v>188</v>
      </c>
      <c r="AZ764" t="s">
        <v>206</v>
      </c>
      <c r="BA764" t="s">
        <v>355</v>
      </c>
      <c r="BB764" t="s">
        <v>191</v>
      </c>
      <c r="BC764" t="s">
        <v>182</v>
      </c>
      <c r="BD764" t="s">
        <v>182</v>
      </c>
      <c r="BE764" t="s">
        <v>10639</v>
      </c>
      <c r="BF764">
        <v>1</v>
      </c>
      <c r="BG764">
        <v>1</v>
      </c>
      <c r="BH764">
        <v>2000</v>
      </c>
      <c r="BI764" t="s">
        <v>302</v>
      </c>
      <c r="BJ764" t="s">
        <v>194</v>
      </c>
      <c r="BK764" t="s">
        <v>195</v>
      </c>
      <c r="BL764" t="s">
        <v>199</v>
      </c>
      <c r="BM764" t="s">
        <v>292</v>
      </c>
      <c r="BN764" t="s">
        <v>182</v>
      </c>
      <c r="BO764" t="s">
        <v>10640</v>
      </c>
      <c r="BP764" t="s">
        <v>10641</v>
      </c>
      <c r="BQ764" t="s">
        <v>1285</v>
      </c>
      <c r="BR764" t="s">
        <v>563</v>
      </c>
      <c r="BS764" t="s">
        <v>198</v>
      </c>
      <c r="BT764" t="s">
        <v>10642</v>
      </c>
      <c r="BU764" t="s">
        <v>182</v>
      </c>
      <c r="BV764" t="s">
        <v>198</v>
      </c>
      <c r="BW764" t="s">
        <v>198</v>
      </c>
      <c r="BX764" t="s">
        <v>199</v>
      </c>
      <c r="BY764" t="s">
        <v>198</v>
      </c>
      <c r="BZ764" t="s">
        <v>199</v>
      </c>
      <c r="CA764" t="s">
        <v>199</v>
      </c>
      <c r="CB764" t="s">
        <v>10643</v>
      </c>
      <c r="CC764" t="s">
        <v>201</v>
      </c>
      <c r="CD764" t="s">
        <v>202</v>
      </c>
      <c r="CE764" t="s">
        <v>10644</v>
      </c>
      <c r="CF764" t="s">
        <v>1029</v>
      </c>
      <c r="CG764" t="s">
        <v>177</v>
      </c>
      <c r="CH764" t="s">
        <v>1030</v>
      </c>
      <c r="CI764" t="s">
        <v>629</v>
      </c>
      <c r="CJ764" t="s">
        <v>7395</v>
      </c>
      <c r="CK764" t="s">
        <v>232</v>
      </c>
      <c r="CL764" t="s">
        <v>233</v>
      </c>
      <c r="CM764" t="s">
        <v>10645</v>
      </c>
      <c r="CN764" t="s">
        <v>235</v>
      </c>
      <c r="CO764" t="s">
        <v>183</v>
      </c>
      <c r="CP764" t="s">
        <v>266</v>
      </c>
      <c r="CS764" t="s">
        <v>198</v>
      </c>
      <c r="DC764" t="s">
        <v>198</v>
      </c>
      <c r="DM764" t="s">
        <v>198</v>
      </c>
      <c r="DW764" t="s">
        <v>198</v>
      </c>
      <c r="EG764" t="s">
        <v>198</v>
      </c>
      <c r="EQ764" t="s">
        <v>198</v>
      </c>
      <c r="FA764" t="s">
        <v>198</v>
      </c>
      <c r="FK764" t="s">
        <v>198</v>
      </c>
      <c r="FU764" t="s">
        <v>198</v>
      </c>
    </row>
    <row r="765" spans="1:177">
      <c r="A765" s="1" t="str">
        <f>HYPERLINK("http://digipan.lumentumllc.com/apps/getLink/index.php?t=PropLink&amp;p=15746028","PL")</f>
        <v>PL</v>
      </c>
      <c r="B765" s="1" t="str">
        <f>HYPERLINK("http://digipan.lumentumllc.com/apps/getLink/index.php?t=TaxLink&amp;p=15746028","TL")</f>
        <v>TL</v>
      </c>
      <c r="C765" s="1" t="str">
        <f>HYPERLINK("http://digipan.lumentumllc.com/apps/getMap/index.php?p=15746028","Map")</f>
        <v>Map</v>
      </c>
      <c r="E765" t="s">
        <v>177</v>
      </c>
      <c r="F765" t="s">
        <v>178</v>
      </c>
      <c r="L765" t="s">
        <v>10646</v>
      </c>
      <c r="N765" t="s">
        <v>10646</v>
      </c>
      <c r="O765" t="s">
        <v>10646</v>
      </c>
      <c r="Q765" t="s">
        <v>10646</v>
      </c>
      <c r="V765">
        <v>892</v>
      </c>
      <c r="W765">
        <v>3</v>
      </c>
      <c r="X765">
        <v>2017</v>
      </c>
      <c r="Y765">
        <v>2018</v>
      </c>
      <c r="Z765">
        <v>582.74</v>
      </c>
      <c r="AG765" t="s">
        <v>184</v>
      </c>
      <c r="AH765">
        <v>0</v>
      </c>
      <c r="AK765">
        <v>0</v>
      </c>
      <c r="AL765">
        <v>85989</v>
      </c>
      <c r="AM765">
        <v>24000</v>
      </c>
      <c r="AN765">
        <v>61989</v>
      </c>
      <c r="AO765">
        <v>509</v>
      </c>
      <c r="AP765">
        <v>2016</v>
      </c>
      <c r="AQ765">
        <v>0.68</v>
      </c>
      <c r="AS765" t="s">
        <v>10647</v>
      </c>
      <c r="AT765" t="s">
        <v>3747</v>
      </c>
      <c r="AU765" t="s">
        <v>177</v>
      </c>
      <c r="AV765" t="s">
        <v>1030</v>
      </c>
      <c r="AW765" t="s">
        <v>202</v>
      </c>
      <c r="AX765">
        <v>1</v>
      </c>
      <c r="AY765" t="s">
        <v>188</v>
      </c>
      <c r="AZ765" t="s">
        <v>206</v>
      </c>
      <c r="BA765" t="s">
        <v>355</v>
      </c>
      <c r="BB765" t="s">
        <v>191</v>
      </c>
      <c r="BC765" t="s">
        <v>182</v>
      </c>
      <c r="BD765" t="s">
        <v>182</v>
      </c>
      <c r="BE765" t="s">
        <v>365</v>
      </c>
      <c r="BF765">
        <v>1</v>
      </c>
      <c r="BG765">
        <v>1</v>
      </c>
      <c r="BH765">
        <v>1991</v>
      </c>
      <c r="BI765" t="s">
        <v>10648</v>
      </c>
      <c r="BJ765" t="s">
        <v>194</v>
      </c>
      <c r="BK765" t="s">
        <v>195</v>
      </c>
      <c r="BL765" t="s">
        <v>199</v>
      </c>
      <c r="BM765" t="s">
        <v>1041</v>
      </c>
      <c r="BN765" t="s">
        <v>182</v>
      </c>
      <c r="BO765" t="s">
        <v>198</v>
      </c>
      <c r="BP765" t="s">
        <v>198</v>
      </c>
      <c r="BQ765" t="s">
        <v>198</v>
      </c>
      <c r="BR765" t="s">
        <v>198</v>
      </c>
      <c r="BS765" t="s">
        <v>198</v>
      </c>
      <c r="BT765" t="s">
        <v>198</v>
      </c>
      <c r="BU765" t="s">
        <v>182</v>
      </c>
      <c r="BV765" t="s">
        <v>198</v>
      </c>
      <c r="BW765" t="s">
        <v>198</v>
      </c>
      <c r="BX765" t="s">
        <v>199</v>
      </c>
      <c r="BY765" t="s">
        <v>198</v>
      </c>
      <c r="BZ765" t="s">
        <v>199</v>
      </c>
      <c r="CA765" t="s">
        <v>199</v>
      </c>
      <c r="CB765" t="s">
        <v>10649</v>
      </c>
      <c r="CC765" t="s">
        <v>201</v>
      </c>
      <c r="CD765" t="s">
        <v>182</v>
      </c>
      <c r="CE765" t="s">
        <v>10650</v>
      </c>
      <c r="CF765" t="s">
        <v>1029</v>
      </c>
      <c r="CG765" t="s">
        <v>177</v>
      </c>
      <c r="CH765" t="s">
        <v>1030</v>
      </c>
      <c r="CI765" t="s">
        <v>10651</v>
      </c>
      <c r="CS765" t="s">
        <v>198</v>
      </c>
      <c r="DC765" t="s">
        <v>198</v>
      </c>
      <c r="DM765" t="s">
        <v>198</v>
      </c>
      <c r="DW765" t="s">
        <v>198</v>
      </c>
      <c r="EG765" t="s">
        <v>198</v>
      </c>
      <c r="EQ765" t="s">
        <v>198</v>
      </c>
      <c r="FA765" t="s">
        <v>198</v>
      </c>
      <c r="FK765" t="s">
        <v>198</v>
      </c>
      <c r="FU765" t="s">
        <v>198</v>
      </c>
    </row>
    <row r="766" spans="1:177">
      <c r="A766" s="1" t="str">
        <f>HYPERLINK("http://digipan.lumentumllc.com/apps/getLink/index.php?t=PropLink&amp;p=5246041","PL")</f>
        <v>PL</v>
      </c>
      <c r="B766" s="1" t="str">
        <f>HYPERLINK("http://digipan.lumentumllc.com/apps/getLink/index.php?t=TaxLink&amp;p=5246041","TL")</f>
        <v>TL</v>
      </c>
      <c r="C766" s="1" t="str">
        <f>HYPERLINK("http://digipan.lumentumllc.com/apps/getMap/index.php?p=5246041","Map")</f>
        <v>Map</v>
      </c>
      <c r="E766" t="s">
        <v>177</v>
      </c>
      <c r="F766" t="s">
        <v>178</v>
      </c>
      <c r="L766" t="s">
        <v>10652</v>
      </c>
      <c r="N766" t="s">
        <v>10652</v>
      </c>
      <c r="O766" t="s">
        <v>10652</v>
      </c>
      <c r="P766" t="s">
        <v>10653</v>
      </c>
      <c r="Q766" t="s">
        <v>10652</v>
      </c>
      <c r="V766">
        <v>893</v>
      </c>
      <c r="W766">
        <v>3</v>
      </c>
      <c r="X766">
        <v>2017</v>
      </c>
      <c r="Y766">
        <v>2018</v>
      </c>
      <c r="Z766">
        <v>1394.23</v>
      </c>
      <c r="AB766" t="s">
        <v>181</v>
      </c>
      <c r="AC766" t="s">
        <v>182</v>
      </c>
      <c r="AD766" t="s">
        <v>183</v>
      </c>
      <c r="AE766">
        <v>0</v>
      </c>
      <c r="AF766">
        <v>1</v>
      </c>
      <c r="AG766" t="s">
        <v>821</v>
      </c>
      <c r="AH766">
        <v>100</v>
      </c>
      <c r="AK766">
        <v>0</v>
      </c>
      <c r="AL766">
        <v>137006</v>
      </c>
      <c r="AM766">
        <v>14100</v>
      </c>
      <c r="AN766">
        <v>122906</v>
      </c>
      <c r="AO766">
        <v>1241</v>
      </c>
      <c r="AP766">
        <v>2016</v>
      </c>
      <c r="AQ766">
        <v>1.02</v>
      </c>
      <c r="AS766" t="s">
        <v>10654</v>
      </c>
      <c r="AT766" t="s">
        <v>3747</v>
      </c>
      <c r="AU766" t="s">
        <v>177</v>
      </c>
      <c r="AV766" t="s">
        <v>1030</v>
      </c>
      <c r="AW766" t="s">
        <v>202</v>
      </c>
      <c r="AX766">
        <v>1</v>
      </c>
      <c r="AY766" t="s">
        <v>188</v>
      </c>
      <c r="AZ766" t="s">
        <v>206</v>
      </c>
      <c r="BA766" t="s">
        <v>355</v>
      </c>
      <c r="BB766" t="s">
        <v>191</v>
      </c>
      <c r="BC766" t="s">
        <v>182</v>
      </c>
      <c r="BD766" t="s">
        <v>182</v>
      </c>
      <c r="BE766" t="s">
        <v>2800</v>
      </c>
      <c r="BF766">
        <v>1</v>
      </c>
      <c r="BG766">
        <v>1</v>
      </c>
      <c r="BH766">
        <v>1990</v>
      </c>
      <c r="BI766" t="s">
        <v>10655</v>
      </c>
      <c r="BJ766" t="s">
        <v>194</v>
      </c>
      <c r="BK766" t="s">
        <v>195</v>
      </c>
      <c r="BL766" t="s">
        <v>5504</v>
      </c>
      <c r="BM766" t="s">
        <v>559</v>
      </c>
      <c r="BN766" t="s">
        <v>182</v>
      </c>
      <c r="BO766" t="s">
        <v>3184</v>
      </c>
      <c r="BP766" t="s">
        <v>10656</v>
      </c>
      <c r="BS766" t="s">
        <v>10657</v>
      </c>
      <c r="BT766" t="s">
        <v>198</v>
      </c>
      <c r="BU766" t="s">
        <v>182</v>
      </c>
      <c r="BV766" t="s">
        <v>198</v>
      </c>
      <c r="BW766" t="s">
        <v>198</v>
      </c>
      <c r="BX766" t="s">
        <v>199</v>
      </c>
      <c r="BY766" t="s">
        <v>198</v>
      </c>
      <c r="BZ766" t="s">
        <v>199</v>
      </c>
      <c r="CA766" t="s">
        <v>199</v>
      </c>
      <c r="CB766" t="s">
        <v>10658</v>
      </c>
      <c r="CC766" t="s">
        <v>201</v>
      </c>
      <c r="CD766" t="s">
        <v>182</v>
      </c>
      <c r="CE766" t="s">
        <v>10659</v>
      </c>
      <c r="CF766" t="s">
        <v>1029</v>
      </c>
      <c r="CG766" t="s">
        <v>177</v>
      </c>
      <c r="CH766" t="s">
        <v>1030</v>
      </c>
      <c r="CI766" t="s">
        <v>5475</v>
      </c>
      <c r="CJ766" t="s">
        <v>10660</v>
      </c>
      <c r="CK766" t="s">
        <v>238</v>
      </c>
      <c r="CL766" t="s">
        <v>239</v>
      </c>
      <c r="CM766" t="s">
        <v>10661</v>
      </c>
      <c r="CN766" t="s">
        <v>235</v>
      </c>
      <c r="CO766" t="s">
        <v>183</v>
      </c>
      <c r="CP766" t="s">
        <v>211</v>
      </c>
      <c r="CQ766" t="s">
        <v>199</v>
      </c>
      <c r="CS766" t="s">
        <v>10662</v>
      </c>
      <c r="DC766" t="s">
        <v>198</v>
      </c>
      <c r="DM766" t="s">
        <v>198</v>
      </c>
      <c r="DW766" t="s">
        <v>198</v>
      </c>
      <c r="EG766" t="s">
        <v>198</v>
      </c>
      <c r="EQ766" t="s">
        <v>198</v>
      </c>
      <c r="FA766" t="s">
        <v>198</v>
      </c>
      <c r="FK766" t="s">
        <v>198</v>
      </c>
      <c r="FU766" t="s">
        <v>198</v>
      </c>
    </row>
    <row r="767" spans="1:177">
      <c r="A767" s="1" t="str">
        <f>HYPERLINK("http://digipan.lumentumllc.com/apps/getLink/index.php?t=PropLink&amp;p=6886705","PL")</f>
        <v>PL</v>
      </c>
      <c r="B767" s="1" t="str">
        <f>HYPERLINK("http://digipan.lumentumllc.com/apps/getLink/index.php?t=TaxLink&amp;p=6886705","TL")</f>
        <v>TL</v>
      </c>
      <c r="C767" s="1" t="str">
        <f>HYPERLINK("http://digipan.lumentumllc.com/apps/getMap/index.php?p=6886705","Map")</f>
        <v>Map</v>
      </c>
      <c r="E767" t="s">
        <v>177</v>
      </c>
      <c r="F767" t="s">
        <v>178</v>
      </c>
      <c r="L767" t="s">
        <v>10663</v>
      </c>
      <c r="N767" t="s">
        <v>10663</v>
      </c>
      <c r="O767" t="s">
        <v>10663</v>
      </c>
      <c r="P767" t="s">
        <v>10664</v>
      </c>
      <c r="Q767" t="s">
        <v>10663</v>
      </c>
      <c r="V767">
        <v>894</v>
      </c>
      <c r="W767">
        <v>3</v>
      </c>
      <c r="X767">
        <v>2017</v>
      </c>
      <c r="Y767">
        <v>2018</v>
      </c>
      <c r="Z767">
        <v>1868.26</v>
      </c>
      <c r="AB767" t="s">
        <v>181</v>
      </c>
      <c r="AC767" t="s">
        <v>182</v>
      </c>
      <c r="AD767" t="s">
        <v>183</v>
      </c>
      <c r="AE767">
        <v>1</v>
      </c>
      <c r="AF767">
        <v>2</v>
      </c>
      <c r="AG767" t="s">
        <v>363</v>
      </c>
      <c r="AH767">
        <v>67</v>
      </c>
      <c r="AI767">
        <v>1811.45</v>
      </c>
      <c r="AJ767">
        <v>90.57</v>
      </c>
      <c r="AK767">
        <v>1902.02</v>
      </c>
      <c r="AL767">
        <v>112154</v>
      </c>
      <c r="AM767">
        <v>15000</v>
      </c>
      <c r="AN767">
        <v>97154</v>
      </c>
      <c r="AO767">
        <v>1650</v>
      </c>
      <c r="AP767">
        <v>2016</v>
      </c>
      <c r="AQ767">
        <v>1.67</v>
      </c>
      <c r="AR767">
        <v>1.7</v>
      </c>
      <c r="AS767" t="s">
        <v>10665</v>
      </c>
      <c r="AT767" t="s">
        <v>3747</v>
      </c>
      <c r="AU767" t="s">
        <v>177</v>
      </c>
      <c r="AV767" t="s">
        <v>1030</v>
      </c>
      <c r="AW767" t="s">
        <v>182</v>
      </c>
      <c r="AX767">
        <v>1</v>
      </c>
      <c r="AY767" t="s">
        <v>188</v>
      </c>
      <c r="AZ767" t="s">
        <v>206</v>
      </c>
      <c r="BA767" t="s">
        <v>355</v>
      </c>
      <c r="BB767" t="s">
        <v>191</v>
      </c>
      <c r="BC767" t="s">
        <v>182</v>
      </c>
      <c r="BD767" t="s">
        <v>182</v>
      </c>
      <c r="BE767" t="s">
        <v>383</v>
      </c>
      <c r="BF767">
        <v>1</v>
      </c>
      <c r="BG767">
        <v>1</v>
      </c>
      <c r="BH767">
        <v>1982</v>
      </c>
      <c r="BI767" t="s">
        <v>10666</v>
      </c>
      <c r="BJ767" t="s">
        <v>194</v>
      </c>
      <c r="BK767" t="s">
        <v>195</v>
      </c>
      <c r="BL767" t="s">
        <v>1332</v>
      </c>
      <c r="BM767" t="s">
        <v>2582</v>
      </c>
      <c r="BN767" t="s">
        <v>182</v>
      </c>
      <c r="BO767" t="s">
        <v>198</v>
      </c>
      <c r="BP767" t="s">
        <v>198</v>
      </c>
      <c r="BQ767" t="s">
        <v>198</v>
      </c>
      <c r="BR767" t="s">
        <v>198</v>
      </c>
      <c r="BS767" t="s">
        <v>198</v>
      </c>
      <c r="BT767" t="s">
        <v>198</v>
      </c>
      <c r="BU767" t="s">
        <v>182</v>
      </c>
      <c r="BV767" t="s">
        <v>198</v>
      </c>
      <c r="BW767" t="s">
        <v>198</v>
      </c>
      <c r="BX767" t="s">
        <v>199</v>
      </c>
      <c r="BY767" t="s">
        <v>198</v>
      </c>
      <c r="BZ767" t="s">
        <v>199</v>
      </c>
      <c r="CA767" t="s">
        <v>199</v>
      </c>
      <c r="CB767" t="s">
        <v>10667</v>
      </c>
      <c r="CC767" t="s">
        <v>201</v>
      </c>
      <c r="CD767" t="s">
        <v>202</v>
      </c>
      <c r="CE767" t="s">
        <v>10668</v>
      </c>
      <c r="CF767" t="s">
        <v>1029</v>
      </c>
      <c r="CG767" t="s">
        <v>177</v>
      </c>
      <c r="CH767" t="s">
        <v>1030</v>
      </c>
      <c r="CI767" t="s">
        <v>10669</v>
      </c>
      <c r="CJ767" t="s">
        <v>9883</v>
      </c>
      <c r="CK767" t="s">
        <v>232</v>
      </c>
      <c r="CL767" t="s">
        <v>233</v>
      </c>
      <c r="CM767" t="s">
        <v>10670</v>
      </c>
      <c r="CN767" t="s">
        <v>235</v>
      </c>
      <c r="CO767" t="s">
        <v>183</v>
      </c>
      <c r="CP767" t="s">
        <v>266</v>
      </c>
      <c r="CS767" t="s">
        <v>198</v>
      </c>
      <c r="CT767" t="s">
        <v>10380</v>
      </c>
      <c r="CU767" t="s">
        <v>292</v>
      </c>
      <c r="CV767" t="s">
        <v>293</v>
      </c>
      <c r="CW767" t="s">
        <v>10671</v>
      </c>
      <c r="CX767" t="s">
        <v>235</v>
      </c>
      <c r="CY767" t="s">
        <v>183</v>
      </c>
      <c r="CZ767" t="s">
        <v>211</v>
      </c>
      <c r="DA767" t="s">
        <v>345</v>
      </c>
      <c r="DC767" t="s">
        <v>2298</v>
      </c>
      <c r="DD767" t="s">
        <v>8814</v>
      </c>
      <c r="DE767" t="s">
        <v>267</v>
      </c>
      <c r="DF767" t="s">
        <v>268</v>
      </c>
      <c r="DG767" t="s">
        <v>10672</v>
      </c>
      <c r="DH767" t="s">
        <v>235</v>
      </c>
      <c r="DI767" t="s">
        <v>183</v>
      </c>
      <c r="DJ767" t="s">
        <v>211</v>
      </c>
      <c r="DK767" t="s">
        <v>342</v>
      </c>
      <c r="DM767" t="s">
        <v>3805</v>
      </c>
      <c r="DW767" t="s">
        <v>198</v>
      </c>
      <c r="EG767" t="s">
        <v>198</v>
      </c>
      <c r="EQ767" t="s">
        <v>198</v>
      </c>
      <c r="FA767" t="s">
        <v>198</v>
      </c>
      <c r="FK767" t="s">
        <v>198</v>
      </c>
      <c r="FU767" t="s">
        <v>198</v>
      </c>
    </row>
    <row r="768" spans="1:177">
      <c r="A768" s="1" t="str">
        <f>HYPERLINK("http://digipan.lumentumllc.com/apps/getLink/index.php?t=PropLink&amp;p=15746410","PL")</f>
        <v>PL</v>
      </c>
      <c r="B768" s="1" t="str">
        <f>HYPERLINK("http://digipan.lumentumllc.com/apps/getLink/index.php?t=TaxLink&amp;p=15746410","TL")</f>
        <v>TL</v>
      </c>
      <c r="C768" s="1" t="str">
        <f>HYPERLINK("http://digipan.lumentumllc.com/apps/getMap/index.php?p=15746410","Map")</f>
        <v>Map</v>
      </c>
      <c r="E768" t="s">
        <v>177</v>
      </c>
      <c r="F768" t="s">
        <v>178</v>
      </c>
      <c r="L768" t="s">
        <v>10673</v>
      </c>
      <c r="N768" t="s">
        <v>10673</v>
      </c>
      <c r="O768" t="s">
        <v>10673</v>
      </c>
      <c r="Q768" t="s">
        <v>10673</v>
      </c>
      <c r="V768">
        <v>895</v>
      </c>
      <c r="W768">
        <v>3</v>
      </c>
      <c r="X768">
        <v>2017</v>
      </c>
      <c r="Y768">
        <v>2018</v>
      </c>
      <c r="Z768">
        <v>845.7</v>
      </c>
      <c r="AG768" t="s">
        <v>184</v>
      </c>
      <c r="AH768">
        <v>0</v>
      </c>
      <c r="AK768">
        <v>0</v>
      </c>
      <c r="AL768">
        <v>51595</v>
      </c>
      <c r="AM768">
        <v>17100</v>
      </c>
      <c r="AN768">
        <v>34495</v>
      </c>
      <c r="AO768">
        <v>673</v>
      </c>
      <c r="AP768">
        <v>2016</v>
      </c>
      <c r="AQ768">
        <v>1.64</v>
      </c>
      <c r="AS768" t="s">
        <v>10674</v>
      </c>
      <c r="AT768" t="s">
        <v>3747</v>
      </c>
      <c r="AU768" t="s">
        <v>177</v>
      </c>
      <c r="AV768" t="s">
        <v>1030</v>
      </c>
      <c r="AW768" t="s">
        <v>182</v>
      </c>
      <c r="AX768">
        <v>2</v>
      </c>
      <c r="AY768" t="s">
        <v>188</v>
      </c>
      <c r="AZ768" t="s">
        <v>189</v>
      </c>
      <c r="BA768" t="s">
        <v>190</v>
      </c>
      <c r="BB768" t="s">
        <v>191</v>
      </c>
      <c r="BC768" t="s">
        <v>182</v>
      </c>
      <c r="BD768" t="s">
        <v>182</v>
      </c>
      <c r="BE768" t="s">
        <v>2393</v>
      </c>
      <c r="BF768">
        <v>1</v>
      </c>
      <c r="BG768">
        <v>1</v>
      </c>
      <c r="BH768">
        <v>1999</v>
      </c>
      <c r="BI768" t="s">
        <v>1291</v>
      </c>
      <c r="BJ768" t="s">
        <v>194</v>
      </c>
      <c r="BK768" t="s">
        <v>195</v>
      </c>
      <c r="BL768" t="s">
        <v>10675</v>
      </c>
      <c r="BM768" t="s">
        <v>197</v>
      </c>
      <c r="BN768" t="s">
        <v>182</v>
      </c>
      <c r="BO768" t="s">
        <v>2986</v>
      </c>
      <c r="BP768" t="s">
        <v>9962</v>
      </c>
      <c r="BQ768" t="s">
        <v>603</v>
      </c>
      <c r="BR768" t="s">
        <v>563</v>
      </c>
      <c r="BS768" t="s">
        <v>198</v>
      </c>
      <c r="BT768" t="s">
        <v>10676</v>
      </c>
      <c r="BU768" t="s">
        <v>182</v>
      </c>
      <c r="BV768" t="s">
        <v>198</v>
      </c>
      <c r="BW768" t="s">
        <v>198</v>
      </c>
      <c r="BX768" t="s">
        <v>199</v>
      </c>
      <c r="BY768" t="s">
        <v>198</v>
      </c>
      <c r="BZ768" t="s">
        <v>199</v>
      </c>
      <c r="CA768" t="s">
        <v>199</v>
      </c>
      <c r="CB768" t="s">
        <v>10677</v>
      </c>
      <c r="CC768" t="s">
        <v>201</v>
      </c>
      <c r="CD768" t="s">
        <v>202</v>
      </c>
      <c r="CE768" t="s">
        <v>10678</v>
      </c>
      <c r="CF768" t="s">
        <v>1029</v>
      </c>
      <c r="CG768" t="s">
        <v>177</v>
      </c>
      <c r="CH768" t="s">
        <v>1030</v>
      </c>
      <c r="CI768" t="s">
        <v>5759</v>
      </c>
      <c r="CS768" t="s">
        <v>198</v>
      </c>
      <c r="DC768" t="s">
        <v>198</v>
      </c>
      <c r="DM768" t="s">
        <v>198</v>
      </c>
      <c r="DW768" t="s">
        <v>198</v>
      </c>
      <c r="EG768" t="s">
        <v>198</v>
      </c>
      <c r="EQ768" t="s">
        <v>198</v>
      </c>
      <c r="FA768" t="s">
        <v>198</v>
      </c>
      <c r="FK768" t="s">
        <v>198</v>
      </c>
      <c r="FU768" t="s">
        <v>198</v>
      </c>
    </row>
    <row r="769" spans="1:177">
      <c r="A769" s="1" t="str">
        <f>HYPERLINK("http://digipan.lumentumllc.com/apps/getLink/index.php?t=PropLink&amp;p=6594184","PL")</f>
        <v>PL</v>
      </c>
      <c r="B769" s="1" t="str">
        <f>HYPERLINK("http://digipan.lumentumllc.com/apps/getLink/index.php?t=TaxLink&amp;p=6594184","TL")</f>
        <v>TL</v>
      </c>
      <c r="C769" s="1" t="str">
        <f>HYPERLINK("http://digipan.lumentumllc.com/apps/getMap/index.php?p=6594184","Map")</f>
        <v>Map</v>
      </c>
      <c r="E769" t="s">
        <v>177</v>
      </c>
      <c r="F769" t="s">
        <v>178</v>
      </c>
      <c r="L769" t="s">
        <v>10679</v>
      </c>
      <c r="N769" t="s">
        <v>10679</v>
      </c>
      <c r="O769" t="s">
        <v>10679</v>
      </c>
      <c r="P769" t="s">
        <v>10680</v>
      </c>
      <c r="Q769" t="s">
        <v>10679</v>
      </c>
      <c r="V769">
        <v>896</v>
      </c>
      <c r="W769">
        <v>3</v>
      </c>
      <c r="X769">
        <v>2017</v>
      </c>
      <c r="Y769">
        <v>2018</v>
      </c>
      <c r="Z769">
        <v>3274.73</v>
      </c>
      <c r="AB769" t="s">
        <v>181</v>
      </c>
      <c r="AC769" t="s">
        <v>202</v>
      </c>
      <c r="AD769" t="s">
        <v>183</v>
      </c>
      <c r="AE769">
        <v>0</v>
      </c>
      <c r="AF769">
        <v>4</v>
      </c>
      <c r="AG769" t="s">
        <v>744</v>
      </c>
      <c r="AH769">
        <v>100</v>
      </c>
      <c r="AK769">
        <v>0</v>
      </c>
      <c r="AL769">
        <v>198058</v>
      </c>
      <c r="AM769">
        <v>19650</v>
      </c>
      <c r="AN769">
        <v>178408</v>
      </c>
      <c r="AO769">
        <v>2973</v>
      </c>
      <c r="AP769">
        <v>2016</v>
      </c>
      <c r="AQ769">
        <v>1.65</v>
      </c>
      <c r="AS769" t="s">
        <v>10681</v>
      </c>
      <c r="AT769" t="s">
        <v>3747</v>
      </c>
      <c r="AU769" t="s">
        <v>177</v>
      </c>
      <c r="AV769" t="s">
        <v>1030</v>
      </c>
      <c r="AW769" t="s">
        <v>182</v>
      </c>
      <c r="AX769">
        <v>1</v>
      </c>
      <c r="AY769" t="s">
        <v>188</v>
      </c>
      <c r="AZ769" t="s">
        <v>206</v>
      </c>
      <c r="BA769" t="s">
        <v>355</v>
      </c>
      <c r="BB769" t="s">
        <v>191</v>
      </c>
      <c r="BC769" t="s">
        <v>182</v>
      </c>
      <c r="BD769" t="s">
        <v>182</v>
      </c>
      <c r="BE769" t="s">
        <v>10682</v>
      </c>
      <c r="BF769">
        <v>1</v>
      </c>
      <c r="BG769">
        <v>1</v>
      </c>
      <c r="BH769">
        <v>1970</v>
      </c>
      <c r="BI769" t="s">
        <v>10683</v>
      </c>
      <c r="BJ769" t="s">
        <v>194</v>
      </c>
      <c r="BK769" t="s">
        <v>195</v>
      </c>
      <c r="BL769" t="s">
        <v>6575</v>
      </c>
      <c r="BM769" t="s">
        <v>302</v>
      </c>
      <c r="BN769" t="s">
        <v>182</v>
      </c>
      <c r="BO769" t="s">
        <v>3750</v>
      </c>
      <c r="BP769" t="s">
        <v>10684</v>
      </c>
      <c r="BQ769" t="s">
        <v>2227</v>
      </c>
      <c r="BS769" t="s">
        <v>198</v>
      </c>
      <c r="BT769" t="s">
        <v>10685</v>
      </c>
      <c r="BU769" t="s">
        <v>182</v>
      </c>
      <c r="BV769" t="s">
        <v>198</v>
      </c>
      <c r="BW769" t="s">
        <v>198</v>
      </c>
      <c r="BX769" t="s">
        <v>199</v>
      </c>
      <c r="BY769" t="s">
        <v>198</v>
      </c>
      <c r="BZ769" t="s">
        <v>199</v>
      </c>
      <c r="CA769" t="s">
        <v>199</v>
      </c>
      <c r="CB769" t="s">
        <v>10686</v>
      </c>
      <c r="CC769" t="s">
        <v>201</v>
      </c>
      <c r="CD769" t="s">
        <v>182</v>
      </c>
      <c r="CE769" t="s">
        <v>10687</v>
      </c>
      <c r="CF769" t="s">
        <v>10688</v>
      </c>
      <c r="CG769" t="s">
        <v>177</v>
      </c>
      <c r="CH769" t="s">
        <v>10689</v>
      </c>
      <c r="CI769" t="s">
        <v>10690</v>
      </c>
      <c r="CJ769" t="s">
        <v>9892</v>
      </c>
      <c r="CK769" t="s">
        <v>232</v>
      </c>
      <c r="CL769" t="s">
        <v>233</v>
      </c>
      <c r="CM769" t="s">
        <v>10691</v>
      </c>
      <c r="CN769" t="s">
        <v>235</v>
      </c>
      <c r="CO769" t="s">
        <v>183</v>
      </c>
      <c r="CP769" t="s">
        <v>211</v>
      </c>
      <c r="CQ769" t="s">
        <v>199</v>
      </c>
      <c r="CR769" t="s">
        <v>271</v>
      </c>
      <c r="CS769" t="s">
        <v>735</v>
      </c>
      <c r="CT769" t="s">
        <v>10411</v>
      </c>
      <c r="CU769" t="s">
        <v>292</v>
      </c>
      <c r="CV769" t="s">
        <v>293</v>
      </c>
      <c r="CW769" t="s">
        <v>10692</v>
      </c>
      <c r="CX769" t="s">
        <v>235</v>
      </c>
      <c r="CY769" t="s">
        <v>183</v>
      </c>
      <c r="CZ769" t="s">
        <v>211</v>
      </c>
      <c r="DA769" t="s">
        <v>427</v>
      </c>
      <c r="DB769" t="s">
        <v>271</v>
      </c>
      <c r="DC769" t="s">
        <v>735</v>
      </c>
      <c r="DD769" t="s">
        <v>893</v>
      </c>
      <c r="DE769" t="s">
        <v>267</v>
      </c>
      <c r="DF769" t="s">
        <v>268</v>
      </c>
      <c r="DG769" t="s">
        <v>10693</v>
      </c>
      <c r="DH769" t="s">
        <v>235</v>
      </c>
      <c r="DI769" t="s">
        <v>183</v>
      </c>
      <c r="DJ769" t="s">
        <v>211</v>
      </c>
      <c r="DL769" t="s">
        <v>271</v>
      </c>
      <c r="DM769" t="s">
        <v>198</v>
      </c>
      <c r="DN769" t="s">
        <v>4723</v>
      </c>
      <c r="DO769" t="s">
        <v>273</v>
      </c>
      <c r="DP769" t="s">
        <v>274</v>
      </c>
      <c r="DQ769" t="s">
        <v>10694</v>
      </c>
      <c r="DR769" t="s">
        <v>235</v>
      </c>
      <c r="DS769" t="s">
        <v>183</v>
      </c>
      <c r="DT769" t="s">
        <v>211</v>
      </c>
      <c r="DU769" t="s">
        <v>345</v>
      </c>
      <c r="DW769" t="s">
        <v>392</v>
      </c>
      <c r="EG769" t="s">
        <v>198</v>
      </c>
      <c r="EQ769" t="s">
        <v>198</v>
      </c>
      <c r="FA769" t="s">
        <v>198</v>
      </c>
      <c r="FK769" t="s">
        <v>198</v>
      </c>
      <c r="FU769" t="s">
        <v>198</v>
      </c>
    </row>
    <row r="770" spans="1:177">
      <c r="A770" s="1" t="str">
        <f>HYPERLINK("http://digipan.lumentumllc.com/apps/getLink/index.php?t=PropLink&amp;p=5246149","PL")</f>
        <v>PL</v>
      </c>
      <c r="B770" s="1" t="str">
        <f>HYPERLINK("http://digipan.lumentumllc.com/apps/getLink/index.php?t=TaxLink&amp;p=5246149","TL")</f>
        <v>TL</v>
      </c>
      <c r="C770" s="1" t="str">
        <f>HYPERLINK("http://digipan.lumentumllc.com/apps/getMap/index.php?p=5246149","Map")</f>
        <v>Map</v>
      </c>
      <c r="E770" t="s">
        <v>177</v>
      </c>
      <c r="F770" t="s">
        <v>178</v>
      </c>
      <c r="L770" t="s">
        <v>10695</v>
      </c>
      <c r="N770" t="s">
        <v>10695</v>
      </c>
      <c r="O770" t="s">
        <v>10695</v>
      </c>
      <c r="P770" t="s">
        <v>10696</v>
      </c>
      <c r="Q770" t="s">
        <v>10695</v>
      </c>
      <c r="V770">
        <v>897</v>
      </c>
      <c r="W770">
        <v>3</v>
      </c>
      <c r="X770">
        <v>2017</v>
      </c>
      <c r="Y770">
        <v>2018</v>
      </c>
      <c r="Z770">
        <v>722.4</v>
      </c>
      <c r="AB770" t="s">
        <v>181</v>
      </c>
      <c r="AC770" t="s">
        <v>202</v>
      </c>
      <c r="AD770" t="s">
        <v>183</v>
      </c>
      <c r="AE770">
        <v>0</v>
      </c>
      <c r="AF770">
        <v>8</v>
      </c>
      <c r="AG770" t="s">
        <v>1059</v>
      </c>
      <c r="AH770">
        <v>100</v>
      </c>
      <c r="AK770">
        <v>0</v>
      </c>
      <c r="AL770">
        <v>95746</v>
      </c>
      <c r="AM770">
        <v>35880</v>
      </c>
      <c r="AN770">
        <v>59866</v>
      </c>
      <c r="AO770">
        <v>623</v>
      </c>
      <c r="AP770">
        <v>2016</v>
      </c>
      <c r="AQ770">
        <v>0.75</v>
      </c>
      <c r="AS770" t="s">
        <v>10697</v>
      </c>
      <c r="AT770" t="s">
        <v>3747</v>
      </c>
      <c r="AU770" t="s">
        <v>177</v>
      </c>
      <c r="AV770" t="s">
        <v>1030</v>
      </c>
      <c r="AW770" t="s">
        <v>202</v>
      </c>
      <c r="AX770">
        <v>2</v>
      </c>
      <c r="AY770" t="s">
        <v>188</v>
      </c>
      <c r="AZ770" t="s">
        <v>189</v>
      </c>
      <c r="BA770" t="s">
        <v>190</v>
      </c>
      <c r="BB770" t="s">
        <v>191</v>
      </c>
      <c r="BC770" t="s">
        <v>182</v>
      </c>
      <c r="BD770" t="s">
        <v>182</v>
      </c>
      <c r="BE770" t="s">
        <v>10698</v>
      </c>
      <c r="BF770">
        <v>1</v>
      </c>
      <c r="BG770">
        <v>1</v>
      </c>
      <c r="BH770">
        <v>1999</v>
      </c>
      <c r="BI770" t="s">
        <v>10369</v>
      </c>
      <c r="BJ770" t="s">
        <v>194</v>
      </c>
      <c r="BK770" t="s">
        <v>195</v>
      </c>
      <c r="BL770" t="s">
        <v>199</v>
      </c>
      <c r="BM770" t="s">
        <v>358</v>
      </c>
      <c r="BN770" t="s">
        <v>182</v>
      </c>
      <c r="BO770" t="s">
        <v>10699</v>
      </c>
      <c r="BP770" t="s">
        <v>10700</v>
      </c>
      <c r="BS770" t="s">
        <v>10701</v>
      </c>
      <c r="BT770" t="s">
        <v>198</v>
      </c>
      <c r="BU770" t="s">
        <v>182</v>
      </c>
      <c r="BV770" t="s">
        <v>198</v>
      </c>
      <c r="BW770" t="s">
        <v>198</v>
      </c>
      <c r="BX770" t="s">
        <v>199</v>
      </c>
      <c r="BY770" t="s">
        <v>198</v>
      </c>
      <c r="BZ770" t="s">
        <v>199</v>
      </c>
      <c r="CA770" t="s">
        <v>199</v>
      </c>
      <c r="CB770" t="s">
        <v>10702</v>
      </c>
      <c r="CC770" t="s">
        <v>201</v>
      </c>
      <c r="CD770" t="s">
        <v>182</v>
      </c>
      <c r="CE770" t="s">
        <v>10703</v>
      </c>
      <c r="CF770" t="s">
        <v>1029</v>
      </c>
      <c r="CG770" t="s">
        <v>177</v>
      </c>
      <c r="CH770" t="s">
        <v>1030</v>
      </c>
      <c r="CI770" t="s">
        <v>10704</v>
      </c>
      <c r="CJ770" t="s">
        <v>8814</v>
      </c>
      <c r="CK770" t="s">
        <v>232</v>
      </c>
      <c r="CL770" t="s">
        <v>233</v>
      </c>
      <c r="CM770" t="s">
        <v>10705</v>
      </c>
      <c r="CN770" t="s">
        <v>235</v>
      </c>
      <c r="CO770" t="s">
        <v>183</v>
      </c>
      <c r="CP770" t="s">
        <v>211</v>
      </c>
      <c r="CQ770" t="s">
        <v>199</v>
      </c>
      <c r="CR770" t="s">
        <v>271</v>
      </c>
      <c r="CS770" t="s">
        <v>735</v>
      </c>
      <c r="CT770" t="s">
        <v>7292</v>
      </c>
      <c r="CU770" t="s">
        <v>292</v>
      </c>
      <c r="CV770" t="s">
        <v>293</v>
      </c>
      <c r="CW770" t="s">
        <v>10706</v>
      </c>
      <c r="CX770" t="s">
        <v>235</v>
      </c>
      <c r="CY770" t="s">
        <v>183</v>
      </c>
      <c r="CZ770" t="s">
        <v>211</v>
      </c>
      <c r="DA770" t="s">
        <v>427</v>
      </c>
      <c r="DB770" t="s">
        <v>271</v>
      </c>
      <c r="DC770" t="s">
        <v>735</v>
      </c>
      <c r="DD770" t="s">
        <v>916</v>
      </c>
      <c r="DE770" t="s">
        <v>267</v>
      </c>
      <c r="DF770" t="s">
        <v>268</v>
      </c>
      <c r="DG770" t="s">
        <v>10707</v>
      </c>
      <c r="DH770" t="s">
        <v>235</v>
      </c>
      <c r="DI770" t="s">
        <v>183</v>
      </c>
      <c r="DJ770" t="s">
        <v>211</v>
      </c>
      <c r="DL770" t="s">
        <v>271</v>
      </c>
      <c r="DM770" t="s">
        <v>198</v>
      </c>
      <c r="DN770" t="s">
        <v>10708</v>
      </c>
      <c r="DO770" t="s">
        <v>273</v>
      </c>
      <c r="DP770" t="s">
        <v>274</v>
      </c>
      <c r="DQ770" t="s">
        <v>10709</v>
      </c>
      <c r="DR770" t="s">
        <v>235</v>
      </c>
      <c r="DS770" t="s">
        <v>183</v>
      </c>
      <c r="DT770" t="s">
        <v>211</v>
      </c>
      <c r="DU770" t="s">
        <v>345</v>
      </c>
      <c r="DW770" t="s">
        <v>1613</v>
      </c>
      <c r="DX770" t="s">
        <v>10710</v>
      </c>
      <c r="DY770" t="s">
        <v>302</v>
      </c>
      <c r="DZ770" t="s">
        <v>303</v>
      </c>
      <c r="EA770" t="s">
        <v>10711</v>
      </c>
      <c r="EB770" t="s">
        <v>3342</v>
      </c>
      <c r="EC770" t="s">
        <v>183</v>
      </c>
      <c r="ED770" t="s">
        <v>211</v>
      </c>
      <c r="EE770" t="s">
        <v>345</v>
      </c>
      <c r="EG770" t="s">
        <v>1094</v>
      </c>
      <c r="EH770" t="s">
        <v>5539</v>
      </c>
      <c r="EI770" t="s">
        <v>238</v>
      </c>
      <c r="EJ770" t="s">
        <v>239</v>
      </c>
      <c r="EK770" t="s">
        <v>10712</v>
      </c>
      <c r="EL770" t="s">
        <v>278</v>
      </c>
      <c r="EM770" t="s">
        <v>183</v>
      </c>
      <c r="EN770" t="s">
        <v>211</v>
      </c>
      <c r="EO770" t="s">
        <v>337</v>
      </c>
      <c r="EQ770" t="s">
        <v>10713</v>
      </c>
      <c r="ER770" t="s">
        <v>10714</v>
      </c>
      <c r="ES770" t="s">
        <v>346</v>
      </c>
      <c r="ET770" t="s">
        <v>347</v>
      </c>
      <c r="EU770" t="s">
        <v>10715</v>
      </c>
      <c r="EV770" t="s">
        <v>1551</v>
      </c>
      <c r="EW770" t="s">
        <v>183</v>
      </c>
      <c r="EX770" t="s">
        <v>211</v>
      </c>
      <c r="EY770" t="s">
        <v>334</v>
      </c>
      <c r="FA770" t="s">
        <v>10716</v>
      </c>
      <c r="FB770" t="s">
        <v>10717</v>
      </c>
      <c r="FC770" t="s">
        <v>207</v>
      </c>
      <c r="FD770" t="s">
        <v>208</v>
      </c>
      <c r="FE770" t="s">
        <v>10718</v>
      </c>
      <c r="FF770" t="s">
        <v>576</v>
      </c>
      <c r="FG770" t="s">
        <v>183</v>
      </c>
      <c r="FH770" t="s">
        <v>211</v>
      </c>
      <c r="FI770" t="s">
        <v>298</v>
      </c>
      <c r="FK770" t="s">
        <v>474</v>
      </c>
      <c r="FU770" t="s">
        <v>198</v>
      </c>
    </row>
    <row r="771" spans="1:177">
      <c r="A771" s="1" t="str">
        <f>HYPERLINK("http://digipan.lumentumllc.com/apps/getLink/index.php?t=PropLink&amp;p=15746900","PL")</f>
        <v>PL</v>
      </c>
      <c r="B771" s="1" t="str">
        <f>HYPERLINK("http://digipan.lumentumllc.com/apps/getLink/index.php?t=TaxLink&amp;p=15746900","TL")</f>
        <v>TL</v>
      </c>
      <c r="C771" s="1" t="str">
        <f>HYPERLINK("http://digipan.lumentumllc.com/apps/getMap/index.php?p=15746900","Map")</f>
        <v>Map</v>
      </c>
      <c r="E771" t="s">
        <v>177</v>
      </c>
      <c r="F771" t="s">
        <v>178</v>
      </c>
      <c r="L771" t="s">
        <v>10719</v>
      </c>
      <c r="N771" t="s">
        <v>10719</v>
      </c>
      <c r="O771" t="s">
        <v>10719</v>
      </c>
      <c r="Q771" t="s">
        <v>10719</v>
      </c>
      <c r="V771">
        <v>898</v>
      </c>
      <c r="W771">
        <v>3</v>
      </c>
      <c r="X771">
        <v>2017</v>
      </c>
      <c r="Y771">
        <v>2018</v>
      </c>
      <c r="Z771">
        <v>366.4</v>
      </c>
      <c r="AG771" t="s">
        <v>184</v>
      </c>
      <c r="AH771">
        <v>0</v>
      </c>
      <c r="AK771">
        <v>0</v>
      </c>
      <c r="AL771">
        <v>22849</v>
      </c>
      <c r="AM771">
        <v>15000</v>
      </c>
      <c r="AN771">
        <v>7849</v>
      </c>
      <c r="AO771">
        <v>259</v>
      </c>
      <c r="AP771">
        <v>2016</v>
      </c>
      <c r="AQ771">
        <v>1.6</v>
      </c>
      <c r="AS771" t="s">
        <v>10720</v>
      </c>
      <c r="AT771" t="s">
        <v>3747</v>
      </c>
      <c r="AU771" t="s">
        <v>177</v>
      </c>
      <c r="AV771" t="s">
        <v>1030</v>
      </c>
      <c r="AW771" t="s">
        <v>182</v>
      </c>
      <c r="AX771">
        <v>0</v>
      </c>
      <c r="AY771" t="s">
        <v>312</v>
      </c>
      <c r="AZ771" t="s">
        <v>199</v>
      </c>
      <c r="BA771" t="s">
        <v>313</v>
      </c>
      <c r="BB771" t="s">
        <v>191</v>
      </c>
      <c r="BC771" t="s">
        <v>182</v>
      </c>
      <c r="BD771" t="s">
        <v>182</v>
      </c>
      <c r="BE771" t="s">
        <v>383</v>
      </c>
      <c r="BF771">
        <v>0</v>
      </c>
      <c r="BG771">
        <v>0</v>
      </c>
      <c r="BH771">
        <v>0</v>
      </c>
      <c r="BI771" t="s">
        <v>199</v>
      </c>
      <c r="BJ771" t="s">
        <v>248</v>
      </c>
      <c r="BL771" t="s">
        <v>199</v>
      </c>
      <c r="BM771" t="s">
        <v>2351</v>
      </c>
      <c r="BN771" t="s">
        <v>182</v>
      </c>
      <c r="BO771" t="s">
        <v>198</v>
      </c>
      <c r="BP771" t="s">
        <v>198</v>
      </c>
      <c r="BQ771" t="s">
        <v>198</v>
      </c>
      <c r="BR771" t="s">
        <v>198</v>
      </c>
      <c r="BS771" t="s">
        <v>198</v>
      </c>
      <c r="BT771" t="s">
        <v>198</v>
      </c>
      <c r="BU771" t="s">
        <v>182</v>
      </c>
      <c r="BV771" t="s">
        <v>198</v>
      </c>
      <c r="BW771" t="s">
        <v>198</v>
      </c>
      <c r="BX771" t="s">
        <v>199</v>
      </c>
      <c r="BY771" t="s">
        <v>198</v>
      </c>
      <c r="BZ771" t="s">
        <v>199</v>
      </c>
      <c r="CA771" t="s">
        <v>199</v>
      </c>
      <c r="CB771" t="s">
        <v>10721</v>
      </c>
      <c r="CC771" t="s">
        <v>201</v>
      </c>
      <c r="CD771" t="s">
        <v>182</v>
      </c>
      <c r="CE771" t="s">
        <v>10722</v>
      </c>
      <c r="CF771" t="s">
        <v>1029</v>
      </c>
      <c r="CG771" t="s">
        <v>177</v>
      </c>
      <c r="CH771" t="s">
        <v>1030</v>
      </c>
      <c r="CI771" t="s">
        <v>10723</v>
      </c>
      <c r="CS771" t="s">
        <v>198</v>
      </c>
      <c r="DC771" t="s">
        <v>198</v>
      </c>
      <c r="DM771" t="s">
        <v>198</v>
      </c>
      <c r="DW771" t="s">
        <v>198</v>
      </c>
      <c r="EG771" t="s">
        <v>198</v>
      </c>
      <c r="EQ771" t="s">
        <v>198</v>
      </c>
      <c r="FA771" t="s">
        <v>198</v>
      </c>
      <c r="FK771" t="s">
        <v>198</v>
      </c>
      <c r="FU771" t="s">
        <v>198</v>
      </c>
    </row>
    <row r="772" spans="1:177">
      <c r="A772" s="1" t="str">
        <f>HYPERLINK("http://digipan.lumentumllc.com/apps/getLink/index.php?t=PropLink&amp;p=5246194","PL")</f>
        <v>PL</v>
      </c>
      <c r="B772" s="1" t="str">
        <f>HYPERLINK("http://digipan.lumentumllc.com/apps/getLink/index.php?t=TaxLink&amp;p=5246194","TL")</f>
        <v>TL</v>
      </c>
      <c r="C772" s="1" t="str">
        <f>HYPERLINK("http://digipan.lumentumllc.com/apps/getMap/index.php?p=5246194","Map")</f>
        <v>Map</v>
      </c>
      <c r="E772" t="s">
        <v>177</v>
      </c>
      <c r="F772" t="s">
        <v>178</v>
      </c>
      <c r="L772" t="s">
        <v>10724</v>
      </c>
      <c r="N772" t="s">
        <v>10724</v>
      </c>
      <c r="O772" t="s">
        <v>10724</v>
      </c>
      <c r="P772" t="s">
        <v>10725</v>
      </c>
      <c r="Q772" t="s">
        <v>10724</v>
      </c>
      <c r="V772">
        <v>900</v>
      </c>
      <c r="W772">
        <v>3</v>
      </c>
      <c r="X772">
        <v>2017</v>
      </c>
      <c r="Y772">
        <v>2018</v>
      </c>
      <c r="Z772">
        <v>322.8</v>
      </c>
      <c r="AB772" t="s">
        <v>181</v>
      </c>
      <c r="AC772" t="s">
        <v>182</v>
      </c>
      <c r="AD772" t="s">
        <v>183</v>
      </c>
      <c r="AE772">
        <v>7</v>
      </c>
      <c r="AF772">
        <v>0</v>
      </c>
      <c r="AG772" t="s">
        <v>1038</v>
      </c>
      <c r="AH772">
        <v>0</v>
      </c>
      <c r="AI772">
        <v>2099.69</v>
      </c>
      <c r="AJ772">
        <v>998.91</v>
      </c>
      <c r="AK772">
        <v>3098.6</v>
      </c>
      <c r="AL772">
        <v>19050</v>
      </c>
      <c r="AM772">
        <v>19050</v>
      </c>
      <c r="AN772">
        <v>0</v>
      </c>
      <c r="AO772">
        <v>234</v>
      </c>
      <c r="AP772">
        <v>2016</v>
      </c>
      <c r="AQ772">
        <v>1.69</v>
      </c>
      <c r="AR772">
        <v>16.27</v>
      </c>
      <c r="AS772" t="s">
        <v>10726</v>
      </c>
      <c r="AT772" t="s">
        <v>3747</v>
      </c>
      <c r="AU772" t="s">
        <v>177</v>
      </c>
      <c r="AV772" t="s">
        <v>1030</v>
      </c>
      <c r="AW772" t="s">
        <v>182</v>
      </c>
      <c r="AX772">
        <v>0</v>
      </c>
      <c r="AY772" t="s">
        <v>312</v>
      </c>
      <c r="AZ772" t="s">
        <v>199</v>
      </c>
      <c r="BA772" t="s">
        <v>313</v>
      </c>
      <c r="BB772" t="s">
        <v>191</v>
      </c>
      <c r="BC772" t="s">
        <v>182</v>
      </c>
      <c r="BD772" t="s">
        <v>182</v>
      </c>
      <c r="BE772" t="s">
        <v>4272</v>
      </c>
      <c r="BF772">
        <v>0</v>
      </c>
      <c r="BG772">
        <v>0</v>
      </c>
      <c r="BH772">
        <v>0</v>
      </c>
      <c r="BI772" t="s">
        <v>199</v>
      </c>
      <c r="BJ772" t="s">
        <v>315</v>
      </c>
      <c r="BL772" t="s">
        <v>199</v>
      </c>
      <c r="BM772" t="s">
        <v>930</v>
      </c>
      <c r="BN772" t="s">
        <v>182</v>
      </c>
      <c r="BO772" t="s">
        <v>198</v>
      </c>
      <c r="BP772" t="s">
        <v>198</v>
      </c>
      <c r="BQ772" t="s">
        <v>198</v>
      </c>
      <c r="BR772" t="s">
        <v>198</v>
      </c>
      <c r="BS772" t="s">
        <v>198</v>
      </c>
      <c r="BT772" t="s">
        <v>198</v>
      </c>
      <c r="BU772" t="s">
        <v>182</v>
      </c>
      <c r="BV772" t="s">
        <v>198</v>
      </c>
      <c r="BW772" t="s">
        <v>198</v>
      </c>
      <c r="BX772" t="s">
        <v>199</v>
      </c>
      <c r="BY772" t="s">
        <v>198</v>
      </c>
      <c r="BZ772" t="s">
        <v>199</v>
      </c>
      <c r="CA772" t="s">
        <v>199</v>
      </c>
      <c r="CB772" t="s">
        <v>10727</v>
      </c>
      <c r="CC772" t="s">
        <v>201</v>
      </c>
      <c r="CD772" t="s">
        <v>182</v>
      </c>
      <c r="CE772" t="s">
        <v>10728</v>
      </c>
      <c r="CF772" t="s">
        <v>10729</v>
      </c>
      <c r="CG772" t="s">
        <v>2769</v>
      </c>
      <c r="CH772" t="s">
        <v>10730</v>
      </c>
      <c r="CI772" t="s">
        <v>10731</v>
      </c>
      <c r="CJ772" t="s">
        <v>4767</v>
      </c>
      <c r="CK772" t="s">
        <v>232</v>
      </c>
      <c r="CL772" t="s">
        <v>233</v>
      </c>
      <c r="CM772" t="s">
        <v>10732</v>
      </c>
      <c r="CN772" t="s">
        <v>482</v>
      </c>
      <c r="CO772" t="s">
        <v>183</v>
      </c>
      <c r="CP772" t="s">
        <v>266</v>
      </c>
      <c r="CS772" t="s">
        <v>198</v>
      </c>
      <c r="CT772" t="s">
        <v>8751</v>
      </c>
      <c r="CU772" t="s">
        <v>292</v>
      </c>
      <c r="CV772" t="s">
        <v>293</v>
      </c>
      <c r="CW772" t="s">
        <v>10733</v>
      </c>
      <c r="CX772" t="s">
        <v>482</v>
      </c>
      <c r="CY772" t="s">
        <v>183</v>
      </c>
      <c r="CZ772" t="s">
        <v>266</v>
      </c>
      <c r="DC772" t="s">
        <v>198</v>
      </c>
      <c r="DD772" t="s">
        <v>4788</v>
      </c>
      <c r="DE772" t="s">
        <v>267</v>
      </c>
      <c r="DF772" t="s">
        <v>268</v>
      </c>
      <c r="DG772" t="s">
        <v>10734</v>
      </c>
      <c r="DH772" t="s">
        <v>247</v>
      </c>
      <c r="DI772" t="s">
        <v>183</v>
      </c>
      <c r="DJ772" t="s">
        <v>266</v>
      </c>
      <c r="DM772" t="s">
        <v>198</v>
      </c>
      <c r="DN772" t="s">
        <v>7555</v>
      </c>
      <c r="DO772" t="s">
        <v>273</v>
      </c>
      <c r="DP772" t="s">
        <v>274</v>
      </c>
      <c r="DQ772" t="s">
        <v>10735</v>
      </c>
      <c r="DR772" t="s">
        <v>4595</v>
      </c>
      <c r="DS772" t="s">
        <v>183</v>
      </c>
      <c r="DT772" t="s">
        <v>266</v>
      </c>
      <c r="DW772" t="s">
        <v>198</v>
      </c>
      <c r="DX772" t="s">
        <v>10736</v>
      </c>
      <c r="DY772" t="s">
        <v>302</v>
      </c>
      <c r="DZ772" t="s">
        <v>303</v>
      </c>
      <c r="EA772" t="s">
        <v>10737</v>
      </c>
      <c r="EB772" t="s">
        <v>1491</v>
      </c>
      <c r="EC772" t="s">
        <v>183</v>
      </c>
      <c r="ED772" t="s">
        <v>266</v>
      </c>
      <c r="EG772" t="s">
        <v>198</v>
      </c>
      <c r="EH772" t="s">
        <v>10738</v>
      </c>
      <c r="EI772" t="s">
        <v>238</v>
      </c>
      <c r="EJ772" t="s">
        <v>239</v>
      </c>
      <c r="EK772" t="s">
        <v>10739</v>
      </c>
      <c r="EL772" t="s">
        <v>519</v>
      </c>
      <c r="EM772" t="s">
        <v>183</v>
      </c>
      <c r="EN772" t="s">
        <v>266</v>
      </c>
      <c r="EQ772" t="s">
        <v>198</v>
      </c>
      <c r="ER772" t="s">
        <v>10740</v>
      </c>
      <c r="ES772" t="s">
        <v>346</v>
      </c>
      <c r="ET772" t="s">
        <v>347</v>
      </c>
      <c r="EU772" t="s">
        <v>10741</v>
      </c>
      <c r="EV772" t="s">
        <v>254</v>
      </c>
      <c r="EW772" t="s">
        <v>183</v>
      </c>
      <c r="EX772" t="s">
        <v>266</v>
      </c>
      <c r="FA772" t="s">
        <v>198</v>
      </c>
      <c r="FK772" t="s">
        <v>198</v>
      </c>
      <c r="FU772" t="s">
        <v>198</v>
      </c>
    </row>
    <row r="773" spans="1:177">
      <c r="A773" s="1" t="str">
        <f>HYPERLINK("http://digipan.lumentumllc.com/apps/getLink/index.php?t=PropLink&amp;p=5246195","PL")</f>
        <v>PL</v>
      </c>
      <c r="B773" s="1" t="str">
        <f>HYPERLINK("http://digipan.lumentumllc.com/apps/getLink/index.php?t=TaxLink&amp;p=5246195","TL")</f>
        <v>TL</v>
      </c>
      <c r="C773" s="1" t="str">
        <f>HYPERLINK("http://digipan.lumentumllc.com/apps/getMap/index.php?p=5246195","Map")</f>
        <v>Map</v>
      </c>
      <c r="E773" t="s">
        <v>177</v>
      </c>
      <c r="F773" t="s">
        <v>178</v>
      </c>
      <c r="L773" t="s">
        <v>10742</v>
      </c>
      <c r="N773" t="s">
        <v>10742</v>
      </c>
      <c r="O773" t="s">
        <v>10742</v>
      </c>
      <c r="P773" t="s">
        <v>10743</v>
      </c>
      <c r="Q773" t="s">
        <v>10742</v>
      </c>
      <c r="V773">
        <v>901</v>
      </c>
      <c r="W773">
        <v>3</v>
      </c>
      <c r="X773">
        <v>2017</v>
      </c>
      <c r="Y773">
        <v>2018</v>
      </c>
      <c r="Z773">
        <v>73.22</v>
      </c>
      <c r="AB773" t="s">
        <v>181</v>
      </c>
      <c r="AC773" t="s">
        <v>182</v>
      </c>
      <c r="AD773" t="s">
        <v>1037</v>
      </c>
      <c r="AE773">
        <v>7</v>
      </c>
      <c r="AF773">
        <v>0</v>
      </c>
      <c r="AG773" t="s">
        <v>1038</v>
      </c>
      <c r="AH773">
        <v>0</v>
      </c>
      <c r="AI773">
        <v>433.56</v>
      </c>
      <c r="AJ773">
        <v>309.64</v>
      </c>
      <c r="AK773">
        <v>743.2</v>
      </c>
      <c r="AL773">
        <v>2700</v>
      </c>
      <c r="AM773">
        <v>2700</v>
      </c>
      <c r="AN773">
        <v>0</v>
      </c>
      <c r="AO773">
        <v>33</v>
      </c>
      <c r="AP773">
        <v>2016</v>
      </c>
      <c r="AQ773">
        <v>2.71</v>
      </c>
      <c r="AR773">
        <v>27.53</v>
      </c>
      <c r="AS773" t="s">
        <v>10726</v>
      </c>
      <c r="AT773" t="s">
        <v>3747</v>
      </c>
      <c r="AU773" t="s">
        <v>177</v>
      </c>
      <c r="AV773" t="s">
        <v>1030</v>
      </c>
      <c r="AW773" t="s">
        <v>182</v>
      </c>
      <c r="AX773">
        <v>0</v>
      </c>
      <c r="AY773" t="s">
        <v>312</v>
      </c>
      <c r="AZ773" t="s">
        <v>199</v>
      </c>
      <c r="BA773" t="s">
        <v>313</v>
      </c>
      <c r="BB773" t="s">
        <v>191</v>
      </c>
      <c r="BC773" t="s">
        <v>182</v>
      </c>
      <c r="BD773" t="s">
        <v>182</v>
      </c>
      <c r="BE773" t="s">
        <v>478</v>
      </c>
      <c r="BF773">
        <v>0</v>
      </c>
      <c r="BG773">
        <v>0</v>
      </c>
      <c r="BH773">
        <v>0</v>
      </c>
      <c r="BI773" t="s">
        <v>199</v>
      </c>
      <c r="BJ773" t="s">
        <v>315</v>
      </c>
      <c r="BL773" t="s">
        <v>199</v>
      </c>
      <c r="BM773" t="s">
        <v>533</v>
      </c>
      <c r="BN773" t="s">
        <v>182</v>
      </c>
      <c r="BO773" t="s">
        <v>198</v>
      </c>
      <c r="BP773" t="s">
        <v>198</v>
      </c>
      <c r="BQ773" t="s">
        <v>198</v>
      </c>
      <c r="BR773" t="s">
        <v>198</v>
      </c>
      <c r="BS773" t="s">
        <v>198</v>
      </c>
      <c r="BT773" t="s">
        <v>198</v>
      </c>
      <c r="BU773" t="s">
        <v>182</v>
      </c>
      <c r="BV773" t="s">
        <v>198</v>
      </c>
      <c r="BW773" t="s">
        <v>198</v>
      </c>
      <c r="BX773" t="s">
        <v>199</v>
      </c>
      <c r="BY773" t="s">
        <v>198</v>
      </c>
      <c r="BZ773" t="s">
        <v>199</v>
      </c>
      <c r="CA773" t="s">
        <v>199</v>
      </c>
      <c r="CB773" t="s">
        <v>10744</v>
      </c>
      <c r="CC773" t="s">
        <v>201</v>
      </c>
      <c r="CD773" t="s">
        <v>182</v>
      </c>
      <c r="CE773" t="s">
        <v>10745</v>
      </c>
      <c r="CF773" t="s">
        <v>413</v>
      </c>
      <c r="CG773" t="s">
        <v>177</v>
      </c>
      <c r="CH773" t="s">
        <v>3987</v>
      </c>
      <c r="CI773" t="s">
        <v>10746</v>
      </c>
      <c r="CJ773" t="s">
        <v>4788</v>
      </c>
      <c r="CK773" t="s">
        <v>232</v>
      </c>
      <c r="CL773" t="s">
        <v>233</v>
      </c>
      <c r="CM773" t="s">
        <v>6725</v>
      </c>
      <c r="CN773" t="s">
        <v>482</v>
      </c>
      <c r="CO773" t="s">
        <v>5</v>
      </c>
      <c r="CP773" t="s">
        <v>266</v>
      </c>
      <c r="CS773" t="s">
        <v>198</v>
      </c>
      <c r="CT773" t="s">
        <v>9883</v>
      </c>
      <c r="CU773" t="s">
        <v>292</v>
      </c>
      <c r="CV773" t="s">
        <v>293</v>
      </c>
      <c r="CW773" t="s">
        <v>10747</v>
      </c>
      <c r="CX773" t="s">
        <v>482</v>
      </c>
      <c r="CY773" t="s">
        <v>5</v>
      </c>
      <c r="CZ773" t="s">
        <v>266</v>
      </c>
      <c r="DC773" t="s">
        <v>198</v>
      </c>
      <c r="DD773" t="s">
        <v>10748</v>
      </c>
      <c r="DE773" t="s">
        <v>267</v>
      </c>
      <c r="DF773" t="s">
        <v>268</v>
      </c>
      <c r="DG773" t="s">
        <v>10749</v>
      </c>
      <c r="DH773" t="s">
        <v>333</v>
      </c>
      <c r="DI773" t="s">
        <v>183</v>
      </c>
      <c r="DJ773" t="s">
        <v>266</v>
      </c>
      <c r="DM773" t="s">
        <v>198</v>
      </c>
      <c r="DN773" t="s">
        <v>10750</v>
      </c>
      <c r="DO773" t="s">
        <v>273</v>
      </c>
      <c r="DP773" t="s">
        <v>274</v>
      </c>
      <c r="DQ773" t="s">
        <v>1048</v>
      </c>
      <c r="DR773" t="s">
        <v>482</v>
      </c>
      <c r="DS773" t="s">
        <v>5</v>
      </c>
      <c r="DT773" t="s">
        <v>266</v>
      </c>
      <c r="DW773" t="s">
        <v>198</v>
      </c>
      <c r="DX773" t="s">
        <v>8152</v>
      </c>
      <c r="DY773" t="s">
        <v>302</v>
      </c>
      <c r="DZ773" t="s">
        <v>303</v>
      </c>
      <c r="EA773" t="s">
        <v>10751</v>
      </c>
      <c r="EB773" t="s">
        <v>1052</v>
      </c>
      <c r="EC773" t="s">
        <v>183</v>
      </c>
      <c r="ED773" t="s">
        <v>266</v>
      </c>
      <c r="EG773" t="s">
        <v>198</v>
      </c>
      <c r="EH773" t="s">
        <v>10752</v>
      </c>
      <c r="EI773" t="s">
        <v>238</v>
      </c>
      <c r="EJ773" t="s">
        <v>239</v>
      </c>
      <c r="EK773" t="s">
        <v>10753</v>
      </c>
      <c r="EL773" t="s">
        <v>482</v>
      </c>
      <c r="EM773" t="s">
        <v>183</v>
      </c>
      <c r="EN773" t="s">
        <v>266</v>
      </c>
      <c r="EQ773" t="s">
        <v>198</v>
      </c>
      <c r="ER773" t="s">
        <v>10754</v>
      </c>
      <c r="ES773" t="s">
        <v>346</v>
      </c>
      <c r="ET773" t="s">
        <v>347</v>
      </c>
      <c r="EU773" t="s">
        <v>10755</v>
      </c>
      <c r="EV773" t="s">
        <v>482</v>
      </c>
      <c r="EW773" t="s">
        <v>183</v>
      </c>
      <c r="EX773" t="s">
        <v>266</v>
      </c>
      <c r="FA773" t="s">
        <v>198</v>
      </c>
      <c r="FK773" t="s">
        <v>198</v>
      </c>
      <c r="FU773" t="s">
        <v>198</v>
      </c>
    </row>
    <row r="774" spans="1:177">
      <c r="A774" s="1" t="str">
        <f>HYPERLINK("http://digipan.lumentumllc.com/apps/getLink/index.php?t=PropLink&amp;p=5246196","PL")</f>
        <v>PL</v>
      </c>
      <c r="B774" s="1" t="str">
        <f>HYPERLINK("http://digipan.lumentumllc.com/apps/getLink/index.php?t=TaxLink&amp;p=5246196","TL")</f>
        <v>TL</v>
      </c>
      <c r="C774" s="1" t="str">
        <f>HYPERLINK("http://digipan.lumentumllc.com/apps/getMap/index.php?p=5246196","Map")</f>
        <v>Map</v>
      </c>
      <c r="E774" t="s">
        <v>177</v>
      </c>
      <c r="F774" t="s">
        <v>178</v>
      </c>
      <c r="L774" t="s">
        <v>10756</v>
      </c>
      <c r="N774" t="s">
        <v>10756</v>
      </c>
      <c r="O774" t="s">
        <v>10756</v>
      </c>
      <c r="P774" t="s">
        <v>10757</v>
      </c>
      <c r="Q774" t="s">
        <v>10756</v>
      </c>
      <c r="V774">
        <v>902</v>
      </c>
      <c r="W774">
        <v>3</v>
      </c>
      <c r="X774">
        <v>2017</v>
      </c>
      <c r="Y774">
        <v>2018</v>
      </c>
      <c r="Z774">
        <v>377.31</v>
      </c>
      <c r="AB774" t="s">
        <v>181</v>
      </c>
      <c r="AC774" t="s">
        <v>182</v>
      </c>
      <c r="AD774" t="s">
        <v>183</v>
      </c>
      <c r="AE774">
        <v>1</v>
      </c>
      <c r="AF774">
        <v>6</v>
      </c>
      <c r="AG774" t="s">
        <v>418</v>
      </c>
      <c r="AH774">
        <v>86</v>
      </c>
      <c r="AI774">
        <v>369.54</v>
      </c>
      <c r="AJ774">
        <v>18.48</v>
      </c>
      <c r="AK774">
        <v>388.02</v>
      </c>
      <c r="AL774">
        <v>56189</v>
      </c>
      <c r="AM774">
        <v>15150</v>
      </c>
      <c r="AN774">
        <v>41039</v>
      </c>
      <c r="AO774">
        <v>317</v>
      </c>
      <c r="AP774">
        <v>2016</v>
      </c>
      <c r="AQ774">
        <v>0.67</v>
      </c>
      <c r="AR774">
        <v>0.69</v>
      </c>
      <c r="AS774" t="s">
        <v>10758</v>
      </c>
      <c r="AT774" t="s">
        <v>3747</v>
      </c>
      <c r="AU774" t="s">
        <v>177</v>
      </c>
      <c r="AV774" t="s">
        <v>1030</v>
      </c>
      <c r="AW774" t="s">
        <v>202</v>
      </c>
      <c r="AX774">
        <v>2</v>
      </c>
      <c r="AY774" t="s">
        <v>188</v>
      </c>
      <c r="AZ774" t="s">
        <v>189</v>
      </c>
      <c r="BA774" t="s">
        <v>190</v>
      </c>
      <c r="BB774" t="s">
        <v>191</v>
      </c>
      <c r="BC774" t="s">
        <v>182</v>
      </c>
      <c r="BD774" t="s">
        <v>182</v>
      </c>
      <c r="BE774" t="s">
        <v>899</v>
      </c>
      <c r="BF774">
        <v>1</v>
      </c>
      <c r="BG774">
        <v>1</v>
      </c>
      <c r="BH774">
        <v>1998</v>
      </c>
      <c r="BI774" t="s">
        <v>4406</v>
      </c>
      <c r="BJ774" t="s">
        <v>194</v>
      </c>
      <c r="BK774" t="s">
        <v>195</v>
      </c>
      <c r="BL774" t="s">
        <v>10759</v>
      </c>
      <c r="BM774" t="s">
        <v>559</v>
      </c>
      <c r="BN774" t="s">
        <v>182</v>
      </c>
      <c r="BO774" t="s">
        <v>198</v>
      </c>
      <c r="BP774" t="s">
        <v>198</v>
      </c>
      <c r="BQ774" t="s">
        <v>198</v>
      </c>
      <c r="BR774" t="s">
        <v>198</v>
      </c>
      <c r="BS774" t="s">
        <v>198</v>
      </c>
      <c r="BT774" t="s">
        <v>198</v>
      </c>
      <c r="BU774" t="s">
        <v>182</v>
      </c>
      <c r="BV774" t="s">
        <v>198</v>
      </c>
      <c r="BW774" t="s">
        <v>198</v>
      </c>
      <c r="BX774" t="s">
        <v>199</v>
      </c>
      <c r="BY774" t="s">
        <v>198</v>
      </c>
      <c r="BZ774" t="s">
        <v>199</v>
      </c>
      <c r="CA774" t="s">
        <v>199</v>
      </c>
      <c r="CB774" t="s">
        <v>10760</v>
      </c>
      <c r="CC774" t="s">
        <v>201</v>
      </c>
      <c r="CD774" t="s">
        <v>202</v>
      </c>
      <c r="CE774" t="s">
        <v>10761</v>
      </c>
      <c r="CF774" t="s">
        <v>1029</v>
      </c>
      <c r="CG774" t="s">
        <v>177</v>
      </c>
      <c r="CH774" t="s">
        <v>1030</v>
      </c>
      <c r="CI774" t="s">
        <v>10762</v>
      </c>
      <c r="CJ774" t="s">
        <v>10748</v>
      </c>
      <c r="CK774" t="s">
        <v>232</v>
      </c>
      <c r="CL774" t="s">
        <v>233</v>
      </c>
      <c r="CM774" t="s">
        <v>10763</v>
      </c>
      <c r="CN774" t="s">
        <v>235</v>
      </c>
      <c r="CO774" t="s">
        <v>183</v>
      </c>
      <c r="CP774" t="s">
        <v>266</v>
      </c>
      <c r="CS774" t="s">
        <v>198</v>
      </c>
      <c r="CT774" t="s">
        <v>10764</v>
      </c>
      <c r="CU774" t="s">
        <v>292</v>
      </c>
      <c r="CV774" t="s">
        <v>293</v>
      </c>
      <c r="CW774" t="s">
        <v>10765</v>
      </c>
      <c r="CX774" t="s">
        <v>235</v>
      </c>
      <c r="CY774" t="s">
        <v>183</v>
      </c>
      <c r="CZ774" t="s">
        <v>211</v>
      </c>
      <c r="DA774" t="s">
        <v>345</v>
      </c>
      <c r="DC774" t="s">
        <v>6851</v>
      </c>
      <c r="DD774" t="s">
        <v>10766</v>
      </c>
      <c r="DE774" t="s">
        <v>267</v>
      </c>
      <c r="DF774" t="s">
        <v>268</v>
      </c>
      <c r="DG774" t="s">
        <v>10767</v>
      </c>
      <c r="DH774" t="s">
        <v>235</v>
      </c>
      <c r="DI774" t="s">
        <v>183</v>
      </c>
      <c r="DJ774" t="s">
        <v>211</v>
      </c>
      <c r="DK774" t="s">
        <v>337</v>
      </c>
      <c r="DM774" t="s">
        <v>10768</v>
      </c>
      <c r="DN774" t="s">
        <v>7937</v>
      </c>
      <c r="DO774" t="s">
        <v>273</v>
      </c>
      <c r="DP774" t="s">
        <v>274</v>
      </c>
      <c r="DQ774" t="s">
        <v>10769</v>
      </c>
      <c r="DR774" t="s">
        <v>514</v>
      </c>
      <c r="DS774" t="s">
        <v>183</v>
      </c>
      <c r="DT774" t="s">
        <v>211</v>
      </c>
      <c r="DU774" t="s">
        <v>345</v>
      </c>
      <c r="DW774" t="s">
        <v>7428</v>
      </c>
      <c r="DX774" t="s">
        <v>5873</v>
      </c>
      <c r="DY774" t="s">
        <v>302</v>
      </c>
      <c r="DZ774" t="s">
        <v>303</v>
      </c>
      <c r="EA774" t="s">
        <v>10770</v>
      </c>
      <c r="EB774" t="s">
        <v>3342</v>
      </c>
      <c r="EC774" t="s">
        <v>183</v>
      </c>
      <c r="ED774" t="s">
        <v>211</v>
      </c>
      <c r="EE774" t="s">
        <v>345</v>
      </c>
      <c r="EG774" t="s">
        <v>10771</v>
      </c>
      <c r="EH774" t="s">
        <v>10772</v>
      </c>
      <c r="EI774" t="s">
        <v>238</v>
      </c>
      <c r="EJ774" t="s">
        <v>239</v>
      </c>
      <c r="EK774" t="s">
        <v>10773</v>
      </c>
      <c r="EL774" t="s">
        <v>278</v>
      </c>
      <c r="EM774" t="s">
        <v>183</v>
      </c>
      <c r="EN774" t="s">
        <v>211</v>
      </c>
      <c r="EO774" t="s">
        <v>298</v>
      </c>
      <c r="EQ774" t="s">
        <v>467</v>
      </c>
      <c r="ER774" t="s">
        <v>10774</v>
      </c>
      <c r="ES774" t="s">
        <v>346</v>
      </c>
      <c r="ET774" t="s">
        <v>347</v>
      </c>
      <c r="EU774" t="s">
        <v>10775</v>
      </c>
      <c r="EV774" t="s">
        <v>469</v>
      </c>
      <c r="EW774" t="s">
        <v>183</v>
      </c>
      <c r="EX774" t="s">
        <v>211</v>
      </c>
      <c r="EY774" t="s">
        <v>345</v>
      </c>
      <c r="FA774" t="s">
        <v>8421</v>
      </c>
      <c r="FK774" t="s">
        <v>198</v>
      </c>
      <c r="FU774" t="s">
        <v>198</v>
      </c>
    </row>
    <row r="775" spans="1:177">
      <c r="A775" s="1" t="str">
        <f>HYPERLINK("http://digipan.lumentumllc.com/apps/getLink/index.php?t=PropLink&amp;p=5246198","PL")</f>
        <v>PL</v>
      </c>
      <c r="B775" s="1" t="str">
        <f>HYPERLINK("http://digipan.lumentumllc.com/apps/getLink/index.php?t=TaxLink&amp;p=5246198","TL")</f>
        <v>TL</v>
      </c>
      <c r="C775" s="1" t="str">
        <f>HYPERLINK("http://digipan.lumentumllc.com/apps/getMap/index.php?p=5246198","Map")</f>
        <v>Map</v>
      </c>
      <c r="E775" t="s">
        <v>177</v>
      </c>
      <c r="F775" t="s">
        <v>178</v>
      </c>
      <c r="L775" t="s">
        <v>10776</v>
      </c>
      <c r="N775" t="s">
        <v>10776</v>
      </c>
      <c r="O775" t="s">
        <v>10776</v>
      </c>
      <c r="P775" t="s">
        <v>10777</v>
      </c>
      <c r="Q775" t="s">
        <v>10776</v>
      </c>
      <c r="V775">
        <v>904</v>
      </c>
      <c r="W775">
        <v>3</v>
      </c>
      <c r="X775">
        <v>2017</v>
      </c>
      <c r="Y775">
        <v>2018</v>
      </c>
      <c r="Z775">
        <v>765.91</v>
      </c>
      <c r="AB775" t="s">
        <v>181</v>
      </c>
      <c r="AC775" t="s">
        <v>182</v>
      </c>
      <c r="AD775" t="s">
        <v>183</v>
      </c>
      <c r="AE775">
        <v>0</v>
      </c>
      <c r="AF775">
        <v>3</v>
      </c>
      <c r="AG775" t="s">
        <v>216</v>
      </c>
      <c r="AH775">
        <v>100</v>
      </c>
      <c r="AK775">
        <v>0</v>
      </c>
      <c r="AL775">
        <v>45712</v>
      </c>
      <c r="AM775">
        <v>15000</v>
      </c>
      <c r="AN775">
        <v>30712</v>
      </c>
      <c r="AO775">
        <v>616</v>
      </c>
      <c r="AP775">
        <v>2016</v>
      </c>
      <c r="AQ775">
        <v>1.68</v>
      </c>
      <c r="AS775" t="s">
        <v>10778</v>
      </c>
      <c r="AT775" t="s">
        <v>3747</v>
      </c>
      <c r="AU775" t="s">
        <v>177</v>
      </c>
      <c r="AV775" t="s">
        <v>1030</v>
      </c>
      <c r="AW775" t="s">
        <v>182</v>
      </c>
      <c r="AX775">
        <v>2</v>
      </c>
      <c r="AY775" t="s">
        <v>188</v>
      </c>
      <c r="AZ775" t="s">
        <v>189</v>
      </c>
      <c r="BA775" t="s">
        <v>190</v>
      </c>
      <c r="BB775" t="s">
        <v>191</v>
      </c>
      <c r="BC775" t="s">
        <v>182</v>
      </c>
      <c r="BD775" t="s">
        <v>182</v>
      </c>
      <c r="BE775" t="s">
        <v>383</v>
      </c>
      <c r="BF775">
        <v>1</v>
      </c>
      <c r="BG775">
        <v>1</v>
      </c>
      <c r="BH775">
        <v>1998</v>
      </c>
      <c r="BI775" t="s">
        <v>10779</v>
      </c>
      <c r="BJ775" t="s">
        <v>194</v>
      </c>
      <c r="BK775" t="s">
        <v>195</v>
      </c>
      <c r="BL775" t="s">
        <v>199</v>
      </c>
      <c r="BM775" t="s">
        <v>286</v>
      </c>
      <c r="BN775" t="s">
        <v>182</v>
      </c>
      <c r="BO775" t="s">
        <v>198</v>
      </c>
      <c r="BP775" t="s">
        <v>198</v>
      </c>
      <c r="BQ775" t="s">
        <v>198</v>
      </c>
      <c r="BR775" t="s">
        <v>198</v>
      </c>
      <c r="BS775" t="s">
        <v>198</v>
      </c>
      <c r="BT775" t="s">
        <v>198</v>
      </c>
      <c r="BU775" t="s">
        <v>182</v>
      </c>
      <c r="BV775" t="s">
        <v>198</v>
      </c>
      <c r="BW775" t="s">
        <v>198</v>
      </c>
      <c r="BX775" t="s">
        <v>199</v>
      </c>
      <c r="BY775" t="s">
        <v>198</v>
      </c>
      <c r="BZ775" t="s">
        <v>199</v>
      </c>
      <c r="CA775" t="s">
        <v>199</v>
      </c>
      <c r="CB775" t="s">
        <v>10780</v>
      </c>
      <c r="CC775" t="s">
        <v>201</v>
      </c>
      <c r="CD775" t="s">
        <v>182</v>
      </c>
      <c r="CE775" t="s">
        <v>10781</v>
      </c>
      <c r="CF775" t="s">
        <v>1029</v>
      </c>
      <c r="CG775" t="s">
        <v>177</v>
      </c>
      <c r="CH775" t="s">
        <v>1030</v>
      </c>
      <c r="CI775" t="s">
        <v>10782</v>
      </c>
      <c r="CJ775" t="s">
        <v>9892</v>
      </c>
      <c r="CK775" t="s">
        <v>292</v>
      </c>
      <c r="CL775" t="s">
        <v>293</v>
      </c>
      <c r="CM775" t="s">
        <v>10783</v>
      </c>
      <c r="CN775" t="s">
        <v>235</v>
      </c>
      <c r="CO775" t="s">
        <v>183</v>
      </c>
      <c r="CP775" t="s">
        <v>211</v>
      </c>
      <c r="CQ775" t="s">
        <v>270</v>
      </c>
      <c r="CS775" t="s">
        <v>10784</v>
      </c>
      <c r="CT775" t="s">
        <v>9270</v>
      </c>
      <c r="CU775" t="s">
        <v>346</v>
      </c>
      <c r="CV775" t="s">
        <v>347</v>
      </c>
      <c r="CW775" t="s">
        <v>10785</v>
      </c>
      <c r="CX775" t="s">
        <v>2515</v>
      </c>
      <c r="CY775" t="s">
        <v>183</v>
      </c>
      <c r="CZ775" t="s">
        <v>211</v>
      </c>
      <c r="DA775" t="s">
        <v>270</v>
      </c>
      <c r="DC775" t="s">
        <v>10786</v>
      </c>
      <c r="DD775" t="s">
        <v>5782</v>
      </c>
      <c r="DE775" t="s">
        <v>207</v>
      </c>
      <c r="DF775" t="s">
        <v>208</v>
      </c>
      <c r="DG775" t="s">
        <v>10787</v>
      </c>
      <c r="DH775" t="s">
        <v>576</v>
      </c>
      <c r="DI775" t="s">
        <v>183</v>
      </c>
      <c r="DJ775" t="s">
        <v>211</v>
      </c>
      <c r="DK775" t="s">
        <v>337</v>
      </c>
      <c r="DM775" t="s">
        <v>10786</v>
      </c>
      <c r="DW775" t="s">
        <v>198</v>
      </c>
      <c r="EG775" t="s">
        <v>198</v>
      </c>
      <c r="EQ775" t="s">
        <v>198</v>
      </c>
      <c r="FA775" t="s">
        <v>198</v>
      </c>
      <c r="FK775" t="s">
        <v>198</v>
      </c>
      <c r="FU775" t="s">
        <v>198</v>
      </c>
    </row>
    <row r="776" spans="1:177">
      <c r="A776" s="1" t="str">
        <f>HYPERLINK("http://digipan.lumentumllc.com/apps/getLink/index.php?t=PropLink&amp;p=5246215","PL")</f>
        <v>PL</v>
      </c>
      <c r="B776" s="1" t="str">
        <f>HYPERLINK("http://digipan.lumentumllc.com/apps/getLink/index.php?t=TaxLink&amp;p=5246215","TL")</f>
        <v>TL</v>
      </c>
      <c r="C776" s="1" t="str">
        <f>HYPERLINK("http://digipan.lumentumllc.com/apps/getMap/index.php?p=5246215","Map")</f>
        <v>Map</v>
      </c>
      <c r="E776" t="s">
        <v>177</v>
      </c>
      <c r="F776" t="s">
        <v>178</v>
      </c>
      <c r="L776" t="s">
        <v>10788</v>
      </c>
      <c r="N776" t="s">
        <v>10788</v>
      </c>
      <c r="O776" t="s">
        <v>10788</v>
      </c>
      <c r="P776" t="s">
        <v>10789</v>
      </c>
      <c r="Q776" t="s">
        <v>10788</v>
      </c>
      <c r="V776">
        <v>905</v>
      </c>
      <c r="W776">
        <v>3</v>
      </c>
      <c r="X776">
        <v>2017</v>
      </c>
      <c r="Y776">
        <v>2018</v>
      </c>
      <c r="Z776">
        <v>340.08</v>
      </c>
      <c r="AB776" t="s">
        <v>181</v>
      </c>
      <c r="AC776" t="s">
        <v>182</v>
      </c>
      <c r="AD776" t="s">
        <v>183</v>
      </c>
      <c r="AE776">
        <v>0</v>
      </c>
      <c r="AF776">
        <v>5</v>
      </c>
      <c r="AG776" t="s">
        <v>744</v>
      </c>
      <c r="AH776">
        <v>100</v>
      </c>
      <c r="AK776">
        <v>0</v>
      </c>
      <c r="AL776">
        <v>162960</v>
      </c>
      <c r="AM776">
        <v>18817</v>
      </c>
      <c r="AN776">
        <v>144143</v>
      </c>
      <c r="AO776">
        <v>188</v>
      </c>
      <c r="AP776">
        <v>2016</v>
      </c>
      <c r="AQ776">
        <v>0.21</v>
      </c>
      <c r="AS776" t="s">
        <v>10790</v>
      </c>
      <c r="AT776" t="s">
        <v>3747</v>
      </c>
      <c r="AU776" t="s">
        <v>177</v>
      </c>
      <c r="AV776" t="s">
        <v>1030</v>
      </c>
      <c r="AW776" t="s">
        <v>182</v>
      </c>
      <c r="AX776">
        <v>55</v>
      </c>
      <c r="AY776" t="s">
        <v>218</v>
      </c>
      <c r="AZ776" t="s">
        <v>1682</v>
      </c>
      <c r="BA776" t="s">
        <v>1683</v>
      </c>
      <c r="BB776" t="s">
        <v>191</v>
      </c>
      <c r="BC776" t="s">
        <v>182</v>
      </c>
      <c r="BD776" t="s">
        <v>182</v>
      </c>
      <c r="BE776" t="s">
        <v>10791</v>
      </c>
      <c r="BF776">
        <v>1</v>
      </c>
      <c r="BG776">
        <v>0</v>
      </c>
      <c r="BH776">
        <v>0</v>
      </c>
      <c r="BI776" t="s">
        <v>199</v>
      </c>
      <c r="BJ776" t="s">
        <v>248</v>
      </c>
      <c r="BL776" t="s">
        <v>938</v>
      </c>
      <c r="BM776" t="s">
        <v>533</v>
      </c>
      <c r="BN776" t="s">
        <v>182</v>
      </c>
      <c r="BO776" t="s">
        <v>10792</v>
      </c>
      <c r="BP776" t="s">
        <v>9362</v>
      </c>
      <c r="BS776" t="s">
        <v>10793</v>
      </c>
      <c r="BT776" t="s">
        <v>198</v>
      </c>
      <c r="BU776" t="s">
        <v>182</v>
      </c>
      <c r="BV776" t="s">
        <v>198</v>
      </c>
      <c r="BW776" t="s">
        <v>198</v>
      </c>
      <c r="BX776" t="s">
        <v>199</v>
      </c>
      <c r="BY776" t="s">
        <v>198</v>
      </c>
      <c r="BZ776" t="s">
        <v>199</v>
      </c>
      <c r="CA776" t="s">
        <v>199</v>
      </c>
      <c r="CB776" t="s">
        <v>10596</v>
      </c>
      <c r="CC776" t="s">
        <v>201</v>
      </c>
      <c r="CD776" t="s">
        <v>182</v>
      </c>
      <c r="CE776" t="s">
        <v>10597</v>
      </c>
      <c r="CF776" t="s">
        <v>1029</v>
      </c>
      <c r="CG776" t="s">
        <v>177</v>
      </c>
      <c r="CH776" t="s">
        <v>1030</v>
      </c>
      <c r="CI776" t="s">
        <v>10794</v>
      </c>
      <c r="CJ776" t="s">
        <v>10795</v>
      </c>
      <c r="CK776" t="s">
        <v>292</v>
      </c>
      <c r="CL776" t="s">
        <v>293</v>
      </c>
      <c r="CM776" t="s">
        <v>10796</v>
      </c>
      <c r="CN776" t="s">
        <v>235</v>
      </c>
      <c r="CO776" t="s">
        <v>183</v>
      </c>
      <c r="CP776" t="s">
        <v>211</v>
      </c>
      <c r="CQ776" t="s">
        <v>342</v>
      </c>
      <c r="CS776" t="s">
        <v>10007</v>
      </c>
      <c r="CT776" t="s">
        <v>10797</v>
      </c>
      <c r="CU776" t="s">
        <v>267</v>
      </c>
      <c r="CV776" t="s">
        <v>268</v>
      </c>
      <c r="CW776" t="s">
        <v>10798</v>
      </c>
      <c r="CX776" t="s">
        <v>331</v>
      </c>
      <c r="CY776" t="s">
        <v>183</v>
      </c>
      <c r="CZ776" t="s">
        <v>211</v>
      </c>
      <c r="DA776" t="s">
        <v>339</v>
      </c>
      <c r="DC776" t="s">
        <v>10602</v>
      </c>
      <c r="DD776" t="s">
        <v>5889</v>
      </c>
      <c r="DE776" t="s">
        <v>302</v>
      </c>
      <c r="DF776" t="s">
        <v>303</v>
      </c>
      <c r="DG776" t="s">
        <v>10799</v>
      </c>
      <c r="DH776" t="s">
        <v>511</v>
      </c>
      <c r="DI776" t="s">
        <v>183</v>
      </c>
      <c r="DJ776" t="s">
        <v>211</v>
      </c>
      <c r="DK776" t="s">
        <v>342</v>
      </c>
      <c r="DM776" t="s">
        <v>10576</v>
      </c>
      <c r="DN776" t="s">
        <v>10800</v>
      </c>
      <c r="DO776" t="s">
        <v>238</v>
      </c>
      <c r="DP776" t="s">
        <v>239</v>
      </c>
      <c r="DQ776" t="s">
        <v>10801</v>
      </c>
      <c r="DR776" t="s">
        <v>1491</v>
      </c>
      <c r="DS776" t="s">
        <v>183</v>
      </c>
      <c r="DT776" t="s">
        <v>211</v>
      </c>
      <c r="DU776" t="s">
        <v>342</v>
      </c>
      <c r="DW776" t="s">
        <v>10606</v>
      </c>
      <c r="DX776" t="s">
        <v>10802</v>
      </c>
      <c r="DY776" t="s">
        <v>207</v>
      </c>
      <c r="DZ776" t="s">
        <v>208</v>
      </c>
      <c r="EA776" t="s">
        <v>10803</v>
      </c>
      <c r="EB776" t="s">
        <v>576</v>
      </c>
      <c r="EC776" t="s">
        <v>183</v>
      </c>
      <c r="ED776" t="s">
        <v>211</v>
      </c>
      <c r="EE776" t="s">
        <v>212</v>
      </c>
      <c r="EG776" t="s">
        <v>8432</v>
      </c>
      <c r="EQ776" t="s">
        <v>198</v>
      </c>
      <c r="FA776" t="s">
        <v>198</v>
      </c>
      <c r="FK776" t="s">
        <v>198</v>
      </c>
      <c r="FU776" t="s">
        <v>198</v>
      </c>
    </row>
    <row r="777" spans="1:177">
      <c r="A777" s="1" t="str">
        <f>HYPERLINK("http://digipan.lumentumllc.com/apps/getLink/index.php?t=PropLink&amp;p=5246216","PL")</f>
        <v>PL</v>
      </c>
      <c r="B777" s="1" t="str">
        <f>HYPERLINK("http://digipan.lumentumllc.com/apps/getLink/index.php?t=TaxLink&amp;p=5246216","TL")</f>
        <v>TL</v>
      </c>
      <c r="C777" s="1" t="str">
        <f>HYPERLINK("http://digipan.lumentumllc.com/apps/getMap/index.php?p=5246216","Map")</f>
        <v>Map</v>
      </c>
      <c r="E777" t="s">
        <v>177</v>
      </c>
      <c r="F777" t="s">
        <v>178</v>
      </c>
      <c r="L777" t="s">
        <v>10804</v>
      </c>
      <c r="N777" t="s">
        <v>10804</v>
      </c>
      <c r="O777" t="s">
        <v>10804</v>
      </c>
      <c r="P777" t="s">
        <v>10805</v>
      </c>
      <c r="Q777" t="s">
        <v>10804</v>
      </c>
      <c r="V777">
        <v>906</v>
      </c>
      <c r="W777">
        <v>3</v>
      </c>
      <c r="X777">
        <v>2017</v>
      </c>
      <c r="Y777">
        <v>2018</v>
      </c>
      <c r="Z777">
        <v>205.55</v>
      </c>
      <c r="AB777" t="s">
        <v>181</v>
      </c>
      <c r="AC777" t="s">
        <v>182</v>
      </c>
      <c r="AD777" t="s">
        <v>183</v>
      </c>
      <c r="AE777">
        <v>0</v>
      </c>
      <c r="AF777">
        <v>5</v>
      </c>
      <c r="AG777" t="s">
        <v>744</v>
      </c>
      <c r="AH777">
        <v>100</v>
      </c>
      <c r="AK777">
        <v>0</v>
      </c>
      <c r="AL777">
        <v>140000</v>
      </c>
      <c r="AM777">
        <v>10600</v>
      </c>
      <c r="AN777">
        <v>129400</v>
      </c>
      <c r="AO777">
        <v>144</v>
      </c>
      <c r="AP777">
        <v>2016</v>
      </c>
      <c r="AQ777">
        <v>0.15</v>
      </c>
      <c r="AS777" t="s">
        <v>10790</v>
      </c>
      <c r="AT777" t="s">
        <v>3747</v>
      </c>
      <c r="AU777" t="s">
        <v>177</v>
      </c>
      <c r="AV777" t="s">
        <v>1030</v>
      </c>
      <c r="AW777" t="s">
        <v>182</v>
      </c>
      <c r="AX777">
        <v>55</v>
      </c>
      <c r="AY777" t="s">
        <v>218</v>
      </c>
      <c r="AZ777" t="s">
        <v>1682</v>
      </c>
      <c r="BA777" t="s">
        <v>1683</v>
      </c>
      <c r="BB777" t="s">
        <v>191</v>
      </c>
      <c r="BC777" t="s">
        <v>182</v>
      </c>
      <c r="BD777" t="s">
        <v>182</v>
      </c>
      <c r="BE777" t="s">
        <v>2105</v>
      </c>
      <c r="BF777">
        <v>0</v>
      </c>
      <c r="BG777">
        <v>0</v>
      </c>
      <c r="BH777">
        <v>0</v>
      </c>
      <c r="BI777" t="s">
        <v>199</v>
      </c>
      <c r="BJ777" t="s">
        <v>248</v>
      </c>
      <c r="BL777" t="s">
        <v>199</v>
      </c>
      <c r="BM777" t="s">
        <v>533</v>
      </c>
      <c r="BN777" t="s">
        <v>182</v>
      </c>
      <c r="BO777" t="s">
        <v>198</v>
      </c>
      <c r="BP777" t="s">
        <v>198</v>
      </c>
      <c r="BQ777" t="s">
        <v>198</v>
      </c>
      <c r="BR777" t="s">
        <v>198</v>
      </c>
      <c r="BS777" t="s">
        <v>198</v>
      </c>
      <c r="BT777" t="s">
        <v>198</v>
      </c>
      <c r="BU777" t="s">
        <v>182</v>
      </c>
      <c r="BV777" t="s">
        <v>198</v>
      </c>
      <c r="BW777" t="s">
        <v>198</v>
      </c>
      <c r="BX777" t="s">
        <v>199</v>
      </c>
      <c r="BY777" t="s">
        <v>198</v>
      </c>
      <c r="BZ777" t="s">
        <v>199</v>
      </c>
      <c r="CA777" t="s">
        <v>199</v>
      </c>
      <c r="CB777" t="s">
        <v>10596</v>
      </c>
      <c r="CC777" t="s">
        <v>201</v>
      </c>
      <c r="CD777" t="s">
        <v>182</v>
      </c>
      <c r="CE777" t="s">
        <v>10597</v>
      </c>
      <c r="CF777" t="s">
        <v>1029</v>
      </c>
      <c r="CG777" t="s">
        <v>177</v>
      </c>
      <c r="CH777" t="s">
        <v>1030</v>
      </c>
      <c r="CI777" t="s">
        <v>10806</v>
      </c>
      <c r="CJ777" t="s">
        <v>8814</v>
      </c>
      <c r="CK777" t="s">
        <v>292</v>
      </c>
      <c r="CL777" t="s">
        <v>293</v>
      </c>
      <c r="CM777" t="s">
        <v>10807</v>
      </c>
      <c r="CN777" t="s">
        <v>235</v>
      </c>
      <c r="CO777" t="s">
        <v>183</v>
      </c>
      <c r="CP777" t="s">
        <v>211</v>
      </c>
      <c r="CQ777" t="s">
        <v>342</v>
      </c>
      <c r="CS777" t="s">
        <v>10007</v>
      </c>
      <c r="CT777" t="s">
        <v>10808</v>
      </c>
      <c r="CU777" t="s">
        <v>267</v>
      </c>
      <c r="CV777" t="s">
        <v>268</v>
      </c>
      <c r="CW777" t="s">
        <v>10809</v>
      </c>
      <c r="CX777" t="s">
        <v>331</v>
      </c>
      <c r="CY777" t="s">
        <v>183</v>
      </c>
      <c r="CZ777" t="s">
        <v>211</v>
      </c>
      <c r="DA777" t="s">
        <v>339</v>
      </c>
      <c r="DC777" t="s">
        <v>10602</v>
      </c>
      <c r="DD777" t="s">
        <v>10810</v>
      </c>
      <c r="DE777" t="s">
        <v>302</v>
      </c>
      <c r="DF777" t="s">
        <v>303</v>
      </c>
      <c r="DG777" t="s">
        <v>10811</v>
      </c>
      <c r="DH777" t="s">
        <v>511</v>
      </c>
      <c r="DI777" t="s">
        <v>183</v>
      </c>
      <c r="DJ777" t="s">
        <v>211</v>
      </c>
      <c r="DK777" t="s">
        <v>342</v>
      </c>
      <c r="DM777" t="s">
        <v>10576</v>
      </c>
      <c r="DN777" t="s">
        <v>10812</v>
      </c>
      <c r="DO777" t="s">
        <v>238</v>
      </c>
      <c r="DP777" t="s">
        <v>239</v>
      </c>
      <c r="DQ777" t="s">
        <v>10813</v>
      </c>
      <c r="DR777" t="s">
        <v>254</v>
      </c>
      <c r="DS777" t="s">
        <v>183</v>
      </c>
      <c r="DT777" t="s">
        <v>211</v>
      </c>
      <c r="DU777" t="s">
        <v>342</v>
      </c>
      <c r="DW777" t="s">
        <v>10606</v>
      </c>
      <c r="DX777" t="s">
        <v>10814</v>
      </c>
      <c r="DY777" t="s">
        <v>207</v>
      </c>
      <c r="DZ777" t="s">
        <v>208</v>
      </c>
      <c r="EA777" t="s">
        <v>10815</v>
      </c>
      <c r="EB777" t="s">
        <v>469</v>
      </c>
      <c r="EC777" t="s">
        <v>183</v>
      </c>
      <c r="ED777" t="s">
        <v>211</v>
      </c>
      <c r="EE777" t="s">
        <v>212</v>
      </c>
      <c r="EG777" t="s">
        <v>8432</v>
      </c>
      <c r="EQ777" t="s">
        <v>198</v>
      </c>
      <c r="FA777" t="s">
        <v>198</v>
      </c>
      <c r="FK777" t="s">
        <v>198</v>
      </c>
      <c r="FU777" t="s">
        <v>198</v>
      </c>
    </row>
    <row r="778" spans="1:177">
      <c r="A778" s="1" t="str">
        <f>HYPERLINK("http://digipan.lumentumllc.com/apps/getLink/index.php?t=PropLink&amp;p=5246217","PL")</f>
        <v>PL</v>
      </c>
      <c r="B778" s="1" t="str">
        <f>HYPERLINK("http://digipan.lumentumllc.com/apps/getLink/index.php?t=TaxLink&amp;p=5246217","TL")</f>
        <v>TL</v>
      </c>
      <c r="C778" s="1" t="str">
        <f>HYPERLINK("http://digipan.lumentumllc.com/apps/getMap/index.php?p=5246217","Map")</f>
        <v>Map</v>
      </c>
      <c r="E778" t="s">
        <v>177</v>
      </c>
      <c r="F778" t="s">
        <v>178</v>
      </c>
      <c r="L778" t="s">
        <v>10816</v>
      </c>
      <c r="N778" t="s">
        <v>10816</v>
      </c>
      <c r="O778" t="s">
        <v>10816</v>
      </c>
      <c r="P778" t="s">
        <v>10817</v>
      </c>
      <c r="Q778" t="s">
        <v>10816</v>
      </c>
      <c r="V778">
        <v>907</v>
      </c>
      <c r="W778">
        <v>3</v>
      </c>
      <c r="X778">
        <v>2017</v>
      </c>
      <c r="Y778">
        <v>2018</v>
      </c>
      <c r="Z778">
        <v>178.38</v>
      </c>
      <c r="AB778" t="s">
        <v>181</v>
      </c>
      <c r="AC778" t="s">
        <v>182</v>
      </c>
      <c r="AD778" t="s">
        <v>183</v>
      </c>
      <c r="AE778">
        <v>0</v>
      </c>
      <c r="AF778">
        <v>5</v>
      </c>
      <c r="AG778" t="s">
        <v>744</v>
      </c>
      <c r="AH778">
        <v>100</v>
      </c>
      <c r="AK778">
        <v>0</v>
      </c>
      <c r="AL778">
        <v>90000</v>
      </c>
      <c r="AM778">
        <v>8940</v>
      </c>
      <c r="AN778">
        <v>81060</v>
      </c>
      <c r="AO778">
        <v>128</v>
      </c>
      <c r="AP778">
        <v>2016</v>
      </c>
      <c r="AQ778">
        <v>0.2</v>
      </c>
      <c r="AS778" t="s">
        <v>10790</v>
      </c>
      <c r="AT778" t="s">
        <v>3747</v>
      </c>
      <c r="AU778" t="s">
        <v>177</v>
      </c>
      <c r="AV778" t="s">
        <v>1030</v>
      </c>
      <c r="AW778" t="s">
        <v>182</v>
      </c>
      <c r="AX778">
        <v>55</v>
      </c>
      <c r="AY778" t="s">
        <v>218</v>
      </c>
      <c r="AZ778" t="s">
        <v>1682</v>
      </c>
      <c r="BA778" t="s">
        <v>1683</v>
      </c>
      <c r="BB778" t="s">
        <v>191</v>
      </c>
      <c r="BC778" t="s">
        <v>182</v>
      </c>
      <c r="BD778" t="s">
        <v>182</v>
      </c>
      <c r="BE778" t="s">
        <v>2132</v>
      </c>
      <c r="BF778">
        <v>0</v>
      </c>
      <c r="BG778">
        <v>0</v>
      </c>
      <c r="BH778">
        <v>0</v>
      </c>
      <c r="BI778" t="s">
        <v>199</v>
      </c>
      <c r="BJ778" t="s">
        <v>248</v>
      </c>
      <c r="BL778" t="s">
        <v>199</v>
      </c>
      <c r="BM778" t="s">
        <v>533</v>
      </c>
      <c r="BN778" t="s">
        <v>182</v>
      </c>
      <c r="BO778" t="s">
        <v>198</v>
      </c>
      <c r="BP778" t="s">
        <v>198</v>
      </c>
      <c r="BQ778" t="s">
        <v>198</v>
      </c>
      <c r="BR778" t="s">
        <v>198</v>
      </c>
      <c r="BS778" t="s">
        <v>198</v>
      </c>
      <c r="BT778" t="s">
        <v>198</v>
      </c>
      <c r="BU778" t="s">
        <v>182</v>
      </c>
      <c r="BV778" t="s">
        <v>198</v>
      </c>
      <c r="BW778" t="s">
        <v>198</v>
      </c>
      <c r="BX778" t="s">
        <v>199</v>
      </c>
      <c r="BY778" t="s">
        <v>198</v>
      </c>
      <c r="BZ778" t="s">
        <v>199</v>
      </c>
      <c r="CA778" t="s">
        <v>199</v>
      </c>
      <c r="CB778" t="s">
        <v>10818</v>
      </c>
      <c r="CC778" t="s">
        <v>201</v>
      </c>
      <c r="CD778" t="s">
        <v>202</v>
      </c>
      <c r="CE778" t="s">
        <v>10597</v>
      </c>
      <c r="CF778" t="s">
        <v>1029</v>
      </c>
      <c r="CG778" t="s">
        <v>177</v>
      </c>
      <c r="CH778" t="s">
        <v>1030</v>
      </c>
      <c r="CI778" t="s">
        <v>7898</v>
      </c>
      <c r="CJ778" t="s">
        <v>893</v>
      </c>
      <c r="CK778" t="s">
        <v>292</v>
      </c>
      <c r="CL778" t="s">
        <v>293</v>
      </c>
      <c r="CM778" t="s">
        <v>10819</v>
      </c>
      <c r="CN778" t="s">
        <v>235</v>
      </c>
      <c r="CO778" t="s">
        <v>183</v>
      </c>
      <c r="CP778" t="s">
        <v>211</v>
      </c>
      <c r="CQ778" t="s">
        <v>342</v>
      </c>
      <c r="CS778" t="s">
        <v>10007</v>
      </c>
      <c r="CT778" t="s">
        <v>7680</v>
      </c>
      <c r="CU778" t="s">
        <v>267</v>
      </c>
      <c r="CV778" t="s">
        <v>268</v>
      </c>
      <c r="CW778" t="s">
        <v>10820</v>
      </c>
      <c r="CX778" t="s">
        <v>305</v>
      </c>
      <c r="CY778" t="s">
        <v>183</v>
      </c>
      <c r="CZ778" t="s">
        <v>211</v>
      </c>
      <c r="DA778" t="s">
        <v>339</v>
      </c>
      <c r="DC778" t="s">
        <v>10602</v>
      </c>
      <c r="DD778" t="s">
        <v>10821</v>
      </c>
      <c r="DE778" t="s">
        <v>302</v>
      </c>
      <c r="DF778" t="s">
        <v>303</v>
      </c>
      <c r="DG778" t="s">
        <v>10822</v>
      </c>
      <c r="DH778" t="s">
        <v>331</v>
      </c>
      <c r="DI778" t="s">
        <v>183</v>
      </c>
      <c r="DJ778" t="s">
        <v>211</v>
      </c>
      <c r="DK778" t="s">
        <v>342</v>
      </c>
      <c r="DM778" t="s">
        <v>10576</v>
      </c>
      <c r="DN778" t="s">
        <v>10823</v>
      </c>
      <c r="DO778" t="s">
        <v>238</v>
      </c>
      <c r="DP778" t="s">
        <v>239</v>
      </c>
      <c r="DQ778" t="s">
        <v>10824</v>
      </c>
      <c r="DR778" t="s">
        <v>615</v>
      </c>
      <c r="DS778" t="s">
        <v>183</v>
      </c>
      <c r="DT778" t="s">
        <v>211</v>
      </c>
      <c r="DU778" t="s">
        <v>342</v>
      </c>
      <c r="DW778" t="s">
        <v>10606</v>
      </c>
      <c r="DX778" t="s">
        <v>6691</v>
      </c>
      <c r="DY778" t="s">
        <v>207</v>
      </c>
      <c r="DZ778" t="s">
        <v>208</v>
      </c>
      <c r="EA778" t="s">
        <v>10825</v>
      </c>
      <c r="EB778" t="s">
        <v>576</v>
      </c>
      <c r="EC778" t="s">
        <v>183</v>
      </c>
      <c r="ED778" t="s">
        <v>211</v>
      </c>
      <c r="EE778" t="s">
        <v>212</v>
      </c>
      <c r="EG778" t="s">
        <v>8432</v>
      </c>
      <c r="EQ778" t="s">
        <v>198</v>
      </c>
      <c r="FA778" t="s">
        <v>198</v>
      </c>
      <c r="FK778" t="s">
        <v>198</v>
      </c>
      <c r="FU778" t="s">
        <v>198</v>
      </c>
    </row>
    <row r="779" spans="1:177">
      <c r="A779" s="1" t="str">
        <f>HYPERLINK("http://digipan.lumentumllc.com/apps/getLink/index.php?t=PropLink&amp;p=5246218","PL")</f>
        <v>PL</v>
      </c>
      <c r="B779" s="1" t="str">
        <f>HYPERLINK("http://digipan.lumentumllc.com/apps/getLink/index.php?t=TaxLink&amp;p=5246218","TL")</f>
        <v>TL</v>
      </c>
      <c r="C779" s="1" t="str">
        <f>HYPERLINK("http://digipan.lumentumllc.com/apps/getMap/index.php?p=5246218","Map")</f>
        <v>Map</v>
      </c>
      <c r="E779" t="s">
        <v>177</v>
      </c>
      <c r="F779" t="s">
        <v>178</v>
      </c>
      <c r="L779" t="s">
        <v>10826</v>
      </c>
      <c r="N779" t="s">
        <v>10826</v>
      </c>
      <c r="O779" t="s">
        <v>10826</v>
      </c>
      <c r="P779" t="s">
        <v>10827</v>
      </c>
      <c r="Q779" t="s">
        <v>10826</v>
      </c>
      <c r="V779">
        <v>908</v>
      </c>
      <c r="W779">
        <v>3</v>
      </c>
      <c r="X779">
        <v>2017</v>
      </c>
      <c r="Y779">
        <v>2018</v>
      </c>
      <c r="Z779">
        <v>500.87</v>
      </c>
      <c r="AB779" t="s">
        <v>181</v>
      </c>
      <c r="AC779" t="s">
        <v>182</v>
      </c>
      <c r="AD779" t="s">
        <v>183</v>
      </c>
      <c r="AE779">
        <v>1</v>
      </c>
      <c r="AF779">
        <v>6</v>
      </c>
      <c r="AG779" t="s">
        <v>322</v>
      </c>
      <c r="AH779">
        <v>83</v>
      </c>
      <c r="AI779">
        <v>493.06</v>
      </c>
      <c r="AJ779">
        <v>24.65</v>
      </c>
      <c r="AK779">
        <v>517.71</v>
      </c>
      <c r="AL779">
        <v>175156</v>
      </c>
      <c r="AM779">
        <v>20250</v>
      </c>
      <c r="AN779">
        <v>154906</v>
      </c>
      <c r="AO779">
        <v>431</v>
      </c>
      <c r="AP779">
        <v>2016</v>
      </c>
      <c r="AQ779">
        <v>0.28999999999999998</v>
      </c>
      <c r="AR779">
        <v>0.3</v>
      </c>
      <c r="AS779" t="s">
        <v>10828</v>
      </c>
      <c r="AT779" t="s">
        <v>3747</v>
      </c>
      <c r="AU779" t="s">
        <v>177</v>
      </c>
      <c r="AV779" t="s">
        <v>1030</v>
      </c>
      <c r="AW779" t="s">
        <v>202</v>
      </c>
      <c r="AX779">
        <v>50</v>
      </c>
      <c r="AY779" t="s">
        <v>218</v>
      </c>
      <c r="AZ779" t="s">
        <v>589</v>
      </c>
      <c r="BA779" t="s">
        <v>590</v>
      </c>
      <c r="BB779" t="s">
        <v>191</v>
      </c>
      <c r="BC779" t="s">
        <v>182</v>
      </c>
      <c r="BD779" t="s">
        <v>182</v>
      </c>
      <c r="BE779" t="s">
        <v>3509</v>
      </c>
      <c r="BF779">
        <v>1</v>
      </c>
      <c r="BG779">
        <v>1</v>
      </c>
      <c r="BH779">
        <v>1925</v>
      </c>
      <c r="BI779" t="s">
        <v>8481</v>
      </c>
      <c r="BJ779" t="s">
        <v>194</v>
      </c>
      <c r="BK779" t="s">
        <v>195</v>
      </c>
      <c r="BL779" t="s">
        <v>199</v>
      </c>
      <c r="BM779" t="s">
        <v>1825</v>
      </c>
      <c r="BN779" t="s">
        <v>182</v>
      </c>
      <c r="BO779" t="s">
        <v>198</v>
      </c>
      <c r="BP779" t="s">
        <v>198</v>
      </c>
      <c r="BQ779" t="s">
        <v>198</v>
      </c>
      <c r="BR779" t="s">
        <v>198</v>
      </c>
      <c r="BS779" t="s">
        <v>198</v>
      </c>
      <c r="BT779" t="s">
        <v>198</v>
      </c>
      <c r="BU779" t="s">
        <v>182</v>
      </c>
      <c r="BV779" t="s">
        <v>198</v>
      </c>
      <c r="BW779" t="s">
        <v>198</v>
      </c>
      <c r="BX779" t="s">
        <v>199</v>
      </c>
      <c r="BY779" t="s">
        <v>198</v>
      </c>
      <c r="BZ779" t="s">
        <v>199</v>
      </c>
      <c r="CA779" t="s">
        <v>199</v>
      </c>
      <c r="CB779" t="s">
        <v>10596</v>
      </c>
      <c r="CC779" t="s">
        <v>201</v>
      </c>
      <c r="CD779" t="s">
        <v>182</v>
      </c>
      <c r="CE779" t="s">
        <v>10597</v>
      </c>
      <c r="CF779" t="s">
        <v>1029</v>
      </c>
      <c r="CG779" t="s">
        <v>177</v>
      </c>
      <c r="CH779" t="s">
        <v>1030</v>
      </c>
      <c r="CI779" t="s">
        <v>1335</v>
      </c>
      <c r="CJ779" t="s">
        <v>10829</v>
      </c>
      <c r="CK779" t="s">
        <v>232</v>
      </c>
      <c r="CL779" t="s">
        <v>233</v>
      </c>
      <c r="CM779" t="s">
        <v>10830</v>
      </c>
      <c r="CN779" t="s">
        <v>235</v>
      </c>
      <c r="CO779" t="s">
        <v>183</v>
      </c>
      <c r="CP779" t="s">
        <v>266</v>
      </c>
      <c r="CS779" t="s">
        <v>198</v>
      </c>
      <c r="CT779" t="s">
        <v>916</v>
      </c>
      <c r="CU779" t="s">
        <v>292</v>
      </c>
      <c r="CV779" t="s">
        <v>293</v>
      </c>
      <c r="CW779" t="s">
        <v>10831</v>
      </c>
      <c r="CX779" t="s">
        <v>235</v>
      </c>
      <c r="CY779" t="s">
        <v>183</v>
      </c>
      <c r="CZ779" t="s">
        <v>211</v>
      </c>
      <c r="DA779" t="s">
        <v>342</v>
      </c>
      <c r="DC779" t="s">
        <v>10007</v>
      </c>
      <c r="DD779" t="s">
        <v>7698</v>
      </c>
      <c r="DE779" t="s">
        <v>267</v>
      </c>
      <c r="DF779" t="s">
        <v>268</v>
      </c>
      <c r="DG779" t="s">
        <v>10832</v>
      </c>
      <c r="DH779" t="s">
        <v>235</v>
      </c>
      <c r="DI779" t="s">
        <v>183</v>
      </c>
      <c r="DJ779" t="s">
        <v>211</v>
      </c>
      <c r="DK779" t="s">
        <v>339</v>
      </c>
      <c r="DM779" t="s">
        <v>10602</v>
      </c>
      <c r="DN779" t="s">
        <v>7905</v>
      </c>
      <c r="DO779" t="s">
        <v>302</v>
      </c>
      <c r="DP779" t="s">
        <v>303</v>
      </c>
      <c r="DQ779" t="s">
        <v>10833</v>
      </c>
      <c r="DR779" t="s">
        <v>4363</v>
      </c>
      <c r="DS779" t="s">
        <v>183</v>
      </c>
      <c r="DT779" t="s">
        <v>211</v>
      </c>
      <c r="DU779" t="s">
        <v>342</v>
      </c>
      <c r="DW779" t="s">
        <v>10576</v>
      </c>
      <c r="DX779" t="s">
        <v>10834</v>
      </c>
      <c r="DY779" t="s">
        <v>238</v>
      </c>
      <c r="DZ779" t="s">
        <v>239</v>
      </c>
      <c r="EA779" t="s">
        <v>10835</v>
      </c>
      <c r="EB779" t="s">
        <v>278</v>
      </c>
      <c r="EC779" t="s">
        <v>183</v>
      </c>
      <c r="ED779" t="s">
        <v>211</v>
      </c>
      <c r="EE779" t="s">
        <v>342</v>
      </c>
      <c r="EG779" t="s">
        <v>10606</v>
      </c>
      <c r="EH779" t="s">
        <v>10836</v>
      </c>
      <c r="EI779" t="s">
        <v>346</v>
      </c>
      <c r="EJ779" t="s">
        <v>347</v>
      </c>
      <c r="EK779" t="s">
        <v>10837</v>
      </c>
      <c r="EL779" t="s">
        <v>2515</v>
      </c>
      <c r="EM779" t="s">
        <v>183</v>
      </c>
      <c r="EN779" t="s">
        <v>211</v>
      </c>
      <c r="EO779" t="s">
        <v>329</v>
      </c>
      <c r="EQ779" t="s">
        <v>4856</v>
      </c>
      <c r="ER779" t="s">
        <v>10740</v>
      </c>
      <c r="ES779" t="s">
        <v>207</v>
      </c>
      <c r="ET779" t="s">
        <v>208</v>
      </c>
      <c r="EU779" t="s">
        <v>10838</v>
      </c>
      <c r="EV779" t="s">
        <v>2515</v>
      </c>
      <c r="EW779" t="s">
        <v>183</v>
      </c>
      <c r="EX779" t="s">
        <v>211</v>
      </c>
      <c r="EY779" t="s">
        <v>298</v>
      </c>
      <c r="FA779" t="s">
        <v>4856</v>
      </c>
      <c r="FK779" t="s">
        <v>198</v>
      </c>
      <c r="FU779" t="s">
        <v>198</v>
      </c>
    </row>
    <row r="780" spans="1:177">
      <c r="A780" s="1" t="str">
        <f>HYPERLINK("http://digipan.lumentumllc.com/apps/getLink/index.php?t=PropLink&amp;p=4637715","PL")</f>
        <v>PL</v>
      </c>
      <c r="B780" s="1" t="str">
        <f>HYPERLINK("http://digipan.lumentumllc.com/apps/getLink/index.php?t=TaxLink&amp;p=4637715","TL")</f>
        <v>TL</v>
      </c>
      <c r="C780" s="1" t="str">
        <f>HYPERLINK("http://digipan.lumentumllc.com/apps/getMap/index.php?p=4637715","Map")</f>
        <v>Map</v>
      </c>
      <c r="E780" t="s">
        <v>177</v>
      </c>
      <c r="F780" t="s">
        <v>178</v>
      </c>
      <c r="L780" t="s">
        <v>10839</v>
      </c>
      <c r="N780" t="s">
        <v>10839</v>
      </c>
      <c r="O780" t="s">
        <v>10839</v>
      </c>
      <c r="P780" t="s">
        <v>10840</v>
      </c>
      <c r="Q780" t="s">
        <v>10839</v>
      </c>
      <c r="V780">
        <v>909</v>
      </c>
      <c r="W780">
        <v>3</v>
      </c>
      <c r="X780">
        <v>2017</v>
      </c>
      <c r="Y780">
        <v>2018</v>
      </c>
      <c r="Z780">
        <v>827.71</v>
      </c>
      <c r="AB780" t="s">
        <v>181</v>
      </c>
      <c r="AC780" t="s">
        <v>182</v>
      </c>
      <c r="AD780" t="s">
        <v>183</v>
      </c>
      <c r="AE780">
        <v>0</v>
      </c>
      <c r="AF780">
        <v>1</v>
      </c>
      <c r="AG780" t="s">
        <v>821</v>
      </c>
      <c r="AH780">
        <v>100</v>
      </c>
      <c r="AK780">
        <v>0</v>
      </c>
      <c r="AL780">
        <v>48600</v>
      </c>
      <c r="AM780">
        <v>48600</v>
      </c>
      <c r="AN780">
        <v>0</v>
      </c>
      <c r="AO780">
        <v>746</v>
      </c>
      <c r="AP780">
        <v>2016</v>
      </c>
      <c r="AQ780">
        <v>1.7</v>
      </c>
      <c r="AS780" t="s">
        <v>10790</v>
      </c>
      <c r="AT780" t="s">
        <v>3747</v>
      </c>
      <c r="AU780" t="s">
        <v>177</v>
      </c>
      <c r="AV780" t="s">
        <v>1030</v>
      </c>
      <c r="AW780" t="s">
        <v>182</v>
      </c>
      <c r="AX780">
        <v>0</v>
      </c>
      <c r="AY780" t="s">
        <v>312</v>
      </c>
      <c r="AZ780" t="s">
        <v>199</v>
      </c>
      <c r="BA780" t="s">
        <v>313</v>
      </c>
      <c r="BB780" t="s">
        <v>191</v>
      </c>
      <c r="BC780" t="s">
        <v>182</v>
      </c>
      <c r="BD780" t="s">
        <v>182</v>
      </c>
      <c r="BE780" t="s">
        <v>1966</v>
      </c>
      <c r="BF780">
        <v>0</v>
      </c>
      <c r="BG780">
        <v>0</v>
      </c>
      <c r="BH780">
        <v>0</v>
      </c>
      <c r="BI780" t="s">
        <v>199</v>
      </c>
      <c r="BJ780" t="s">
        <v>315</v>
      </c>
      <c r="BL780" t="s">
        <v>797</v>
      </c>
      <c r="BM780" t="s">
        <v>302</v>
      </c>
      <c r="BN780" t="s">
        <v>182</v>
      </c>
      <c r="BO780" t="s">
        <v>10841</v>
      </c>
      <c r="BP780" t="s">
        <v>1696</v>
      </c>
      <c r="BQ780" t="s">
        <v>226</v>
      </c>
      <c r="BR780" t="s">
        <v>227</v>
      </c>
      <c r="BS780" t="s">
        <v>198</v>
      </c>
      <c r="BT780" t="s">
        <v>10842</v>
      </c>
      <c r="BU780" t="s">
        <v>182</v>
      </c>
      <c r="BV780" t="s">
        <v>198</v>
      </c>
      <c r="BW780" t="s">
        <v>198</v>
      </c>
      <c r="BX780" t="s">
        <v>199</v>
      </c>
      <c r="BY780" t="s">
        <v>198</v>
      </c>
      <c r="BZ780" t="s">
        <v>199</v>
      </c>
      <c r="CA780" t="s">
        <v>199</v>
      </c>
      <c r="CB780" t="s">
        <v>10843</v>
      </c>
      <c r="CC780" t="s">
        <v>201</v>
      </c>
      <c r="CD780" t="s">
        <v>182</v>
      </c>
      <c r="CE780" t="s">
        <v>10844</v>
      </c>
      <c r="CF780" t="s">
        <v>413</v>
      </c>
      <c r="CG780" t="s">
        <v>177</v>
      </c>
      <c r="CH780" t="s">
        <v>804</v>
      </c>
      <c r="CI780" t="s">
        <v>10845</v>
      </c>
      <c r="CJ780" t="s">
        <v>7509</v>
      </c>
      <c r="CK780" t="s">
        <v>292</v>
      </c>
      <c r="CL780" t="s">
        <v>293</v>
      </c>
      <c r="CM780" t="s">
        <v>10846</v>
      </c>
      <c r="CN780" t="s">
        <v>331</v>
      </c>
      <c r="CO780" t="s">
        <v>183</v>
      </c>
      <c r="CP780" t="s">
        <v>211</v>
      </c>
      <c r="CQ780" t="s">
        <v>199</v>
      </c>
      <c r="CS780" t="s">
        <v>3261</v>
      </c>
      <c r="DC780" t="s">
        <v>198</v>
      </c>
      <c r="DM780" t="s">
        <v>198</v>
      </c>
      <c r="DW780" t="s">
        <v>198</v>
      </c>
      <c r="EG780" t="s">
        <v>198</v>
      </c>
      <c r="EQ780" t="s">
        <v>198</v>
      </c>
      <c r="FA780" t="s">
        <v>198</v>
      </c>
      <c r="FK780" t="s">
        <v>198</v>
      </c>
      <c r="FU780" t="s">
        <v>198</v>
      </c>
    </row>
    <row r="781" spans="1:177">
      <c r="A781" s="1" t="str">
        <f>HYPERLINK("http://digipan.lumentumllc.com/apps/getLink/index.php?t=PropLink&amp;p=6886719","PL")</f>
        <v>PL</v>
      </c>
      <c r="B781" s="1" t="str">
        <f>HYPERLINK("http://digipan.lumentumllc.com/apps/getLink/index.php?t=TaxLink&amp;p=6886719","TL")</f>
        <v>TL</v>
      </c>
      <c r="C781" s="1" t="str">
        <f>HYPERLINK("http://digipan.lumentumllc.com/apps/getMap/index.php?p=6886719","Map")</f>
        <v>Map</v>
      </c>
      <c r="E781" t="s">
        <v>177</v>
      </c>
      <c r="F781" t="s">
        <v>178</v>
      </c>
      <c r="L781" t="s">
        <v>10847</v>
      </c>
      <c r="N781" t="s">
        <v>10847</v>
      </c>
      <c r="O781" t="s">
        <v>10847</v>
      </c>
      <c r="P781" t="s">
        <v>10848</v>
      </c>
      <c r="Q781" t="s">
        <v>10847</v>
      </c>
      <c r="V781">
        <v>910</v>
      </c>
      <c r="W781">
        <v>3</v>
      </c>
      <c r="X781">
        <v>2017</v>
      </c>
      <c r="Y781">
        <v>2018</v>
      </c>
      <c r="Z781">
        <v>65.2</v>
      </c>
      <c r="AB781" t="s">
        <v>181</v>
      </c>
      <c r="AC781" t="s">
        <v>182</v>
      </c>
      <c r="AD781" t="s">
        <v>183</v>
      </c>
      <c r="AE781">
        <v>0</v>
      </c>
      <c r="AF781">
        <v>3</v>
      </c>
      <c r="AG781" t="s">
        <v>381</v>
      </c>
      <c r="AH781">
        <v>100</v>
      </c>
      <c r="AK781">
        <v>0</v>
      </c>
      <c r="AL781">
        <v>41280</v>
      </c>
      <c r="AM781">
        <v>2028</v>
      </c>
      <c r="AN781">
        <v>39252</v>
      </c>
      <c r="AO781">
        <v>50</v>
      </c>
      <c r="AP781">
        <v>2016</v>
      </c>
      <c r="AQ781">
        <v>0.16</v>
      </c>
      <c r="AS781" t="s">
        <v>10790</v>
      </c>
      <c r="AT781" t="s">
        <v>3747</v>
      </c>
      <c r="AU781" t="s">
        <v>177</v>
      </c>
      <c r="AV781" t="s">
        <v>1030</v>
      </c>
      <c r="AW781" t="s">
        <v>182</v>
      </c>
      <c r="AX781">
        <v>55</v>
      </c>
      <c r="AY781" t="s">
        <v>218</v>
      </c>
      <c r="AZ781" t="s">
        <v>1682</v>
      </c>
      <c r="BA781" t="s">
        <v>1683</v>
      </c>
      <c r="BB781" t="s">
        <v>191</v>
      </c>
      <c r="BC781" t="s">
        <v>182</v>
      </c>
      <c r="BD781" t="s">
        <v>1528</v>
      </c>
      <c r="BE781" t="s">
        <v>7612</v>
      </c>
      <c r="BF781">
        <v>0</v>
      </c>
      <c r="BG781">
        <v>0</v>
      </c>
      <c r="BH781">
        <v>0</v>
      </c>
      <c r="BI781" t="s">
        <v>199</v>
      </c>
      <c r="BJ781" t="s">
        <v>248</v>
      </c>
      <c r="BL781" t="s">
        <v>199</v>
      </c>
      <c r="BM781" t="s">
        <v>358</v>
      </c>
      <c r="BN781" t="s">
        <v>182</v>
      </c>
      <c r="BO781" t="s">
        <v>198</v>
      </c>
      <c r="BP781" t="s">
        <v>198</v>
      </c>
      <c r="BQ781" t="s">
        <v>198</v>
      </c>
      <c r="BR781" t="s">
        <v>198</v>
      </c>
      <c r="BS781" t="s">
        <v>198</v>
      </c>
      <c r="BT781" t="s">
        <v>198</v>
      </c>
      <c r="BU781" t="s">
        <v>182</v>
      </c>
      <c r="BV781" t="s">
        <v>198</v>
      </c>
      <c r="BW781" t="s">
        <v>198</v>
      </c>
      <c r="BX781" t="s">
        <v>199</v>
      </c>
      <c r="BY781" t="s">
        <v>198</v>
      </c>
      <c r="BZ781" t="s">
        <v>199</v>
      </c>
      <c r="CA781" t="s">
        <v>199</v>
      </c>
      <c r="CB781" t="s">
        <v>10567</v>
      </c>
      <c r="CC781" t="s">
        <v>201</v>
      </c>
      <c r="CD781" t="s">
        <v>182</v>
      </c>
      <c r="CE781" t="s">
        <v>10849</v>
      </c>
      <c r="CF781" t="s">
        <v>1029</v>
      </c>
      <c r="CG781" t="s">
        <v>177</v>
      </c>
      <c r="CH781" t="s">
        <v>1030</v>
      </c>
      <c r="CI781" t="s">
        <v>10850</v>
      </c>
      <c r="CJ781" t="s">
        <v>10797</v>
      </c>
      <c r="CK781" t="s">
        <v>232</v>
      </c>
      <c r="CL781" t="s">
        <v>233</v>
      </c>
      <c r="CM781" t="s">
        <v>10851</v>
      </c>
      <c r="CN781" t="s">
        <v>1551</v>
      </c>
      <c r="CO781" t="s">
        <v>183</v>
      </c>
      <c r="CP781" t="s">
        <v>211</v>
      </c>
      <c r="CQ781" t="s">
        <v>342</v>
      </c>
      <c r="CS781" t="s">
        <v>375</v>
      </c>
      <c r="CT781" t="s">
        <v>10852</v>
      </c>
      <c r="CU781" t="s">
        <v>292</v>
      </c>
      <c r="CV781" t="s">
        <v>293</v>
      </c>
      <c r="CW781" t="s">
        <v>10853</v>
      </c>
      <c r="CX781" t="s">
        <v>482</v>
      </c>
      <c r="CY781" t="s">
        <v>183</v>
      </c>
      <c r="CZ781" t="s">
        <v>211</v>
      </c>
      <c r="DA781" t="s">
        <v>206</v>
      </c>
      <c r="DC781" t="s">
        <v>10586</v>
      </c>
      <c r="DD781" t="s">
        <v>4723</v>
      </c>
      <c r="DE781" t="s">
        <v>267</v>
      </c>
      <c r="DF781" t="s">
        <v>268</v>
      </c>
      <c r="DG781" t="s">
        <v>10854</v>
      </c>
      <c r="DH781" t="s">
        <v>333</v>
      </c>
      <c r="DI781" t="s">
        <v>183</v>
      </c>
      <c r="DJ781" t="s">
        <v>211</v>
      </c>
      <c r="DK781" t="s">
        <v>290</v>
      </c>
      <c r="DM781" t="s">
        <v>6705</v>
      </c>
      <c r="DW781" t="s">
        <v>198</v>
      </c>
      <c r="EG781" t="s">
        <v>198</v>
      </c>
      <c r="EQ781" t="s">
        <v>198</v>
      </c>
      <c r="FA781" t="s">
        <v>198</v>
      </c>
      <c r="FK781" t="s">
        <v>198</v>
      </c>
      <c r="FU781" t="s">
        <v>198</v>
      </c>
    </row>
    <row r="782" spans="1:177">
      <c r="A782" s="1" t="str">
        <f>HYPERLINK("http://digipan.lumentumllc.com/apps/getLink/index.php?t=PropLink&amp;p=6886723","PL")</f>
        <v>PL</v>
      </c>
      <c r="B782" s="1" t="str">
        <f>HYPERLINK("http://digipan.lumentumllc.com/apps/getLink/index.php?t=TaxLink&amp;p=6886723","TL")</f>
        <v>TL</v>
      </c>
      <c r="C782" s="1" t="str">
        <f>HYPERLINK("http://digipan.lumentumllc.com/apps/getMap/index.php?p=6886723","Map")</f>
        <v>Map</v>
      </c>
      <c r="E782" t="s">
        <v>177</v>
      </c>
      <c r="F782" t="s">
        <v>178</v>
      </c>
      <c r="L782" t="s">
        <v>10855</v>
      </c>
      <c r="N782" t="s">
        <v>10855</v>
      </c>
      <c r="O782" t="s">
        <v>10855</v>
      </c>
      <c r="P782" t="s">
        <v>10856</v>
      </c>
      <c r="Q782" t="s">
        <v>10855</v>
      </c>
      <c r="V782">
        <v>911</v>
      </c>
      <c r="W782">
        <v>3</v>
      </c>
      <c r="X782">
        <v>2017</v>
      </c>
      <c r="Y782">
        <v>2018</v>
      </c>
      <c r="Z782">
        <v>1250.48</v>
      </c>
      <c r="AB782" t="s">
        <v>181</v>
      </c>
      <c r="AC782" t="s">
        <v>182</v>
      </c>
      <c r="AD782" t="s">
        <v>183</v>
      </c>
      <c r="AE782">
        <v>0</v>
      </c>
      <c r="AF782">
        <v>3</v>
      </c>
      <c r="AG782" t="s">
        <v>381</v>
      </c>
      <c r="AH782">
        <v>100</v>
      </c>
      <c r="AK782">
        <v>0</v>
      </c>
      <c r="AL782">
        <v>74422</v>
      </c>
      <c r="AM782">
        <v>15000</v>
      </c>
      <c r="AN782">
        <v>59422</v>
      </c>
      <c r="AO782">
        <v>1102</v>
      </c>
      <c r="AP782">
        <v>2016</v>
      </c>
      <c r="AQ782">
        <v>1.68</v>
      </c>
      <c r="AS782" t="s">
        <v>10857</v>
      </c>
      <c r="AT782" t="s">
        <v>3747</v>
      </c>
      <c r="AU782" t="s">
        <v>177</v>
      </c>
      <c r="AV782" t="s">
        <v>1030</v>
      </c>
      <c r="AW782" t="s">
        <v>182</v>
      </c>
      <c r="AX782">
        <v>1</v>
      </c>
      <c r="AY782" t="s">
        <v>188</v>
      </c>
      <c r="AZ782" t="s">
        <v>206</v>
      </c>
      <c r="BA782" t="s">
        <v>355</v>
      </c>
      <c r="BB782" t="s">
        <v>191</v>
      </c>
      <c r="BC782" t="s">
        <v>182</v>
      </c>
      <c r="BD782" t="s">
        <v>182</v>
      </c>
      <c r="BE782" t="s">
        <v>383</v>
      </c>
      <c r="BF782">
        <v>1</v>
      </c>
      <c r="BG782">
        <v>1</v>
      </c>
      <c r="BH782">
        <v>1974</v>
      </c>
      <c r="BI782" t="s">
        <v>10738</v>
      </c>
      <c r="BJ782" t="s">
        <v>194</v>
      </c>
      <c r="BK782" t="s">
        <v>195</v>
      </c>
      <c r="BL782" t="s">
        <v>199</v>
      </c>
      <c r="BM782" t="s">
        <v>302</v>
      </c>
      <c r="BN782" t="s">
        <v>182</v>
      </c>
      <c r="BO782" t="s">
        <v>198</v>
      </c>
      <c r="BP782" t="s">
        <v>198</v>
      </c>
      <c r="BQ782" t="s">
        <v>198</v>
      </c>
      <c r="BR782" t="s">
        <v>198</v>
      </c>
      <c r="BS782" t="s">
        <v>198</v>
      </c>
      <c r="BT782" t="s">
        <v>198</v>
      </c>
      <c r="BU782" t="s">
        <v>182</v>
      </c>
      <c r="BV782" t="s">
        <v>198</v>
      </c>
      <c r="BW782" t="s">
        <v>198</v>
      </c>
      <c r="BX782" t="s">
        <v>199</v>
      </c>
      <c r="BY782" t="s">
        <v>198</v>
      </c>
      <c r="BZ782" t="s">
        <v>199</v>
      </c>
      <c r="CA782" t="s">
        <v>199</v>
      </c>
      <c r="CB782" t="s">
        <v>10858</v>
      </c>
      <c r="CC782" t="s">
        <v>201</v>
      </c>
      <c r="CD782" t="s">
        <v>182</v>
      </c>
      <c r="CE782" t="s">
        <v>10859</v>
      </c>
      <c r="CF782" t="s">
        <v>1029</v>
      </c>
      <c r="CG782" t="s">
        <v>177</v>
      </c>
      <c r="CH782" t="s">
        <v>1030</v>
      </c>
      <c r="CI782" t="s">
        <v>10860</v>
      </c>
      <c r="CJ782" t="s">
        <v>10808</v>
      </c>
      <c r="CK782" t="s">
        <v>232</v>
      </c>
      <c r="CL782" t="s">
        <v>233</v>
      </c>
      <c r="CM782" t="s">
        <v>10861</v>
      </c>
      <c r="CN782" t="s">
        <v>235</v>
      </c>
      <c r="CO782" t="s">
        <v>183</v>
      </c>
      <c r="CP782" t="s">
        <v>211</v>
      </c>
      <c r="CQ782" t="s">
        <v>270</v>
      </c>
      <c r="CS782" t="s">
        <v>10862</v>
      </c>
      <c r="CT782" t="s">
        <v>7532</v>
      </c>
      <c r="CU782" t="s">
        <v>292</v>
      </c>
      <c r="CV782" t="s">
        <v>293</v>
      </c>
      <c r="CW782" t="s">
        <v>10863</v>
      </c>
      <c r="CX782" t="s">
        <v>235</v>
      </c>
      <c r="CY782" t="s">
        <v>183</v>
      </c>
      <c r="CZ782" t="s">
        <v>211</v>
      </c>
      <c r="DA782" t="s">
        <v>342</v>
      </c>
      <c r="DC782" t="s">
        <v>10864</v>
      </c>
      <c r="DD782" t="s">
        <v>10708</v>
      </c>
      <c r="DE782" t="s">
        <v>267</v>
      </c>
      <c r="DF782" t="s">
        <v>268</v>
      </c>
      <c r="DG782" t="s">
        <v>10865</v>
      </c>
      <c r="DH782" t="s">
        <v>235</v>
      </c>
      <c r="DI782" t="s">
        <v>183</v>
      </c>
      <c r="DJ782" t="s">
        <v>211</v>
      </c>
      <c r="DK782" t="s">
        <v>296</v>
      </c>
      <c r="DM782" t="s">
        <v>10866</v>
      </c>
      <c r="DW782" t="s">
        <v>198</v>
      </c>
      <c r="EG782" t="s">
        <v>198</v>
      </c>
      <c r="EQ782" t="s">
        <v>198</v>
      </c>
      <c r="FA782" t="s">
        <v>198</v>
      </c>
      <c r="FK782" t="s">
        <v>198</v>
      </c>
      <c r="FU782" t="s">
        <v>198</v>
      </c>
    </row>
    <row r="783" spans="1:177">
      <c r="A783" s="1" t="str">
        <f>HYPERLINK("http://digipan.lumentumllc.com/apps/getLink/index.php?t=PropLink&amp;p=5246263","PL")</f>
        <v>PL</v>
      </c>
      <c r="B783" s="1" t="str">
        <f>HYPERLINK("http://digipan.lumentumllc.com/apps/getLink/index.php?t=TaxLink&amp;p=5246263","TL")</f>
        <v>TL</v>
      </c>
      <c r="C783" s="1" t="str">
        <f>HYPERLINK("http://digipan.lumentumllc.com/apps/getMap/index.php?p=5246263","Map")</f>
        <v>Map</v>
      </c>
      <c r="E783" t="s">
        <v>177</v>
      </c>
      <c r="F783" t="s">
        <v>178</v>
      </c>
      <c r="L783" t="s">
        <v>10867</v>
      </c>
      <c r="N783" t="s">
        <v>10867</v>
      </c>
      <c r="O783" t="s">
        <v>10867</v>
      </c>
      <c r="P783" t="s">
        <v>10868</v>
      </c>
      <c r="Q783" t="s">
        <v>10867</v>
      </c>
      <c r="V783">
        <v>913</v>
      </c>
      <c r="W783">
        <v>3</v>
      </c>
      <c r="X783">
        <v>2017</v>
      </c>
      <c r="Y783">
        <v>2018</v>
      </c>
      <c r="Z783">
        <v>260.95999999999998</v>
      </c>
      <c r="AB783" t="s">
        <v>181</v>
      </c>
      <c r="AC783" t="s">
        <v>202</v>
      </c>
      <c r="AD783" t="s">
        <v>183</v>
      </c>
      <c r="AE783">
        <v>0</v>
      </c>
      <c r="AF783">
        <v>7</v>
      </c>
      <c r="AG783" t="s">
        <v>528</v>
      </c>
      <c r="AH783">
        <v>100</v>
      </c>
      <c r="AK783">
        <v>0</v>
      </c>
      <c r="AL783">
        <v>15000</v>
      </c>
      <c r="AM783">
        <v>15000</v>
      </c>
      <c r="AN783">
        <v>0</v>
      </c>
      <c r="AO783">
        <v>184</v>
      </c>
      <c r="AP783">
        <v>2016</v>
      </c>
      <c r="AQ783">
        <v>1.74</v>
      </c>
      <c r="AS783" t="s">
        <v>10869</v>
      </c>
      <c r="AT783" t="s">
        <v>3747</v>
      </c>
      <c r="AU783" t="s">
        <v>177</v>
      </c>
      <c r="AV783" t="s">
        <v>1030</v>
      </c>
      <c r="AW783" t="s">
        <v>182</v>
      </c>
      <c r="AX783">
        <v>0</v>
      </c>
      <c r="AY783" t="s">
        <v>312</v>
      </c>
      <c r="AZ783" t="s">
        <v>199</v>
      </c>
      <c r="BA783" t="s">
        <v>313</v>
      </c>
      <c r="BB783" t="s">
        <v>191</v>
      </c>
      <c r="BC783" t="s">
        <v>182</v>
      </c>
      <c r="BD783" t="s">
        <v>182</v>
      </c>
      <c r="BE783" t="s">
        <v>383</v>
      </c>
      <c r="BF783">
        <v>0</v>
      </c>
      <c r="BG783">
        <v>0</v>
      </c>
      <c r="BH783">
        <v>0</v>
      </c>
      <c r="BI783" t="s">
        <v>199</v>
      </c>
      <c r="BJ783" t="s">
        <v>315</v>
      </c>
      <c r="BL783" t="s">
        <v>199</v>
      </c>
      <c r="BM783" t="s">
        <v>1311</v>
      </c>
      <c r="BN783" t="s">
        <v>182</v>
      </c>
      <c r="BO783" t="s">
        <v>198</v>
      </c>
      <c r="BP783" t="s">
        <v>198</v>
      </c>
      <c r="BQ783" t="s">
        <v>198</v>
      </c>
      <c r="BR783" t="s">
        <v>198</v>
      </c>
      <c r="BS783" t="s">
        <v>198</v>
      </c>
      <c r="BT783" t="s">
        <v>198</v>
      </c>
      <c r="BU783" t="s">
        <v>182</v>
      </c>
      <c r="BV783" t="s">
        <v>198</v>
      </c>
      <c r="BW783" t="s">
        <v>198</v>
      </c>
      <c r="BX783" t="s">
        <v>199</v>
      </c>
      <c r="BY783" t="s">
        <v>198</v>
      </c>
      <c r="BZ783" t="s">
        <v>199</v>
      </c>
      <c r="CA783" t="s">
        <v>199</v>
      </c>
      <c r="CB783" t="s">
        <v>10870</v>
      </c>
      <c r="CC783" t="s">
        <v>201</v>
      </c>
      <c r="CD783" t="s">
        <v>202</v>
      </c>
      <c r="CE783" t="s">
        <v>10871</v>
      </c>
      <c r="CF783" t="s">
        <v>1029</v>
      </c>
      <c r="CG783" t="s">
        <v>177</v>
      </c>
      <c r="CH783" t="s">
        <v>1030</v>
      </c>
      <c r="CI783" t="s">
        <v>10872</v>
      </c>
      <c r="CJ783" t="s">
        <v>4723</v>
      </c>
      <c r="CK783" t="s">
        <v>232</v>
      </c>
      <c r="CL783" t="s">
        <v>233</v>
      </c>
      <c r="CM783" t="s">
        <v>1195</v>
      </c>
      <c r="CN783" t="s">
        <v>351</v>
      </c>
      <c r="CO783" t="s">
        <v>183</v>
      </c>
      <c r="CP783" t="s">
        <v>211</v>
      </c>
      <c r="CQ783" t="s">
        <v>329</v>
      </c>
      <c r="CS783" t="s">
        <v>1641</v>
      </c>
      <c r="CT783" t="s">
        <v>10766</v>
      </c>
      <c r="CU783" t="s">
        <v>292</v>
      </c>
      <c r="CV783" t="s">
        <v>293</v>
      </c>
      <c r="CW783" t="s">
        <v>10873</v>
      </c>
      <c r="CX783" t="s">
        <v>235</v>
      </c>
      <c r="CY783" t="s">
        <v>183</v>
      </c>
      <c r="CZ783" t="s">
        <v>211</v>
      </c>
      <c r="DA783" t="s">
        <v>298</v>
      </c>
      <c r="DC783" t="s">
        <v>3588</v>
      </c>
      <c r="DD783" t="s">
        <v>7716</v>
      </c>
      <c r="DE783" t="s">
        <v>273</v>
      </c>
      <c r="DF783" t="s">
        <v>274</v>
      </c>
      <c r="DG783" t="s">
        <v>4594</v>
      </c>
      <c r="DH783" t="s">
        <v>1491</v>
      </c>
      <c r="DI783" t="s">
        <v>183</v>
      </c>
      <c r="DJ783" t="s">
        <v>211</v>
      </c>
      <c r="DK783" t="s">
        <v>329</v>
      </c>
      <c r="DM783" t="s">
        <v>3024</v>
      </c>
      <c r="DN783" t="s">
        <v>10874</v>
      </c>
      <c r="DO783" t="s">
        <v>302</v>
      </c>
      <c r="DP783" t="s">
        <v>303</v>
      </c>
      <c r="DQ783" t="s">
        <v>4596</v>
      </c>
      <c r="DR783" t="s">
        <v>2515</v>
      </c>
      <c r="DS783" t="s">
        <v>183</v>
      </c>
      <c r="DT783" t="s">
        <v>211</v>
      </c>
      <c r="DU783" t="s">
        <v>250</v>
      </c>
      <c r="DV783" t="s">
        <v>271</v>
      </c>
      <c r="DW783" t="s">
        <v>2950</v>
      </c>
      <c r="DX783" t="s">
        <v>10875</v>
      </c>
      <c r="DY783" t="s">
        <v>238</v>
      </c>
      <c r="DZ783" t="s">
        <v>239</v>
      </c>
      <c r="EA783" t="s">
        <v>4598</v>
      </c>
      <c r="EB783" t="s">
        <v>519</v>
      </c>
      <c r="EC783" t="s">
        <v>183</v>
      </c>
      <c r="ED783" t="s">
        <v>211</v>
      </c>
      <c r="EE783" t="s">
        <v>487</v>
      </c>
      <c r="EF783" t="s">
        <v>271</v>
      </c>
      <c r="EG783" t="s">
        <v>2950</v>
      </c>
      <c r="EH783" t="s">
        <v>4941</v>
      </c>
      <c r="EI783" t="s">
        <v>346</v>
      </c>
      <c r="EJ783" t="s">
        <v>347</v>
      </c>
      <c r="EK783" t="s">
        <v>10876</v>
      </c>
      <c r="EL783" t="s">
        <v>615</v>
      </c>
      <c r="EM783" t="s">
        <v>183</v>
      </c>
      <c r="EN783" t="s">
        <v>211</v>
      </c>
      <c r="EP783" t="s">
        <v>271</v>
      </c>
      <c r="EQ783" t="s">
        <v>198</v>
      </c>
      <c r="ER783" t="s">
        <v>10877</v>
      </c>
      <c r="ES783" t="s">
        <v>207</v>
      </c>
      <c r="ET783" t="s">
        <v>208</v>
      </c>
      <c r="EU783" t="s">
        <v>10878</v>
      </c>
      <c r="EV783" t="s">
        <v>576</v>
      </c>
      <c r="EW783" t="s">
        <v>183</v>
      </c>
      <c r="EX783" t="s">
        <v>211</v>
      </c>
      <c r="EY783" t="s">
        <v>963</v>
      </c>
      <c r="EZ783" t="s">
        <v>271</v>
      </c>
      <c r="FA783" t="s">
        <v>2950</v>
      </c>
      <c r="FK783" t="s">
        <v>198</v>
      </c>
      <c r="FU783" t="s">
        <v>198</v>
      </c>
    </row>
    <row r="784" spans="1:177">
      <c r="A784" s="1" t="str">
        <f>HYPERLINK("http://digipan.lumentumllc.com/apps/getLink/index.php?t=PropLink&amp;p=5246264","PL")</f>
        <v>PL</v>
      </c>
      <c r="B784" s="1" t="str">
        <f>HYPERLINK("http://digipan.lumentumllc.com/apps/getLink/index.php?t=TaxLink&amp;p=5246264","TL")</f>
        <v>TL</v>
      </c>
      <c r="C784" s="1" t="str">
        <f>HYPERLINK("http://digipan.lumentumllc.com/apps/getMap/index.php?p=5246264","Map")</f>
        <v>Map</v>
      </c>
      <c r="E784" t="s">
        <v>177</v>
      </c>
      <c r="F784" t="s">
        <v>178</v>
      </c>
      <c r="L784" t="s">
        <v>10879</v>
      </c>
      <c r="N784" t="s">
        <v>10879</v>
      </c>
      <c r="O784" t="s">
        <v>10879</v>
      </c>
      <c r="P784" t="s">
        <v>10880</v>
      </c>
      <c r="Q784" t="s">
        <v>10879</v>
      </c>
      <c r="V784">
        <v>914</v>
      </c>
      <c r="W784">
        <v>3</v>
      </c>
      <c r="X784">
        <v>2017</v>
      </c>
      <c r="Y784">
        <v>2018</v>
      </c>
      <c r="Z784">
        <v>1159.49</v>
      </c>
      <c r="AB784" t="s">
        <v>181</v>
      </c>
      <c r="AC784" t="s">
        <v>182</v>
      </c>
      <c r="AD784" t="s">
        <v>183</v>
      </c>
      <c r="AE784">
        <v>0</v>
      </c>
      <c r="AF784">
        <v>4</v>
      </c>
      <c r="AG784" t="s">
        <v>744</v>
      </c>
      <c r="AH784">
        <v>100</v>
      </c>
      <c r="AK784">
        <v>0</v>
      </c>
      <c r="AL784">
        <v>69579</v>
      </c>
      <c r="AM784">
        <v>30360</v>
      </c>
      <c r="AN784">
        <v>39219</v>
      </c>
      <c r="AO784">
        <v>1007</v>
      </c>
      <c r="AP784">
        <v>2016</v>
      </c>
      <c r="AQ784">
        <v>1.67</v>
      </c>
      <c r="AS784" t="s">
        <v>10881</v>
      </c>
      <c r="AT784" t="s">
        <v>3747</v>
      </c>
      <c r="AU784" t="s">
        <v>177</v>
      </c>
      <c r="AV784" t="s">
        <v>1030</v>
      </c>
      <c r="AW784" t="s">
        <v>182</v>
      </c>
      <c r="AX784">
        <v>1</v>
      </c>
      <c r="AY784" t="s">
        <v>188</v>
      </c>
      <c r="AZ784" t="s">
        <v>206</v>
      </c>
      <c r="BA784" t="s">
        <v>355</v>
      </c>
      <c r="BB784" t="s">
        <v>191</v>
      </c>
      <c r="BC784" t="s">
        <v>182</v>
      </c>
      <c r="BD784" t="s">
        <v>182</v>
      </c>
      <c r="BE784" t="s">
        <v>1107</v>
      </c>
      <c r="BF784">
        <v>2</v>
      </c>
      <c r="BG784">
        <v>2</v>
      </c>
      <c r="BH784">
        <v>1960</v>
      </c>
      <c r="BI784" t="s">
        <v>10882</v>
      </c>
      <c r="BJ784" t="s">
        <v>285</v>
      </c>
      <c r="BK784" t="s">
        <v>195</v>
      </c>
      <c r="BL784" t="s">
        <v>199</v>
      </c>
      <c r="BM784" t="s">
        <v>207</v>
      </c>
      <c r="BN784" t="s">
        <v>182</v>
      </c>
      <c r="BO784" t="s">
        <v>198</v>
      </c>
      <c r="BP784" t="s">
        <v>198</v>
      </c>
      <c r="BQ784" t="s">
        <v>198</v>
      </c>
      <c r="BR784" t="s">
        <v>198</v>
      </c>
      <c r="BS784" t="s">
        <v>198</v>
      </c>
      <c r="BT784" t="s">
        <v>198</v>
      </c>
      <c r="BU784" t="s">
        <v>182</v>
      </c>
      <c r="BV784" t="s">
        <v>198</v>
      </c>
      <c r="BW784" t="s">
        <v>198</v>
      </c>
      <c r="BX784" t="s">
        <v>199</v>
      </c>
      <c r="BY784" t="s">
        <v>198</v>
      </c>
      <c r="BZ784" t="s">
        <v>199</v>
      </c>
      <c r="CA784" t="s">
        <v>199</v>
      </c>
      <c r="CB784" t="s">
        <v>10883</v>
      </c>
      <c r="CC784" t="s">
        <v>201</v>
      </c>
      <c r="CD784" t="s">
        <v>182</v>
      </c>
      <c r="CE784" t="s">
        <v>10884</v>
      </c>
      <c r="CF784" t="s">
        <v>1029</v>
      </c>
      <c r="CG784" t="s">
        <v>177</v>
      </c>
      <c r="CH784" t="s">
        <v>1030</v>
      </c>
      <c r="CI784" t="s">
        <v>10885</v>
      </c>
      <c r="CJ784" t="s">
        <v>10829</v>
      </c>
      <c r="CK784" t="s">
        <v>292</v>
      </c>
      <c r="CL784" t="s">
        <v>293</v>
      </c>
      <c r="CM784" t="s">
        <v>10886</v>
      </c>
      <c r="CN784" t="s">
        <v>235</v>
      </c>
      <c r="CO784" t="s">
        <v>183</v>
      </c>
      <c r="CP784" t="s">
        <v>211</v>
      </c>
      <c r="CQ784" t="s">
        <v>339</v>
      </c>
      <c r="CS784" t="s">
        <v>8803</v>
      </c>
      <c r="CT784" t="s">
        <v>7530</v>
      </c>
      <c r="CU784" t="s">
        <v>267</v>
      </c>
      <c r="CV784" t="s">
        <v>268</v>
      </c>
      <c r="CW784" t="s">
        <v>10887</v>
      </c>
      <c r="CX784" t="s">
        <v>235</v>
      </c>
      <c r="CY784" t="s">
        <v>183</v>
      </c>
      <c r="CZ784" t="s">
        <v>211</v>
      </c>
      <c r="DA784" t="s">
        <v>270</v>
      </c>
      <c r="DC784" t="s">
        <v>544</v>
      </c>
      <c r="DD784" t="s">
        <v>8013</v>
      </c>
      <c r="DE784" t="s">
        <v>273</v>
      </c>
      <c r="DF784" t="s">
        <v>274</v>
      </c>
      <c r="DG784" t="s">
        <v>10888</v>
      </c>
      <c r="DH784" t="s">
        <v>235</v>
      </c>
      <c r="DI784" t="s">
        <v>183</v>
      </c>
      <c r="DJ784" t="s">
        <v>211</v>
      </c>
      <c r="DK784" t="s">
        <v>342</v>
      </c>
      <c r="DM784" t="s">
        <v>2490</v>
      </c>
      <c r="DN784" t="s">
        <v>10889</v>
      </c>
      <c r="DO784" t="s">
        <v>238</v>
      </c>
      <c r="DP784" t="s">
        <v>239</v>
      </c>
      <c r="DQ784" t="s">
        <v>10890</v>
      </c>
      <c r="DR784" t="s">
        <v>247</v>
      </c>
      <c r="DS784" t="s">
        <v>183</v>
      </c>
      <c r="DT784" t="s">
        <v>211</v>
      </c>
      <c r="DU784" t="s">
        <v>298</v>
      </c>
      <c r="DW784" t="s">
        <v>3277</v>
      </c>
      <c r="EG784" t="s">
        <v>198</v>
      </c>
      <c r="EQ784" t="s">
        <v>198</v>
      </c>
      <c r="FA784" t="s">
        <v>198</v>
      </c>
      <c r="FK784" t="s">
        <v>198</v>
      </c>
      <c r="FU784" t="s">
        <v>198</v>
      </c>
    </row>
    <row r="785" spans="1:177">
      <c r="A785" s="1" t="str">
        <f>HYPERLINK("http://digipan.lumentumllc.com/apps/getLink/index.php?t=PropLink&amp;p=7112431","PL")</f>
        <v>PL</v>
      </c>
      <c r="B785" s="1" t="str">
        <f>HYPERLINK("http://digipan.lumentumllc.com/apps/getLink/index.php?t=TaxLink&amp;p=7112431","TL")</f>
        <v>TL</v>
      </c>
      <c r="C785" s="1" t="str">
        <f>HYPERLINK("http://digipan.lumentumllc.com/apps/getMap/index.php?p=7112431","Map")</f>
        <v>Map</v>
      </c>
      <c r="E785" t="s">
        <v>177</v>
      </c>
      <c r="F785" t="s">
        <v>178</v>
      </c>
      <c r="L785" t="s">
        <v>10891</v>
      </c>
      <c r="N785" t="s">
        <v>10891</v>
      </c>
      <c r="O785" t="s">
        <v>10891</v>
      </c>
      <c r="P785" t="s">
        <v>10892</v>
      </c>
      <c r="Q785" t="s">
        <v>10891</v>
      </c>
      <c r="V785">
        <v>915</v>
      </c>
      <c r="W785">
        <v>3</v>
      </c>
      <c r="X785">
        <v>2017</v>
      </c>
      <c r="Y785">
        <v>2018</v>
      </c>
      <c r="Z785">
        <v>519.04</v>
      </c>
      <c r="AB785" t="s">
        <v>181</v>
      </c>
      <c r="AC785" t="s">
        <v>182</v>
      </c>
      <c r="AD785" t="s">
        <v>183</v>
      </c>
      <c r="AE785">
        <v>0</v>
      </c>
      <c r="AF785">
        <v>2</v>
      </c>
      <c r="AG785" t="s">
        <v>216</v>
      </c>
      <c r="AH785">
        <v>100</v>
      </c>
      <c r="AK785">
        <v>0</v>
      </c>
      <c r="AL785">
        <v>29748</v>
      </c>
      <c r="AM785">
        <v>10500</v>
      </c>
      <c r="AN785">
        <v>19248</v>
      </c>
      <c r="AO785">
        <v>427</v>
      </c>
      <c r="AP785">
        <v>2016</v>
      </c>
      <c r="AQ785">
        <v>1.74</v>
      </c>
      <c r="AS785" t="s">
        <v>10893</v>
      </c>
      <c r="AT785" t="s">
        <v>3747</v>
      </c>
      <c r="AU785" t="s">
        <v>177</v>
      </c>
      <c r="AV785" t="s">
        <v>1030</v>
      </c>
      <c r="AW785" t="s">
        <v>182</v>
      </c>
      <c r="AX785">
        <v>1</v>
      </c>
      <c r="AY785" t="s">
        <v>188</v>
      </c>
      <c r="AZ785" t="s">
        <v>206</v>
      </c>
      <c r="BA785" t="s">
        <v>355</v>
      </c>
      <c r="BB785" t="s">
        <v>191</v>
      </c>
      <c r="BC785" t="s">
        <v>182</v>
      </c>
      <c r="BD785" t="s">
        <v>182</v>
      </c>
      <c r="BE785" t="s">
        <v>383</v>
      </c>
      <c r="BF785">
        <v>1</v>
      </c>
      <c r="BG785">
        <v>1</v>
      </c>
      <c r="BH785">
        <v>1962</v>
      </c>
      <c r="BI785" t="s">
        <v>4018</v>
      </c>
      <c r="BJ785" t="s">
        <v>285</v>
      </c>
      <c r="BK785" t="s">
        <v>195</v>
      </c>
      <c r="BL785" t="s">
        <v>199</v>
      </c>
      <c r="BM785" t="s">
        <v>207</v>
      </c>
      <c r="BN785" t="s">
        <v>182</v>
      </c>
      <c r="BO785" t="s">
        <v>198</v>
      </c>
      <c r="BP785" t="s">
        <v>198</v>
      </c>
      <c r="BQ785" t="s">
        <v>198</v>
      </c>
      <c r="BR785" t="s">
        <v>198</v>
      </c>
      <c r="BS785" t="s">
        <v>198</v>
      </c>
      <c r="BT785" t="s">
        <v>198</v>
      </c>
      <c r="BU785" t="s">
        <v>182</v>
      </c>
      <c r="BV785" t="s">
        <v>198</v>
      </c>
      <c r="BW785" t="s">
        <v>198</v>
      </c>
      <c r="BX785" t="s">
        <v>199</v>
      </c>
      <c r="BY785" t="s">
        <v>198</v>
      </c>
      <c r="BZ785" t="s">
        <v>199</v>
      </c>
      <c r="CA785" t="s">
        <v>199</v>
      </c>
      <c r="CB785" t="s">
        <v>10894</v>
      </c>
      <c r="CC785" t="s">
        <v>201</v>
      </c>
      <c r="CD785" t="s">
        <v>202</v>
      </c>
      <c r="CE785" t="s">
        <v>3316</v>
      </c>
      <c r="CF785" t="s">
        <v>1029</v>
      </c>
      <c r="CG785" t="s">
        <v>177</v>
      </c>
      <c r="CH785" t="s">
        <v>1030</v>
      </c>
      <c r="CI785" t="s">
        <v>10895</v>
      </c>
      <c r="CJ785" t="s">
        <v>10708</v>
      </c>
      <c r="CK785" t="s">
        <v>232</v>
      </c>
      <c r="CL785" t="s">
        <v>233</v>
      </c>
      <c r="CM785" t="s">
        <v>10896</v>
      </c>
      <c r="CN785" t="s">
        <v>305</v>
      </c>
      <c r="CO785" t="s">
        <v>183</v>
      </c>
      <c r="CP785" t="s">
        <v>211</v>
      </c>
      <c r="CQ785" t="s">
        <v>329</v>
      </c>
      <c r="CS785" t="s">
        <v>457</v>
      </c>
      <c r="CT785" t="s">
        <v>10797</v>
      </c>
      <c r="CU785" t="s">
        <v>292</v>
      </c>
      <c r="CV785" t="s">
        <v>293</v>
      </c>
      <c r="CW785" t="s">
        <v>10897</v>
      </c>
      <c r="CX785" t="s">
        <v>2499</v>
      </c>
      <c r="CY785" t="s">
        <v>183</v>
      </c>
      <c r="CZ785" t="s">
        <v>211</v>
      </c>
      <c r="DA785" t="s">
        <v>298</v>
      </c>
      <c r="DC785" t="s">
        <v>1641</v>
      </c>
      <c r="DM785" t="s">
        <v>198</v>
      </c>
      <c r="DW785" t="s">
        <v>198</v>
      </c>
      <c r="EG785" t="s">
        <v>198</v>
      </c>
      <c r="EQ785" t="s">
        <v>198</v>
      </c>
      <c r="FA785" t="s">
        <v>198</v>
      </c>
      <c r="FK785" t="s">
        <v>198</v>
      </c>
      <c r="FU785" t="s">
        <v>198</v>
      </c>
    </row>
    <row r="786" spans="1:177">
      <c r="A786" s="1" t="str">
        <f>HYPERLINK("http://digipan.lumentumllc.com/apps/getLink/index.php?t=PropLink&amp;p=6129041","PL")</f>
        <v>PL</v>
      </c>
      <c r="B786" s="1" t="str">
        <f>HYPERLINK("http://digipan.lumentumllc.com/apps/getLink/index.php?t=TaxLink&amp;p=6129041","TL")</f>
        <v>TL</v>
      </c>
      <c r="C786" s="1" t="str">
        <f>HYPERLINK("http://digipan.lumentumllc.com/apps/getMap/index.php?p=6129041","Map")</f>
        <v>Map</v>
      </c>
      <c r="E786" t="s">
        <v>177</v>
      </c>
      <c r="F786" t="s">
        <v>178</v>
      </c>
      <c r="L786" t="s">
        <v>10898</v>
      </c>
      <c r="N786" t="s">
        <v>10898</v>
      </c>
      <c r="O786" t="s">
        <v>10898</v>
      </c>
      <c r="P786" t="s">
        <v>10899</v>
      </c>
      <c r="Q786" t="s">
        <v>10898</v>
      </c>
      <c r="V786">
        <v>916</v>
      </c>
      <c r="W786">
        <v>3</v>
      </c>
      <c r="X786">
        <v>2017</v>
      </c>
      <c r="Y786">
        <v>2018</v>
      </c>
      <c r="Z786">
        <v>862.29</v>
      </c>
      <c r="AB786" t="s">
        <v>181</v>
      </c>
      <c r="AC786" t="s">
        <v>202</v>
      </c>
      <c r="AD786" t="s">
        <v>183</v>
      </c>
      <c r="AE786">
        <v>1</v>
      </c>
      <c r="AF786">
        <v>5</v>
      </c>
      <c r="AG786" t="s">
        <v>322</v>
      </c>
      <c r="AH786">
        <v>83</v>
      </c>
      <c r="AI786">
        <v>829.64</v>
      </c>
      <c r="AJ786">
        <v>41.48</v>
      </c>
      <c r="AK786">
        <v>871.12</v>
      </c>
      <c r="AL786">
        <v>50713</v>
      </c>
      <c r="AM786">
        <v>12000</v>
      </c>
      <c r="AN786">
        <v>38713</v>
      </c>
      <c r="AO786">
        <v>742</v>
      </c>
      <c r="AP786">
        <v>2016</v>
      </c>
      <c r="AQ786">
        <v>1.7</v>
      </c>
      <c r="AR786">
        <v>1.72</v>
      </c>
      <c r="AS786" t="s">
        <v>10900</v>
      </c>
      <c r="AT786" t="s">
        <v>3747</v>
      </c>
      <c r="AU786" t="s">
        <v>177</v>
      </c>
      <c r="AV786" t="s">
        <v>1030</v>
      </c>
      <c r="AW786" t="s">
        <v>182</v>
      </c>
      <c r="AX786">
        <v>1</v>
      </c>
      <c r="AY786" t="s">
        <v>188</v>
      </c>
      <c r="AZ786" t="s">
        <v>206</v>
      </c>
      <c r="BA786" t="s">
        <v>355</v>
      </c>
      <c r="BB786" t="s">
        <v>191</v>
      </c>
      <c r="BC786" t="s">
        <v>182</v>
      </c>
      <c r="BD786" t="s">
        <v>182</v>
      </c>
      <c r="BE786" t="s">
        <v>383</v>
      </c>
      <c r="BF786">
        <v>1</v>
      </c>
      <c r="BG786">
        <v>1</v>
      </c>
      <c r="BH786">
        <v>1960</v>
      </c>
      <c r="BI786" t="s">
        <v>6977</v>
      </c>
      <c r="BJ786" t="s">
        <v>285</v>
      </c>
      <c r="BK786" t="s">
        <v>195</v>
      </c>
      <c r="BL786" t="s">
        <v>199</v>
      </c>
      <c r="BM786" t="s">
        <v>2351</v>
      </c>
      <c r="BN786" t="s">
        <v>182</v>
      </c>
      <c r="BO786" t="s">
        <v>198</v>
      </c>
      <c r="BP786" t="s">
        <v>198</v>
      </c>
      <c r="BQ786" t="s">
        <v>198</v>
      </c>
      <c r="BR786" t="s">
        <v>198</v>
      </c>
      <c r="BS786" t="s">
        <v>198</v>
      </c>
      <c r="BT786" t="s">
        <v>198</v>
      </c>
      <c r="BU786" t="s">
        <v>182</v>
      </c>
      <c r="BV786" t="s">
        <v>198</v>
      </c>
      <c r="BW786" t="s">
        <v>198</v>
      </c>
      <c r="BX786" t="s">
        <v>199</v>
      </c>
      <c r="BY786" t="s">
        <v>198</v>
      </c>
      <c r="BZ786" t="s">
        <v>199</v>
      </c>
      <c r="CA786" t="s">
        <v>199</v>
      </c>
      <c r="CB786" t="s">
        <v>10901</v>
      </c>
      <c r="CC786" t="s">
        <v>201</v>
      </c>
      <c r="CD786" t="s">
        <v>202</v>
      </c>
      <c r="CE786" t="s">
        <v>10902</v>
      </c>
      <c r="CF786" t="s">
        <v>1029</v>
      </c>
      <c r="CG786" t="s">
        <v>177</v>
      </c>
      <c r="CH786" t="s">
        <v>1030</v>
      </c>
      <c r="CI786" t="s">
        <v>10903</v>
      </c>
      <c r="CJ786" t="s">
        <v>7429</v>
      </c>
      <c r="CK786" t="s">
        <v>232</v>
      </c>
      <c r="CL786" t="s">
        <v>233</v>
      </c>
      <c r="CM786" t="s">
        <v>10904</v>
      </c>
      <c r="CN786" t="s">
        <v>235</v>
      </c>
      <c r="CO786" t="s">
        <v>183</v>
      </c>
      <c r="CP786" t="s">
        <v>266</v>
      </c>
      <c r="CS786" t="s">
        <v>198</v>
      </c>
      <c r="CT786" t="s">
        <v>7680</v>
      </c>
      <c r="CU786" t="s">
        <v>292</v>
      </c>
      <c r="CV786" t="s">
        <v>293</v>
      </c>
      <c r="CW786" t="s">
        <v>10905</v>
      </c>
      <c r="CX786" t="s">
        <v>235</v>
      </c>
      <c r="CY786" t="s">
        <v>183</v>
      </c>
      <c r="CZ786" t="s">
        <v>211</v>
      </c>
      <c r="DA786" t="s">
        <v>250</v>
      </c>
      <c r="DB786" t="s">
        <v>271</v>
      </c>
      <c r="DC786" t="s">
        <v>4374</v>
      </c>
      <c r="DD786" t="s">
        <v>7555</v>
      </c>
      <c r="DE786" t="s">
        <v>267</v>
      </c>
      <c r="DF786" t="s">
        <v>268</v>
      </c>
      <c r="DG786" t="s">
        <v>10906</v>
      </c>
      <c r="DH786" t="s">
        <v>235</v>
      </c>
      <c r="DI786" t="s">
        <v>183</v>
      </c>
      <c r="DJ786" t="s">
        <v>211</v>
      </c>
      <c r="DK786" t="s">
        <v>487</v>
      </c>
      <c r="DL786" t="s">
        <v>271</v>
      </c>
      <c r="DM786" t="s">
        <v>4374</v>
      </c>
      <c r="DN786" t="s">
        <v>7762</v>
      </c>
      <c r="DO786" t="s">
        <v>273</v>
      </c>
      <c r="DP786" t="s">
        <v>274</v>
      </c>
      <c r="DQ786" t="s">
        <v>10907</v>
      </c>
      <c r="DR786" t="s">
        <v>514</v>
      </c>
      <c r="DS786" t="s">
        <v>183</v>
      </c>
      <c r="DT786" t="s">
        <v>211</v>
      </c>
      <c r="DV786" t="s">
        <v>271</v>
      </c>
      <c r="DW786" t="s">
        <v>198</v>
      </c>
      <c r="DX786" t="s">
        <v>8868</v>
      </c>
      <c r="DY786" t="s">
        <v>302</v>
      </c>
      <c r="DZ786" t="s">
        <v>303</v>
      </c>
      <c r="EA786" t="s">
        <v>10908</v>
      </c>
      <c r="EB786" t="s">
        <v>436</v>
      </c>
      <c r="EC786" t="s">
        <v>183</v>
      </c>
      <c r="ED786" t="s">
        <v>211</v>
      </c>
      <c r="EE786" t="s">
        <v>427</v>
      </c>
      <c r="EG786" t="s">
        <v>10909</v>
      </c>
      <c r="EH786" t="s">
        <v>2394</v>
      </c>
      <c r="EI786" t="s">
        <v>238</v>
      </c>
      <c r="EJ786" t="s">
        <v>239</v>
      </c>
      <c r="EK786" t="s">
        <v>10910</v>
      </c>
      <c r="EL786" t="s">
        <v>247</v>
      </c>
      <c r="EM786" t="s">
        <v>183</v>
      </c>
      <c r="EN786" t="s">
        <v>211</v>
      </c>
      <c r="EO786" t="s">
        <v>345</v>
      </c>
      <c r="EQ786" t="s">
        <v>3388</v>
      </c>
      <c r="FA786" t="s">
        <v>198</v>
      </c>
      <c r="FK786" t="s">
        <v>198</v>
      </c>
      <c r="FU786" t="s">
        <v>198</v>
      </c>
    </row>
    <row r="787" spans="1:177">
      <c r="A787" s="1" t="str">
        <f>HYPERLINK("http://digipan.lumentumllc.com/apps/getLink/index.php?t=PropLink&amp;p=5246266","PL")</f>
        <v>PL</v>
      </c>
      <c r="B787" s="1" t="str">
        <f>HYPERLINK("http://digipan.lumentumllc.com/apps/getLink/index.php?t=TaxLink&amp;p=5246266","TL")</f>
        <v>TL</v>
      </c>
      <c r="C787" s="1" t="str">
        <f>HYPERLINK("http://digipan.lumentumllc.com/apps/getMap/index.php?p=5246266","Map")</f>
        <v>Map</v>
      </c>
      <c r="E787" t="s">
        <v>177</v>
      </c>
      <c r="F787" t="s">
        <v>178</v>
      </c>
      <c r="L787" t="s">
        <v>10911</v>
      </c>
      <c r="N787" t="s">
        <v>10911</v>
      </c>
      <c r="O787" t="s">
        <v>10911</v>
      </c>
      <c r="P787" t="s">
        <v>10912</v>
      </c>
      <c r="Q787" t="s">
        <v>10911</v>
      </c>
      <c r="V787">
        <v>917</v>
      </c>
      <c r="W787">
        <v>3</v>
      </c>
      <c r="X787">
        <v>2017</v>
      </c>
      <c r="Y787">
        <v>2018</v>
      </c>
      <c r="Z787">
        <v>484.96</v>
      </c>
      <c r="AB787" t="s">
        <v>181</v>
      </c>
      <c r="AC787" t="s">
        <v>182</v>
      </c>
      <c r="AD787" t="s">
        <v>183</v>
      </c>
      <c r="AE787">
        <v>7</v>
      </c>
      <c r="AF787">
        <v>0</v>
      </c>
      <c r="AG787" t="s">
        <v>1038</v>
      </c>
      <c r="AH787">
        <v>0</v>
      </c>
      <c r="AI787">
        <v>3099.54</v>
      </c>
      <c r="AJ787">
        <v>827.76</v>
      </c>
      <c r="AK787">
        <v>3927.3</v>
      </c>
      <c r="AL787">
        <v>27912</v>
      </c>
      <c r="AM787">
        <v>15000</v>
      </c>
      <c r="AN787">
        <v>12912</v>
      </c>
      <c r="AO787">
        <v>383</v>
      </c>
      <c r="AP787">
        <v>2016</v>
      </c>
      <c r="AQ787">
        <v>1.74</v>
      </c>
      <c r="AR787">
        <v>14.07</v>
      </c>
      <c r="AS787" t="s">
        <v>10913</v>
      </c>
      <c r="AT787" t="s">
        <v>3747</v>
      </c>
      <c r="AU787" t="s">
        <v>177</v>
      </c>
      <c r="AV787" t="s">
        <v>1030</v>
      </c>
      <c r="AW787" t="s">
        <v>182</v>
      </c>
      <c r="AX787">
        <v>1</v>
      </c>
      <c r="AY787" t="s">
        <v>188</v>
      </c>
      <c r="AZ787" t="s">
        <v>206</v>
      </c>
      <c r="BA787" t="s">
        <v>355</v>
      </c>
      <c r="BB787" t="s">
        <v>191</v>
      </c>
      <c r="BC787" t="s">
        <v>182</v>
      </c>
      <c r="BD787" t="s">
        <v>182</v>
      </c>
      <c r="BE787" t="s">
        <v>6305</v>
      </c>
      <c r="BF787">
        <v>1</v>
      </c>
      <c r="BG787">
        <v>1</v>
      </c>
      <c r="BH787">
        <v>1962</v>
      </c>
      <c r="BI787" t="s">
        <v>8050</v>
      </c>
      <c r="BJ787" t="s">
        <v>285</v>
      </c>
      <c r="BK787" t="s">
        <v>195</v>
      </c>
      <c r="BL787" t="s">
        <v>199</v>
      </c>
      <c r="BM787" t="s">
        <v>358</v>
      </c>
      <c r="BN787" t="s">
        <v>182</v>
      </c>
      <c r="BO787" t="s">
        <v>198</v>
      </c>
      <c r="BP787" t="s">
        <v>198</v>
      </c>
      <c r="BQ787" t="s">
        <v>198</v>
      </c>
      <c r="BR787" t="s">
        <v>198</v>
      </c>
      <c r="BS787" t="s">
        <v>198</v>
      </c>
      <c r="BT787" t="s">
        <v>198</v>
      </c>
      <c r="BU787" t="s">
        <v>182</v>
      </c>
      <c r="BV787" t="s">
        <v>198</v>
      </c>
      <c r="BW787" t="s">
        <v>198</v>
      </c>
      <c r="BX787" t="s">
        <v>199</v>
      </c>
      <c r="BY787" t="s">
        <v>198</v>
      </c>
      <c r="BZ787" t="s">
        <v>199</v>
      </c>
      <c r="CA787" t="s">
        <v>199</v>
      </c>
      <c r="CB787" t="s">
        <v>10914</v>
      </c>
      <c r="CC787" t="s">
        <v>201</v>
      </c>
      <c r="CD787" t="s">
        <v>202</v>
      </c>
      <c r="CE787" t="s">
        <v>10915</v>
      </c>
      <c r="CF787" t="s">
        <v>204</v>
      </c>
      <c r="CG787" t="s">
        <v>177</v>
      </c>
      <c r="CH787" t="s">
        <v>187</v>
      </c>
      <c r="CI787" t="s">
        <v>10916</v>
      </c>
      <c r="CJ787" t="s">
        <v>7456</v>
      </c>
      <c r="CK787" t="s">
        <v>232</v>
      </c>
      <c r="CL787" t="s">
        <v>233</v>
      </c>
      <c r="CM787" t="s">
        <v>10917</v>
      </c>
      <c r="CN787" t="s">
        <v>247</v>
      </c>
      <c r="CO787" t="s">
        <v>183</v>
      </c>
      <c r="CP787" t="s">
        <v>266</v>
      </c>
      <c r="CS787" t="s">
        <v>198</v>
      </c>
      <c r="CT787" t="s">
        <v>7698</v>
      </c>
      <c r="CU787" t="s">
        <v>292</v>
      </c>
      <c r="CV787" t="s">
        <v>293</v>
      </c>
      <c r="CW787" t="s">
        <v>10918</v>
      </c>
      <c r="CX787" t="s">
        <v>482</v>
      </c>
      <c r="CY787" t="s">
        <v>183</v>
      </c>
      <c r="CZ787" t="s">
        <v>266</v>
      </c>
      <c r="DC787" t="s">
        <v>198</v>
      </c>
      <c r="DD787" t="s">
        <v>10750</v>
      </c>
      <c r="DE787" t="s">
        <v>267</v>
      </c>
      <c r="DF787" t="s">
        <v>268</v>
      </c>
      <c r="DG787" t="s">
        <v>10919</v>
      </c>
      <c r="DH787" t="s">
        <v>247</v>
      </c>
      <c r="DI787" t="s">
        <v>183</v>
      </c>
      <c r="DJ787" t="s">
        <v>266</v>
      </c>
      <c r="DM787" t="s">
        <v>198</v>
      </c>
      <c r="DN787" t="s">
        <v>7778</v>
      </c>
      <c r="DO787" t="s">
        <v>273</v>
      </c>
      <c r="DP787" t="s">
        <v>274</v>
      </c>
      <c r="DQ787" t="s">
        <v>10920</v>
      </c>
      <c r="DR787" t="s">
        <v>1491</v>
      </c>
      <c r="DS787" t="s">
        <v>183</v>
      </c>
      <c r="DT787" t="s">
        <v>266</v>
      </c>
      <c r="DW787" t="s">
        <v>198</v>
      </c>
      <c r="DX787" t="s">
        <v>8257</v>
      </c>
      <c r="DY787" t="s">
        <v>302</v>
      </c>
      <c r="DZ787" t="s">
        <v>303</v>
      </c>
      <c r="EA787" t="s">
        <v>10921</v>
      </c>
      <c r="EB787" t="s">
        <v>331</v>
      </c>
      <c r="EC787" t="s">
        <v>183</v>
      </c>
      <c r="ED787" t="s">
        <v>266</v>
      </c>
      <c r="EG787" t="s">
        <v>198</v>
      </c>
      <c r="EH787" t="s">
        <v>10922</v>
      </c>
      <c r="EI787" t="s">
        <v>238</v>
      </c>
      <c r="EJ787" t="s">
        <v>239</v>
      </c>
      <c r="EK787" t="s">
        <v>10923</v>
      </c>
      <c r="EL787" t="s">
        <v>247</v>
      </c>
      <c r="EM787" t="s">
        <v>183</v>
      </c>
      <c r="EN787" t="s">
        <v>266</v>
      </c>
      <c r="EQ787" t="s">
        <v>198</v>
      </c>
      <c r="ER787" t="s">
        <v>10924</v>
      </c>
      <c r="ES787" t="s">
        <v>346</v>
      </c>
      <c r="ET787" t="s">
        <v>347</v>
      </c>
      <c r="EU787" t="s">
        <v>10925</v>
      </c>
      <c r="EV787" t="s">
        <v>688</v>
      </c>
      <c r="EW787" t="s">
        <v>183</v>
      </c>
      <c r="EX787" t="s">
        <v>266</v>
      </c>
      <c r="FA787" t="s">
        <v>198</v>
      </c>
      <c r="FK787" t="s">
        <v>198</v>
      </c>
      <c r="FU787" t="s">
        <v>198</v>
      </c>
    </row>
    <row r="788" spans="1:177">
      <c r="A788" s="1" t="str">
        <f>HYPERLINK("http://digipan.lumentumllc.com/apps/getLink/index.php?t=PropLink&amp;p=5246268","PL")</f>
        <v>PL</v>
      </c>
      <c r="B788" s="1" t="str">
        <f>HYPERLINK("http://digipan.lumentumllc.com/apps/getLink/index.php?t=TaxLink&amp;p=5246268","TL")</f>
        <v>TL</v>
      </c>
      <c r="C788" s="1" t="str">
        <f>HYPERLINK("http://digipan.lumentumllc.com/apps/getMap/index.php?p=5246268","Map")</f>
        <v>Map</v>
      </c>
      <c r="E788" t="s">
        <v>177</v>
      </c>
      <c r="F788" t="s">
        <v>178</v>
      </c>
      <c r="L788" t="s">
        <v>10926</v>
      </c>
      <c r="N788" t="s">
        <v>10926</v>
      </c>
      <c r="O788" t="s">
        <v>10926</v>
      </c>
      <c r="P788" t="s">
        <v>10927</v>
      </c>
      <c r="Q788" t="s">
        <v>10926</v>
      </c>
      <c r="V788">
        <v>918</v>
      </c>
      <c r="W788">
        <v>3</v>
      </c>
      <c r="X788">
        <v>2017</v>
      </c>
      <c r="Y788">
        <v>2018</v>
      </c>
      <c r="Z788">
        <v>1421.7</v>
      </c>
      <c r="AB788" t="s">
        <v>181</v>
      </c>
      <c r="AC788" t="s">
        <v>182</v>
      </c>
      <c r="AD788" t="s">
        <v>183</v>
      </c>
      <c r="AE788">
        <v>0</v>
      </c>
      <c r="AF788">
        <v>7</v>
      </c>
      <c r="AG788" t="s">
        <v>528</v>
      </c>
      <c r="AH788">
        <v>100</v>
      </c>
      <c r="AK788">
        <v>0</v>
      </c>
      <c r="AL788">
        <v>188939</v>
      </c>
      <c r="AM788">
        <v>23440</v>
      </c>
      <c r="AN788">
        <v>165499</v>
      </c>
      <c r="AO788">
        <v>1253</v>
      </c>
      <c r="AP788">
        <v>2016</v>
      </c>
      <c r="AQ788">
        <v>0.75</v>
      </c>
      <c r="AS788" t="s">
        <v>10928</v>
      </c>
      <c r="AT788" t="s">
        <v>3747</v>
      </c>
      <c r="AU788" t="s">
        <v>177</v>
      </c>
      <c r="AV788" t="s">
        <v>1030</v>
      </c>
      <c r="AW788" t="s">
        <v>182</v>
      </c>
      <c r="AX788">
        <v>50</v>
      </c>
      <c r="AY788" t="s">
        <v>218</v>
      </c>
      <c r="AZ788" t="s">
        <v>589</v>
      </c>
      <c r="BA788" t="s">
        <v>590</v>
      </c>
      <c r="BB788" t="s">
        <v>191</v>
      </c>
      <c r="BC788" t="s">
        <v>182</v>
      </c>
      <c r="BD788" t="s">
        <v>182</v>
      </c>
      <c r="BE788" t="s">
        <v>8062</v>
      </c>
      <c r="BF788">
        <v>1</v>
      </c>
      <c r="BG788">
        <v>1</v>
      </c>
      <c r="BH788">
        <v>1979</v>
      </c>
      <c r="BI788" t="s">
        <v>6645</v>
      </c>
      <c r="BJ788" t="s">
        <v>194</v>
      </c>
      <c r="BK788" t="s">
        <v>195</v>
      </c>
      <c r="BL788" t="s">
        <v>199</v>
      </c>
      <c r="BM788" t="s">
        <v>358</v>
      </c>
      <c r="BN788" t="s">
        <v>182</v>
      </c>
      <c r="BO788" t="s">
        <v>198</v>
      </c>
      <c r="BP788" t="s">
        <v>198</v>
      </c>
      <c r="BQ788" t="s">
        <v>198</v>
      </c>
      <c r="BR788" t="s">
        <v>198</v>
      </c>
      <c r="BS788" t="s">
        <v>198</v>
      </c>
      <c r="BT788" t="s">
        <v>198</v>
      </c>
      <c r="BU788" t="s">
        <v>182</v>
      </c>
      <c r="BV788" t="s">
        <v>198</v>
      </c>
      <c r="BW788" t="s">
        <v>198</v>
      </c>
      <c r="BX788" t="s">
        <v>199</v>
      </c>
      <c r="BY788" t="s">
        <v>198</v>
      </c>
      <c r="BZ788" t="s">
        <v>199</v>
      </c>
      <c r="CA788" t="s">
        <v>199</v>
      </c>
      <c r="CB788" t="s">
        <v>10929</v>
      </c>
      <c r="CC788" t="s">
        <v>201</v>
      </c>
      <c r="CD788" t="s">
        <v>202</v>
      </c>
      <c r="CE788" t="s">
        <v>3724</v>
      </c>
      <c r="CF788" t="s">
        <v>1029</v>
      </c>
      <c r="CG788" t="s">
        <v>177</v>
      </c>
      <c r="CH788" t="s">
        <v>1030</v>
      </c>
      <c r="CI788" t="s">
        <v>10930</v>
      </c>
      <c r="CJ788" t="s">
        <v>7483</v>
      </c>
      <c r="CK788" t="s">
        <v>232</v>
      </c>
      <c r="CL788" t="s">
        <v>233</v>
      </c>
      <c r="CM788" t="s">
        <v>10931</v>
      </c>
      <c r="CN788" t="s">
        <v>235</v>
      </c>
      <c r="CO788" t="s">
        <v>183</v>
      </c>
      <c r="CP788" t="s">
        <v>211</v>
      </c>
      <c r="CQ788" t="s">
        <v>270</v>
      </c>
      <c r="CS788" t="s">
        <v>10932</v>
      </c>
      <c r="CT788" t="s">
        <v>4723</v>
      </c>
      <c r="CU788" t="s">
        <v>292</v>
      </c>
      <c r="CV788" t="s">
        <v>293</v>
      </c>
      <c r="CW788" t="s">
        <v>10933</v>
      </c>
      <c r="CX788" t="s">
        <v>235</v>
      </c>
      <c r="CY788" t="s">
        <v>183</v>
      </c>
      <c r="CZ788" t="s">
        <v>211</v>
      </c>
      <c r="DA788" t="s">
        <v>270</v>
      </c>
      <c r="DC788" t="s">
        <v>10934</v>
      </c>
      <c r="DD788" t="s">
        <v>7937</v>
      </c>
      <c r="DE788" t="s">
        <v>267</v>
      </c>
      <c r="DF788" t="s">
        <v>268</v>
      </c>
      <c r="DG788" t="s">
        <v>10935</v>
      </c>
      <c r="DH788" t="s">
        <v>235</v>
      </c>
      <c r="DI788" t="s">
        <v>183</v>
      </c>
      <c r="DJ788" t="s">
        <v>211</v>
      </c>
      <c r="DK788" t="s">
        <v>212</v>
      </c>
      <c r="DM788" t="s">
        <v>10936</v>
      </c>
      <c r="DN788" t="s">
        <v>10468</v>
      </c>
      <c r="DO788" t="s">
        <v>273</v>
      </c>
      <c r="DP788" t="s">
        <v>274</v>
      </c>
      <c r="DQ788" t="s">
        <v>10937</v>
      </c>
      <c r="DR788" t="s">
        <v>235</v>
      </c>
      <c r="DS788" t="s">
        <v>183</v>
      </c>
      <c r="DT788" t="s">
        <v>211</v>
      </c>
      <c r="DU788" t="s">
        <v>212</v>
      </c>
      <c r="DW788" t="s">
        <v>6247</v>
      </c>
      <c r="DX788" t="s">
        <v>8272</v>
      </c>
      <c r="DY788" t="s">
        <v>302</v>
      </c>
      <c r="DZ788" t="s">
        <v>303</v>
      </c>
      <c r="EA788" t="s">
        <v>10938</v>
      </c>
      <c r="EB788" t="s">
        <v>235</v>
      </c>
      <c r="EC788" t="s">
        <v>183</v>
      </c>
      <c r="ED788" t="s">
        <v>211</v>
      </c>
      <c r="EE788" t="s">
        <v>264</v>
      </c>
      <c r="EG788" t="s">
        <v>10939</v>
      </c>
      <c r="EH788" t="s">
        <v>10940</v>
      </c>
      <c r="EI788" t="s">
        <v>346</v>
      </c>
      <c r="EJ788" t="s">
        <v>347</v>
      </c>
      <c r="EK788" t="s">
        <v>10941</v>
      </c>
      <c r="EL788" t="s">
        <v>278</v>
      </c>
      <c r="EM788" t="s">
        <v>183</v>
      </c>
      <c r="EN788" t="s">
        <v>211</v>
      </c>
      <c r="EO788" t="s">
        <v>250</v>
      </c>
      <c r="EQ788" t="s">
        <v>6123</v>
      </c>
      <c r="ER788" t="s">
        <v>10942</v>
      </c>
      <c r="ES788" t="s">
        <v>207</v>
      </c>
      <c r="ET788" t="s">
        <v>208</v>
      </c>
      <c r="EU788" t="s">
        <v>10943</v>
      </c>
      <c r="EV788" t="s">
        <v>391</v>
      </c>
      <c r="EW788" t="s">
        <v>183</v>
      </c>
      <c r="EX788" t="s">
        <v>211</v>
      </c>
      <c r="EY788" t="s">
        <v>206</v>
      </c>
      <c r="FA788" t="s">
        <v>573</v>
      </c>
      <c r="FK788" t="s">
        <v>198</v>
      </c>
      <c r="FU788" t="s">
        <v>198</v>
      </c>
    </row>
    <row r="789" spans="1:177">
      <c r="A789" s="1" t="str">
        <f>HYPERLINK("http://digipan.lumentumllc.com/apps/getLink/index.php?t=PropLink&amp;p=15747885","PL")</f>
        <v>PL</v>
      </c>
      <c r="B789" s="1" t="str">
        <f>HYPERLINK("http://digipan.lumentumllc.com/apps/getLink/index.php?t=TaxLink&amp;p=15747885","TL")</f>
        <v>TL</v>
      </c>
      <c r="C789" s="1" t="str">
        <f>HYPERLINK("http://digipan.lumentumllc.com/apps/getMap/index.php?p=15747885","Map")</f>
        <v>Map</v>
      </c>
      <c r="E789" t="s">
        <v>177</v>
      </c>
      <c r="F789" t="s">
        <v>178</v>
      </c>
      <c r="L789" t="s">
        <v>10944</v>
      </c>
      <c r="N789" t="s">
        <v>10944</v>
      </c>
      <c r="O789" t="s">
        <v>10944</v>
      </c>
      <c r="Q789" t="s">
        <v>10944</v>
      </c>
      <c r="V789">
        <v>919</v>
      </c>
      <c r="W789">
        <v>3</v>
      </c>
      <c r="X789">
        <v>2017</v>
      </c>
      <c r="Y789">
        <v>2018</v>
      </c>
      <c r="Z789">
        <v>1219.24</v>
      </c>
      <c r="AB789" t="s">
        <v>181</v>
      </c>
      <c r="AC789" t="s">
        <v>182</v>
      </c>
      <c r="AD789" t="s">
        <v>183</v>
      </c>
      <c r="AE789">
        <v>1</v>
      </c>
      <c r="AF789">
        <v>0</v>
      </c>
      <c r="AG789" t="s">
        <v>1200</v>
      </c>
      <c r="AH789">
        <v>0</v>
      </c>
      <c r="AI789">
        <v>1230.8699999999999</v>
      </c>
      <c r="AJ789">
        <v>61.54</v>
      </c>
      <c r="AK789">
        <v>1292.4100000000001</v>
      </c>
      <c r="AL789">
        <v>72514</v>
      </c>
      <c r="AM789">
        <v>64320</v>
      </c>
      <c r="AN789">
        <v>8194</v>
      </c>
      <c r="AO789">
        <v>1113</v>
      </c>
      <c r="AP789">
        <v>2016</v>
      </c>
      <c r="AQ789">
        <v>1.68</v>
      </c>
      <c r="AR789">
        <v>1.78</v>
      </c>
      <c r="AS789" t="s">
        <v>10945</v>
      </c>
      <c r="AT789" t="s">
        <v>3747</v>
      </c>
      <c r="AU789" t="s">
        <v>177</v>
      </c>
      <c r="AV789" t="s">
        <v>1030</v>
      </c>
      <c r="AW789" t="s">
        <v>182</v>
      </c>
      <c r="AX789">
        <v>2</v>
      </c>
      <c r="AY789" t="s">
        <v>188</v>
      </c>
      <c r="AZ789" t="s">
        <v>189</v>
      </c>
      <c r="BA789" t="s">
        <v>190</v>
      </c>
      <c r="BB789" t="s">
        <v>191</v>
      </c>
      <c r="BC789" t="s">
        <v>182</v>
      </c>
      <c r="BD789" t="s">
        <v>182</v>
      </c>
      <c r="BE789" t="s">
        <v>10946</v>
      </c>
      <c r="BF789">
        <v>1</v>
      </c>
      <c r="BG789">
        <v>1</v>
      </c>
      <c r="BH789">
        <v>1970</v>
      </c>
      <c r="BI789" t="s">
        <v>8088</v>
      </c>
      <c r="BJ789" t="s">
        <v>194</v>
      </c>
      <c r="BK789" t="s">
        <v>195</v>
      </c>
      <c r="BL789" t="s">
        <v>199</v>
      </c>
      <c r="BM789" t="s">
        <v>1156</v>
      </c>
      <c r="BN789" t="s">
        <v>182</v>
      </c>
      <c r="BO789" t="s">
        <v>198</v>
      </c>
      <c r="BP789" t="s">
        <v>198</v>
      </c>
      <c r="BQ789" t="s">
        <v>198</v>
      </c>
      <c r="BR789" t="s">
        <v>198</v>
      </c>
      <c r="BS789" t="s">
        <v>198</v>
      </c>
      <c r="BT789" t="s">
        <v>198</v>
      </c>
      <c r="BU789" t="s">
        <v>182</v>
      </c>
      <c r="BV789" t="s">
        <v>198</v>
      </c>
      <c r="BW789" t="s">
        <v>198</v>
      </c>
      <c r="BX789" t="s">
        <v>199</v>
      </c>
      <c r="BY789" t="s">
        <v>198</v>
      </c>
      <c r="BZ789" t="s">
        <v>199</v>
      </c>
      <c r="CA789" t="s">
        <v>199</v>
      </c>
      <c r="CB789" t="s">
        <v>10947</v>
      </c>
      <c r="CC789" t="s">
        <v>201</v>
      </c>
      <c r="CD789" t="s">
        <v>182</v>
      </c>
      <c r="CE789" t="s">
        <v>10948</v>
      </c>
      <c r="CF789" t="s">
        <v>1029</v>
      </c>
      <c r="CG789" t="s">
        <v>177</v>
      </c>
      <c r="CH789" t="s">
        <v>1030</v>
      </c>
      <c r="CI789" t="s">
        <v>5475</v>
      </c>
      <c r="CJ789" t="s">
        <v>7506</v>
      </c>
      <c r="CK789" t="s">
        <v>232</v>
      </c>
      <c r="CL789" t="s">
        <v>233</v>
      </c>
      <c r="CM789" t="s">
        <v>10949</v>
      </c>
      <c r="CN789" t="s">
        <v>235</v>
      </c>
      <c r="CO789" t="s">
        <v>183</v>
      </c>
      <c r="CP789" t="s">
        <v>266</v>
      </c>
      <c r="CS789" t="s">
        <v>198</v>
      </c>
      <c r="DC789" t="s">
        <v>198</v>
      </c>
      <c r="DM789" t="s">
        <v>198</v>
      </c>
      <c r="DW789" t="s">
        <v>198</v>
      </c>
      <c r="EG789" t="s">
        <v>198</v>
      </c>
      <c r="EQ789" t="s">
        <v>198</v>
      </c>
      <c r="FA789" t="s">
        <v>198</v>
      </c>
      <c r="FK789" t="s">
        <v>198</v>
      </c>
      <c r="FU789" t="s">
        <v>198</v>
      </c>
    </row>
    <row r="790" spans="1:177">
      <c r="A790" s="1" t="str">
        <f>HYPERLINK("http://digipan.lumentumllc.com/apps/getLink/index.php?t=PropLink&amp;p=5246274","PL")</f>
        <v>PL</v>
      </c>
      <c r="B790" s="1" t="str">
        <f>HYPERLINK("http://digipan.lumentumllc.com/apps/getLink/index.php?t=TaxLink&amp;p=5246274","TL")</f>
        <v>TL</v>
      </c>
      <c r="C790" s="1" t="str">
        <f>HYPERLINK("http://digipan.lumentumllc.com/apps/getMap/index.php?p=5246274","Map")</f>
        <v>Map</v>
      </c>
      <c r="E790" t="s">
        <v>177</v>
      </c>
      <c r="F790" t="s">
        <v>178</v>
      </c>
      <c r="L790" t="s">
        <v>10950</v>
      </c>
      <c r="N790" t="s">
        <v>10950</v>
      </c>
      <c r="O790" t="s">
        <v>10950</v>
      </c>
      <c r="P790" t="s">
        <v>10951</v>
      </c>
      <c r="Q790" t="s">
        <v>10950</v>
      </c>
      <c r="V790">
        <v>920</v>
      </c>
      <c r="W790">
        <v>3</v>
      </c>
      <c r="X790">
        <v>2017</v>
      </c>
      <c r="Y790">
        <v>2018</v>
      </c>
      <c r="Z790">
        <v>713.05</v>
      </c>
      <c r="AB790" t="s">
        <v>181</v>
      </c>
      <c r="AC790" t="s">
        <v>202</v>
      </c>
      <c r="AD790" t="s">
        <v>183</v>
      </c>
      <c r="AE790">
        <v>1</v>
      </c>
      <c r="AF790">
        <v>4</v>
      </c>
      <c r="AG790" t="s">
        <v>951</v>
      </c>
      <c r="AH790">
        <v>80</v>
      </c>
      <c r="AI790">
        <v>713.1</v>
      </c>
      <c r="AJ790">
        <v>35.659999999999997</v>
      </c>
      <c r="AK790">
        <v>748.76</v>
      </c>
      <c r="AL790">
        <v>63026</v>
      </c>
      <c r="AM790">
        <v>24000</v>
      </c>
      <c r="AN790">
        <v>39026</v>
      </c>
      <c r="AO790">
        <v>634</v>
      </c>
      <c r="AP790">
        <v>2016</v>
      </c>
      <c r="AQ790">
        <v>1.1299999999999999</v>
      </c>
      <c r="AR790">
        <v>1.19</v>
      </c>
      <c r="AS790" t="s">
        <v>10952</v>
      </c>
      <c r="AT790" t="s">
        <v>3747</v>
      </c>
      <c r="AU790" t="s">
        <v>177</v>
      </c>
      <c r="AV790" t="s">
        <v>1030</v>
      </c>
      <c r="AW790" t="s">
        <v>202</v>
      </c>
      <c r="AX790">
        <v>1</v>
      </c>
      <c r="AY790" t="s">
        <v>188</v>
      </c>
      <c r="AZ790" t="s">
        <v>206</v>
      </c>
      <c r="BA790" t="s">
        <v>355</v>
      </c>
      <c r="BB790" t="s">
        <v>191</v>
      </c>
      <c r="BC790" t="s">
        <v>182</v>
      </c>
      <c r="BD790" t="s">
        <v>182</v>
      </c>
      <c r="BE790" t="s">
        <v>796</v>
      </c>
      <c r="BF790">
        <v>2</v>
      </c>
      <c r="BG790">
        <v>2</v>
      </c>
      <c r="BH790">
        <v>1971</v>
      </c>
      <c r="BI790" t="s">
        <v>10953</v>
      </c>
      <c r="BJ790" t="s">
        <v>194</v>
      </c>
      <c r="BK790" t="s">
        <v>195</v>
      </c>
      <c r="BL790" t="s">
        <v>199</v>
      </c>
      <c r="BM790" t="s">
        <v>286</v>
      </c>
      <c r="BN790" t="s">
        <v>182</v>
      </c>
      <c r="BO790" t="s">
        <v>198</v>
      </c>
      <c r="BP790" t="s">
        <v>198</v>
      </c>
      <c r="BQ790" t="s">
        <v>198</v>
      </c>
      <c r="BR790" t="s">
        <v>198</v>
      </c>
      <c r="BS790" t="s">
        <v>198</v>
      </c>
      <c r="BT790" t="s">
        <v>198</v>
      </c>
      <c r="BU790" t="s">
        <v>182</v>
      </c>
      <c r="BV790" t="s">
        <v>198</v>
      </c>
      <c r="BW790" t="s">
        <v>198</v>
      </c>
      <c r="BX790" t="s">
        <v>199</v>
      </c>
      <c r="BY790" t="s">
        <v>198</v>
      </c>
      <c r="BZ790" t="s">
        <v>199</v>
      </c>
      <c r="CA790" t="s">
        <v>199</v>
      </c>
      <c r="CB790" t="s">
        <v>10954</v>
      </c>
      <c r="CC790" t="s">
        <v>201</v>
      </c>
      <c r="CD790" t="s">
        <v>202</v>
      </c>
      <c r="CE790" t="s">
        <v>10955</v>
      </c>
      <c r="CF790" t="s">
        <v>1029</v>
      </c>
      <c r="CG790" t="s">
        <v>177</v>
      </c>
      <c r="CH790" t="s">
        <v>1030</v>
      </c>
      <c r="CI790" t="s">
        <v>10956</v>
      </c>
      <c r="CJ790" t="s">
        <v>7530</v>
      </c>
      <c r="CK790" t="s">
        <v>232</v>
      </c>
      <c r="CL790" t="s">
        <v>233</v>
      </c>
      <c r="CM790" t="s">
        <v>10957</v>
      </c>
      <c r="CN790" t="s">
        <v>235</v>
      </c>
      <c r="CO790" t="s">
        <v>183</v>
      </c>
      <c r="CP790" t="s">
        <v>266</v>
      </c>
      <c r="CS790" t="s">
        <v>198</v>
      </c>
      <c r="CT790" t="s">
        <v>10302</v>
      </c>
      <c r="CU790" t="s">
        <v>267</v>
      </c>
      <c r="CV790" t="s">
        <v>268</v>
      </c>
      <c r="CW790" t="s">
        <v>10958</v>
      </c>
      <c r="CX790" t="s">
        <v>235</v>
      </c>
      <c r="CY790" t="s">
        <v>183</v>
      </c>
      <c r="CZ790" t="s">
        <v>211</v>
      </c>
      <c r="DA790" t="s">
        <v>270</v>
      </c>
      <c r="DB790" t="s">
        <v>271</v>
      </c>
      <c r="DC790" t="s">
        <v>3650</v>
      </c>
      <c r="DD790" t="s">
        <v>7858</v>
      </c>
      <c r="DE790" t="s">
        <v>273</v>
      </c>
      <c r="DF790" t="s">
        <v>274</v>
      </c>
      <c r="DG790" t="s">
        <v>10959</v>
      </c>
      <c r="DH790" t="s">
        <v>235</v>
      </c>
      <c r="DI790" t="s">
        <v>183</v>
      </c>
      <c r="DJ790" t="s">
        <v>211</v>
      </c>
      <c r="DL790" t="s">
        <v>271</v>
      </c>
      <c r="DM790" t="s">
        <v>198</v>
      </c>
      <c r="DN790" t="s">
        <v>2880</v>
      </c>
      <c r="DO790" t="s">
        <v>238</v>
      </c>
      <c r="DP790" t="s">
        <v>239</v>
      </c>
      <c r="DQ790" t="s">
        <v>10960</v>
      </c>
      <c r="DR790" t="s">
        <v>235</v>
      </c>
      <c r="DS790" t="s">
        <v>183</v>
      </c>
      <c r="DT790" t="s">
        <v>211</v>
      </c>
      <c r="DU790" t="s">
        <v>212</v>
      </c>
      <c r="DV790" t="s">
        <v>271</v>
      </c>
      <c r="DW790" t="s">
        <v>970</v>
      </c>
      <c r="DX790" t="s">
        <v>10961</v>
      </c>
      <c r="DY790" t="s">
        <v>346</v>
      </c>
      <c r="DZ790" t="s">
        <v>347</v>
      </c>
      <c r="EA790" t="s">
        <v>10962</v>
      </c>
      <c r="EB790" t="s">
        <v>436</v>
      </c>
      <c r="EC790" t="s">
        <v>183</v>
      </c>
      <c r="ED790" t="s">
        <v>211</v>
      </c>
      <c r="EF790" t="s">
        <v>271</v>
      </c>
      <c r="EG790" t="s">
        <v>198</v>
      </c>
      <c r="EQ790" t="s">
        <v>198</v>
      </c>
      <c r="FA790" t="s">
        <v>198</v>
      </c>
      <c r="FK790" t="s">
        <v>198</v>
      </c>
      <c r="FU790" t="s">
        <v>198</v>
      </c>
    </row>
    <row r="791" spans="1:177">
      <c r="A791" s="1" t="str">
        <f>HYPERLINK("http://digipan.lumentumllc.com/apps/getLink/index.php?t=PropLink&amp;p=15747897","PL")</f>
        <v>PL</v>
      </c>
      <c r="B791" s="1" t="str">
        <f>HYPERLINK("http://digipan.lumentumllc.com/apps/getLink/index.php?t=TaxLink&amp;p=15747897","TL")</f>
        <v>TL</v>
      </c>
      <c r="C791" s="1" t="str">
        <f>HYPERLINK("http://digipan.lumentumllc.com/apps/getMap/index.php?p=15747897","Map")</f>
        <v>Map</v>
      </c>
      <c r="E791" t="s">
        <v>177</v>
      </c>
      <c r="F791" t="s">
        <v>178</v>
      </c>
      <c r="L791" t="s">
        <v>10963</v>
      </c>
      <c r="N791" t="s">
        <v>10963</v>
      </c>
      <c r="O791" t="s">
        <v>10963</v>
      </c>
      <c r="Q791" t="s">
        <v>10963</v>
      </c>
      <c r="V791">
        <v>921</v>
      </c>
      <c r="W791">
        <v>3</v>
      </c>
      <c r="X791">
        <v>2017</v>
      </c>
      <c r="Y791">
        <v>2018</v>
      </c>
      <c r="Z791">
        <v>424.95</v>
      </c>
      <c r="AG791" t="s">
        <v>184</v>
      </c>
      <c r="AH791">
        <v>0</v>
      </c>
      <c r="AK791">
        <v>0</v>
      </c>
      <c r="AL791">
        <v>24000</v>
      </c>
      <c r="AM791">
        <v>24000</v>
      </c>
      <c r="AN791">
        <v>0</v>
      </c>
      <c r="AO791">
        <v>368</v>
      </c>
      <c r="AP791">
        <v>2016</v>
      </c>
      <c r="AQ791">
        <v>1.77</v>
      </c>
      <c r="AS791" t="s">
        <v>5071</v>
      </c>
      <c r="AT791" t="s">
        <v>3747</v>
      </c>
      <c r="AU791" t="s">
        <v>177</v>
      </c>
      <c r="AV791" t="s">
        <v>1030</v>
      </c>
      <c r="AW791" t="s">
        <v>182</v>
      </c>
      <c r="AX791">
        <v>0</v>
      </c>
      <c r="AY791" t="s">
        <v>312</v>
      </c>
      <c r="AZ791" t="s">
        <v>199</v>
      </c>
      <c r="BA791" t="s">
        <v>313</v>
      </c>
      <c r="BB791" t="s">
        <v>191</v>
      </c>
      <c r="BC791" t="s">
        <v>182</v>
      </c>
      <c r="BD791" t="s">
        <v>182</v>
      </c>
      <c r="BE791" t="s">
        <v>796</v>
      </c>
      <c r="BF791">
        <v>0</v>
      </c>
      <c r="BG791">
        <v>0</v>
      </c>
      <c r="BH791">
        <v>0</v>
      </c>
      <c r="BI791" t="s">
        <v>199</v>
      </c>
      <c r="BJ791" t="s">
        <v>315</v>
      </c>
      <c r="BL791" t="s">
        <v>199</v>
      </c>
      <c r="BM791" t="s">
        <v>930</v>
      </c>
      <c r="BN791" t="s">
        <v>182</v>
      </c>
      <c r="BO791" t="s">
        <v>198</v>
      </c>
      <c r="BP791" t="s">
        <v>198</v>
      </c>
      <c r="BQ791" t="s">
        <v>198</v>
      </c>
      <c r="BR791" t="s">
        <v>198</v>
      </c>
      <c r="BS791" t="s">
        <v>198</v>
      </c>
      <c r="BT791" t="s">
        <v>198</v>
      </c>
      <c r="BU791" t="s">
        <v>182</v>
      </c>
      <c r="BV791" t="s">
        <v>198</v>
      </c>
      <c r="BW791" t="s">
        <v>198</v>
      </c>
      <c r="BX791" t="s">
        <v>199</v>
      </c>
      <c r="BY791" t="s">
        <v>198</v>
      </c>
      <c r="BZ791" t="s">
        <v>199</v>
      </c>
      <c r="CA791" t="s">
        <v>199</v>
      </c>
      <c r="CB791" t="s">
        <v>10964</v>
      </c>
      <c r="CC791" t="s">
        <v>1407</v>
      </c>
      <c r="CD791" t="s">
        <v>202</v>
      </c>
      <c r="CE791" t="s">
        <v>10965</v>
      </c>
      <c r="CF791" t="s">
        <v>5305</v>
      </c>
      <c r="CG791" t="s">
        <v>1602</v>
      </c>
      <c r="CH791" t="s">
        <v>5306</v>
      </c>
      <c r="CI791" t="s">
        <v>10966</v>
      </c>
      <c r="CS791" t="s">
        <v>198</v>
      </c>
      <c r="DC791" t="s">
        <v>198</v>
      </c>
      <c r="DM791" t="s">
        <v>198</v>
      </c>
      <c r="DW791" t="s">
        <v>198</v>
      </c>
      <c r="EG791" t="s">
        <v>198</v>
      </c>
      <c r="EQ791" t="s">
        <v>198</v>
      </c>
      <c r="FA791" t="s">
        <v>198</v>
      </c>
      <c r="FK791" t="s">
        <v>198</v>
      </c>
      <c r="FU791" t="s">
        <v>198</v>
      </c>
    </row>
    <row r="792" spans="1:177">
      <c r="A792" s="1" t="str">
        <f>HYPERLINK("http://digipan.lumentumllc.com/apps/getLink/index.php?t=PropLink&amp;p=15747902","PL")</f>
        <v>PL</v>
      </c>
      <c r="B792" s="1" t="str">
        <f>HYPERLINK("http://digipan.lumentumllc.com/apps/getLink/index.php?t=TaxLink&amp;p=15747902","TL")</f>
        <v>TL</v>
      </c>
      <c r="C792" s="1" t="str">
        <f>HYPERLINK("http://digipan.lumentumllc.com/apps/getMap/index.php?p=15747902","Map")</f>
        <v>Map</v>
      </c>
      <c r="E792" t="s">
        <v>177</v>
      </c>
      <c r="F792" t="s">
        <v>178</v>
      </c>
      <c r="L792" t="s">
        <v>10967</v>
      </c>
      <c r="N792" t="s">
        <v>10967</v>
      </c>
      <c r="O792" t="s">
        <v>10967</v>
      </c>
      <c r="Q792" t="s">
        <v>10967</v>
      </c>
      <c r="V792">
        <v>922</v>
      </c>
      <c r="W792">
        <v>3</v>
      </c>
      <c r="X792">
        <v>2017</v>
      </c>
      <c r="Y792">
        <v>2018</v>
      </c>
      <c r="Z792">
        <v>252.95</v>
      </c>
      <c r="AG792" t="s">
        <v>184</v>
      </c>
      <c r="AH792">
        <v>0</v>
      </c>
      <c r="AK792">
        <v>0</v>
      </c>
      <c r="AL792">
        <v>14475</v>
      </c>
      <c r="AM792">
        <v>14475</v>
      </c>
      <c r="AN792">
        <v>0</v>
      </c>
      <c r="AO792">
        <v>178</v>
      </c>
      <c r="AP792">
        <v>2016</v>
      </c>
      <c r="AQ792">
        <v>1.75</v>
      </c>
      <c r="AS792" t="s">
        <v>10968</v>
      </c>
      <c r="AT792" t="s">
        <v>3747</v>
      </c>
      <c r="AU792" t="s">
        <v>177</v>
      </c>
      <c r="AV792" t="s">
        <v>1030</v>
      </c>
      <c r="AW792" t="s">
        <v>182</v>
      </c>
      <c r="AX792">
        <v>0</v>
      </c>
      <c r="AY792" t="s">
        <v>312</v>
      </c>
      <c r="AZ792" t="s">
        <v>199</v>
      </c>
      <c r="BA792" t="s">
        <v>313</v>
      </c>
      <c r="BB792" t="s">
        <v>191</v>
      </c>
      <c r="BC792" t="s">
        <v>182</v>
      </c>
      <c r="BD792" t="s">
        <v>182</v>
      </c>
      <c r="BE792" t="s">
        <v>10969</v>
      </c>
      <c r="BF792">
        <v>0</v>
      </c>
      <c r="BG792">
        <v>0</v>
      </c>
      <c r="BH792">
        <v>0</v>
      </c>
      <c r="BI792" t="s">
        <v>199</v>
      </c>
      <c r="BJ792" t="s">
        <v>315</v>
      </c>
      <c r="BL792" t="s">
        <v>199</v>
      </c>
      <c r="BM792" t="s">
        <v>945</v>
      </c>
      <c r="BN792" t="s">
        <v>182</v>
      </c>
      <c r="BO792" t="s">
        <v>198</v>
      </c>
      <c r="BP792" t="s">
        <v>198</v>
      </c>
      <c r="BQ792" t="s">
        <v>198</v>
      </c>
      <c r="BR792" t="s">
        <v>198</v>
      </c>
      <c r="BS792" t="s">
        <v>198</v>
      </c>
      <c r="BT792" t="s">
        <v>198</v>
      </c>
      <c r="BU792" t="s">
        <v>182</v>
      </c>
      <c r="BV792" t="s">
        <v>198</v>
      </c>
      <c r="BW792" t="s">
        <v>198</v>
      </c>
      <c r="BX792" t="s">
        <v>199</v>
      </c>
      <c r="BY792" t="s">
        <v>198</v>
      </c>
      <c r="BZ792" t="s">
        <v>199</v>
      </c>
      <c r="CA792" t="s">
        <v>199</v>
      </c>
      <c r="CB792" t="s">
        <v>5303</v>
      </c>
      <c r="CC792" t="s">
        <v>201</v>
      </c>
      <c r="CD792" t="s">
        <v>202</v>
      </c>
      <c r="CE792" t="s">
        <v>5304</v>
      </c>
      <c r="CF792" t="s">
        <v>5305</v>
      </c>
      <c r="CG792" t="s">
        <v>1602</v>
      </c>
      <c r="CH792" t="s">
        <v>5306</v>
      </c>
      <c r="CI792" t="s">
        <v>3563</v>
      </c>
      <c r="CS792" t="s">
        <v>198</v>
      </c>
      <c r="DC792" t="s">
        <v>198</v>
      </c>
      <c r="DM792" t="s">
        <v>198</v>
      </c>
      <c r="DW792" t="s">
        <v>198</v>
      </c>
      <c r="EG792" t="s">
        <v>198</v>
      </c>
      <c r="EQ792" t="s">
        <v>198</v>
      </c>
      <c r="FA792" t="s">
        <v>198</v>
      </c>
      <c r="FK792" t="s">
        <v>198</v>
      </c>
      <c r="FU792" t="s">
        <v>198</v>
      </c>
    </row>
    <row r="793" spans="1:177">
      <c r="A793" s="1" t="str">
        <f>HYPERLINK("http://digipan.lumentumllc.com/apps/getLink/index.php?t=PropLink&amp;p=6886725","PL")</f>
        <v>PL</v>
      </c>
      <c r="B793" s="1" t="str">
        <f>HYPERLINK("http://digipan.lumentumllc.com/apps/getLink/index.php?t=TaxLink&amp;p=6886725","TL")</f>
        <v>TL</v>
      </c>
      <c r="C793" s="1" t="str">
        <f>HYPERLINK("http://digipan.lumentumllc.com/apps/getMap/index.php?p=6886725","Map")</f>
        <v>Map</v>
      </c>
      <c r="E793" t="s">
        <v>177</v>
      </c>
      <c r="F793" t="s">
        <v>178</v>
      </c>
      <c r="L793" t="s">
        <v>10970</v>
      </c>
      <c r="N793" t="s">
        <v>10970</v>
      </c>
      <c r="O793" t="s">
        <v>10970</v>
      </c>
      <c r="P793" t="s">
        <v>10971</v>
      </c>
      <c r="Q793" t="s">
        <v>10970</v>
      </c>
      <c r="V793">
        <v>923</v>
      </c>
      <c r="W793">
        <v>3</v>
      </c>
      <c r="X793">
        <v>2017</v>
      </c>
      <c r="Y793">
        <v>2018</v>
      </c>
      <c r="Z793">
        <v>1277.44</v>
      </c>
      <c r="AB793" t="s">
        <v>181</v>
      </c>
      <c r="AC793" t="s">
        <v>182</v>
      </c>
      <c r="AD793" t="s">
        <v>183</v>
      </c>
      <c r="AE793">
        <v>0</v>
      </c>
      <c r="AF793">
        <v>3</v>
      </c>
      <c r="AG793" t="s">
        <v>381</v>
      </c>
      <c r="AH793">
        <v>100</v>
      </c>
      <c r="AK793">
        <v>0</v>
      </c>
      <c r="AL793">
        <v>76068</v>
      </c>
      <c r="AM793">
        <v>15000</v>
      </c>
      <c r="AN793">
        <v>61068</v>
      </c>
      <c r="AO793">
        <v>1125</v>
      </c>
      <c r="AP793">
        <v>2016</v>
      </c>
      <c r="AQ793">
        <v>1.68</v>
      </c>
      <c r="AS793" t="s">
        <v>10972</v>
      </c>
      <c r="AT793" t="s">
        <v>3747</v>
      </c>
      <c r="AU793" t="s">
        <v>177</v>
      </c>
      <c r="AV793" t="s">
        <v>1030</v>
      </c>
      <c r="AW793" t="s">
        <v>182</v>
      </c>
      <c r="AX793">
        <v>1</v>
      </c>
      <c r="AY793" t="s">
        <v>188</v>
      </c>
      <c r="AZ793" t="s">
        <v>206</v>
      </c>
      <c r="BA793" t="s">
        <v>355</v>
      </c>
      <c r="BB793" t="s">
        <v>191</v>
      </c>
      <c r="BC793" t="s">
        <v>182</v>
      </c>
      <c r="BD793" t="s">
        <v>182</v>
      </c>
      <c r="BE793" t="s">
        <v>6156</v>
      </c>
      <c r="BF793">
        <v>1</v>
      </c>
      <c r="BG793">
        <v>1</v>
      </c>
      <c r="BH793">
        <v>1970</v>
      </c>
      <c r="BI793" t="s">
        <v>10973</v>
      </c>
      <c r="BJ793" t="s">
        <v>194</v>
      </c>
      <c r="BK793" t="s">
        <v>195</v>
      </c>
      <c r="BL793" t="s">
        <v>199</v>
      </c>
      <c r="BM793" t="s">
        <v>292</v>
      </c>
      <c r="BN793" t="s">
        <v>182</v>
      </c>
      <c r="BO793" t="s">
        <v>198</v>
      </c>
      <c r="BP793" t="s">
        <v>198</v>
      </c>
      <c r="BQ793" t="s">
        <v>198</v>
      </c>
      <c r="BR793" t="s">
        <v>198</v>
      </c>
      <c r="BS793" t="s">
        <v>198</v>
      </c>
      <c r="BT793" t="s">
        <v>198</v>
      </c>
      <c r="BU793" t="s">
        <v>182</v>
      </c>
      <c r="BV793" t="s">
        <v>198</v>
      </c>
      <c r="BW793" t="s">
        <v>198</v>
      </c>
      <c r="BX793" t="s">
        <v>199</v>
      </c>
      <c r="BY793" t="s">
        <v>198</v>
      </c>
      <c r="BZ793" t="s">
        <v>199</v>
      </c>
      <c r="CA793" t="s">
        <v>199</v>
      </c>
      <c r="CB793" t="s">
        <v>10974</v>
      </c>
      <c r="CC793" t="s">
        <v>201</v>
      </c>
      <c r="CD793" t="s">
        <v>202</v>
      </c>
      <c r="CE793" t="s">
        <v>10975</v>
      </c>
      <c r="CF793" t="s">
        <v>1029</v>
      </c>
      <c r="CG793" t="s">
        <v>177</v>
      </c>
      <c r="CH793" t="s">
        <v>1030</v>
      </c>
      <c r="CI793" t="s">
        <v>10976</v>
      </c>
      <c r="CJ793" t="s">
        <v>7937</v>
      </c>
      <c r="CK793" t="s">
        <v>232</v>
      </c>
      <c r="CL793" t="s">
        <v>233</v>
      </c>
      <c r="CM793" t="s">
        <v>10977</v>
      </c>
      <c r="CN793" t="s">
        <v>235</v>
      </c>
      <c r="CO793" t="s">
        <v>183</v>
      </c>
      <c r="CP793" t="s">
        <v>211</v>
      </c>
      <c r="CQ793" t="s">
        <v>329</v>
      </c>
      <c r="CS793" t="s">
        <v>7451</v>
      </c>
      <c r="CT793" t="s">
        <v>7483</v>
      </c>
      <c r="CU793" t="s">
        <v>292</v>
      </c>
      <c r="CV793" t="s">
        <v>293</v>
      </c>
      <c r="CW793" t="s">
        <v>10978</v>
      </c>
      <c r="CX793" t="s">
        <v>235</v>
      </c>
      <c r="CY793" t="s">
        <v>183</v>
      </c>
      <c r="CZ793" t="s">
        <v>211</v>
      </c>
      <c r="DA793" t="s">
        <v>471</v>
      </c>
      <c r="DC793" t="s">
        <v>990</v>
      </c>
      <c r="DD793" t="s">
        <v>7696</v>
      </c>
      <c r="DE793" t="s">
        <v>267</v>
      </c>
      <c r="DF793" t="s">
        <v>268</v>
      </c>
      <c r="DG793" t="s">
        <v>10979</v>
      </c>
      <c r="DH793" t="s">
        <v>235</v>
      </c>
      <c r="DI793" t="s">
        <v>183</v>
      </c>
      <c r="DJ793" t="s">
        <v>211</v>
      </c>
      <c r="DK793" t="s">
        <v>342</v>
      </c>
      <c r="DM793" t="s">
        <v>7428</v>
      </c>
      <c r="DW793" t="s">
        <v>198</v>
      </c>
      <c r="EG793" t="s">
        <v>198</v>
      </c>
      <c r="EQ793" t="s">
        <v>198</v>
      </c>
      <c r="FA793" t="s">
        <v>198</v>
      </c>
      <c r="FK793" t="s">
        <v>198</v>
      </c>
      <c r="FU793" t="s">
        <v>198</v>
      </c>
    </row>
    <row r="794" spans="1:177">
      <c r="A794" s="1" t="str">
        <f>HYPERLINK("http://digipan.lumentumllc.com/apps/getLink/index.php?t=PropLink&amp;p=5246280","PL")</f>
        <v>PL</v>
      </c>
      <c r="B794" s="1" t="str">
        <f>HYPERLINK("http://digipan.lumentumllc.com/apps/getLink/index.php?t=TaxLink&amp;p=5246280","TL")</f>
        <v>TL</v>
      </c>
      <c r="C794" s="1" t="str">
        <f>HYPERLINK("http://digipan.lumentumllc.com/apps/getMap/index.php?p=5246280","Map")</f>
        <v>Map</v>
      </c>
      <c r="E794" t="s">
        <v>177</v>
      </c>
      <c r="F794" t="s">
        <v>178</v>
      </c>
      <c r="L794" t="s">
        <v>10980</v>
      </c>
      <c r="N794" t="s">
        <v>10980</v>
      </c>
      <c r="O794" t="s">
        <v>10980</v>
      </c>
      <c r="P794" t="s">
        <v>10981</v>
      </c>
      <c r="Q794" t="s">
        <v>10980</v>
      </c>
      <c r="V794">
        <v>924</v>
      </c>
      <c r="W794">
        <v>3</v>
      </c>
      <c r="X794">
        <v>2017</v>
      </c>
      <c r="Y794">
        <v>2018</v>
      </c>
      <c r="Z794">
        <v>817.89</v>
      </c>
      <c r="AB794" t="s">
        <v>181</v>
      </c>
      <c r="AC794" t="s">
        <v>202</v>
      </c>
      <c r="AD794" t="s">
        <v>183</v>
      </c>
      <c r="AE794">
        <v>1</v>
      </c>
      <c r="AF794">
        <v>6</v>
      </c>
      <c r="AG794" t="s">
        <v>418</v>
      </c>
      <c r="AH794">
        <v>86</v>
      </c>
      <c r="AI794">
        <v>823.91</v>
      </c>
      <c r="AJ794">
        <v>41.2</v>
      </c>
      <c r="AK794">
        <v>865.11</v>
      </c>
      <c r="AL794">
        <v>48000</v>
      </c>
      <c r="AM794">
        <v>48000</v>
      </c>
      <c r="AN794">
        <v>0</v>
      </c>
      <c r="AO794">
        <v>737</v>
      </c>
      <c r="AP794">
        <v>2016</v>
      </c>
      <c r="AQ794">
        <v>1.7</v>
      </c>
      <c r="AR794">
        <v>1.8</v>
      </c>
      <c r="AS794" t="s">
        <v>10968</v>
      </c>
      <c r="AT794" t="s">
        <v>3747</v>
      </c>
      <c r="AU794" t="s">
        <v>177</v>
      </c>
      <c r="AV794" t="s">
        <v>1030</v>
      </c>
      <c r="AW794" t="s">
        <v>182</v>
      </c>
      <c r="AX794">
        <v>0</v>
      </c>
      <c r="AY794" t="s">
        <v>312</v>
      </c>
      <c r="AZ794" t="s">
        <v>199</v>
      </c>
      <c r="BA794" t="s">
        <v>313</v>
      </c>
      <c r="BB794" t="s">
        <v>191</v>
      </c>
      <c r="BC794" t="s">
        <v>182</v>
      </c>
      <c r="BD794" t="s">
        <v>182</v>
      </c>
      <c r="BE794" t="s">
        <v>576</v>
      </c>
      <c r="BF794">
        <v>0</v>
      </c>
      <c r="BG794">
        <v>0</v>
      </c>
      <c r="BH794">
        <v>0</v>
      </c>
      <c r="BI794" t="s">
        <v>199</v>
      </c>
      <c r="BJ794" t="s">
        <v>315</v>
      </c>
      <c r="BL794" t="s">
        <v>199</v>
      </c>
      <c r="BM794" t="s">
        <v>232</v>
      </c>
      <c r="BN794" t="s">
        <v>182</v>
      </c>
      <c r="BO794" t="s">
        <v>198</v>
      </c>
      <c r="BP794" t="s">
        <v>198</v>
      </c>
      <c r="BQ794" t="s">
        <v>198</v>
      </c>
      <c r="BR794" t="s">
        <v>198</v>
      </c>
      <c r="BS794" t="s">
        <v>198</v>
      </c>
      <c r="BT794" t="s">
        <v>198</v>
      </c>
      <c r="BU794" t="s">
        <v>182</v>
      </c>
      <c r="BV794" t="s">
        <v>198</v>
      </c>
      <c r="BW794" t="s">
        <v>198</v>
      </c>
      <c r="BX794" t="s">
        <v>199</v>
      </c>
      <c r="BY794" t="s">
        <v>198</v>
      </c>
      <c r="BZ794" t="s">
        <v>199</v>
      </c>
      <c r="CA794" t="s">
        <v>199</v>
      </c>
      <c r="CB794" t="s">
        <v>6323</v>
      </c>
      <c r="CC794" t="s">
        <v>201</v>
      </c>
      <c r="CD794" t="s">
        <v>182</v>
      </c>
      <c r="CE794" t="s">
        <v>6324</v>
      </c>
      <c r="CF794" t="s">
        <v>6325</v>
      </c>
      <c r="CG794" t="s">
        <v>6326</v>
      </c>
      <c r="CH794" t="s">
        <v>6327</v>
      </c>
      <c r="CI794" t="s">
        <v>10982</v>
      </c>
      <c r="CJ794" t="s">
        <v>10302</v>
      </c>
      <c r="CK794" t="s">
        <v>232</v>
      </c>
      <c r="CL794" t="s">
        <v>233</v>
      </c>
      <c r="CM794" t="s">
        <v>10983</v>
      </c>
      <c r="CN794" t="s">
        <v>331</v>
      </c>
      <c r="CO794" t="s">
        <v>183</v>
      </c>
      <c r="CP794" t="s">
        <v>266</v>
      </c>
      <c r="CS794" t="s">
        <v>198</v>
      </c>
      <c r="CT794" t="s">
        <v>10984</v>
      </c>
      <c r="CU794" t="s">
        <v>292</v>
      </c>
      <c r="CV794" t="s">
        <v>293</v>
      </c>
      <c r="CW794" t="s">
        <v>10985</v>
      </c>
      <c r="CX794" t="s">
        <v>331</v>
      </c>
      <c r="CY794" t="s">
        <v>183</v>
      </c>
      <c r="CZ794" t="s">
        <v>211</v>
      </c>
      <c r="DA794" t="s">
        <v>345</v>
      </c>
      <c r="DC794" t="s">
        <v>10986</v>
      </c>
      <c r="DD794" t="s">
        <v>7762</v>
      </c>
      <c r="DE794" t="s">
        <v>267</v>
      </c>
      <c r="DF794" t="s">
        <v>268</v>
      </c>
      <c r="DG794" t="s">
        <v>10987</v>
      </c>
      <c r="DH794" t="s">
        <v>331</v>
      </c>
      <c r="DI794" t="s">
        <v>183</v>
      </c>
      <c r="DJ794" t="s">
        <v>211</v>
      </c>
      <c r="DK794" t="s">
        <v>966</v>
      </c>
      <c r="DM794" t="s">
        <v>9932</v>
      </c>
      <c r="DN794" t="s">
        <v>8113</v>
      </c>
      <c r="DO794" t="s">
        <v>273</v>
      </c>
      <c r="DP794" t="s">
        <v>274</v>
      </c>
      <c r="DQ794" t="s">
        <v>10988</v>
      </c>
      <c r="DR794" t="s">
        <v>235</v>
      </c>
      <c r="DS794" t="s">
        <v>183</v>
      </c>
      <c r="DT794" t="s">
        <v>211</v>
      </c>
      <c r="DU794" t="s">
        <v>206</v>
      </c>
      <c r="DV794" t="s">
        <v>271</v>
      </c>
      <c r="DW794" t="s">
        <v>301</v>
      </c>
      <c r="DX794" t="s">
        <v>10989</v>
      </c>
      <c r="DY794" t="s">
        <v>302</v>
      </c>
      <c r="DZ794" t="s">
        <v>303</v>
      </c>
      <c r="EA794" t="s">
        <v>10990</v>
      </c>
      <c r="EB794" t="s">
        <v>331</v>
      </c>
      <c r="EC794" t="s">
        <v>183</v>
      </c>
      <c r="ED794" t="s">
        <v>211</v>
      </c>
      <c r="EE794" t="s">
        <v>306</v>
      </c>
      <c r="EF794" t="s">
        <v>271</v>
      </c>
      <c r="EG794" t="s">
        <v>301</v>
      </c>
      <c r="EH794" t="s">
        <v>10991</v>
      </c>
      <c r="EI794" t="s">
        <v>238</v>
      </c>
      <c r="EJ794" t="s">
        <v>239</v>
      </c>
      <c r="EK794" t="s">
        <v>10992</v>
      </c>
      <c r="EL794" t="s">
        <v>247</v>
      </c>
      <c r="EM794" t="s">
        <v>183</v>
      </c>
      <c r="EN794" t="s">
        <v>211</v>
      </c>
      <c r="EP794" t="s">
        <v>271</v>
      </c>
      <c r="EQ794" t="s">
        <v>198</v>
      </c>
      <c r="ER794" t="s">
        <v>10993</v>
      </c>
      <c r="ES794" t="s">
        <v>346</v>
      </c>
      <c r="ET794" t="s">
        <v>347</v>
      </c>
      <c r="EU794" t="s">
        <v>10994</v>
      </c>
      <c r="EV794" t="s">
        <v>1551</v>
      </c>
      <c r="EW794" t="s">
        <v>183</v>
      </c>
      <c r="EX794" t="s">
        <v>211</v>
      </c>
      <c r="EY794" t="s">
        <v>1089</v>
      </c>
      <c r="EZ794" t="s">
        <v>271</v>
      </c>
      <c r="FA794" t="s">
        <v>301</v>
      </c>
      <c r="FK794" t="s">
        <v>198</v>
      </c>
      <c r="FU794" t="s">
        <v>198</v>
      </c>
    </row>
    <row r="795" spans="1:177">
      <c r="A795" s="1" t="str">
        <f>HYPERLINK("http://digipan.lumentumllc.com/apps/getLink/index.php?t=PropLink&amp;p=7112432","PL")</f>
        <v>PL</v>
      </c>
      <c r="B795" s="1" t="str">
        <f>HYPERLINK("http://digipan.lumentumllc.com/apps/getLink/index.php?t=TaxLink&amp;p=7112432","TL")</f>
        <v>TL</v>
      </c>
      <c r="C795" s="1" t="str">
        <f>HYPERLINK("http://digipan.lumentumllc.com/apps/getMap/index.php?p=7112432","Map")</f>
        <v>Map</v>
      </c>
      <c r="E795" t="s">
        <v>177</v>
      </c>
      <c r="F795" t="s">
        <v>178</v>
      </c>
      <c r="L795" t="s">
        <v>10995</v>
      </c>
      <c r="N795" t="s">
        <v>10995</v>
      </c>
      <c r="O795" t="s">
        <v>10995</v>
      </c>
      <c r="P795" t="s">
        <v>10996</v>
      </c>
      <c r="Q795" t="s">
        <v>10995</v>
      </c>
      <c r="V795">
        <v>925</v>
      </c>
      <c r="W795">
        <v>3</v>
      </c>
      <c r="X795">
        <v>2017</v>
      </c>
      <c r="Y795">
        <v>2018</v>
      </c>
      <c r="Z795">
        <v>215.18</v>
      </c>
      <c r="AB795" t="s">
        <v>181</v>
      </c>
      <c r="AC795" t="s">
        <v>182</v>
      </c>
      <c r="AD795" t="s">
        <v>183</v>
      </c>
      <c r="AE795">
        <v>2</v>
      </c>
      <c r="AF795">
        <v>0</v>
      </c>
      <c r="AG795" t="s">
        <v>1737</v>
      </c>
      <c r="AH795">
        <v>0</v>
      </c>
      <c r="AI795">
        <v>378.43</v>
      </c>
      <c r="AJ795">
        <v>21.72</v>
      </c>
      <c r="AK795">
        <v>400.15</v>
      </c>
      <c r="AL795">
        <v>12000</v>
      </c>
      <c r="AM795">
        <v>12000</v>
      </c>
      <c r="AN795">
        <v>0</v>
      </c>
      <c r="AO795">
        <v>147</v>
      </c>
      <c r="AP795">
        <v>2016</v>
      </c>
      <c r="AQ795">
        <v>1.79</v>
      </c>
      <c r="AR795">
        <v>3.33</v>
      </c>
      <c r="AS795" t="s">
        <v>8335</v>
      </c>
      <c r="AT795" t="s">
        <v>3747</v>
      </c>
      <c r="AU795" t="s">
        <v>177</v>
      </c>
      <c r="AV795" t="s">
        <v>1030</v>
      </c>
      <c r="AW795" t="s">
        <v>182</v>
      </c>
      <c r="AX795">
        <v>0</v>
      </c>
      <c r="AY795" t="s">
        <v>312</v>
      </c>
      <c r="AZ795" t="s">
        <v>199</v>
      </c>
      <c r="BA795" t="s">
        <v>313</v>
      </c>
      <c r="BB795" t="s">
        <v>191</v>
      </c>
      <c r="BC795" t="s">
        <v>182</v>
      </c>
      <c r="BD795" t="s">
        <v>182</v>
      </c>
      <c r="BE795" t="s">
        <v>6180</v>
      </c>
      <c r="BF795">
        <v>0</v>
      </c>
      <c r="BG795">
        <v>0</v>
      </c>
      <c r="BH795">
        <v>0</v>
      </c>
      <c r="BI795" t="s">
        <v>199</v>
      </c>
      <c r="BJ795" t="s">
        <v>315</v>
      </c>
      <c r="BL795" t="s">
        <v>9735</v>
      </c>
      <c r="BM795" t="s">
        <v>679</v>
      </c>
      <c r="BN795" t="s">
        <v>182</v>
      </c>
      <c r="BO795" t="s">
        <v>198</v>
      </c>
      <c r="BP795" t="s">
        <v>198</v>
      </c>
      <c r="BQ795" t="s">
        <v>198</v>
      </c>
      <c r="BR795" t="s">
        <v>198</v>
      </c>
      <c r="BS795" t="s">
        <v>198</v>
      </c>
      <c r="BT795" t="s">
        <v>198</v>
      </c>
      <c r="BU795" t="s">
        <v>182</v>
      </c>
      <c r="BV795" t="s">
        <v>198</v>
      </c>
      <c r="BW795" t="s">
        <v>198</v>
      </c>
      <c r="BX795" t="s">
        <v>199</v>
      </c>
      <c r="BY795" t="s">
        <v>198</v>
      </c>
      <c r="BZ795" t="s">
        <v>199</v>
      </c>
      <c r="CA795" t="s">
        <v>199</v>
      </c>
      <c r="CB795" t="s">
        <v>10997</v>
      </c>
      <c r="CC795" t="s">
        <v>201</v>
      </c>
      <c r="CD795" t="s">
        <v>182</v>
      </c>
      <c r="CE795" t="s">
        <v>10998</v>
      </c>
      <c r="CF795" t="s">
        <v>5331</v>
      </c>
      <c r="CG795" t="s">
        <v>177</v>
      </c>
      <c r="CH795" t="s">
        <v>371</v>
      </c>
      <c r="CI795" t="s">
        <v>1700</v>
      </c>
      <c r="CJ795" t="s">
        <v>7647</v>
      </c>
      <c r="CK795" t="s">
        <v>232</v>
      </c>
      <c r="CL795" t="s">
        <v>233</v>
      </c>
      <c r="CM795" t="s">
        <v>10999</v>
      </c>
      <c r="CN795" t="s">
        <v>688</v>
      </c>
      <c r="CO795" t="s">
        <v>183</v>
      </c>
      <c r="CP795" t="s">
        <v>266</v>
      </c>
      <c r="CS795" t="s">
        <v>198</v>
      </c>
      <c r="CT795" t="s">
        <v>7555</v>
      </c>
      <c r="CU795" t="s">
        <v>292</v>
      </c>
      <c r="CV795" t="s">
        <v>293</v>
      </c>
      <c r="CW795" t="s">
        <v>8904</v>
      </c>
      <c r="CX795" t="s">
        <v>235</v>
      </c>
      <c r="CY795" t="s">
        <v>183</v>
      </c>
      <c r="CZ795" t="s">
        <v>266</v>
      </c>
      <c r="DC795" t="s">
        <v>198</v>
      </c>
      <c r="DM795" t="s">
        <v>198</v>
      </c>
      <c r="DW795" t="s">
        <v>198</v>
      </c>
      <c r="EG795" t="s">
        <v>198</v>
      </c>
      <c r="EQ795" t="s">
        <v>198</v>
      </c>
      <c r="FA795" t="s">
        <v>198</v>
      </c>
      <c r="FK795" t="s">
        <v>198</v>
      </c>
      <c r="FU795" t="s">
        <v>198</v>
      </c>
    </row>
    <row r="796" spans="1:177">
      <c r="A796" s="1" t="str">
        <f>HYPERLINK("http://digipan.lumentumllc.com/apps/getLink/index.php?t=PropLink&amp;p=5246283","PL")</f>
        <v>PL</v>
      </c>
      <c r="B796" s="1" t="str">
        <f>HYPERLINK("http://digipan.lumentumllc.com/apps/getLink/index.php?t=TaxLink&amp;p=5246283","TL")</f>
        <v>TL</v>
      </c>
      <c r="C796" s="1" t="str">
        <f>HYPERLINK("http://digipan.lumentumllc.com/apps/getMap/index.php?p=5246283","Map")</f>
        <v>Map</v>
      </c>
      <c r="E796" t="s">
        <v>177</v>
      </c>
      <c r="F796" t="s">
        <v>178</v>
      </c>
      <c r="L796" t="s">
        <v>11000</v>
      </c>
      <c r="N796" t="s">
        <v>11000</v>
      </c>
      <c r="O796" t="s">
        <v>11000</v>
      </c>
      <c r="P796" t="s">
        <v>11001</v>
      </c>
      <c r="Q796" t="s">
        <v>11000</v>
      </c>
      <c r="V796">
        <v>926</v>
      </c>
      <c r="W796">
        <v>3</v>
      </c>
      <c r="X796">
        <v>2017</v>
      </c>
      <c r="Y796">
        <v>2018</v>
      </c>
      <c r="Z796">
        <v>433.13</v>
      </c>
      <c r="AB796" t="s">
        <v>181</v>
      </c>
      <c r="AC796" t="s">
        <v>202</v>
      </c>
      <c r="AD796" t="s">
        <v>183</v>
      </c>
      <c r="AE796">
        <v>4</v>
      </c>
      <c r="AF796">
        <v>4</v>
      </c>
      <c r="AG796" t="s">
        <v>3420</v>
      </c>
      <c r="AH796">
        <v>43</v>
      </c>
      <c r="AI796">
        <v>1530.93</v>
      </c>
      <c r="AJ796">
        <v>369.36</v>
      </c>
      <c r="AK796">
        <v>1900.29</v>
      </c>
      <c r="AL796">
        <v>24500</v>
      </c>
      <c r="AM796">
        <v>24000</v>
      </c>
      <c r="AN796">
        <v>500</v>
      </c>
      <c r="AO796">
        <v>368</v>
      </c>
      <c r="AP796">
        <v>2016</v>
      </c>
      <c r="AQ796">
        <v>1.77</v>
      </c>
      <c r="AR796">
        <v>7.76</v>
      </c>
      <c r="AS796" t="s">
        <v>11002</v>
      </c>
      <c r="AT796" t="s">
        <v>3747</v>
      </c>
      <c r="AU796" t="s">
        <v>177</v>
      </c>
      <c r="AV796" t="s">
        <v>1030</v>
      </c>
      <c r="AW796" t="s">
        <v>182</v>
      </c>
      <c r="AX796">
        <v>0</v>
      </c>
      <c r="AY796" t="s">
        <v>312</v>
      </c>
      <c r="AZ796" t="s">
        <v>199</v>
      </c>
      <c r="BA796" t="s">
        <v>313</v>
      </c>
      <c r="BB796" t="s">
        <v>191</v>
      </c>
      <c r="BC796" t="s">
        <v>182</v>
      </c>
      <c r="BD796" t="s">
        <v>182</v>
      </c>
      <c r="BE796" t="s">
        <v>365</v>
      </c>
      <c r="BF796">
        <v>1</v>
      </c>
      <c r="BG796">
        <v>0</v>
      </c>
      <c r="BH796">
        <v>0</v>
      </c>
      <c r="BI796" t="s">
        <v>199</v>
      </c>
      <c r="BJ796" t="s">
        <v>396</v>
      </c>
      <c r="BL796" t="s">
        <v>11003</v>
      </c>
      <c r="BM796" t="s">
        <v>207</v>
      </c>
      <c r="BN796" t="s">
        <v>182</v>
      </c>
      <c r="BO796" t="s">
        <v>198</v>
      </c>
      <c r="BP796" t="s">
        <v>198</v>
      </c>
      <c r="BQ796" t="s">
        <v>198</v>
      </c>
      <c r="BR796" t="s">
        <v>198</v>
      </c>
      <c r="BS796" t="s">
        <v>198</v>
      </c>
      <c r="BT796" t="s">
        <v>198</v>
      </c>
      <c r="BU796" t="s">
        <v>182</v>
      </c>
      <c r="BV796" t="s">
        <v>198</v>
      </c>
      <c r="BW796" t="s">
        <v>198</v>
      </c>
      <c r="BX796" t="s">
        <v>199</v>
      </c>
      <c r="BY796" t="s">
        <v>198</v>
      </c>
      <c r="BZ796" t="s">
        <v>199</v>
      </c>
      <c r="CA796" t="s">
        <v>199</v>
      </c>
      <c r="CB796" t="s">
        <v>11004</v>
      </c>
      <c r="CC796" t="s">
        <v>201</v>
      </c>
      <c r="CD796" t="s">
        <v>182</v>
      </c>
      <c r="CE796" t="s">
        <v>11005</v>
      </c>
      <c r="CF796" t="s">
        <v>11006</v>
      </c>
      <c r="CG796" t="s">
        <v>177</v>
      </c>
      <c r="CH796" t="s">
        <v>11007</v>
      </c>
      <c r="CI796" t="s">
        <v>11008</v>
      </c>
      <c r="CJ796" t="s">
        <v>7678</v>
      </c>
      <c r="CK796" t="s">
        <v>232</v>
      </c>
      <c r="CL796" t="s">
        <v>233</v>
      </c>
      <c r="CM796" t="s">
        <v>11009</v>
      </c>
      <c r="CN796" t="s">
        <v>482</v>
      </c>
      <c r="CO796" t="s">
        <v>183</v>
      </c>
      <c r="CP796" t="s">
        <v>266</v>
      </c>
      <c r="CS796" t="s">
        <v>198</v>
      </c>
      <c r="CT796" t="s">
        <v>10750</v>
      </c>
      <c r="CU796" t="s">
        <v>292</v>
      </c>
      <c r="CV796" t="s">
        <v>293</v>
      </c>
      <c r="CW796" t="s">
        <v>11010</v>
      </c>
      <c r="CX796" t="s">
        <v>482</v>
      </c>
      <c r="CY796" t="s">
        <v>183</v>
      </c>
      <c r="CZ796" t="s">
        <v>266</v>
      </c>
      <c r="DC796" t="s">
        <v>198</v>
      </c>
      <c r="DD796" t="s">
        <v>7778</v>
      </c>
      <c r="DE796" t="s">
        <v>267</v>
      </c>
      <c r="DF796" t="s">
        <v>268</v>
      </c>
      <c r="DG796" t="s">
        <v>11011</v>
      </c>
      <c r="DH796" t="s">
        <v>247</v>
      </c>
      <c r="DI796" t="s">
        <v>183</v>
      </c>
      <c r="DJ796" t="s">
        <v>266</v>
      </c>
      <c r="DM796" t="s">
        <v>198</v>
      </c>
      <c r="DN796" t="s">
        <v>7989</v>
      </c>
      <c r="DO796" t="s">
        <v>273</v>
      </c>
      <c r="DP796" t="s">
        <v>274</v>
      </c>
      <c r="DQ796" t="s">
        <v>11012</v>
      </c>
      <c r="DR796" t="s">
        <v>1491</v>
      </c>
      <c r="DS796" t="s">
        <v>183</v>
      </c>
      <c r="DT796" t="s">
        <v>266</v>
      </c>
      <c r="DW796" t="s">
        <v>198</v>
      </c>
      <c r="DX796" t="s">
        <v>8419</v>
      </c>
      <c r="DY796" t="s">
        <v>302</v>
      </c>
      <c r="DZ796" t="s">
        <v>303</v>
      </c>
      <c r="EA796" t="s">
        <v>11013</v>
      </c>
      <c r="EB796" t="s">
        <v>576</v>
      </c>
      <c r="EC796" t="s">
        <v>183</v>
      </c>
      <c r="ED796" t="s">
        <v>211</v>
      </c>
      <c r="EE796" t="s">
        <v>206</v>
      </c>
      <c r="EF796" t="s">
        <v>271</v>
      </c>
      <c r="EG796" t="s">
        <v>11014</v>
      </c>
      <c r="EH796" t="s">
        <v>5897</v>
      </c>
      <c r="EI796" t="s">
        <v>238</v>
      </c>
      <c r="EJ796" t="s">
        <v>239</v>
      </c>
      <c r="EK796" t="s">
        <v>11015</v>
      </c>
      <c r="EL796" t="s">
        <v>519</v>
      </c>
      <c r="EM796" t="s">
        <v>183</v>
      </c>
      <c r="EN796" t="s">
        <v>211</v>
      </c>
      <c r="EO796" t="s">
        <v>306</v>
      </c>
      <c r="EP796" t="s">
        <v>271</v>
      </c>
      <c r="EQ796" t="s">
        <v>11014</v>
      </c>
      <c r="ER796" t="s">
        <v>7993</v>
      </c>
      <c r="ES796" t="s">
        <v>346</v>
      </c>
      <c r="ET796" t="s">
        <v>347</v>
      </c>
      <c r="EU796" t="s">
        <v>5623</v>
      </c>
      <c r="EV796" t="s">
        <v>254</v>
      </c>
      <c r="EW796" t="s">
        <v>183</v>
      </c>
      <c r="EX796" t="s">
        <v>211</v>
      </c>
      <c r="EY796" t="s">
        <v>808</v>
      </c>
      <c r="EZ796" t="s">
        <v>271</v>
      </c>
      <c r="FA796" t="s">
        <v>11014</v>
      </c>
      <c r="FB796" t="s">
        <v>11016</v>
      </c>
      <c r="FC796" t="s">
        <v>207</v>
      </c>
      <c r="FD796" t="s">
        <v>208</v>
      </c>
      <c r="FE796" t="s">
        <v>11017</v>
      </c>
      <c r="FF796" t="s">
        <v>576</v>
      </c>
      <c r="FG796" t="s">
        <v>183</v>
      </c>
      <c r="FH796" t="s">
        <v>211</v>
      </c>
      <c r="FJ796" t="s">
        <v>271</v>
      </c>
      <c r="FK796" t="s">
        <v>198</v>
      </c>
      <c r="FU796" t="s">
        <v>198</v>
      </c>
    </row>
    <row r="797" spans="1:177">
      <c r="A797" s="1" t="str">
        <f>HYPERLINK("http://digipan.lumentumllc.com/apps/getLink/index.php?t=PropLink&amp;p=5246284","PL")</f>
        <v>PL</v>
      </c>
      <c r="B797" s="1" t="str">
        <f>HYPERLINK("http://digipan.lumentumllc.com/apps/getLink/index.php?t=TaxLink&amp;p=5246284","TL")</f>
        <v>TL</v>
      </c>
      <c r="C797" s="1" t="str">
        <f>HYPERLINK("http://digipan.lumentumllc.com/apps/getMap/index.php?p=5246284","Map")</f>
        <v>Map</v>
      </c>
      <c r="E797" t="s">
        <v>177</v>
      </c>
      <c r="F797" t="s">
        <v>178</v>
      </c>
      <c r="L797" t="s">
        <v>11018</v>
      </c>
      <c r="N797" t="s">
        <v>11018</v>
      </c>
      <c r="O797" t="s">
        <v>11018</v>
      </c>
      <c r="P797" t="s">
        <v>11019</v>
      </c>
      <c r="Q797" t="s">
        <v>11018</v>
      </c>
      <c r="V797">
        <v>927</v>
      </c>
      <c r="W797">
        <v>3</v>
      </c>
      <c r="X797">
        <v>2017</v>
      </c>
      <c r="Y797">
        <v>2018</v>
      </c>
      <c r="Z797">
        <v>330.49</v>
      </c>
      <c r="AB797" t="s">
        <v>181</v>
      </c>
      <c r="AC797" t="s">
        <v>202</v>
      </c>
      <c r="AD797" t="s">
        <v>183</v>
      </c>
      <c r="AE797">
        <v>0</v>
      </c>
      <c r="AF797">
        <v>5</v>
      </c>
      <c r="AG797" t="s">
        <v>3266</v>
      </c>
      <c r="AH797">
        <v>100</v>
      </c>
      <c r="AK797">
        <v>0</v>
      </c>
      <c r="AL797">
        <v>19351</v>
      </c>
      <c r="AM797">
        <v>15000</v>
      </c>
      <c r="AN797">
        <v>4351</v>
      </c>
      <c r="AO797">
        <v>246</v>
      </c>
      <c r="AP797">
        <v>2016</v>
      </c>
      <c r="AQ797">
        <v>1.71</v>
      </c>
      <c r="AS797" t="s">
        <v>11020</v>
      </c>
      <c r="AT797" t="s">
        <v>3747</v>
      </c>
      <c r="AU797" t="s">
        <v>177</v>
      </c>
      <c r="AV797" t="s">
        <v>1030</v>
      </c>
      <c r="AW797" t="s">
        <v>182</v>
      </c>
      <c r="AX797">
        <v>2</v>
      </c>
      <c r="AY797" t="s">
        <v>188</v>
      </c>
      <c r="AZ797" t="s">
        <v>189</v>
      </c>
      <c r="BA797" t="s">
        <v>190</v>
      </c>
      <c r="BB797" t="s">
        <v>191</v>
      </c>
      <c r="BC797" t="s">
        <v>182</v>
      </c>
      <c r="BD797" t="s">
        <v>182</v>
      </c>
      <c r="BE797" t="s">
        <v>383</v>
      </c>
      <c r="BF797">
        <v>1</v>
      </c>
      <c r="BG797">
        <v>1</v>
      </c>
      <c r="BH797">
        <v>1972</v>
      </c>
      <c r="BI797" t="s">
        <v>5644</v>
      </c>
      <c r="BJ797" t="s">
        <v>194</v>
      </c>
      <c r="BK797" t="s">
        <v>195</v>
      </c>
      <c r="BL797" t="s">
        <v>199</v>
      </c>
      <c r="BM797" t="s">
        <v>410</v>
      </c>
      <c r="BN797" t="s">
        <v>182</v>
      </c>
      <c r="BO797" t="s">
        <v>198</v>
      </c>
      <c r="BP797" t="s">
        <v>198</v>
      </c>
      <c r="BQ797" t="s">
        <v>198</v>
      </c>
      <c r="BR797" t="s">
        <v>198</v>
      </c>
      <c r="BS797" t="s">
        <v>198</v>
      </c>
      <c r="BT797" t="s">
        <v>198</v>
      </c>
      <c r="BU797" t="s">
        <v>182</v>
      </c>
      <c r="BV797" t="s">
        <v>198</v>
      </c>
      <c r="BW797" t="s">
        <v>198</v>
      </c>
      <c r="BX797" t="s">
        <v>199</v>
      </c>
      <c r="BY797" t="s">
        <v>198</v>
      </c>
      <c r="BZ797" t="s">
        <v>199</v>
      </c>
      <c r="CA797" t="s">
        <v>199</v>
      </c>
      <c r="CB797" t="s">
        <v>11021</v>
      </c>
      <c r="CC797" t="s">
        <v>201</v>
      </c>
      <c r="CD797" t="s">
        <v>182</v>
      </c>
      <c r="CE797" t="s">
        <v>11022</v>
      </c>
      <c r="CF797" t="s">
        <v>1029</v>
      </c>
      <c r="CG797" t="s">
        <v>177</v>
      </c>
      <c r="CH797" t="s">
        <v>1030</v>
      </c>
      <c r="CI797" t="s">
        <v>11023</v>
      </c>
      <c r="CJ797" t="s">
        <v>7937</v>
      </c>
      <c r="CK797" t="s">
        <v>292</v>
      </c>
      <c r="CL797" t="s">
        <v>293</v>
      </c>
      <c r="CM797" t="s">
        <v>11024</v>
      </c>
      <c r="CN797" t="s">
        <v>482</v>
      </c>
      <c r="CO797" t="s">
        <v>183</v>
      </c>
      <c r="CP797" t="s">
        <v>211</v>
      </c>
      <c r="CQ797" t="s">
        <v>264</v>
      </c>
      <c r="CS797" t="s">
        <v>3705</v>
      </c>
      <c r="CT797" t="s">
        <v>10468</v>
      </c>
      <c r="CU797" t="s">
        <v>267</v>
      </c>
      <c r="CV797" t="s">
        <v>268</v>
      </c>
      <c r="CW797" t="s">
        <v>11025</v>
      </c>
      <c r="CX797" t="s">
        <v>247</v>
      </c>
      <c r="CY797" t="s">
        <v>183</v>
      </c>
      <c r="CZ797" t="s">
        <v>211</v>
      </c>
      <c r="DA797" t="s">
        <v>306</v>
      </c>
      <c r="DC797" t="s">
        <v>4688</v>
      </c>
      <c r="DD797" t="s">
        <v>2385</v>
      </c>
      <c r="DE797" t="s">
        <v>273</v>
      </c>
      <c r="DF797" t="s">
        <v>274</v>
      </c>
      <c r="DG797" t="s">
        <v>11026</v>
      </c>
      <c r="DH797" t="s">
        <v>235</v>
      </c>
      <c r="DI797" t="s">
        <v>183</v>
      </c>
      <c r="DJ797" t="s">
        <v>211</v>
      </c>
      <c r="DK797" t="s">
        <v>199</v>
      </c>
      <c r="DM797" t="s">
        <v>11027</v>
      </c>
      <c r="DN797" t="s">
        <v>11028</v>
      </c>
      <c r="DO797" t="s">
        <v>238</v>
      </c>
      <c r="DP797" t="s">
        <v>239</v>
      </c>
      <c r="DQ797" t="s">
        <v>11029</v>
      </c>
      <c r="DR797" t="s">
        <v>389</v>
      </c>
      <c r="DS797" t="s">
        <v>183</v>
      </c>
      <c r="DT797" t="s">
        <v>211</v>
      </c>
      <c r="DU797" t="s">
        <v>270</v>
      </c>
      <c r="DV797" t="s">
        <v>271</v>
      </c>
      <c r="DW797" t="s">
        <v>1352</v>
      </c>
      <c r="DX797" t="s">
        <v>11030</v>
      </c>
      <c r="DY797" t="s">
        <v>346</v>
      </c>
      <c r="DZ797" t="s">
        <v>347</v>
      </c>
      <c r="EA797" t="s">
        <v>11031</v>
      </c>
      <c r="EB797" t="s">
        <v>576</v>
      </c>
      <c r="EC797" t="s">
        <v>183</v>
      </c>
      <c r="ED797" t="s">
        <v>211</v>
      </c>
      <c r="EE797" t="s">
        <v>337</v>
      </c>
      <c r="EF797" t="s">
        <v>271</v>
      </c>
      <c r="EG797" t="s">
        <v>1352</v>
      </c>
      <c r="EQ797" t="s">
        <v>198</v>
      </c>
      <c r="FA797" t="s">
        <v>198</v>
      </c>
      <c r="FK797" t="s">
        <v>198</v>
      </c>
      <c r="FU797" t="s">
        <v>198</v>
      </c>
    </row>
    <row r="798" spans="1:177">
      <c r="A798" s="1" t="str">
        <f>HYPERLINK("http://digipan.lumentumllc.com/apps/getLink/index.php?t=PropLink&amp;p=15747927","PL")</f>
        <v>PL</v>
      </c>
      <c r="B798" s="1" t="str">
        <f>HYPERLINK("http://digipan.lumentumllc.com/apps/getLink/index.php?t=TaxLink&amp;p=15747927","TL")</f>
        <v>TL</v>
      </c>
      <c r="C798" s="1" t="str">
        <f>HYPERLINK("http://digipan.lumentumllc.com/apps/getMap/index.php?p=15747927","Map")</f>
        <v>Map</v>
      </c>
      <c r="E798" t="s">
        <v>177</v>
      </c>
      <c r="F798" t="s">
        <v>178</v>
      </c>
      <c r="L798" t="s">
        <v>11032</v>
      </c>
      <c r="N798" t="s">
        <v>11032</v>
      </c>
      <c r="O798" t="s">
        <v>11032</v>
      </c>
      <c r="Q798" t="s">
        <v>11032</v>
      </c>
      <c r="V798">
        <v>928</v>
      </c>
      <c r="W798">
        <v>3</v>
      </c>
      <c r="X798">
        <v>2017</v>
      </c>
      <c r="Y798">
        <v>2018</v>
      </c>
      <c r="Z798">
        <v>846.05</v>
      </c>
      <c r="AG798" t="s">
        <v>184</v>
      </c>
      <c r="AH798">
        <v>0</v>
      </c>
      <c r="AK798">
        <v>0</v>
      </c>
      <c r="AL798">
        <v>49832</v>
      </c>
      <c r="AM798">
        <v>23550</v>
      </c>
      <c r="AN798">
        <v>26282</v>
      </c>
      <c r="AO798">
        <v>693</v>
      </c>
      <c r="AP798">
        <v>2016</v>
      </c>
      <c r="AQ798">
        <v>1.7</v>
      </c>
      <c r="AS798" t="s">
        <v>11033</v>
      </c>
      <c r="AT798" t="s">
        <v>3747</v>
      </c>
      <c r="AU798" t="s">
        <v>177</v>
      </c>
      <c r="AV798" t="s">
        <v>1030</v>
      </c>
      <c r="AW798" t="s">
        <v>182</v>
      </c>
      <c r="AX798">
        <v>1</v>
      </c>
      <c r="AY798" t="s">
        <v>188</v>
      </c>
      <c r="AZ798" t="s">
        <v>206</v>
      </c>
      <c r="BA798" t="s">
        <v>355</v>
      </c>
      <c r="BB798" t="s">
        <v>191</v>
      </c>
      <c r="BC798" t="s">
        <v>182</v>
      </c>
      <c r="BD798" t="s">
        <v>182</v>
      </c>
      <c r="BE798" t="s">
        <v>11034</v>
      </c>
      <c r="BF798">
        <v>1</v>
      </c>
      <c r="BG798">
        <v>1</v>
      </c>
      <c r="BH798">
        <v>1943</v>
      </c>
      <c r="BI798" t="s">
        <v>8594</v>
      </c>
      <c r="BJ798" t="s">
        <v>194</v>
      </c>
      <c r="BK798" t="s">
        <v>195</v>
      </c>
      <c r="BL798" t="s">
        <v>11035</v>
      </c>
      <c r="BM798" t="s">
        <v>292</v>
      </c>
      <c r="BN798" t="s">
        <v>182</v>
      </c>
      <c r="BO798" t="s">
        <v>11036</v>
      </c>
      <c r="BP798" t="s">
        <v>11037</v>
      </c>
      <c r="BQ798" t="s">
        <v>581</v>
      </c>
      <c r="BR798" t="s">
        <v>643</v>
      </c>
      <c r="BS798" t="s">
        <v>198</v>
      </c>
      <c r="BT798" t="s">
        <v>11038</v>
      </c>
      <c r="BU798" t="s">
        <v>182</v>
      </c>
      <c r="BV798" t="s">
        <v>198</v>
      </c>
      <c r="BW798" t="s">
        <v>198</v>
      </c>
      <c r="BX798" t="s">
        <v>199</v>
      </c>
      <c r="BY798" t="s">
        <v>198</v>
      </c>
      <c r="BZ798" t="s">
        <v>199</v>
      </c>
      <c r="CA798" t="s">
        <v>199</v>
      </c>
      <c r="CB798" t="s">
        <v>11039</v>
      </c>
      <c r="CC798" t="s">
        <v>201</v>
      </c>
      <c r="CD798" t="s">
        <v>182</v>
      </c>
      <c r="CE798" t="s">
        <v>11040</v>
      </c>
      <c r="CF798" t="s">
        <v>413</v>
      </c>
      <c r="CG798" t="s">
        <v>177</v>
      </c>
      <c r="CH798" t="s">
        <v>2991</v>
      </c>
      <c r="CI798" t="s">
        <v>11041</v>
      </c>
      <c r="CS798" t="s">
        <v>198</v>
      </c>
      <c r="DC798" t="s">
        <v>198</v>
      </c>
      <c r="DM798" t="s">
        <v>198</v>
      </c>
      <c r="DW798" t="s">
        <v>198</v>
      </c>
      <c r="EG798" t="s">
        <v>198</v>
      </c>
      <c r="EQ798" t="s">
        <v>198</v>
      </c>
      <c r="FA798" t="s">
        <v>198</v>
      </c>
      <c r="FK798" t="s">
        <v>198</v>
      </c>
      <c r="FU798" t="s">
        <v>198</v>
      </c>
    </row>
    <row r="799" spans="1:177">
      <c r="A799" s="1" t="str">
        <f>HYPERLINK("http://digipan.lumentumllc.com/apps/getLink/index.php?t=PropLink&amp;p=6886728","PL")</f>
        <v>PL</v>
      </c>
      <c r="B799" s="1" t="str">
        <f>HYPERLINK("http://digipan.lumentumllc.com/apps/getLink/index.php?t=TaxLink&amp;p=6886728","TL")</f>
        <v>TL</v>
      </c>
      <c r="C799" s="1" t="str">
        <f>HYPERLINK("http://digipan.lumentumllc.com/apps/getMap/index.php?p=6886728","Map")</f>
        <v>Map</v>
      </c>
      <c r="E799" t="s">
        <v>177</v>
      </c>
      <c r="F799" t="s">
        <v>178</v>
      </c>
      <c r="L799" t="s">
        <v>11042</v>
      </c>
      <c r="N799" t="s">
        <v>11042</v>
      </c>
      <c r="O799" t="s">
        <v>11042</v>
      </c>
      <c r="P799" t="s">
        <v>11043</v>
      </c>
      <c r="Q799" t="s">
        <v>11042</v>
      </c>
      <c r="V799">
        <v>929</v>
      </c>
      <c r="W799">
        <v>3</v>
      </c>
      <c r="X799">
        <v>2017</v>
      </c>
      <c r="Y799">
        <v>2018</v>
      </c>
      <c r="Z799">
        <v>112.14</v>
      </c>
      <c r="AB799" t="s">
        <v>181</v>
      </c>
      <c r="AC799" t="s">
        <v>182</v>
      </c>
      <c r="AD799" t="s">
        <v>183</v>
      </c>
      <c r="AE799">
        <v>3</v>
      </c>
      <c r="AF799">
        <v>0</v>
      </c>
      <c r="AG799" t="s">
        <v>6413</v>
      </c>
      <c r="AH799">
        <v>0</v>
      </c>
      <c r="AI799">
        <v>288.57</v>
      </c>
      <c r="AJ799">
        <v>64.819999999999993</v>
      </c>
      <c r="AK799">
        <v>353.39</v>
      </c>
      <c r="AL799">
        <v>5250</v>
      </c>
      <c r="AM799">
        <v>5250</v>
      </c>
      <c r="AN799">
        <v>0</v>
      </c>
      <c r="AO799">
        <v>64</v>
      </c>
      <c r="AP799">
        <v>2016</v>
      </c>
      <c r="AQ799">
        <v>2.14</v>
      </c>
      <c r="AR799">
        <v>6.73</v>
      </c>
      <c r="AS799" t="s">
        <v>11044</v>
      </c>
      <c r="AT799" t="s">
        <v>3747</v>
      </c>
      <c r="AU799" t="s">
        <v>177</v>
      </c>
      <c r="AV799" t="s">
        <v>1030</v>
      </c>
      <c r="AW799" t="s">
        <v>182</v>
      </c>
      <c r="AX799">
        <v>0</v>
      </c>
      <c r="AY799" t="s">
        <v>312</v>
      </c>
      <c r="AZ799" t="s">
        <v>199</v>
      </c>
      <c r="BA799" t="s">
        <v>313</v>
      </c>
      <c r="BB799" t="s">
        <v>191</v>
      </c>
      <c r="BC799" t="s">
        <v>182</v>
      </c>
      <c r="BD799" t="s">
        <v>182</v>
      </c>
      <c r="BE799" t="s">
        <v>11045</v>
      </c>
      <c r="BF799">
        <v>0</v>
      </c>
      <c r="BG799">
        <v>0</v>
      </c>
      <c r="BH799">
        <v>0</v>
      </c>
      <c r="BI799" t="s">
        <v>199</v>
      </c>
      <c r="BJ799" t="s">
        <v>315</v>
      </c>
      <c r="BL799" t="s">
        <v>199</v>
      </c>
      <c r="BM799" t="s">
        <v>358</v>
      </c>
      <c r="BN799" t="s">
        <v>182</v>
      </c>
      <c r="BO799" t="s">
        <v>2226</v>
      </c>
      <c r="BP799" t="s">
        <v>11046</v>
      </c>
      <c r="BQ799" t="s">
        <v>2227</v>
      </c>
      <c r="BR799" t="s">
        <v>563</v>
      </c>
      <c r="BS799" t="s">
        <v>198</v>
      </c>
      <c r="BT799" t="s">
        <v>11047</v>
      </c>
      <c r="BU799" t="s">
        <v>182</v>
      </c>
      <c r="BV799" t="s">
        <v>198</v>
      </c>
      <c r="BW799" t="s">
        <v>198</v>
      </c>
      <c r="BX799" t="s">
        <v>199</v>
      </c>
      <c r="BY799" t="s">
        <v>198</v>
      </c>
      <c r="BZ799" t="s">
        <v>199</v>
      </c>
      <c r="CA799" t="s">
        <v>199</v>
      </c>
      <c r="CB799" t="s">
        <v>11048</v>
      </c>
      <c r="CC799" t="s">
        <v>201</v>
      </c>
      <c r="CD799" t="s">
        <v>182</v>
      </c>
      <c r="CE799" t="s">
        <v>11049</v>
      </c>
      <c r="CF799" t="s">
        <v>1029</v>
      </c>
      <c r="CG799" t="s">
        <v>177</v>
      </c>
      <c r="CH799" t="s">
        <v>1030</v>
      </c>
      <c r="CI799" t="s">
        <v>11050</v>
      </c>
      <c r="CJ799" t="s">
        <v>7696</v>
      </c>
      <c r="CK799" t="s">
        <v>232</v>
      </c>
      <c r="CL799" t="s">
        <v>233</v>
      </c>
      <c r="CM799" t="s">
        <v>11051</v>
      </c>
      <c r="CN799" t="s">
        <v>482</v>
      </c>
      <c r="CO799" t="s">
        <v>183</v>
      </c>
      <c r="CP799" t="s">
        <v>266</v>
      </c>
      <c r="CS799" t="s">
        <v>198</v>
      </c>
      <c r="CT799" t="s">
        <v>10302</v>
      </c>
      <c r="CU799" t="s">
        <v>292</v>
      </c>
      <c r="CV799" t="s">
        <v>293</v>
      </c>
      <c r="CW799" t="s">
        <v>11052</v>
      </c>
      <c r="CX799" t="s">
        <v>482</v>
      </c>
      <c r="CY799" t="s">
        <v>183</v>
      </c>
      <c r="CZ799" t="s">
        <v>266</v>
      </c>
      <c r="DC799" t="s">
        <v>198</v>
      </c>
      <c r="DD799" t="s">
        <v>4833</v>
      </c>
      <c r="DE799" t="s">
        <v>267</v>
      </c>
      <c r="DF799" t="s">
        <v>268</v>
      </c>
      <c r="DG799" t="s">
        <v>11053</v>
      </c>
      <c r="DH799" t="s">
        <v>331</v>
      </c>
      <c r="DI799" t="s">
        <v>183</v>
      </c>
      <c r="DJ799" t="s">
        <v>266</v>
      </c>
      <c r="DM799" t="s">
        <v>198</v>
      </c>
      <c r="DW799" t="s">
        <v>198</v>
      </c>
      <c r="EG799" t="s">
        <v>198</v>
      </c>
      <c r="EQ799" t="s">
        <v>198</v>
      </c>
      <c r="FA799" t="s">
        <v>198</v>
      </c>
      <c r="FK799" t="s">
        <v>198</v>
      </c>
      <c r="FU799" t="s">
        <v>198</v>
      </c>
    </row>
    <row r="800" spans="1:177">
      <c r="A800" s="1" t="str">
        <f>HYPERLINK("http://digipan.lumentumllc.com/apps/getLink/index.php?t=PropLink&amp;p=5246293","PL")</f>
        <v>PL</v>
      </c>
      <c r="B800" s="1" t="str">
        <f>HYPERLINK("http://digipan.lumentumllc.com/apps/getLink/index.php?t=TaxLink&amp;p=5246293","TL")</f>
        <v>TL</v>
      </c>
      <c r="C800" s="1" t="str">
        <f>HYPERLINK("http://digipan.lumentumllc.com/apps/getMap/index.php?p=5246293","Map")</f>
        <v>Map</v>
      </c>
      <c r="E800" t="s">
        <v>177</v>
      </c>
      <c r="F800" t="s">
        <v>178</v>
      </c>
      <c r="L800" t="s">
        <v>11054</v>
      </c>
      <c r="N800" t="s">
        <v>11054</v>
      </c>
      <c r="O800" t="s">
        <v>11054</v>
      </c>
      <c r="P800" t="s">
        <v>11055</v>
      </c>
      <c r="Q800" t="s">
        <v>11054</v>
      </c>
      <c r="V800">
        <v>930</v>
      </c>
      <c r="W800">
        <v>3</v>
      </c>
      <c r="X800">
        <v>2017</v>
      </c>
      <c r="Y800">
        <v>2018</v>
      </c>
      <c r="Z800">
        <v>238.08</v>
      </c>
      <c r="AB800" t="s">
        <v>181</v>
      </c>
      <c r="AC800" t="s">
        <v>182</v>
      </c>
      <c r="AD800" t="s">
        <v>183</v>
      </c>
      <c r="AE800">
        <v>1</v>
      </c>
      <c r="AF800">
        <v>6</v>
      </c>
      <c r="AG800" t="s">
        <v>418</v>
      </c>
      <c r="AH800">
        <v>86</v>
      </c>
      <c r="AI800">
        <v>206.31</v>
      </c>
      <c r="AJ800">
        <v>15.47</v>
      </c>
      <c r="AK800">
        <v>221.78</v>
      </c>
      <c r="AL800">
        <v>13500</v>
      </c>
      <c r="AM800">
        <v>13500</v>
      </c>
      <c r="AN800">
        <v>0</v>
      </c>
      <c r="AO800">
        <v>166</v>
      </c>
      <c r="AP800">
        <v>2016</v>
      </c>
      <c r="AQ800">
        <v>1.76</v>
      </c>
      <c r="AR800">
        <v>1.64</v>
      </c>
      <c r="AS800" t="s">
        <v>3067</v>
      </c>
      <c r="AT800" t="s">
        <v>3747</v>
      </c>
      <c r="AU800" t="s">
        <v>177</v>
      </c>
      <c r="AV800" t="s">
        <v>1030</v>
      </c>
      <c r="AW800" t="s">
        <v>182</v>
      </c>
      <c r="AX800">
        <v>0</v>
      </c>
      <c r="AY800" t="s">
        <v>312</v>
      </c>
      <c r="AZ800" t="s">
        <v>199</v>
      </c>
      <c r="BA800" t="s">
        <v>313</v>
      </c>
      <c r="BB800" t="s">
        <v>191</v>
      </c>
      <c r="BC800" t="s">
        <v>182</v>
      </c>
      <c r="BD800" t="s">
        <v>182</v>
      </c>
      <c r="BE800" t="s">
        <v>383</v>
      </c>
      <c r="BF800">
        <v>0</v>
      </c>
      <c r="BG800">
        <v>0</v>
      </c>
      <c r="BH800">
        <v>0</v>
      </c>
      <c r="BI800" t="s">
        <v>199</v>
      </c>
      <c r="BJ800" t="s">
        <v>315</v>
      </c>
      <c r="BL800" t="s">
        <v>199</v>
      </c>
      <c r="BM800" t="s">
        <v>238</v>
      </c>
      <c r="BN800" t="s">
        <v>182</v>
      </c>
      <c r="BO800" t="s">
        <v>982</v>
      </c>
      <c r="BP800" t="s">
        <v>11056</v>
      </c>
      <c r="BS800" t="s">
        <v>11057</v>
      </c>
      <c r="BT800" t="s">
        <v>198</v>
      </c>
      <c r="BU800" t="s">
        <v>182</v>
      </c>
      <c r="BV800" t="s">
        <v>198</v>
      </c>
      <c r="BW800" t="s">
        <v>198</v>
      </c>
      <c r="BX800" t="s">
        <v>199</v>
      </c>
      <c r="BY800" t="s">
        <v>198</v>
      </c>
      <c r="BZ800" t="s">
        <v>199</v>
      </c>
      <c r="CA800" t="s">
        <v>199</v>
      </c>
      <c r="CB800" t="s">
        <v>11058</v>
      </c>
      <c r="CC800" t="s">
        <v>201</v>
      </c>
      <c r="CD800" t="s">
        <v>182</v>
      </c>
      <c r="CE800" t="s">
        <v>11059</v>
      </c>
      <c r="CF800" t="s">
        <v>1029</v>
      </c>
      <c r="CG800" t="s">
        <v>177</v>
      </c>
      <c r="CH800" t="s">
        <v>1030</v>
      </c>
      <c r="CI800" t="s">
        <v>11060</v>
      </c>
      <c r="CJ800" t="s">
        <v>11061</v>
      </c>
      <c r="CK800" t="s">
        <v>232</v>
      </c>
      <c r="CL800" t="s">
        <v>233</v>
      </c>
      <c r="CM800" t="s">
        <v>11062</v>
      </c>
      <c r="CN800" t="s">
        <v>2515</v>
      </c>
      <c r="CO800" t="s">
        <v>183</v>
      </c>
      <c r="CP800" t="s">
        <v>266</v>
      </c>
      <c r="CS800" t="s">
        <v>198</v>
      </c>
      <c r="CT800" t="s">
        <v>11063</v>
      </c>
      <c r="CU800" t="s">
        <v>292</v>
      </c>
      <c r="CV800" t="s">
        <v>293</v>
      </c>
      <c r="CW800" t="s">
        <v>11064</v>
      </c>
      <c r="CX800" t="s">
        <v>482</v>
      </c>
      <c r="CY800" t="s">
        <v>183</v>
      </c>
      <c r="CZ800" t="s">
        <v>211</v>
      </c>
      <c r="DA800" t="s">
        <v>471</v>
      </c>
      <c r="DC800" t="s">
        <v>11065</v>
      </c>
      <c r="DD800" t="s">
        <v>7907</v>
      </c>
      <c r="DE800" t="s">
        <v>267</v>
      </c>
      <c r="DF800" t="s">
        <v>268</v>
      </c>
      <c r="DG800" t="s">
        <v>11066</v>
      </c>
      <c r="DH800" t="s">
        <v>331</v>
      </c>
      <c r="DI800" t="s">
        <v>183</v>
      </c>
      <c r="DJ800" t="s">
        <v>211</v>
      </c>
      <c r="DK800" t="s">
        <v>298</v>
      </c>
      <c r="DM800" t="s">
        <v>2151</v>
      </c>
      <c r="DN800" t="s">
        <v>5621</v>
      </c>
      <c r="DO800" t="s">
        <v>273</v>
      </c>
      <c r="DP800" t="s">
        <v>274</v>
      </c>
      <c r="DQ800" t="s">
        <v>11067</v>
      </c>
      <c r="DR800" t="s">
        <v>1491</v>
      </c>
      <c r="DS800" t="s">
        <v>183</v>
      </c>
      <c r="DT800" t="s">
        <v>211</v>
      </c>
      <c r="DU800" t="s">
        <v>525</v>
      </c>
      <c r="DW800" t="s">
        <v>2151</v>
      </c>
      <c r="DX800" t="s">
        <v>8449</v>
      </c>
      <c r="DY800" t="s">
        <v>302</v>
      </c>
      <c r="DZ800" t="s">
        <v>303</v>
      </c>
      <c r="EA800" t="s">
        <v>11068</v>
      </c>
      <c r="EB800" t="s">
        <v>295</v>
      </c>
      <c r="EC800" t="s">
        <v>183</v>
      </c>
      <c r="ED800" t="s">
        <v>211</v>
      </c>
      <c r="EE800" t="s">
        <v>298</v>
      </c>
      <c r="EG800" t="s">
        <v>2359</v>
      </c>
      <c r="EH800" t="s">
        <v>11069</v>
      </c>
      <c r="EI800" t="s">
        <v>238</v>
      </c>
      <c r="EJ800" t="s">
        <v>239</v>
      </c>
      <c r="EK800" t="s">
        <v>11070</v>
      </c>
      <c r="EL800" t="s">
        <v>519</v>
      </c>
      <c r="EM800" t="s">
        <v>183</v>
      </c>
      <c r="EN800" t="s">
        <v>211</v>
      </c>
      <c r="EO800" t="s">
        <v>219</v>
      </c>
      <c r="EQ800" t="s">
        <v>2151</v>
      </c>
      <c r="ER800" t="s">
        <v>10129</v>
      </c>
      <c r="ES800" t="s">
        <v>346</v>
      </c>
      <c r="ET800" t="s">
        <v>347</v>
      </c>
      <c r="EU800" t="s">
        <v>11071</v>
      </c>
      <c r="EV800" t="s">
        <v>254</v>
      </c>
      <c r="EW800" t="s">
        <v>183</v>
      </c>
      <c r="EX800" t="s">
        <v>211</v>
      </c>
      <c r="EY800" t="s">
        <v>298</v>
      </c>
      <c r="FA800" t="s">
        <v>878</v>
      </c>
      <c r="FK800" t="s">
        <v>198</v>
      </c>
      <c r="FU800" t="s">
        <v>198</v>
      </c>
    </row>
    <row r="801" spans="1:177">
      <c r="A801" s="1" t="str">
        <f>HYPERLINK("http://digipan.lumentumllc.com/apps/getLink/index.php?t=PropLink&amp;p=6461926","PL")</f>
        <v>PL</v>
      </c>
      <c r="B801" s="1" t="str">
        <f>HYPERLINK("http://digipan.lumentumllc.com/apps/getLink/index.php?t=TaxLink&amp;p=6461926","TL")</f>
        <v>TL</v>
      </c>
      <c r="C801" s="1" t="str">
        <f>HYPERLINK("http://digipan.lumentumllc.com/apps/getMap/index.php?p=6461926","Map")</f>
        <v>Map</v>
      </c>
      <c r="E801" t="s">
        <v>177</v>
      </c>
      <c r="F801" t="s">
        <v>178</v>
      </c>
      <c r="L801" t="s">
        <v>11072</v>
      </c>
      <c r="N801" t="s">
        <v>11072</v>
      </c>
      <c r="O801" t="s">
        <v>11072</v>
      </c>
      <c r="P801" t="s">
        <v>11073</v>
      </c>
      <c r="Q801" t="s">
        <v>11072</v>
      </c>
      <c r="V801">
        <v>931</v>
      </c>
      <c r="W801">
        <v>3</v>
      </c>
      <c r="X801">
        <v>2017</v>
      </c>
      <c r="Y801">
        <v>2018</v>
      </c>
      <c r="Z801">
        <v>1164.83</v>
      </c>
      <c r="AB801" t="s">
        <v>181</v>
      </c>
      <c r="AC801" t="s">
        <v>182</v>
      </c>
      <c r="AD801" t="s">
        <v>183</v>
      </c>
      <c r="AE801">
        <v>1</v>
      </c>
      <c r="AF801">
        <v>5</v>
      </c>
      <c r="AG801" t="s">
        <v>951</v>
      </c>
      <c r="AH801">
        <v>80</v>
      </c>
      <c r="AI801">
        <v>1086.43</v>
      </c>
      <c r="AJ801">
        <v>54.32</v>
      </c>
      <c r="AK801">
        <v>1140.75</v>
      </c>
      <c r="AL801">
        <v>69191</v>
      </c>
      <c r="AM801">
        <v>29100</v>
      </c>
      <c r="AN801">
        <v>40091</v>
      </c>
      <c r="AO801">
        <v>980</v>
      </c>
      <c r="AP801">
        <v>2016</v>
      </c>
      <c r="AQ801">
        <v>1.68</v>
      </c>
      <c r="AR801">
        <v>1.65</v>
      </c>
      <c r="AS801" t="s">
        <v>11074</v>
      </c>
      <c r="AT801" t="s">
        <v>3747</v>
      </c>
      <c r="AU801" t="s">
        <v>177</v>
      </c>
      <c r="AV801" t="s">
        <v>1030</v>
      </c>
      <c r="AW801" t="s">
        <v>182</v>
      </c>
      <c r="AX801">
        <v>1</v>
      </c>
      <c r="AY801" t="s">
        <v>188</v>
      </c>
      <c r="AZ801" t="s">
        <v>206</v>
      </c>
      <c r="BA801" t="s">
        <v>355</v>
      </c>
      <c r="BB801" t="s">
        <v>191</v>
      </c>
      <c r="BC801" t="s">
        <v>182</v>
      </c>
      <c r="BD801" t="s">
        <v>182</v>
      </c>
      <c r="BE801" t="s">
        <v>8262</v>
      </c>
      <c r="BF801">
        <v>1</v>
      </c>
      <c r="BG801">
        <v>1</v>
      </c>
      <c r="BH801">
        <v>1924</v>
      </c>
      <c r="BI801" t="s">
        <v>11075</v>
      </c>
      <c r="BJ801" t="s">
        <v>194</v>
      </c>
      <c r="BK801" t="s">
        <v>195</v>
      </c>
      <c r="BL801" t="s">
        <v>199</v>
      </c>
      <c r="BM801" t="s">
        <v>267</v>
      </c>
      <c r="BN801" t="s">
        <v>182</v>
      </c>
      <c r="BO801" t="s">
        <v>198</v>
      </c>
      <c r="BP801" t="s">
        <v>198</v>
      </c>
      <c r="BQ801" t="s">
        <v>198</v>
      </c>
      <c r="BR801" t="s">
        <v>198</v>
      </c>
      <c r="BS801" t="s">
        <v>198</v>
      </c>
      <c r="BT801" t="s">
        <v>198</v>
      </c>
      <c r="BU801" t="s">
        <v>182</v>
      </c>
      <c r="BV801" t="s">
        <v>198</v>
      </c>
      <c r="BW801" t="s">
        <v>198</v>
      </c>
      <c r="BX801" t="s">
        <v>199</v>
      </c>
      <c r="BY801" t="s">
        <v>198</v>
      </c>
      <c r="BZ801" t="s">
        <v>199</v>
      </c>
      <c r="CA801" t="s">
        <v>199</v>
      </c>
      <c r="CB801" t="s">
        <v>11076</v>
      </c>
      <c r="CC801" t="s">
        <v>201</v>
      </c>
      <c r="CD801" t="s">
        <v>202</v>
      </c>
      <c r="CE801" t="s">
        <v>11077</v>
      </c>
      <c r="CF801" t="s">
        <v>413</v>
      </c>
      <c r="CG801" t="s">
        <v>177</v>
      </c>
      <c r="CH801" t="s">
        <v>4044</v>
      </c>
      <c r="CI801" t="s">
        <v>11078</v>
      </c>
      <c r="CJ801" t="s">
        <v>7762</v>
      </c>
      <c r="CK801" t="s">
        <v>232</v>
      </c>
      <c r="CL801" t="s">
        <v>233</v>
      </c>
      <c r="CM801" t="s">
        <v>11079</v>
      </c>
      <c r="CN801" t="s">
        <v>235</v>
      </c>
      <c r="CO801" t="s">
        <v>183</v>
      </c>
      <c r="CP801" t="s">
        <v>266</v>
      </c>
      <c r="CS801" t="s">
        <v>198</v>
      </c>
      <c r="CT801" t="s">
        <v>7678</v>
      </c>
      <c r="CU801" t="s">
        <v>292</v>
      </c>
      <c r="CV801" t="s">
        <v>293</v>
      </c>
      <c r="CW801" t="s">
        <v>11080</v>
      </c>
      <c r="CX801" t="s">
        <v>331</v>
      </c>
      <c r="CY801" t="s">
        <v>183</v>
      </c>
      <c r="CZ801" t="s">
        <v>211</v>
      </c>
      <c r="DA801" t="s">
        <v>493</v>
      </c>
      <c r="DC801" t="s">
        <v>11081</v>
      </c>
      <c r="DD801" t="s">
        <v>11082</v>
      </c>
      <c r="DE801" t="s">
        <v>267</v>
      </c>
      <c r="DF801" t="s">
        <v>268</v>
      </c>
      <c r="DG801" t="s">
        <v>11083</v>
      </c>
      <c r="DH801" t="s">
        <v>235</v>
      </c>
      <c r="DI801" t="s">
        <v>183</v>
      </c>
      <c r="DJ801" t="s">
        <v>211</v>
      </c>
      <c r="DK801" t="s">
        <v>345</v>
      </c>
      <c r="DM801" t="s">
        <v>542</v>
      </c>
      <c r="DN801" t="s">
        <v>11084</v>
      </c>
      <c r="DO801" t="s">
        <v>273</v>
      </c>
      <c r="DP801" t="s">
        <v>274</v>
      </c>
      <c r="DQ801" t="s">
        <v>11085</v>
      </c>
      <c r="DR801" t="s">
        <v>235</v>
      </c>
      <c r="DS801" t="s">
        <v>183</v>
      </c>
      <c r="DT801" t="s">
        <v>211</v>
      </c>
      <c r="DU801" t="s">
        <v>525</v>
      </c>
      <c r="DW801" t="s">
        <v>6215</v>
      </c>
      <c r="DX801" t="s">
        <v>11086</v>
      </c>
      <c r="DY801" t="s">
        <v>302</v>
      </c>
      <c r="DZ801" t="s">
        <v>303</v>
      </c>
      <c r="EA801" t="s">
        <v>11087</v>
      </c>
      <c r="EB801" t="s">
        <v>235</v>
      </c>
      <c r="EC801" t="s">
        <v>183</v>
      </c>
      <c r="ED801" t="s">
        <v>211</v>
      </c>
      <c r="EE801" t="s">
        <v>1064</v>
      </c>
      <c r="EG801" t="s">
        <v>6215</v>
      </c>
      <c r="EH801" t="s">
        <v>10993</v>
      </c>
      <c r="EI801" t="s">
        <v>207</v>
      </c>
      <c r="EJ801" t="s">
        <v>208</v>
      </c>
      <c r="EK801" t="s">
        <v>11088</v>
      </c>
      <c r="EL801" t="s">
        <v>391</v>
      </c>
      <c r="EM801" t="s">
        <v>183</v>
      </c>
      <c r="EN801" t="s">
        <v>211</v>
      </c>
      <c r="EO801" t="s">
        <v>487</v>
      </c>
      <c r="EQ801" t="s">
        <v>5242</v>
      </c>
      <c r="FA801" t="s">
        <v>198</v>
      </c>
      <c r="FK801" t="s">
        <v>198</v>
      </c>
      <c r="FU801" t="s">
        <v>198</v>
      </c>
    </row>
    <row r="802" spans="1:177">
      <c r="A802" s="1" t="str">
        <f>HYPERLINK("http://digipan.lumentumllc.com/apps/getLink/index.php?t=PropLink&amp;p=5246297","PL")</f>
        <v>PL</v>
      </c>
      <c r="B802" s="1" t="str">
        <f>HYPERLINK("http://digipan.lumentumllc.com/apps/getLink/index.php?t=TaxLink&amp;p=5246297","TL")</f>
        <v>TL</v>
      </c>
      <c r="C802" s="1" t="str">
        <f>HYPERLINK("http://digipan.lumentumllc.com/apps/getMap/index.php?p=5246297","Map")</f>
        <v>Map</v>
      </c>
      <c r="E802" t="s">
        <v>177</v>
      </c>
      <c r="F802" t="s">
        <v>178</v>
      </c>
      <c r="L802" t="s">
        <v>11089</v>
      </c>
      <c r="N802" t="s">
        <v>11089</v>
      </c>
      <c r="O802" t="s">
        <v>11089</v>
      </c>
      <c r="P802" t="s">
        <v>11090</v>
      </c>
      <c r="Q802" t="s">
        <v>11089</v>
      </c>
      <c r="V802">
        <v>932</v>
      </c>
      <c r="W802">
        <v>3</v>
      </c>
      <c r="X802">
        <v>2017</v>
      </c>
      <c r="Y802">
        <v>2018</v>
      </c>
      <c r="Z802">
        <v>215.18</v>
      </c>
      <c r="AB802" t="s">
        <v>181</v>
      </c>
      <c r="AC802" t="s">
        <v>182</v>
      </c>
      <c r="AD802" t="s">
        <v>183</v>
      </c>
      <c r="AE802">
        <v>1</v>
      </c>
      <c r="AF802">
        <v>6</v>
      </c>
      <c r="AG802" t="s">
        <v>418</v>
      </c>
      <c r="AH802">
        <v>86</v>
      </c>
      <c r="AI802">
        <v>186.38</v>
      </c>
      <c r="AJ802">
        <v>13.98</v>
      </c>
      <c r="AK802">
        <v>200.36</v>
      </c>
      <c r="AL802">
        <v>12000</v>
      </c>
      <c r="AM802">
        <v>12000</v>
      </c>
      <c r="AN802">
        <v>0</v>
      </c>
      <c r="AO802">
        <v>147</v>
      </c>
      <c r="AP802">
        <v>2016</v>
      </c>
      <c r="AQ802">
        <v>1.79</v>
      </c>
      <c r="AR802">
        <v>1.67</v>
      </c>
      <c r="AS802" t="s">
        <v>11091</v>
      </c>
      <c r="AT802" t="s">
        <v>3747</v>
      </c>
      <c r="AU802" t="s">
        <v>177</v>
      </c>
      <c r="AV802" t="s">
        <v>1030</v>
      </c>
      <c r="AW802" t="s">
        <v>182</v>
      </c>
      <c r="AX802">
        <v>0</v>
      </c>
      <c r="AY802" t="s">
        <v>312</v>
      </c>
      <c r="AZ802" t="s">
        <v>199</v>
      </c>
      <c r="BA802" t="s">
        <v>313</v>
      </c>
      <c r="BB802" t="s">
        <v>191</v>
      </c>
      <c r="BC802" t="s">
        <v>182</v>
      </c>
      <c r="BD802" t="s">
        <v>182</v>
      </c>
      <c r="BE802" t="s">
        <v>6618</v>
      </c>
      <c r="BF802">
        <v>0</v>
      </c>
      <c r="BG802">
        <v>0</v>
      </c>
      <c r="BH802">
        <v>0</v>
      </c>
      <c r="BI802" t="s">
        <v>199</v>
      </c>
      <c r="BJ802" t="s">
        <v>396</v>
      </c>
      <c r="BL802" t="s">
        <v>199</v>
      </c>
      <c r="BM802" t="s">
        <v>273</v>
      </c>
      <c r="BN802" t="s">
        <v>182</v>
      </c>
      <c r="BO802" t="s">
        <v>198</v>
      </c>
      <c r="BP802" t="s">
        <v>198</v>
      </c>
      <c r="BQ802" t="s">
        <v>198</v>
      </c>
      <c r="BR802" t="s">
        <v>198</v>
      </c>
      <c r="BS802" t="s">
        <v>198</v>
      </c>
      <c r="BT802" t="s">
        <v>198</v>
      </c>
      <c r="BU802" t="s">
        <v>182</v>
      </c>
      <c r="BV802" t="s">
        <v>198</v>
      </c>
      <c r="BW802" t="s">
        <v>198</v>
      </c>
      <c r="BX802" t="s">
        <v>199</v>
      </c>
      <c r="BY802" t="s">
        <v>198</v>
      </c>
      <c r="BZ802" t="s">
        <v>199</v>
      </c>
      <c r="CA802" t="s">
        <v>199</v>
      </c>
      <c r="CB802" t="s">
        <v>11092</v>
      </c>
      <c r="CC802" t="s">
        <v>201</v>
      </c>
      <c r="CD802" t="s">
        <v>182</v>
      </c>
      <c r="CE802" t="s">
        <v>11093</v>
      </c>
      <c r="CF802" t="s">
        <v>413</v>
      </c>
      <c r="CG802" t="s">
        <v>177</v>
      </c>
      <c r="CH802" t="s">
        <v>4489</v>
      </c>
      <c r="CI802" t="s">
        <v>11094</v>
      </c>
      <c r="CJ802" t="s">
        <v>7778</v>
      </c>
      <c r="CK802" t="s">
        <v>232</v>
      </c>
      <c r="CL802" t="s">
        <v>233</v>
      </c>
      <c r="CM802" t="s">
        <v>10999</v>
      </c>
      <c r="CN802" t="s">
        <v>2515</v>
      </c>
      <c r="CO802" t="s">
        <v>183</v>
      </c>
      <c r="CP802" t="s">
        <v>266</v>
      </c>
      <c r="CS802" t="s">
        <v>198</v>
      </c>
      <c r="CT802" t="s">
        <v>7696</v>
      </c>
      <c r="CU802" t="s">
        <v>292</v>
      </c>
      <c r="CV802" t="s">
        <v>293</v>
      </c>
      <c r="CW802" t="s">
        <v>11095</v>
      </c>
      <c r="CX802" t="s">
        <v>400</v>
      </c>
      <c r="CY802" t="s">
        <v>183</v>
      </c>
      <c r="CZ802" t="s">
        <v>211</v>
      </c>
      <c r="DA802" t="s">
        <v>298</v>
      </c>
      <c r="DC802" t="s">
        <v>3703</v>
      </c>
      <c r="DD802" t="s">
        <v>1202</v>
      </c>
      <c r="DE802" t="s">
        <v>267</v>
      </c>
      <c r="DF802" t="s">
        <v>268</v>
      </c>
      <c r="DG802" t="s">
        <v>11096</v>
      </c>
      <c r="DH802" t="s">
        <v>331</v>
      </c>
      <c r="DI802" t="s">
        <v>183</v>
      </c>
      <c r="DJ802" t="s">
        <v>211</v>
      </c>
      <c r="DK802" t="s">
        <v>345</v>
      </c>
      <c r="DM802" t="s">
        <v>11097</v>
      </c>
      <c r="DN802" t="s">
        <v>5641</v>
      </c>
      <c r="DO802" t="s">
        <v>273</v>
      </c>
      <c r="DP802" t="s">
        <v>274</v>
      </c>
      <c r="DQ802" t="s">
        <v>11098</v>
      </c>
      <c r="DR802" t="s">
        <v>1491</v>
      </c>
      <c r="DS802" t="s">
        <v>183</v>
      </c>
      <c r="DT802" t="s">
        <v>211</v>
      </c>
      <c r="DU802" t="s">
        <v>345</v>
      </c>
      <c r="DW802" t="s">
        <v>11099</v>
      </c>
      <c r="DX802" t="s">
        <v>11100</v>
      </c>
      <c r="DY802" t="s">
        <v>302</v>
      </c>
      <c r="DZ802" t="s">
        <v>303</v>
      </c>
      <c r="EA802" t="s">
        <v>11101</v>
      </c>
      <c r="EB802" t="s">
        <v>278</v>
      </c>
      <c r="EC802" t="s">
        <v>183</v>
      </c>
      <c r="ED802" t="s">
        <v>211</v>
      </c>
      <c r="EE802" t="s">
        <v>345</v>
      </c>
      <c r="EG802" t="s">
        <v>1094</v>
      </c>
      <c r="EH802" t="s">
        <v>11102</v>
      </c>
      <c r="EI802" t="s">
        <v>238</v>
      </c>
      <c r="EJ802" t="s">
        <v>239</v>
      </c>
      <c r="EK802" t="s">
        <v>4652</v>
      </c>
      <c r="EL802" t="s">
        <v>314</v>
      </c>
      <c r="EM802" t="s">
        <v>183</v>
      </c>
      <c r="EN802" t="s">
        <v>211</v>
      </c>
      <c r="EO802" t="s">
        <v>199</v>
      </c>
      <c r="EQ802" t="s">
        <v>11103</v>
      </c>
      <c r="ER802" t="s">
        <v>11104</v>
      </c>
      <c r="ES802" t="s">
        <v>346</v>
      </c>
      <c r="ET802" t="s">
        <v>347</v>
      </c>
      <c r="EU802" t="s">
        <v>11105</v>
      </c>
      <c r="EV802" t="s">
        <v>254</v>
      </c>
      <c r="EW802" t="s">
        <v>183</v>
      </c>
      <c r="EX802" t="s">
        <v>211</v>
      </c>
      <c r="EY802" t="s">
        <v>206</v>
      </c>
      <c r="FA802" t="s">
        <v>9438</v>
      </c>
      <c r="FK802" t="s">
        <v>198</v>
      </c>
      <c r="FU802" t="s">
        <v>198</v>
      </c>
    </row>
    <row r="803" spans="1:177">
      <c r="A803" s="1" t="str">
        <f>HYPERLINK("http://digipan.lumentumllc.com/apps/getLink/index.php?t=PropLink&amp;p=6886731","PL")</f>
        <v>PL</v>
      </c>
      <c r="B803" s="1" t="str">
        <f>HYPERLINK("http://digipan.lumentumllc.com/apps/getLink/index.php?t=TaxLink&amp;p=6886731","TL")</f>
        <v>TL</v>
      </c>
      <c r="C803" s="1" t="str">
        <f>HYPERLINK("http://digipan.lumentumllc.com/apps/getMap/index.php?p=6886731","Map")</f>
        <v>Map</v>
      </c>
      <c r="E803" t="s">
        <v>177</v>
      </c>
      <c r="F803" t="s">
        <v>178</v>
      </c>
      <c r="L803" t="s">
        <v>11106</v>
      </c>
      <c r="N803" t="s">
        <v>11106</v>
      </c>
      <c r="O803" t="s">
        <v>11106</v>
      </c>
      <c r="P803" t="s">
        <v>11107</v>
      </c>
      <c r="Q803" t="s">
        <v>11106</v>
      </c>
      <c r="V803">
        <v>933</v>
      </c>
      <c r="W803">
        <v>3</v>
      </c>
      <c r="X803">
        <v>2017</v>
      </c>
      <c r="Y803">
        <v>2018</v>
      </c>
      <c r="Z803">
        <v>541.11</v>
      </c>
      <c r="AB803" t="s">
        <v>181</v>
      </c>
      <c r="AC803" t="s">
        <v>182</v>
      </c>
      <c r="AD803" t="s">
        <v>1037</v>
      </c>
      <c r="AE803">
        <v>1</v>
      </c>
      <c r="AF803">
        <v>4</v>
      </c>
      <c r="AG803" t="s">
        <v>951</v>
      </c>
      <c r="AH803">
        <v>80</v>
      </c>
      <c r="AI803">
        <v>446.85</v>
      </c>
      <c r="AJ803">
        <v>22.34</v>
      </c>
      <c r="AK803">
        <v>469.19</v>
      </c>
      <c r="AL803">
        <v>35339</v>
      </c>
      <c r="AM803">
        <v>12000</v>
      </c>
      <c r="AN803">
        <v>23339</v>
      </c>
      <c r="AO803">
        <v>388</v>
      </c>
      <c r="AP803">
        <v>2016</v>
      </c>
      <c r="AQ803">
        <v>1.53</v>
      </c>
      <c r="AR803">
        <v>1.33</v>
      </c>
      <c r="AS803" t="s">
        <v>11108</v>
      </c>
      <c r="AT803" t="s">
        <v>3747</v>
      </c>
      <c r="AU803" t="s">
        <v>177</v>
      </c>
      <c r="AV803" t="s">
        <v>1030</v>
      </c>
      <c r="AW803" t="s">
        <v>182</v>
      </c>
      <c r="AX803">
        <v>2</v>
      </c>
      <c r="AY803" t="s">
        <v>188</v>
      </c>
      <c r="AZ803" t="s">
        <v>189</v>
      </c>
      <c r="BA803" t="s">
        <v>190</v>
      </c>
      <c r="BB803" t="s">
        <v>191</v>
      </c>
      <c r="BC803" t="s">
        <v>182</v>
      </c>
      <c r="BD803" t="s">
        <v>182</v>
      </c>
      <c r="BE803" t="s">
        <v>8875</v>
      </c>
      <c r="BF803">
        <v>1</v>
      </c>
      <c r="BG803">
        <v>1</v>
      </c>
      <c r="BH803">
        <v>1984</v>
      </c>
      <c r="BI803" t="s">
        <v>11109</v>
      </c>
      <c r="BJ803" t="s">
        <v>194</v>
      </c>
      <c r="BK803" t="s">
        <v>195</v>
      </c>
      <c r="BL803" t="s">
        <v>199</v>
      </c>
      <c r="BM803" t="s">
        <v>273</v>
      </c>
      <c r="BN803" t="s">
        <v>182</v>
      </c>
      <c r="BO803" t="s">
        <v>198</v>
      </c>
      <c r="BP803" t="s">
        <v>198</v>
      </c>
      <c r="BQ803" t="s">
        <v>198</v>
      </c>
      <c r="BR803" t="s">
        <v>198</v>
      </c>
      <c r="BS803" t="s">
        <v>198</v>
      </c>
      <c r="BT803" t="s">
        <v>198</v>
      </c>
      <c r="BU803" t="s">
        <v>182</v>
      </c>
      <c r="BV803" t="s">
        <v>198</v>
      </c>
      <c r="BW803" t="s">
        <v>198</v>
      </c>
      <c r="BX803" t="s">
        <v>199</v>
      </c>
      <c r="BY803" t="s">
        <v>198</v>
      </c>
      <c r="BZ803" t="s">
        <v>199</v>
      </c>
      <c r="CA803" t="s">
        <v>199</v>
      </c>
      <c r="CB803" t="s">
        <v>11092</v>
      </c>
      <c r="CC803" t="s">
        <v>201</v>
      </c>
      <c r="CD803" t="s">
        <v>182</v>
      </c>
      <c r="CE803" t="s">
        <v>11093</v>
      </c>
      <c r="CF803" t="s">
        <v>413</v>
      </c>
      <c r="CG803" t="s">
        <v>177</v>
      </c>
      <c r="CH803" t="s">
        <v>4489</v>
      </c>
      <c r="CI803" t="s">
        <v>11110</v>
      </c>
      <c r="CJ803" t="s">
        <v>10468</v>
      </c>
      <c r="CK803" t="s">
        <v>232</v>
      </c>
      <c r="CL803" t="s">
        <v>233</v>
      </c>
      <c r="CM803" t="s">
        <v>11111</v>
      </c>
      <c r="CN803" t="s">
        <v>305</v>
      </c>
      <c r="CO803" t="s">
        <v>183</v>
      </c>
      <c r="CP803" t="s">
        <v>266</v>
      </c>
      <c r="CS803" t="s">
        <v>198</v>
      </c>
      <c r="CT803" t="s">
        <v>7716</v>
      </c>
      <c r="CU803" t="s">
        <v>292</v>
      </c>
      <c r="CV803" t="s">
        <v>293</v>
      </c>
      <c r="CW803" t="s">
        <v>11112</v>
      </c>
      <c r="CX803" t="s">
        <v>333</v>
      </c>
      <c r="CY803" t="s">
        <v>183</v>
      </c>
      <c r="CZ803" t="s">
        <v>211</v>
      </c>
      <c r="DA803" t="s">
        <v>345</v>
      </c>
      <c r="DC803" t="s">
        <v>10986</v>
      </c>
      <c r="DD803" t="s">
        <v>8093</v>
      </c>
      <c r="DE803" t="s">
        <v>267</v>
      </c>
      <c r="DF803" t="s">
        <v>268</v>
      </c>
      <c r="DG803" t="s">
        <v>11113</v>
      </c>
      <c r="DH803" t="s">
        <v>331</v>
      </c>
      <c r="DI803" t="s">
        <v>183</v>
      </c>
      <c r="DJ803" t="s">
        <v>211</v>
      </c>
      <c r="DK803" t="s">
        <v>345</v>
      </c>
      <c r="DM803" t="s">
        <v>11097</v>
      </c>
      <c r="DN803" t="s">
        <v>3688</v>
      </c>
      <c r="DO803" t="s">
        <v>273</v>
      </c>
      <c r="DP803" t="s">
        <v>274</v>
      </c>
      <c r="DQ803" t="s">
        <v>11114</v>
      </c>
      <c r="DR803" t="s">
        <v>482</v>
      </c>
      <c r="DS803" t="s">
        <v>183</v>
      </c>
      <c r="DT803" t="s">
        <v>211</v>
      </c>
      <c r="DU803" t="s">
        <v>345</v>
      </c>
      <c r="DW803" t="s">
        <v>11099</v>
      </c>
      <c r="DX803" t="s">
        <v>11115</v>
      </c>
      <c r="DY803" t="s">
        <v>302</v>
      </c>
      <c r="DZ803" t="s">
        <v>303</v>
      </c>
      <c r="EA803" t="s">
        <v>11116</v>
      </c>
      <c r="EB803" t="s">
        <v>482</v>
      </c>
      <c r="EC803" t="s">
        <v>5</v>
      </c>
      <c r="ED803" t="s">
        <v>211</v>
      </c>
      <c r="EE803" t="s">
        <v>199</v>
      </c>
      <c r="EG803" t="s">
        <v>1449</v>
      </c>
      <c r="EQ803" t="s">
        <v>198</v>
      </c>
      <c r="FA803" t="s">
        <v>198</v>
      </c>
      <c r="FK803" t="s">
        <v>198</v>
      </c>
      <c r="FU803" t="s">
        <v>198</v>
      </c>
    </row>
    <row r="804" spans="1:177">
      <c r="A804" s="1" t="str">
        <f>HYPERLINK("http://digipan.lumentumllc.com/apps/getLink/index.php?t=PropLink&amp;p=5246298","PL")</f>
        <v>PL</v>
      </c>
      <c r="B804" s="1" t="str">
        <f>HYPERLINK("http://digipan.lumentumllc.com/apps/getLink/index.php?t=TaxLink&amp;p=5246298","TL")</f>
        <v>TL</v>
      </c>
      <c r="C804" s="1" t="str">
        <f>HYPERLINK("http://digipan.lumentumllc.com/apps/getMap/index.php?p=5246298","Map")</f>
        <v>Map</v>
      </c>
      <c r="E804" t="s">
        <v>177</v>
      </c>
      <c r="F804" t="s">
        <v>178</v>
      </c>
      <c r="L804" t="s">
        <v>11117</v>
      </c>
      <c r="N804" t="s">
        <v>11117</v>
      </c>
      <c r="O804" t="s">
        <v>11117</v>
      </c>
      <c r="P804" t="s">
        <v>11118</v>
      </c>
      <c r="Q804" t="s">
        <v>11117</v>
      </c>
      <c r="V804">
        <v>934</v>
      </c>
      <c r="W804">
        <v>3</v>
      </c>
      <c r="X804">
        <v>2017</v>
      </c>
      <c r="Y804">
        <v>2018</v>
      </c>
      <c r="Z804">
        <v>260.95999999999998</v>
      </c>
      <c r="AB804" t="s">
        <v>181</v>
      </c>
      <c r="AC804" t="s">
        <v>182</v>
      </c>
      <c r="AD804" t="s">
        <v>183</v>
      </c>
      <c r="AE804">
        <v>1</v>
      </c>
      <c r="AF804">
        <v>7</v>
      </c>
      <c r="AG804" t="s">
        <v>418</v>
      </c>
      <c r="AH804">
        <v>86</v>
      </c>
      <c r="AI804">
        <v>226.22</v>
      </c>
      <c r="AJ804">
        <v>14.7</v>
      </c>
      <c r="AK804">
        <v>240.92</v>
      </c>
      <c r="AL804">
        <v>15000</v>
      </c>
      <c r="AM804">
        <v>15000</v>
      </c>
      <c r="AN804">
        <v>0</v>
      </c>
      <c r="AO804">
        <v>184</v>
      </c>
      <c r="AP804">
        <v>2016</v>
      </c>
      <c r="AQ804">
        <v>1.74</v>
      </c>
      <c r="AR804">
        <v>1.61</v>
      </c>
      <c r="AS804" t="s">
        <v>11119</v>
      </c>
      <c r="AT804" t="s">
        <v>3747</v>
      </c>
      <c r="AU804" t="s">
        <v>177</v>
      </c>
      <c r="AV804" t="s">
        <v>1030</v>
      </c>
      <c r="AW804" t="s">
        <v>182</v>
      </c>
      <c r="AX804">
        <v>0</v>
      </c>
      <c r="AY804" t="s">
        <v>312</v>
      </c>
      <c r="AZ804" t="s">
        <v>199</v>
      </c>
      <c r="BA804" t="s">
        <v>313</v>
      </c>
      <c r="BB804" t="s">
        <v>191</v>
      </c>
      <c r="BC804" t="s">
        <v>182</v>
      </c>
      <c r="BD804" t="s">
        <v>182</v>
      </c>
      <c r="BE804" t="s">
        <v>383</v>
      </c>
      <c r="BF804">
        <v>0</v>
      </c>
      <c r="BG804">
        <v>0</v>
      </c>
      <c r="BH804">
        <v>0</v>
      </c>
      <c r="BI804" t="s">
        <v>199</v>
      </c>
      <c r="BJ804" t="s">
        <v>315</v>
      </c>
      <c r="BL804" t="s">
        <v>199</v>
      </c>
      <c r="BM804" t="s">
        <v>346</v>
      </c>
      <c r="BN804" t="s">
        <v>182</v>
      </c>
      <c r="BO804" t="s">
        <v>198</v>
      </c>
      <c r="BP804" t="s">
        <v>198</v>
      </c>
      <c r="BQ804" t="s">
        <v>198</v>
      </c>
      <c r="BR804" t="s">
        <v>198</v>
      </c>
      <c r="BS804" t="s">
        <v>198</v>
      </c>
      <c r="BT804" t="s">
        <v>198</v>
      </c>
      <c r="BU804" t="s">
        <v>182</v>
      </c>
      <c r="BV804" t="s">
        <v>198</v>
      </c>
      <c r="BW804" t="s">
        <v>198</v>
      </c>
      <c r="BX804" t="s">
        <v>199</v>
      </c>
      <c r="BY804" t="s">
        <v>198</v>
      </c>
      <c r="BZ804" t="s">
        <v>199</v>
      </c>
      <c r="CA804" t="s">
        <v>199</v>
      </c>
      <c r="CB804" t="s">
        <v>11120</v>
      </c>
      <c r="CC804" t="s">
        <v>201</v>
      </c>
      <c r="CD804" t="s">
        <v>202</v>
      </c>
      <c r="CE804" t="s">
        <v>11121</v>
      </c>
      <c r="CF804" t="s">
        <v>1029</v>
      </c>
      <c r="CG804" t="s">
        <v>177</v>
      </c>
      <c r="CH804" t="s">
        <v>1030</v>
      </c>
      <c r="CI804" t="s">
        <v>11122</v>
      </c>
      <c r="CJ804" t="s">
        <v>10492</v>
      </c>
      <c r="CK804" t="s">
        <v>232</v>
      </c>
      <c r="CL804" t="s">
        <v>233</v>
      </c>
      <c r="CM804" t="s">
        <v>1195</v>
      </c>
      <c r="CN804" t="s">
        <v>688</v>
      </c>
      <c r="CO804" t="s">
        <v>183</v>
      </c>
      <c r="CP804" t="s">
        <v>266</v>
      </c>
      <c r="CS804" t="s">
        <v>198</v>
      </c>
      <c r="CT804" t="s">
        <v>8013</v>
      </c>
      <c r="CU804" t="s">
        <v>292</v>
      </c>
      <c r="CV804" t="s">
        <v>293</v>
      </c>
      <c r="CW804" t="s">
        <v>9490</v>
      </c>
      <c r="CX804" t="s">
        <v>333</v>
      </c>
      <c r="CY804" t="s">
        <v>183</v>
      </c>
      <c r="CZ804" t="s">
        <v>211</v>
      </c>
      <c r="DA804" t="s">
        <v>345</v>
      </c>
      <c r="DC804" t="s">
        <v>3095</v>
      </c>
      <c r="DD804" t="s">
        <v>8113</v>
      </c>
      <c r="DE804" t="s">
        <v>267</v>
      </c>
      <c r="DF804" t="s">
        <v>268</v>
      </c>
      <c r="DG804" t="s">
        <v>9491</v>
      </c>
      <c r="DH804" t="s">
        <v>247</v>
      </c>
      <c r="DI804" t="s">
        <v>183</v>
      </c>
      <c r="DJ804" t="s">
        <v>211</v>
      </c>
      <c r="DK804" t="s">
        <v>345</v>
      </c>
      <c r="DM804" t="s">
        <v>542</v>
      </c>
      <c r="DN804" t="s">
        <v>11123</v>
      </c>
      <c r="DO804" t="s">
        <v>273</v>
      </c>
      <c r="DP804" t="s">
        <v>274</v>
      </c>
      <c r="DQ804" t="s">
        <v>8692</v>
      </c>
      <c r="DR804" t="s">
        <v>402</v>
      </c>
      <c r="DS804" t="s">
        <v>183</v>
      </c>
      <c r="DT804" t="s">
        <v>211</v>
      </c>
      <c r="DU804" t="s">
        <v>345</v>
      </c>
      <c r="DW804" t="s">
        <v>11099</v>
      </c>
      <c r="DX804" t="s">
        <v>11124</v>
      </c>
      <c r="DY804" t="s">
        <v>302</v>
      </c>
      <c r="DZ804" t="s">
        <v>303</v>
      </c>
      <c r="EA804" t="s">
        <v>11125</v>
      </c>
      <c r="EB804" t="s">
        <v>440</v>
      </c>
      <c r="EC804" t="s">
        <v>183</v>
      </c>
      <c r="ED804" t="s">
        <v>211</v>
      </c>
      <c r="EE804" t="s">
        <v>345</v>
      </c>
      <c r="EG804" t="s">
        <v>1094</v>
      </c>
      <c r="EH804" t="s">
        <v>11126</v>
      </c>
      <c r="EI804" t="s">
        <v>238</v>
      </c>
      <c r="EJ804" t="s">
        <v>239</v>
      </c>
      <c r="EK804" t="s">
        <v>11127</v>
      </c>
      <c r="EL804" t="s">
        <v>254</v>
      </c>
      <c r="EM804" t="s">
        <v>183</v>
      </c>
      <c r="EN804" t="s">
        <v>211</v>
      </c>
      <c r="EO804" t="s">
        <v>298</v>
      </c>
      <c r="EQ804" t="s">
        <v>9167</v>
      </c>
      <c r="ER804" t="s">
        <v>11128</v>
      </c>
      <c r="ES804" t="s">
        <v>346</v>
      </c>
      <c r="ET804" t="s">
        <v>347</v>
      </c>
      <c r="EU804" t="s">
        <v>11129</v>
      </c>
      <c r="EV804" t="s">
        <v>615</v>
      </c>
      <c r="EW804" t="s">
        <v>183</v>
      </c>
      <c r="EX804" t="s">
        <v>211</v>
      </c>
      <c r="EY804" t="s">
        <v>298</v>
      </c>
      <c r="FA804" t="s">
        <v>1818</v>
      </c>
      <c r="FB804" t="s">
        <v>7993</v>
      </c>
      <c r="FC804" t="s">
        <v>207</v>
      </c>
      <c r="FD804" t="s">
        <v>208</v>
      </c>
      <c r="FE804" t="s">
        <v>11130</v>
      </c>
      <c r="FF804" t="s">
        <v>576</v>
      </c>
      <c r="FG804" t="s">
        <v>183</v>
      </c>
      <c r="FH804" t="s">
        <v>211</v>
      </c>
      <c r="FI804" t="s">
        <v>345</v>
      </c>
      <c r="FK804" t="s">
        <v>2534</v>
      </c>
      <c r="FU804" t="s">
        <v>198</v>
      </c>
    </row>
    <row r="805" spans="1:177">
      <c r="A805" s="1" t="str">
        <f>HYPERLINK("http://digipan.lumentumllc.com/apps/getLink/index.php?t=PropLink&amp;p=5246299","PL")</f>
        <v>PL</v>
      </c>
      <c r="B805" s="1" t="str">
        <f>HYPERLINK("http://digipan.lumentumllc.com/apps/getLink/index.php?t=TaxLink&amp;p=5246299","TL")</f>
        <v>TL</v>
      </c>
      <c r="C805" s="1" t="str">
        <f>HYPERLINK("http://digipan.lumentumllc.com/apps/getMap/index.php?p=5246299","Map")</f>
        <v>Map</v>
      </c>
      <c r="E805" t="s">
        <v>177</v>
      </c>
      <c r="F805" t="s">
        <v>178</v>
      </c>
      <c r="L805" t="s">
        <v>11131</v>
      </c>
      <c r="N805" t="s">
        <v>11131</v>
      </c>
      <c r="O805" t="s">
        <v>11131</v>
      </c>
      <c r="P805" t="s">
        <v>11132</v>
      </c>
      <c r="Q805" t="s">
        <v>11131</v>
      </c>
      <c r="V805">
        <v>935</v>
      </c>
      <c r="W805">
        <v>3</v>
      </c>
      <c r="X805">
        <v>2017</v>
      </c>
      <c r="Y805">
        <v>2018</v>
      </c>
      <c r="Z805">
        <v>1365.71</v>
      </c>
      <c r="AB805" t="s">
        <v>181</v>
      </c>
      <c r="AC805" t="s">
        <v>202</v>
      </c>
      <c r="AD805" t="s">
        <v>183</v>
      </c>
      <c r="AE805">
        <v>0</v>
      </c>
      <c r="AF805">
        <v>7</v>
      </c>
      <c r="AG805" t="s">
        <v>528</v>
      </c>
      <c r="AH805">
        <v>100</v>
      </c>
      <c r="AK805">
        <v>0</v>
      </c>
      <c r="AL805">
        <v>124307</v>
      </c>
      <c r="AM805">
        <v>23400</v>
      </c>
      <c r="AN805">
        <v>100907</v>
      </c>
      <c r="AO805">
        <v>1215</v>
      </c>
      <c r="AP805">
        <v>2016</v>
      </c>
      <c r="AQ805">
        <v>1.1000000000000001</v>
      </c>
      <c r="AS805" t="s">
        <v>11133</v>
      </c>
      <c r="AT805" t="s">
        <v>3747</v>
      </c>
      <c r="AU805" t="s">
        <v>177</v>
      </c>
      <c r="AV805" t="s">
        <v>1030</v>
      </c>
      <c r="AW805" t="s">
        <v>202</v>
      </c>
      <c r="AX805">
        <v>2</v>
      </c>
      <c r="AY805" t="s">
        <v>188</v>
      </c>
      <c r="AZ805" t="s">
        <v>189</v>
      </c>
      <c r="BA805" t="s">
        <v>190</v>
      </c>
      <c r="BB805" t="s">
        <v>191</v>
      </c>
      <c r="BC805" t="s">
        <v>182</v>
      </c>
      <c r="BD805" t="s">
        <v>182</v>
      </c>
      <c r="BE805" t="s">
        <v>11134</v>
      </c>
      <c r="BF805">
        <v>2</v>
      </c>
      <c r="BG805">
        <v>2</v>
      </c>
      <c r="BH805">
        <v>2005</v>
      </c>
      <c r="BI805" t="s">
        <v>11135</v>
      </c>
      <c r="BJ805" t="s">
        <v>396</v>
      </c>
      <c r="BK805" t="s">
        <v>195</v>
      </c>
      <c r="BL805" t="s">
        <v>9050</v>
      </c>
      <c r="BM805" t="s">
        <v>533</v>
      </c>
      <c r="BN805" t="s">
        <v>182</v>
      </c>
      <c r="BO805" t="s">
        <v>11136</v>
      </c>
      <c r="BP805" t="s">
        <v>11137</v>
      </c>
      <c r="BR805" t="s">
        <v>1575</v>
      </c>
      <c r="BS805" t="s">
        <v>11138</v>
      </c>
      <c r="BT805" t="s">
        <v>198</v>
      </c>
      <c r="BU805" t="s">
        <v>182</v>
      </c>
      <c r="BV805" t="s">
        <v>198</v>
      </c>
      <c r="BW805" t="s">
        <v>198</v>
      </c>
      <c r="BX805" t="s">
        <v>199</v>
      </c>
      <c r="BY805" t="s">
        <v>198</v>
      </c>
      <c r="BZ805" t="s">
        <v>199</v>
      </c>
      <c r="CA805" t="s">
        <v>199</v>
      </c>
      <c r="CB805" t="s">
        <v>11139</v>
      </c>
      <c r="CC805" t="s">
        <v>201</v>
      </c>
      <c r="CD805" t="s">
        <v>182</v>
      </c>
      <c r="CE805" t="s">
        <v>11140</v>
      </c>
      <c r="CF805" t="s">
        <v>1029</v>
      </c>
      <c r="CG805" t="s">
        <v>177</v>
      </c>
      <c r="CH805" t="s">
        <v>1030</v>
      </c>
      <c r="CI805" t="s">
        <v>11141</v>
      </c>
      <c r="CJ805" t="s">
        <v>7762</v>
      </c>
      <c r="CK805" t="s">
        <v>292</v>
      </c>
      <c r="CL805" t="s">
        <v>293</v>
      </c>
      <c r="CM805" t="s">
        <v>11142</v>
      </c>
      <c r="CN805" t="s">
        <v>235</v>
      </c>
      <c r="CO805" t="s">
        <v>183</v>
      </c>
      <c r="CP805" t="s">
        <v>211</v>
      </c>
      <c r="CQ805" t="s">
        <v>270</v>
      </c>
      <c r="CR805" t="s">
        <v>271</v>
      </c>
      <c r="CS805" t="s">
        <v>4800</v>
      </c>
      <c r="CT805" t="s">
        <v>7989</v>
      </c>
      <c r="CU805" t="s">
        <v>267</v>
      </c>
      <c r="CV805" t="s">
        <v>268</v>
      </c>
      <c r="CW805" t="s">
        <v>11143</v>
      </c>
      <c r="CX805" t="s">
        <v>235</v>
      </c>
      <c r="CY805" t="s">
        <v>183</v>
      </c>
      <c r="CZ805" t="s">
        <v>211</v>
      </c>
      <c r="DB805" t="s">
        <v>271</v>
      </c>
      <c r="DC805" t="s">
        <v>198</v>
      </c>
      <c r="DD805" t="s">
        <v>6552</v>
      </c>
      <c r="DE805" t="s">
        <v>273</v>
      </c>
      <c r="DF805" t="s">
        <v>274</v>
      </c>
      <c r="DG805" t="s">
        <v>11144</v>
      </c>
      <c r="DH805" t="s">
        <v>235</v>
      </c>
      <c r="DI805" t="s">
        <v>183</v>
      </c>
      <c r="DJ805" t="s">
        <v>211</v>
      </c>
      <c r="DK805" t="s">
        <v>337</v>
      </c>
      <c r="DM805" t="s">
        <v>2672</v>
      </c>
      <c r="DN805" t="s">
        <v>8853</v>
      </c>
      <c r="DO805" t="s">
        <v>302</v>
      </c>
      <c r="DP805" t="s">
        <v>303</v>
      </c>
      <c r="DQ805" t="s">
        <v>11145</v>
      </c>
      <c r="DR805" t="s">
        <v>235</v>
      </c>
      <c r="DS805" t="s">
        <v>183</v>
      </c>
      <c r="DT805" t="s">
        <v>211</v>
      </c>
      <c r="DU805" t="s">
        <v>909</v>
      </c>
      <c r="DW805" t="s">
        <v>2672</v>
      </c>
      <c r="DX805" t="s">
        <v>11146</v>
      </c>
      <c r="DY805" t="s">
        <v>238</v>
      </c>
      <c r="DZ805" t="s">
        <v>239</v>
      </c>
      <c r="EA805" t="s">
        <v>11147</v>
      </c>
      <c r="EB805" t="s">
        <v>235</v>
      </c>
      <c r="EC805" t="s">
        <v>183</v>
      </c>
      <c r="ED805" t="s">
        <v>211</v>
      </c>
      <c r="EE805" t="s">
        <v>345</v>
      </c>
      <c r="EG805" t="s">
        <v>2753</v>
      </c>
      <c r="EH805" t="s">
        <v>11148</v>
      </c>
      <c r="EI805" t="s">
        <v>346</v>
      </c>
      <c r="EJ805" t="s">
        <v>347</v>
      </c>
      <c r="EK805" t="s">
        <v>11149</v>
      </c>
      <c r="EL805" t="s">
        <v>1551</v>
      </c>
      <c r="EM805" t="s">
        <v>183</v>
      </c>
      <c r="EN805" t="s">
        <v>211</v>
      </c>
      <c r="EO805" t="s">
        <v>345</v>
      </c>
      <c r="EQ805" t="s">
        <v>5179</v>
      </c>
      <c r="ER805" t="s">
        <v>11030</v>
      </c>
      <c r="ES805" t="s">
        <v>207</v>
      </c>
      <c r="ET805" t="s">
        <v>208</v>
      </c>
      <c r="EU805" t="s">
        <v>11150</v>
      </c>
      <c r="EV805" t="s">
        <v>235</v>
      </c>
      <c r="EW805" t="s">
        <v>183</v>
      </c>
      <c r="EX805" t="s">
        <v>211</v>
      </c>
      <c r="EY805" t="s">
        <v>337</v>
      </c>
      <c r="FA805" t="s">
        <v>5777</v>
      </c>
      <c r="FK805" t="s">
        <v>198</v>
      </c>
      <c r="FU805" t="s">
        <v>198</v>
      </c>
    </row>
    <row r="806" spans="1:177">
      <c r="A806" s="1" t="str">
        <f>HYPERLINK("http://digipan.lumentumllc.com/apps/getLink/index.php?t=PropLink&amp;p=5246300","PL")</f>
        <v>PL</v>
      </c>
      <c r="B806" s="1" t="str">
        <f>HYPERLINK("http://digipan.lumentumllc.com/apps/getLink/index.php?t=TaxLink&amp;p=5246300","TL")</f>
        <v>TL</v>
      </c>
      <c r="C806" s="1" t="str">
        <f>HYPERLINK("http://digipan.lumentumllc.com/apps/getMap/index.php?p=5246300","Map")</f>
        <v>Map</v>
      </c>
      <c r="E806" t="s">
        <v>177</v>
      </c>
      <c r="F806" t="s">
        <v>178</v>
      </c>
      <c r="L806" t="s">
        <v>11151</v>
      </c>
      <c r="N806" t="s">
        <v>11151</v>
      </c>
      <c r="O806" t="s">
        <v>11151</v>
      </c>
      <c r="P806" t="s">
        <v>11152</v>
      </c>
      <c r="Q806" t="s">
        <v>11151</v>
      </c>
      <c r="V806">
        <v>936</v>
      </c>
      <c r="W806">
        <v>3</v>
      </c>
      <c r="X806">
        <v>2017</v>
      </c>
      <c r="Y806">
        <v>2018</v>
      </c>
      <c r="Z806">
        <v>448.06</v>
      </c>
      <c r="AB806" t="s">
        <v>181</v>
      </c>
      <c r="AC806" t="s">
        <v>182</v>
      </c>
      <c r="AD806" t="s">
        <v>183</v>
      </c>
      <c r="AE806">
        <v>1</v>
      </c>
      <c r="AF806">
        <v>6</v>
      </c>
      <c r="AG806" t="s">
        <v>322</v>
      </c>
      <c r="AH806">
        <v>83</v>
      </c>
      <c r="AI806">
        <v>440.34</v>
      </c>
      <c r="AJ806">
        <v>22.02</v>
      </c>
      <c r="AK806">
        <v>462.36</v>
      </c>
      <c r="AL806">
        <v>55354</v>
      </c>
      <c r="AM806">
        <v>9750</v>
      </c>
      <c r="AN806">
        <v>45604</v>
      </c>
      <c r="AO806">
        <v>382</v>
      </c>
      <c r="AP806">
        <v>2016</v>
      </c>
      <c r="AQ806">
        <v>0.81</v>
      </c>
      <c r="AR806">
        <v>0.84</v>
      </c>
      <c r="AS806" t="s">
        <v>11153</v>
      </c>
      <c r="AT806" t="s">
        <v>3747</v>
      </c>
      <c r="AU806" t="s">
        <v>177</v>
      </c>
      <c r="AV806" t="s">
        <v>1030</v>
      </c>
      <c r="AW806" t="s">
        <v>202</v>
      </c>
      <c r="AX806">
        <v>1</v>
      </c>
      <c r="AY806" t="s">
        <v>188</v>
      </c>
      <c r="AZ806" t="s">
        <v>206</v>
      </c>
      <c r="BA806" t="s">
        <v>355</v>
      </c>
      <c r="BB806" t="s">
        <v>191</v>
      </c>
      <c r="BC806" t="s">
        <v>182</v>
      </c>
      <c r="BD806" t="s">
        <v>182</v>
      </c>
      <c r="BE806" t="s">
        <v>3956</v>
      </c>
      <c r="BF806">
        <v>1</v>
      </c>
      <c r="BG806">
        <v>1</v>
      </c>
      <c r="BH806">
        <v>1986</v>
      </c>
      <c r="BI806" t="s">
        <v>11154</v>
      </c>
      <c r="BJ806" t="s">
        <v>194</v>
      </c>
      <c r="BK806" t="s">
        <v>195</v>
      </c>
      <c r="BL806" t="s">
        <v>199</v>
      </c>
      <c r="BM806" t="s">
        <v>4724</v>
      </c>
      <c r="BN806" t="s">
        <v>182</v>
      </c>
      <c r="BO806" t="s">
        <v>11155</v>
      </c>
      <c r="BP806" t="s">
        <v>8899</v>
      </c>
      <c r="BS806" t="s">
        <v>11156</v>
      </c>
      <c r="BT806" t="s">
        <v>198</v>
      </c>
      <c r="BU806" t="s">
        <v>182</v>
      </c>
      <c r="BV806" t="s">
        <v>198</v>
      </c>
      <c r="BW806" t="s">
        <v>198</v>
      </c>
      <c r="BX806" t="s">
        <v>199</v>
      </c>
      <c r="BY806" t="s">
        <v>198</v>
      </c>
      <c r="BZ806" t="s">
        <v>199</v>
      </c>
      <c r="CA806" t="s">
        <v>199</v>
      </c>
      <c r="CB806" t="s">
        <v>6182</v>
      </c>
      <c r="CC806" t="s">
        <v>201</v>
      </c>
      <c r="CD806" t="s">
        <v>182</v>
      </c>
      <c r="CE806" t="s">
        <v>11157</v>
      </c>
      <c r="CF806" t="s">
        <v>1029</v>
      </c>
      <c r="CG806" t="s">
        <v>177</v>
      </c>
      <c r="CH806" t="s">
        <v>1030</v>
      </c>
      <c r="CI806" t="s">
        <v>11158</v>
      </c>
      <c r="CJ806" t="s">
        <v>4833</v>
      </c>
      <c r="CK806" t="s">
        <v>232</v>
      </c>
      <c r="CL806" t="s">
        <v>233</v>
      </c>
      <c r="CM806" t="s">
        <v>11159</v>
      </c>
      <c r="CN806" t="s">
        <v>235</v>
      </c>
      <c r="CO806" t="s">
        <v>183</v>
      </c>
      <c r="CP806" t="s">
        <v>266</v>
      </c>
      <c r="CS806" t="s">
        <v>198</v>
      </c>
      <c r="CT806" t="s">
        <v>10492</v>
      </c>
      <c r="CU806" t="s">
        <v>292</v>
      </c>
      <c r="CV806" t="s">
        <v>293</v>
      </c>
      <c r="CW806" t="s">
        <v>11160</v>
      </c>
      <c r="CX806" t="s">
        <v>235</v>
      </c>
      <c r="CY806" t="s">
        <v>183</v>
      </c>
      <c r="CZ806" t="s">
        <v>211</v>
      </c>
      <c r="DA806" t="s">
        <v>298</v>
      </c>
      <c r="DC806" t="s">
        <v>3588</v>
      </c>
      <c r="DD806" t="s">
        <v>2385</v>
      </c>
      <c r="DE806" t="s">
        <v>267</v>
      </c>
      <c r="DF806" t="s">
        <v>268</v>
      </c>
      <c r="DG806" t="s">
        <v>11161</v>
      </c>
      <c r="DH806" t="s">
        <v>235</v>
      </c>
      <c r="DI806" t="s">
        <v>183</v>
      </c>
      <c r="DJ806" t="s">
        <v>211</v>
      </c>
      <c r="DK806" t="s">
        <v>298</v>
      </c>
      <c r="DM806" t="s">
        <v>2428</v>
      </c>
      <c r="DN806" t="s">
        <v>5679</v>
      </c>
      <c r="DO806" t="s">
        <v>273</v>
      </c>
      <c r="DP806" t="s">
        <v>274</v>
      </c>
      <c r="DQ806" t="s">
        <v>11162</v>
      </c>
      <c r="DR806" t="s">
        <v>235</v>
      </c>
      <c r="DS806" t="s">
        <v>183</v>
      </c>
      <c r="DT806" t="s">
        <v>211</v>
      </c>
      <c r="DU806" t="s">
        <v>212</v>
      </c>
      <c r="DW806" t="s">
        <v>11163</v>
      </c>
      <c r="DX806" t="s">
        <v>11164</v>
      </c>
      <c r="DY806" t="s">
        <v>302</v>
      </c>
      <c r="DZ806" t="s">
        <v>303</v>
      </c>
      <c r="EA806" t="s">
        <v>11165</v>
      </c>
      <c r="EB806" t="s">
        <v>235</v>
      </c>
      <c r="EC806" t="s">
        <v>183</v>
      </c>
      <c r="ED806" t="s">
        <v>211</v>
      </c>
      <c r="EE806" t="s">
        <v>342</v>
      </c>
      <c r="EG806" t="s">
        <v>2753</v>
      </c>
      <c r="EH806" t="s">
        <v>4364</v>
      </c>
      <c r="EI806" t="s">
        <v>346</v>
      </c>
      <c r="EJ806" t="s">
        <v>347</v>
      </c>
      <c r="EK806" t="s">
        <v>11166</v>
      </c>
      <c r="EL806" t="s">
        <v>2515</v>
      </c>
      <c r="EM806" t="s">
        <v>183</v>
      </c>
      <c r="EN806" t="s">
        <v>211</v>
      </c>
      <c r="EO806" t="s">
        <v>342</v>
      </c>
      <c r="EQ806" t="s">
        <v>1268</v>
      </c>
      <c r="ER806" t="s">
        <v>11167</v>
      </c>
      <c r="ES806" t="s">
        <v>207</v>
      </c>
      <c r="ET806" t="s">
        <v>208</v>
      </c>
      <c r="EU806" t="s">
        <v>11168</v>
      </c>
      <c r="EV806" t="s">
        <v>576</v>
      </c>
      <c r="EW806" t="s">
        <v>183</v>
      </c>
      <c r="EX806" t="s">
        <v>211</v>
      </c>
      <c r="EY806" t="s">
        <v>298</v>
      </c>
      <c r="FA806" t="s">
        <v>11169</v>
      </c>
      <c r="FK806" t="s">
        <v>198</v>
      </c>
      <c r="FU806" t="s">
        <v>198</v>
      </c>
    </row>
    <row r="807" spans="1:177">
      <c r="A807" s="1" t="str">
        <f>HYPERLINK("http://digipan.lumentumllc.com/apps/getLink/index.php?t=PropLink&amp;p=5246301","PL")</f>
        <v>PL</v>
      </c>
      <c r="B807" s="1" t="str">
        <f>HYPERLINK("http://digipan.lumentumllc.com/apps/getLink/index.php?t=TaxLink&amp;p=5246301","TL")</f>
        <v>TL</v>
      </c>
      <c r="C807" s="1" t="str">
        <f>HYPERLINK("http://digipan.lumentumllc.com/apps/getMap/index.php?p=5246301","Map")</f>
        <v>Map</v>
      </c>
      <c r="E807" t="s">
        <v>177</v>
      </c>
      <c r="F807" t="s">
        <v>178</v>
      </c>
      <c r="L807" t="s">
        <v>11170</v>
      </c>
      <c r="N807" t="s">
        <v>11170</v>
      </c>
      <c r="O807" t="s">
        <v>11170</v>
      </c>
      <c r="P807" t="s">
        <v>11171</v>
      </c>
      <c r="Q807" t="s">
        <v>11170</v>
      </c>
      <c r="V807">
        <v>937</v>
      </c>
      <c r="W807">
        <v>3</v>
      </c>
      <c r="X807">
        <v>2017</v>
      </c>
      <c r="Y807">
        <v>2018</v>
      </c>
      <c r="Z807">
        <v>180.82</v>
      </c>
      <c r="AB807" t="s">
        <v>181</v>
      </c>
      <c r="AC807" t="s">
        <v>182</v>
      </c>
      <c r="AD807" t="s">
        <v>183</v>
      </c>
      <c r="AE807">
        <v>6</v>
      </c>
      <c r="AF807">
        <v>2</v>
      </c>
      <c r="AG807" t="s">
        <v>6510</v>
      </c>
      <c r="AH807">
        <v>14</v>
      </c>
      <c r="AI807">
        <v>982.47</v>
      </c>
      <c r="AJ807">
        <v>448.29</v>
      </c>
      <c r="AK807">
        <v>1430.76</v>
      </c>
      <c r="AL807">
        <v>9750</v>
      </c>
      <c r="AM807">
        <v>9750</v>
      </c>
      <c r="AN807">
        <v>0</v>
      </c>
      <c r="AO807">
        <v>120</v>
      </c>
      <c r="AP807">
        <v>2016</v>
      </c>
      <c r="AQ807">
        <v>1.85</v>
      </c>
      <c r="AR807">
        <v>14.67</v>
      </c>
      <c r="AS807" t="s">
        <v>11172</v>
      </c>
      <c r="AT807" t="s">
        <v>3747</v>
      </c>
      <c r="AU807" t="s">
        <v>177</v>
      </c>
      <c r="AV807" t="s">
        <v>1030</v>
      </c>
      <c r="AW807" t="s">
        <v>182</v>
      </c>
      <c r="AX807">
        <v>0</v>
      </c>
      <c r="AY807" t="s">
        <v>312</v>
      </c>
      <c r="AZ807" t="s">
        <v>199</v>
      </c>
      <c r="BA807" t="s">
        <v>313</v>
      </c>
      <c r="BB807" t="s">
        <v>191</v>
      </c>
      <c r="BC807" t="s">
        <v>182</v>
      </c>
      <c r="BD807" t="s">
        <v>182</v>
      </c>
      <c r="BE807" t="s">
        <v>3930</v>
      </c>
      <c r="BF807">
        <v>0</v>
      </c>
      <c r="BG807">
        <v>0</v>
      </c>
      <c r="BH807">
        <v>0</v>
      </c>
      <c r="BI807" t="s">
        <v>199</v>
      </c>
      <c r="BJ807" t="s">
        <v>315</v>
      </c>
      <c r="BL807" t="s">
        <v>199</v>
      </c>
      <c r="BM807" t="s">
        <v>679</v>
      </c>
      <c r="BN807" t="s">
        <v>182</v>
      </c>
      <c r="BO807" t="s">
        <v>198</v>
      </c>
      <c r="BP807" t="s">
        <v>198</v>
      </c>
      <c r="BQ807" t="s">
        <v>198</v>
      </c>
      <c r="BR807" t="s">
        <v>198</v>
      </c>
      <c r="BS807" t="s">
        <v>198</v>
      </c>
      <c r="BT807" t="s">
        <v>198</v>
      </c>
      <c r="BU807" t="s">
        <v>182</v>
      </c>
      <c r="BV807" t="s">
        <v>198</v>
      </c>
      <c r="BW807" t="s">
        <v>198</v>
      </c>
      <c r="BX807" t="s">
        <v>199</v>
      </c>
      <c r="BY807" t="s">
        <v>198</v>
      </c>
      <c r="BZ807" t="s">
        <v>199</v>
      </c>
      <c r="CA807" t="s">
        <v>199</v>
      </c>
      <c r="CB807" t="s">
        <v>11173</v>
      </c>
      <c r="CC807" t="s">
        <v>201</v>
      </c>
      <c r="CD807" t="s">
        <v>182</v>
      </c>
      <c r="CE807" t="s">
        <v>11174</v>
      </c>
      <c r="CF807" t="s">
        <v>1029</v>
      </c>
      <c r="CG807" t="s">
        <v>177</v>
      </c>
      <c r="CH807" t="s">
        <v>1030</v>
      </c>
      <c r="CI807" t="s">
        <v>11175</v>
      </c>
      <c r="CJ807" t="s">
        <v>7858</v>
      </c>
      <c r="CK807" t="s">
        <v>232</v>
      </c>
      <c r="CL807" t="s">
        <v>233</v>
      </c>
      <c r="CM807" t="s">
        <v>11176</v>
      </c>
      <c r="CN807" t="s">
        <v>482</v>
      </c>
      <c r="CO807" t="s">
        <v>183</v>
      </c>
      <c r="CP807" t="s">
        <v>266</v>
      </c>
      <c r="CS807" t="s">
        <v>198</v>
      </c>
      <c r="CT807" t="s">
        <v>11177</v>
      </c>
      <c r="CU807" t="s">
        <v>292</v>
      </c>
      <c r="CV807" t="s">
        <v>233</v>
      </c>
      <c r="CW807" t="s">
        <v>11178</v>
      </c>
      <c r="CX807" t="s">
        <v>486</v>
      </c>
      <c r="CY807" t="s">
        <v>183</v>
      </c>
      <c r="CZ807" t="s">
        <v>266</v>
      </c>
      <c r="DC807" t="s">
        <v>198</v>
      </c>
      <c r="DD807" t="s">
        <v>11179</v>
      </c>
      <c r="DE807" t="s">
        <v>267</v>
      </c>
      <c r="DF807" t="s">
        <v>233</v>
      </c>
      <c r="DG807" t="s">
        <v>11180</v>
      </c>
      <c r="DH807" t="s">
        <v>486</v>
      </c>
      <c r="DI807" t="s">
        <v>183</v>
      </c>
      <c r="DJ807" t="s">
        <v>266</v>
      </c>
      <c r="DM807" t="s">
        <v>198</v>
      </c>
      <c r="DN807" t="s">
        <v>5698</v>
      </c>
      <c r="DO807" t="s">
        <v>273</v>
      </c>
      <c r="DP807" t="s">
        <v>274</v>
      </c>
      <c r="DQ807" t="s">
        <v>11181</v>
      </c>
      <c r="DR807" t="s">
        <v>4595</v>
      </c>
      <c r="DS807" t="s">
        <v>183</v>
      </c>
      <c r="DT807" t="s">
        <v>266</v>
      </c>
      <c r="DW807" t="s">
        <v>198</v>
      </c>
      <c r="DX807" t="s">
        <v>11182</v>
      </c>
      <c r="DY807" t="s">
        <v>302</v>
      </c>
      <c r="DZ807" t="s">
        <v>303</v>
      </c>
      <c r="EA807" t="s">
        <v>3728</v>
      </c>
      <c r="EB807" t="s">
        <v>1615</v>
      </c>
      <c r="EC807" t="s">
        <v>183</v>
      </c>
      <c r="ED807" t="s">
        <v>266</v>
      </c>
      <c r="EG807" t="s">
        <v>198</v>
      </c>
      <c r="EH807" t="s">
        <v>11183</v>
      </c>
      <c r="EI807" t="s">
        <v>238</v>
      </c>
      <c r="EJ807" t="s">
        <v>239</v>
      </c>
      <c r="EK807" t="s">
        <v>11184</v>
      </c>
      <c r="EL807" t="s">
        <v>519</v>
      </c>
      <c r="EM807" t="s">
        <v>183</v>
      </c>
      <c r="EN807" t="s">
        <v>266</v>
      </c>
      <c r="EQ807" t="s">
        <v>198</v>
      </c>
      <c r="ER807" t="s">
        <v>11185</v>
      </c>
      <c r="ES807" t="s">
        <v>346</v>
      </c>
      <c r="ET807" t="s">
        <v>347</v>
      </c>
      <c r="EU807" t="s">
        <v>11186</v>
      </c>
      <c r="EV807" t="s">
        <v>254</v>
      </c>
      <c r="EW807" t="s">
        <v>183</v>
      </c>
      <c r="EX807" t="s">
        <v>211</v>
      </c>
      <c r="EY807" t="s">
        <v>1480</v>
      </c>
      <c r="FA807" t="s">
        <v>11187</v>
      </c>
      <c r="FB807" t="s">
        <v>11188</v>
      </c>
      <c r="FC807" t="s">
        <v>207</v>
      </c>
      <c r="FD807" t="s">
        <v>208</v>
      </c>
      <c r="FE807" t="s">
        <v>11189</v>
      </c>
      <c r="FF807" t="s">
        <v>576</v>
      </c>
      <c r="FG807" t="s">
        <v>183</v>
      </c>
      <c r="FH807" t="s">
        <v>211</v>
      </c>
      <c r="FI807" t="s">
        <v>1543</v>
      </c>
      <c r="FK807" t="s">
        <v>459</v>
      </c>
      <c r="FU807" t="s">
        <v>198</v>
      </c>
    </row>
    <row r="808" spans="1:177">
      <c r="A808" s="1" t="str">
        <f>HYPERLINK("http://digipan.lumentumllc.com/apps/getLink/index.php?t=PropLink&amp;p=5246302","PL")</f>
        <v>PL</v>
      </c>
      <c r="B808" s="1" t="str">
        <f>HYPERLINK("http://digipan.lumentumllc.com/apps/getLink/index.php?t=TaxLink&amp;p=5246302","TL")</f>
        <v>TL</v>
      </c>
      <c r="C808" s="1" t="str">
        <f>HYPERLINK("http://digipan.lumentumllc.com/apps/getMap/index.php?p=5246302","Map")</f>
        <v>Map</v>
      </c>
      <c r="E808" t="s">
        <v>177</v>
      </c>
      <c r="F808" t="s">
        <v>178</v>
      </c>
      <c r="L808" t="s">
        <v>11190</v>
      </c>
      <c r="N808" t="s">
        <v>11190</v>
      </c>
      <c r="O808" t="s">
        <v>11190</v>
      </c>
      <c r="P808" t="s">
        <v>11191</v>
      </c>
      <c r="Q808" t="s">
        <v>11190</v>
      </c>
      <c r="V808">
        <v>938</v>
      </c>
      <c r="W808">
        <v>3</v>
      </c>
      <c r="X808">
        <v>2017</v>
      </c>
      <c r="Y808">
        <v>2018</v>
      </c>
      <c r="Z808">
        <v>217.48</v>
      </c>
      <c r="AB808" t="s">
        <v>181</v>
      </c>
      <c r="AC808" t="s">
        <v>182</v>
      </c>
      <c r="AD808" t="s">
        <v>183</v>
      </c>
      <c r="AE808">
        <v>7</v>
      </c>
      <c r="AF808">
        <v>1</v>
      </c>
      <c r="AG808" t="s">
        <v>1038</v>
      </c>
      <c r="AH808">
        <v>0</v>
      </c>
      <c r="AI808">
        <v>1309.53</v>
      </c>
      <c r="AJ808">
        <v>408.96</v>
      </c>
      <c r="AK808">
        <v>1718.49</v>
      </c>
      <c r="AL808">
        <v>12750</v>
      </c>
      <c r="AM808">
        <v>9750</v>
      </c>
      <c r="AN808">
        <v>3000</v>
      </c>
      <c r="AO808">
        <v>143</v>
      </c>
      <c r="AP808">
        <v>2016</v>
      </c>
      <c r="AQ808">
        <v>1.71</v>
      </c>
      <c r="AR808">
        <v>13.48</v>
      </c>
      <c r="AS808" t="s">
        <v>11192</v>
      </c>
      <c r="AT808" t="s">
        <v>3747</v>
      </c>
      <c r="AU808" t="s">
        <v>177</v>
      </c>
      <c r="AV808" t="s">
        <v>1030</v>
      </c>
      <c r="AW808" t="s">
        <v>182</v>
      </c>
      <c r="AX808">
        <v>0</v>
      </c>
      <c r="AY808" t="s">
        <v>312</v>
      </c>
      <c r="AZ808" t="s">
        <v>199</v>
      </c>
      <c r="BA808" t="s">
        <v>313</v>
      </c>
      <c r="BB808" t="s">
        <v>191</v>
      </c>
      <c r="BC808" t="s">
        <v>182</v>
      </c>
      <c r="BD808" t="s">
        <v>182</v>
      </c>
      <c r="BE808" t="s">
        <v>3930</v>
      </c>
      <c r="BF808">
        <v>0</v>
      </c>
      <c r="BG808">
        <v>0</v>
      </c>
      <c r="BH808">
        <v>0</v>
      </c>
      <c r="BI808" t="s">
        <v>199</v>
      </c>
      <c r="BJ808" t="s">
        <v>396</v>
      </c>
      <c r="BL808" t="s">
        <v>199</v>
      </c>
      <c r="BM808" t="s">
        <v>679</v>
      </c>
      <c r="BN808" t="s">
        <v>182</v>
      </c>
      <c r="BO808" t="s">
        <v>198</v>
      </c>
      <c r="BP808" t="s">
        <v>198</v>
      </c>
      <c r="BQ808" t="s">
        <v>198</v>
      </c>
      <c r="BR808" t="s">
        <v>198</v>
      </c>
      <c r="BS808" t="s">
        <v>198</v>
      </c>
      <c r="BT808" t="s">
        <v>198</v>
      </c>
      <c r="BU808" t="s">
        <v>182</v>
      </c>
      <c r="BV808" t="s">
        <v>198</v>
      </c>
      <c r="BW808" t="s">
        <v>198</v>
      </c>
      <c r="BX808" t="s">
        <v>199</v>
      </c>
      <c r="BY808" t="s">
        <v>198</v>
      </c>
      <c r="BZ808" t="s">
        <v>199</v>
      </c>
      <c r="CA808" t="s">
        <v>199</v>
      </c>
      <c r="CB808" t="s">
        <v>11173</v>
      </c>
      <c r="CC808" t="s">
        <v>201</v>
      </c>
      <c r="CD808" t="s">
        <v>182</v>
      </c>
      <c r="CE808" t="s">
        <v>11174</v>
      </c>
      <c r="CF808" t="s">
        <v>1029</v>
      </c>
      <c r="CG808" t="s">
        <v>177</v>
      </c>
      <c r="CH808" t="s">
        <v>1030</v>
      </c>
      <c r="CI808" t="s">
        <v>11175</v>
      </c>
      <c r="CJ808" t="s">
        <v>8075</v>
      </c>
      <c r="CK808" t="s">
        <v>232</v>
      </c>
      <c r="CL808" t="s">
        <v>233</v>
      </c>
      <c r="CM808" t="s">
        <v>11193</v>
      </c>
      <c r="CN808" t="s">
        <v>482</v>
      </c>
      <c r="CO808" t="s">
        <v>183</v>
      </c>
      <c r="CP808" t="s">
        <v>266</v>
      </c>
      <c r="CS808" t="s">
        <v>198</v>
      </c>
      <c r="CT808" t="s">
        <v>11194</v>
      </c>
      <c r="CU808" t="s">
        <v>292</v>
      </c>
      <c r="CV808" t="s">
        <v>233</v>
      </c>
      <c r="CW808" t="s">
        <v>11195</v>
      </c>
      <c r="CX808" t="s">
        <v>486</v>
      </c>
      <c r="CY808" t="s">
        <v>183</v>
      </c>
      <c r="CZ808" t="s">
        <v>266</v>
      </c>
      <c r="DC808" t="s">
        <v>198</v>
      </c>
      <c r="DD808" t="s">
        <v>11196</v>
      </c>
      <c r="DE808" t="s">
        <v>267</v>
      </c>
      <c r="DF808" t="s">
        <v>233</v>
      </c>
      <c r="DG808" t="s">
        <v>11197</v>
      </c>
      <c r="DH808" t="s">
        <v>486</v>
      </c>
      <c r="DI808" t="s">
        <v>183</v>
      </c>
      <c r="DJ808" t="s">
        <v>266</v>
      </c>
      <c r="DM808" t="s">
        <v>198</v>
      </c>
      <c r="DN808" t="s">
        <v>5711</v>
      </c>
      <c r="DO808" t="s">
        <v>273</v>
      </c>
      <c r="DP808" t="s">
        <v>274</v>
      </c>
      <c r="DQ808" t="s">
        <v>9012</v>
      </c>
      <c r="DR808" t="s">
        <v>1491</v>
      </c>
      <c r="DS808" t="s">
        <v>183</v>
      </c>
      <c r="DT808" t="s">
        <v>266</v>
      </c>
      <c r="DW808" t="s">
        <v>198</v>
      </c>
      <c r="DX808" t="s">
        <v>2433</v>
      </c>
      <c r="DY808" t="s">
        <v>302</v>
      </c>
      <c r="DZ808" t="s">
        <v>303</v>
      </c>
      <c r="EA808" t="s">
        <v>8905</v>
      </c>
      <c r="EB808" t="s">
        <v>2515</v>
      </c>
      <c r="EC808" t="s">
        <v>183</v>
      </c>
      <c r="ED808" t="s">
        <v>266</v>
      </c>
      <c r="EG808" t="s">
        <v>198</v>
      </c>
      <c r="EH808" t="s">
        <v>10283</v>
      </c>
      <c r="EI808" t="s">
        <v>238</v>
      </c>
      <c r="EJ808" t="s">
        <v>239</v>
      </c>
      <c r="EK808" t="s">
        <v>8906</v>
      </c>
      <c r="EL808" t="s">
        <v>482</v>
      </c>
      <c r="EM808" t="s">
        <v>183</v>
      </c>
      <c r="EN808" t="s">
        <v>266</v>
      </c>
      <c r="EQ808" t="s">
        <v>198</v>
      </c>
      <c r="ER808" t="s">
        <v>11198</v>
      </c>
      <c r="ES808" t="s">
        <v>346</v>
      </c>
      <c r="ET808" t="s">
        <v>347</v>
      </c>
      <c r="EU808" t="s">
        <v>11199</v>
      </c>
      <c r="EV808" t="s">
        <v>235</v>
      </c>
      <c r="EW808" t="s">
        <v>183</v>
      </c>
      <c r="EX808" t="s">
        <v>266</v>
      </c>
      <c r="FA808" t="s">
        <v>198</v>
      </c>
      <c r="FB808" t="s">
        <v>11200</v>
      </c>
      <c r="FC808" t="s">
        <v>207</v>
      </c>
      <c r="FD808" t="s">
        <v>208</v>
      </c>
      <c r="FE808" t="s">
        <v>11201</v>
      </c>
      <c r="FF808" t="s">
        <v>576</v>
      </c>
      <c r="FG808" t="s">
        <v>183</v>
      </c>
      <c r="FH808" t="s">
        <v>211</v>
      </c>
      <c r="FI808" t="s">
        <v>1064</v>
      </c>
      <c r="FK808" t="s">
        <v>467</v>
      </c>
      <c r="FU808" t="s">
        <v>198</v>
      </c>
    </row>
    <row r="809" spans="1:177">
      <c r="A809" s="1" t="str">
        <f>HYPERLINK("http://digipan.lumentumllc.com/apps/getLink/index.php?t=PropLink&amp;p=5246305","PL")</f>
        <v>PL</v>
      </c>
      <c r="B809" s="1" t="str">
        <f>HYPERLINK("http://digipan.lumentumllc.com/apps/getLink/index.php?t=TaxLink&amp;p=5246305","TL")</f>
        <v>TL</v>
      </c>
      <c r="C809" s="1" t="str">
        <f>HYPERLINK("http://digipan.lumentumllc.com/apps/getMap/index.php?p=5246305","Map")</f>
        <v>Map</v>
      </c>
      <c r="E809" t="s">
        <v>177</v>
      </c>
      <c r="F809" t="s">
        <v>178</v>
      </c>
      <c r="L809" t="s">
        <v>11202</v>
      </c>
      <c r="N809" t="s">
        <v>11202</v>
      </c>
      <c r="O809" t="s">
        <v>11202</v>
      </c>
      <c r="P809" t="s">
        <v>11203</v>
      </c>
      <c r="Q809" t="s">
        <v>11202</v>
      </c>
      <c r="V809">
        <v>940</v>
      </c>
      <c r="W809">
        <v>3</v>
      </c>
      <c r="X809">
        <v>2017</v>
      </c>
      <c r="Y809">
        <v>2018</v>
      </c>
      <c r="Z809">
        <v>385.67</v>
      </c>
      <c r="AB809" t="s">
        <v>181</v>
      </c>
      <c r="AC809" t="s">
        <v>182</v>
      </c>
      <c r="AD809" t="s">
        <v>183</v>
      </c>
      <c r="AE809">
        <v>5</v>
      </c>
      <c r="AF809">
        <v>2</v>
      </c>
      <c r="AG809" t="s">
        <v>11204</v>
      </c>
      <c r="AH809">
        <v>17</v>
      </c>
      <c r="AI809">
        <v>1602.06</v>
      </c>
      <c r="AJ809">
        <v>465.23</v>
      </c>
      <c r="AK809">
        <v>2067.29</v>
      </c>
      <c r="AL809">
        <v>21602</v>
      </c>
      <c r="AM809">
        <v>9000</v>
      </c>
      <c r="AN809">
        <v>12602</v>
      </c>
      <c r="AO809">
        <v>304</v>
      </c>
      <c r="AP809">
        <v>2016</v>
      </c>
      <c r="AQ809">
        <v>1.79</v>
      </c>
      <c r="AR809">
        <v>9.57</v>
      </c>
      <c r="AS809" t="s">
        <v>11205</v>
      </c>
      <c r="AT809" t="s">
        <v>3747</v>
      </c>
      <c r="AU809" t="s">
        <v>177</v>
      </c>
      <c r="AV809" t="s">
        <v>1030</v>
      </c>
      <c r="AW809" t="s">
        <v>182</v>
      </c>
      <c r="AX809">
        <v>1</v>
      </c>
      <c r="AY809" t="s">
        <v>188</v>
      </c>
      <c r="AZ809" t="s">
        <v>206</v>
      </c>
      <c r="BA809" t="s">
        <v>355</v>
      </c>
      <c r="BB809" t="s">
        <v>191</v>
      </c>
      <c r="BC809" t="s">
        <v>182</v>
      </c>
      <c r="BD809" t="s">
        <v>182</v>
      </c>
      <c r="BE809" t="s">
        <v>11206</v>
      </c>
      <c r="BF809">
        <v>1</v>
      </c>
      <c r="BG809">
        <v>1</v>
      </c>
      <c r="BH809">
        <v>1940</v>
      </c>
      <c r="BI809" t="s">
        <v>5711</v>
      </c>
      <c r="BJ809" t="s">
        <v>285</v>
      </c>
      <c r="BK809" t="s">
        <v>195</v>
      </c>
      <c r="BL809" t="s">
        <v>199</v>
      </c>
      <c r="BM809" t="s">
        <v>679</v>
      </c>
      <c r="BN809" t="s">
        <v>182</v>
      </c>
      <c r="BO809" t="s">
        <v>198</v>
      </c>
      <c r="BP809" t="s">
        <v>198</v>
      </c>
      <c r="BQ809" t="s">
        <v>198</v>
      </c>
      <c r="BR809" t="s">
        <v>198</v>
      </c>
      <c r="BS809" t="s">
        <v>198</v>
      </c>
      <c r="BT809" t="s">
        <v>198</v>
      </c>
      <c r="BU809" t="s">
        <v>182</v>
      </c>
      <c r="BV809" t="s">
        <v>198</v>
      </c>
      <c r="BW809" t="s">
        <v>198</v>
      </c>
      <c r="BX809" t="s">
        <v>199</v>
      </c>
      <c r="BY809" t="s">
        <v>198</v>
      </c>
      <c r="BZ809" t="s">
        <v>199</v>
      </c>
      <c r="CA809" t="s">
        <v>199</v>
      </c>
      <c r="CB809" t="s">
        <v>11207</v>
      </c>
      <c r="CC809" t="s">
        <v>201</v>
      </c>
      <c r="CD809" t="s">
        <v>202</v>
      </c>
      <c r="CE809" t="s">
        <v>11208</v>
      </c>
      <c r="CF809" t="s">
        <v>1029</v>
      </c>
      <c r="CG809" t="s">
        <v>177</v>
      </c>
      <c r="CH809" t="s">
        <v>1030</v>
      </c>
      <c r="CI809" t="s">
        <v>11209</v>
      </c>
      <c r="CJ809" t="s">
        <v>7907</v>
      </c>
      <c r="CK809" t="s">
        <v>232</v>
      </c>
      <c r="CL809" t="s">
        <v>233</v>
      </c>
      <c r="CM809" t="s">
        <v>11210</v>
      </c>
      <c r="CN809" t="s">
        <v>922</v>
      </c>
      <c r="CO809" t="s">
        <v>183</v>
      </c>
      <c r="CP809" t="s">
        <v>266</v>
      </c>
      <c r="CS809" t="s">
        <v>198</v>
      </c>
      <c r="CT809" t="s">
        <v>4833</v>
      </c>
      <c r="CU809" t="s">
        <v>292</v>
      </c>
      <c r="CV809" t="s">
        <v>293</v>
      </c>
      <c r="CW809" t="s">
        <v>11211</v>
      </c>
      <c r="CX809" t="s">
        <v>482</v>
      </c>
      <c r="CY809" t="s">
        <v>183</v>
      </c>
      <c r="CZ809" t="s">
        <v>266</v>
      </c>
      <c r="DC809" t="s">
        <v>198</v>
      </c>
      <c r="DD809" t="s">
        <v>8154</v>
      </c>
      <c r="DE809" t="s">
        <v>267</v>
      </c>
      <c r="DF809" t="s">
        <v>268</v>
      </c>
      <c r="DG809" t="s">
        <v>11212</v>
      </c>
      <c r="DH809" t="s">
        <v>331</v>
      </c>
      <c r="DI809" t="s">
        <v>183</v>
      </c>
      <c r="DJ809" t="s">
        <v>266</v>
      </c>
      <c r="DM809" t="s">
        <v>198</v>
      </c>
      <c r="DN809" t="s">
        <v>8111</v>
      </c>
      <c r="DO809" t="s">
        <v>273</v>
      </c>
      <c r="DP809" t="s">
        <v>274</v>
      </c>
      <c r="DQ809" t="s">
        <v>11213</v>
      </c>
      <c r="DR809" t="s">
        <v>1491</v>
      </c>
      <c r="DS809" t="s">
        <v>183</v>
      </c>
      <c r="DT809" t="s">
        <v>266</v>
      </c>
      <c r="DW809" t="s">
        <v>198</v>
      </c>
      <c r="DX809" t="s">
        <v>6645</v>
      </c>
      <c r="DY809" t="s">
        <v>238</v>
      </c>
      <c r="DZ809" t="s">
        <v>239</v>
      </c>
      <c r="EA809" t="s">
        <v>11214</v>
      </c>
      <c r="EB809" t="s">
        <v>278</v>
      </c>
      <c r="EC809" t="s">
        <v>183</v>
      </c>
      <c r="ED809" t="s">
        <v>211</v>
      </c>
      <c r="EE809" t="s">
        <v>345</v>
      </c>
      <c r="EG809" t="s">
        <v>1097</v>
      </c>
      <c r="EH809" t="s">
        <v>2674</v>
      </c>
      <c r="EI809" t="s">
        <v>346</v>
      </c>
      <c r="EJ809" t="s">
        <v>347</v>
      </c>
      <c r="EK809" t="s">
        <v>11215</v>
      </c>
      <c r="EL809" t="s">
        <v>254</v>
      </c>
      <c r="EM809" t="s">
        <v>183</v>
      </c>
      <c r="EN809" t="s">
        <v>266</v>
      </c>
      <c r="EQ809" t="s">
        <v>198</v>
      </c>
      <c r="ER809" t="s">
        <v>11216</v>
      </c>
      <c r="ES809" t="s">
        <v>207</v>
      </c>
      <c r="ET809" t="s">
        <v>208</v>
      </c>
      <c r="EU809" t="s">
        <v>11217</v>
      </c>
      <c r="EV809" t="s">
        <v>576</v>
      </c>
      <c r="EW809" t="s">
        <v>183</v>
      </c>
      <c r="EX809" t="s">
        <v>211</v>
      </c>
      <c r="EY809" t="s">
        <v>298</v>
      </c>
      <c r="FA809" t="s">
        <v>5208</v>
      </c>
      <c r="FK809" t="s">
        <v>198</v>
      </c>
      <c r="FU809" t="s">
        <v>198</v>
      </c>
    </row>
    <row r="810" spans="1:177">
      <c r="A810" s="1" t="str">
        <f>HYPERLINK("http://digipan.lumentumllc.com/apps/getLink/index.php?t=PropLink&amp;p=4637741","PL")</f>
        <v>PL</v>
      </c>
      <c r="B810" s="1" t="str">
        <f>HYPERLINK("http://digipan.lumentumllc.com/apps/getLink/index.php?t=TaxLink&amp;p=4637741","TL")</f>
        <v>TL</v>
      </c>
      <c r="C810" s="1" t="str">
        <f>HYPERLINK("http://digipan.lumentumllc.com/apps/getMap/index.php?p=4637741","Map")</f>
        <v>Map</v>
      </c>
      <c r="E810" t="s">
        <v>177</v>
      </c>
      <c r="F810" t="s">
        <v>178</v>
      </c>
      <c r="L810" t="s">
        <v>11218</v>
      </c>
      <c r="N810" t="s">
        <v>11218</v>
      </c>
      <c r="O810" t="s">
        <v>11218</v>
      </c>
      <c r="P810" t="s">
        <v>11219</v>
      </c>
      <c r="Q810" t="s">
        <v>11218</v>
      </c>
      <c r="V810">
        <v>941</v>
      </c>
      <c r="W810">
        <v>3</v>
      </c>
      <c r="X810">
        <v>2017</v>
      </c>
      <c r="Y810">
        <v>2018</v>
      </c>
      <c r="Z810">
        <v>720.13</v>
      </c>
      <c r="AB810" t="s">
        <v>181</v>
      </c>
      <c r="AC810" t="s">
        <v>182</v>
      </c>
      <c r="AD810" t="s">
        <v>183</v>
      </c>
      <c r="AE810">
        <v>0</v>
      </c>
      <c r="AF810">
        <v>4</v>
      </c>
      <c r="AG810" t="s">
        <v>744</v>
      </c>
      <c r="AH810">
        <v>100</v>
      </c>
      <c r="AK810">
        <v>0</v>
      </c>
      <c r="AL810">
        <v>38555</v>
      </c>
      <c r="AM810">
        <v>38555</v>
      </c>
      <c r="AN810">
        <v>0</v>
      </c>
      <c r="AO810">
        <v>649</v>
      </c>
      <c r="AP810">
        <v>2016</v>
      </c>
      <c r="AQ810">
        <v>1.87</v>
      </c>
      <c r="AS810" t="s">
        <v>5071</v>
      </c>
      <c r="AT810" t="s">
        <v>3747</v>
      </c>
      <c r="AU810" t="s">
        <v>177</v>
      </c>
      <c r="AV810" t="s">
        <v>1030</v>
      </c>
      <c r="AW810" t="s">
        <v>182</v>
      </c>
      <c r="AX810">
        <v>10</v>
      </c>
      <c r="AY810" t="s">
        <v>3211</v>
      </c>
      <c r="AZ810" t="s">
        <v>270</v>
      </c>
      <c r="BA810" t="s">
        <v>3212</v>
      </c>
      <c r="BB810" t="s">
        <v>11220</v>
      </c>
      <c r="BC810" t="s">
        <v>182</v>
      </c>
      <c r="BD810" t="s">
        <v>182</v>
      </c>
      <c r="BE810" t="s">
        <v>6673</v>
      </c>
      <c r="BF810">
        <v>0</v>
      </c>
      <c r="BG810">
        <v>0</v>
      </c>
      <c r="BH810">
        <v>0</v>
      </c>
      <c r="BI810" t="s">
        <v>199</v>
      </c>
      <c r="BJ810" t="s">
        <v>315</v>
      </c>
      <c r="BL810" t="s">
        <v>11221</v>
      </c>
      <c r="BM810" t="s">
        <v>559</v>
      </c>
      <c r="BN810" t="s">
        <v>182</v>
      </c>
      <c r="BO810" t="s">
        <v>11222</v>
      </c>
      <c r="BP810" t="s">
        <v>11223</v>
      </c>
      <c r="BQ810" t="s">
        <v>5784</v>
      </c>
      <c r="BS810" t="s">
        <v>11224</v>
      </c>
      <c r="BT810" t="s">
        <v>198</v>
      </c>
      <c r="BU810" t="s">
        <v>182</v>
      </c>
      <c r="BV810" t="s">
        <v>198</v>
      </c>
      <c r="BW810" t="s">
        <v>198</v>
      </c>
      <c r="BX810" t="s">
        <v>199</v>
      </c>
      <c r="BY810" t="s">
        <v>198</v>
      </c>
      <c r="BZ810" t="s">
        <v>199</v>
      </c>
      <c r="CA810" t="s">
        <v>199</v>
      </c>
      <c r="CB810" t="s">
        <v>11225</v>
      </c>
      <c r="CC810" t="s">
        <v>201</v>
      </c>
      <c r="CD810" t="s">
        <v>182</v>
      </c>
      <c r="CE810" t="s">
        <v>2111</v>
      </c>
      <c r="CF810" t="s">
        <v>1029</v>
      </c>
      <c r="CG810" t="s">
        <v>177</v>
      </c>
      <c r="CH810" t="s">
        <v>1030</v>
      </c>
      <c r="CI810" t="s">
        <v>11226</v>
      </c>
      <c r="CJ810" t="s">
        <v>2409</v>
      </c>
      <c r="CK810" t="s">
        <v>267</v>
      </c>
      <c r="CL810" t="s">
        <v>268</v>
      </c>
      <c r="CM810" t="s">
        <v>11227</v>
      </c>
      <c r="CN810" t="s">
        <v>235</v>
      </c>
      <c r="CO810" t="s">
        <v>183</v>
      </c>
      <c r="CP810" t="s">
        <v>211</v>
      </c>
      <c r="CQ810" t="s">
        <v>290</v>
      </c>
      <c r="CS810" t="s">
        <v>11228</v>
      </c>
      <c r="CT810" t="s">
        <v>5748</v>
      </c>
      <c r="CU810" t="s">
        <v>273</v>
      </c>
      <c r="CV810" t="s">
        <v>274</v>
      </c>
      <c r="CW810" t="s">
        <v>11229</v>
      </c>
      <c r="CX810" t="s">
        <v>235</v>
      </c>
      <c r="CY810" t="s">
        <v>183</v>
      </c>
      <c r="CZ810" t="s">
        <v>211</v>
      </c>
      <c r="DA810" t="s">
        <v>206</v>
      </c>
      <c r="DC810" t="s">
        <v>11230</v>
      </c>
      <c r="DD810" t="s">
        <v>8870</v>
      </c>
      <c r="DE810" t="s">
        <v>302</v>
      </c>
      <c r="DF810" t="s">
        <v>303</v>
      </c>
      <c r="DG810" t="s">
        <v>11231</v>
      </c>
      <c r="DH810" t="s">
        <v>436</v>
      </c>
      <c r="DI810" t="s">
        <v>183</v>
      </c>
      <c r="DJ810" t="s">
        <v>211</v>
      </c>
      <c r="DK810" t="s">
        <v>329</v>
      </c>
      <c r="DM810" t="s">
        <v>520</v>
      </c>
      <c r="DN810" t="s">
        <v>11232</v>
      </c>
      <c r="DO810" t="s">
        <v>238</v>
      </c>
      <c r="DP810" t="s">
        <v>239</v>
      </c>
      <c r="DQ810" t="s">
        <v>11233</v>
      </c>
      <c r="DR810" t="s">
        <v>247</v>
      </c>
      <c r="DS810" t="s">
        <v>183</v>
      </c>
      <c r="DT810" t="s">
        <v>211</v>
      </c>
      <c r="DU810" t="s">
        <v>189</v>
      </c>
      <c r="DW810" t="s">
        <v>11234</v>
      </c>
      <c r="EG810" t="s">
        <v>198</v>
      </c>
      <c r="EQ810" t="s">
        <v>198</v>
      </c>
      <c r="FA810" t="s">
        <v>198</v>
      </c>
      <c r="FK810" t="s">
        <v>198</v>
      </c>
      <c r="FU810" t="s">
        <v>198</v>
      </c>
    </row>
    <row r="811" spans="1:177">
      <c r="A811" s="1" t="str">
        <f>HYPERLINK("http://digipan.lumentumllc.com/apps/getLink/index.php?t=PropLink&amp;p=6129050","PL")</f>
        <v>PL</v>
      </c>
      <c r="B811" s="1" t="str">
        <f>HYPERLINK("http://digipan.lumentumllc.com/apps/getLink/index.php?t=TaxLink&amp;p=6129050","TL")</f>
        <v>TL</v>
      </c>
      <c r="C811" s="1" t="str">
        <f>HYPERLINK("http://digipan.lumentumllc.com/apps/getMap/index.php?p=6129050","Map")</f>
        <v>Map</v>
      </c>
      <c r="E811" t="s">
        <v>177</v>
      </c>
      <c r="F811" t="s">
        <v>178</v>
      </c>
      <c r="L811" t="s">
        <v>11235</v>
      </c>
      <c r="N811" t="s">
        <v>11235</v>
      </c>
      <c r="O811" t="s">
        <v>11235</v>
      </c>
      <c r="P811" t="s">
        <v>11236</v>
      </c>
      <c r="Q811" t="s">
        <v>11235</v>
      </c>
      <c r="V811">
        <v>942</v>
      </c>
      <c r="W811">
        <v>3</v>
      </c>
      <c r="X811">
        <v>2017</v>
      </c>
      <c r="Y811">
        <v>2018</v>
      </c>
      <c r="Z811">
        <v>1424.77</v>
      </c>
      <c r="AB811" t="s">
        <v>181</v>
      </c>
      <c r="AC811" t="s">
        <v>182</v>
      </c>
      <c r="AD811" t="s">
        <v>183</v>
      </c>
      <c r="AE811">
        <v>0</v>
      </c>
      <c r="AF811">
        <v>1</v>
      </c>
      <c r="AG811" t="s">
        <v>821</v>
      </c>
      <c r="AH811">
        <v>100</v>
      </c>
      <c r="AK811">
        <v>0</v>
      </c>
      <c r="AL811">
        <v>78034</v>
      </c>
      <c r="AM811">
        <v>32020</v>
      </c>
      <c r="AN811">
        <v>46014</v>
      </c>
      <c r="AO811">
        <v>1257</v>
      </c>
      <c r="AP811">
        <v>2016</v>
      </c>
      <c r="AQ811">
        <v>1.83</v>
      </c>
      <c r="AS811" t="s">
        <v>11237</v>
      </c>
      <c r="AT811" t="s">
        <v>3747</v>
      </c>
      <c r="AU811" t="s">
        <v>177</v>
      </c>
      <c r="AV811" t="s">
        <v>1030</v>
      </c>
      <c r="AW811" t="s">
        <v>182</v>
      </c>
      <c r="AX811">
        <v>17</v>
      </c>
      <c r="AY811" t="s">
        <v>3641</v>
      </c>
      <c r="AZ811" t="s">
        <v>471</v>
      </c>
      <c r="BA811" t="s">
        <v>4920</v>
      </c>
      <c r="BB811" t="s">
        <v>191</v>
      </c>
      <c r="BC811" t="s">
        <v>182</v>
      </c>
      <c r="BD811" t="s">
        <v>182</v>
      </c>
      <c r="BE811" t="s">
        <v>478</v>
      </c>
      <c r="BF811">
        <v>1</v>
      </c>
      <c r="BG811">
        <v>1</v>
      </c>
      <c r="BH811">
        <v>1950</v>
      </c>
      <c r="BI811" t="s">
        <v>450</v>
      </c>
      <c r="BJ811" t="s">
        <v>194</v>
      </c>
      <c r="BK811" t="s">
        <v>840</v>
      </c>
      <c r="BL811" t="s">
        <v>6377</v>
      </c>
      <c r="BM811" t="s">
        <v>238</v>
      </c>
      <c r="BN811" t="s">
        <v>182</v>
      </c>
      <c r="BO811" t="s">
        <v>198</v>
      </c>
      <c r="BP811" t="s">
        <v>198</v>
      </c>
      <c r="BQ811" t="s">
        <v>198</v>
      </c>
      <c r="BR811" t="s">
        <v>198</v>
      </c>
      <c r="BS811" t="s">
        <v>198</v>
      </c>
      <c r="BT811" t="s">
        <v>198</v>
      </c>
      <c r="BU811" t="s">
        <v>182</v>
      </c>
      <c r="BV811" t="s">
        <v>198</v>
      </c>
      <c r="BW811" t="s">
        <v>198</v>
      </c>
      <c r="BX811" t="s">
        <v>199</v>
      </c>
      <c r="BY811" t="s">
        <v>198</v>
      </c>
      <c r="BZ811" t="s">
        <v>199</v>
      </c>
      <c r="CA811" t="s">
        <v>199</v>
      </c>
      <c r="CB811" t="s">
        <v>11238</v>
      </c>
      <c r="CC811" t="s">
        <v>201</v>
      </c>
      <c r="CD811" t="s">
        <v>202</v>
      </c>
      <c r="CE811" t="s">
        <v>2111</v>
      </c>
      <c r="CF811" t="s">
        <v>1029</v>
      </c>
      <c r="CG811" t="s">
        <v>177</v>
      </c>
      <c r="CH811" t="s">
        <v>1030</v>
      </c>
      <c r="CI811" t="s">
        <v>11239</v>
      </c>
      <c r="CJ811" t="s">
        <v>8562</v>
      </c>
      <c r="CK811" t="s">
        <v>302</v>
      </c>
      <c r="CL811" t="s">
        <v>303</v>
      </c>
      <c r="CM811" t="s">
        <v>11240</v>
      </c>
      <c r="CN811" t="s">
        <v>235</v>
      </c>
      <c r="CO811" t="s">
        <v>183</v>
      </c>
      <c r="CP811" t="s">
        <v>211</v>
      </c>
      <c r="CQ811" t="s">
        <v>329</v>
      </c>
      <c r="CS811" t="s">
        <v>520</v>
      </c>
      <c r="DC811" t="s">
        <v>198</v>
      </c>
      <c r="DM811" t="s">
        <v>198</v>
      </c>
      <c r="DW811" t="s">
        <v>198</v>
      </c>
      <c r="EG811" t="s">
        <v>198</v>
      </c>
      <c r="EQ811" t="s">
        <v>198</v>
      </c>
      <c r="FA811" t="s">
        <v>198</v>
      </c>
      <c r="FK811" t="s">
        <v>198</v>
      </c>
      <c r="FU811" t="s">
        <v>198</v>
      </c>
    </row>
    <row r="812" spans="1:177">
      <c r="A812" s="1" t="str">
        <f>HYPERLINK("http://digipan.lumentumllc.com/apps/getLink/index.php?t=PropLink&amp;p=6129051","PL")</f>
        <v>PL</v>
      </c>
      <c r="B812" s="1" t="str">
        <f>HYPERLINK("http://digipan.lumentumllc.com/apps/getLink/index.php?t=TaxLink&amp;p=6129051","TL")</f>
        <v>TL</v>
      </c>
      <c r="C812" s="1" t="str">
        <f>HYPERLINK("http://digipan.lumentumllc.com/apps/getMap/index.php?p=6129051","Map")</f>
        <v>Map</v>
      </c>
      <c r="E812" t="s">
        <v>177</v>
      </c>
      <c r="F812" t="s">
        <v>178</v>
      </c>
      <c r="L812" t="s">
        <v>11241</v>
      </c>
      <c r="N812" t="s">
        <v>11241</v>
      </c>
      <c r="O812" t="s">
        <v>11241</v>
      </c>
      <c r="P812" t="s">
        <v>11242</v>
      </c>
      <c r="Q812" t="s">
        <v>11241</v>
      </c>
      <c r="V812">
        <v>943</v>
      </c>
      <c r="W812">
        <v>3</v>
      </c>
      <c r="X812">
        <v>2017</v>
      </c>
      <c r="Y812">
        <v>2018</v>
      </c>
      <c r="Z812">
        <v>789.12</v>
      </c>
      <c r="AB812" t="s">
        <v>181</v>
      </c>
      <c r="AC812" t="s">
        <v>182</v>
      </c>
      <c r="AD812" t="s">
        <v>183</v>
      </c>
      <c r="AE812">
        <v>0</v>
      </c>
      <c r="AF812">
        <v>3</v>
      </c>
      <c r="AG812" t="s">
        <v>381</v>
      </c>
      <c r="AH812">
        <v>100</v>
      </c>
      <c r="AK812">
        <v>0</v>
      </c>
      <c r="AL812">
        <v>42420</v>
      </c>
      <c r="AM812">
        <v>42420</v>
      </c>
      <c r="AN812">
        <v>0</v>
      </c>
      <c r="AO812">
        <v>714</v>
      </c>
      <c r="AP812">
        <v>2016</v>
      </c>
      <c r="AQ812">
        <v>1.86</v>
      </c>
      <c r="AS812" t="s">
        <v>5071</v>
      </c>
      <c r="AT812" t="s">
        <v>3747</v>
      </c>
      <c r="AU812" t="s">
        <v>177</v>
      </c>
      <c r="AV812" t="s">
        <v>1030</v>
      </c>
      <c r="AW812" t="s">
        <v>182</v>
      </c>
      <c r="AX812">
        <v>0</v>
      </c>
      <c r="AY812" t="s">
        <v>312</v>
      </c>
      <c r="AZ812" t="s">
        <v>199</v>
      </c>
      <c r="BA812" t="s">
        <v>313</v>
      </c>
      <c r="BB812" t="s">
        <v>191</v>
      </c>
      <c r="BC812" t="s">
        <v>182</v>
      </c>
      <c r="BD812" t="s">
        <v>182</v>
      </c>
      <c r="BE812" t="s">
        <v>5992</v>
      </c>
      <c r="BF812">
        <v>0</v>
      </c>
      <c r="BG812">
        <v>0</v>
      </c>
      <c r="BH812">
        <v>0</v>
      </c>
      <c r="BI812" t="s">
        <v>199</v>
      </c>
      <c r="BJ812" t="s">
        <v>315</v>
      </c>
      <c r="BL812" t="s">
        <v>6377</v>
      </c>
      <c r="BM812" t="s">
        <v>238</v>
      </c>
      <c r="BN812" t="s">
        <v>182</v>
      </c>
      <c r="BO812" t="s">
        <v>198</v>
      </c>
      <c r="BP812" t="s">
        <v>198</v>
      </c>
      <c r="BQ812" t="s">
        <v>198</v>
      </c>
      <c r="BR812" t="s">
        <v>198</v>
      </c>
      <c r="BS812" t="s">
        <v>198</v>
      </c>
      <c r="BT812" t="s">
        <v>198</v>
      </c>
      <c r="BU812" t="s">
        <v>182</v>
      </c>
      <c r="BV812" t="s">
        <v>198</v>
      </c>
      <c r="BW812" t="s">
        <v>198</v>
      </c>
      <c r="BX812" t="s">
        <v>199</v>
      </c>
      <c r="BY812" t="s">
        <v>198</v>
      </c>
      <c r="BZ812" t="s">
        <v>199</v>
      </c>
      <c r="CA812" t="s">
        <v>199</v>
      </c>
      <c r="CB812" t="s">
        <v>11238</v>
      </c>
      <c r="CC812" t="s">
        <v>201</v>
      </c>
      <c r="CD812" t="s">
        <v>202</v>
      </c>
      <c r="CE812" t="s">
        <v>2111</v>
      </c>
      <c r="CF812" t="s">
        <v>1029</v>
      </c>
      <c r="CG812" t="s">
        <v>177</v>
      </c>
      <c r="CH812" t="s">
        <v>1030</v>
      </c>
      <c r="CI812" t="s">
        <v>11243</v>
      </c>
      <c r="CJ812" t="s">
        <v>7858</v>
      </c>
      <c r="CK812" t="s">
        <v>292</v>
      </c>
      <c r="CL812" t="s">
        <v>293</v>
      </c>
      <c r="CM812" t="s">
        <v>11244</v>
      </c>
      <c r="CN812" t="s">
        <v>333</v>
      </c>
      <c r="CO812" t="s">
        <v>183</v>
      </c>
      <c r="CP812" t="s">
        <v>211</v>
      </c>
      <c r="CQ812" t="s">
        <v>342</v>
      </c>
      <c r="CS812" t="s">
        <v>6580</v>
      </c>
      <c r="CT812" t="s">
        <v>10574</v>
      </c>
      <c r="CU812" t="s">
        <v>267</v>
      </c>
      <c r="CV812" t="s">
        <v>268</v>
      </c>
      <c r="CW812" t="s">
        <v>11245</v>
      </c>
      <c r="CX812" t="s">
        <v>235</v>
      </c>
      <c r="CY812" t="s">
        <v>183</v>
      </c>
      <c r="CZ812" t="s">
        <v>211</v>
      </c>
      <c r="DA812" t="s">
        <v>345</v>
      </c>
      <c r="DC812" t="s">
        <v>6580</v>
      </c>
      <c r="DD812" t="s">
        <v>10577</v>
      </c>
      <c r="DE812" t="s">
        <v>302</v>
      </c>
      <c r="DF812" t="s">
        <v>303</v>
      </c>
      <c r="DG812" t="s">
        <v>11246</v>
      </c>
      <c r="DH812" t="s">
        <v>235</v>
      </c>
      <c r="DI812" t="s">
        <v>183</v>
      </c>
      <c r="DJ812" t="s">
        <v>211</v>
      </c>
      <c r="DK812" t="s">
        <v>329</v>
      </c>
      <c r="DM812" t="s">
        <v>520</v>
      </c>
      <c r="DW812" t="s">
        <v>198</v>
      </c>
      <c r="EG812" t="s">
        <v>198</v>
      </c>
      <c r="EQ812" t="s">
        <v>198</v>
      </c>
      <c r="FA812" t="s">
        <v>198</v>
      </c>
      <c r="FK812" t="s">
        <v>198</v>
      </c>
      <c r="FU812" t="s">
        <v>198</v>
      </c>
    </row>
    <row r="813" spans="1:177">
      <c r="A813" s="1" t="str">
        <f>HYPERLINK("http://digipan.lumentumllc.com/apps/getLink/index.php?t=PropLink&amp;p=4637744","PL")</f>
        <v>PL</v>
      </c>
      <c r="B813" s="1" t="str">
        <f>HYPERLINK("http://digipan.lumentumllc.com/apps/getLink/index.php?t=TaxLink&amp;p=4637744","TL")</f>
        <v>TL</v>
      </c>
      <c r="C813" s="1" t="str">
        <f>HYPERLINK("http://digipan.lumentumllc.com/apps/getMap/index.php?p=4637744","Map")</f>
        <v>Map</v>
      </c>
      <c r="E813" t="s">
        <v>177</v>
      </c>
      <c r="F813" t="s">
        <v>178</v>
      </c>
      <c r="L813" t="s">
        <v>11247</v>
      </c>
      <c r="N813" t="s">
        <v>11247</v>
      </c>
      <c r="O813" t="s">
        <v>11247</v>
      </c>
      <c r="P813" t="s">
        <v>11248</v>
      </c>
      <c r="Q813" t="s">
        <v>11247</v>
      </c>
      <c r="V813">
        <v>944</v>
      </c>
      <c r="W813">
        <v>3</v>
      </c>
      <c r="X813">
        <v>2017</v>
      </c>
      <c r="Y813">
        <v>2018</v>
      </c>
      <c r="Z813">
        <v>1022.32</v>
      </c>
      <c r="AB813" t="s">
        <v>181</v>
      </c>
      <c r="AC813" t="s">
        <v>182</v>
      </c>
      <c r="AD813" t="s">
        <v>183</v>
      </c>
      <c r="AE813">
        <v>0</v>
      </c>
      <c r="AF813">
        <v>4</v>
      </c>
      <c r="AG813" t="s">
        <v>744</v>
      </c>
      <c r="AH813">
        <v>100</v>
      </c>
      <c r="AK813">
        <v>0</v>
      </c>
      <c r="AL813">
        <v>55486</v>
      </c>
      <c r="AM813">
        <v>55486</v>
      </c>
      <c r="AN813">
        <v>0</v>
      </c>
      <c r="AO813">
        <v>934</v>
      </c>
      <c r="AP813">
        <v>2016</v>
      </c>
      <c r="AQ813">
        <v>1.84</v>
      </c>
      <c r="AS813" t="s">
        <v>3209</v>
      </c>
      <c r="AT813" t="s">
        <v>3747</v>
      </c>
      <c r="AU813" t="s">
        <v>177</v>
      </c>
      <c r="AV813" t="s">
        <v>1030</v>
      </c>
      <c r="AW813" t="s">
        <v>182</v>
      </c>
      <c r="AX813">
        <v>10</v>
      </c>
      <c r="AY813" t="s">
        <v>3211</v>
      </c>
      <c r="AZ813" t="s">
        <v>270</v>
      </c>
      <c r="BA813" t="s">
        <v>3212</v>
      </c>
      <c r="BB813" t="s">
        <v>191</v>
      </c>
      <c r="BC813" t="s">
        <v>182</v>
      </c>
      <c r="BD813" t="s">
        <v>182</v>
      </c>
      <c r="BE813" t="s">
        <v>9756</v>
      </c>
      <c r="BF813">
        <v>0</v>
      </c>
      <c r="BG813">
        <v>0</v>
      </c>
      <c r="BH813">
        <v>0</v>
      </c>
      <c r="BI813" t="s">
        <v>199</v>
      </c>
      <c r="BJ813" t="s">
        <v>315</v>
      </c>
      <c r="BL813" t="s">
        <v>8387</v>
      </c>
      <c r="BM813" t="s">
        <v>533</v>
      </c>
      <c r="BN813" t="s">
        <v>182</v>
      </c>
      <c r="BO813" t="s">
        <v>11222</v>
      </c>
      <c r="BP813" t="s">
        <v>11223</v>
      </c>
      <c r="BQ813" t="s">
        <v>5784</v>
      </c>
      <c r="BS813" t="s">
        <v>11224</v>
      </c>
      <c r="BT813" t="s">
        <v>198</v>
      </c>
      <c r="BU813" t="s">
        <v>182</v>
      </c>
      <c r="BV813" t="s">
        <v>198</v>
      </c>
      <c r="BW813" t="s">
        <v>198</v>
      </c>
      <c r="BX813" t="s">
        <v>199</v>
      </c>
      <c r="BY813" t="s">
        <v>198</v>
      </c>
      <c r="BZ813" t="s">
        <v>199</v>
      </c>
      <c r="CA813" t="s">
        <v>199</v>
      </c>
      <c r="CB813" t="s">
        <v>11225</v>
      </c>
      <c r="CC813" t="s">
        <v>201</v>
      </c>
      <c r="CD813" t="s">
        <v>182</v>
      </c>
      <c r="CE813" t="s">
        <v>2111</v>
      </c>
      <c r="CF813" t="s">
        <v>1029</v>
      </c>
      <c r="CG813" t="s">
        <v>177</v>
      </c>
      <c r="CH813" t="s">
        <v>1030</v>
      </c>
      <c r="CI813" t="s">
        <v>11249</v>
      </c>
      <c r="CJ813" t="s">
        <v>8038</v>
      </c>
      <c r="CK813" t="s">
        <v>267</v>
      </c>
      <c r="CL813" t="s">
        <v>268</v>
      </c>
      <c r="CM813" t="s">
        <v>11250</v>
      </c>
      <c r="CN813" t="s">
        <v>235</v>
      </c>
      <c r="CO813" t="s">
        <v>183</v>
      </c>
      <c r="CP813" t="s">
        <v>211</v>
      </c>
      <c r="CQ813" t="s">
        <v>290</v>
      </c>
      <c r="CS813" t="s">
        <v>11228</v>
      </c>
      <c r="CT813" t="s">
        <v>5810</v>
      </c>
      <c r="CU813" t="s">
        <v>273</v>
      </c>
      <c r="CV813" t="s">
        <v>274</v>
      </c>
      <c r="CW813" t="s">
        <v>11251</v>
      </c>
      <c r="CX813" t="s">
        <v>235</v>
      </c>
      <c r="CY813" t="s">
        <v>183</v>
      </c>
      <c r="CZ813" t="s">
        <v>211</v>
      </c>
      <c r="DA813" t="s">
        <v>206</v>
      </c>
      <c r="DC813" t="s">
        <v>11230</v>
      </c>
      <c r="DD813" t="s">
        <v>10589</v>
      </c>
      <c r="DE813" t="s">
        <v>302</v>
      </c>
      <c r="DF813" t="s">
        <v>303</v>
      </c>
      <c r="DG813" t="s">
        <v>11252</v>
      </c>
      <c r="DH813" t="s">
        <v>436</v>
      </c>
      <c r="DI813" t="s">
        <v>183</v>
      </c>
      <c r="DJ813" t="s">
        <v>211</v>
      </c>
      <c r="DK813" t="s">
        <v>329</v>
      </c>
      <c r="DM813" t="s">
        <v>520</v>
      </c>
      <c r="DN813" t="s">
        <v>5960</v>
      </c>
      <c r="DO813" t="s">
        <v>238</v>
      </c>
      <c r="DP813" t="s">
        <v>239</v>
      </c>
      <c r="DQ813" t="s">
        <v>11253</v>
      </c>
      <c r="DR813" t="s">
        <v>247</v>
      </c>
      <c r="DS813" t="s">
        <v>183</v>
      </c>
      <c r="DT813" t="s">
        <v>211</v>
      </c>
      <c r="DU813" t="s">
        <v>189</v>
      </c>
      <c r="DW813" t="s">
        <v>11234</v>
      </c>
      <c r="EG813" t="s">
        <v>198</v>
      </c>
      <c r="EQ813" t="s">
        <v>198</v>
      </c>
      <c r="FA813" t="s">
        <v>198</v>
      </c>
      <c r="FK813" t="s">
        <v>198</v>
      </c>
      <c r="FU813" t="s">
        <v>198</v>
      </c>
    </row>
    <row r="814" spans="1:177">
      <c r="A814" s="1" t="str">
        <f>HYPERLINK("http://digipan.lumentumllc.com/apps/getLink/index.php?t=PropLink&amp;p=4637745","PL")</f>
        <v>PL</v>
      </c>
      <c r="B814" s="1" t="str">
        <f>HYPERLINK("http://digipan.lumentumllc.com/apps/getLink/index.php?t=TaxLink&amp;p=4637745","TL")</f>
        <v>TL</v>
      </c>
      <c r="C814" s="1" t="str">
        <f>HYPERLINK("http://digipan.lumentumllc.com/apps/getMap/index.php?p=4637745","Map")</f>
        <v>Map</v>
      </c>
      <c r="E814" t="s">
        <v>177</v>
      </c>
      <c r="F814" t="s">
        <v>178</v>
      </c>
      <c r="L814" t="s">
        <v>11254</v>
      </c>
      <c r="N814" t="s">
        <v>11254</v>
      </c>
      <c r="O814" t="s">
        <v>11254</v>
      </c>
      <c r="P814" t="s">
        <v>11255</v>
      </c>
      <c r="Q814" t="s">
        <v>11254</v>
      </c>
      <c r="V814">
        <v>945</v>
      </c>
      <c r="W814">
        <v>3</v>
      </c>
      <c r="X814">
        <v>2017</v>
      </c>
      <c r="Y814">
        <v>2018</v>
      </c>
      <c r="Z814">
        <v>1102.9000000000001</v>
      </c>
      <c r="AB814" t="s">
        <v>181</v>
      </c>
      <c r="AC814" t="s">
        <v>182</v>
      </c>
      <c r="AD814" t="s">
        <v>183</v>
      </c>
      <c r="AE814">
        <v>0</v>
      </c>
      <c r="AF814">
        <v>6</v>
      </c>
      <c r="AG814" t="s">
        <v>3266</v>
      </c>
      <c r="AH814">
        <v>100</v>
      </c>
      <c r="AK814">
        <v>0</v>
      </c>
      <c r="AL814">
        <v>60000</v>
      </c>
      <c r="AM814">
        <v>60000</v>
      </c>
      <c r="AN814">
        <v>0</v>
      </c>
      <c r="AO814">
        <v>1010</v>
      </c>
      <c r="AP814">
        <v>2016</v>
      </c>
      <c r="AQ814">
        <v>1.84</v>
      </c>
      <c r="AS814" t="s">
        <v>3209</v>
      </c>
      <c r="AT814" t="s">
        <v>3747</v>
      </c>
      <c r="AU814" t="s">
        <v>177</v>
      </c>
      <c r="AV814" t="s">
        <v>1030</v>
      </c>
      <c r="AW814" t="s">
        <v>182</v>
      </c>
      <c r="AX814">
        <v>10</v>
      </c>
      <c r="AY814" t="s">
        <v>3211</v>
      </c>
      <c r="AZ814" t="s">
        <v>270</v>
      </c>
      <c r="BA814" t="s">
        <v>3212</v>
      </c>
      <c r="BB814" t="s">
        <v>191</v>
      </c>
      <c r="BC814" t="s">
        <v>182</v>
      </c>
      <c r="BD814" t="s">
        <v>182</v>
      </c>
      <c r="BE814" t="s">
        <v>3682</v>
      </c>
      <c r="BF814">
        <v>0</v>
      </c>
      <c r="BG814">
        <v>0</v>
      </c>
      <c r="BH814">
        <v>0</v>
      </c>
      <c r="BI814" t="s">
        <v>199</v>
      </c>
      <c r="BJ814" t="s">
        <v>315</v>
      </c>
      <c r="BL814" t="s">
        <v>11256</v>
      </c>
      <c r="BM814" t="s">
        <v>559</v>
      </c>
      <c r="BN814" t="s">
        <v>182</v>
      </c>
      <c r="BO814" t="s">
        <v>198</v>
      </c>
      <c r="BP814" t="s">
        <v>198</v>
      </c>
      <c r="BQ814" t="s">
        <v>198</v>
      </c>
      <c r="BR814" t="s">
        <v>198</v>
      </c>
      <c r="BS814" t="s">
        <v>198</v>
      </c>
      <c r="BT814" t="s">
        <v>198</v>
      </c>
      <c r="BU814" t="s">
        <v>182</v>
      </c>
      <c r="BV814" t="s">
        <v>198</v>
      </c>
      <c r="BW814" t="s">
        <v>198</v>
      </c>
      <c r="BX814" t="s">
        <v>199</v>
      </c>
      <c r="BY814" t="s">
        <v>198</v>
      </c>
      <c r="BZ814" t="s">
        <v>199</v>
      </c>
      <c r="CA814" t="s">
        <v>199</v>
      </c>
      <c r="CB814" t="s">
        <v>11225</v>
      </c>
      <c r="CC814" t="s">
        <v>201</v>
      </c>
      <c r="CD814" t="s">
        <v>182</v>
      </c>
      <c r="CE814" t="s">
        <v>2111</v>
      </c>
      <c r="CF814" t="s">
        <v>1029</v>
      </c>
      <c r="CG814" t="s">
        <v>177</v>
      </c>
      <c r="CH814" t="s">
        <v>1030</v>
      </c>
      <c r="CI814" t="s">
        <v>11257</v>
      </c>
      <c r="CJ814" t="s">
        <v>8075</v>
      </c>
      <c r="CK814" t="s">
        <v>292</v>
      </c>
      <c r="CL814" t="s">
        <v>293</v>
      </c>
      <c r="CM814" t="s">
        <v>11258</v>
      </c>
      <c r="CN814" t="s">
        <v>235</v>
      </c>
      <c r="CO814" t="s">
        <v>183</v>
      </c>
      <c r="CP814" t="s">
        <v>211</v>
      </c>
      <c r="CQ814" t="s">
        <v>296</v>
      </c>
      <c r="CS814" t="s">
        <v>690</v>
      </c>
      <c r="CT814" t="s">
        <v>10603</v>
      </c>
      <c r="CU814" t="s">
        <v>267</v>
      </c>
      <c r="CV814" t="s">
        <v>268</v>
      </c>
      <c r="CW814" t="s">
        <v>11259</v>
      </c>
      <c r="CX814" t="s">
        <v>235</v>
      </c>
      <c r="CY814" t="s">
        <v>183</v>
      </c>
      <c r="CZ814" t="s">
        <v>211</v>
      </c>
      <c r="DA814" t="s">
        <v>290</v>
      </c>
      <c r="DC814" t="s">
        <v>11228</v>
      </c>
      <c r="DD814" t="s">
        <v>5853</v>
      </c>
      <c r="DE814" t="s">
        <v>273</v>
      </c>
      <c r="DF814" t="s">
        <v>274</v>
      </c>
      <c r="DG814" t="s">
        <v>11260</v>
      </c>
      <c r="DH814" t="s">
        <v>235</v>
      </c>
      <c r="DI814" t="s">
        <v>183</v>
      </c>
      <c r="DJ814" t="s">
        <v>211</v>
      </c>
      <c r="DK814" t="s">
        <v>206</v>
      </c>
      <c r="DM814" t="s">
        <v>11230</v>
      </c>
      <c r="DN814" t="s">
        <v>8588</v>
      </c>
      <c r="DO814" t="s">
        <v>302</v>
      </c>
      <c r="DP814" t="s">
        <v>303</v>
      </c>
      <c r="DQ814" t="s">
        <v>11261</v>
      </c>
      <c r="DR814" t="s">
        <v>1586</v>
      </c>
      <c r="DS814" t="s">
        <v>183</v>
      </c>
      <c r="DT814" t="s">
        <v>211</v>
      </c>
      <c r="DU814" t="s">
        <v>329</v>
      </c>
      <c r="DW814" t="s">
        <v>520</v>
      </c>
      <c r="DX814" t="s">
        <v>11262</v>
      </c>
      <c r="DY814" t="s">
        <v>238</v>
      </c>
      <c r="DZ814" t="s">
        <v>239</v>
      </c>
      <c r="EA814" t="s">
        <v>11263</v>
      </c>
      <c r="EB814" t="s">
        <v>247</v>
      </c>
      <c r="EC814" t="s">
        <v>183</v>
      </c>
      <c r="ED814" t="s">
        <v>211</v>
      </c>
      <c r="EE814" t="s">
        <v>189</v>
      </c>
      <c r="EG814" t="s">
        <v>11234</v>
      </c>
      <c r="EH814" t="s">
        <v>11264</v>
      </c>
      <c r="EI814" t="s">
        <v>207</v>
      </c>
      <c r="EJ814" t="s">
        <v>208</v>
      </c>
      <c r="EK814" t="s">
        <v>11265</v>
      </c>
      <c r="EL814" t="s">
        <v>576</v>
      </c>
      <c r="EM814" t="s">
        <v>183</v>
      </c>
      <c r="EN814" t="s">
        <v>211</v>
      </c>
      <c r="EO814" t="s">
        <v>270</v>
      </c>
      <c r="EQ814" t="s">
        <v>10793</v>
      </c>
      <c r="FA814" t="s">
        <v>198</v>
      </c>
      <c r="FK814" t="s">
        <v>198</v>
      </c>
      <c r="FU814" t="s">
        <v>198</v>
      </c>
    </row>
    <row r="815" spans="1:177">
      <c r="A815" s="1" t="str">
        <f>HYPERLINK("http://digipan.lumentumllc.com/apps/getLink/index.php?t=PropLink&amp;p=4637746","PL")</f>
        <v>PL</v>
      </c>
      <c r="B815" s="1" t="str">
        <f>HYPERLINK("http://digipan.lumentumllc.com/apps/getLink/index.php?t=TaxLink&amp;p=4637746","TL")</f>
        <v>TL</v>
      </c>
      <c r="C815" s="1" t="str">
        <f>HYPERLINK("http://digipan.lumentumllc.com/apps/getMap/index.php?p=4637746","Map")</f>
        <v>Map</v>
      </c>
      <c r="E815" t="s">
        <v>177</v>
      </c>
      <c r="F815" t="s">
        <v>178</v>
      </c>
      <c r="L815" t="s">
        <v>11266</v>
      </c>
      <c r="N815" t="s">
        <v>11266</v>
      </c>
      <c r="O815" t="s">
        <v>11266</v>
      </c>
      <c r="P815" t="s">
        <v>11267</v>
      </c>
      <c r="Q815" t="s">
        <v>11266</v>
      </c>
      <c r="V815">
        <v>946</v>
      </c>
      <c r="W815">
        <v>3</v>
      </c>
      <c r="X815">
        <v>2017</v>
      </c>
      <c r="Y815">
        <v>2018</v>
      </c>
      <c r="Z815">
        <v>795.91</v>
      </c>
      <c r="AB815" t="s">
        <v>181</v>
      </c>
      <c r="AC815" t="s">
        <v>182</v>
      </c>
      <c r="AD815" t="s">
        <v>183</v>
      </c>
      <c r="AE815">
        <v>0</v>
      </c>
      <c r="AF815">
        <v>6</v>
      </c>
      <c r="AG815" t="s">
        <v>3266</v>
      </c>
      <c r="AH815">
        <v>100</v>
      </c>
      <c r="AK815">
        <v>0</v>
      </c>
      <c r="AL815">
        <v>42800</v>
      </c>
      <c r="AM815">
        <v>42800</v>
      </c>
      <c r="AN815">
        <v>0</v>
      </c>
      <c r="AO815">
        <v>721</v>
      </c>
      <c r="AP815">
        <v>2016</v>
      </c>
      <c r="AQ815">
        <v>1.86</v>
      </c>
      <c r="AS815" t="s">
        <v>3209</v>
      </c>
      <c r="AT815" t="s">
        <v>3747</v>
      </c>
      <c r="AU815" t="s">
        <v>177</v>
      </c>
      <c r="AV815" t="s">
        <v>1030</v>
      </c>
      <c r="AW815" t="s">
        <v>182</v>
      </c>
      <c r="AX815">
        <v>10</v>
      </c>
      <c r="AY815" t="s">
        <v>3211</v>
      </c>
      <c r="AZ815" t="s">
        <v>270</v>
      </c>
      <c r="BA815" t="s">
        <v>3212</v>
      </c>
      <c r="BB815" t="s">
        <v>191</v>
      </c>
      <c r="BC815" t="s">
        <v>182</v>
      </c>
      <c r="BD815" t="s">
        <v>182</v>
      </c>
      <c r="BE815" t="s">
        <v>11268</v>
      </c>
      <c r="BF815">
        <v>0</v>
      </c>
      <c r="BG815">
        <v>0</v>
      </c>
      <c r="BH815">
        <v>0</v>
      </c>
      <c r="BI815" t="s">
        <v>199</v>
      </c>
      <c r="BJ815" t="s">
        <v>315</v>
      </c>
      <c r="BL815" t="s">
        <v>11256</v>
      </c>
      <c r="BM815" t="s">
        <v>559</v>
      </c>
      <c r="BN815" t="s">
        <v>182</v>
      </c>
      <c r="BO815" t="s">
        <v>198</v>
      </c>
      <c r="BP815" t="s">
        <v>198</v>
      </c>
      <c r="BQ815" t="s">
        <v>198</v>
      </c>
      <c r="BR815" t="s">
        <v>198</v>
      </c>
      <c r="BS815" t="s">
        <v>198</v>
      </c>
      <c r="BT815" t="s">
        <v>198</v>
      </c>
      <c r="BU815" t="s">
        <v>182</v>
      </c>
      <c r="BV815" t="s">
        <v>198</v>
      </c>
      <c r="BW815" t="s">
        <v>198</v>
      </c>
      <c r="BX815" t="s">
        <v>199</v>
      </c>
      <c r="BY815" t="s">
        <v>198</v>
      </c>
      <c r="BZ815" t="s">
        <v>199</v>
      </c>
      <c r="CA815" t="s">
        <v>199</v>
      </c>
      <c r="CB815" t="s">
        <v>11225</v>
      </c>
      <c r="CC815" t="s">
        <v>201</v>
      </c>
      <c r="CD815" t="s">
        <v>182</v>
      </c>
      <c r="CE815" t="s">
        <v>2111</v>
      </c>
      <c r="CF815" t="s">
        <v>1029</v>
      </c>
      <c r="CG815" t="s">
        <v>177</v>
      </c>
      <c r="CH815" t="s">
        <v>1030</v>
      </c>
      <c r="CI815" t="s">
        <v>11257</v>
      </c>
      <c r="CJ815" t="s">
        <v>7907</v>
      </c>
      <c r="CK815" t="s">
        <v>292</v>
      </c>
      <c r="CL815" t="s">
        <v>293</v>
      </c>
      <c r="CM815" t="s">
        <v>11269</v>
      </c>
      <c r="CN815" t="s">
        <v>235</v>
      </c>
      <c r="CO815" t="s">
        <v>183</v>
      </c>
      <c r="CP815" t="s">
        <v>211</v>
      </c>
      <c r="CQ815" t="s">
        <v>296</v>
      </c>
      <c r="CS815" t="s">
        <v>690</v>
      </c>
      <c r="CT815" t="s">
        <v>8234</v>
      </c>
      <c r="CU815" t="s">
        <v>267</v>
      </c>
      <c r="CV815" t="s">
        <v>268</v>
      </c>
      <c r="CW815" t="s">
        <v>11270</v>
      </c>
      <c r="CX815" t="s">
        <v>235</v>
      </c>
      <c r="CY815" t="s">
        <v>183</v>
      </c>
      <c r="CZ815" t="s">
        <v>211</v>
      </c>
      <c r="DA815" t="s">
        <v>290</v>
      </c>
      <c r="DC815" t="s">
        <v>11228</v>
      </c>
      <c r="DD815" t="s">
        <v>10736</v>
      </c>
      <c r="DE815" t="s">
        <v>273</v>
      </c>
      <c r="DF815" t="s">
        <v>274</v>
      </c>
      <c r="DG815" t="s">
        <v>11271</v>
      </c>
      <c r="DH815" t="s">
        <v>235</v>
      </c>
      <c r="DI815" t="s">
        <v>183</v>
      </c>
      <c r="DJ815" t="s">
        <v>211</v>
      </c>
      <c r="DK815" t="s">
        <v>206</v>
      </c>
      <c r="DM815" t="s">
        <v>11230</v>
      </c>
      <c r="DN815" t="s">
        <v>8607</v>
      </c>
      <c r="DO815" t="s">
        <v>302</v>
      </c>
      <c r="DP815" t="s">
        <v>303</v>
      </c>
      <c r="DQ815" t="s">
        <v>11272</v>
      </c>
      <c r="DR815" t="s">
        <v>1586</v>
      </c>
      <c r="DS815" t="s">
        <v>183</v>
      </c>
      <c r="DT815" t="s">
        <v>211</v>
      </c>
      <c r="DU815" t="s">
        <v>329</v>
      </c>
      <c r="DW815" t="s">
        <v>520</v>
      </c>
      <c r="DX815" t="s">
        <v>11273</v>
      </c>
      <c r="DY815" t="s">
        <v>238</v>
      </c>
      <c r="DZ815" t="s">
        <v>239</v>
      </c>
      <c r="EA815" t="s">
        <v>11274</v>
      </c>
      <c r="EB815" t="s">
        <v>247</v>
      </c>
      <c r="EC815" t="s">
        <v>183</v>
      </c>
      <c r="ED815" t="s">
        <v>211</v>
      </c>
      <c r="EE815" t="s">
        <v>189</v>
      </c>
      <c r="EG815" t="s">
        <v>11234</v>
      </c>
      <c r="EH815" t="s">
        <v>11104</v>
      </c>
      <c r="EI815" t="s">
        <v>207</v>
      </c>
      <c r="EJ815" t="s">
        <v>208</v>
      </c>
      <c r="EK815" t="s">
        <v>11275</v>
      </c>
      <c r="EL815" t="s">
        <v>576</v>
      </c>
      <c r="EM815" t="s">
        <v>183</v>
      </c>
      <c r="EN815" t="s">
        <v>211</v>
      </c>
      <c r="EO815" t="s">
        <v>206</v>
      </c>
      <c r="EQ815" t="s">
        <v>11276</v>
      </c>
      <c r="FA815" t="s">
        <v>198</v>
      </c>
      <c r="FK815" t="s">
        <v>198</v>
      </c>
      <c r="FU815" t="s">
        <v>198</v>
      </c>
    </row>
    <row r="816" spans="1:177">
      <c r="A816" s="1" t="str">
        <f>HYPERLINK("http://digipan.lumentumllc.com/apps/getLink/index.php?t=PropLink&amp;p=4637747","PL")</f>
        <v>PL</v>
      </c>
      <c r="B816" s="1" t="str">
        <f>HYPERLINK("http://digipan.lumentumllc.com/apps/getLink/index.php?t=TaxLink&amp;p=4637747","TL")</f>
        <v>TL</v>
      </c>
      <c r="C816" s="1" t="str">
        <f>HYPERLINK("http://digipan.lumentumllc.com/apps/getMap/index.php?p=4637747","Map")</f>
        <v>Map</v>
      </c>
      <c r="E816" t="s">
        <v>177</v>
      </c>
      <c r="F816" t="s">
        <v>178</v>
      </c>
      <c r="L816" t="s">
        <v>11277</v>
      </c>
      <c r="N816" t="s">
        <v>11277</v>
      </c>
      <c r="O816" t="s">
        <v>11277</v>
      </c>
      <c r="P816" t="s">
        <v>11278</v>
      </c>
      <c r="Q816" t="s">
        <v>11277</v>
      </c>
      <c r="V816">
        <v>947</v>
      </c>
      <c r="W816">
        <v>3</v>
      </c>
      <c r="X816">
        <v>2017</v>
      </c>
      <c r="Y816">
        <v>2018</v>
      </c>
      <c r="Z816">
        <v>592</v>
      </c>
      <c r="AB816" t="s">
        <v>181</v>
      </c>
      <c r="AC816" t="s">
        <v>182</v>
      </c>
      <c r="AD816" t="s">
        <v>183</v>
      </c>
      <c r="AE816">
        <v>0</v>
      </c>
      <c r="AF816">
        <v>6</v>
      </c>
      <c r="AG816" t="s">
        <v>3266</v>
      </c>
      <c r="AH816">
        <v>100</v>
      </c>
      <c r="AK816">
        <v>0</v>
      </c>
      <c r="AL816">
        <v>36590</v>
      </c>
      <c r="AM816">
        <v>36590</v>
      </c>
      <c r="AN816">
        <v>0</v>
      </c>
      <c r="AO816">
        <v>503</v>
      </c>
      <c r="AP816">
        <v>2016</v>
      </c>
      <c r="AQ816">
        <v>1.62</v>
      </c>
      <c r="AS816" t="s">
        <v>5071</v>
      </c>
      <c r="AT816" t="s">
        <v>3747</v>
      </c>
      <c r="AU816" t="s">
        <v>177</v>
      </c>
      <c r="AV816" t="s">
        <v>1030</v>
      </c>
      <c r="AW816" t="s">
        <v>182</v>
      </c>
      <c r="AX816">
        <v>10</v>
      </c>
      <c r="AY816" t="s">
        <v>3211</v>
      </c>
      <c r="AZ816" t="s">
        <v>270</v>
      </c>
      <c r="BA816" t="s">
        <v>3212</v>
      </c>
      <c r="BB816" t="s">
        <v>191</v>
      </c>
      <c r="BC816" t="s">
        <v>182</v>
      </c>
      <c r="BD816" t="s">
        <v>182</v>
      </c>
      <c r="BE816" t="s">
        <v>11279</v>
      </c>
      <c r="BF816">
        <v>0</v>
      </c>
      <c r="BG816">
        <v>0</v>
      </c>
      <c r="BH816">
        <v>0</v>
      </c>
      <c r="BI816" t="s">
        <v>199</v>
      </c>
      <c r="BJ816" t="s">
        <v>315</v>
      </c>
      <c r="BL816" t="s">
        <v>11256</v>
      </c>
      <c r="BM816" t="s">
        <v>559</v>
      </c>
      <c r="BN816" t="s">
        <v>182</v>
      </c>
      <c r="BO816" t="s">
        <v>198</v>
      </c>
      <c r="BP816" t="s">
        <v>198</v>
      </c>
      <c r="BQ816" t="s">
        <v>198</v>
      </c>
      <c r="BR816" t="s">
        <v>198</v>
      </c>
      <c r="BS816" t="s">
        <v>198</v>
      </c>
      <c r="BT816" t="s">
        <v>198</v>
      </c>
      <c r="BU816" t="s">
        <v>182</v>
      </c>
      <c r="BV816" t="s">
        <v>198</v>
      </c>
      <c r="BW816" t="s">
        <v>198</v>
      </c>
      <c r="BX816" t="s">
        <v>199</v>
      </c>
      <c r="BY816" t="s">
        <v>198</v>
      </c>
      <c r="BZ816" t="s">
        <v>199</v>
      </c>
      <c r="CA816" t="s">
        <v>199</v>
      </c>
      <c r="CB816" t="s">
        <v>11225</v>
      </c>
      <c r="CC816" t="s">
        <v>201</v>
      </c>
      <c r="CD816" t="s">
        <v>182</v>
      </c>
      <c r="CE816" t="s">
        <v>2111</v>
      </c>
      <c r="CF816" t="s">
        <v>1029</v>
      </c>
      <c r="CG816" t="s">
        <v>177</v>
      </c>
      <c r="CH816" t="s">
        <v>1030</v>
      </c>
      <c r="CI816" t="s">
        <v>11257</v>
      </c>
      <c r="CJ816" t="s">
        <v>7569</v>
      </c>
      <c r="CK816" t="s">
        <v>292</v>
      </c>
      <c r="CL816" t="s">
        <v>293</v>
      </c>
      <c r="CM816" t="s">
        <v>11280</v>
      </c>
      <c r="CN816" t="s">
        <v>235</v>
      </c>
      <c r="CO816" t="s">
        <v>183</v>
      </c>
      <c r="CP816" t="s">
        <v>211</v>
      </c>
      <c r="CQ816" t="s">
        <v>296</v>
      </c>
      <c r="CS816" t="s">
        <v>690</v>
      </c>
      <c r="CT816" t="s">
        <v>11084</v>
      </c>
      <c r="CU816" t="s">
        <v>267</v>
      </c>
      <c r="CV816" t="s">
        <v>268</v>
      </c>
      <c r="CW816" t="s">
        <v>11281</v>
      </c>
      <c r="CX816" t="s">
        <v>247</v>
      </c>
      <c r="CY816" t="s">
        <v>183</v>
      </c>
      <c r="CZ816" t="s">
        <v>211</v>
      </c>
      <c r="DA816" t="s">
        <v>329</v>
      </c>
      <c r="DC816" t="s">
        <v>5484</v>
      </c>
      <c r="DD816" t="s">
        <v>5873</v>
      </c>
      <c r="DE816" t="s">
        <v>273</v>
      </c>
      <c r="DF816" t="s">
        <v>274</v>
      </c>
      <c r="DG816" t="s">
        <v>11282</v>
      </c>
      <c r="DH816" t="s">
        <v>235</v>
      </c>
      <c r="DI816" t="s">
        <v>183</v>
      </c>
      <c r="DJ816" t="s">
        <v>211</v>
      </c>
      <c r="DK816" t="s">
        <v>206</v>
      </c>
      <c r="DM816" t="s">
        <v>11230</v>
      </c>
      <c r="DN816" t="s">
        <v>6018</v>
      </c>
      <c r="DO816" t="s">
        <v>302</v>
      </c>
      <c r="DP816" t="s">
        <v>303</v>
      </c>
      <c r="DQ816" t="s">
        <v>11283</v>
      </c>
      <c r="DR816" t="s">
        <v>331</v>
      </c>
      <c r="DS816" t="s">
        <v>183</v>
      </c>
      <c r="DT816" t="s">
        <v>211</v>
      </c>
      <c r="DU816" t="s">
        <v>329</v>
      </c>
      <c r="DW816" t="s">
        <v>520</v>
      </c>
      <c r="DX816" t="s">
        <v>11284</v>
      </c>
      <c r="DY816" t="s">
        <v>238</v>
      </c>
      <c r="DZ816" t="s">
        <v>239</v>
      </c>
      <c r="EA816" t="s">
        <v>11285</v>
      </c>
      <c r="EB816" t="s">
        <v>278</v>
      </c>
      <c r="EC816" t="s">
        <v>183</v>
      </c>
      <c r="ED816" t="s">
        <v>211</v>
      </c>
      <c r="EE816" t="s">
        <v>189</v>
      </c>
      <c r="EG816" t="s">
        <v>11234</v>
      </c>
      <c r="EH816" t="s">
        <v>11148</v>
      </c>
      <c r="EI816" t="s">
        <v>207</v>
      </c>
      <c r="EJ816" t="s">
        <v>208</v>
      </c>
      <c r="EK816" t="s">
        <v>11286</v>
      </c>
      <c r="EL816" t="s">
        <v>576</v>
      </c>
      <c r="EM816" t="s">
        <v>183</v>
      </c>
      <c r="EN816" t="s">
        <v>211</v>
      </c>
      <c r="EO816" t="s">
        <v>206</v>
      </c>
      <c r="EQ816" t="s">
        <v>11276</v>
      </c>
      <c r="FA816" t="s">
        <v>198</v>
      </c>
      <c r="FK816" t="s">
        <v>198</v>
      </c>
      <c r="FU816" t="s">
        <v>198</v>
      </c>
    </row>
    <row r="817" spans="1:177">
      <c r="A817" s="1" t="str">
        <f>HYPERLINK("http://digipan.lumentumllc.com/apps/getLink/index.php?t=PropLink&amp;p=4637748","PL")</f>
        <v>PL</v>
      </c>
      <c r="B817" s="1" t="str">
        <f>HYPERLINK("http://digipan.lumentumllc.com/apps/getLink/index.php?t=TaxLink&amp;p=4637748","TL")</f>
        <v>TL</v>
      </c>
      <c r="C817" s="1" t="str">
        <f>HYPERLINK("http://digipan.lumentumllc.com/apps/getMap/index.php?p=4637748","Map")</f>
        <v>Map</v>
      </c>
      <c r="E817" t="s">
        <v>177</v>
      </c>
      <c r="F817" t="s">
        <v>178</v>
      </c>
      <c r="L817" t="s">
        <v>11287</v>
      </c>
      <c r="N817" t="s">
        <v>11287</v>
      </c>
      <c r="O817" t="s">
        <v>11287</v>
      </c>
      <c r="P817" t="s">
        <v>11288</v>
      </c>
      <c r="Q817" t="s">
        <v>11287</v>
      </c>
      <c r="V817">
        <v>948</v>
      </c>
      <c r="W817">
        <v>3</v>
      </c>
      <c r="X817">
        <v>2017</v>
      </c>
      <c r="Y817">
        <v>2018</v>
      </c>
      <c r="Z817">
        <v>467.37</v>
      </c>
      <c r="AB817" t="s">
        <v>181</v>
      </c>
      <c r="AC817" t="s">
        <v>182</v>
      </c>
      <c r="AD817" t="s">
        <v>183</v>
      </c>
      <c r="AE817">
        <v>0</v>
      </c>
      <c r="AF817">
        <v>6</v>
      </c>
      <c r="AG817" t="s">
        <v>3266</v>
      </c>
      <c r="AH817">
        <v>100</v>
      </c>
      <c r="AK817">
        <v>0</v>
      </c>
      <c r="AL817">
        <v>24393</v>
      </c>
      <c r="AM817">
        <v>24393</v>
      </c>
      <c r="AN817">
        <v>0</v>
      </c>
      <c r="AO817">
        <v>411</v>
      </c>
      <c r="AP817">
        <v>2016</v>
      </c>
      <c r="AQ817">
        <v>1.92</v>
      </c>
      <c r="AS817" t="s">
        <v>5071</v>
      </c>
      <c r="AT817" t="s">
        <v>3747</v>
      </c>
      <c r="AU817" t="s">
        <v>177</v>
      </c>
      <c r="AV817" t="s">
        <v>1030</v>
      </c>
      <c r="AW817" t="s">
        <v>182</v>
      </c>
      <c r="AX817">
        <v>10</v>
      </c>
      <c r="AY817" t="s">
        <v>3211</v>
      </c>
      <c r="AZ817" t="s">
        <v>270</v>
      </c>
      <c r="BA817" t="s">
        <v>3212</v>
      </c>
      <c r="BB817" t="s">
        <v>191</v>
      </c>
      <c r="BC817" t="s">
        <v>182</v>
      </c>
      <c r="BD817" t="s">
        <v>182</v>
      </c>
      <c r="BE817" t="s">
        <v>5689</v>
      </c>
      <c r="BF817">
        <v>0</v>
      </c>
      <c r="BG817">
        <v>0</v>
      </c>
      <c r="BH817">
        <v>0</v>
      </c>
      <c r="BI817" t="s">
        <v>199</v>
      </c>
      <c r="BJ817" t="s">
        <v>315</v>
      </c>
      <c r="BL817" t="s">
        <v>11256</v>
      </c>
      <c r="BM817" t="s">
        <v>559</v>
      </c>
      <c r="BN817" t="s">
        <v>182</v>
      </c>
      <c r="BO817" t="s">
        <v>198</v>
      </c>
      <c r="BP817" t="s">
        <v>198</v>
      </c>
      <c r="BQ817" t="s">
        <v>198</v>
      </c>
      <c r="BR817" t="s">
        <v>198</v>
      </c>
      <c r="BS817" t="s">
        <v>198</v>
      </c>
      <c r="BT817" t="s">
        <v>198</v>
      </c>
      <c r="BU817" t="s">
        <v>182</v>
      </c>
      <c r="BV817" t="s">
        <v>198</v>
      </c>
      <c r="BW817" t="s">
        <v>198</v>
      </c>
      <c r="BX817" t="s">
        <v>199</v>
      </c>
      <c r="BY817" t="s">
        <v>198</v>
      </c>
      <c r="BZ817" t="s">
        <v>199</v>
      </c>
      <c r="CA817" t="s">
        <v>199</v>
      </c>
      <c r="CB817" t="s">
        <v>11225</v>
      </c>
      <c r="CC817" t="s">
        <v>201</v>
      </c>
      <c r="CD817" t="s">
        <v>182</v>
      </c>
      <c r="CE817" t="s">
        <v>2111</v>
      </c>
      <c r="CF817" t="s">
        <v>1029</v>
      </c>
      <c r="CG817" t="s">
        <v>177</v>
      </c>
      <c r="CH817" t="s">
        <v>1030</v>
      </c>
      <c r="CI817" t="s">
        <v>11257</v>
      </c>
      <c r="CJ817" t="s">
        <v>11289</v>
      </c>
      <c r="CK817" t="s">
        <v>292</v>
      </c>
      <c r="CL817" t="s">
        <v>293</v>
      </c>
      <c r="CM817" t="s">
        <v>11290</v>
      </c>
      <c r="CN817" t="s">
        <v>235</v>
      </c>
      <c r="CO817" t="s">
        <v>183</v>
      </c>
      <c r="CP817" t="s">
        <v>211</v>
      </c>
      <c r="CQ817" t="s">
        <v>296</v>
      </c>
      <c r="CS817" t="s">
        <v>690</v>
      </c>
      <c r="CT817" t="s">
        <v>11291</v>
      </c>
      <c r="CU817" t="s">
        <v>267</v>
      </c>
      <c r="CV817" t="s">
        <v>268</v>
      </c>
      <c r="CW817" t="s">
        <v>11292</v>
      </c>
      <c r="CX817" t="s">
        <v>247</v>
      </c>
      <c r="CY817" t="s">
        <v>183</v>
      </c>
      <c r="CZ817" t="s">
        <v>211</v>
      </c>
      <c r="DA817" t="s">
        <v>329</v>
      </c>
      <c r="DC817" t="s">
        <v>5484</v>
      </c>
      <c r="DD817" t="s">
        <v>5889</v>
      </c>
      <c r="DE817" t="s">
        <v>273</v>
      </c>
      <c r="DF817" t="s">
        <v>274</v>
      </c>
      <c r="DG817" t="s">
        <v>6982</v>
      </c>
      <c r="DH817" t="s">
        <v>235</v>
      </c>
      <c r="DI817" t="s">
        <v>183</v>
      </c>
      <c r="DJ817" t="s">
        <v>211</v>
      </c>
      <c r="DK817" t="s">
        <v>206</v>
      </c>
      <c r="DM817" t="s">
        <v>11230</v>
      </c>
      <c r="DN817" t="s">
        <v>11293</v>
      </c>
      <c r="DO817" t="s">
        <v>302</v>
      </c>
      <c r="DP817" t="s">
        <v>303</v>
      </c>
      <c r="DQ817" t="s">
        <v>11294</v>
      </c>
      <c r="DR817" t="s">
        <v>331</v>
      </c>
      <c r="DS817" t="s">
        <v>183</v>
      </c>
      <c r="DT817" t="s">
        <v>211</v>
      </c>
      <c r="DU817" t="s">
        <v>329</v>
      </c>
      <c r="DW817" t="s">
        <v>520</v>
      </c>
      <c r="DX817" t="s">
        <v>11295</v>
      </c>
      <c r="DY817" t="s">
        <v>238</v>
      </c>
      <c r="DZ817" t="s">
        <v>239</v>
      </c>
      <c r="EA817" t="s">
        <v>11296</v>
      </c>
      <c r="EB817" t="s">
        <v>247</v>
      </c>
      <c r="EC817" t="s">
        <v>183</v>
      </c>
      <c r="ED817" t="s">
        <v>211</v>
      </c>
      <c r="EE817" t="s">
        <v>189</v>
      </c>
      <c r="EG817" t="s">
        <v>11234</v>
      </c>
      <c r="EH817" t="s">
        <v>4364</v>
      </c>
      <c r="EI817" t="s">
        <v>207</v>
      </c>
      <c r="EJ817" t="s">
        <v>208</v>
      </c>
      <c r="EK817" t="s">
        <v>11297</v>
      </c>
      <c r="EL817" t="s">
        <v>576</v>
      </c>
      <c r="EM817" t="s">
        <v>183</v>
      </c>
      <c r="EN817" t="s">
        <v>211</v>
      </c>
      <c r="EO817" t="s">
        <v>206</v>
      </c>
      <c r="EQ817" t="s">
        <v>11276</v>
      </c>
      <c r="FA817" t="s">
        <v>198</v>
      </c>
      <c r="FK817" t="s">
        <v>198</v>
      </c>
      <c r="FU817" t="s">
        <v>198</v>
      </c>
    </row>
    <row r="818" spans="1:177">
      <c r="A818" s="1" t="str">
        <f>HYPERLINK("http://digipan.lumentumllc.com/apps/getLink/index.php?t=PropLink&amp;p=4637749","PL")</f>
        <v>PL</v>
      </c>
      <c r="B818" s="1" t="str">
        <f>HYPERLINK("http://digipan.lumentumllc.com/apps/getLink/index.php?t=TaxLink&amp;p=4637749","TL")</f>
        <v>TL</v>
      </c>
      <c r="C818" s="1" t="str">
        <f>HYPERLINK("http://digipan.lumentumllc.com/apps/getMap/index.php?p=4637749","Map")</f>
        <v>Map</v>
      </c>
      <c r="E818" t="s">
        <v>177</v>
      </c>
      <c r="F818" t="s">
        <v>178</v>
      </c>
      <c r="L818" t="s">
        <v>11298</v>
      </c>
      <c r="N818" t="s">
        <v>11298</v>
      </c>
      <c r="O818" t="s">
        <v>11298</v>
      </c>
      <c r="P818" t="s">
        <v>11299</v>
      </c>
      <c r="Q818" t="s">
        <v>11298</v>
      </c>
      <c r="V818">
        <v>949</v>
      </c>
      <c r="W818">
        <v>3</v>
      </c>
      <c r="X818">
        <v>2017</v>
      </c>
      <c r="Y818">
        <v>2018</v>
      </c>
      <c r="Z818">
        <v>2356.62</v>
      </c>
      <c r="AB818" t="s">
        <v>181</v>
      </c>
      <c r="AC818" t="s">
        <v>182</v>
      </c>
      <c r="AD818" t="s">
        <v>183</v>
      </c>
      <c r="AE818">
        <v>0</v>
      </c>
      <c r="AF818">
        <v>6</v>
      </c>
      <c r="AG818" t="s">
        <v>3266</v>
      </c>
      <c r="AH818">
        <v>100</v>
      </c>
      <c r="AK818">
        <v>0</v>
      </c>
      <c r="AL818">
        <v>130244</v>
      </c>
      <c r="AM818">
        <v>130244</v>
      </c>
      <c r="AN818">
        <v>0</v>
      </c>
      <c r="AO818">
        <v>2193</v>
      </c>
      <c r="AP818">
        <v>2016</v>
      </c>
      <c r="AQ818">
        <v>1.81</v>
      </c>
      <c r="AS818" t="s">
        <v>3209</v>
      </c>
      <c r="AT818" t="s">
        <v>3747</v>
      </c>
      <c r="AU818" t="s">
        <v>177</v>
      </c>
      <c r="AV818" t="s">
        <v>1030</v>
      </c>
      <c r="AW818" t="s">
        <v>182</v>
      </c>
      <c r="AX818">
        <v>10</v>
      </c>
      <c r="AY818" t="s">
        <v>3211</v>
      </c>
      <c r="AZ818" t="s">
        <v>270</v>
      </c>
      <c r="BA818" t="s">
        <v>3212</v>
      </c>
      <c r="BB818" t="s">
        <v>191</v>
      </c>
      <c r="BC818" t="s">
        <v>182</v>
      </c>
      <c r="BD818" t="s">
        <v>182</v>
      </c>
      <c r="BE818" t="s">
        <v>2224</v>
      </c>
      <c r="BF818">
        <v>0</v>
      </c>
      <c r="BG818">
        <v>0</v>
      </c>
      <c r="BH818">
        <v>0</v>
      </c>
      <c r="BI818" t="s">
        <v>199</v>
      </c>
      <c r="BJ818" t="s">
        <v>315</v>
      </c>
      <c r="BL818" t="s">
        <v>11256</v>
      </c>
      <c r="BM818" t="s">
        <v>559</v>
      </c>
      <c r="BN818" t="s">
        <v>182</v>
      </c>
      <c r="BO818" t="s">
        <v>198</v>
      </c>
      <c r="BP818" t="s">
        <v>198</v>
      </c>
      <c r="BQ818" t="s">
        <v>198</v>
      </c>
      <c r="BR818" t="s">
        <v>198</v>
      </c>
      <c r="BS818" t="s">
        <v>198</v>
      </c>
      <c r="BT818" t="s">
        <v>198</v>
      </c>
      <c r="BU818" t="s">
        <v>182</v>
      </c>
      <c r="BV818" t="s">
        <v>198</v>
      </c>
      <c r="BW818" t="s">
        <v>198</v>
      </c>
      <c r="BX818" t="s">
        <v>199</v>
      </c>
      <c r="BY818" t="s">
        <v>198</v>
      </c>
      <c r="BZ818" t="s">
        <v>199</v>
      </c>
      <c r="CA818" t="s">
        <v>199</v>
      </c>
      <c r="CB818" t="s">
        <v>11225</v>
      </c>
      <c r="CC818" t="s">
        <v>201</v>
      </c>
      <c r="CD818" t="s">
        <v>182</v>
      </c>
      <c r="CE818" t="s">
        <v>2111</v>
      </c>
      <c r="CF818" t="s">
        <v>1029</v>
      </c>
      <c r="CG818" t="s">
        <v>177</v>
      </c>
      <c r="CH818" t="s">
        <v>1030</v>
      </c>
      <c r="CI818" t="s">
        <v>11257</v>
      </c>
      <c r="CJ818" t="s">
        <v>1202</v>
      </c>
      <c r="CK818" t="s">
        <v>292</v>
      </c>
      <c r="CL818" t="s">
        <v>293</v>
      </c>
      <c r="CM818" t="s">
        <v>11300</v>
      </c>
      <c r="CN818" t="s">
        <v>235</v>
      </c>
      <c r="CO818" t="s">
        <v>183</v>
      </c>
      <c r="CP818" t="s">
        <v>211</v>
      </c>
      <c r="CQ818" t="s">
        <v>296</v>
      </c>
      <c r="CS818" t="s">
        <v>690</v>
      </c>
      <c r="CT818" t="s">
        <v>5641</v>
      </c>
      <c r="CU818" t="s">
        <v>267</v>
      </c>
      <c r="CV818" t="s">
        <v>268</v>
      </c>
      <c r="CW818" t="s">
        <v>11301</v>
      </c>
      <c r="CX818" t="s">
        <v>235</v>
      </c>
      <c r="CY818" t="s">
        <v>183</v>
      </c>
      <c r="CZ818" t="s">
        <v>211</v>
      </c>
      <c r="DA818" t="s">
        <v>329</v>
      </c>
      <c r="DC818" t="s">
        <v>5484</v>
      </c>
      <c r="DD818" t="s">
        <v>10810</v>
      </c>
      <c r="DE818" t="s">
        <v>273</v>
      </c>
      <c r="DF818" t="s">
        <v>274</v>
      </c>
      <c r="DG818" t="s">
        <v>11302</v>
      </c>
      <c r="DH818" t="s">
        <v>235</v>
      </c>
      <c r="DI818" t="s">
        <v>183</v>
      </c>
      <c r="DJ818" t="s">
        <v>211</v>
      </c>
      <c r="DK818" t="s">
        <v>206</v>
      </c>
      <c r="DM818" t="s">
        <v>11230</v>
      </c>
      <c r="DN818" t="s">
        <v>8975</v>
      </c>
      <c r="DO818" t="s">
        <v>302</v>
      </c>
      <c r="DP818" t="s">
        <v>303</v>
      </c>
      <c r="DQ818" t="s">
        <v>11303</v>
      </c>
      <c r="DR818" t="s">
        <v>235</v>
      </c>
      <c r="DS818" t="s">
        <v>183</v>
      </c>
      <c r="DT818" t="s">
        <v>211</v>
      </c>
      <c r="DU818" t="s">
        <v>329</v>
      </c>
      <c r="DW818" t="s">
        <v>520</v>
      </c>
      <c r="DX818" t="s">
        <v>11304</v>
      </c>
      <c r="DY818" t="s">
        <v>238</v>
      </c>
      <c r="DZ818" t="s">
        <v>239</v>
      </c>
      <c r="EA818" t="s">
        <v>11305</v>
      </c>
      <c r="EB818" t="s">
        <v>247</v>
      </c>
      <c r="EC818" t="s">
        <v>183</v>
      </c>
      <c r="ED818" t="s">
        <v>211</v>
      </c>
      <c r="EE818" t="s">
        <v>189</v>
      </c>
      <c r="EG818" t="s">
        <v>11234</v>
      </c>
      <c r="EH818" t="s">
        <v>11185</v>
      </c>
      <c r="EI818" t="s">
        <v>207</v>
      </c>
      <c r="EJ818" t="s">
        <v>208</v>
      </c>
      <c r="EK818" t="s">
        <v>11306</v>
      </c>
      <c r="EL818" t="s">
        <v>576</v>
      </c>
      <c r="EM818" t="s">
        <v>183</v>
      </c>
      <c r="EN818" t="s">
        <v>211</v>
      </c>
      <c r="EO818" t="s">
        <v>206</v>
      </c>
      <c r="EQ818" t="s">
        <v>11276</v>
      </c>
      <c r="FA818" t="s">
        <v>198</v>
      </c>
      <c r="FK818" t="s">
        <v>198</v>
      </c>
      <c r="FU818" t="s">
        <v>198</v>
      </c>
    </row>
    <row r="819" spans="1:177">
      <c r="A819" s="1" t="str">
        <f>HYPERLINK("http://digipan.lumentumllc.com/apps/getLink/index.php?t=PropLink&amp;p=5246313","PL")</f>
        <v>PL</v>
      </c>
      <c r="B819" s="1" t="str">
        <f>HYPERLINK("http://digipan.lumentumllc.com/apps/getLink/index.php?t=TaxLink&amp;p=5246313","TL")</f>
        <v>TL</v>
      </c>
      <c r="C819" s="1" t="str">
        <f>HYPERLINK("http://digipan.lumentumllc.com/apps/getMap/index.php?p=5246313","Map")</f>
        <v>Map</v>
      </c>
      <c r="E819" t="s">
        <v>177</v>
      </c>
      <c r="F819" t="s">
        <v>178</v>
      </c>
      <c r="L819" t="s">
        <v>11307</v>
      </c>
      <c r="N819" t="s">
        <v>11307</v>
      </c>
      <c r="O819" t="s">
        <v>11307</v>
      </c>
      <c r="P819" t="s">
        <v>11308</v>
      </c>
      <c r="Q819" t="s">
        <v>11307</v>
      </c>
      <c r="V819">
        <v>952</v>
      </c>
      <c r="W819">
        <v>3</v>
      </c>
      <c r="X819">
        <v>2017</v>
      </c>
      <c r="Y819">
        <v>2018</v>
      </c>
      <c r="Z819">
        <v>46.11</v>
      </c>
      <c r="AB819" t="s">
        <v>181</v>
      </c>
      <c r="AC819" t="s">
        <v>182</v>
      </c>
      <c r="AD819" t="s">
        <v>183</v>
      </c>
      <c r="AE819">
        <v>2</v>
      </c>
      <c r="AF819">
        <v>4</v>
      </c>
      <c r="AG819" t="s">
        <v>2376</v>
      </c>
      <c r="AH819">
        <v>60</v>
      </c>
      <c r="AI819">
        <v>77.790000000000006</v>
      </c>
      <c r="AJ819">
        <v>9.2100000000000009</v>
      </c>
      <c r="AK819">
        <v>87</v>
      </c>
      <c r="AL819">
        <v>30000</v>
      </c>
      <c r="AM819">
        <v>862</v>
      </c>
      <c r="AN819">
        <v>29138</v>
      </c>
      <c r="AO819">
        <v>13</v>
      </c>
      <c r="AP819">
        <v>2016</v>
      </c>
      <c r="AQ819">
        <v>0.15</v>
      </c>
      <c r="AR819">
        <v>0.28999999999999998</v>
      </c>
      <c r="AS819" t="s">
        <v>5211</v>
      </c>
      <c r="AT819" t="s">
        <v>3747</v>
      </c>
      <c r="AU819" t="s">
        <v>177</v>
      </c>
      <c r="AV819" t="s">
        <v>1030</v>
      </c>
      <c r="AW819" t="s">
        <v>182</v>
      </c>
      <c r="AX819">
        <v>60</v>
      </c>
      <c r="AY819" t="s">
        <v>218</v>
      </c>
      <c r="AZ819" t="s">
        <v>245</v>
      </c>
      <c r="BA819" t="s">
        <v>246</v>
      </c>
      <c r="BB819" t="s">
        <v>191</v>
      </c>
      <c r="BC819" t="s">
        <v>182</v>
      </c>
      <c r="BD819" t="s">
        <v>182</v>
      </c>
      <c r="BE819" t="s">
        <v>838</v>
      </c>
      <c r="BF819">
        <v>0</v>
      </c>
      <c r="BG819">
        <v>0</v>
      </c>
      <c r="BH819">
        <v>0</v>
      </c>
      <c r="BI819" t="s">
        <v>199</v>
      </c>
      <c r="BJ819" t="s">
        <v>248</v>
      </c>
      <c r="BL819" t="s">
        <v>199</v>
      </c>
      <c r="BM819" t="s">
        <v>1156</v>
      </c>
      <c r="BN819" t="s">
        <v>182</v>
      </c>
      <c r="BO819" t="s">
        <v>198</v>
      </c>
      <c r="BP819" t="s">
        <v>198</v>
      </c>
      <c r="BQ819" t="s">
        <v>198</v>
      </c>
      <c r="BR819" t="s">
        <v>198</v>
      </c>
      <c r="BS819" t="s">
        <v>198</v>
      </c>
      <c r="BT819" t="s">
        <v>198</v>
      </c>
      <c r="BU819" t="s">
        <v>182</v>
      </c>
      <c r="BV819" t="s">
        <v>198</v>
      </c>
      <c r="BW819" t="s">
        <v>198</v>
      </c>
      <c r="BX819" t="s">
        <v>199</v>
      </c>
      <c r="BY819" t="s">
        <v>198</v>
      </c>
      <c r="BZ819" t="s">
        <v>199</v>
      </c>
      <c r="CA819" t="s">
        <v>199</v>
      </c>
      <c r="CB819" t="s">
        <v>10947</v>
      </c>
      <c r="CC819" t="s">
        <v>201</v>
      </c>
      <c r="CD819" t="s">
        <v>182</v>
      </c>
      <c r="CE819" t="s">
        <v>10948</v>
      </c>
      <c r="CF819" t="s">
        <v>1029</v>
      </c>
      <c r="CG819" t="s">
        <v>177</v>
      </c>
      <c r="CH819" t="s">
        <v>1030</v>
      </c>
      <c r="CI819" t="s">
        <v>11309</v>
      </c>
      <c r="CJ819" t="s">
        <v>11289</v>
      </c>
      <c r="CK819" t="s">
        <v>232</v>
      </c>
      <c r="CL819" t="s">
        <v>233</v>
      </c>
      <c r="CM819" t="s">
        <v>11310</v>
      </c>
      <c r="CN819" t="s">
        <v>482</v>
      </c>
      <c r="CO819" t="s">
        <v>183</v>
      </c>
      <c r="CP819" t="s">
        <v>266</v>
      </c>
      <c r="CS819" t="s">
        <v>198</v>
      </c>
      <c r="CT819" t="s">
        <v>2409</v>
      </c>
      <c r="CU819" t="s">
        <v>292</v>
      </c>
      <c r="CV819" t="s">
        <v>293</v>
      </c>
      <c r="CW819" t="s">
        <v>11311</v>
      </c>
      <c r="CX819" t="s">
        <v>235</v>
      </c>
      <c r="CY819" t="s">
        <v>183</v>
      </c>
      <c r="CZ819" t="s">
        <v>266</v>
      </c>
      <c r="DC819" t="s">
        <v>198</v>
      </c>
      <c r="DD819" t="s">
        <v>10874</v>
      </c>
      <c r="DE819" t="s">
        <v>273</v>
      </c>
      <c r="DF819" t="s">
        <v>274</v>
      </c>
      <c r="DG819" t="s">
        <v>11312</v>
      </c>
      <c r="DH819" t="s">
        <v>482</v>
      </c>
      <c r="DI819" t="s">
        <v>183</v>
      </c>
      <c r="DJ819" t="s">
        <v>211</v>
      </c>
      <c r="DK819" t="s">
        <v>264</v>
      </c>
      <c r="DM819" t="s">
        <v>11313</v>
      </c>
      <c r="DN819" t="s">
        <v>11314</v>
      </c>
      <c r="DO819" t="s">
        <v>238</v>
      </c>
      <c r="DP819" t="s">
        <v>239</v>
      </c>
      <c r="DQ819" t="s">
        <v>11315</v>
      </c>
      <c r="DR819" t="s">
        <v>482</v>
      </c>
      <c r="DS819" t="s">
        <v>183</v>
      </c>
      <c r="DT819" t="s">
        <v>211</v>
      </c>
      <c r="DU819" t="s">
        <v>329</v>
      </c>
      <c r="DW819" t="s">
        <v>470</v>
      </c>
      <c r="DX819" t="s">
        <v>11316</v>
      </c>
      <c r="DY819" t="s">
        <v>346</v>
      </c>
      <c r="DZ819" t="s">
        <v>347</v>
      </c>
      <c r="EA819" t="s">
        <v>11317</v>
      </c>
      <c r="EB819" t="s">
        <v>254</v>
      </c>
      <c r="EC819" t="s">
        <v>183</v>
      </c>
      <c r="ED819" t="s">
        <v>211</v>
      </c>
      <c r="EE819" t="s">
        <v>298</v>
      </c>
      <c r="EG819" t="s">
        <v>470</v>
      </c>
      <c r="EH819" t="s">
        <v>11318</v>
      </c>
      <c r="EI819" t="s">
        <v>207</v>
      </c>
      <c r="EJ819" t="s">
        <v>208</v>
      </c>
      <c r="EK819" t="s">
        <v>11319</v>
      </c>
      <c r="EL819" t="s">
        <v>469</v>
      </c>
      <c r="EM819" t="s">
        <v>183</v>
      </c>
      <c r="EN819" t="s">
        <v>211</v>
      </c>
      <c r="EO819" t="s">
        <v>525</v>
      </c>
      <c r="EQ819" t="s">
        <v>470</v>
      </c>
      <c r="FA819" t="s">
        <v>198</v>
      </c>
      <c r="FK819" t="s">
        <v>198</v>
      </c>
      <c r="FU819" t="s">
        <v>198</v>
      </c>
    </row>
    <row r="820" spans="1:177">
      <c r="A820" s="1" t="str">
        <f>HYPERLINK("http://digipan.lumentumllc.com/apps/getLink/index.php?t=PropLink&amp;p=5246314","PL")</f>
        <v>PL</v>
      </c>
      <c r="B820" s="1" t="str">
        <f>HYPERLINK("http://digipan.lumentumllc.com/apps/getLink/index.php?t=TaxLink&amp;p=5246314","TL")</f>
        <v>TL</v>
      </c>
      <c r="C820" s="1" t="str">
        <f>HYPERLINK("http://digipan.lumentumllc.com/apps/getMap/index.php?p=5246314","Map")</f>
        <v>Map</v>
      </c>
      <c r="E820" t="s">
        <v>177</v>
      </c>
      <c r="F820" t="s">
        <v>178</v>
      </c>
      <c r="L820" t="s">
        <v>11320</v>
      </c>
      <c r="N820" t="s">
        <v>11320</v>
      </c>
      <c r="O820" t="s">
        <v>11320</v>
      </c>
      <c r="P820" t="s">
        <v>11321</v>
      </c>
      <c r="Q820" t="s">
        <v>11320</v>
      </c>
      <c r="V820">
        <v>953</v>
      </c>
      <c r="W820">
        <v>3</v>
      </c>
      <c r="X820">
        <v>2017</v>
      </c>
      <c r="Y820">
        <v>2018</v>
      </c>
      <c r="Z820">
        <v>312.58999999999997</v>
      </c>
      <c r="AB820" t="s">
        <v>181</v>
      </c>
      <c r="AC820" t="s">
        <v>182</v>
      </c>
      <c r="AD820" t="s">
        <v>183</v>
      </c>
      <c r="AE820">
        <v>0</v>
      </c>
      <c r="AF820">
        <v>3</v>
      </c>
      <c r="AG820" t="s">
        <v>381</v>
      </c>
      <c r="AH820">
        <v>100</v>
      </c>
      <c r="AK820">
        <v>0</v>
      </c>
      <c r="AL820">
        <v>37453</v>
      </c>
      <c r="AM820">
        <v>22500</v>
      </c>
      <c r="AN820">
        <v>14953</v>
      </c>
      <c r="AO820">
        <v>222</v>
      </c>
      <c r="AP820">
        <v>2016</v>
      </c>
      <c r="AQ820">
        <v>0.83</v>
      </c>
      <c r="AS820" t="s">
        <v>11322</v>
      </c>
      <c r="AT820" t="s">
        <v>3747</v>
      </c>
      <c r="AU820" t="s">
        <v>177</v>
      </c>
      <c r="AV820" t="s">
        <v>1030</v>
      </c>
      <c r="AW820" t="s">
        <v>202</v>
      </c>
      <c r="AX820">
        <v>2</v>
      </c>
      <c r="AY820" t="s">
        <v>188</v>
      </c>
      <c r="AZ820" t="s">
        <v>189</v>
      </c>
      <c r="BA820" t="s">
        <v>190</v>
      </c>
      <c r="BB820" t="s">
        <v>191</v>
      </c>
      <c r="BC820" t="s">
        <v>182</v>
      </c>
      <c r="BD820" t="s">
        <v>182</v>
      </c>
      <c r="BE820" t="s">
        <v>2589</v>
      </c>
      <c r="BF820">
        <v>1</v>
      </c>
      <c r="BG820">
        <v>1</v>
      </c>
      <c r="BH820">
        <v>1987</v>
      </c>
      <c r="BI820" t="s">
        <v>10172</v>
      </c>
      <c r="BJ820" t="s">
        <v>194</v>
      </c>
      <c r="BK820" t="s">
        <v>195</v>
      </c>
      <c r="BL820" t="s">
        <v>199</v>
      </c>
      <c r="BM820" t="s">
        <v>679</v>
      </c>
      <c r="BN820" t="s">
        <v>182</v>
      </c>
      <c r="BO820" t="s">
        <v>198</v>
      </c>
      <c r="BP820" t="s">
        <v>198</v>
      </c>
      <c r="BQ820" t="s">
        <v>198</v>
      </c>
      <c r="BR820" t="s">
        <v>198</v>
      </c>
      <c r="BS820" t="s">
        <v>198</v>
      </c>
      <c r="BT820" t="s">
        <v>198</v>
      </c>
      <c r="BU820" t="s">
        <v>182</v>
      </c>
      <c r="BV820" t="s">
        <v>198</v>
      </c>
      <c r="BW820" t="s">
        <v>198</v>
      </c>
      <c r="BX820" t="s">
        <v>199</v>
      </c>
      <c r="BY820" t="s">
        <v>198</v>
      </c>
      <c r="BZ820" t="s">
        <v>199</v>
      </c>
      <c r="CA820" t="s">
        <v>199</v>
      </c>
      <c r="CB820" t="s">
        <v>11323</v>
      </c>
      <c r="CC820" t="s">
        <v>201</v>
      </c>
      <c r="CD820" t="s">
        <v>202</v>
      </c>
      <c r="CE820" t="s">
        <v>11324</v>
      </c>
      <c r="CF820" t="s">
        <v>1029</v>
      </c>
      <c r="CG820" t="s">
        <v>177</v>
      </c>
      <c r="CH820" t="s">
        <v>1030</v>
      </c>
      <c r="CI820" t="s">
        <v>11325</v>
      </c>
      <c r="CJ820" t="s">
        <v>10574</v>
      </c>
      <c r="CK820" t="s">
        <v>292</v>
      </c>
      <c r="CL820" t="s">
        <v>293</v>
      </c>
      <c r="CM820" t="s">
        <v>11326</v>
      </c>
      <c r="CN820" t="s">
        <v>408</v>
      </c>
      <c r="CO820" t="s">
        <v>183</v>
      </c>
      <c r="CP820" t="s">
        <v>211</v>
      </c>
      <c r="CQ820" t="s">
        <v>212</v>
      </c>
      <c r="CS820" t="s">
        <v>11327</v>
      </c>
      <c r="CT820" t="s">
        <v>8232</v>
      </c>
      <c r="CU820" t="s">
        <v>273</v>
      </c>
      <c r="CV820" t="s">
        <v>274</v>
      </c>
      <c r="CW820" t="s">
        <v>11328</v>
      </c>
      <c r="CX820" t="s">
        <v>235</v>
      </c>
      <c r="CY820" t="s">
        <v>183</v>
      </c>
      <c r="CZ820" t="s">
        <v>211</v>
      </c>
      <c r="DA820" t="s">
        <v>270</v>
      </c>
      <c r="DC820" t="s">
        <v>4984</v>
      </c>
      <c r="DD820" t="s">
        <v>9185</v>
      </c>
      <c r="DE820" t="s">
        <v>346</v>
      </c>
      <c r="DF820" t="s">
        <v>347</v>
      </c>
      <c r="DG820" t="s">
        <v>11329</v>
      </c>
      <c r="DH820" t="s">
        <v>1551</v>
      </c>
      <c r="DI820" t="s">
        <v>183</v>
      </c>
      <c r="DJ820" t="s">
        <v>211</v>
      </c>
      <c r="DK820" t="s">
        <v>342</v>
      </c>
      <c r="DM820" t="s">
        <v>1355</v>
      </c>
      <c r="DW820" t="s">
        <v>198</v>
      </c>
      <c r="EG820" t="s">
        <v>198</v>
      </c>
      <c r="EQ820" t="s">
        <v>198</v>
      </c>
      <c r="FA820" t="s">
        <v>198</v>
      </c>
      <c r="FK820" t="s">
        <v>198</v>
      </c>
      <c r="FU820" t="s">
        <v>198</v>
      </c>
    </row>
    <row r="821" spans="1:177">
      <c r="A821" s="1" t="str">
        <f>HYPERLINK("http://digipan.lumentumllc.com/apps/getLink/index.php?t=PropLink&amp;p=6129060","PL")</f>
        <v>PL</v>
      </c>
      <c r="B821" s="1" t="str">
        <f>HYPERLINK("http://digipan.lumentumllc.com/apps/getLink/index.php?t=TaxLink&amp;p=6129060","TL")</f>
        <v>TL</v>
      </c>
      <c r="C821" s="1" t="str">
        <f>HYPERLINK("http://digipan.lumentumllc.com/apps/getMap/index.php?p=6129060","Map")</f>
        <v>Map</v>
      </c>
      <c r="E821" t="s">
        <v>177</v>
      </c>
      <c r="F821" t="s">
        <v>178</v>
      </c>
      <c r="L821" t="s">
        <v>11330</v>
      </c>
      <c r="N821" t="s">
        <v>11330</v>
      </c>
      <c r="O821" t="s">
        <v>11330</v>
      </c>
      <c r="P821" t="s">
        <v>11331</v>
      </c>
      <c r="Q821" t="s">
        <v>11330</v>
      </c>
      <c r="V821">
        <v>954</v>
      </c>
      <c r="W821">
        <v>3</v>
      </c>
      <c r="X821">
        <v>2017</v>
      </c>
      <c r="Y821">
        <v>2018</v>
      </c>
      <c r="Z821">
        <v>371.69</v>
      </c>
      <c r="AB821" t="s">
        <v>181</v>
      </c>
      <c r="AC821" t="s">
        <v>182</v>
      </c>
      <c r="AD821" t="s">
        <v>183</v>
      </c>
      <c r="AE821">
        <v>1</v>
      </c>
      <c r="AF821">
        <v>5</v>
      </c>
      <c r="AG821" t="s">
        <v>322</v>
      </c>
      <c r="AH821">
        <v>83</v>
      </c>
      <c r="AI821">
        <v>313.01</v>
      </c>
      <c r="AJ821">
        <v>20.350000000000001</v>
      </c>
      <c r="AK821">
        <v>333.36</v>
      </c>
      <c r="AL821">
        <v>19248</v>
      </c>
      <c r="AM821">
        <v>9750</v>
      </c>
      <c r="AN821">
        <v>9498</v>
      </c>
      <c r="AO821">
        <v>264</v>
      </c>
      <c r="AP821">
        <v>2016</v>
      </c>
      <c r="AQ821">
        <v>1.93</v>
      </c>
      <c r="AR821">
        <v>1.73</v>
      </c>
      <c r="AS821" t="s">
        <v>11332</v>
      </c>
      <c r="AT821" t="s">
        <v>3747</v>
      </c>
      <c r="AU821" t="s">
        <v>177</v>
      </c>
      <c r="AV821" t="s">
        <v>1030</v>
      </c>
      <c r="AW821" t="s">
        <v>182</v>
      </c>
      <c r="AX821">
        <v>1</v>
      </c>
      <c r="AY821" t="s">
        <v>188</v>
      </c>
      <c r="AZ821" t="s">
        <v>206</v>
      </c>
      <c r="BA821" t="s">
        <v>355</v>
      </c>
      <c r="BB821" t="s">
        <v>191</v>
      </c>
      <c r="BC821" t="s">
        <v>182</v>
      </c>
      <c r="BD821" t="s">
        <v>182</v>
      </c>
      <c r="BE821" t="s">
        <v>7407</v>
      </c>
      <c r="BF821">
        <v>1</v>
      </c>
      <c r="BG821">
        <v>1</v>
      </c>
      <c r="BH821">
        <v>1930</v>
      </c>
      <c r="BI821" t="s">
        <v>6760</v>
      </c>
      <c r="BJ821" t="s">
        <v>315</v>
      </c>
      <c r="BK821" t="s">
        <v>195</v>
      </c>
      <c r="BL821" t="s">
        <v>199</v>
      </c>
      <c r="BM821" t="s">
        <v>1825</v>
      </c>
      <c r="BN821" t="s">
        <v>182</v>
      </c>
      <c r="BO821" t="s">
        <v>198</v>
      </c>
      <c r="BP821" t="s">
        <v>198</v>
      </c>
      <c r="BQ821" t="s">
        <v>198</v>
      </c>
      <c r="BR821" t="s">
        <v>198</v>
      </c>
      <c r="BS821" t="s">
        <v>198</v>
      </c>
      <c r="BT821" t="s">
        <v>198</v>
      </c>
      <c r="BU821" t="s">
        <v>182</v>
      </c>
      <c r="BV821" t="s">
        <v>198</v>
      </c>
      <c r="BW821" t="s">
        <v>198</v>
      </c>
      <c r="BX821" t="s">
        <v>199</v>
      </c>
      <c r="BY821" t="s">
        <v>198</v>
      </c>
      <c r="BZ821" t="s">
        <v>199</v>
      </c>
      <c r="CA821" t="s">
        <v>199</v>
      </c>
      <c r="CB821" t="s">
        <v>11333</v>
      </c>
      <c r="CC821" t="s">
        <v>201</v>
      </c>
      <c r="CD821" t="s">
        <v>182</v>
      </c>
      <c r="CE821" t="s">
        <v>11334</v>
      </c>
      <c r="CF821" t="s">
        <v>1029</v>
      </c>
      <c r="CG821" t="s">
        <v>177</v>
      </c>
      <c r="CH821" t="s">
        <v>1030</v>
      </c>
      <c r="CI821" t="s">
        <v>11335</v>
      </c>
      <c r="CJ821" t="s">
        <v>8093</v>
      </c>
      <c r="CK821" t="s">
        <v>232</v>
      </c>
      <c r="CL821" t="s">
        <v>233</v>
      </c>
      <c r="CM821" t="s">
        <v>11336</v>
      </c>
      <c r="CN821" t="s">
        <v>688</v>
      </c>
      <c r="CO821" t="s">
        <v>183</v>
      </c>
      <c r="CP821" t="s">
        <v>266</v>
      </c>
      <c r="CS821" t="s">
        <v>198</v>
      </c>
      <c r="CT821" t="s">
        <v>8038</v>
      </c>
      <c r="CU821" t="s">
        <v>292</v>
      </c>
      <c r="CV821" t="s">
        <v>293</v>
      </c>
      <c r="CW821" t="s">
        <v>11337</v>
      </c>
      <c r="CX821" t="s">
        <v>387</v>
      </c>
      <c r="CY821" t="s">
        <v>183</v>
      </c>
      <c r="CZ821" t="s">
        <v>211</v>
      </c>
      <c r="DA821" t="s">
        <v>345</v>
      </c>
      <c r="DC821" t="s">
        <v>1088</v>
      </c>
      <c r="DD821" t="s">
        <v>8111</v>
      </c>
      <c r="DE821" t="s">
        <v>267</v>
      </c>
      <c r="DF821" t="s">
        <v>268</v>
      </c>
      <c r="DG821" t="s">
        <v>3260</v>
      </c>
      <c r="DH821" t="s">
        <v>247</v>
      </c>
      <c r="DI821" t="s">
        <v>183</v>
      </c>
      <c r="DJ821" t="s">
        <v>211</v>
      </c>
      <c r="DK821" t="s">
        <v>337</v>
      </c>
      <c r="DM821" t="s">
        <v>10934</v>
      </c>
      <c r="DN821" t="s">
        <v>8610</v>
      </c>
      <c r="DO821" t="s">
        <v>273</v>
      </c>
      <c r="DP821" t="s">
        <v>274</v>
      </c>
      <c r="DQ821" t="s">
        <v>11338</v>
      </c>
      <c r="DR821" t="s">
        <v>235</v>
      </c>
      <c r="DS821" t="s">
        <v>183</v>
      </c>
      <c r="DT821" t="s">
        <v>211</v>
      </c>
      <c r="DU821" t="s">
        <v>345</v>
      </c>
      <c r="DW821" t="s">
        <v>4483</v>
      </c>
      <c r="DX821" t="s">
        <v>8785</v>
      </c>
      <c r="DY821" t="s">
        <v>302</v>
      </c>
      <c r="DZ821" t="s">
        <v>303</v>
      </c>
      <c r="EA821" t="s">
        <v>11339</v>
      </c>
      <c r="EB821" t="s">
        <v>331</v>
      </c>
      <c r="EC821" t="s">
        <v>183</v>
      </c>
      <c r="ED821" t="s">
        <v>211</v>
      </c>
      <c r="EE821" t="s">
        <v>199</v>
      </c>
      <c r="EG821" t="s">
        <v>5257</v>
      </c>
      <c r="EH821" t="s">
        <v>11340</v>
      </c>
      <c r="EI821" t="s">
        <v>238</v>
      </c>
      <c r="EJ821" t="s">
        <v>239</v>
      </c>
      <c r="EK821" t="s">
        <v>11341</v>
      </c>
      <c r="EL821" t="s">
        <v>519</v>
      </c>
      <c r="EM821" t="s">
        <v>183</v>
      </c>
      <c r="EN821" t="s">
        <v>211</v>
      </c>
      <c r="EO821" t="s">
        <v>212</v>
      </c>
      <c r="EQ821" t="s">
        <v>11342</v>
      </c>
      <c r="FA821" t="s">
        <v>198</v>
      </c>
      <c r="FK821" t="s">
        <v>198</v>
      </c>
      <c r="FU821" t="s">
        <v>198</v>
      </c>
    </row>
    <row r="822" spans="1:177">
      <c r="A822" s="1" t="str">
        <f>HYPERLINK("http://digipan.lumentumllc.com/apps/getLink/index.php?t=PropLink&amp;p=4637758","PL")</f>
        <v>PL</v>
      </c>
      <c r="B822" s="1" t="str">
        <f>HYPERLINK("http://digipan.lumentumllc.com/apps/getLink/index.php?t=TaxLink&amp;p=4637758","TL")</f>
        <v>TL</v>
      </c>
      <c r="C822" s="1" t="str">
        <f>HYPERLINK("http://digipan.lumentumllc.com/apps/getMap/index.php?p=4637758","Map")</f>
        <v>Map</v>
      </c>
      <c r="E822" t="s">
        <v>177</v>
      </c>
      <c r="F822" t="s">
        <v>178</v>
      </c>
      <c r="L822" t="s">
        <v>11343</v>
      </c>
      <c r="N822" t="s">
        <v>11343</v>
      </c>
      <c r="O822" t="s">
        <v>11343</v>
      </c>
      <c r="P822" t="s">
        <v>11344</v>
      </c>
      <c r="Q822" t="s">
        <v>11343</v>
      </c>
      <c r="V822">
        <v>955</v>
      </c>
      <c r="W822">
        <v>3</v>
      </c>
      <c r="X822">
        <v>2017</v>
      </c>
      <c r="Y822">
        <v>2018</v>
      </c>
      <c r="Z822">
        <v>483.88</v>
      </c>
      <c r="AB822" t="s">
        <v>181</v>
      </c>
      <c r="AC822" t="s">
        <v>182</v>
      </c>
      <c r="AD822" t="s">
        <v>183</v>
      </c>
      <c r="AE822">
        <v>3</v>
      </c>
      <c r="AF822">
        <v>4</v>
      </c>
      <c r="AG822" t="s">
        <v>3859</v>
      </c>
      <c r="AH822">
        <v>50</v>
      </c>
      <c r="AI822">
        <v>1378.16</v>
      </c>
      <c r="AJ822">
        <v>246.19</v>
      </c>
      <c r="AK822">
        <v>1624.35</v>
      </c>
      <c r="AL822">
        <v>27600</v>
      </c>
      <c r="AM822">
        <v>27600</v>
      </c>
      <c r="AN822">
        <v>0</v>
      </c>
      <c r="AO822">
        <v>424</v>
      </c>
      <c r="AP822">
        <v>2016</v>
      </c>
      <c r="AQ822">
        <v>1.75</v>
      </c>
      <c r="AR822">
        <v>5.89</v>
      </c>
      <c r="AS822" t="s">
        <v>11345</v>
      </c>
      <c r="AT822" t="s">
        <v>3747</v>
      </c>
      <c r="AU822" t="s">
        <v>177</v>
      </c>
      <c r="AV822" t="s">
        <v>1030</v>
      </c>
      <c r="AW822" t="s">
        <v>182</v>
      </c>
      <c r="AX822">
        <v>0</v>
      </c>
      <c r="AY822" t="s">
        <v>312</v>
      </c>
      <c r="AZ822" t="s">
        <v>199</v>
      </c>
      <c r="BA822" t="s">
        <v>313</v>
      </c>
      <c r="BB822" t="s">
        <v>191</v>
      </c>
      <c r="BC822" t="s">
        <v>182</v>
      </c>
      <c r="BD822" t="s">
        <v>182</v>
      </c>
      <c r="BE822" t="s">
        <v>11346</v>
      </c>
      <c r="BF822">
        <v>0</v>
      </c>
      <c r="BG822">
        <v>0</v>
      </c>
      <c r="BH822">
        <v>0</v>
      </c>
      <c r="BI822" t="s">
        <v>199</v>
      </c>
      <c r="BJ822" t="s">
        <v>248</v>
      </c>
      <c r="BL822" t="s">
        <v>199</v>
      </c>
      <c r="BM822" t="s">
        <v>4724</v>
      </c>
      <c r="BN822" t="s">
        <v>182</v>
      </c>
      <c r="BO822" t="s">
        <v>198</v>
      </c>
      <c r="BP822" t="s">
        <v>198</v>
      </c>
      <c r="BQ822" t="s">
        <v>198</v>
      </c>
      <c r="BR822" t="s">
        <v>198</v>
      </c>
      <c r="BS822" t="s">
        <v>198</v>
      </c>
      <c r="BT822" t="s">
        <v>198</v>
      </c>
      <c r="BU822" t="s">
        <v>182</v>
      </c>
      <c r="BV822" t="s">
        <v>198</v>
      </c>
      <c r="BW822" t="s">
        <v>198</v>
      </c>
      <c r="BX822" t="s">
        <v>199</v>
      </c>
      <c r="BY822" t="s">
        <v>198</v>
      </c>
      <c r="BZ822" t="s">
        <v>199</v>
      </c>
      <c r="CA822" t="s">
        <v>199</v>
      </c>
      <c r="CB822" t="s">
        <v>11347</v>
      </c>
      <c r="CC822" t="s">
        <v>201</v>
      </c>
      <c r="CD822" t="s">
        <v>202</v>
      </c>
      <c r="CE822" t="s">
        <v>11348</v>
      </c>
      <c r="CF822" t="s">
        <v>1029</v>
      </c>
      <c r="CG822" t="s">
        <v>177</v>
      </c>
      <c r="CH822" t="s">
        <v>1030</v>
      </c>
      <c r="CI822" t="s">
        <v>11349</v>
      </c>
      <c r="CJ822" t="s">
        <v>8113</v>
      </c>
      <c r="CK822" t="s">
        <v>232</v>
      </c>
      <c r="CL822" t="s">
        <v>233</v>
      </c>
      <c r="CM822" t="s">
        <v>11350</v>
      </c>
      <c r="CN822" t="s">
        <v>1966</v>
      </c>
      <c r="CO822" t="s">
        <v>183</v>
      </c>
      <c r="CP822" t="s">
        <v>266</v>
      </c>
      <c r="CS822" t="s">
        <v>198</v>
      </c>
      <c r="CT822" t="s">
        <v>10603</v>
      </c>
      <c r="CU822" t="s">
        <v>292</v>
      </c>
      <c r="CV822" t="s">
        <v>293</v>
      </c>
      <c r="CW822" t="s">
        <v>11351</v>
      </c>
      <c r="CX822" t="s">
        <v>333</v>
      </c>
      <c r="CY822" t="s">
        <v>183</v>
      </c>
      <c r="CZ822" t="s">
        <v>266</v>
      </c>
      <c r="DC822" t="s">
        <v>198</v>
      </c>
      <c r="DD822" t="s">
        <v>5748</v>
      </c>
      <c r="DE822" t="s">
        <v>267</v>
      </c>
      <c r="DF822" t="s">
        <v>268</v>
      </c>
      <c r="DG822" t="s">
        <v>11352</v>
      </c>
      <c r="DH822" t="s">
        <v>247</v>
      </c>
      <c r="DI822" t="s">
        <v>183</v>
      </c>
      <c r="DJ822" t="s">
        <v>266</v>
      </c>
      <c r="DM822" t="s">
        <v>198</v>
      </c>
      <c r="DN822" t="s">
        <v>8990</v>
      </c>
      <c r="DO822" t="s">
        <v>273</v>
      </c>
      <c r="DP822" t="s">
        <v>274</v>
      </c>
      <c r="DQ822" t="s">
        <v>11353</v>
      </c>
      <c r="DR822" t="s">
        <v>1180</v>
      </c>
      <c r="DS822" t="s">
        <v>183</v>
      </c>
      <c r="DT822" t="s">
        <v>211</v>
      </c>
      <c r="DU822" t="s">
        <v>298</v>
      </c>
      <c r="DW822" t="s">
        <v>462</v>
      </c>
      <c r="DX822" t="s">
        <v>7935</v>
      </c>
      <c r="DY822" t="s">
        <v>302</v>
      </c>
      <c r="DZ822" t="s">
        <v>303</v>
      </c>
      <c r="EA822" t="s">
        <v>11354</v>
      </c>
      <c r="EB822" t="s">
        <v>305</v>
      </c>
      <c r="EC822" t="s">
        <v>183</v>
      </c>
      <c r="ED822" t="s">
        <v>211</v>
      </c>
      <c r="EE822" t="s">
        <v>635</v>
      </c>
      <c r="EG822" t="s">
        <v>11355</v>
      </c>
      <c r="EH822" t="s">
        <v>9253</v>
      </c>
      <c r="EI822" t="s">
        <v>238</v>
      </c>
      <c r="EJ822" t="s">
        <v>239</v>
      </c>
      <c r="EK822" t="s">
        <v>11356</v>
      </c>
      <c r="EL822" t="s">
        <v>247</v>
      </c>
      <c r="EM822" t="s">
        <v>183</v>
      </c>
      <c r="EN822" t="s">
        <v>211</v>
      </c>
      <c r="EO822" t="s">
        <v>988</v>
      </c>
      <c r="EQ822" t="s">
        <v>11357</v>
      </c>
      <c r="ER822" t="s">
        <v>11358</v>
      </c>
      <c r="ES822" t="s">
        <v>207</v>
      </c>
      <c r="ET822" t="s">
        <v>208</v>
      </c>
      <c r="EU822" t="s">
        <v>11359</v>
      </c>
      <c r="EV822" t="s">
        <v>576</v>
      </c>
      <c r="EW822" t="s">
        <v>183</v>
      </c>
      <c r="EX822" t="s">
        <v>211</v>
      </c>
      <c r="EY822" t="s">
        <v>1365</v>
      </c>
      <c r="FA822" t="s">
        <v>11355</v>
      </c>
      <c r="FK822" t="s">
        <v>198</v>
      </c>
      <c r="FU822" t="s">
        <v>198</v>
      </c>
    </row>
    <row r="823" spans="1:177">
      <c r="A823" s="1" t="str">
        <f>HYPERLINK("http://digipan.lumentumllc.com/apps/getLink/index.php?t=PropLink&amp;p=4637759","PL")</f>
        <v>PL</v>
      </c>
      <c r="B823" s="1" t="str">
        <f>HYPERLINK("http://digipan.lumentumllc.com/apps/getLink/index.php?t=TaxLink&amp;p=4637759","TL")</f>
        <v>TL</v>
      </c>
      <c r="C823" s="1" t="str">
        <f>HYPERLINK("http://digipan.lumentumllc.com/apps/getMap/index.php?p=4637759","Map")</f>
        <v>Map</v>
      </c>
      <c r="E823" t="s">
        <v>177</v>
      </c>
      <c r="F823" t="s">
        <v>178</v>
      </c>
      <c r="L823" t="s">
        <v>11360</v>
      </c>
      <c r="N823" t="s">
        <v>11360</v>
      </c>
      <c r="O823" t="s">
        <v>11360</v>
      </c>
      <c r="P823" t="s">
        <v>11361</v>
      </c>
      <c r="Q823" t="s">
        <v>11360</v>
      </c>
      <c r="V823">
        <v>956</v>
      </c>
      <c r="W823">
        <v>3</v>
      </c>
      <c r="X823">
        <v>2017</v>
      </c>
      <c r="Y823">
        <v>2018</v>
      </c>
      <c r="Z823">
        <v>611.54</v>
      </c>
      <c r="AB823" t="s">
        <v>181</v>
      </c>
      <c r="AC823" t="s">
        <v>202</v>
      </c>
      <c r="AD823" t="s">
        <v>183</v>
      </c>
      <c r="AE823">
        <v>0</v>
      </c>
      <c r="AF823">
        <v>6</v>
      </c>
      <c r="AG823" t="s">
        <v>3266</v>
      </c>
      <c r="AH823">
        <v>100</v>
      </c>
      <c r="AK823">
        <v>0</v>
      </c>
      <c r="AL823">
        <v>35397</v>
      </c>
      <c r="AM823">
        <v>12900</v>
      </c>
      <c r="AN823">
        <v>22497</v>
      </c>
      <c r="AO823">
        <v>504</v>
      </c>
      <c r="AP823">
        <v>2016</v>
      </c>
      <c r="AQ823">
        <v>1.73</v>
      </c>
      <c r="AS823" t="s">
        <v>11362</v>
      </c>
      <c r="AT823" t="s">
        <v>3747</v>
      </c>
      <c r="AU823" t="s">
        <v>177</v>
      </c>
      <c r="AV823" t="s">
        <v>1030</v>
      </c>
      <c r="AW823" t="s">
        <v>182</v>
      </c>
      <c r="AX823">
        <v>1</v>
      </c>
      <c r="AY823" t="s">
        <v>188</v>
      </c>
      <c r="AZ823" t="s">
        <v>206</v>
      </c>
      <c r="BA823" t="s">
        <v>355</v>
      </c>
      <c r="BB823" t="s">
        <v>191</v>
      </c>
      <c r="BC823" t="s">
        <v>182</v>
      </c>
      <c r="BD823" t="s">
        <v>182</v>
      </c>
      <c r="BE823" t="s">
        <v>1912</v>
      </c>
      <c r="BF823">
        <v>1</v>
      </c>
      <c r="BG823">
        <v>1</v>
      </c>
      <c r="BH823">
        <v>1946</v>
      </c>
      <c r="BI823" t="s">
        <v>10498</v>
      </c>
      <c r="BJ823" t="s">
        <v>194</v>
      </c>
      <c r="BK823" t="s">
        <v>195</v>
      </c>
      <c r="BL823" t="s">
        <v>199</v>
      </c>
      <c r="BM823" t="s">
        <v>1332</v>
      </c>
      <c r="BN823" t="s">
        <v>182</v>
      </c>
      <c r="BO823" t="s">
        <v>198</v>
      </c>
      <c r="BP823" t="s">
        <v>198</v>
      </c>
      <c r="BQ823" t="s">
        <v>198</v>
      </c>
      <c r="BR823" t="s">
        <v>198</v>
      </c>
      <c r="BS823" t="s">
        <v>198</v>
      </c>
      <c r="BT823" t="s">
        <v>198</v>
      </c>
      <c r="BU823" t="s">
        <v>182</v>
      </c>
      <c r="BV823" t="s">
        <v>198</v>
      </c>
      <c r="BW823" t="s">
        <v>198</v>
      </c>
      <c r="BX823" t="s">
        <v>199</v>
      </c>
      <c r="BY823" t="s">
        <v>198</v>
      </c>
      <c r="BZ823" t="s">
        <v>199</v>
      </c>
      <c r="CA823" t="s">
        <v>199</v>
      </c>
      <c r="CB823" t="s">
        <v>11363</v>
      </c>
      <c r="CC823" t="s">
        <v>201</v>
      </c>
      <c r="CD823" t="s">
        <v>202</v>
      </c>
      <c r="CE823" t="s">
        <v>11348</v>
      </c>
      <c r="CF823" t="s">
        <v>1029</v>
      </c>
      <c r="CG823" t="s">
        <v>177</v>
      </c>
      <c r="CH823" t="s">
        <v>1030</v>
      </c>
      <c r="CI823" t="s">
        <v>11364</v>
      </c>
      <c r="CJ823" t="s">
        <v>8234</v>
      </c>
      <c r="CK823" t="s">
        <v>292</v>
      </c>
      <c r="CL823" t="s">
        <v>293</v>
      </c>
      <c r="CM823" t="s">
        <v>11365</v>
      </c>
      <c r="CN823" t="s">
        <v>235</v>
      </c>
      <c r="CO823" t="s">
        <v>183</v>
      </c>
      <c r="CP823" t="s">
        <v>211</v>
      </c>
      <c r="CQ823" t="s">
        <v>270</v>
      </c>
      <c r="CR823" t="s">
        <v>271</v>
      </c>
      <c r="CS823" t="s">
        <v>4800</v>
      </c>
      <c r="CT823" t="s">
        <v>5810</v>
      </c>
      <c r="CU823" t="s">
        <v>267</v>
      </c>
      <c r="CV823" t="s">
        <v>268</v>
      </c>
      <c r="CW823" t="s">
        <v>11366</v>
      </c>
      <c r="CX823" t="s">
        <v>511</v>
      </c>
      <c r="CY823" t="s">
        <v>183</v>
      </c>
      <c r="CZ823" t="s">
        <v>211</v>
      </c>
      <c r="DB823" t="s">
        <v>271</v>
      </c>
      <c r="DC823" t="s">
        <v>198</v>
      </c>
      <c r="DD823" t="s">
        <v>8633</v>
      </c>
      <c r="DE823" t="s">
        <v>273</v>
      </c>
      <c r="DF823" t="s">
        <v>274</v>
      </c>
      <c r="DG823" t="s">
        <v>11367</v>
      </c>
      <c r="DH823" t="s">
        <v>1491</v>
      </c>
      <c r="DI823" t="s">
        <v>183</v>
      </c>
      <c r="DJ823" t="s">
        <v>211</v>
      </c>
      <c r="DK823" t="s">
        <v>298</v>
      </c>
      <c r="DM823" t="s">
        <v>5484</v>
      </c>
      <c r="DN823" t="s">
        <v>11368</v>
      </c>
      <c r="DO823" t="s">
        <v>302</v>
      </c>
      <c r="DP823" t="s">
        <v>303</v>
      </c>
      <c r="DQ823" t="s">
        <v>11369</v>
      </c>
      <c r="DR823" t="s">
        <v>235</v>
      </c>
      <c r="DS823" t="s">
        <v>183</v>
      </c>
      <c r="DT823" t="s">
        <v>211</v>
      </c>
      <c r="DU823" t="s">
        <v>525</v>
      </c>
      <c r="DW823" t="s">
        <v>5484</v>
      </c>
      <c r="DX823" t="s">
        <v>11370</v>
      </c>
      <c r="DY823" t="s">
        <v>238</v>
      </c>
      <c r="DZ823" t="s">
        <v>239</v>
      </c>
      <c r="EA823" t="s">
        <v>11371</v>
      </c>
      <c r="EB823" t="s">
        <v>247</v>
      </c>
      <c r="EC823" t="s">
        <v>183</v>
      </c>
      <c r="ED823" t="s">
        <v>211</v>
      </c>
      <c r="EE823" t="s">
        <v>1064</v>
      </c>
      <c r="EG823" t="s">
        <v>5484</v>
      </c>
      <c r="EH823" t="s">
        <v>11316</v>
      </c>
      <c r="EI823" t="s">
        <v>207</v>
      </c>
      <c r="EJ823" t="s">
        <v>208</v>
      </c>
      <c r="EK823" t="s">
        <v>11372</v>
      </c>
      <c r="EL823" t="s">
        <v>1052</v>
      </c>
      <c r="EM823" t="s">
        <v>183</v>
      </c>
      <c r="EN823" t="s">
        <v>211</v>
      </c>
      <c r="EO823" t="s">
        <v>189</v>
      </c>
      <c r="EP823" t="s">
        <v>11373</v>
      </c>
      <c r="EQ823" t="s">
        <v>9091</v>
      </c>
      <c r="FA823" t="s">
        <v>198</v>
      </c>
      <c r="FK823" t="s">
        <v>198</v>
      </c>
      <c r="FU823" t="s">
        <v>198</v>
      </c>
    </row>
    <row r="824" spans="1:177">
      <c r="A824" s="1" t="str">
        <f>HYPERLINK("http://digipan.lumentumllc.com/apps/getLink/index.php?t=PropLink&amp;p=5246377","PL")</f>
        <v>PL</v>
      </c>
      <c r="B824" s="1" t="str">
        <f>HYPERLINK("http://digipan.lumentumllc.com/apps/getLink/index.php?t=TaxLink&amp;p=5246377","TL")</f>
        <v>TL</v>
      </c>
      <c r="C824" s="1" t="str">
        <f>HYPERLINK("http://digipan.lumentumllc.com/apps/getMap/index.php?p=5246377","Map")</f>
        <v>Map</v>
      </c>
      <c r="E824" t="s">
        <v>177</v>
      </c>
      <c r="F824" t="s">
        <v>178</v>
      </c>
      <c r="L824" t="s">
        <v>11374</v>
      </c>
      <c r="N824" t="s">
        <v>11374</v>
      </c>
      <c r="O824" t="s">
        <v>11374</v>
      </c>
      <c r="P824" t="s">
        <v>11375</v>
      </c>
      <c r="Q824" t="s">
        <v>11374</v>
      </c>
      <c r="V824">
        <v>957</v>
      </c>
      <c r="W824">
        <v>3</v>
      </c>
      <c r="X824">
        <v>2017</v>
      </c>
      <c r="Y824">
        <v>2018</v>
      </c>
      <c r="Z824">
        <v>3589.03</v>
      </c>
      <c r="AB824" t="s">
        <v>181</v>
      </c>
      <c r="AC824" t="s">
        <v>202</v>
      </c>
      <c r="AD824" t="s">
        <v>183</v>
      </c>
      <c r="AE824">
        <v>0</v>
      </c>
      <c r="AF824">
        <v>6</v>
      </c>
      <c r="AG824" t="s">
        <v>3266</v>
      </c>
      <c r="AH824">
        <v>100</v>
      </c>
      <c r="AK824">
        <v>0</v>
      </c>
      <c r="AL824">
        <v>230544</v>
      </c>
      <c r="AM824">
        <v>45000</v>
      </c>
      <c r="AN824">
        <v>185544</v>
      </c>
      <c r="AO824">
        <v>2889</v>
      </c>
      <c r="AP824">
        <v>2016</v>
      </c>
      <c r="AQ824">
        <v>1.56</v>
      </c>
      <c r="AS824" t="s">
        <v>11376</v>
      </c>
      <c r="AT824" t="s">
        <v>3747</v>
      </c>
      <c r="AU824" t="s">
        <v>177</v>
      </c>
      <c r="AV824" t="s">
        <v>1030</v>
      </c>
      <c r="AW824" t="s">
        <v>182</v>
      </c>
      <c r="AX824">
        <v>1</v>
      </c>
      <c r="AY824" t="s">
        <v>188</v>
      </c>
      <c r="AZ824" t="s">
        <v>206</v>
      </c>
      <c r="BA824" t="s">
        <v>355</v>
      </c>
      <c r="BB824" t="s">
        <v>191</v>
      </c>
      <c r="BC824" t="s">
        <v>182</v>
      </c>
      <c r="BD824" t="s">
        <v>182</v>
      </c>
      <c r="BE824" t="s">
        <v>259</v>
      </c>
      <c r="BF824">
        <v>2</v>
      </c>
      <c r="BG824">
        <v>2</v>
      </c>
      <c r="BH824">
        <v>2010</v>
      </c>
      <c r="BI824" t="s">
        <v>11377</v>
      </c>
      <c r="BJ824" t="s">
        <v>315</v>
      </c>
      <c r="BK824" t="s">
        <v>195</v>
      </c>
      <c r="BL824" t="s">
        <v>11378</v>
      </c>
      <c r="BM824" t="s">
        <v>286</v>
      </c>
      <c r="BN824" t="s">
        <v>182</v>
      </c>
      <c r="BO824" t="s">
        <v>11379</v>
      </c>
      <c r="BP824" t="s">
        <v>4714</v>
      </c>
      <c r="BR824" t="s">
        <v>1461</v>
      </c>
      <c r="BS824" t="s">
        <v>11380</v>
      </c>
      <c r="BT824" t="s">
        <v>198</v>
      </c>
      <c r="BU824" t="s">
        <v>182</v>
      </c>
      <c r="BV824" t="s">
        <v>198</v>
      </c>
      <c r="BW824" t="s">
        <v>198</v>
      </c>
      <c r="BX824" t="s">
        <v>199</v>
      </c>
      <c r="BY824" t="s">
        <v>198</v>
      </c>
      <c r="BZ824" t="s">
        <v>199</v>
      </c>
      <c r="CA824" t="s">
        <v>199</v>
      </c>
      <c r="CB824" t="s">
        <v>11381</v>
      </c>
      <c r="CC824" t="s">
        <v>201</v>
      </c>
      <c r="CD824" t="s">
        <v>182</v>
      </c>
      <c r="CE824" t="s">
        <v>11382</v>
      </c>
      <c r="CF824" t="s">
        <v>2333</v>
      </c>
      <c r="CG824" t="s">
        <v>177</v>
      </c>
      <c r="CH824" t="s">
        <v>2334</v>
      </c>
      <c r="CI824" t="s">
        <v>610</v>
      </c>
      <c r="CJ824" t="s">
        <v>5621</v>
      </c>
      <c r="CK824" t="s">
        <v>292</v>
      </c>
      <c r="CL824" t="s">
        <v>293</v>
      </c>
      <c r="CM824" t="s">
        <v>11383</v>
      </c>
      <c r="CN824" t="s">
        <v>235</v>
      </c>
      <c r="CO824" t="s">
        <v>183</v>
      </c>
      <c r="CP824" t="s">
        <v>211</v>
      </c>
      <c r="CQ824" t="s">
        <v>329</v>
      </c>
      <c r="CS824" t="s">
        <v>2428</v>
      </c>
      <c r="CT824" t="s">
        <v>5853</v>
      </c>
      <c r="CU824" t="s">
        <v>267</v>
      </c>
      <c r="CV824" t="s">
        <v>268</v>
      </c>
      <c r="CW824" t="s">
        <v>11384</v>
      </c>
      <c r="CX824" t="s">
        <v>235</v>
      </c>
      <c r="CY824" t="s">
        <v>183</v>
      </c>
      <c r="CZ824" t="s">
        <v>211</v>
      </c>
      <c r="DA824" t="s">
        <v>298</v>
      </c>
      <c r="DC824" t="s">
        <v>2428</v>
      </c>
      <c r="DD824" t="s">
        <v>11385</v>
      </c>
      <c r="DE824" t="s">
        <v>302</v>
      </c>
      <c r="DF824" t="s">
        <v>303</v>
      </c>
      <c r="DG824" t="s">
        <v>11386</v>
      </c>
      <c r="DH824" t="s">
        <v>235</v>
      </c>
      <c r="DI824" t="s">
        <v>183</v>
      </c>
      <c r="DJ824" t="s">
        <v>211</v>
      </c>
      <c r="DK824" t="s">
        <v>264</v>
      </c>
      <c r="DL824" t="s">
        <v>271</v>
      </c>
      <c r="DM824" t="s">
        <v>3027</v>
      </c>
      <c r="DN824" t="s">
        <v>11387</v>
      </c>
      <c r="DO824" t="s">
        <v>238</v>
      </c>
      <c r="DP824" t="s">
        <v>239</v>
      </c>
      <c r="DQ824" t="s">
        <v>11388</v>
      </c>
      <c r="DR824" t="s">
        <v>235</v>
      </c>
      <c r="DS824" t="s">
        <v>183</v>
      </c>
      <c r="DT824" t="s">
        <v>211</v>
      </c>
      <c r="DU824" t="s">
        <v>471</v>
      </c>
      <c r="DV824" t="s">
        <v>271</v>
      </c>
      <c r="DW824" t="s">
        <v>3027</v>
      </c>
      <c r="DX824" t="s">
        <v>11389</v>
      </c>
      <c r="DY824" t="s">
        <v>346</v>
      </c>
      <c r="DZ824" t="s">
        <v>347</v>
      </c>
      <c r="EA824" t="s">
        <v>4169</v>
      </c>
      <c r="EB824" t="s">
        <v>2515</v>
      </c>
      <c r="EC824" t="s">
        <v>183</v>
      </c>
      <c r="ED824" t="s">
        <v>211</v>
      </c>
      <c r="EF824" t="s">
        <v>271</v>
      </c>
      <c r="EG824" t="s">
        <v>198</v>
      </c>
      <c r="EH824" t="s">
        <v>9185</v>
      </c>
      <c r="EI824" t="s">
        <v>207</v>
      </c>
      <c r="EJ824" t="s">
        <v>208</v>
      </c>
      <c r="EK824" t="s">
        <v>11390</v>
      </c>
      <c r="EL824" t="s">
        <v>576</v>
      </c>
      <c r="EM824" t="s">
        <v>183</v>
      </c>
      <c r="EN824" t="s">
        <v>211</v>
      </c>
      <c r="EO824" t="s">
        <v>339</v>
      </c>
      <c r="EQ824" t="s">
        <v>11391</v>
      </c>
      <c r="FA824" t="s">
        <v>198</v>
      </c>
      <c r="FK824" t="s">
        <v>198</v>
      </c>
      <c r="FU824" t="s">
        <v>198</v>
      </c>
    </row>
    <row r="825" spans="1:177">
      <c r="A825" s="1" t="str">
        <f>HYPERLINK("http://digipan.lumentumllc.com/apps/getLink/index.php?t=PropLink&amp;p=4637766","PL")</f>
        <v>PL</v>
      </c>
      <c r="B825" s="1" t="str">
        <f>HYPERLINK("http://digipan.lumentumllc.com/apps/getLink/index.php?t=TaxLink&amp;p=4637766","TL")</f>
        <v>TL</v>
      </c>
      <c r="C825" s="1" t="str">
        <f>HYPERLINK("http://digipan.lumentumllc.com/apps/getMap/index.php?p=4637766","Map")</f>
        <v>Map</v>
      </c>
      <c r="E825" t="s">
        <v>177</v>
      </c>
      <c r="F825" t="s">
        <v>178</v>
      </c>
      <c r="L825" t="s">
        <v>11392</v>
      </c>
      <c r="N825" t="s">
        <v>11392</v>
      </c>
      <c r="O825" t="s">
        <v>11392</v>
      </c>
      <c r="P825" t="s">
        <v>11393</v>
      </c>
      <c r="Q825" t="s">
        <v>11392</v>
      </c>
      <c r="V825">
        <v>958</v>
      </c>
      <c r="W825">
        <v>3</v>
      </c>
      <c r="X825">
        <v>2017</v>
      </c>
      <c r="Y825">
        <v>2018</v>
      </c>
      <c r="Z825">
        <v>3268.45</v>
      </c>
      <c r="AB825" t="s">
        <v>181</v>
      </c>
      <c r="AC825" t="s">
        <v>182</v>
      </c>
      <c r="AD825" t="s">
        <v>183</v>
      </c>
      <c r="AE825">
        <v>0</v>
      </c>
      <c r="AF825">
        <v>2</v>
      </c>
      <c r="AG825" t="s">
        <v>821</v>
      </c>
      <c r="AH825">
        <v>100</v>
      </c>
      <c r="AK825">
        <v>0</v>
      </c>
      <c r="AL825">
        <v>310234</v>
      </c>
      <c r="AM825">
        <v>45000</v>
      </c>
      <c r="AN825">
        <v>265234</v>
      </c>
      <c r="AO825">
        <v>2962</v>
      </c>
      <c r="AP825">
        <v>2016</v>
      </c>
      <c r="AQ825">
        <v>1.05</v>
      </c>
      <c r="AS825" t="s">
        <v>11394</v>
      </c>
      <c r="AT825" t="s">
        <v>3747</v>
      </c>
      <c r="AU825" t="s">
        <v>177</v>
      </c>
      <c r="AV825" t="s">
        <v>1030</v>
      </c>
      <c r="AW825" t="s">
        <v>202</v>
      </c>
      <c r="AX825">
        <v>1</v>
      </c>
      <c r="AY825" t="s">
        <v>188</v>
      </c>
      <c r="AZ825" t="s">
        <v>206</v>
      </c>
      <c r="BA825" t="s">
        <v>355</v>
      </c>
      <c r="BB825" t="s">
        <v>191</v>
      </c>
      <c r="BC825" t="s">
        <v>182</v>
      </c>
      <c r="BD825" t="s">
        <v>182</v>
      </c>
      <c r="BE825" t="s">
        <v>259</v>
      </c>
      <c r="BF825">
        <v>2</v>
      </c>
      <c r="BG825">
        <v>2</v>
      </c>
      <c r="BH825">
        <v>2001</v>
      </c>
      <c r="BI825" t="s">
        <v>11395</v>
      </c>
      <c r="BJ825" t="s">
        <v>285</v>
      </c>
      <c r="BK825" t="s">
        <v>195</v>
      </c>
      <c r="BL825" t="s">
        <v>7087</v>
      </c>
      <c r="BM825" t="s">
        <v>368</v>
      </c>
      <c r="BN825" t="s">
        <v>182</v>
      </c>
      <c r="BO825" t="s">
        <v>11396</v>
      </c>
      <c r="BP825" t="s">
        <v>11397</v>
      </c>
      <c r="BR825" t="s">
        <v>1123</v>
      </c>
      <c r="BS825" t="s">
        <v>11398</v>
      </c>
      <c r="BT825" t="s">
        <v>198</v>
      </c>
      <c r="BU825" t="s">
        <v>182</v>
      </c>
      <c r="BV825" t="s">
        <v>198</v>
      </c>
      <c r="BW825" t="s">
        <v>198</v>
      </c>
      <c r="BX825" t="s">
        <v>199</v>
      </c>
      <c r="BY825" t="s">
        <v>198</v>
      </c>
      <c r="BZ825" t="s">
        <v>199</v>
      </c>
      <c r="CA825" t="s">
        <v>199</v>
      </c>
      <c r="CB825" t="s">
        <v>11399</v>
      </c>
      <c r="CC825" t="s">
        <v>201</v>
      </c>
      <c r="CD825" t="s">
        <v>182</v>
      </c>
      <c r="CE825" t="s">
        <v>11400</v>
      </c>
      <c r="CF825" t="s">
        <v>1029</v>
      </c>
      <c r="CG825" t="s">
        <v>177</v>
      </c>
      <c r="CH825" t="s">
        <v>1030</v>
      </c>
      <c r="CI825" t="s">
        <v>629</v>
      </c>
      <c r="CJ825" t="s">
        <v>8348</v>
      </c>
      <c r="CK825" t="s">
        <v>273</v>
      </c>
      <c r="CL825" t="s">
        <v>274</v>
      </c>
      <c r="CM825" t="s">
        <v>11401</v>
      </c>
      <c r="CN825" t="s">
        <v>235</v>
      </c>
      <c r="CO825" t="s">
        <v>183</v>
      </c>
      <c r="CP825" t="s">
        <v>211</v>
      </c>
      <c r="CQ825" t="s">
        <v>329</v>
      </c>
      <c r="CS825" t="s">
        <v>8657</v>
      </c>
      <c r="CT825" t="s">
        <v>11402</v>
      </c>
      <c r="CU825" t="s">
        <v>207</v>
      </c>
      <c r="CV825" t="s">
        <v>208</v>
      </c>
      <c r="CW825" t="s">
        <v>11403</v>
      </c>
      <c r="CX825" t="s">
        <v>235</v>
      </c>
      <c r="CY825" t="s">
        <v>183</v>
      </c>
      <c r="CZ825" t="s">
        <v>211</v>
      </c>
      <c r="DA825" t="s">
        <v>329</v>
      </c>
      <c r="DC825" t="s">
        <v>7213</v>
      </c>
      <c r="DM825" t="s">
        <v>198</v>
      </c>
      <c r="DW825" t="s">
        <v>198</v>
      </c>
      <c r="EG825" t="s">
        <v>198</v>
      </c>
      <c r="EQ825" t="s">
        <v>198</v>
      </c>
      <c r="FA825" t="s">
        <v>198</v>
      </c>
      <c r="FK825" t="s">
        <v>198</v>
      </c>
      <c r="FU825" t="s">
        <v>198</v>
      </c>
    </row>
    <row r="826" spans="1:177">
      <c r="A826" s="1" t="str">
        <f>HYPERLINK("http://digipan.lumentumllc.com/apps/getLink/index.php?t=PropLink&amp;p=4637767","PL")</f>
        <v>PL</v>
      </c>
      <c r="B826" s="1" t="str">
        <f>HYPERLINK("http://digipan.lumentumllc.com/apps/getLink/index.php?t=TaxLink&amp;p=4637767","TL")</f>
        <v>TL</v>
      </c>
      <c r="C826" s="1" t="str">
        <f>HYPERLINK("http://digipan.lumentumllc.com/apps/getMap/index.php?p=4637767","Map")</f>
        <v>Map</v>
      </c>
      <c r="E826" t="s">
        <v>177</v>
      </c>
      <c r="F826" t="s">
        <v>178</v>
      </c>
      <c r="L826" t="s">
        <v>11404</v>
      </c>
      <c r="N826" t="s">
        <v>11404</v>
      </c>
      <c r="O826" t="s">
        <v>11404</v>
      </c>
      <c r="P826" t="s">
        <v>11405</v>
      </c>
      <c r="Q826" t="s">
        <v>11404</v>
      </c>
      <c r="V826">
        <v>959</v>
      </c>
      <c r="W826">
        <v>3</v>
      </c>
      <c r="X826">
        <v>2017</v>
      </c>
      <c r="Y826">
        <v>2018</v>
      </c>
      <c r="Z826">
        <v>607.12</v>
      </c>
      <c r="AB826" t="s">
        <v>181</v>
      </c>
      <c r="AC826" t="s">
        <v>182</v>
      </c>
      <c r="AD826" t="s">
        <v>183</v>
      </c>
      <c r="AE826">
        <v>0</v>
      </c>
      <c r="AF826">
        <v>3</v>
      </c>
      <c r="AG826" t="s">
        <v>216</v>
      </c>
      <c r="AH826">
        <v>100</v>
      </c>
      <c r="AK826">
        <v>0</v>
      </c>
      <c r="AL826">
        <v>45000</v>
      </c>
      <c r="AM826">
        <v>45000</v>
      </c>
      <c r="AN826">
        <v>0</v>
      </c>
      <c r="AO826">
        <v>384</v>
      </c>
      <c r="AP826">
        <v>2016</v>
      </c>
      <c r="AQ826">
        <v>1.35</v>
      </c>
      <c r="AS826" t="s">
        <v>11406</v>
      </c>
      <c r="AT826" t="s">
        <v>3747</v>
      </c>
      <c r="AU826" t="s">
        <v>177</v>
      </c>
      <c r="AV826" t="s">
        <v>1030</v>
      </c>
      <c r="AW826" t="s">
        <v>182</v>
      </c>
      <c r="AX826">
        <v>0</v>
      </c>
      <c r="AY826" t="s">
        <v>312</v>
      </c>
      <c r="AZ826" t="s">
        <v>199</v>
      </c>
      <c r="BA826" t="s">
        <v>313</v>
      </c>
      <c r="BB826" t="s">
        <v>191</v>
      </c>
      <c r="BC826" t="s">
        <v>182</v>
      </c>
      <c r="BD826" t="s">
        <v>182</v>
      </c>
      <c r="BE826" t="s">
        <v>383</v>
      </c>
      <c r="BF826">
        <v>0</v>
      </c>
      <c r="BG826">
        <v>0</v>
      </c>
      <c r="BH826">
        <v>0</v>
      </c>
      <c r="BI826" t="s">
        <v>199</v>
      </c>
      <c r="BJ826" t="s">
        <v>396</v>
      </c>
      <c r="BL826" t="s">
        <v>11407</v>
      </c>
      <c r="BM826" t="s">
        <v>533</v>
      </c>
      <c r="BN826" t="s">
        <v>182</v>
      </c>
      <c r="BO826" t="s">
        <v>11408</v>
      </c>
      <c r="BP826" t="s">
        <v>11409</v>
      </c>
      <c r="BR826" t="s">
        <v>8265</v>
      </c>
      <c r="BS826" t="s">
        <v>11410</v>
      </c>
      <c r="BT826" t="s">
        <v>198</v>
      </c>
      <c r="BU826" t="s">
        <v>182</v>
      </c>
      <c r="BV826" t="s">
        <v>198</v>
      </c>
      <c r="BW826" t="s">
        <v>198</v>
      </c>
      <c r="BX826" t="s">
        <v>199</v>
      </c>
      <c r="BY826" t="s">
        <v>198</v>
      </c>
      <c r="BZ826" t="s">
        <v>199</v>
      </c>
      <c r="CA826" t="s">
        <v>199</v>
      </c>
      <c r="CB826" t="s">
        <v>11411</v>
      </c>
      <c r="CC826" t="s">
        <v>201</v>
      </c>
      <c r="CD826" t="s">
        <v>182</v>
      </c>
      <c r="CE826" t="s">
        <v>11400</v>
      </c>
      <c r="CF826" t="s">
        <v>1029</v>
      </c>
      <c r="CG826" t="s">
        <v>177</v>
      </c>
      <c r="CH826" t="s">
        <v>1030</v>
      </c>
      <c r="CI826" t="s">
        <v>4099</v>
      </c>
      <c r="CJ826" t="s">
        <v>10736</v>
      </c>
      <c r="CK826" t="s">
        <v>267</v>
      </c>
      <c r="CL826" t="s">
        <v>268</v>
      </c>
      <c r="CM826" t="s">
        <v>11412</v>
      </c>
      <c r="CN826" t="s">
        <v>1341</v>
      </c>
      <c r="CO826" t="s">
        <v>183</v>
      </c>
      <c r="CP826" t="s">
        <v>211</v>
      </c>
      <c r="CQ826" t="s">
        <v>199</v>
      </c>
      <c r="CS826" t="s">
        <v>1012</v>
      </c>
      <c r="CT826" t="s">
        <v>9025</v>
      </c>
      <c r="CU826" t="s">
        <v>273</v>
      </c>
      <c r="CV826" t="s">
        <v>274</v>
      </c>
      <c r="CW826" t="s">
        <v>11413</v>
      </c>
      <c r="CX826" t="s">
        <v>235</v>
      </c>
      <c r="CY826" t="s">
        <v>183</v>
      </c>
      <c r="CZ826" t="s">
        <v>211</v>
      </c>
      <c r="DA826" t="s">
        <v>329</v>
      </c>
      <c r="DC826" t="s">
        <v>1765</v>
      </c>
      <c r="DD826" t="s">
        <v>11414</v>
      </c>
      <c r="DE826" t="s">
        <v>207</v>
      </c>
      <c r="DF826" t="s">
        <v>208</v>
      </c>
      <c r="DG826" t="s">
        <v>11390</v>
      </c>
      <c r="DH826" t="s">
        <v>576</v>
      </c>
      <c r="DI826" t="s">
        <v>183</v>
      </c>
      <c r="DJ826" t="s">
        <v>211</v>
      </c>
      <c r="DK826" t="s">
        <v>329</v>
      </c>
      <c r="DM826" t="s">
        <v>7213</v>
      </c>
      <c r="DW826" t="s">
        <v>198</v>
      </c>
      <c r="EG826" t="s">
        <v>198</v>
      </c>
      <c r="EQ826" t="s">
        <v>198</v>
      </c>
      <c r="FA826" t="s">
        <v>198</v>
      </c>
      <c r="FK826" t="s">
        <v>198</v>
      </c>
      <c r="FU826" t="s">
        <v>198</v>
      </c>
    </row>
    <row r="827" spans="1:177">
      <c r="A827" s="1" t="str">
        <f>HYPERLINK("http://digipan.lumentumllc.com/apps/getLink/index.php?t=PropLink&amp;p=5246378","PL")</f>
        <v>PL</v>
      </c>
      <c r="B827" s="1" t="str">
        <f>HYPERLINK("http://digipan.lumentumllc.com/apps/getLink/index.php?t=TaxLink&amp;p=5246378","TL")</f>
        <v>TL</v>
      </c>
      <c r="C827" s="1" t="str">
        <f>HYPERLINK("http://digipan.lumentumllc.com/apps/getMap/index.php?p=5246378","Map")</f>
        <v>Map</v>
      </c>
      <c r="E827" t="s">
        <v>177</v>
      </c>
      <c r="F827" t="s">
        <v>178</v>
      </c>
      <c r="L827" t="s">
        <v>11415</v>
      </c>
      <c r="N827" t="s">
        <v>11415</v>
      </c>
      <c r="O827" t="s">
        <v>11415</v>
      </c>
      <c r="P827" t="s">
        <v>11416</v>
      </c>
      <c r="Q827" t="s">
        <v>11415</v>
      </c>
      <c r="V827">
        <v>960</v>
      </c>
      <c r="W827">
        <v>3</v>
      </c>
      <c r="X827">
        <v>2017</v>
      </c>
      <c r="Y827">
        <v>2018</v>
      </c>
      <c r="Z827">
        <v>632.53</v>
      </c>
      <c r="AB827" t="s">
        <v>181</v>
      </c>
      <c r="AC827" t="s">
        <v>182</v>
      </c>
      <c r="AD827" t="s">
        <v>183</v>
      </c>
      <c r="AE827">
        <v>0</v>
      </c>
      <c r="AF827">
        <v>5</v>
      </c>
      <c r="AG827" t="s">
        <v>744</v>
      </c>
      <c r="AH827">
        <v>100</v>
      </c>
      <c r="AK827">
        <v>0</v>
      </c>
      <c r="AL827">
        <v>45000</v>
      </c>
      <c r="AM827">
        <v>45000</v>
      </c>
      <c r="AN827">
        <v>0</v>
      </c>
      <c r="AO827">
        <v>422</v>
      </c>
      <c r="AP827">
        <v>2016</v>
      </c>
      <c r="AQ827">
        <v>1.41</v>
      </c>
      <c r="AS827" t="s">
        <v>11417</v>
      </c>
      <c r="AT827" t="s">
        <v>3747</v>
      </c>
      <c r="AU827" t="s">
        <v>177</v>
      </c>
      <c r="AV827" t="s">
        <v>1030</v>
      </c>
      <c r="AW827" t="s">
        <v>182</v>
      </c>
      <c r="AX827">
        <v>0</v>
      </c>
      <c r="AY827" t="s">
        <v>312</v>
      </c>
      <c r="AZ827" t="s">
        <v>199</v>
      </c>
      <c r="BA827" t="s">
        <v>313</v>
      </c>
      <c r="BB827" t="s">
        <v>191</v>
      </c>
      <c r="BC827" t="s">
        <v>182</v>
      </c>
      <c r="BD827" t="s">
        <v>182</v>
      </c>
      <c r="BE827" t="s">
        <v>7049</v>
      </c>
      <c r="BF827">
        <v>0</v>
      </c>
      <c r="BG827">
        <v>0</v>
      </c>
      <c r="BH827">
        <v>0</v>
      </c>
      <c r="BI827" t="s">
        <v>199</v>
      </c>
      <c r="BJ827" t="s">
        <v>396</v>
      </c>
      <c r="BL827" t="s">
        <v>11418</v>
      </c>
      <c r="BM827" t="s">
        <v>1041</v>
      </c>
      <c r="BN827" t="s">
        <v>182</v>
      </c>
      <c r="BO827" t="s">
        <v>11419</v>
      </c>
      <c r="BP827" t="s">
        <v>11420</v>
      </c>
      <c r="BR827" t="s">
        <v>1123</v>
      </c>
      <c r="BS827" t="s">
        <v>11421</v>
      </c>
      <c r="BT827" t="s">
        <v>11422</v>
      </c>
      <c r="BU827" t="s">
        <v>182</v>
      </c>
      <c r="BV827" t="s">
        <v>198</v>
      </c>
      <c r="BW827" t="s">
        <v>198</v>
      </c>
      <c r="BX827" t="s">
        <v>199</v>
      </c>
      <c r="BY827" t="s">
        <v>198</v>
      </c>
      <c r="BZ827" t="s">
        <v>199</v>
      </c>
      <c r="CA827" t="s">
        <v>199</v>
      </c>
      <c r="CB827" t="s">
        <v>11423</v>
      </c>
      <c r="CC827" t="s">
        <v>201</v>
      </c>
      <c r="CD827" t="s">
        <v>182</v>
      </c>
      <c r="CE827" t="s">
        <v>11424</v>
      </c>
      <c r="CF827" t="s">
        <v>413</v>
      </c>
      <c r="CG827" t="s">
        <v>177</v>
      </c>
      <c r="CH827" t="s">
        <v>1579</v>
      </c>
      <c r="CI827" t="s">
        <v>4045</v>
      </c>
      <c r="CJ827" t="s">
        <v>9030</v>
      </c>
      <c r="CK827" t="s">
        <v>273</v>
      </c>
      <c r="CL827" t="s">
        <v>274</v>
      </c>
      <c r="CM827" t="s">
        <v>11425</v>
      </c>
      <c r="CN827" t="s">
        <v>1491</v>
      </c>
      <c r="CO827" t="s">
        <v>183</v>
      </c>
      <c r="CP827" t="s">
        <v>211</v>
      </c>
      <c r="CQ827" t="s">
        <v>329</v>
      </c>
      <c r="CS827" t="s">
        <v>1765</v>
      </c>
      <c r="CT827" t="s">
        <v>968</v>
      </c>
      <c r="CU827" t="s">
        <v>302</v>
      </c>
      <c r="CV827" t="s">
        <v>303</v>
      </c>
      <c r="CW827" t="s">
        <v>5232</v>
      </c>
      <c r="CX827" t="s">
        <v>1586</v>
      </c>
      <c r="CY827" t="s">
        <v>183</v>
      </c>
      <c r="CZ827" t="s">
        <v>211</v>
      </c>
      <c r="DA827" t="s">
        <v>298</v>
      </c>
      <c r="DC827" t="s">
        <v>1765</v>
      </c>
      <c r="DD827" t="s">
        <v>11426</v>
      </c>
      <c r="DE827" t="s">
        <v>238</v>
      </c>
      <c r="DF827" t="s">
        <v>239</v>
      </c>
      <c r="DG827" t="s">
        <v>11427</v>
      </c>
      <c r="DH827" t="s">
        <v>331</v>
      </c>
      <c r="DI827" t="s">
        <v>183</v>
      </c>
      <c r="DJ827" t="s">
        <v>211</v>
      </c>
      <c r="DK827" t="s">
        <v>298</v>
      </c>
      <c r="DM827" t="s">
        <v>9167</v>
      </c>
      <c r="DN827" t="s">
        <v>9243</v>
      </c>
      <c r="DO827" t="s">
        <v>346</v>
      </c>
      <c r="DP827" t="s">
        <v>347</v>
      </c>
      <c r="DQ827" t="s">
        <v>4169</v>
      </c>
      <c r="DR827" t="s">
        <v>2515</v>
      </c>
      <c r="DS827" t="s">
        <v>183</v>
      </c>
      <c r="DT827" t="s">
        <v>211</v>
      </c>
      <c r="DU827" t="s">
        <v>298</v>
      </c>
      <c r="DW827" t="s">
        <v>4631</v>
      </c>
      <c r="DX827" t="s">
        <v>11428</v>
      </c>
      <c r="DY827" t="s">
        <v>207</v>
      </c>
      <c r="DZ827" t="s">
        <v>208</v>
      </c>
      <c r="EA827" t="s">
        <v>11390</v>
      </c>
      <c r="EB827" t="s">
        <v>576</v>
      </c>
      <c r="EC827" t="s">
        <v>183</v>
      </c>
      <c r="ED827" t="s">
        <v>211</v>
      </c>
      <c r="EE827" t="s">
        <v>298</v>
      </c>
      <c r="EG827" t="s">
        <v>5101</v>
      </c>
      <c r="EQ827" t="s">
        <v>198</v>
      </c>
      <c r="FA827" t="s">
        <v>198</v>
      </c>
      <c r="FK827" t="s">
        <v>198</v>
      </c>
      <c r="FU827" t="s">
        <v>198</v>
      </c>
    </row>
    <row r="828" spans="1:177">
      <c r="A828" s="1" t="str">
        <f>HYPERLINK("http://digipan.lumentumllc.com/apps/getLink/index.php?t=PropLink&amp;p=6129079","PL")</f>
        <v>PL</v>
      </c>
      <c r="B828" s="1" t="str">
        <f>HYPERLINK("http://digipan.lumentumllc.com/apps/getLink/index.php?t=TaxLink&amp;p=6129079","TL")</f>
        <v>TL</v>
      </c>
      <c r="C828" s="1" t="str">
        <f>HYPERLINK("http://digipan.lumentumllc.com/apps/getMap/index.php?p=6129079","Map")</f>
        <v>Map</v>
      </c>
      <c r="E828" t="s">
        <v>177</v>
      </c>
      <c r="F828" t="s">
        <v>178</v>
      </c>
      <c r="L828" t="s">
        <v>11429</v>
      </c>
      <c r="N828" t="s">
        <v>11429</v>
      </c>
      <c r="O828" t="s">
        <v>11429</v>
      </c>
      <c r="P828" t="s">
        <v>11430</v>
      </c>
      <c r="Q828" t="s">
        <v>11429</v>
      </c>
      <c r="V828">
        <v>961</v>
      </c>
      <c r="W828">
        <v>3</v>
      </c>
      <c r="X828">
        <v>2017</v>
      </c>
      <c r="Y828">
        <v>2018</v>
      </c>
      <c r="Z828">
        <v>2823.56</v>
      </c>
      <c r="AB828" t="s">
        <v>181</v>
      </c>
      <c r="AC828" t="s">
        <v>182</v>
      </c>
      <c r="AD828" t="s">
        <v>183</v>
      </c>
      <c r="AE828">
        <v>0</v>
      </c>
      <c r="AF828">
        <v>2</v>
      </c>
      <c r="AG828" t="s">
        <v>821</v>
      </c>
      <c r="AH828">
        <v>100</v>
      </c>
      <c r="AK828">
        <v>0</v>
      </c>
      <c r="AL828">
        <v>188524</v>
      </c>
      <c r="AM828">
        <v>45000</v>
      </c>
      <c r="AN828">
        <v>143524</v>
      </c>
      <c r="AO828">
        <v>2185</v>
      </c>
      <c r="AP828">
        <v>2016</v>
      </c>
      <c r="AQ828">
        <v>1.5</v>
      </c>
      <c r="AS828" t="s">
        <v>11431</v>
      </c>
      <c r="AT828" t="s">
        <v>3747</v>
      </c>
      <c r="AU828" t="s">
        <v>177</v>
      </c>
      <c r="AV828" t="s">
        <v>1030</v>
      </c>
      <c r="AW828" t="s">
        <v>182</v>
      </c>
      <c r="AX828">
        <v>1</v>
      </c>
      <c r="AY828" t="s">
        <v>188</v>
      </c>
      <c r="AZ828" t="s">
        <v>206</v>
      </c>
      <c r="BA828" t="s">
        <v>355</v>
      </c>
      <c r="BB828" t="s">
        <v>191</v>
      </c>
      <c r="BC828" t="s">
        <v>182</v>
      </c>
      <c r="BD828" t="s">
        <v>182</v>
      </c>
      <c r="BE828" t="s">
        <v>1778</v>
      </c>
      <c r="BF828">
        <v>1</v>
      </c>
      <c r="BG828">
        <v>1</v>
      </c>
      <c r="BH828">
        <v>2015</v>
      </c>
      <c r="BI828" t="s">
        <v>11432</v>
      </c>
      <c r="BJ828" t="s">
        <v>315</v>
      </c>
      <c r="BK828" t="s">
        <v>195</v>
      </c>
      <c r="BL828" t="s">
        <v>10060</v>
      </c>
      <c r="BM828" t="s">
        <v>533</v>
      </c>
      <c r="BN828" t="s">
        <v>182</v>
      </c>
      <c r="BO828" t="s">
        <v>11433</v>
      </c>
      <c r="BP828" t="s">
        <v>11434</v>
      </c>
      <c r="BR828" t="s">
        <v>1123</v>
      </c>
      <c r="BS828" t="s">
        <v>11435</v>
      </c>
      <c r="BT828" t="s">
        <v>11436</v>
      </c>
      <c r="BU828" t="s">
        <v>182</v>
      </c>
      <c r="BV828" t="s">
        <v>198</v>
      </c>
      <c r="BW828" t="s">
        <v>198</v>
      </c>
      <c r="BX828" t="s">
        <v>199</v>
      </c>
      <c r="BY828" t="s">
        <v>198</v>
      </c>
      <c r="BZ828" t="s">
        <v>199</v>
      </c>
      <c r="CA828" t="s">
        <v>199</v>
      </c>
      <c r="CB828" t="s">
        <v>11437</v>
      </c>
      <c r="CC828" t="s">
        <v>201</v>
      </c>
      <c r="CD828" t="s">
        <v>182</v>
      </c>
      <c r="CE828" t="s">
        <v>11400</v>
      </c>
      <c r="CF828" t="s">
        <v>1029</v>
      </c>
      <c r="CG828" t="s">
        <v>177</v>
      </c>
      <c r="CH828" t="s">
        <v>1030</v>
      </c>
      <c r="CI828" t="s">
        <v>4059</v>
      </c>
      <c r="CJ828" t="s">
        <v>8381</v>
      </c>
      <c r="CK828" t="s">
        <v>273</v>
      </c>
      <c r="CL828" t="s">
        <v>274</v>
      </c>
      <c r="CM828" t="s">
        <v>11425</v>
      </c>
      <c r="CN828" t="s">
        <v>235</v>
      </c>
      <c r="CO828" t="s">
        <v>183</v>
      </c>
      <c r="CP828" t="s">
        <v>211</v>
      </c>
      <c r="CQ828" t="s">
        <v>329</v>
      </c>
      <c r="CS828" t="s">
        <v>1765</v>
      </c>
      <c r="CT828" t="s">
        <v>11389</v>
      </c>
      <c r="CU828" t="s">
        <v>207</v>
      </c>
      <c r="CV828" t="s">
        <v>208</v>
      </c>
      <c r="CW828" t="s">
        <v>11438</v>
      </c>
      <c r="CX828" t="s">
        <v>576</v>
      </c>
      <c r="CY828" t="s">
        <v>183</v>
      </c>
      <c r="CZ828" t="s">
        <v>211</v>
      </c>
      <c r="DA828" t="s">
        <v>329</v>
      </c>
      <c r="DC828" t="s">
        <v>7213</v>
      </c>
      <c r="DM828" t="s">
        <v>198</v>
      </c>
      <c r="DW828" t="s">
        <v>198</v>
      </c>
      <c r="EG828" t="s">
        <v>198</v>
      </c>
      <c r="EQ828" t="s">
        <v>198</v>
      </c>
      <c r="FA828" t="s">
        <v>198</v>
      </c>
      <c r="FK828" t="s">
        <v>198</v>
      </c>
      <c r="FU828" t="s">
        <v>198</v>
      </c>
    </row>
    <row r="829" spans="1:177">
      <c r="A829" s="1" t="str">
        <f>HYPERLINK("http://digipan.lumentumllc.com/apps/getLink/index.php?t=PropLink&amp;p=15749397","PL")</f>
        <v>PL</v>
      </c>
      <c r="B829" s="1" t="str">
        <f>HYPERLINK("http://digipan.lumentumllc.com/apps/getLink/index.php?t=TaxLink&amp;p=15749397","TL")</f>
        <v>TL</v>
      </c>
      <c r="C829" s="1" t="str">
        <f>HYPERLINK("http://digipan.lumentumllc.com/apps/getMap/index.php?p=15749397","Map")</f>
        <v>Map</v>
      </c>
      <c r="E829" t="s">
        <v>177</v>
      </c>
      <c r="F829" t="s">
        <v>178</v>
      </c>
      <c r="L829" t="s">
        <v>11439</v>
      </c>
      <c r="N829" t="s">
        <v>11439</v>
      </c>
      <c r="O829" t="s">
        <v>11439</v>
      </c>
      <c r="Q829" t="s">
        <v>11439</v>
      </c>
      <c r="V829">
        <v>962</v>
      </c>
      <c r="W829">
        <v>3</v>
      </c>
      <c r="X829">
        <v>2017</v>
      </c>
      <c r="Y829">
        <v>2018</v>
      </c>
      <c r="Z829">
        <v>681.24</v>
      </c>
      <c r="AG829" t="s">
        <v>184</v>
      </c>
      <c r="AH829">
        <v>0</v>
      </c>
      <c r="AK829">
        <v>0</v>
      </c>
      <c r="AL829">
        <v>217300</v>
      </c>
      <c r="AM829">
        <v>25200</v>
      </c>
      <c r="AN829">
        <v>192100</v>
      </c>
      <c r="AO829">
        <v>0</v>
      </c>
      <c r="AP829">
        <v>0</v>
      </c>
      <c r="AQ829">
        <v>0.31</v>
      </c>
      <c r="AS829" t="s">
        <v>11440</v>
      </c>
      <c r="AT829" t="s">
        <v>3747</v>
      </c>
      <c r="AU829" t="s">
        <v>177</v>
      </c>
      <c r="AV829" t="s">
        <v>1030</v>
      </c>
      <c r="AW829" t="s">
        <v>202</v>
      </c>
      <c r="AX829">
        <v>1</v>
      </c>
      <c r="AY829" t="s">
        <v>188</v>
      </c>
      <c r="AZ829" t="s">
        <v>206</v>
      </c>
      <c r="BA829" t="s">
        <v>355</v>
      </c>
      <c r="BB829" t="s">
        <v>191</v>
      </c>
      <c r="BC829" t="s">
        <v>182</v>
      </c>
      <c r="BD829" t="s">
        <v>182</v>
      </c>
      <c r="BE829" t="s">
        <v>11441</v>
      </c>
      <c r="BF829">
        <v>1</v>
      </c>
      <c r="BG829">
        <v>1</v>
      </c>
      <c r="BH829">
        <v>2010</v>
      </c>
      <c r="BI829" t="s">
        <v>11442</v>
      </c>
      <c r="BJ829" t="s">
        <v>194</v>
      </c>
      <c r="BK829" t="s">
        <v>195</v>
      </c>
      <c r="BL829" t="s">
        <v>199</v>
      </c>
      <c r="BM829" t="s">
        <v>679</v>
      </c>
      <c r="BN829" t="s">
        <v>182</v>
      </c>
      <c r="BO829" t="s">
        <v>7615</v>
      </c>
      <c r="BP829" t="s">
        <v>11443</v>
      </c>
      <c r="BQ829" t="s">
        <v>800</v>
      </c>
      <c r="BR829" t="s">
        <v>563</v>
      </c>
      <c r="BS829" t="s">
        <v>198</v>
      </c>
      <c r="BT829" t="s">
        <v>11444</v>
      </c>
      <c r="BU829" t="s">
        <v>182</v>
      </c>
      <c r="BV829" t="s">
        <v>198</v>
      </c>
      <c r="BW829" t="s">
        <v>198</v>
      </c>
      <c r="BX829" t="s">
        <v>199</v>
      </c>
      <c r="BY829" t="s">
        <v>198</v>
      </c>
      <c r="BZ829" t="s">
        <v>199</v>
      </c>
      <c r="CA829" t="s">
        <v>199</v>
      </c>
      <c r="CB829" t="s">
        <v>11445</v>
      </c>
      <c r="CC829" t="s">
        <v>201</v>
      </c>
      <c r="CD829" t="s">
        <v>182</v>
      </c>
      <c r="CE829" t="s">
        <v>11446</v>
      </c>
      <c r="CF829" t="s">
        <v>1029</v>
      </c>
      <c r="CG829" t="s">
        <v>177</v>
      </c>
      <c r="CH829" t="s">
        <v>1030</v>
      </c>
      <c r="CI829" t="s">
        <v>11447</v>
      </c>
      <c r="CS829" t="s">
        <v>198</v>
      </c>
      <c r="DC829" t="s">
        <v>198</v>
      </c>
      <c r="DM829" t="s">
        <v>198</v>
      </c>
      <c r="DW829" t="s">
        <v>198</v>
      </c>
      <c r="EG829" t="s">
        <v>198</v>
      </c>
      <c r="EQ829" t="s">
        <v>198</v>
      </c>
      <c r="FA829" t="s">
        <v>198</v>
      </c>
      <c r="FK829" t="s">
        <v>198</v>
      </c>
      <c r="FU829" t="s">
        <v>198</v>
      </c>
    </row>
    <row r="830" spans="1:177">
      <c r="A830" s="1" t="str">
        <f>HYPERLINK("http://digipan.lumentumllc.com/apps/getLink/index.php?t=PropLink&amp;p=15750240","PL")</f>
        <v>PL</v>
      </c>
      <c r="B830" s="1" t="str">
        <f>HYPERLINK("http://digipan.lumentumllc.com/apps/getLink/index.php?t=TaxLink&amp;p=15750240","TL")</f>
        <v>TL</v>
      </c>
      <c r="C830" s="1" t="str">
        <f>HYPERLINK("http://digipan.lumentumllc.com/apps/getMap/index.php?p=15750240","Map")</f>
        <v>Map</v>
      </c>
      <c r="E830" t="s">
        <v>177</v>
      </c>
      <c r="F830" t="s">
        <v>178</v>
      </c>
      <c r="L830" t="s">
        <v>11448</v>
      </c>
      <c r="N830" t="s">
        <v>11448</v>
      </c>
      <c r="O830" t="s">
        <v>11448</v>
      </c>
      <c r="Q830" t="s">
        <v>11448</v>
      </c>
      <c r="V830">
        <v>963</v>
      </c>
      <c r="W830">
        <v>3</v>
      </c>
      <c r="X830">
        <v>2017</v>
      </c>
      <c r="Y830">
        <v>2018</v>
      </c>
      <c r="Z830">
        <v>2605.3200000000002</v>
      </c>
      <c r="AG830" t="s">
        <v>184</v>
      </c>
      <c r="AH830">
        <v>0</v>
      </c>
      <c r="AK830">
        <v>0</v>
      </c>
      <c r="AL830">
        <v>243638</v>
      </c>
      <c r="AM830">
        <v>15000</v>
      </c>
      <c r="AN830">
        <v>228638</v>
      </c>
      <c r="AO830">
        <v>2353</v>
      </c>
      <c r="AP830">
        <v>2016</v>
      </c>
      <c r="AQ830">
        <v>1.07</v>
      </c>
      <c r="AS830" t="s">
        <v>11449</v>
      </c>
      <c r="AT830" t="s">
        <v>3747</v>
      </c>
      <c r="AU830" t="s">
        <v>177</v>
      </c>
      <c r="AV830" t="s">
        <v>1030</v>
      </c>
      <c r="AW830" t="s">
        <v>202</v>
      </c>
      <c r="AX830">
        <v>1</v>
      </c>
      <c r="AY830" t="s">
        <v>188</v>
      </c>
      <c r="AZ830" t="s">
        <v>206</v>
      </c>
      <c r="BA830" t="s">
        <v>355</v>
      </c>
      <c r="BB830" t="s">
        <v>191</v>
      </c>
      <c r="BC830" t="s">
        <v>182</v>
      </c>
      <c r="BD830" t="s">
        <v>182</v>
      </c>
      <c r="BE830" t="s">
        <v>383</v>
      </c>
      <c r="BF830">
        <v>1</v>
      </c>
      <c r="BG830">
        <v>1</v>
      </c>
      <c r="BH830">
        <v>2006</v>
      </c>
      <c r="BI830" t="s">
        <v>11450</v>
      </c>
      <c r="BJ830" t="s">
        <v>315</v>
      </c>
      <c r="BK830" t="s">
        <v>195</v>
      </c>
      <c r="BL830" t="s">
        <v>2115</v>
      </c>
      <c r="BM830" t="s">
        <v>325</v>
      </c>
      <c r="BN830" t="s">
        <v>182</v>
      </c>
      <c r="BO830" t="s">
        <v>11451</v>
      </c>
      <c r="BP830" t="s">
        <v>2052</v>
      </c>
      <c r="BQ830" t="s">
        <v>800</v>
      </c>
      <c r="BR830" t="s">
        <v>563</v>
      </c>
      <c r="BS830" t="s">
        <v>198</v>
      </c>
      <c r="BT830" t="s">
        <v>11452</v>
      </c>
      <c r="BU830" t="s">
        <v>182</v>
      </c>
      <c r="BV830" t="s">
        <v>198</v>
      </c>
      <c r="BW830" t="s">
        <v>198</v>
      </c>
      <c r="BX830" t="s">
        <v>199</v>
      </c>
      <c r="BY830" t="s">
        <v>198</v>
      </c>
      <c r="BZ830" t="s">
        <v>199</v>
      </c>
      <c r="CA830" t="s">
        <v>199</v>
      </c>
      <c r="CB830" t="s">
        <v>11453</v>
      </c>
      <c r="CC830" t="s">
        <v>201</v>
      </c>
      <c r="CD830" t="s">
        <v>182</v>
      </c>
      <c r="CE830" t="s">
        <v>11454</v>
      </c>
      <c r="CF830" t="s">
        <v>1029</v>
      </c>
      <c r="CG830" t="s">
        <v>177</v>
      </c>
      <c r="CH830" t="s">
        <v>1030</v>
      </c>
      <c r="CI830" t="s">
        <v>11455</v>
      </c>
      <c r="CS830" t="s">
        <v>198</v>
      </c>
      <c r="DC830" t="s">
        <v>198</v>
      </c>
      <c r="DM830" t="s">
        <v>198</v>
      </c>
      <c r="DW830" t="s">
        <v>198</v>
      </c>
      <c r="EG830" t="s">
        <v>198</v>
      </c>
      <c r="EQ830" t="s">
        <v>198</v>
      </c>
      <c r="FA830" t="s">
        <v>198</v>
      </c>
      <c r="FK830" t="s">
        <v>198</v>
      </c>
      <c r="FU830" t="s">
        <v>198</v>
      </c>
    </row>
    <row r="831" spans="1:177">
      <c r="A831" s="1" t="str">
        <f>HYPERLINK("http://digipan.lumentumllc.com/apps/getLink/index.php?t=PropLink&amp;p=5246678","PL")</f>
        <v>PL</v>
      </c>
      <c r="B831" s="1" t="str">
        <f>HYPERLINK("http://digipan.lumentumllc.com/apps/getLink/index.php?t=TaxLink&amp;p=5246678","TL")</f>
        <v>TL</v>
      </c>
      <c r="C831" s="1" t="str">
        <f>HYPERLINK("http://digipan.lumentumllc.com/apps/getMap/index.php?p=5246678","Map")</f>
        <v>Map</v>
      </c>
      <c r="E831" t="s">
        <v>177</v>
      </c>
      <c r="F831" t="s">
        <v>178</v>
      </c>
      <c r="L831" t="s">
        <v>11456</v>
      </c>
      <c r="N831" t="s">
        <v>11456</v>
      </c>
      <c r="O831" t="s">
        <v>11456</v>
      </c>
      <c r="P831" t="s">
        <v>11457</v>
      </c>
      <c r="Q831" t="s">
        <v>11456</v>
      </c>
      <c r="V831">
        <v>964</v>
      </c>
      <c r="W831">
        <v>3</v>
      </c>
      <c r="X831">
        <v>2017</v>
      </c>
      <c r="Y831">
        <v>2018</v>
      </c>
      <c r="Z831">
        <v>485.81</v>
      </c>
      <c r="AB831" t="s">
        <v>181</v>
      </c>
      <c r="AC831" t="s">
        <v>182</v>
      </c>
      <c r="AD831" t="s">
        <v>183</v>
      </c>
      <c r="AE831">
        <v>0</v>
      </c>
      <c r="AF831">
        <v>6</v>
      </c>
      <c r="AG831" t="s">
        <v>3266</v>
      </c>
      <c r="AH831">
        <v>100</v>
      </c>
      <c r="AK831">
        <v>0</v>
      </c>
      <c r="AL831">
        <v>28000</v>
      </c>
      <c r="AM831">
        <v>28000</v>
      </c>
      <c r="AN831">
        <v>0</v>
      </c>
      <c r="AO831">
        <v>384</v>
      </c>
      <c r="AP831">
        <v>2016</v>
      </c>
      <c r="AQ831">
        <v>1.74</v>
      </c>
      <c r="AS831" t="s">
        <v>11458</v>
      </c>
      <c r="AT831" t="s">
        <v>3747</v>
      </c>
      <c r="AU831" t="s">
        <v>177</v>
      </c>
      <c r="AV831" t="s">
        <v>1030</v>
      </c>
      <c r="AW831" t="s">
        <v>182</v>
      </c>
      <c r="AX831">
        <v>0</v>
      </c>
      <c r="AY831" t="s">
        <v>312</v>
      </c>
      <c r="AZ831" t="s">
        <v>199</v>
      </c>
      <c r="BA831" t="s">
        <v>313</v>
      </c>
      <c r="BB831" t="s">
        <v>191</v>
      </c>
      <c r="BC831" t="s">
        <v>182</v>
      </c>
      <c r="BD831" t="s">
        <v>182</v>
      </c>
      <c r="BE831" t="s">
        <v>383</v>
      </c>
      <c r="BF831">
        <v>0</v>
      </c>
      <c r="BG831">
        <v>0</v>
      </c>
      <c r="BH831">
        <v>0</v>
      </c>
      <c r="BI831" t="s">
        <v>199</v>
      </c>
      <c r="BJ831" t="s">
        <v>315</v>
      </c>
      <c r="BL831" t="s">
        <v>199</v>
      </c>
      <c r="BM831" t="s">
        <v>325</v>
      </c>
      <c r="BN831" t="s">
        <v>182</v>
      </c>
      <c r="BO831" t="s">
        <v>198</v>
      </c>
      <c r="BP831" t="s">
        <v>198</v>
      </c>
      <c r="BQ831" t="s">
        <v>198</v>
      </c>
      <c r="BR831" t="s">
        <v>198</v>
      </c>
      <c r="BS831" t="s">
        <v>198</v>
      </c>
      <c r="BT831" t="s">
        <v>198</v>
      </c>
      <c r="BU831" t="s">
        <v>182</v>
      </c>
      <c r="BV831" t="s">
        <v>198</v>
      </c>
      <c r="BW831" t="s">
        <v>198</v>
      </c>
      <c r="BX831" t="s">
        <v>199</v>
      </c>
      <c r="BY831" t="s">
        <v>198</v>
      </c>
      <c r="BZ831" t="s">
        <v>199</v>
      </c>
      <c r="CA831" t="s">
        <v>199</v>
      </c>
      <c r="CB831" t="s">
        <v>11459</v>
      </c>
      <c r="CC831" t="s">
        <v>201</v>
      </c>
      <c r="CD831" t="s">
        <v>182</v>
      </c>
      <c r="CE831" t="s">
        <v>11460</v>
      </c>
      <c r="CF831" t="s">
        <v>1029</v>
      </c>
      <c r="CG831" t="s">
        <v>177</v>
      </c>
      <c r="CH831" t="s">
        <v>1030</v>
      </c>
      <c r="CI831" t="s">
        <v>1955</v>
      </c>
      <c r="CJ831" t="s">
        <v>10810</v>
      </c>
      <c r="CK831" t="s">
        <v>267</v>
      </c>
      <c r="CL831" t="s">
        <v>268</v>
      </c>
      <c r="CM831" t="s">
        <v>11412</v>
      </c>
      <c r="CN831" t="s">
        <v>247</v>
      </c>
      <c r="CO831" t="s">
        <v>183</v>
      </c>
      <c r="CP831" t="s">
        <v>211</v>
      </c>
      <c r="CQ831" t="s">
        <v>329</v>
      </c>
      <c r="CS831" t="s">
        <v>1069</v>
      </c>
      <c r="CT831" t="s">
        <v>10989</v>
      </c>
      <c r="CU831" t="s">
        <v>273</v>
      </c>
      <c r="CV831" t="s">
        <v>274</v>
      </c>
      <c r="CW831" t="s">
        <v>11413</v>
      </c>
      <c r="CX831" t="s">
        <v>1180</v>
      </c>
      <c r="CY831" t="s">
        <v>183</v>
      </c>
      <c r="CZ831" t="s">
        <v>211</v>
      </c>
      <c r="DA831" t="s">
        <v>298</v>
      </c>
      <c r="DC831" t="s">
        <v>1069</v>
      </c>
      <c r="DD831" t="s">
        <v>11461</v>
      </c>
      <c r="DE831" t="s">
        <v>302</v>
      </c>
      <c r="DF831" t="s">
        <v>274</v>
      </c>
      <c r="DG831" t="s">
        <v>11462</v>
      </c>
      <c r="DH831" t="s">
        <v>3395</v>
      </c>
      <c r="DI831" t="s">
        <v>183</v>
      </c>
      <c r="DJ831" t="s">
        <v>211</v>
      </c>
      <c r="DK831" t="s">
        <v>298</v>
      </c>
      <c r="DM831" t="s">
        <v>1069</v>
      </c>
      <c r="DN831" t="s">
        <v>11463</v>
      </c>
      <c r="DO831" t="s">
        <v>238</v>
      </c>
      <c r="DP831" t="s">
        <v>239</v>
      </c>
      <c r="DQ831" t="s">
        <v>11464</v>
      </c>
      <c r="DR831" t="s">
        <v>333</v>
      </c>
      <c r="DS831" t="s">
        <v>183</v>
      </c>
      <c r="DT831" t="s">
        <v>211</v>
      </c>
      <c r="DU831" t="s">
        <v>1064</v>
      </c>
      <c r="DW831" t="s">
        <v>1069</v>
      </c>
      <c r="DX831" t="s">
        <v>11465</v>
      </c>
      <c r="DY831" t="s">
        <v>346</v>
      </c>
      <c r="DZ831" t="s">
        <v>347</v>
      </c>
      <c r="EA831" t="s">
        <v>11466</v>
      </c>
      <c r="EB831" t="s">
        <v>615</v>
      </c>
      <c r="EC831" t="s">
        <v>183</v>
      </c>
      <c r="ED831" t="s">
        <v>211</v>
      </c>
      <c r="EE831" t="s">
        <v>219</v>
      </c>
      <c r="EG831" t="s">
        <v>1069</v>
      </c>
      <c r="EH831" t="s">
        <v>11467</v>
      </c>
      <c r="EI831" t="s">
        <v>207</v>
      </c>
      <c r="EJ831" t="s">
        <v>208</v>
      </c>
      <c r="EK831" t="s">
        <v>11468</v>
      </c>
      <c r="EL831" t="s">
        <v>576</v>
      </c>
      <c r="EM831" t="s">
        <v>183</v>
      </c>
      <c r="EN831" t="s">
        <v>211</v>
      </c>
      <c r="EO831" t="s">
        <v>1659</v>
      </c>
      <c r="EQ831" t="s">
        <v>1069</v>
      </c>
      <c r="FA831" t="s">
        <v>198</v>
      </c>
      <c r="FK831" t="s">
        <v>198</v>
      </c>
      <c r="FU831" t="s">
        <v>198</v>
      </c>
    </row>
    <row r="832" spans="1:177">
      <c r="A832" s="1" t="str">
        <f>HYPERLINK("http://digipan.lumentumllc.com/apps/getLink/index.php?t=PropLink&amp;p=15751117","PL")</f>
        <v>PL</v>
      </c>
      <c r="B832" s="1" t="str">
        <f>HYPERLINK("http://digipan.lumentumllc.com/apps/getLink/index.php?t=TaxLink&amp;p=15751117","TL")</f>
        <v>TL</v>
      </c>
      <c r="C832" s="1" t="str">
        <f>HYPERLINK("http://digipan.lumentumllc.com/apps/getMap/index.php?p=15751117","Map")</f>
        <v>Map</v>
      </c>
      <c r="E832" t="s">
        <v>177</v>
      </c>
      <c r="F832" t="s">
        <v>178</v>
      </c>
      <c r="L832" t="s">
        <v>11469</v>
      </c>
      <c r="N832" t="s">
        <v>11469</v>
      </c>
      <c r="O832" t="s">
        <v>11469</v>
      </c>
      <c r="Q832" t="s">
        <v>11469</v>
      </c>
      <c r="V832">
        <v>966</v>
      </c>
      <c r="W832">
        <v>3</v>
      </c>
      <c r="X832">
        <v>2017</v>
      </c>
      <c r="Y832">
        <v>2018</v>
      </c>
      <c r="Z832">
        <v>639.57000000000005</v>
      </c>
      <c r="AG832" t="s">
        <v>184</v>
      </c>
      <c r="AH832">
        <v>0</v>
      </c>
      <c r="AK832">
        <v>0</v>
      </c>
      <c r="AL832">
        <v>72602</v>
      </c>
      <c r="AM832">
        <v>25650</v>
      </c>
      <c r="AN832">
        <v>46952</v>
      </c>
      <c r="AO832">
        <v>485</v>
      </c>
      <c r="AP832">
        <v>2016</v>
      </c>
      <c r="AQ832">
        <v>0.88</v>
      </c>
      <c r="AS832" t="s">
        <v>11470</v>
      </c>
      <c r="AT832" t="s">
        <v>3747</v>
      </c>
      <c r="AU832" t="s">
        <v>177</v>
      </c>
      <c r="AV832" t="s">
        <v>1030</v>
      </c>
      <c r="AW832" t="s">
        <v>202</v>
      </c>
      <c r="AX832">
        <v>2</v>
      </c>
      <c r="AY832" t="s">
        <v>188</v>
      </c>
      <c r="AZ832" t="s">
        <v>189</v>
      </c>
      <c r="BA832" t="s">
        <v>190</v>
      </c>
      <c r="BB832" t="s">
        <v>191</v>
      </c>
      <c r="BC832" t="s">
        <v>182</v>
      </c>
      <c r="BD832" t="s">
        <v>182</v>
      </c>
      <c r="BE832" t="s">
        <v>11471</v>
      </c>
      <c r="BF832">
        <v>1</v>
      </c>
      <c r="BG832">
        <v>1</v>
      </c>
      <c r="BH832">
        <v>1997</v>
      </c>
      <c r="BI832" t="s">
        <v>2225</v>
      </c>
      <c r="BJ832" t="s">
        <v>194</v>
      </c>
      <c r="BK832" t="s">
        <v>195</v>
      </c>
      <c r="BL832" t="s">
        <v>11472</v>
      </c>
      <c r="BM832" t="s">
        <v>501</v>
      </c>
      <c r="BN832" t="s">
        <v>182</v>
      </c>
      <c r="BO832" t="s">
        <v>198</v>
      </c>
      <c r="BP832" t="s">
        <v>198</v>
      </c>
      <c r="BQ832" t="s">
        <v>198</v>
      </c>
      <c r="BR832" t="s">
        <v>198</v>
      </c>
      <c r="BS832" t="s">
        <v>198</v>
      </c>
      <c r="BT832" t="s">
        <v>198</v>
      </c>
      <c r="BU832" t="s">
        <v>182</v>
      </c>
      <c r="BV832" t="s">
        <v>198</v>
      </c>
      <c r="BW832" t="s">
        <v>198</v>
      </c>
      <c r="BX832" t="s">
        <v>199</v>
      </c>
      <c r="BY832" t="s">
        <v>198</v>
      </c>
      <c r="BZ832" t="s">
        <v>199</v>
      </c>
      <c r="CA832" t="s">
        <v>199</v>
      </c>
      <c r="CB832" t="s">
        <v>11473</v>
      </c>
      <c r="CC832" t="s">
        <v>201</v>
      </c>
      <c r="CD832" t="s">
        <v>202</v>
      </c>
      <c r="CE832" t="s">
        <v>11474</v>
      </c>
      <c r="CF832" t="s">
        <v>1029</v>
      </c>
      <c r="CG832" t="s">
        <v>177</v>
      </c>
      <c r="CH832" t="s">
        <v>1030</v>
      </c>
      <c r="CI832" t="s">
        <v>11475</v>
      </c>
      <c r="CS832" t="s">
        <v>198</v>
      </c>
      <c r="DC832" t="s">
        <v>198</v>
      </c>
      <c r="DM832" t="s">
        <v>198</v>
      </c>
      <c r="DW832" t="s">
        <v>198</v>
      </c>
      <c r="EG832" t="s">
        <v>198</v>
      </c>
      <c r="EQ832" t="s">
        <v>198</v>
      </c>
      <c r="FA832" t="s">
        <v>198</v>
      </c>
      <c r="FK832" t="s">
        <v>198</v>
      </c>
      <c r="FU832" t="s">
        <v>198</v>
      </c>
    </row>
    <row r="833" spans="1:177">
      <c r="A833" s="1" t="str">
        <f>HYPERLINK("http://digipan.lumentumllc.com/apps/getLink/index.php?t=PropLink&amp;p=15751119","PL")</f>
        <v>PL</v>
      </c>
      <c r="B833" s="1" t="str">
        <f>HYPERLINK("http://digipan.lumentumllc.com/apps/getLink/index.php?t=TaxLink&amp;p=15751119","TL")</f>
        <v>TL</v>
      </c>
      <c r="C833" s="1" t="str">
        <f>HYPERLINK("http://digipan.lumentumllc.com/apps/getMap/index.php?p=15751119","Map")</f>
        <v>Map</v>
      </c>
      <c r="E833" t="s">
        <v>177</v>
      </c>
      <c r="F833" t="s">
        <v>178</v>
      </c>
      <c r="L833" t="s">
        <v>11476</v>
      </c>
      <c r="N833" t="s">
        <v>11476</v>
      </c>
      <c r="O833" t="s">
        <v>11476</v>
      </c>
      <c r="Q833" t="s">
        <v>11476</v>
      </c>
      <c r="V833">
        <v>967</v>
      </c>
      <c r="W833">
        <v>3</v>
      </c>
      <c r="X833">
        <v>2017</v>
      </c>
      <c r="Y833">
        <v>2018</v>
      </c>
      <c r="Z833">
        <v>590.52</v>
      </c>
      <c r="AB833" t="s">
        <v>181</v>
      </c>
      <c r="AC833" t="s">
        <v>182</v>
      </c>
      <c r="AD833" t="s">
        <v>183</v>
      </c>
      <c r="AE833">
        <v>1</v>
      </c>
      <c r="AF833">
        <v>0</v>
      </c>
      <c r="AG833" t="s">
        <v>1200</v>
      </c>
      <c r="AH833">
        <v>0</v>
      </c>
      <c r="AI833">
        <v>509.06</v>
      </c>
      <c r="AJ833">
        <v>25.45</v>
      </c>
      <c r="AK833">
        <v>534.51</v>
      </c>
      <c r="AL833">
        <v>36926</v>
      </c>
      <c r="AM833">
        <v>18300</v>
      </c>
      <c r="AN833">
        <v>18626</v>
      </c>
      <c r="AO833">
        <v>446</v>
      </c>
      <c r="AP833">
        <v>2016</v>
      </c>
      <c r="AQ833">
        <v>1.6</v>
      </c>
      <c r="AR833">
        <v>1.45</v>
      </c>
      <c r="AS833" t="s">
        <v>11477</v>
      </c>
      <c r="AT833" t="s">
        <v>3747</v>
      </c>
      <c r="AU833" t="s">
        <v>177</v>
      </c>
      <c r="AV833" t="s">
        <v>1030</v>
      </c>
      <c r="AW833" t="s">
        <v>182</v>
      </c>
      <c r="AX833">
        <v>2</v>
      </c>
      <c r="AY833" t="s">
        <v>188</v>
      </c>
      <c r="AZ833" t="s">
        <v>189</v>
      </c>
      <c r="BA833" t="s">
        <v>190</v>
      </c>
      <c r="BB833" t="s">
        <v>191</v>
      </c>
      <c r="BC833" t="s">
        <v>182</v>
      </c>
      <c r="BD833" t="s">
        <v>182</v>
      </c>
      <c r="BE833" t="s">
        <v>11478</v>
      </c>
      <c r="BF833">
        <v>1</v>
      </c>
      <c r="BG833">
        <v>1</v>
      </c>
      <c r="BH833">
        <v>1987</v>
      </c>
      <c r="BI833" t="s">
        <v>6299</v>
      </c>
      <c r="BJ833" t="s">
        <v>194</v>
      </c>
      <c r="BK833" t="s">
        <v>195</v>
      </c>
      <c r="BL833" t="s">
        <v>199</v>
      </c>
      <c r="BM833" t="s">
        <v>559</v>
      </c>
      <c r="BN833" t="s">
        <v>182</v>
      </c>
      <c r="BO833" t="s">
        <v>1204</v>
      </c>
      <c r="BP833" t="s">
        <v>11479</v>
      </c>
      <c r="BQ833" t="s">
        <v>800</v>
      </c>
      <c r="BR833" t="s">
        <v>563</v>
      </c>
      <c r="BS833" t="s">
        <v>198</v>
      </c>
      <c r="BT833" t="s">
        <v>11480</v>
      </c>
      <c r="BU833" t="s">
        <v>182</v>
      </c>
      <c r="BV833" t="s">
        <v>198</v>
      </c>
      <c r="BW833" t="s">
        <v>198</v>
      </c>
      <c r="BX833" t="s">
        <v>199</v>
      </c>
      <c r="BY833" t="s">
        <v>198</v>
      </c>
      <c r="BZ833" t="s">
        <v>199</v>
      </c>
      <c r="CA833" t="s">
        <v>199</v>
      </c>
      <c r="CB833" t="s">
        <v>11481</v>
      </c>
      <c r="CC833" t="s">
        <v>201</v>
      </c>
      <c r="CD833" t="s">
        <v>182</v>
      </c>
      <c r="CE833" t="s">
        <v>10124</v>
      </c>
      <c r="CF833" t="s">
        <v>1029</v>
      </c>
      <c r="CG833" t="s">
        <v>177</v>
      </c>
      <c r="CH833" t="s">
        <v>1030</v>
      </c>
      <c r="CI833" t="s">
        <v>11482</v>
      </c>
      <c r="CJ833" t="s">
        <v>8154</v>
      </c>
      <c r="CK833" t="s">
        <v>232</v>
      </c>
      <c r="CL833" t="s">
        <v>233</v>
      </c>
      <c r="CM833" t="s">
        <v>11483</v>
      </c>
      <c r="CN833" t="s">
        <v>235</v>
      </c>
      <c r="CO833" t="s">
        <v>183</v>
      </c>
      <c r="CP833" t="s">
        <v>266</v>
      </c>
      <c r="CS833" t="s">
        <v>198</v>
      </c>
      <c r="DC833" t="s">
        <v>198</v>
      </c>
      <c r="DM833" t="s">
        <v>198</v>
      </c>
      <c r="DW833" t="s">
        <v>198</v>
      </c>
      <c r="EG833" t="s">
        <v>198</v>
      </c>
      <c r="EQ833" t="s">
        <v>198</v>
      </c>
      <c r="FA833" t="s">
        <v>198</v>
      </c>
      <c r="FK833" t="s">
        <v>198</v>
      </c>
      <c r="FU833" t="s">
        <v>198</v>
      </c>
    </row>
    <row r="834" spans="1:177">
      <c r="A834" s="1" t="str">
        <f>HYPERLINK("http://digipan.lumentumllc.com/apps/getLink/index.php?t=PropLink&amp;p=15751121","PL")</f>
        <v>PL</v>
      </c>
      <c r="B834" s="1" t="str">
        <f>HYPERLINK("http://digipan.lumentumllc.com/apps/getLink/index.php?t=TaxLink&amp;p=15751121","TL")</f>
        <v>TL</v>
      </c>
      <c r="C834" s="1" t="str">
        <f>HYPERLINK("http://digipan.lumentumllc.com/apps/getMap/index.php?p=15751121","Map")</f>
        <v>Map</v>
      </c>
      <c r="E834" t="s">
        <v>177</v>
      </c>
      <c r="F834" t="s">
        <v>178</v>
      </c>
      <c r="L834" t="s">
        <v>11484</v>
      </c>
      <c r="N834" t="s">
        <v>11484</v>
      </c>
      <c r="O834" t="s">
        <v>11484</v>
      </c>
      <c r="Q834" t="s">
        <v>11484</v>
      </c>
      <c r="V834">
        <v>968</v>
      </c>
      <c r="W834">
        <v>3</v>
      </c>
      <c r="X834">
        <v>2017</v>
      </c>
      <c r="Y834">
        <v>2018</v>
      </c>
      <c r="Z834">
        <v>466.78</v>
      </c>
      <c r="AG834" t="s">
        <v>184</v>
      </c>
      <c r="AH834">
        <v>0</v>
      </c>
      <c r="AK834">
        <v>0</v>
      </c>
      <c r="AL834">
        <v>63791</v>
      </c>
      <c r="AM834">
        <v>34560</v>
      </c>
      <c r="AN834">
        <v>29231</v>
      </c>
      <c r="AO834">
        <v>391</v>
      </c>
      <c r="AP834">
        <v>2016</v>
      </c>
      <c r="AQ834">
        <v>0.73</v>
      </c>
      <c r="AS834" t="s">
        <v>11485</v>
      </c>
      <c r="AT834" t="s">
        <v>3747</v>
      </c>
      <c r="AU834" t="s">
        <v>177</v>
      </c>
      <c r="AV834" t="s">
        <v>1030</v>
      </c>
      <c r="AW834" t="s">
        <v>202</v>
      </c>
      <c r="AX834">
        <v>2</v>
      </c>
      <c r="AY834" t="s">
        <v>188</v>
      </c>
      <c r="AZ834" t="s">
        <v>189</v>
      </c>
      <c r="BA834" t="s">
        <v>190</v>
      </c>
      <c r="BB834" t="s">
        <v>191</v>
      </c>
      <c r="BC834" t="s">
        <v>182</v>
      </c>
      <c r="BD834" t="s">
        <v>182</v>
      </c>
      <c r="BE834" t="s">
        <v>4448</v>
      </c>
      <c r="BF834">
        <v>2</v>
      </c>
      <c r="BG834">
        <v>2</v>
      </c>
      <c r="BH834">
        <v>1988</v>
      </c>
      <c r="BI834" t="s">
        <v>1332</v>
      </c>
      <c r="BJ834" t="s">
        <v>194</v>
      </c>
      <c r="BK834" t="s">
        <v>195</v>
      </c>
      <c r="BL834" t="s">
        <v>1720</v>
      </c>
      <c r="BM834" t="s">
        <v>346</v>
      </c>
      <c r="BN834" t="s">
        <v>182</v>
      </c>
      <c r="BO834" t="s">
        <v>11486</v>
      </c>
      <c r="BP834" t="s">
        <v>5899</v>
      </c>
      <c r="BQ834" t="s">
        <v>226</v>
      </c>
      <c r="BR834" t="s">
        <v>227</v>
      </c>
      <c r="BS834" t="s">
        <v>198</v>
      </c>
      <c r="BT834" t="s">
        <v>11487</v>
      </c>
      <c r="BU834" t="s">
        <v>182</v>
      </c>
      <c r="BV834" t="s">
        <v>198</v>
      </c>
      <c r="BW834" t="s">
        <v>198</v>
      </c>
      <c r="BX834" t="s">
        <v>199</v>
      </c>
      <c r="BY834" t="s">
        <v>198</v>
      </c>
      <c r="BZ834" t="s">
        <v>199</v>
      </c>
      <c r="CA834" t="s">
        <v>199</v>
      </c>
      <c r="CB834" t="s">
        <v>11488</v>
      </c>
      <c r="CC834" t="s">
        <v>201</v>
      </c>
      <c r="CD834" t="s">
        <v>182</v>
      </c>
      <c r="CE834" t="s">
        <v>11489</v>
      </c>
      <c r="CF834" t="s">
        <v>1029</v>
      </c>
      <c r="CG834" t="s">
        <v>177</v>
      </c>
      <c r="CH834" t="s">
        <v>1030</v>
      </c>
      <c r="CI834" t="s">
        <v>11490</v>
      </c>
      <c r="CS834" t="s">
        <v>198</v>
      </c>
      <c r="DC834" t="s">
        <v>198</v>
      </c>
      <c r="DM834" t="s">
        <v>198</v>
      </c>
      <c r="DW834" t="s">
        <v>198</v>
      </c>
      <c r="EG834" t="s">
        <v>198</v>
      </c>
      <c r="EQ834" t="s">
        <v>198</v>
      </c>
      <c r="FA834" t="s">
        <v>198</v>
      </c>
      <c r="FK834" t="s">
        <v>198</v>
      </c>
      <c r="FU834" t="s">
        <v>198</v>
      </c>
    </row>
    <row r="835" spans="1:177">
      <c r="A835" s="1" t="str">
        <f>HYPERLINK("http://digipan.lumentumllc.com/apps/getLink/index.php?t=PropLink&amp;p=5246710","PL")</f>
        <v>PL</v>
      </c>
      <c r="B835" s="1" t="str">
        <f>HYPERLINK("http://digipan.lumentumllc.com/apps/getLink/index.php?t=TaxLink&amp;p=5246710","TL")</f>
        <v>TL</v>
      </c>
      <c r="C835" s="1" t="str">
        <f>HYPERLINK("http://digipan.lumentumllc.com/apps/getMap/index.php?p=5246710","Map")</f>
        <v>Map</v>
      </c>
      <c r="E835" t="s">
        <v>177</v>
      </c>
      <c r="F835" t="s">
        <v>178</v>
      </c>
      <c r="L835" t="s">
        <v>11491</v>
      </c>
      <c r="N835" t="s">
        <v>11491</v>
      </c>
      <c r="O835" t="s">
        <v>11491</v>
      </c>
      <c r="P835" t="s">
        <v>11492</v>
      </c>
      <c r="Q835" t="s">
        <v>11491</v>
      </c>
      <c r="V835">
        <v>969</v>
      </c>
      <c r="W835">
        <v>3</v>
      </c>
      <c r="X835">
        <v>2017</v>
      </c>
      <c r="Y835">
        <v>2018</v>
      </c>
      <c r="Z835">
        <v>1850.29</v>
      </c>
      <c r="AB835" t="s">
        <v>181</v>
      </c>
      <c r="AC835" t="s">
        <v>202</v>
      </c>
      <c r="AD835" t="s">
        <v>183</v>
      </c>
      <c r="AE835">
        <v>1</v>
      </c>
      <c r="AF835">
        <v>6</v>
      </c>
      <c r="AG835" t="s">
        <v>322</v>
      </c>
      <c r="AH835">
        <v>83</v>
      </c>
      <c r="AI835">
        <v>1651.34</v>
      </c>
      <c r="AJ835">
        <v>82.57</v>
      </c>
      <c r="AK835">
        <v>1733.91</v>
      </c>
      <c r="AL835">
        <v>161813</v>
      </c>
      <c r="AM835">
        <v>30000</v>
      </c>
      <c r="AN835">
        <v>131813</v>
      </c>
      <c r="AO835">
        <v>1502</v>
      </c>
      <c r="AP835">
        <v>2016</v>
      </c>
      <c r="AQ835">
        <v>1.1399999999999999</v>
      </c>
      <c r="AR835">
        <v>1.07</v>
      </c>
      <c r="AS835" t="s">
        <v>11493</v>
      </c>
      <c r="AT835" t="s">
        <v>3747</v>
      </c>
      <c r="AU835" t="s">
        <v>177</v>
      </c>
      <c r="AV835" t="s">
        <v>1030</v>
      </c>
      <c r="AW835" t="s">
        <v>202</v>
      </c>
      <c r="AX835">
        <v>1</v>
      </c>
      <c r="AY835" t="s">
        <v>188</v>
      </c>
      <c r="AZ835" t="s">
        <v>206</v>
      </c>
      <c r="BA835" t="s">
        <v>355</v>
      </c>
      <c r="BB835" t="s">
        <v>191</v>
      </c>
      <c r="BC835" t="s">
        <v>182</v>
      </c>
      <c r="BD835" t="s">
        <v>182</v>
      </c>
      <c r="BE835" t="s">
        <v>1495</v>
      </c>
      <c r="BF835">
        <v>1</v>
      </c>
      <c r="BG835">
        <v>1</v>
      </c>
      <c r="BH835">
        <v>2004</v>
      </c>
      <c r="BI835" t="s">
        <v>11494</v>
      </c>
      <c r="BJ835" t="s">
        <v>396</v>
      </c>
      <c r="BK835" t="s">
        <v>195</v>
      </c>
      <c r="BL835" t="s">
        <v>11495</v>
      </c>
      <c r="BM835" t="s">
        <v>325</v>
      </c>
      <c r="BN835" t="s">
        <v>182</v>
      </c>
      <c r="BO835" t="s">
        <v>11496</v>
      </c>
      <c r="BP835" t="s">
        <v>11497</v>
      </c>
      <c r="BQ835" t="s">
        <v>226</v>
      </c>
      <c r="BR835" t="s">
        <v>227</v>
      </c>
      <c r="BS835" t="s">
        <v>198</v>
      </c>
      <c r="BT835" t="s">
        <v>11498</v>
      </c>
      <c r="BU835" t="s">
        <v>182</v>
      </c>
      <c r="BV835" t="s">
        <v>198</v>
      </c>
      <c r="BW835" t="s">
        <v>198</v>
      </c>
      <c r="BX835" t="s">
        <v>199</v>
      </c>
      <c r="BY835" t="s">
        <v>198</v>
      </c>
      <c r="BZ835" t="s">
        <v>199</v>
      </c>
      <c r="CA835" t="s">
        <v>199</v>
      </c>
      <c r="CB835" t="s">
        <v>11499</v>
      </c>
      <c r="CC835" t="s">
        <v>201</v>
      </c>
      <c r="CD835" t="s">
        <v>182</v>
      </c>
      <c r="CE835" t="s">
        <v>11500</v>
      </c>
      <c r="CF835" t="s">
        <v>1029</v>
      </c>
      <c r="CG835" t="s">
        <v>177</v>
      </c>
      <c r="CH835" t="s">
        <v>1030</v>
      </c>
      <c r="CI835" t="s">
        <v>610</v>
      </c>
      <c r="CJ835" t="s">
        <v>2409</v>
      </c>
      <c r="CK835" t="s">
        <v>232</v>
      </c>
      <c r="CL835" t="s">
        <v>233</v>
      </c>
      <c r="CM835" t="s">
        <v>11501</v>
      </c>
      <c r="CN835" t="s">
        <v>235</v>
      </c>
      <c r="CO835" t="s">
        <v>183</v>
      </c>
      <c r="CP835" t="s">
        <v>266</v>
      </c>
      <c r="CS835" t="s">
        <v>198</v>
      </c>
      <c r="CT835" t="s">
        <v>11123</v>
      </c>
      <c r="CU835" t="s">
        <v>292</v>
      </c>
      <c r="CV835" t="s">
        <v>293</v>
      </c>
      <c r="CW835" t="s">
        <v>11502</v>
      </c>
      <c r="CX835" t="s">
        <v>235</v>
      </c>
      <c r="CY835" t="s">
        <v>183</v>
      </c>
      <c r="CZ835" t="s">
        <v>211</v>
      </c>
      <c r="DA835" t="s">
        <v>298</v>
      </c>
      <c r="DC835" t="s">
        <v>4914</v>
      </c>
      <c r="DD835" t="s">
        <v>4222</v>
      </c>
      <c r="DE835" t="s">
        <v>273</v>
      </c>
      <c r="DF835" t="s">
        <v>274</v>
      </c>
      <c r="DG835" t="s">
        <v>11503</v>
      </c>
      <c r="DH835" t="s">
        <v>235</v>
      </c>
      <c r="DI835" t="s">
        <v>183</v>
      </c>
      <c r="DJ835" t="s">
        <v>211</v>
      </c>
      <c r="DK835" t="s">
        <v>270</v>
      </c>
      <c r="DL835" t="s">
        <v>271</v>
      </c>
      <c r="DM835" t="s">
        <v>2244</v>
      </c>
      <c r="DN835" t="s">
        <v>1053</v>
      </c>
      <c r="DO835" t="s">
        <v>302</v>
      </c>
      <c r="DP835" t="s">
        <v>303</v>
      </c>
      <c r="DQ835" t="s">
        <v>11504</v>
      </c>
      <c r="DR835" t="s">
        <v>235</v>
      </c>
      <c r="DS835" t="s">
        <v>183</v>
      </c>
      <c r="DT835" t="s">
        <v>211</v>
      </c>
      <c r="DV835" t="s">
        <v>271</v>
      </c>
      <c r="DW835" t="s">
        <v>198</v>
      </c>
      <c r="DX835" t="s">
        <v>10222</v>
      </c>
      <c r="DY835" t="s">
        <v>238</v>
      </c>
      <c r="DZ835" t="s">
        <v>239</v>
      </c>
      <c r="EA835" t="s">
        <v>11505</v>
      </c>
      <c r="EB835" t="s">
        <v>235</v>
      </c>
      <c r="EC835" t="s">
        <v>183</v>
      </c>
      <c r="ED835" t="s">
        <v>211</v>
      </c>
      <c r="EE835" t="s">
        <v>264</v>
      </c>
      <c r="EG835" t="s">
        <v>11506</v>
      </c>
      <c r="EH835" t="s">
        <v>11507</v>
      </c>
      <c r="EI835" t="s">
        <v>346</v>
      </c>
      <c r="EJ835" t="s">
        <v>347</v>
      </c>
      <c r="EK835" t="s">
        <v>11508</v>
      </c>
      <c r="EL835" t="s">
        <v>235</v>
      </c>
      <c r="EM835" t="s">
        <v>183</v>
      </c>
      <c r="EN835" t="s">
        <v>211</v>
      </c>
      <c r="EO835" t="s">
        <v>471</v>
      </c>
      <c r="EQ835" t="s">
        <v>11506</v>
      </c>
      <c r="ER835" t="s">
        <v>11509</v>
      </c>
      <c r="ES835" t="s">
        <v>207</v>
      </c>
      <c r="ET835" t="s">
        <v>208</v>
      </c>
      <c r="EU835" t="s">
        <v>11510</v>
      </c>
      <c r="EV835" t="s">
        <v>235</v>
      </c>
      <c r="EW835" t="s">
        <v>183</v>
      </c>
      <c r="EX835" t="s">
        <v>211</v>
      </c>
      <c r="EY835" t="s">
        <v>212</v>
      </c>
      <c r="FA835" t="s">
        <v>11511</v>
      </c>
      <c r="FK835" t="s">
        <v>198</v>
      </c>
      <c r="FU835" t="s">
        <v>198</v>
      </c>
    </row>
    <row r="836" spans="1:177">
      <c r="A836" s="1" t="str">
        <f>HYPERLINK("http://digipan.lumentumllc.com/apps/getLink/index.php?t=PropLink&amp;p=15751960","PL")</f>
        <v>PL</v>
      </c>
      <c r="B836" s="1" t="str">
        <f>HYPERLINK("http://digipan.lumentumllc.com/apps/getLink/index.php?t=TaxLink&amp;p=15751960","TL")</f>
        <v>TL</v>
      </c>
      <c r="C836" s="1" t="str">
        <f>HYPERLINK("http://digipan.lumentumllc.com/apps/getMap/index.php?p=15751960","Map")</f>
        <v>Map</v>
      </c>
      <c r="E836" t="s">
        <v>177</v>
      </c>
      <c r="F836" t="s">
        <v>178</v>
      </c>
      <c r="L836" t="s">
        <v>11512</v>
      </c>
      <c r="N836" t="s">
        <v>11512</v>
      </c>
      <c r="O836" t="s">
        <v>11512</v>
      </c>
      <c r="Q836" t="s">
        <v>11512</v>
      </c>
      <c r="V836">
        <v>970</v>
      </c>
      <c r="W836">
        <v>3</v>
      </c>
      <c r="X836">
        <v>2017</v>
      </c>
      <c r="Y836">
        <v>2018</v>
      </c>
      <c r="Z836">
        <v>1226.9100000000001</v>
      </c>
      <c r="AG836" t="s">
        <v>184</v>
      </c>
      <c r="AH836">
        <v>0</v>
      </c>
      <c r="AK836">
        <v>0</v>
      </c>
      <c r="AL836">
        <v>72982</v>
      </c>
      <c r="AM836">
        <v>16500</v>
      </c>
      <c r="AN836">
        <v>56482</v>
      </c>
      <c r="AO836">
        <v>1032</v>
      </c>
      <c r="AP836">
        <v>2016</v>
      </c>
      <c r="AQ836">
        <v>1.68</v>
      </c>
      <c r="AS836" t="s">
        <v>11513</v>
      </c>
      <c r="AT836" t="s">
        <v>3747</v>
      </c>
      <c r="AU836" t="s">
        <v>177</v>
      </c>
      <c r="AV836" t="s">
        <v>1030</v>
      </c>
      <c r="AW836" t="s">
        <v>182</v>
      </c>
      <c r="AX836">
        <v>2</v>
      </c>
      <c r="AY836" t="s">
        <v>188</v>
      </c>
      <c r="AZ836" t="s">
        <v>189</v>
      </c>
      <c r="BA836" t="s">
        <v>190</v>
      </c>
      <c r="BB836" t="s">
        <v>191</v>
      </c>
      <c r="BC836" t="s">
        <v>182</v>
      </c>
      <c r="BD836" t="s">
        <v>182</v>
      </c>
      <c r="BE836" t="s">
        <v>259</v>
      </c>
      <c r="BF836">
        <v>1</v>
      </c>
      <c r="BG836">
        <v>1</v>
      </c>
      <c r="BH836">
        <v>2011</v>
      </c>
      <c r="BI836" t="s">
        <v>2716</v>
      </c>
      <c r="BJ836" t="s">
        <v>194</v>
      </c>
      <c r="BK836" t="s">
        <v>195</v>
      </c>
      <c r="BL836" t="s">
        <v>11514</v>
      </c>
      <c r="BM836" t="s">
        <v>533</v>
      </c>
      <c r="BN836" t="s">
        <v>182</v>
      </c>
      <c r="BO836" t="s">
        <v>198</v>
      </c>
      <c r="BP836" t="s">
        <v>198</v>
      </c>
      <c r="BQ836" t="s">
        <v>198</v>
      </c>
      <c r="BR836" t="s">
        <v>198</v>
      </c>
      <c r="BS836" t="s">
        <v>198</v>
      </c>
      <c r="BT836" t="s">
        <v>198</v>
      </c>
      <c r="BU836" t="s">
        <v>182</v>
      </c>
      <c r="BV836" t="s">
        <v>198</v>
      </c>
      <c r="BW836" t="s">
        <v>198</v>
      </c>
      <c r="BX836" t="s">
        <v>199</v>
      </c>
      <c r="BY836" t="s">
        <v>198</v>
      </c>
      <c r="BZ836" t="s">
        <v>199</v>
      </c>
      <c r="CA836" t="s">
        <v>199</v>
      </c>
      <c r="CB836" t="s">
        <v>11515</v>
      </c>
      <c r="CC836" t="s">
        <v>201</v>
      </c>
      <c r="CD836" t="s">
        <v>182</v>
      </c>
      <c r="CE836" t="s">
        <v>11516</v>
      </c>
      <c r="CF836" t="s">
        <v>1029</v>
      </c>
      <c r="CG836" t="s">
        <v>177</v>
      </c>
      <c r="CH836" t="s">
        <v>1030</v>
      </c>
      <c r="CI836" t="s">
        <v>4099</v>
      </c>
      <c r="CS836" t="s">
        <v>198</v>
      </c>
      <c r="DC836" t="s">
        <v>198</v>
      </c>
      <c r="DM836" t="s">
        <v>198</v>
      </c>
      <c r="DW836" t="s">
        <v>198</v>
      </c>
      <c r="EG836" t="s">
        <v>198</v>
      </c>
      <c r="EQ836" t="s">
        <v>198</v>
      </c>
      <c r="FA836" t="s">
        <v>198</v>
      </c>
      <c r="FK836" t="s">
        <v>198</v>
      </c>
      <c r="FU836" t="s">
        <v>198</v>
      </c>
    </row>
    <row r="837" spans="1:177">
      <c r="A837" s="1" t="str">
        <f>HYPERLINK("http://digipan.lumentumllc.com/apps/getLink/index.php?t=PropLink&amp;p=5246769","PL")</f>
        <v>PL</v>
      </c>
      <c r="B837" s="1" t="str">
        <f>HYPERLINK("http://digipan.lumentumllc.com/apps/getLink/index.php?t=TaxLink&amp;p=5246769","TL")</f>
        <v>TL</v>
      </c>
      <c r="C837" s="1" t="str">
        <f>HYPERLINK("http://digipan.lumentumllc.com/apps/getMap/index.php?p=5246769","Map")</f>
        <v>Map</v>
      </c>
      <c r="E837" t="s">
        <v>177</v>
      </c>
      <c r="F837" t="s">
        <v>178</v>
      </c>
      <c r="L837" t="s">
        <v>11517</v>
      </c>
      <c r="N837" t="s">
        <v>11517</v>
      </c>
      <c r="O837" t="s">
        <v>11517</v>
      </c>
      <c r="P837" t="s">
        <v>11518</v>
      </c>
      <c r="Q837" t="s">
        <v>11517</v>
      </c>
      <c r="V837">
        <v>971</v>
      </c>
      <c r="W837">
        <v>3</v>
      </c>
      <c r="X837">
        <v>2017</v>
      </c>
      <c r="Y837">
        <v>2018</v>
      </c>
      <c r="Z837">
        <v>1011.5</v>
      </c>
      <c r="AB837" t="s">
        <v>181</v>
      </c>
      <c r="AC837" t="s">
        <v>182</v>
      </c>
      <c r="AD837" t="s">
        <v>183</v>
      </c>
      <c r="AE837">
        <v>0</v>
      </c>
      <c r="AF837">
        <v>5</v>
      </c>
      <c r="AG837" t="s">
        <v>3266</v>
      </c>
      <c r="AH837">
        <v>100</v>
      </c>
      <c r="AK837">
        <v>0</v>
      </c>
      <c r="AL837">
        <v>59826</v>
      </c>
      <c r="AM837">
        <v>15150</v>
      </c>
      <c r="AN837">
        <v>44676</v>
      </c>
      <c r="AO837">
        <v>875</v>
      </c>
      <c r="AP837">
        <v>2016</v>
      </c>
      <c r="AQ837">
        <v>1.69</v>
      </c>
      <c r="AS837" t="s">
        <v>11519</v>
      </c>
      <c r="AT837" t="s">
        <v>3747</v>
      </c>
      <c r="AU837" t="s">
        <v>177</v>
      </c>
      <c r="AV837" t="s">
        <v>1030</v>
      </c>
      <c r="AW837" t="s">
        <v>182</v>
      </c>
      <c r="AX837">
        <v>1</v>
      </c>
      <c r="AY837" t="s">
        <v>188</v>
      </c>
      <c r="AZ837" t="s">
        <v>206</v>
      </c>
      <c r="BA837" t="s">
        <v>355</v>
      </c>
      <c r="BB837" t="s">
        <v>191</v>
      </c>
      <c r="BC837" t="s">
        <v>182</v>
      </c>
      <c r="BD837" t="s">
        <v>182</v>
      </c>
      <c r="BE837" t="s">
        <v>899</v>
      </c>
      <c r="BF837">
        <v>1</v>
      </c>
      <c r="BG837">
        <v>1</v>
      </c>
      <c r="BH837">
        <v>1940</v>
      </c>
      <c r="BI837" t="s">
        <v>1530</v>
      </c>
      <c r="BJ837" t="s">
        <v>194</v>
      </c>
      <c r="BK837" t="s">
        <v>195</v>
      </c>
      <c r="BL837" t="s">
        <v>2395</v>
      </c>
      <c r="BM837" t="s">
        <v>197</v>
      </c>
      <c r="BN837" t="s">
        <v>182</v>
      </c>
      <c r="BO837" t="s">
        <v>198</v>
      </c>
      <c r="BP837" t="s">
        <v>198</v>
      </c>
      <c r="BQ837" t="s">
        <v>198</v>
      </c>
      <c r="BR837" t="s">
        <v>198</v>
      </c>
      <c r="BS837" t="s">
        <v>198</v>
      </c>
      <c r="BT837" t="s">
        <v>198</v>
      </c>
      <c r="BU837" t="s">
        <v>182</v>
      </c>
      <c r="BV837" t="s">
        <v>198</v>
      </c>
      <c r="BW837" t="s">
        <v>198</v>
      </c>
      <c r="BX837" t="s">
        <v>199</v>
      </c>
      <c r="BY837" t="s">
        <v>198</v>
      </c>
      <c r="BZ837" t="s">
        <v>199</v>
      </c>
      <c r="CA837" t="s">
        <v>199</v>
      </c>
      <c r="CB837" t="s">
        <v>11520</v>
      </c>
      <c r="CC837" t="s">
        <v>201</v>
      </c>
      <c r="CD837" t="s">
        <v>202</v>
      </c>
      <c r="CE837" t="s">
        <v>11521</v>
      </c>
      <c r="CF837" t="s">
        <v>1029</v>
      </c>
      <c r="CG837" t="s">
        <v>177</v>
      </c>
      <c r="CH837" t="s">
        <v>1030</v>
      </c>
      <c r="CI837" t="s">
        <v>11522</v>
      </c>
      <c r="CJ837" t="s">
        <v>8038</v>
      </c>
      <c r="CK837" t="s">
        <v>232</v>
      </c>
      <c r="CL837" t="s">
        <v>233</v>
      </c>
      <c r="CM837" t="s">
        <v>11523</v>
      </c>
      <c r="CN837" t="s">
        <v>235</v>
      </c>
      <c r="CO837" t="s">
        <v>183</v>
      </c>
      <c r="CP837" t="s">
        <v>211</v>
      </c>
      <c r="CQ837" t="s">
        <v>264</v>
      </c>
      <c r="CS837" t="s">
        <v>11524</v>
      </c>
      <c r="CT837" t="s">
        <v>10710</v>
      </c>
      <c r="CU837" t="s">
        <v>292</v>
      </c>
      <c r="CV837" t="s">
        <v>293</v>
      </c>
      <c r="CW837" t="s">
        <v>11525</v>
      </c>
      <c r="CX837" t="s">
        <v>235</v>
      </c>
      <c r="CY837" t="s">
        <v>183</v>
      </c>
      <c r="CZ837" t="s">
        <v>211</v>
      </c>
      <c r="DA837" t="s">
        <v>471</v>
      </c>
      <c r="DC837" t="s">
        <v>11524</v>
      </c>
      <c r="DD837" t="s">
        <v>8193</v>
      </c>
      <c r="DE837" t="s">
        <v>267</v>
      </c>
      <c r="DF837" t="s">
        <v>268</v>
      </c>
      <c r="DG837" t="s">
        <v>11526</v>
      </c>
      <c r="DH837" t="s">
        <v>235</v>
      </c>
      <c r="DI837" t="s">
        <v>183</v>
      </c>
      <c r="DJ837" t="s">
        <v>211</v>
      </c>
      <c r="DK837" t="s">
        <v>298</v>
      </c>
      <c r="DM837" t="s">
        <v>459</v>
      </c>
      <c r="DN837" t="s">
        <v>8787</v>
      </c>
      <c r="DO837" t="s">
        <v>273</v>
      </c>
      <c r="DP837" t="s">
        <v>274</v>
      </c>
      <c r="DQ837" t="s">
        <v>11527</v>
      </c>
      <c r="DR837" t="s">
        <v>235</v>
      </c>
      <c r="DS837" t="s">
        <v>183</v>
      </c>
      <c r="DT837" t="s">
        <v>211</v>
      </c>
      <c r="DU837" t="s">
        <v>270</v>
      </c>
      <c r="DW837" t="s">
        <v>1260</v>
      </c>
      <c r="DX837" t="s">
        <v>1095</v>
      </c>
      <c r="DY837" t="s">
        <v>302</v>
      </c>
      <c r="DZ837" t="s">
        <v>303</v>
      </c>
      <c r="EA837" t="s">
        <v>11528</v>
      </c>
      <c r="EB837" t="s">
        <v>235</v>
      </c>
      <c r="EC837" t="s">
        <v>183</v>
      </c>
      <c r="ED837" t="s">
        <v>211</v>
      </c>
      <c r="EE837" t="s">
        <v>298</v>
      </c>
      <c r="EG837" t="s">
        <v>8657</v>
      </c>
      <c r="EQ837" t="s">
        <v>198</v>
      </c>
      <c r="FA837" t="s">
        <v>198</v>
      </c>
      <c r="FK837" t="s">
        <v>198</v>
      </c>
      <c r="FU837" t="s">
        <v>198</v>
      </c>
    </row>
    <row r="838" spans="1:177">
      <c r="A838" s="1" t="str">
        <f>HYPERLINK("http://digipan.lumentumllc.com/apps/getLink/index.php?t=PropLink&amp;p=5246770","PL")</f>
        <v>PL</v>
      </c>
      <c r="B838" s="1" t="str">
        <f>HYPERLINK("http://digipan.lumentumllc.com/apps/getLink/index.php?t=TaxLink&amp;p=5246770","TL")</f>
        <v>TL</v>
      </c>
      <c r="C838" s="1" t="str">
        <f>HYPERLINK("http://digipan.lumentumllc.com/apps/getMap/index.php?p=5246770","Map")</f>
        <v>Map</v>
      </c>
      <c r="E838" t="s">
        <v>177</v>
      </c>
      <c r="F838" t="s">
        <v>178</v>
      </c>
      <c r="L838" t="s">
        <v>11529</v>
      </c>
      <c r="N838" t="s">
        <v>11529</v>
      </c>
      <c r="O838" t="s">
        <v>11529</v>
      </c>
      <c r="P838" t="s">
        <v>11530</v>
      </c>
      <c r="Q838" t="s">
        <v>11529</v>
      </c>
      <c r="V838">
        <v>972</v>
      </c>
      <c r="W838">
        <v>3</v>
      </c>
      <c r="X838">
        <v>2017</v>
      </c>
      <c r="Y838">
        <v>2018</v>
      </c>
      <c r="Z838">
        <v>1776.09</v>
      </c>
      <c r="AB838" t="s">
        <v>181</v>
      </c>
      <c r="AC838" t="s">
        <v>182</v>
      </c>
      <c r="AD838" t="s">
        <v>183</v>
      </c>
      <c r="AE838">
        <v>0</v>
      </c>
      <c r="AF838">
        <v>6</v>
      </c>
      <c r="AG838" t="s">
        <v>3266</v>
      </c>
      <c r="AH838">
        <v>100</v>
      </c>
      <c r="AK838">
        <v>0</v>
      </c>
      <c r="AL838">
        <v>246636</v>
      </c>
      <c r="AM838">
        <v>35766</v>
      </c>
      <c r="AN838">
        <v>210870</v>
      </c>
      <c r="AO838">
        <v>1561</v>
      </c>
      <c r="AP838">
        <v>2016</v>
      </c>
      <c r="AQ838">
        <v>0.72</v>
      </c>
      <c r="AS838" t="s">
        <v>11531</v>
      </c>
      <c r="AT838" t="s">
        <v>3747</v>
      </c>
      <c r="AU838" t="s">
        <v>177</v>
      </c>
      <c r="AV838" t="s">
        <v>1030</v>
      </c>
      <c r="AW838" t="s">
        <v>202</v>
      </c>
      <c r="AX838">
        <v>50</v>
      </c>
      <c r="AY838" t="s">
        <v>218</v>
      </c>
      <c r="AZ838" t="s">
        <v>589</v>
      </c>
      <c r="BA838" t="s">
        <v>590</v>
      </c>
      <c r="BB838" t="s">
        <v>191</v>
      </c>
      <c r="BC838" t="s">
        <v>182</v>
      </c>
      <c r="BD838" t="s">
        <v>182</v>
      </c>
      <c r="BE838" t="s">
        <v>11532</v>
      </c>
      <c r="BF838">
        <v>2</v>
      </c>
      <c r="BG838">
        <v>2</v>
      </c>
      <c r="BH838">
        <v>1975</v>
      </c>
      <c r="BI838" t="s">
        <v>11533</v>
      </c>
      <c r="BJ838" t="s">
        <v>194</v>
      </c>
      <c r="BK838" t="s">
        <v>195</v>
      </c>
      <c r="BL838" t="s">
        <v>11534</v>
      </c>
      <c r="BM838" t="s">
        <v>1041</v>
      </c>
      <c r="BN838" t="s">
        <v>182</v>
      </c>
      <c r="BO838" t="s">
        <v>11535</v>
      </c>
      <c r="BP838" t="s">
        <v>11536</v>
      </c>
      <c r="BS838" t="s">
        <v>11537</v>
      </c>
      <c r="BT838" t="s">
        <v>198</v>
      </c>
      <c r="BU838" t="s">
        <v>182</v>
      </c>
      <c r="BV838" t="s">
        <v>198</v>
      </c>
      <c r="BW838" t="s">
        <v>198</v>
      </c>
      <c r="BX838" t="s">
        <v>199</v>
      </c>
      <c r="BY838" t="s">
        <v>198</v>
      </c>
      <c r="BZ838" t="s">
        <v>199</v>
      </c>
      <c r="CA838" t="s">
        <v>199</v>
      </c>
      <c r="CB838" t="s">
        <v>9878</v>
      </c>
      <c r="CC838" t="s">
        <v>201</v>
      </c>
      <c r="CD838" t="s">
        <v>182</v>
      </c>
      <c r="CE838" t="s">
        <v>9879</v>
      </c>
      <c r="CF838" t="s">
        <v>1029</v>
      </c>
      <c r="CG838" t="s">
        <v>177</v>
      </c>
      <c r="CH838" t="s">
        <v>1030</v>
      </c>
      <c r="CI838" t="s">
        <v>11538</v>
      </c>
      <c r="CJ838" t="s">
        <v>10603</v>
      </c>
      <c r="CK838" t="s">
        <v>232</v>
      </c>
      <c r="CL838" t="s">
        <v>233</v>
      </c>
      <c r="CM838" t="s">
        <v>11539</v>
      </c>
      <c r="CN838" t="s">
        <v>235</v>
      </c>
      <c r="CO838" t="s">
        <v>183</v>
      </c>
      <c r="CP838" t="s">
        <v>211</v>
      </c>
      <c r="CQ838" t="s">
        <v>206</v>
      </c>
      <c r="CS838" t="s">
        <v>8846</v>
      </c>
      <c r="CT838" t="s">
        <v>11540</v>
      </c>
      <c r="CU838" t="s">
        <v>273</v>
      </c>
      <c r="CV838" t="s">
        <v>274</v>
      </c>
      <c r="CW838" t="s">
        <v>11541</v>
      </c>
      <c r="CX838" t="s">
        <v>235</v>
      </c>
      <c r="CY838" t="s">
        <v>183</v>
      </c>
      <c r="CZ838" t="s">
        <v>211</v>
      </c>
      <c r="DA838" t="s">
        <v>212</v>
      </c>
      <c r="DC838" t="s">
        <v>2266</v>
      </c>
      <c r="DD838" t="s">
        <v>1134</v>
      </c>
      <c r="DE838" t="s">
        <v>302</v>
      </c>
      <c r="DF838" t="s">
        <v>303</v>
      </c>
      <c r="DG838" t="s">
        <v>11542</v>
      </c>
      <c r="DH838" t="s">
        <v>235</v>
      </c>
      <c r="DI838" t="s">
        <v>183</v>
      </c>
      <c r="DJ838" t="s">
        <v>211</v>
      </c>
      <c r="DK838" t="s">
        <v>206</v>
      </c>
      <c r="DM838" t="s">
        <v>1488</v>
      </c>
      <c r="DN838" t="s">
        <v>11543</v>
      </c>
      <c r="DO838" t="s">
        <v>238</v>
      </c>
      <c r="DP838" t="s">
        <v>239</v>
      </c>
      <c r="DQ838" t="s">
        <v>11544</v>
      </c>
      <c r="DR838" t="s">
        <v>235</v>
      </c>
      <c r="DS838" t="s">
        <v>183</v>
      </c>
      <c r="DT838" t="s">
        <v>211</v>
      </c>
      <c r="DU838" t="s">
        <v>306</v>
      </c>
      <c r="DW838" t="s">
        <v>1488</v>
      </c>
      <c r="DX838" t="s">
        <v>11545</v>
      </c>
      <c r="DY838" t="s">
        <v>346</v>
      </c>
      <c r="DZ838" t="s">
        <v>347</v>
      </c>
      <c r="EA838" t="s">
        <v>11546</v>
      </c>
      <c r="EB838" t="s">
        <v>816</v>
      </c>
      <c r="EC838" t="s">
        <v>183</v>
      </c>
      <c r="ED838" t="s">
        <v>211</v>
      </c>
      <c r="EE838" t="s">
        <v>189</v>
      </c>
      <c r="EG838" t="s">
        <v>11547</v>
      </c>
      <c r="EH838" t="s">
        <v>11548</v>
      </c>
      <c r="EI838" t="s">
        <v>207</v>
      </c>
      <c r="EJ838" t="s">
        <v>208</v>
      </c>
      <c r="EK838" t="s">
        <v>11549</v>
      </c>
      <c r="EL838" t="s">
        <v>2515</v>
      </c>
      <c r="EM838" t="s">
        <v>183</v>
      </c>
      <c r="EN838" t="s">
        <v>211</v>
      </c>
      <c r="EO838" t="s">
        <v>460</v>
      </c>
      <c r="EQ838" t="s">
        <v>11547</v>
      </c>
      <c r="FA838" t="s">
        <v>198</v>
      </c>
      <c r="FK838" t="s">
        <v>198</v>
      </c>
      <c r="FU838" t="s">
        <v>198</v>
      </c>
    </row>
    <row r="839" spans="1:177">
      <c r="A839" s="1" t="str">
        <f>HYPERLINK("http://digipan.lumentumllc.com/apps/getLink/index.php?t=PropLink&amp;p=15751967","PL")</f>
        <v>PL</v>
      </c>
      <c r="B839" s="1" t="str">
        <f>HYPERLINK("http://digipan.lumentumllc.com/apps/getLink/index.php?t=TaxLink&amp;p=15751967","TL")</f>
        <v>TL</v>
      </c>
      <c r="C839" s="1" t="str">
        <f>HYPERLINK("http://digipan.lumentumllc.com/apps/getMap/index.php?p=15751967","Map")</f>
        <v>Map</v>
      </c>
      <c r="E839" t="s">
        <v>177</v>
      </c>
      <c r="F839" t="s">
        <v>178</v>
      </c>
      <c r="L839" t="s">
        <v>11550</v>
      </c>
      <c r="N839" t="s">
        <v>11550</v>
      </c>
      <c r="O839" t="s">
        <v>11550</v>
      </c>
      <c r="Q839" t="s">
        <v>11550</v>
      </c>
      <c r="V839">
        <v>973</v>
      </c>
      <c r="W839">
        <v>3</v>
      </c>
      <c r="X839">
        <v>2017</v>
      </c>
      <c r="Y839">
        <v>2018</v>
      </c>
      <c r="Z839">
        <v>1184.48</v>
      </c>
      <c r="AB839" t="s">
        <v>181</v>
      </c>
      <c r="AC839" t="s">
        <v>182</v>
      </c>
      <c r="AD839" t="s">
        <v>183</v>
      </c>
      <c r="AE839">
        <v>1</v>
      </c>
      <c r="AF839">
        <v>0</v>
      </c>
      <c r="AG839" t="s">
        <v>1200</v>
      </c>
      <c r="AH839">
        <v>0</v>
      </c>
      <c r="AI839">
        <v>279.27999999999997</v>
      </c>
      <c r="AJ839">
        <v>13.96</v>
      </c>
      <c r="AK839">
        <v>293.24</v>
      </c>
      <c r="AL839">
        <v>70391</v>
      </c>
      <c r="AM839">
        <v>15150</v>
      </c>
      <c r="AN839">
        <v>55241</v>
      </c>
      <c r="AO839">
        <v>233</v>
      </c>
      <c r="AP839">
        <v>2016</v>
      </c>
      <c r="AQ839">
        <v>1.68</v>
      </c>
      <c r="AR839">
        <v>0.42</v>
      </c>
      <c r="AS839" t="s">
        <v>11551</v>
      </c>
      <c r="AT839" t="s">
        <v>3747</v>
      </c>
      <c r="AU839" t="s">
        <v>177</v>
      </c>
      <c r="AV839" t="s">
        <v>1030</v>
      </c>
      <c r="AW839" t="s">
        <v>182</v>
      </c>
      <c r="AX839">
        <v>1</v>
      </c>
      <c r="AY839" t="s">
        <v>188</v>
      </c>
      <c r="AZ839" t="s">
        <v>206</v>
      </c>
      <c r="BA839" t="s">
        <v>355</v>
      </c>
      <c r="BB839" t="s">
        <v>191</v>
      </c>
      <c r="BC839" t="s">
        <v>182</v>
      </c>
      <c r="BD839" t="s">
        <v>182</v>
      </c>
      <c r="BE839" t="s">
        <v>899</v>
      </c>
      <c r="BF839">
        <v>1</v>
      </c>
      <c r="BG839">
        <v>1</v>
      </c>
      <c r="BH839">
        <v>1940</v>
      </c>
      <c r="BI839" t="s">
        <v>284</v>
      </c>
      <c r="BJ839" t="s">
        <v>194</v>
      </c>
      <c r="BK839" t="s">
        <v>195</v>
      </c>
      <c r="BL839" t="s">
        <v>199</v>
      </c>
      <c r="BM839" t="s">
        <v>368</v>
      </c>
      <c r="BN839" t="s">
        <v>182</v>
      </c>
      <c r="BO839" t="s">
        <v>198</v>
      </c>
      <c r="BP839" t="s">
        <v>198</v>
      </c>
      <c r="BQ839" t="s">
        <v>198</v>
      </c>
      <c r="BR839" t="s">
        <v>198</v>
      </c>
      <c r="BS839" t="s">
        <v>198</v>
      </c>
      <c r="BT839" t="s">
        <v>198</v>
      </c>
      <c r="BU839" t="s">
        <v>182</v>
      </c>
      <c r="BV839" t="s">
        <v>198</v>
      </c>
      <c r="BW839" t="s">
        <v>198</v>
      </c>
      <c r="BX839" t="s">
        <v>199</v>
      </c>
      <c r="BY839" t="s">
        <v>198</v>
      </c>
      <c r="BZ839" t="s">
        <v>199</v>
      </c>
      <c r="CA839" t="s">
        <v>199</v>
      </c>
      <c r="CB839" t="s">
        <v>11552</v>
      </c>
      <c r="CC839" t="s">
        <v>201</v>
      </c>
      <c r="CD839" t="s">
        <v>202</v>
      </c>
      <c r="CE839" t="s">
        <v>11553</v>
      </c>
      <c r="CF839" t="s">
        <v>11554</v>
      </c>
      <c r="CG839" t="s">
        <v>1602</v>
      </c>
      <c r="CH839" t="s">
        <v>11555</v>
      </c>
      <c r="CI839" t="s">
        <v>11556</v>
      </c>
      <c r="CJ839" t="s">
        <v>8234</v>
      </c>
      <c r="CK839" t="s">
        <v>232</v>
      </c>
      <c r="CL839" t="s">
        <v>233</v>
      </c>
      <c r="CM839" t="s">
        <v>11557</v>
      </c>
      <c r="CN839" t="s">
        <v>235</v>
      </c>
      <c r="CO839" t="s">
        <v>183</v>
      </c>
      <c r="CP839" t="s">
        <v>266</v>
      </c>
      <c r="CS839" t="s">
        <v>198</v>
      </c>
      <c r="DC839" t="s">
        <v>198</v>
      </c>
      <c r="DM839" t="s">
        <v>198</v>
      </c>
      <c r="DW839" t="s">
        <v>198</v>
      </c>
      <c r="EG839" t="s">
        <v>198</v>
      </c>
      <c r="EQ839" t="s">
        <v>198</v>
      </c>
      <c r="FA839" t="s">
        <v>198</v>
      </c>
      <c r="FK839" t="s">
        <v>198</v>
      </c>
      <c r="FU839" t="s">
        <v>198</v>
      </c>
    </row>
    <row r="840" spans="1:177">
      <c r="A840" s="1" t="str">
        <f>HYPERLINK("http://digipan.lumentumllc.com/apps/getLink/index.php?t=PropLink&amp;p=4637903","PL")</f>
        <v>PL</v>
      </c>
      <c r="B840" s="1" t="str">
        <f>HYPERLINK("http://digipan.lumentumllc.com/apps/getLink/index.php?t=TaxLink&amp;p=4637903","TL")</f>
        <v>TL</v>
      </c>
      <c r="C840" s="1" t="str">
        <f>HYPERLINK("http://digipan.lumentumllc.com/apps/getMap/index.php?p=4637903","Map")</f>
        <v>Map</v>
      </c>
      <c r="E840" t="s">
        <v>177</v>
      </c>
      <c r="F840" t="s">
        <v>178</v>
      </c>
      <c r="L840" t="s">
        <v>11558</v>
      </c>
      <c r="N840" t="s">
        <v>11558</v>
      </c>
      <c r="O840" t="s">
        <v>11558</v>
      </c>
      <c r="P840" t="s">
        <v>11559</v>
      </c>
      <c r="Q840" t="s">
        <v>11558</v>
      </c>
      <c r="V840">
        <v>974</v>
      </c>
      <c r="W840">
        <v>3</v>
      </c>
      <c r="X840">
        <v>2017</v>
      </c>
      <c r="Y840">
        <v>2018</v>
      </c>
      <c r="Z840">
        <v>432.29</v>
      </c>
      <c r="AB840" t="s">
        <v>181</v>
      </c>
      <c r="AC840" t="s">
        <v>182</v>
      </c>
      <c r="AD840" t="s">
        <v>183</v>
      </c>
      <c r="AE840">
        <v>0</v>
      </c>
      <c r="AF840">
        <v>2</v>
      </c>
      <c r="AG840" t="s">
        <v>821</v>
      </c>
      <c r="AH840">
        <v>100</v>
      </c>
      <c r="AK840">
        <v>0</v>
      </c>
      <c r="AL840">
        <v>48898</v>
      </c>
      <c r="AM840">
        <v>32000</v>
      </c>
      <c r="AN840">
        <v>16898</v>
      </c>
      <c r="AO840">
        <v>377</v>
      </c>
      <c r="AP840">
        <v>2016</v>
      </c>
      <c r="AQ840">
        <v>0.88</v>
      </c>
      <c r="AS840" t="s">
        <v>11560</v>
      </c>
      <c r="AT840" t="s">
        <v>3747</v>
      </c>
      <c r="AU840" t="s">
        <v>177</v>
      </c>
      <c r="AV840" t="s">
        <v>1030</v>
      </c>
      <c r="AW840" t="s">
        <v>202</v>
      </c>
      <c r="AX840">
        <v>1</v>
      </c>
      <c r="AY840" t="s">
        <v>188</v>
      </c>
      <c r="AZ840" t="s">
        <v>206</v>
      </c>
      <c r="BA840" t="s">
        <v>355</v>
      </c>
      <c r="BB840" t="s">
        <v>191</v>
      </c>
      <c r="BC840" t="s">
        <v>182</v>
      </c>
      <c r="BD840" t="s">
        <v>182</v>
      </c>
      <c r="BE840" t="s">
        <v>927</v>
      </c>
      <c r="BF840">
        <v>1</v>
      </c>
      <c r="BG840">
        <v>1</v>
      </c>
      <c r="BH840">
        <v>1969</v>
      </c>
      <c r="BI840" t="s">
        <v>10736</v>
      </c>
      <c r="BJ840" t="s">
        <v>194</v>
      </c>
      <c r="BK840" t="s">
        <v>195</v>
      </c>
      <c r="BL840" t="s">
        <v>199</v>
      </c>
      <c r="BM840" t="s">
        <v>2351</v>
      </c>
      <c r="BN840" t="s">
        <v>182</v>
      </c>
      <c r="BO840" t="s">
        <v>198</v>
      </c>
      <c r="BP840" t="s">
        <v>198</v>
      </c>
      <c r="BQ840" t="s">
        <v>198</v>
      </c>
      <c r="BR840" t="s">
        <v>198</v>
      </c>
      <c r="BS840" t="s">
        <v>198</v>
      </c>
      <c r="BT840" t="s">
        <v>198</v>
      </c>
      <c r="BU840" t="s">
        <v>182</v>
      </c>
      <c r="BV840" t="s">
        <v>198</v>
      </c>
      <c r="BW840" t="s">
        <v>198</v>
      </c>
      <c r="BX840" t="s">
        <v>199</v>
      </c>
      <c r="BY840" t="s">
        <v>198</v>
      </c>
      <c r="BZ840" t="s">
        <v>199</v>
      </c>
      <c r="CA840" t="s">
        <v>199</v>
      </c>
      <c r="CB840" t="s">
        <v>11561</v>
      </c>
      <c r="CC840" t="s">
        <v>201</v>
      </c>
      <c r="CD840" t="s">
        <v>202</v>
      </c>
      <c r="CE840" t="s">
        <v>11562</v>
      </c>
      <c r="CF840" t="s">
        <v>1029</v>
      </c>
      <c r="CG840" t="s">
        <v>177</v>
      </c>
      <c r="CH840" t="s">
        <v>1030</v>
      </c>
      <c r="CI840" t="s">
        <v>11563</v>
      </c>
      <c r="CJ840" t="s">
        <v>5621</v>
      </c>
      <c r="CK840" t="s">
        <v>232</v>
      </c>
      <c r="CL840" t="s">
        <v>233</v>
      </c>
      <c r="CM840" t="s">
        <v>11564</v>
      </c>
      <c r="CN840" t="s">
        <v>235</v>
      </c>
      <c r="CO840" t="s">
        <v>183</v>
      </c>
      <c r="CP840" t="s">
        <v>211</v>
      </c>
      <c r="CQ840" t="s">
        <v>199</v>
      </c>
      <c r="CS840" t="s">
        <v>7467</v>
      </c>
      <c r="CT840" t="s">
        <v>11565</v>
      </c>
      <c r="CU840" t="s">
        <v>207</v>
      </c>
      <c r="CV840" t="s">
        <v>208</v>
      </c>
      <c r="CW840" t="s">
        <v>11566</v>
      </c>
      <c r="CX840" t="s">
        <v>235</v>
      </c>
      <c r="CY840" t="s">
        <v>183</v>
      </c>
      <c r="CZ840" t="s">
        <v>211</v>
      </c>
      <c r="DA840" t="s">
        <v>199</v>
      </c>
      <c r="DC840" t="s">
        <v>11567</v>
      </c>
      <c r="DM840" t="s">
        <v>198</v>
      </c>
      <c r="DW840" t="s">
        <v>198</v>
      </c>
      <c r="EG840" t="s">
        <v>198</v>
      </c>
      <c r="EQ840" t="s">
        <v>198</v>
      </c>
      <c r="FA840" t="s">
        <v>198</v>
      </c>
      <c r="FK840" t="s">
        <v>198</v>
      </c>
      <c r="FU840" t="s">
        <v>198</v>
      </c>
    </row>
    <row r="841" spans="1:177">
      <c r="A841" s="1" t="str">
        <f>HYPERLINK("http://digipan.lumentumllc.com/apps/getLink/index.php?t=PropLink&amp;p=15751977","PL")</f>
        <v>PL</v>
      </c>
      <c r="B841" s="1" t="str">
        <f>HYPERLINK("http://digipan.lumentumllc.com/apps/getLink/index.php?t=TaxLink&amp;p=15751977","TL")</f>
        <v>TL</v>
      </c>
      <c r="C841" s="1" t="str">
        <f>HYPERLINK("http://digipan.lumentumllc.com/apps/getMap/index.php?p=15751977","Map")</f>
        <v>Map</v>
      </c>
      <c r="E841" t="s">
        <v>177</v>
      </c>
      <c r="F841" t="s">
        <v>178</v>
      </c>
      <c r="L841" t="s">
        <v>11568</v>
      </c>
      <c r="N841" t="s">
        <v>11568</v>
      </c>
      <c r="O841" t="s">
        <v>11568</v>
      </c>
      <c r="Q841" t="s">
        <v>11568</v>
      </c>
      <c r="V841">
        <v>975</v>
      </c>
      <c r="W841">
        <v>3</v>
      </c>
      <c r="X841">
        <v>2017</v>
      </c>
      <c r="Y841">
        <v>2018</v>
      </c>
      <c r="Z841">
        <v>536.23</v>
      </c>
      <c r="AG841" t="s">
        <v>184</v>
      </c>
      <c r="AH841">
        <v>0</v>
      </c>
      <c r="AK841">
        <v>0</v>
      </c>
      <c r="AL841">
        <v>30797</v>
      </c>
      <c r="AM841">
        <v>17700</v>
      </c>
      <c r="AN841">
        <v>13097</v>
      </c>
      <c r="AO841">
        <v>432</v>
      </c>
      <c r="AP841">
        <v>2016</v>
      </c>
      <c r="AQ841">
        <v>1.74</v>
      </c>
      <c r="AS841" t="s">
        <v>11569</v>
      </c>
      <c r="AT841" t="s">
        <v>3747</v>
      </c>
      <c r="AU841" t="s">
        <v>177</v>
      </c>
      <c r="AV841" t="s">
        <v>1030</v>
      </c>
      <c r="AW841" t="s">
        <v>182</v>
      </c>
      <c r="AX841">
        <v>2</v>
      </c>
      <c r="AY841" t="s">
        <v>188</v>
      </c>
      <c r="AZ841" t="s">
        <v>189</v>
      </c>
      <c r="BA841" t="s">
        <v>190</v>
      </c>
      <c r="BB841" t="s">
        <v>191</v>
      </c>
      <c r="BC841" t="s">
        <v>182</v>
      </c>
      <c r="BD841" t="s">
        <v>182</v>
      </c>
      <c r="BE841" t="s">
        <v>1223</v>
      </c>
      <c r="BF841">
        <v>1</v>
      </c>
      <c r="BG841">
        <v>1</v>
      </c>
      <c r="BH841">
        <v>1980</v>
      </c>
      <c r="BI841" t="s">
        <v>1291</v>
      </c>
      <c r="BJ841" t="s">
        <v>194</v>
      </c>
      <c r="BK841" t="s">
        <v>195</v>
      </c>
      <c r="BL841" t="s">
        <v>6692</v>
      </c>
      <c r="BM841" t="s">
        <v>1156</v>
      </c>
      <c r="BN841" t="s">
        <v>182</v>
      </c>
      <c r="BO841" t="s">
        <v>198</v>
      </c>
      <c r="BP841" t="s">
        <v>198</v>
      </c>
      <c r="BQ841" t="s">
        <v>198</v>
      </c>
      <c r="BR841" t="s">
        <v>198</v>
      </c>
      <c r="BS841" t="s">
        <v>198</v>
      </c>
      <c r="BT841" t="s">
        <v>198</v>
      </c>
      <c r="BU841" t="s">
        <v>182</v>
      </c>
      <c r="BV841" t="s">
        <v>198</v>
      </c>
      <c r="BW841" t="s">
        <v>198</v>
      </c>
      <c r="BX841" t="s">
        <v>199</v>
      </c>
      <c r="BY841" t="s">
        <v>198</v>
      </c>
      <c r="BZ841" t="s">
        <v>199</v>
      </c>
      <c r="CA841" t="s">
        <v>199</v>
      </c>
      <c r="CB841" t="s">
        <v>11570</v>
      </c>
      <c r="CC841" t="s">
        <v>201</v>
      </c>
      <c r="CD841" t="s">
        <v>202</v>
      </c>
      <c r="CE841" t="s">
        <v>11571</v>
      </c>
      <c r="CF841" t="s">
        <v>1029</v>
      </c>
      <c r="CG841" t="s">
        <v>177</v>
      </c>
      <c r="CH841" t="s">
        <v>1030</v>
      </c>
      <c r="CI841" t="s">
        <v>11572</v>
      </c>
      <c r="CS841" t="s">
        <v>198</v>
      </c>
      <c r="DC841" t="s">
        <v>198</v>
      </c>
      <c r="DM841" t="s">
        <v>198</v>
      </c>
      <c r="DW841" t="s">
        <v>198</v>
      </c>
      <c r="EG841" t="s">
        <v>198</v>
      </c>
      <c r="EQ841" t="s">
        <v>198</v>
      </c>
      <c r="FA841" t="s">
        <v>198</v>
      </c>
      <c r="FK841" t="s">
        <v>198</v>
      </c>
      <c r="FU841" t="s">
        <v>198</v>
      </c>
    </row>
    <row r="842" spans="1:177">
      <c r="A842" s="1" t="str">
        <f>HYPERLINK("http://digipan.lumentumllc.com/apps/getLink/index.php?t=PropLink&amp;p=5246773","PL")</f>
        <v>PL</v>
      </c>
      <c r="B842" s="1" t="str">
        <f>HYPERLINK("http://digipan.lumentumllc.com/apps/getLink/index.php?t=TaxLink&amp;p=5246773","TL")</f>
        <v>TL</v>
      </c>
      <c r="C842" s="1" t="str">
        <f>HYPERLINK("http://digipan.lumentumllc.com/apps/getMap/index.php?p=5246773","Map")</f>
        <v>Map</v>
      </c>
      <c r="E842" t="s">
        <v>177</v>
      </c>
      <c r="F842" t="s">
        <v>178</v>
      </c>
      <c r="L842" t="s">
        <v>11573</v>
      </c>
      <c r="N842" t="s">
        <v>11573</v>
      </c>
      <c r="O842" t="s">
        <v>11573</v>
      </c>
      <c r="P842" t="s">
        <v>11574</v>
      </c>
      <c r="Q842" t="s">
        <v>11573</v>
      </c>
      <c r="V842">
        <v>976</v>
      </c>
      <c r="W842">
        <v>3</v>
      </c>
      <c r="X842">
        <v>2017</v>
      </c>
      <c r="Y842">
        <v>2018</v>
      </c>
      <c r="Z842">
        <v>196.85</v>
      </c>
      <c r="AB842" t="s">
        <v>181</v>
      </c>
      <c r="AC842" t="s">
        <v>182</v>
      </c>
      <c r="AD842" t="s">
        <v>183</v>
      </c>
      <c r="AE842">
        <v>0</v>
      </c>
      <c r="AF842">
        <v>2</v>
      </c>
      <c r="AG842" t="s">
        <v>216</v>
      </c>
      <c r="AH842">
        <v>100</v>
      </c>
      <c r="AK842">
        <v>0</v>
      </c>
      <c r="AL842">
        <v>10800</v>
      </c>
      <c r="AM842">
        <v>10800</v>
      </c>
      <c r="AN842">
        <v>0</v>
      </c>
      <c r="AO842">
        <v>133</v>
      </c>
      <c r="AP842">
        <v>2016</v>
      </c>
      <c r="AQ842">
        <v>1.82</v>
      </c>
      <c r="AS842" t="s">
        <v>11575</v>
      </c>
      <c r="AT842" t="s">
        <v>3747</v>
      </c>
      <c r="AU842" t="s">
        <v>177</v>
      </c>
      <c r="AV842" t="s">
        <v>1030</v>
      </c>
      <c r="AW842" t="s">
        <v>182</v>
      </c>
      <c r="AX842">
        <v>0</v>
      </c>
      <c r="AY842" t="s">
        <v>312</v>
      </c>
      <c r="AZ842" t="s">
        <v>199</v>
      </c>
      <c r="BA842" t="s">
        <v>313</v>
      </c>
      <c r="BB842" t="s">
        <v>191</v>
      </c>
      <c r="BC842" t="s">
        <v>182</v>
      </c>
      <c r="BD842" t="s">
        <v>182</v>
      </c>
      <c r="BE842" t="s">
        <v>11576</v>
      </c>
      <c r="BF842">
        <v>0</v>
      </c>
      <c r="BG842">
        <v>0</v>
      </c>
      <c r="BH842">
        <v>0</v>
      </c>
      <c r="BI842" t="s">
        <v>199</v>
      </c>
      <c r="BJ842" t="s">
        <v>315</v>
      </c>
      <c r="BL842" t="s">
        <v>5738</v>
      </c>
      <c r="BM842" t="s">
        <v>1825</v>
      </c>
      <c r="BN842" t="s">
        <v>182</v>
      </c>
      <c r="BO842" t="s">
        <v>198</v>
      </c>
      <c r="BP842" t="s">
        <v>198</v>
      </c>
      <c r="BQ842" t="s">
        <v>198</v>
      </c>
      <c r="BR842" t="s">
        <v>198</v>
      </c>
      <c r="BS842" t="s">
        <v>198</v>
      </c>
      <c r="BT842" t="s">
        <v>198</v>
      </c>
      <c r="BU842" t="s">
        <v>182</v>
      </c>
      <c r="BV842" t="s">
        <v>198</v>
      </c>
      <c r="BW842" t="s">
        <v>198</v>
      </c>
      <c r="BX842" t="s">
        <v>199</v>
      </c>
      <c r="BY842" t="s">
        <v>198</v>
      </c>
      <c r="BZ842" t="s">
        <v>199</v>
      </c>
      <c r="CA842" t="s">
        <v>199</v>
      </c>
      <c r="CB842" t="s">
        <v>11577</v>
      </c>
      <c r="CC842" t="s">
        <v>201</v>
      </c>
      <c r="CD842" t="s">
        <v>182</v>
      </c>
      <c r="CE842" t="s">
        <v>11578</v>
      </c>
      <c r="CF842" t="s">
        <v>1029</v>
      </c>
      <c r="CG842" t="s">
        <v>177</v>
      </c>
      <c r="CH842" t="s">
        <v>1030</v>
      </c>
      <c r="CI842" t="s">
        <v>11579</v>
      </c>
      <c r="CJ842" t="s">
        <v>11084</v>
      </c>
      <c r="CK842" t="s">
        <v>232</v>
      </c>
      <c r="CL842" t="s">
        <v>233</v>
      </c>
      <c r="CM842" t="s">
        <v>11580</v>
      </c>
      <c r="CN842" t="s">
        <v>351</v>
      </c>
      <c r="CO842" t="s">
        <v>183</v>
      </c>
      <c r="CP842" t="s">
        <v>211</v>
      </c>
      <c r="CQ842" t="s">
        <v>189</v>
      </c>
      <c r="CS842" t="s">
        <v>11581</v>
      </c>
      <c r="CT842" t="s">
        <v>11565</v>
      </c>
      <c r="CU842" t="s">
        <v>346</v>
      </c>
      <c r="CV842" t="s">
        <v>347</v>
      </c>
      <c r="CW842" t="s">
        <v>11582</v>
      </c>
      <c r="CX842" t="s">
        <v>254</v>
      </c>
      <c r="CY842" t="s">
        <v>183</v>
      </c>
      <c r="CZ842" t="s">
        <v>211</v>
      </c>
      <c r="DA842" t="s">
        <v>250</v>
      </c>
      <c r="DC842" t="s">
        <v>11583</v>
      </c>
      <c r="DM842" t="s">
        <v>198</v>
      </c>
      <c r="DW842" t="s">
        <v>198</v>
      </c>
      <c r="EG842" t="s">
        <v>198</v>
      </c>
      <c r="EQ842" t="s">
        <v>198</v>
      </c>
      <c r="FA842" t="s">
        <v>198</v>
      </c>
      <c r="FK842" t="s">
        <v>198</v>
      </c>
      <c r="FU842" t="s">
        <v>198</v>
      </c>
    </row>
    <row r="843" spans="1:177">
      <c r="A843" s="1" t="str">
        <f>HYPERLINK("http://digipan.lumentumllc.com/apps/getLink/index.php?t=PropLink&amp;p=5246774","PL")</f>
        <v>PL</v>
      </c>
      <c r="B843" s="1" t="str">
        <f>HYPERLINK("http://digipan.lumentumllc.com/apps/getLink/index.php?t=TaxLink&amp;p=5246774","TL")</f>
        <v>TL</v>
      </c>
      <c r="C843" s="1" t="str">
        <f>HYPERLINK("http://digipan.lumentumllc.com/apps/getMap/index.php?p=5246774","Map")</f>
        <v>Map</v>
      </c>
      <c r="E843" t="s">
        <v>177</v>
      </c>
      <c r="F843" t="s">
        <v>178</v>
      </c>
      <c r="L843" t="s">
        <v>11584</v>
      </c>
      <c r="N843" t="s">
        <v>11584</v>
      </c>
      <c r="O843" t="s">
        <v>11584</v>
      </c>
      <c r="P843" t="s">
        <v>11585</v>
      </c>
      <c r="Q843" t="s">
        <v>11584</v>
      </c>
      <c r="V843">
        <v>977</v>
      </c>
      <c r="W843">
        <v>3</v>
      </c>
      <c r="X843">
        <v>2017</v>
      </c>
      <c r="Y843">
        <v>2018</v>
      </c>
      <c r="Z843">
        <v>762.78</v>
      </c>
      <c r="AB843" t="s">
        <v>181</v>
      </c>
      <c r="AC843" t="s">
        <v>182</v>
      </c>
      <c r="AD843" t="s">
        <v>183</v>
      </c>
      <c r="AE843">
        <v>1</v>
      </c>
      <c r="AF843">
        <v>2</v>
      </c>
      <c r="AG843" t="s">
        <v>363</v>
      </c>
      <c r="AH843">
        <v>67</v>
      </c>
      <c r="AI843">
        <v>768.28</v>
      </c>
      <c r="AJ843">
        <v>38.409999999999997</v>
      </c>
      <c r="AK843">
        <v>806.69</v>
      </c>
      <c r="AL843">
        <v>59458</v>
      </c>
      <c r="AM843">
        <v>42600</v>
      </c>
      <c r="AN843">
        <v>16858</v>
      </c>
      <c r="AO843">
        <v>685</v>
      </c>
      <c r="AP843">
        <v>2016</v>
      </c>
      <c r="AQ843">
        <v>1.28</v>
      </c>
      <c r="AR843">
        <v>1.36</v>
      </c>
      <c r="AS843" t="s">
        <v>11586</v>
      </c>
      <c r="AT843" t="s">
        <v>3747</v>
      </c>
      <c r="AU843" t="s">
        <v>177</v>
      </c>
      <c r="AV843" t="s">
        <v>1030</v>
      </c>
      <c r="AW843" t="s">
        <v>202</v>
      </c>
      <c r="AX843">
        <v>2</v>
      </c>
      <c r="AY843" t="s">
        <v>188</v>
      </c>
      <c r="AZ843" t="s">
        <v>189</v>
      </c>
      <c r="BA843" t="s">
        <v>190</v>
      </c>
      <c r="BB843" t="s">
        <v>191</v>
      </c>
      <c r="BC843" t="s">
        <v>182</v>
      </c>
      <c r="BD843" t="s">
        <v>182</v>
      </c>
      <c r="BE843" t="s">
        <v>11587</v>
      </c>
      <c r="BF843">
        <v>1</v>
      </c>
      <c r="BG843">
        <v>1</v>
      </c>
      <c r="BH843">
        <v>1982</v>
      </c>
      <c r="BI843" t="s">
        <v>10834</v>
      </c>
      <c r="BJ843" t="s">
        <v>194</v>
      </c>
      <c r="BK843" t="s">
        <v>195</v>
      </c>
      <c r="BL843" t="s">
        <v>640</v>
      </c>
      <c r="BM843" t="s">
        <v>981</v>
      </c>
      <c r="BN843" t="s">
        <v>182</v>
      </c>
      <c r="BO843" t="s">
        <v>11588</v>
      </c>
      <c r="BP843" t="s">
        <v>11589</v>
      </c>
      <c r="BQ843" t="s">
        <v>581</v>
      </c>
      <c r="BS843" t="s">
        <v>198</v>
      </c>
      <c r="BT843" t="s">
        <v>11590</v>
      </c>
      <c r="BU843" t="s">
        <v>182</v>
      </c>
      <c r="BV843" t="s">
        <v>198</v>
      </c>
      <c r="BW843" t="s">
        <v>198</v>
      </c>
      <c r="BX843" t="s">
        <v>199</v>
      </c>
      <c r="BY843" t="s">
        <v>198</v>
      </c>
      <c r="BZ843" t="s">
        <v>199</v>
      </c>
      <c r="CA843" t="s">
        <v>199</v>
      </c>
      <c r="CB843" t="s">
        <v>11591</v>
      </c>
      <c r="CC843" t="s">
        <v>201</v>
      </c>
      <c r="CD843" t="s">
        <v>202</v>
      </c>
      <c r="CE843" t="s">
        <v>11592</v>
      </c>
      <c r="CF843" t="s">
        <v>1029</v>
      </c>
      <c r="CG843" t="s">
        <v>177</v>
      </c>
      <c r="CH843" t="s">
        <v>1030</v>
      </c>
      <c r="CI843" t="s">
        <v>11593</v>
      </c>
      <c r="CJ843" t="s">
        <v>11291</v>
      </c>
      <c r="CK843" t="s">
        <v>232</v>
      </c>
      <c r="CL843" t="s">
        <v>233</v>
      </c>
      <c r="CM843" t="s">
        <v>11594</v>
      </c>
      <c r="CN843" t="s">
        <v>235</v>
      </c>
      <c r="CO843" t="s">
        <v>183</v>
      </c>
      <c r="CP843" t="s">
        <v>266</v>
      </c>
      <c r="CS843" t="s">
        <v>198</v>
      </c>
      <c r="CT843" t="s">
        <v>11595</v>
      </c>
      <c r="CU843" t="s">
        <v>238</v>
      </c>
      <c r="CV843" t="s">
        <v>239</v>
      </c>
      <c r="CW843" t="s">
        <v>11596</v>
      </c>
      <c r="CX843" t="s">
        <v>235</v>
      </c>
      <c r="CY843" t="s">
        <v>183</v>
      </c>
      <c r="CZ843" t="s">
        <v>211</v>
      </c>
      <c r="DA843" t="s">
        <v>296</v>
      </c>
      <c r="DC843" t="s">
        <v>11597</v>
      </c>
      <c r="DD843" t="s">
        <v>11598</v>
      </c>
      <c r="DE843" t="s">
        <v>346</v>
      </c>
      <c r="DF843" t="s">
        <v>347</v>
      </c>
      <c r="DG843" t="s">
        <v>11599</v>
      </c>
      <c r="DH843" t="s">
        <v>1551</v>
      </c>
      <c r="DI843" t="s">
        <v>183</v>
      </c>
      <c r="DJ843" t="s">
        <v>211</v>
      </c>
      <c r="DK843" t="s">
        <v>189</v>
      </c>
      <c r="DM843" t="s">
        <v>11600</v>
      </c>
      <c r="DW843" t="s">
        <v>198</v>
      </c>
      <c r="EG843" t="s">
        <v>198</v>
      </c>
      <c r="EQ843" t="s">
        <v>198</v>
      </c>
      <c r="FA843" t="s">
        <v>198</v>
      </c>
      <c r="FK843" t="s">
        <v>198</v>
      </c>
      <c r="FU843" t="s">
        <v>198</v>
      </c>
    </row>
    <row r="844" spans="1:177">
      <c r="A844" s="1" t="str">
        <f>HYPERLINK("http://digipan.lumentumllc.com/apps/getLink/index.php?t=PropLink&amp;p=6129161","PL")</f>
        <v>PL</v>
      </c>
      <c r="B844" s="1" t="str">
        <f>HYPERLINK("http://digipan.lumentumllc.com/apps/getLink/index.php?t=TaxLink&amp;p=6129161","TL")</f>
        <v>TL</v>
      </c>
      <c r="C844" s="1" t="str">
        <f>HYPERLINK("http://digipan.lumentumllc.com/apps/getMap/index.php?p=6129161","Map")</f>
        <v>Map</v>
      </c>
      <c r="E844" t="s">
        <v>177</v>
      </c>
      <c r="F844" t="s">
        <v>178</v>
      </c>
      <c r="L844" t="s">
        <v>11601</v>
      </c>
      <c r="N844" t="s">
        <v>11601</v>
      </c>
      <c r="O844" t="s">
        <v>11601</v>
      </c>
      <c r="P844" t="s">
        <v>11602</v>
      </c>
      <c r="Q844" t="s">
        <v>11601</v>
      </c>
      <c r="V844">
        <v>978</v>
      </c>
      <c r="W844">
        <v>3</v>
      </c>
      <c r="X844">
        <v>2017</v>
      </c>
      <c r="Y844">
        <v>2018</v>
      </c>
      <c r="Z844">
        <v>1835.23</v>
      </c>
      <c r="AB844" t="s">
        <v>181</v>
      </c>
      <c r="AC844" t="s">
        <v>182</v>
      </c>
      <c r="AD844" t="s">
        <v>183</v>
      </c>
      <c r="AE844">
        <v>0</v>
      </c>
      <c r="AF844">
        <v>3</v>
      </c>
      <c r="AG844" t="s">
        <v>216</v>
      </c>
      <c r="AH844">
        <v>100</v>
      </c>
      <c r="AK844">
        <v>0</v>
      </c>
      <c r="AL844">
        <v>110137</v>
      </c>
      <c r="AM844">
        <v>19500</v>
      </c>
      <c r="AN844">
        <v>90637</v>
      </c>
      <c r="AO844">
        <v>872</v>
      </c>
      <c r="AP844">
        <v>2016</v>
      </c>
      <c r="AQ844">
        <v>1.67</v>
      </c>
      <c r="AS844" t="s">
        <v>11603</v>
      </c>
      <c r="AT844" t="s">
        <v>3747</v>
      </c>
      <c r="AU844" t="s">
        <v>177</v>
      </c>
      <c r="AV844" t="s">
        <v>1030</v>
      </c>
      <c r="AW844" t="s">
        <v>182</v>
      </c>
      <c r="AX844">
        <v>1</v>
      </c>
      <c r="AY844" t="s">
        <v>188</v>
      </c>
      <c r="AZ844" t="s">
        <v>206</v>
      </c>
      <c r="BA844" t="s">
        <v>355</v>
      </c>
      <c r="BB844" t="s">
        <v>191</v>
      </c>
      <c r="BC844" t="s">
        <v>182</v>
      </c>
      <c r="BD844" t="s">
        <v>182</v>
      </c>
      <c r="BE844" t="s">
        <v>1495</v>
      </c>
      <c r="BF844">
        <v>1</v>
      </c>
      <c r="BG844">
        <v>1</v>
      </c>
      <c r="BH844">
        <v>1969</v>
      </c>
      <c r="BI844" t="s">
        <v>11604</v>
      </c>
      <c r="BJ844" t="s">
        <v>194</v>
      </c>
      <c r="BK844" t="s">
        <v>195</v>
      </c>
      <c r="BL844" t="s">
        <v>4009</v>
      </c>
      <c r="BM844" t="s">
        <v>207</v>
      </c>
      <c r="BN844" t="s">
        <v>182</v>
      </c>
      <c r="BO844" t="s">
        <v>198</v>
      </c>
      <c r="BP844" t="s">
        <v>198</v>
      </c>
      <c r="BQ844" t="s">
        <v>198</v>
      </c>
      <c r="BR844" t="s">
        <v>198</v>
      </c>
      <c r="BS844" t="s">
        <v>198</v>
      </c>
      <c r="BT844" t="s">
        <v>198</v>
      </c>
      <c r="BU844" t="s">
        <v>182</v>
      </c>
      <c r="BV844" t="s">
        <v>198</v>
      </c>
      <c r="BW844" t="s">
        <v>198</v>
      </c>
      <c r="BX844" t="s">
        <v>199</v>
      </c>
      <c r="BY844" t="s">
        <v>198</v>
      </c>
      <c r="BZ844" t="s">
        <v>199</v>
      </c>
      <c r="CA844" t="s">
        <v>199</v>
      </c>
      <c r="CB844" t="s">
        <v>11605</v>
      </c>
      <c r="CC844" t="s">
        <v>201</v>
      </c>
      <c r="CD844" t="s">
        <v>202</v>
      </c>
      <c r="CE844" t="s">
        <v>11606</v>
      </c>
      <c r="CF844" t="s">
        <v>1029</v>
      </c>
      <c r="CG844" t="s">
        <v>177</v>
      </c>
      <c r="CH844" t="s">
        <v>1030</v>
      </c>
      <c r="CI844" t="s">
        <v>11607</v>
      </c>
      <c r="CJ844" t="s">
        <v>5641</v>
      </c>
      <c r="CK844" t="s">
        <v>232</v>
      </c>
      <c r="CL844" t="s">
        <v>233</v>
      </c>
      <c r="CM844" t="s">
        <v>11608</v>
      </c>
      <c r="CN844" t="s">
        <v>235</v>
      </c>
      <c r="CO844" t="s">
        <v>183</v>
      </c>
      <c r="CP844" t="s">
        <v>211</v>
      </c>
      <c r="CQ844" t="s">
        <v>290</v>
      </c>
      <c r="CS844" t="s">
        <v>11609</v>
      </c>
      <c r="CT844" t="s">
        <v>11610</v>
      </c>
      <c r="CU844" t="s">
        <v>238</v>
      </c>
      <c r="CV844" t="s">
        <v>239</v>
      </c>
      <c r="CW844" t="s">
        <v>11611</v>
      </c>
      <c r="CX844" t="s">
        <v>235</v>
      </c>
      <c r="CY844" t="s">
        <v>183</v>
      </c>
      <c r="CZ844" t="s">
        <v>211</v>
      </c>
      <c r="DA844" t="s">
        <v>264</v>
      </c>
      <c r="DC844" t="s">
        <v>11612</v>
      </c>
      <c r="DD844" t="s">
        <v>11075</v>
      </c>
      <c r="DE844" t="s">
        <v>207</v>
      </c>
      <c r="DF844" t="s">
        <v>208</v>
      </c>
      <c r="DG844" t="s">
        <v>11613</v>
      </c>
      <c r="DH844" t="s">
        <v>688</v>
      </c>
      <c r="DI844" t="s">
        <v>183</v>
      </c>
      <c r="DJ844" t="s">
        <v>211</v>
      </c>
      <c r="DK844" t="s">
        <v>199</v>
      </c>
      <c r="DM844" t="s">
        <v>7739</v>
      </c>
      <c r="DW844" t="s">
        <v>198</v>
      </c>
      <c r="EG844" t="s">
        <v>198</v>
      </c>
      <c r="EQ844" t="s">
        <v>198</v>
      </c>
      <c r="FA844" t="s">
        <v>198</v>
      </c>
      <c r="FK844" t="s">
        <v>198</v>
      </c>
      <c r="FU844" t="s">
        <v>198</v>
      </c>
    </row>
    <row r="845" spans="1:177">
      <c r="A845" s="1" t="str">
        <f>HYPERLINK("http://digipan.lumentumllc.com/apps/getLink/index.php?t=PropLink&amp;p=5246776","PL")</f>
        <v>PL</v>
      </c>
      <c r="B845" s="1" t="str">
        <f>HYPERLINK("http://digipan.lumentumllc.com/apps/getLink/index.php?t=TaxLink&amp;p=5246776","TL")</f>
        <v>TL</v>
      </c>
      <c r="C845" s="1" t="str">
        <f>HYPERLINK("http://digipan.lumentumllc.com/apps/getMap/index.php?p=5246776","Map")</f>
        <v>Map</v>
      </c>
      <c r="E845" t="s">
        <v>177</v>
      </c>
      <c r="F845" t="s">
        <v>178</v>
      </c>
      <c r="L845" t="s">
        <v>11614</v>
      </c>
      <c r="N845" t="s">
        <v>11614</v>
      </c>
      <c r="O845" t="s">
        <v>11614</v>
      </c>
      <c r="P845" t="s">
        <v>11615</v>
      </c>
      <c r="Q845" t="s">
        <v>11614</v>
      </c>
      <c r="V845">
        <v>979</v>
      </c>
      <c r="W845">
        <v>3</v>
      </c>
      <c r="X845">
        <v>2017</v>
      </c>
      <c r="Y845">
        <v>2018</v>
      </c>
      <c r="Z845">
        <v>460.17</v>
      </c>
      <c r="AB845" t="s">
        <v>181</v>
      </c>
      <c r="AC845" t="s">
        <v>182</v>
      </c>
      <c r="AD845" t="s">
        <v>183</v>
      </c>
      <c r="AE845">
        <v>1</v>
      </c>
      <c r="AF845">
        <v>4</v>
      </c>
      <c r="AG845" t="s">
        <v>257</v>
      </c>
      <c r="AH845">
        <v>75</v>
      </c>
      <c r="AI845">
        <v>399.54</v>
      </c>
      <c r="AJ845">
        <v>25.97</v>
      </c>
      <c r="AK845">
        <v>425.51</v>
      </c>
      <c r="AL845">
        <v>28050</v>
      </c>
      <c r="AM845">
        <v>28050</v>
      </c>
      <c r="AN845">
        <v>0</v>
      </c>
      <c r="AO845">
        <v>344</v>
      </c>
      <c r="AP845">
        <v>2016</v>
      </c>
      <c r="AQ845">
        <v>1.64</v>
      </c>
      <c r="AR845">
        <v>1.52</v>
      </c>
      <c r="AS845" t="s">
        <v>11616</v>
      </c>
      <c r="AT845" t="s">
        <v>3747</v>
      </c>
      <c r="AU845" t="s">
        <v>177</v>
      </c>
      <c r="AV845" t="s">
        <v>1030</v>
      </c>
      <c r="AW845" t="s">
        <v>182</v>
      </c>
      <c r="AX845">
        <v>0</v>
      </c>
      <c r="AY845" t="s">
        <v>312</v>
      </c>
      <c r="AZ845" t="s">
        <v>199</v>
      </c>
      <c r="BA845" t="s">
        <v>313</v>
      </c>
      <c r="BB845" t="s">
        <v>191</v>
      </c>
      <c r="BC845" t="s">
        <v>182</v>
      </c>
      <c r="BD845" t="s">
        <v>182</v>
      </c>
      <c r="BE845" t="s">
        <v>11617</v>
      </c>
      <c r="BF845">
        <v>0</v>
      </c>
      <c r="BG845">
        <v>0</v>
      </c>
      <c r="BH845">
        <v>0</v>
      </c>
      <c r="BI845" t="s">
        <v>199</v>
      </c>
      <c r="BJ845" t="s">
        <v>315</v>
      </c>
      <c r="BL845" t="s">
        <v>199</v>
      </c>
      <c r="BM845" t="s">
        <v>501</v>
      </c>
      <c r="BN845" t="s">
        <v>182</v>
      </c>
      <c r="BO845" t="s">
        <v>198</v>
      </c>
      <c r="BP845" t="s">
        <v>198</v>
      </c>
      <c r="BQ845" t="s">
        <v>198</v>
      </c>
      <c r="BR845" t="s">
        <v>198</v>
      </c>
      <c r="BS845" t="s">
        <v>198</v>
      </c>
      <c r="BT845" t="s">
        <v>198</v>
      </c>
      <c r="BU845" t="s">
        <v>182</v>
      </c>
      <c r="BV845" t="s">
        <v>198</v>
      </c>
      <c r="BW845" t="s">
        <v>198</v>
      </c>
      <c r="BX845" t="s">
        <v>199</v>
      </c>
      <c r="BY845" t="s">
        <v>198</v>
      </c>
      <c r="BZ845" t="s">
        <v>199</v>
      </c>
      <c r="CA845" t="s">
        <v>199</v>
      </c>
      <c r="CB845" t="s">
        <v>11618</v>
      </c>
      <c r="CC845" t="s">
        <v>201</v>
      </c>
      <c r="CD845" t="s">
        <v>182</v>
      </c>
      <c r="CE845" t="s">
        <v>11619</v>
      </c>
      <c r="CF845" t="s">
        <v>11620</v>
      </c>
      <c r="CG845" t="s">
        <v>177</v>
      </c>
      <c r="CH845" t="s">
        <v>11621</v>
      </c>
      <c r="CI845" t="s">
        <v>11622</v>
      </c>
      <c r="CJ845" t="s">
        <v>11123</v>
      </c>
      <c r="CK845" t="s">
        <v>232</v>
      </c>
      <c r="CL845" t="s">
        <v>233</v>
      </c>
      <c r="CM845" t="s">
        <v>11623</v>
      </c>
      <c r="CN845" t="s">
        <v>688</v>
      </c>
      <c r="CO845" t="s">
        <v>183</v>
      </c>
      <c r="CP845" t="s">
        <v>266</v>
      </c>
      <c r="CS845" t="s">
        <v>198</v>
      </c>
      <c r="CT845" t="s">
        <v>5679</v>
      </c>
      <c r="CU845" t="s">
        <v>292</v>
      </c>
      <c r="CV845" t="s">
        <v>293</v>
      </c>
      <c r="CW845" t="s">
        <v>11624</v>
      </c>
      <c r="CX845" t="s">
        <v>235</v>
      </c>
      <c r="CY845" t="s">
        <v>183</v>
      </c>
      <c r="CZ845" t="s">
        <v>211</v>
      </c>
      <c r="DA845" t="s">
        <v>345</v>
      </c>
      <c r="DC845" t="s">
        <v>7255</v>
      </c>
      <c r="DD845" t="s">
        <v>11625</v>
      </c>
      <c r="DE845" t="s">
        <v>238</v>
      </c>
      <c r="DF845" t="s">
        <v>239</v>
      </c>
      <c r="DG845" t="s">
        <v>7058</v>
      </c>
      <c r="DH845" t="s">
        <v>331</v>
      </c>
      <c r="DI845" t="s">
        <v>183</v>
      </c>
      <c r="DJ845" t="s">
        <v>211</v>
      </c>
      <c r="DK845" t="s">
        <v>206</v>
      </c>
      <c r="DM845" t="s">
        <v>11626</v>
      </c>
      <c r="DN845" t="s">
        <v>7864</v>
      </c>
      <c r="DO845" t="s">
        <v>346</v>
      </c>
      <c r="DP845" t="s">
        <v>347</v>
      </c>
      <c r="DQ845" t="s">
        <v>11627</v>
      </c>
      <c r="DR845" t="s">
        <v>254</v>
      </c>
      <c r="DS845" t="s">
        <v>183</v>
      </c>
      <c r="DT845" t="s">
        <v>211</v>
      </c>
      <c r="DU845" t="s">
        <v>306</v>
      </c>
      <c r="DW845" t="s">
        <v>11626</v>
      </c>
      <c r="DX845" t="s">
        <v>11628</v>
      </c>
      <c r="DY845" t="s">
        <v>207</v>
      </c>
      <c r="DZ845" t="s">
        <v>208</v>
      </c>
      <c r="EA845" t="s">
        <v>11629</v>
      </c>
      <c r="EB845" t="s">
        <v>576</v>
      </c>
      <c r="EC845" t="s">
        <v>183</v>
      </c>
      <c r="ED845" t="s">
        <v>211</v>
      </c>
      <c r="EE845" t="s">
        <v>298</v>
      </c>
      <c r="EG845" t="s">
        <v>474</v>
      </c>
      <c r="EQ845" t="s">
        <v>198</v>
      </c>
      <c r="FA845" t="s">
        <v>198</v>
      </c>
      <c r="FK845" t="s">
        <v>198</v>
      </c>
      <c r="FU845" t="s">
        <v>198</v>
      </c>
    </row>
    <row r="846" spans="1:177">
      <c r="A846" s="1" t="str">
        <f>HYPERLINK("http://digipan.lumentumllc.com/apps/getLink/index.php?t=PropLink&amp;p=5246777","PL")</f>
        <v>PL</v>
      </c>
      <c r="B846" s="1" t="str">
        <f>HYPERLINK("http://digipan.lumentumllc.com/apps/getLink/index.php?t=TaxLink&amp;p=5246777","TL")</f>
        <v>TL</v>
      </c>
      <c r="C846" s="1" t="str">
        <f>HYPERLINK("http://digipan.lumentumllc.com/apps/getMap/index.php?p=5246777","Map")</f>
        <v>Map</v>
      </c>
      <c r="E846" t="s">
        <v>177</v>
      </c>
      <c r="F846" t="s">
        <v>178</v>
      </c>
      <c r="L846" t="s">
        <v>11630</v>
      </c>
      <c r="N846" t="s">
        <v>11630</v>
      </c>
      <c r="O846" t="s">
        <v>11630</v>
      </c>
      <c r="P846" t="s">
        <v>11631</v>
      </c>
      <c r="Q846" t="s">
        <v>11630</v>
      </c>
      <c r="V846">
        <v>980</v>
      </c>
      <c r="W846">
        <v>3</v>
      </c>
      <c r="X846">
        <v>2017</v>
      </c>
      <c r="Y846">
        <v>2018</v>
      </c>
      <c r="Z846">
        <v>2396.2199999999998</v>
      </c>
      <c r="AB846" t="s">
        <v>181</v>
      </c>
      <c r="AC846" t="s">
        <v>182</v>
      </c>
      <c r="AD846" t="s">
        <v>183</v>
      </c>
      <c r="AE846">
        <v>1</v>
      </c>
      <c r="AF846">
        <v>7</v>
      </c>
      <c r="AG846" t="s">
        <v>418</v>
      </c>
      <c r="AH846">
        <v>86</v>
      </c>
      <c r="AI846">
        <v>2364.48</v>
      </c>
      <c r="AJ846">
        <v>118.22</v>
      </c>
      <c r="AK846">
        <v>2482.6999999999998</v>
      </c>
      <c r="AL846">
        <v>187656</v>
      </c>
      <c r="AM846">
        <v>46320</v>
      </c>
      <c r="AN846">
        <v>141336</v>
      </c>
      <c r="AO846">
        <v>2161</v>
      </c>
      <c r="AP846">
        <v>2016</v>
      </c>
      <c r="AQ846">
        <v>1.28</v>
      </c>
      <c r="AR846">
        <v>1.32</v>
      </c>
      <c r="AS846" t="s">
        <v>11632</v>
      </c>
      <c r="AT846" t="s">
        <v>3747</v>
      </c>
      <c r="AU846" t="s">
        <v>177</v>
      </c>
      <c r="AV846" t="s">
        <v>1030</v>
      </c>
      <c r="AW846" t="s">
        <v>202</v>
      </c>
      <c r="AX846">
        <v>1</v>
      </c>
      <c r="AY846" t="s">
        <v>188</v>
      </c>
      <c r="AZ846" t="s">
        <v>206</v>
      </c>
      <c r="BA846" t="s">
        <v>355</v>
      </c>
      <c r="BB846" t="s">
        <v>191</v>
      </c>
      <c r="BC846" t="s">
        <v>182</v>
      </c>
      <c r="BD846" t="s">
        <v>182</v>
      </c>
      <c r="BE846" t="s">
        <v>11633</v>
      </c>
      <c r="BF846">
        <v>1</v>
      </c>
      <c r="BG846">
        <v>1</v>
      </c>
      <c r="BH846">
        <v>1979</v>
      </c>
      <c r="BI846" t="s">
        <v>11634</v>
      </c>
      <c r="BJ846" t="s">
        <v>194</v>
      </c>
      <c r="BK846" t="s">
        <v>195</v>
      </c>
      <c r="BL846" t="s">
        <v>11635</v>
      </c>
      <c r="BM846" t="s">
        <v>533</v>
      </c>
      <c r="BN846" t="s">
        <v>182</v>
      </c>
      <c r="BO846" t="s">
        <v>198</v>
      </c>
      <c r="BP846" t="s">
        <v>198</v>
      </c>
      <c r="BQ846" t="s">
        <v>198</v>
      </c>
      <c r="BR846" t="s">
        <v>198</v>
      </c>
      <c r="BS846" t="s">
        <v>198</v>
      </c>
      <c r="BT846" t="s">
        <v>198</v>
      </c>
      <c r="BU846" t="s">
        <v>182</v>
      </c>
      <c r="BV846" t="s">
        <v>198</v>
      </c>
      <c r="BW846" t="s">
        <v>198</v>
      </c>
      <c r="BX846" t="s">
        <v>199</v>
      </c>
      <c r="BY846" t="s">
        <v>198</v>
      </c>
      <c r="BZ846" t="s">
        <v>199</v>
      </c>
      <c r="CA846" t="s">
        <v>199</v>
      </c>
      <c r="CB846" t="s">
        <v>11636</v>
      </c>
      <c r="CC846" t="s">
        <v>201</v>
      </c>
      <c r="CD846" t="s">
        <v>182</v>
      </c>
      <c r="CE846" t="s">
        <v>11637</v>
      </c>
      <c r="CF846" t="s">
        <v>1029</v>
      </c>
      <c r="CG846" t="s">
        <v>177</v>
      </c>
      <c r="CH846" t="s">
        <v>1030</v>
      </c>
      <c r="CI846" t="s">
        <v>11638</v>
      </c>
      <c r="CJ846" t="s">
        <v>6552</v>
      </c>
      <c r="CK846" t="s">
        <v>232</v>
      </c>
      <c r="CL846" t="s">
        <v>233</v>
      </c>
      <c r="CM846" t="s">
        <v>11639</v>
      </c>
      <c r="CN846" t="s">
        <v>235</v>
      </c>
      <c r="CO846" t="s">
        <v>183</v>
      </c>
      <c r="CP846" t="s">
        <v>266</v>
      </c>
      <c r="CS846" t="s">
        <v>198</v>
      </c>
      <c r="CT846" t="s">
        <v>5711</v>
      </c>
      <c r="CU846" t="s">
        <v>292</v>
      </c>
      <c r="CV846" t="s">
        <v>293</v>
      </c>
      <c r="CW846" t="s">
        <v>11640</v>
      </c>
      <c r="CX846" t="s">
        <v>235</v>
      </c>
      <c r="CY846" t="s">
        <v>183</v>
      </c>
      <c r="CZ846" t="s">
        <v>211</v>
      </c>
      <c r="DA846" t="s">
        <v>345</v>
      </c>
      <c r="DC846" t="s">
        <v>11641</v>
      </c>
      <c r="DD846" t="s">
        <v>8215</v>
      </c>
      <c r="DE846" t="s">
        <v>267</v>
      </c>
      <c r="DF846" t="s">
        <v>268</v>
      </c>
      <c r="DG846" t="s">
        <v>11642</v>
      </c>
      <c r="DH846" t="s">
        <v>235</v>
      </c>
      <c r="DI846" t="s">
        <v>183</v>
      </c>
      <c r="DJ846" t="s">
        <v>211</v>
      </c>
      <c r="DK846" t="s">
        <v>298</v>
      </c>
      <c r="DM846" t="s">
        <v>432</v>
      </c>
      <c r="DN846" t="s">
        <v>11643</v>
      </c>
      <c r="DO846" t="s">
        <v>273</v>
      </c>
      <c r="DP846" t="s">
        <v>274</v>
      </c>
      <c r="DQ846" t="s">
        <v>11644</v>
      </c>
      <c r="DR846" t="s">
        <v>235</v>
      </c>
      <c r="DS846" t="s">
        <v>183</v>
      </c>
      <c r="DT846" t="s">
        <v>211</v>
      </c>
      <c r="DU846" t="s">
        <v>290</v>
      </c>
      <c r="DW846" t="s">
        <v>9526</v>
      </c>
      <c r="DX846" t="s">
        <v>11645</v>
      </c>
      <c r="DY846" t="s">
        <v>302</v>
      </c>
      <c r="DZ846" t="s">
        <v>303</v>
      </c>
      <c r="EA846" t="s">
        <v>11646</v>
      </c>
      <c r="EB846" t="s">
        <v>235</v>
      </c>
      <c r="EC846" t="s">
        <v>183</v>
      </c>
      <c r="ED846" t="s">
        <v>211</v>
      </c>
      <c r="EE846" t="s">
        <v>523</v>
      </c>
      <c r="EG846" t="s">
        <v>9526</v>
      </c>
      <c r="EH846" t="s">
        <v>11647</v>
      </c>
      <c r="EI846" t="s">
        <v>238</v>
      </c>
      <c r="EJ846" t="s">
        <v>239</v>
      </c>
      <c r="EK846" t="s">
        <v>11648</v>
      </c>
      <c r="EL846" t="s">
        <v>235</v>
      </c>
      <c r="EM846" t="s">
        <v>183</v>
      </c>
      <c r="EN846" t="s">
        <v>211</v>
      </c>
      <c r="EO846" t="s">
        <v>345</v>
      </c>
      <c r="EQ846" t="s">
        <v>2676</v>
      </c>
      <c r="ER846" t="s">
        <v>11075</v>
      </c>
      <c r="ES846" t="s">
        <v>346</v>
      </c>
      <c r="ET846" t="s">
        <v>347</v>
      </c>
      <c r="EU846" t="s">
        <v>11649</v>
      </c>
      <c r="EV846" t="s">
        <v>235</v>
      </c>
      <c r="EW846" t="s">
        <v>183</v>
      </c>
      <c r="EX846" t="s">
        <v>211</v>
      </c>
      <c r="EY846" t="s">
        <v>345</v>
      </c>
      <c r="FA846" t="s">
        <v>8421</v>
      </c>
      <c r="FB846" t="s">
        <v>7044</v>
      </c>
      <c r="FC846" t="s">
        <v>207</v>
      </c>
      <c r="FD846" t="s">
        <v>208</v>
      </c>
      <c r="FE846" t="s">
        <v>11650</v>
      </c>
      <c r="FF846" t="s">
        <v>235</v>
      </c>
      <c r="FG846" t="s">
        <v>183</v>
      </c>
      <c r="FH846" t="s">
        <v>211</v>
      </c>
      <c r="FI846" t="s">
        <v>493</v>
      </c>
      <c r="FK846" t="s">
        <v>11651</v>
      </c>
      <c r="FU846" t="s">
        <v>198</v>
      </c>
    </row>
    <row r="847" spans="1:177">
      <c r="A847" s="1" t="str">
        <f>HYPERLINK("http://digipan.lumentumllc.com/apps/getLink/index.php?t=PropLink&amp;p=6129164","PL")</f>
        <v>PL</v>
      </c>
      <c r="B847" s="1" t="str">
        <f>HYPERLINK("http://digipan.lumentumllc.com/apps/getLink/index.php?t=TaxLink&amp;p=6129164","TL")</f>
        <v>TL</v>
      </c>
      <c r="C847" s="1" t="str">
        <f>HYPERLINK("http://digipan.lumentumllc.com/apps/getMap/index.php?p=6129164","Map")</f>
        <v>Map</v>
      </c>
      <c r="E847" t="s">
        <v>177</v>
      </c>
      <c r="F847" t="s">
        <v>178</v>
      </c>
      <c r="L847" t="s">
        <v>11652</v>
      </c>
      <c r="N847" t="s">
        <v>11652</v>
      </c>
      <c r="O847" t="s">
        <v>11652</v>
      </c>
      <c r="P847" t="s">
        <v>11653</v>
      </c>
      <c r="Q847" t="s">
        <v>11652</v>
      </c>
      <c r="V847">
        <v>981</v>
      </c>
      <c r="W847">
        <v>3</v>
      </c>
      <c r="X847">
        <v>2017</v>
      </c>
      <c r="Y847">
        <v>2018</v>
      </c>
      <c r="Z847">
        <v>3479.32</v>
      </c>
      <c r="AB847" t="s">
        <v>181</v>
      </c>
      <c r="AC847" t="s">
        <v>182</v>
      </c>
      <c r="AD847" t="s">
        <v>183</v>
      </c>
      <c r="AE847">
        <v>0</v>
      </c>
      <c r="AF847">
        <v>1</v>
      </c>
      <c r="AG847" t="s">
        <v>821</v>
      </c>
      <c r="AH847">
        <v>100</v>
      </c>
      <c r="AK847">
        <v>0</v>
      </c>
      <c r="AL847">
        <v>357127</v>
      </c>
      <c r="AM847">
        <v>18011</v>
      </c>
      <c r="AN847">
        <v>339116</v>
      </c>
      <c r="AO847">
        <v>3154</v>
      </c>
      <c r="AP847">
        <v>2016</v>
      </c>
      <c r="AQ847">
        <v>0.97</v>
      </c>
      <c r="AS847" t="s">
        <v>11654</v>
      </c>
      <c r="AT847" t="s">
        <v>3747</v>
      </c>
      <c r="AU847" t="s">
        <v>177</v>
      </c>
      <c r="AV847" t="s">
        <v>1030</v>
      </c>
      <c r="AW847" t="s">
        <v>202</v>
      </c>
      <c r="AX847">
        <v>50</v>
      </c>
      <c r="AY847" t="s">
        <v>218</v>
      </c>
      <c r="AZ847" t="s">
        <v>589</v>
      </c>
      <c r="BA847" t="s">
        <v>590</v>
      </c>
      <c r="BB847" t="s">
        <v>191</v>
      </c>
      <c r="BC847" t="s">
        <v>182</v>
      </c>
      <c r="BD847" t="s">
        <v>182</v>
      </c>
      <c r="BE847" t="s">
        <v>11655</v>
      </c>
      <c r="BF847">
        <v>1</v>
      </c>
      <c r="BG847">
        <v>1</v>
      </c>
      <c r="BH847">
        <v>2001</v>
      </c>
      <c r="BI847" t="s">
        <v>11656</v>
      </c>
      <c r="BJ847" t="s">
        <v>194</v>
      </c>
      <c r="BK847" t="s">
        <v>195</v>
      </c>
      <c r="BL847" t="s">
        <v>199</v>
      </c>
      <c r="BM847" t="s">
        <v>292</v>
      </c>
      <c r="BN847" t="s">
        <v>182</v>
      </c>
      <c r="BO847" t="s">
        <v>9803</v>
      </c>
      <c r="BP847" t="s">
        <v>8899</v>
      </c>
      <c r="BS847" t="s">
        <v>11657</v>
      </c>
      <c r="BT847" t="s">
        <v>198</v>
      </c>
      <c r="BU847" t="s">
        <v>182</v>
      </c>
      <c r="BV847" t="s">
        <v>198</v>
      </c>
      <c r="BW847" t="s">
        <v>198</v>
      </c>
      <c r="BX847" t="s">
        <v>199</v>
      </c>
      <c r="BY847" t="s">
        <v>198</v>
      </c>
      <c r="BZ847" t="s">
        <v>199</v>
      </c>
      <c r="CA847" t="s">
        <v>199</v>
      </c>
      <c r="CB847" t="s">
        <v>11658</v>
      </c>
      <c r="CC847" t="s">
        <v>201</v>
      </c>
      <c r="CD847" t="s">
        <v>182</v>
      </c>
      <c r="CE847" t="s">
        <v>5509</v>
      </c>
      <c r="CF847" t="s">
        <v>1029</v>
      </c>
      <c r="CG847" t="s">
        <v>177</v>
      </c>
      <c r="CH847" t="s">
        <v>1030</v>
      </c>
      <c r="CI847" t="s">
        <v>11659</v>
      </c>
      <c r="CJ847" t="s">
        <v>10710</v>
      </c>
      <c r="CK847" t="s">
        <v>232</v>
      </c>
      <c r="CL847" t="s">
        <v>233</v>
      </c>
      <c r="CM847" t="s">
        <v>11660</v>
      </c>
      <c r="CN847" t="s">
        <v>235</v>
      </c>
      <c r="CO847" t="s">
        <v>183</v>
      </c>
      <c r="CP847" t="s">
        <v>211</v>
      </c>
      <c r="CQ847" t="s">
        <v>206</v>
      </c>
      <c r="CS847" t="s">
        <v>5512</v>
      </c>
      <c r="DC847" t="s">
        <v>198</v>
      </c>
      <c r="DM847" t="s">
        <v>198</v>
      </c>
      <c r="DW847" t="s">
        <v>198</v>
      </c>
      <c r="EG847" t="s">
        <v>198</v>
      </c>
      <c r="EQ847" t="s">
        <v>198</v>
      </c>
      <c r="FA847" t="s">
        <v>198</v>
      </c>
      <c r="FK847" t="s">
        <v>198</v>
      </c>
      <c r="FU847" t="s">
        <v>198</v>
      </c>
    </row>
    <row r="848" spans="1:177">
      <c r="A848" s="1" t="str">
        <f>HYPERLINK("http://digipan.lumentumllc.com/apps/getLink/index.php?t=PropLink&amp;p=15752244","PL")</f>
        <v>PL</v>
      </c>
      <c r="B848" s="1" t="str">
        <f>HYPERLINK("http://digipan.lumentumllc.com/apps/getLink/index.php?t=TaxLink&amp;p=15752244","TL")</f>
        <v>TL</v>
      </c>
      <c r="C848" s="1" t="str">
        <f>HYPERLINK("http://digipan.lumentumllc.com/apps/getMap/index.php?p=15752244","Map")</f>
        <v>Map</v>
      </c>
      <c r="E848" t="s">
        <v>177</v>
      </c>
      <c r="F848" t="s">
        <v>178</v>
      </c>
      <c r="L848" t="s">
        <v>11661</v>
      </c>
      <c r="N848" t="s">
        <v>11661</v>
      </c>
      <c r="O848" t="s">
        <v>11661</v>
      </c>
      <c r="Q848" t="s">
        <v>11661</v>
      </c>
      <c r="V848">
        <v>984</v>
      </c>
      <c r="W848">
        <v>3</v>
      </c>
      <c r="X848">
        <v>2017</v>
      </c>
      <c r="Y848">
        <v>2018</v>
      </c>
      <c r="Z848">
        <v>2267.8000000000002</v>
      </c>
      <c r="AG848" t="s">
        <v>184</v>
      </c>
      <c r="AH848">
        <v>0</v>
      </c>
      <c r="AK848">
        <v>0</v>
      </c>
      <c r="AL848">
        <v>125267</v>
      </c>
      <c r="AM848">
        <v>63656</v>
      </c>
      <c r="AN848">
        <v>61611</v>
      </c>
      <c r="AO848">
        <v>2069</v>
      </c>
      <c r="AP848">
        <v>2016</v>
      </c>
      <c r="AQ848">
        <v>1.81</v>
      </c>
      <c r="AS848" t="s">
        <v>11662</v>
      </c>
      <c r="AT848" t="s">
        <v>3747</v>
      </c>
      <c r="AU848" t="s">
        <v>177</v>
      </c>
      <c r="AV848" t="s">
        <v>1030</v>
      </c>
      <c r="AW848" t="s">
        <v>182</v>
      </c>
      <c r="AX848">
        <v>1</v>
      </c>
      <c r="AY848" t="s">
        <v>188</v>
      </c>
      <c r="AZ848" t="s">
        <v>206</v>
      </c>
      <c r="BA848" t="s">
        <v>355</v>
      </c>
      <c r="BB848" t="s">
        <v>191</v>
      </c>
      <c r="BC848" t="s">
        <v>182</v>
      </c>
      <c r="BD848" t="s">
        <v>182</v>
      </c>
      <c r="BE848" t="s">
        <v>6305</v>
      </c>
      <c r="BF848">
        <v>1</v>
      </c>
      <c r="BG848">
        <v>1</v>
      </c>
      <c r="BH848">
        <v>1967</v>
      </c>
      <c r="BI848" t="s">
        <v>11663</v>
      </c>
      <c r="BJ848" t="s">
        <v>194</v>
      </c>
      <c r="BK848" t="s">
        <v>195</v>
      </c>
      <c r="BL848" t="s">
        <v>199</v>
      </c>
      <c r="BM848" t="s">
        <v>197</v>
      </c>
      <c r="BN848" t="s">
        <v>182</v>
      </c>
      <c r="BO848" t="s">
        <v>8682</v>
      </c>
      <c r="BP848" t="s">
        <v>11664</v>
      </c>
      <c r="BQ848" t="s">
        <v>800</v>
      </c>
      <c r="BR848" t="s">
        <v>6200</v>
      </c>
      <c r="BS848" t="s">
        <v>198</v>
      </c>
      <c r="BT848" t="s">
        <v>11665</v>
      </c>
      <c r="BU848" t="s">
        <v>182</v>
      </c>
      <c r="BV848" t="s">
        <v>198</v>
      </c>
      <c r="BW848" t="s">
        <v>198</v>
      </c>
      <c r="BX848" t="s">
        <v>199</v>
      </c>
      <c r="BY848" t="s">
        <v>198</v>
      </c>
      <c r="BZ848" t="s">
        <v>199</v>
      </c>
      <c r="CA848" t="s">
        <v>199</v>
      </c>
      <c r="CB848" t="s">
        <v>11666</v>
      </c>
      <c r="CC848" t="s">
        <v>201</v>
      </c>
      <c r="CD848" t="s">
        <v>202</v>
      </c>
      <c r="CE848" t="s">
        <v>11667</v>
      </c>
      <c r="CF848" t="s">
        <v>413</v>
      </c>
      <c r="CG848" t="s">
        <v>177</v>
      </c>
      <c r="CH848" t="s">
        <v>6095</v>
      </c>
      <c r="CI848" t="s">
        <v>11668</v>
      </c>
      <c r="CS848" t="s">
        <v>198</v>
      </c>
      <c r="DC848" t="s">
        <v>198</v>
      </c>
      <c r="DM848" t="s">
        <v>198</v>
      </c>
      <c r="DW848" t="s">
        <v>198</v>
      </c>
      <c r="EG848" t="s">
        <v>198</v>
      </c>
      <c r="EQ848" t="s">
        <v>198</v>
      </c>
      <c r="FA848" t="s">
        <v>198</v>
      </c>
      <c r="FK848" t="s">
        <v>198</v>
      </c>
      <c r="FU848" t="s">
        <v>198</v>
      </c>
    </row>
    <row r="849" spans="1:177">
      <c r="A849" s="1" t="str">
        <f>HYPERLINK("http://digipan.lumentumllc.com/apps/getLink/index.php?t=PropLink&amp;p=6129165","PL")</f>
        <v>PL</v>
      </c>
      <c r="B849" s="1" t="str">
        <f>HYPERLINK("http://digipan.lumentumllc.com/apps/getLink/index.php?t=TaxLink&amp;p=6129165","TL")</f>
        <v>TL</v>
      </c>
      <c r="C849" s="1" t="str">
        <f>HYPERLINK("http://digipan.lumentumllc.com/apps/getMap/index.php?p=6129165","Map")</f>
        <v>Map</v>
      </c>
      <c r="E849" t="s">
        <v>177</v>
      </c>
      <c r="F849" t="s">
        <v>178</v>
      </c>
      <c r="L849" t="s">
        <v>11669</v>
      </c>
      <c r="N849" t="s">
        <v>11669</v>
      </c>
      <c r="O849" t="s">
        <v>11669</v>
      </c>
      <c r="P849" t="s">
        <v>11670</v>
      </c>
      <c r="Q849" t="s">
        <v>11669</v>
      </c>
      <c r="V849">
        <v>985</v>
      </c>
      <c r="W849">
        <v>3</v>
      </c>
      <c r="X849">
        <v>2017</v>
      </c>
      <c r="Y849">
        <v>2018</v>
      </c>
      <c r="Z849">
        <v>231.52</v>
      </c>
      <c r="AB849" t="s">
        <v>181</v>
      </c>
      <c r="AC849" t="s">
        <v>182</v>
      </c>
      <c r="AD849" t="s">
        <v>183</v>
      </c>
      <c r="AE849">
        <v>0</v>
      </c>
      <c r="AF849">
        <v>2</v>
      </c>
      <c r="AG849" t="s">
        <v>216</v>
      </c>
      <c r="AH849">
        <v>100</v>
      </c>
      <c r="AK849">
        <v>0</v>
      </c>
      <c r="AL849">
        <v>11179</v>
      </c>
      <c r="AM849">
        <v>7500</v>
      </c>
      <c r="AN849">
        <v>3679</v>
      </c>
      <c r="AO849">
        <v>185</v>
      </c>
      <c r="AP849">
        <v>2016</v>
      </c>
      <c r="AQ849">
        <v>2.0699999999999998</v>
      </c>
      <c r="AS849" t="s">
        <v>11671</v>
      </c>
      <c r="AT849" t="s">
        <v>3747</v>
      </c>
      <c r="AU849" t="s">
        <v>177</v>
      </c>
      <c r="AV849" t="s">
        <v>1030</v>
      </c>
      <c r="AW849" t="s">
        <v>182</v>
      </c>
      <c r="AX849">
        <v>2</v>
      </c>
      <c r="AY849" t="s">
        <v>188</v>
      </c>
      <c r="AZ849" t="s">
        <v>189</v>
      </c>
      <c r="BA849" t="s">
        <v>190</v>
      </c>
      <c r="BB849" t="s">
        <v>191</v>
      </c>
      <c r="BC849" t="s">
        <v>182</v>
      </c>
      <c r="BD849" t="s">
        <v>182</v>
      </c>
      <c r="BE849" t="s">
        <v>6180</v>
      </c>
      <c r="BF849">
        <v>1</v>
      </c>
      <c r="BG849">
        <v>1</v>
      </c>
      <c r="BH849">
        <v>1973</v>
      </c>
      <c r="BI849" t="s">
        <v>9413</v>
      </c>
      <c r="BJ849" t="s">
        <v>285</v>
      </c>
      <c r="BK849" t="s">
        <v>195</v>
      </c>
      <c r="BL849" t="s">
        <v>841</v>
      </c>
      <c r="BM849" t="s">
        <v>325</v>
      </c>
      <c r="BN849" t="s">
        <v>182</v>
      </c>
      <c r="BO849" t="s">
        <v>198</v>
      </c>
      <c r="BP849" t="s">
        <v>198</v>
      </c>
      <c r="BQ849" t="s">
        <v>198</v>
      </c>
      <c r="BR849" t="s">
        <v>198</v>
      </c>
      <c r="BS849" t="s">
        <v>198</v>
      </c>
      <c r="BT849" t="s">
        <v>198</v>
      </c>
      <c r="BU849" t="s">
        <v>182</v>
      </c>
      <c r="BV849" t="s">
        <v>198</v>
      </c>
      <c r="BW849" t="s">
        <v>198</v>
      </c>
      <c r="BX849" t="s">
        <v>199</v>
      </c>
      <c r="BY849" t="s">
        <v>198</v>
      </c>
      <c r="BZ849" t="s">
        <v>199</v>
      </c>
      <c r="CA849" t="s">
        <v>199</v>
      </c>
      <c r="CB849" t="s">
        <v>6053</v>
      </c>
      <c r="CC849" t="s">
        <v>201</v>
      </c>
      <c r="CD849" t="s">
        <v>182</v>
      </c>
      <c r="CE849" t="s">
        <v>7411</v>
      </c>
      <c r="CF849" t="s">
        <v>204</v>
      </c>
      <c r="CG849" t="s">
        <v>177</v>
      </c>
      <c r="CH849" t="s">
        <v>187</v>
      </c>
      <c r="CI849" t="s">
        <v>11672</v>
      </c>
      <c r="CJ849" t="s">
        <v>5853</v>
      </c>
      <c r="CK849" t="s">
        <v>292</v>
      </c>
      <c r="CL849" t="s">
        <v>293</v>
      </c>
      <c r="CM849" t="s">
        <v>11673</v>
      </c>
      <c r="CN849" t="s">
        <v>482</v>
      </c>
      <c r="CO849" t="s">
        <v>183</v>
      </c>
      <c r="CP849" t="s">
        <v>211</v>
      </c>
      <c r="CQ849" t="s">
        <v>345</v>
      </c>
      <c r="CS849" t="s">
        <v>1088</v>
      </c>
      <c r="CT849" t="s">
        <v>11100</v>
      </c>
      <c r="CU849" t="s">
        <v>273</v>
      </c>
      <c r="CV849" t="s">
        <v>274</v>
      </c>
      <c r="CW849" t="s">
        <v>11674</v>
      </c>
      <c r="CX849" t="s">
        <v>387</v>
      </c>
      <c r="CY849" t="s">
        <v>183</v>
      </c>
      <c r="CZ849" t="s">
        <v>211</v>
      </c>
      <c r="DA849" t="s">
        <v>270</v>
      </c>
      <c r="DC849" t="s">
        <v>4984</v>
      </c>
      <c r="DM849" t="s">
        <v>198</v>
      </c>
      <c r="DW849" t="s">
        <v>198</v>
      </c>
      <c r="EG849" t="s">
        <v>198</v>
      </c>
      <c r="EQ849" t="s">
        <v>198</v>
      </c>
      <c r="FA849" t="s">
        <v>198</v>
      </c>
      <c r="FK849" t="s">
        <v>198</v>
      </c>
      <c r="FU849" t="s">
        <v>198</v>
      </c>
    </row>
    <row r="850" spans="1:177">
      <c r="A850" s="1" t="str">
        <f>HYPERLINK("http://digipan.lumentumllc.com/apps/getLink/index.php?t=PropLink&amp;p=6129166","PL")</f>
        <v>PL</v>
      </c>
      <c r="B850" s="1" t="str">
        <f>HYPERLINK("http://digipan.lumentumllc.com/apps/getLink/index.php?t=TaxLink&amp;p=6129166","TL")</f>
        <v>TL</v>
      </c>
      <c r="C850" s="1" t="str">
        <f>HYPERLINK("http://digipan.lumentumllc.com/apps/getMap/index.php?p=6129166","Map")</f>
        <v>Map</v>
      </c>
      <c r="E850" t="s">
        <v>177</v>
      </c>
      <c r="F850" t="s">
        <v>178</v>
      </c>
      <c r="L850" t="s">
        <v>11675</v>
      </c>
      <c r="N850" t="s">
        <v>11675</v>
      </c>
      <c r="O850" t="s">
        <v>11675</v>
      </c>
      <c r="P850" t="s">
        <v>11676</v>
      </c>
      <c r="Q850" t="s">
        <v>11675</v>
      </c>
      <c r="V850">
        <v>986</v>
      </c>
      <c r="W850">
        <v>3</v>
      </c>
      <c r="X850">
        <v>2017</v>
      </c>
      <c r="Y850">
        <v>2018</v>
      </c>
      <c r="Z850">
        <v>913.86</v>
      </c>
      <c r="AB850" t="s">
        <v>181</v>
      </c>
      <c r="AC850" t="s">
        <v>182</v>
      </c>
      <c r="AD850" t="s">
        <v>183</v>
      </c>
      <c r="AE850">
        <v>0</v>
      </c>
      <c r="AF850">
        <v>2</v>
      </c>
      <c r="AG850" t="s">
        <v>216</v>
      </c>
      <c r="AH850">
        <v>100</v>
      </c>
      <c r="AK850">
        <v>0</v>
      </c>
      <c r="AL850">
        <v>49409</v>
      </c>
      <c r="AM850">
        <v>7500</v>
      </c>
      <c r="AN850">
        <v>41909</v>
      </c>
      <c r="AO850">
        <v>800</v>
      </c>
      <c r="AP850">
        <v>2016</v>
      </c>
      <c r="AQ850">
        <v>1.85</v>
      </c>
      <c r="AS850" t="s">
        <v>11677</v>
      </c>
      <c r="AT850" t="s">
        <v>3747</v>
      </c>
      <c r="AU850" t="s">
        <v>177</v>
      </c>
      <c r="AV850" t="s">
        <v>1030</v>
      </c>
      <c r="AW850" t="s">
        <v>182</v>
      </c>
      <c r="AX850">
        <v>1</v>
      </c>
      <c r="AY850" t="s">
        <v>188</v>
      </c>
      <c r="AZ850" t="s">
        <v>206</v>
      </c>
      <c r="BA850" t="s">
        <v>355</v>
      </c>
      <c r="BB850" t="s">
        <v>191</v>
      </c>
      <c r="BC850" t="s">
        <v>182</v>
      </c>
      <c r="BD850" t="s">
        <v>182</v>
      </c>
      <c r="BE850" t="s">
        <v>5975</v>
      </c>
      <c r="BF850">
        <v>1</v>
      </c>
      <c r="BG850">
        <v>1</v>
      </c>
      <c r="BH850">
        <v>1983</v>
      </c>
      <c r="BI850" t="s">
        <v>11678</v>
      </c>
      <c r="BJ850" t="s">
        <v>194</v>
      </c>
      <c r="BK850" t="s">
        <v>195</v>
      </c>
      <c r="BL850" t="s">
        <v>2191</v>
      </c>
      <c r="BM850" t="s">
        <v>1332</v>
      </c>
      <c r="BN850" t="s">
        <v>182</v>
      </c>
      <c r="BO850" t="s">
        <v>198</v>
      </c>
      <c r="BP850" t="s">
        <v>198</v>
      </c>
      <c r="BQ850" t="s">
        <v>198</v>
      </c>
      <c r="BR850" t="s">
        <v>198</v>
      </c>
      <c r="BS850" t="s">
        <v>198</v>
      </c>
      <c r="BT850" t="s">
        <v>198</v>
      </c>
      <c r="BU850" t="s">
        <v>182</v>
      </c>
      <c r="BV850" t="s">
        <v>198</v>
      </c>
      <c r="BW850" t="s">
        <v>198</v>
      </c>
      <c r="BX850" t="s">
        <v>199</v>
      </c>
      <c r="BY850" t="s">
        <v>198</v>
      </c>
      <c r="BZ850" t="s">
        <v>199</v>
      </c>
      <c r="CA850" t="s">
        <v>199</v>
      </c>
      <c r="CB850" t="s">
        <v>6053</v>
      </c>
      <c r="CC850" t="s">
        <v>201</v>
      </c>
      <c r="CD850" t="s">
        <v>182</v>
      </c>
      <c r="CE850" t="s">
        <v>7878</v>
      </c>
      <c r="CF850" t="s">
        <v>204</v>
      </c>
      <c r="CG850" t="s">
        <v>177</v>
      </c>
      <c r="CH850" t="s">
        <v>187</v>
      </c>
      <c r="CI850" t="s">
        <v>11672</v>
      </c>
      <c r="CJ850" t="s">
        <v>10736</v>
      </c>
      <c r="CK850" t="s">
        <v>292</v>
      </c>
      <c r="CL850" t="s">
        <v>293</v>
      </c>
      <c r="CM850" t="s">
        <v>11679</v>
      </c>
      <c r="CN850" t="s">
        <v>235</v>
      </c>
      <c r="CO850" t="s">
        <v>183</v>
      </c>
      <c r="CP850" t="s">
        <v>211</v>
      </c>
      <c r="CQ850" t="s">
        <v>345</v>
      </c>
      <c r="CS850" t="s">
        <v>1088</v>
      </c>
      <c r="CT850" t="s">
        <v>10577</v>
      </c>
      <c r="CU850" t="s">
        <v>273</v>
      </c>
      <c r="CV850" t="s">
        <v>274</v>
      </c>
      <c r="CW850" t="s">
        <v>11680</v>
      </c>
      <c r="CX850" t="s">
        <v>235</v>
      </c>
      <c r="CY850" t="s">
        <v>183</v>
      </c>
      <c r="CZ850" t="s">
        <v>211</v>
      </c>
      <c r="DA850" t="s">
        <v>270</v>
      </c>
      <c r="DC850" t="s">
        <v>1486</v>
      </c>
      <c r="DM850" t="s">
        <v>198</v>
      </c>
      <c r="DW850" t="s">
        <v>198</v>
      </c>
      <c r="EG850" t="s">
        <v>198</v>
      </c>
      <c r="EQ850" t="s">
        <v>198</v>
      </c>
      <c r="FA850" t="s">
        <v>198</v>
      </c>
      <c r="FK850" t="s">
        <v>198</v>
      </c>
      <c r="FU850" t="s">
        <v>198</v>
      </c>
    </row>
    <row r="851" spans="1:177">
      <c r="A851" s="1" t="str">
        <f>HYPERLINK("http://digipan.lumentumllc.com/apps/getLink/index.php?t=PropLink&amp;p=6886767","PL")</f>
        <v>PL</v>
      </c>
      <c r="B851" s="1" t="str">
        <f>HYPERLINK("http://digipan.lumentumllc.com/apps/getLink/index.php?t=TaxLink&amp;p=6886767","TL")</f>
        <v>TL</v>
      </c>
      <c r="C851" s="1" t="str">
        <f>HYPERLINK("http://digipan.lumentumllc.com/apps/getMap/index.php?p=6886767","Map")</f>
        <v>Map</v>
      </c>
      <c r="E851" t="s">
        <v>177</v>
      </c>
      <c r="F851" t="s">
        <v>178</v>
      </c>
      <c r="L851" t="s">
        <v>11681</v>
      </c>
      <c r="N851" t="s">
        <v>11681</v>
      </c>
      <c r="O851" t="s">
        <v>11681</v>
      </c>
      <c r="P851" t="s">
        <v>11682</v>
      </c>
      <c r="Q851" t="s">
        <v>11681</v>
      </c>
      <c r="V851">
        <v>987</v>
      </c>
      <c r="W851">
        <v>3</v>
      </c>
      <c r="X851">
        <v>2017</v>
      </c>
      <c r="Y851">
        <v>2018</v>
      </c>
      <c r="Z851">
        <v>434.89</v>
      </c>
      <c r="AB851" t="s">
        <v>181</v>
      </c>
      <c r="AC851" t="s">
        <v>182</v>
      </c>
      <c r="AD851" t="s">
        <v>183</v>
      </c>
      <c r="AE851">
        <v>1</v>
      </c>
      <c r="AF851">
        <v>1</v>
      </c>
      <c r="AG851" t="s">
        <v>2222</v>
      </c>
      <c r="AH851">
        <v>50</v>
      </c>
      <c r="AI851">
        <v>423.74</v>
      </c>
      <c r="AJ851">
        <v>21.19</v>
      </c>
      <c r="AK851">
        <v>444.93</v>
      </c>
      <c r="AL851">
        <v>45148</v>
      </c>
      <c r="AM851">
        <v>9817</v>
      </c>
      <c r="AN851">
        <v>35331</v>
      </c>
      <c r="AO851">
        <v>367</v>
      </c>
      <c r="AP851">
        <v>2016</v>
      </c>
      <c r="AQ851">
        <v>0.96</v>
      </c>
      <c r="AR851">
        <v>0.99</v>
      </c>
      <c r="AS851" t="s">
        <v>11683</v>
      </c>
      <c r="AT851" t="s">
        <v>3747</v>
      </c>
      <c r="AU851" t="s">
        <v>177</v>
      </c>
      <c r="AV851" t="s">
        <v>1030</v>
      </c>
      <c r="AW851" t="s">
        <v>202</v>
      </c>
      <c r="AX851">
        <v>1</v>
      </c>
      <c r="AY851" t="s">
        <v>188</v>
      </c>
      <c r="AZ851" t="s">
        <v>206</v>
      </c>
      <c r="BA851" t="s">
        <v>355</v>
      </c>
      <c r="BB851" t="s">
        <v>191</v>
      </c>
      <c r="BC851" t="s">
        <v>182</v>
      </c>
      <c r="BD851" t="s">
        <v>182</v>
      </c>
      <c r="BE851" t="s">
        <v>11684</v>
      </c>
      <c r="BF851">
        <v>1</v>
      </c>
      <c r="BG851">
        <v>1</v>
      </c>
      <c r="BH851">
        <v>1954</v>
      </c>
      <c r="BI851" t="s">
        <v>1015</v>
      </c>
      <c r="BJ851" t="s">
        <v>194</v>
      </c>
      <c r="BK851" t="s">
        <v>195</v>
      </c>
      <c r="BL851" t="s">
        <v>199</v>
      </c>
      <c r="BM851" t="s">
        <v>273</v>
      </c>
      <c r="BN851" t="s">
        <v>182</v>
      </c>
      <c r="BO851" t="s">
        <v>1204</v>
      </c>
      <c r="BP851" t="s">
        <v>11685</v>
      </c>
      <c r="BQ851" t="s">
        <v>800</v>
      </c>
      <c r="BR851" t="s">
        <v>563</v>
      </c>
      <c r="BS851" t="s">
        <v>198</v>
      </c>
      <c r="BT851" t="s">
        <v>11686</v>
      </c>
      <c r="BU851" t="s">
        <v>182</v>
      </c>
      <c r="BV851" t="s">
        <v>198</v>
      </c>
      <c r="BW851" t="s">
        <v>198</v>
      </c>
      <c r="BX851" t="s">
        <v>199</v>
      </c>
      <c r="BY851" t="s">
        <v>198</v>
      </c>
      <c r="BZ851" t="s">
        <v>199</v>
      </c>
      <c r="CA851" t="s">
        <v>199</v>
      </c>
      <c r="CB851" t="s">
        <v>11687</v>
      </c>
      <c r="CC851" t="s">
        <v>201</v>
      </c>
      <c r="CD851" t="s">
        <v>202</v>
      </c>
      <c r="CE851" t="s">
        <v>11688</v>
      </c>
      <c r="CF851" t="s">
        <v>1029</v>
      </c>
      <c r="CG851" t="s">
        <v>177</v>
      </c>
      <c r="CH851" t="s">
        <v>1030</v>
      </c>
      <c r="CI851" t="s">
        <v>11689</v>
      </c>
      <c r="CJ851" t="s">
        <v>5698</v>
      </c>
      <c r="CK851" t="s">
        <v>232</v>
      </c>
      <c r="CL851" t="s">
        <v>233</v>
      </c>
      <c r="CM851" t="s">
        <v>11690</v>
      </c>
      <c r="CN851" t="s">
        <v>235</v>
      </c>
      <c r="CO851" t="s">
        <v>183</v>
      </c>
      <c r="CP851" t="s">
        <v>266</v>
      </c>
      <c r="CS851" t="s">
        <v>198</v>
      </c>
      <c r="CT851" t="s">
        <v>8232</v>
      </c>
      <c r="CU851" t="s">
        <v>267</v>
      </c>
      <c r="CV851" t="s">
        <v>268</v>
      </c>
      <c r="CW851" t="s">
        <v>11691</v>
      </c>
      <c r="CX851" t="s">
        <v>235</v>
      </c>
      <c r="CY851" t="s">
        <v>183</v>
      </c>
      <c r="CZ851" t="s">
        <v>211</v>
      </c>
      <c r="DA851" t="s">
        <v>342</v>
      </c>
      <c r="DC851" t="s">
        <v>11692</v>
      </c>
      <c r="DM851" t="s">
        <v>198</v>
      </c>
      <c r="DW851" t="s">
        <v>198</v>
      </c>
      <c r="EG851" t="s">
        <v>198</v>
      </c>
      <c r="EQ851" t="s">
        <v>198</v>
      </c>
      <c r="FA851" t="s">
        <v>198</v>
      </c>
      <c r="FK851" t="s">
        <v>198</v>
      </c>
      <c r="FU851" t="s">
        <v>198</v>
      </c>
    </row>
    <row r="852" spans="1:177">
      <c r="A852" s="1" t="str">
        <f>HYPERLINK("http://digipan.lumentumllc.com/apps/getLink/index.php?t=PropLink&amp;p=6129168","PL")</f>
        <v>PL</v>
      </c>
      <c r="B852" s="1" t="str">
        <f>HYPERLINK("http://digipan.lumentumllc.com/apps/getLink/index.php?t=TaxLink&amp;p=6129168","TL")</f>
        <v>TL</v>
      </c>
      <c r="C852" s="1" t="str">
        <f>HYPERLINK("http://digipan.lumentumllc.com/apps/getMap/index.php?p=6129168","Map")</f>
        <v>Map</v>
      </c>
      <c r="E852" t="s">
        <v>177</v>
      </c>
      <c r="F852" t="s">
        <v>178</v>
      </c>
      <c r="L852" t="s">
        <v>11693</v>
      </c>
      <c r="N852" t="s">
        <v>11693</v>
      </c>
      <c r="O852" t="s">
        <v>11693</v>
      </c>
      <c r="P852" t="s">
        <v>11694</v>
      </c>
      <c r="Q852" t="s">
        <v>11693</v>
      </c>
      <c r="V852">
        <v>988</v>
      </c>
      <c r="W852">
        <v>4</v>
      </c>
      <c r="X852">
        <v>2017</v>
      </c>
      <c r="Y852">
        <v>2018</v>
      </c>
      <c r="Z852">
        <v>1652.38</v>
      </c>
      <c r="AB852" t="s">
        <v>181</v>
      </c>
      <c r="AC852" t="s">
        <v>182</v>
      </c>
      <c r="AD852" t="s">
        <v>183</v>
      </c>
      <c r="AE852">
        <v>0</v>
      </c>
      <c r="AF852">
        <v>6</v>
      </c>
      <c r="AG852" t="s">
        <v>3266</v>
      </c>
      <c r="AH852">
        <v>100</v>
      </c>
      <c r="AK852">
        <v>0</v>
      </c>
      <c r="AL852">
        <v>90786</v>
      </c>
      <c r="AM852">
        <v>46739</v>
      </c>
      <c r="AN852">
        <v>44047</v>
      </c>
      <c r="AO852">
        <v>1571</v>
      </c>
      <c r="AP852">
        <v>2016</v>
      </c>
      <c r="AQ852">
        <v>1.82</v>
      </c>
      <c r="AS852" t="s">
        <v>11695</v>
      </c>
      <c r="AT852" t="s">
        <v>3747</v>
      </c>
      <c r="AU852" t="s">
        <v>177</v>
      </c>
      <c r="AV852" t="s">
        <v>1030</v>
      </c>
      <c r="AW852" t="s">
        <v>182</v>
      </c>
      <c r="AX852">
        <v>17</v>
      </c>
      <c r="AY852" t="s">
        <v>3641</v>
      </c>
      <c r="AZ852" t="s">
        <v>471</v>
      </c>
      <c r="BA852" t="s">
        <v>4920</v>
      </c>
      <c r="BB852" t="s">
        <v>191</v>
      </c>
      <c r="BC852" t="s">
        <v>182</v>
      </c>
      <c r="BD852" t="s">
        <v>182</v>
      </c>
      <c r="BE852" t="s">
        <v>11684</v>
      </c>
      <c r="BF852">
        <v>1</v>
      </c>
      <c r="BG852">
        <v>0</v>
      </c>
      <c r="BH852">
        <v>1957</v>
      </c>
      <c r="BI852" t="s">
        <v>11696</v>
      </c>
      <c r="BJ852" t="s">
        <v>194</v>
      </c>
      <c r="BK852" t="s">
        <v>195</v>
      </c>
      <c r="BL852" t="s">
        <v>3374</v>
      </c>
      <c r="BM852" t="s">
        <v>533</v>
      </c>
      <c r="BN852" t="s">
        <v>182</v>
      </c>
      <c r="BO852" t="s">
        <v>11697</v>
      </c>
      <c r="BP852" t="s">
        <v>5899</v>
      </c>
      <c r="BS852" t="s">
        <v>2637</v>
      </c>
      <c r="BT852" t="s">
        <v>198</v>
      </c>
      <c r="BU852" t="s">
        <v>182</v>
      </c>
      <c r="BV852" t="s">
        <v>198</v>
      </c>
      <c r="BW852" t="s">
        <v>198</v>
      </c>
      <c r="BX852" t="s">
        <v>199</v>
      </c>
      <c r="BY852" t="s">
        <v>198</v>
      </c>
      <c r="BZ852" t="s">
        <v>199</v>
      </c>
      <c r="CA852" t="s">
        <v>199</v>
      </c>
      <c r="CB852" t="s">
        <v>11698</v>
      </c>
      <c r="CC852" t="s">
        <v>201</v>
      </c>
      <c r="CD852" t="s">
        <v>182</v>
      </c>
      <c r="CE852" t="s">
        <v>2111</v>
      </c>
      <c r="CF852" t="s">
        <v>1029</v>
      </c>
      <c r="CG852" t="s">
        <v>177</v>
      </c>
      <c r="CH852" t="s">
        <v>1030</v>
      </c>
      <c r="CI852" t="s">
        <v>11699</v>
      </c>
      <c r="CJ852" t="s">
        <v>8193</v>
      </c>
      <c r="CK852" t="s">
        <v>292</v>
      </c>
      <c r="CL852" t="s">
        <v>293</v>
      </c>
      <c r="CM852" t="s">
        <v>11700</v>
      </c>
      <c r="CN852" t="s">
        <v>235</v>
      </c>
      <c r="CO852" t="s">
        <v>183</v>
      </c>
      <c r="CP852" t="s">
        <v>211</v>
      </c>
      <c r="CQ852" t="s">
        <v>339</v>
      </c>
      <c r="CS852" t="s">
        <v>6853</v>
      </c>
      <c r="CT852" t="s">
        <v>8302</v>
      </c>
      <c r="CU852" t="s">
        <v>267</v>
      </c>
      <c r="CV852" t="s">
        <v>268</v>
      </c>
      <c r="CW852" t="s">
        <v>11701</v>
      </c>
      <c r="CX852" t="s">
        <v>235</v>
      </c>
      <c r="CY852" t="s">
        <v>183</v>
      </c>
      <c r="CZ852" t="s">
        <v>211</v>
      </c>
      <c r="DA852" t="s">
        <v>290</v>
      </c>
      <c r="DC852" t="s">
        <v>11228</v>
      </c>
      <c r="DD852" t="s">
        <v>2190</v>
      </c>
      <c r="DE852" t="s">
        <v>273</v>
      </c>
      <c r="DF852" t="s">
        <v>274</v>
      </c>
      <c r="DG852" t="s">
        <v>11702</v>
      </c>
      <c r="DH852" t="s">
        <v>235</v>
      </c>
      <c r="DI852" t="s">
        <v>183</v>
      </c>
      <c r="DJ852" t="s">
        <v>211</v>
      </c>
      <c r="DK852" t="s">
        <v>523</v>
      </c>
      <c r="DM852" t="s">
        <v>11228</v>
      </c>
      <c r="DN852" t="s">
        <v>11703</v>
      </c>
      <c r="DO852" t="s">
        <v>302</v>
      </c>
      <c r="DP852" t="s">
        <v>303</v>
      </c>
      <c r="DQ852" t="s">
        <v>11704</v>
      </c>
      <c r="DR852" t="s">
        <v>235</v>
      </c>
      <c r="DS852" t="s">
        <v>183</v>
      </c>
      <c r="DT852" t="s">
        <v>211</v>
      </c>
      <c r="DU852" t="s">
        <v>298</v>
      </c>
      <c r="DW852" t="s">
        <v>8149</v>
      </c>
      <c r="DX852" t="s">
        <v>11705</v>
      </c>
      <c r="DY852" t="s">
        <v>238</v>
      </c>
      <c r="DZ852" t="s">
        <v>239</v>
      </c>
      <c r="EA852" t="s">
        <v>11706</v>
      </c>
      <c r="EB852" t="s">
        <v>331</v>
      </c>
      <c r="EC852" t="s">
        <v>183</v>
      </c>
      <c r="ED852" t="s">
        <v>211</v>
      </c>
      <c r="EE852" t="s">
        <v>298</v>
      </c>
      <c r="EG852" t="s">
        <v>520</v>
      </c>
      <c r="EH852" t="s">
        <v>438</v>
      </c>
      <c r="EI852" t="s">
        <v>207</v>
      </c>
      <c r="EJ852" t="s">
        <v>208</v>
      </c>
      <c r="EK852" t="s">
        <v>11707</v>
      </c>
      <c r="EL852" t="s">
        <v>341</v>
      </c>
      <c r="EM852" t="s">
        <v>183</v>
      </c>
      <c r="EN852" t="s">
        <v>211</v>
      </c>
      <c r="EO852" t="s">
        <v>189</v>
      </c>
      <c r="EQ852" t="s">
        <v>11708</v>
      </c>
      <c r="FA852" t="s">
        <v>198</v>
      </c>
      <c r="FK852" t="s">
        <v>198</v>
      </c>
      <c r="FU852" t="s">
        <v>198</v>
      </c>
    </row>
    <row r="853" spans="1:177">
      <c r="A853" s="1" t="str">
        <f>HYPERLINK("http://digipan.lumentumllc.com/apps/getLink/index.php?t=PropLink&amp;p=5246804","PL")</f>
        <v>PL</v>
      </c>
      <c r="B853" s="1" t="str">
        <f>HYPERLINK("http://digipan.lumentumllc.com/apps/getLink/index.php?t=TaxLink&amp;p=5246804","TL")</f>
        <v>TL</v>
      </c>
      <c r="C853" s="1" t="str">
        <f>HYPERLINK("http://digipan.lumentumllc.com/apps/getMap/index.php?p=5246804","Map")</f>
        <v>Map</v>
      </c>
      <c r="E853" t="s">
        <v>177</v>
      </c>
      <c r="F853" t="s">
        <v>178</v>
      </c>
      <c r="L853" t="s">
        <v>11709</v>
      </c>
      <c r="N853" t="s">
        <v>11709</v>
      </c>
      <c r="O853" t="s">
        <v>11709</v>
      </c>
      <c r="P853" t="s">
        <v>11710</v>
      </c>
      <c r="Q853" t="s">
        <v>11709</v>
      </c>
      <c r="V853">
        <v>989</v>
      </c>
      <c r="W853">
        <v>4</v>
      </c>
      <c r="X853">
        <v>2017</v>
      </c>
      <c r="Y853">
        <v>2018</v>
      </c>
      <c r="Z853">
        <v>4022.84</v>
      </c>
      <c r="AB853" t="s">
        <v>181</v>
      </c>
      <c r="AC853" t="s">
        <v>182</v>
      </c>
      <c r="AD853" t="s">
        <v>183</v>
      </c>
      <c r="AE853">
        <v>0</v>
      </c>
      <c r="AF853">
        <v>6</v>
      </c>
      <c r="AG853" t="s">
        <v>3266</v>
      </c>
      <c r="AH853">
        <v>100</v>
      </c>
      <c r="AK853">
        <v>0</v>
      </c>
      <c r="AL853">
        <v>223599</v>
      </c>
      <c r="AM853">
        <v>75895</v>
      </c>
      <c r="AN853">
        <v>147704</v>
      </c>
      <c r="AO853">
        <v>4390</v>
      </c>
      <c r="AP853">
        <v>2016</v>
      </c>
      <c r="AQ853">
        <v>1.8</v>
      </c>
      <c r="AS853" t="s">
        <v>11711</v>
      </c>
      <c r="AT853" t="s">
        <v>3747</v>
      </c>
      <c r="AU853" t="s">
        <v>177</v>
      </c>
      <c r="AV853" t="s">
        <v>1030</v>
      </c>
      <c r="AW853" t="s">
        <v>182</v>
      </c>
      <c r="AX853">
        <v>72</v>
      </c>
      <c r="AY853" t="s">
        <v>3641</v>
      </c>
      <c r="AZ853" t="s">
        <v>720</v>
      </c>
      <c r="BA853" t="s">
        <v>11712</v>
      </c>
      <c r="BB853" t="s">
        <v>191</v>
      </c>
      <c r="BC853" t="s">
        <v>182</v>
      </c>
      <c r="BD853" t="s">
        <v>182</v>
      </c>
      <c r="BE853" t="s">
        <v>7685</v>
      </c>
      <c r="BF853">
        <v>2</v>
      </c>
      <c r="BG853">
        <v>2</v>
      </c>
      <c r="BH853">
        <v>1957</v>
      </c>
      <c r="BI853" t="s">
        <v>11713</v>
      </c>
      <c r="BJ853" t="s">
        <v>194</v>
      </c>
      <c r="BK853" t="s">
        <v>195</v>
      </c>
      <c r="BL853" t="s">
        <v>938</v>
      </c>
      <c r="BM853" t="s">
        <v>1003</v>
      </c>
      <c r="BN853" t="s">
        <v>182</v>
      </c>
      <c r="BO853" t="s">
        <v>3184</v>
      </c>
      <c r="BP853" t="s">
        <v>2421</v>
      </c>
      <c r="BR853" t="s">
        <v>1461</v>
      </c>
      <c r="BS853" t="s">
        <v>11714</v>
      </c>
      <c r="BT853" t="s">
        <v>198</v>
      </c>
      <c r="BU853" t="s">
        <v>182</v>
      </c>
      <c r="BV853" t="s">
        <v>198</v>
      </c>
      <c r="BW853" t="s">
        <v>198</v>
      </c>
      <c r="BX853" t="s">
        <v>199</v>
      </c>
      <c r="BY853" t="s">
        <v>198</v>
      </c>
      <c r="BZ853" t="s">
        <v>199</v>
      </c>
      <c r="CA853" t="s">
        <v>199</v>
      </c>
      <c r="CB853" t="s">
        <v>11715</v>
      </c>
      <c r="CC853" t="s">
        <v>201</v>
      </c>
      <c r="CD853" t="s">
        <v>182</v>
      </c>
      <c r="CE853" t="s">
        <v>11716</v>
      </c>
      <c r="CF853" t="s">
        <v>1029</v>
      </c>
      <c r="CG853" t="s">
        <v>177</v>
      </c>
      <c r="CH853" t="s">
        <v>1030</v>
      </c>
      <c r="CI853" t="s">
        <v>11717</v>
      </c>
      <c r="CJ853" t="s">
        <v>10874</v>
      </c>
      <c r="CK853" t="s">
        <v>292</v>
      </c>
      <c r="CL853" t="s">
        <v>293</v>
      </c>
      <c r="CM853" t="s">
        <v>11718</v>
      </c>
      <c r="CN853" t="s">
        <v>235</v>
      </c>
      <c r="CO853" t="s">
        <v>183</v>
      </c>
      <c r="CP853" t="s">
        <v>211</v>
      </c>
      <c r="CQ853" t="s">
        <v>298</v>
      </c>
      <c r="CS853" t="s">
        <v>3703</v>
      </c>
      <c r="CT853" t="s">
        <v>8990</v>
      </c>
      <c r="CU853" t="s">
        <v>267</v>
      </c>
      <c r="CV853" t="s">
        <v>268</v>
      </c>
      <c r="CW853" t="s">
        <v>11719</v>
      </c>
      <c r="CX853" t="s">
        <v>235</v>
      </c>
      <c r="CY853" t="s">
        <v>183</v>
      </c>
      <c r="CZ853" t="s">
        <v>211</v>
      </c>
      <c r="DA853" t="s">
        <v>189</v>
      </c>
      <c r="DC853" t="s">
        <v>5358</v>
      </c>
      <c r="DD853" t="s">
        <v>11720</v>
      </c>
      <c r="DE853" t="s">
        <v>302</v>
      </c>
      <c r="DF853" t="s">
        <v>303</v>
      </c>
      <c r="DG853" t="s">
        <v>11721</v>
      </c>
      <c r="DH853" t="s">
        <v>235</v>
      </c>
      <c r="DI853" t="s">
        <v>183</v>
      </c>
      <c r="DJ853" t="s">
        <v>211</v>
      </c>
      <c r="DK853" t="s">
        <v>298</v>
      </c>
      <c r="DM853" t="s">
        <v>1071</v>
      </c>
      <c r="DN853" t="s">
        <v>11722</v>
      </c>
      <c r="DO853" t="s">
        <v>238</v>
      </c>
      <c r="DP853" t="s">
        <v>239</v>
      </c>
      <c r="DQ853" t="s">
        <v>11723</v>
      </c>
      <c r="DR853" t="s">
        <v>927</v>
      </c>
      <c r="DS853" t="s">
        <v>183</v>
      </c>
      <c r="DT853" t="s">
        <v>211</v>
      </c>
      <c r="DU853" t="s">
        <v>298</v>
      </c>
      <c r="DW853" t="s">
        <v>546</v>
      </c>
      <c r="DX853" t="s">
        <v>4256</v>
      </c>
      <c r="DY853" t="s">
        <v>346</v>
      </c>
      <c r="DZ853" t="s">
        <v>347</v>
      </c>
      <c r="EA853" t="s">
        <v>11724</v>
      </c>
      <c r="EB853" t="s">
        <v>816</v>
      </c>
      <c r="EC853" t="s">
        <v>183</v>
      </c>
      <c r="ED853" t="s">
        <v>211</v>
      </c>
      <c r="EE853" t="s">
        <v>298</v>
      </c>
      <c r="EG853" t="s">
        <v>878</v>
      </c>
      <c r="EH853" t="s">
        <v>490</v>
      </c>
      <c r="EI853" t="s">
        <v>207</v>
      </c>
      <c r="EJ853" t="s">
        <v>208</v>
      </c>
      <c r="EK853" t="s">
        <v>11725</v>
      </c>
      <c r="EL853" t="s">
        <v>2515</v>
      </c>
      <c r="EM853" t="s">
        <v>183</v>
      </c>
      <c r="EN853" t="s">
        <v>211</v>
      </c>
      <c r="EO853" t="s">
        <v>298</v>
      </c>
      <c r="EQ853" t="s">
        <v>5101</v>
      </c>
      <c r="FA853" t="s">
        <v>198</v>
      </c>
      <c r="FK853" t="s">
        <v>198</v>
      </c>
      <c r="FU853" t="s">
        <v>198</v>
      </c>
    </row>
    <row r="854" spans="1:177">
      <c r="A854" s="1" t="str">
        <f>HYPERLINK("http://digipan.lumentumllc.com/apps/getLink/index.php?t=PropLink&amp;p=6129169","PL")</f>
        <v>PL</v>
      </c>
      <c r="B854" s="1" t="str">
        <f>HYPERLINK("http://digipan.lumentumllc.com/apps/getLink/index.php?t=TaxLink&amp;p=6129169","TL")</f>
        <v>TL</v>
      </c>
      <c r="C854" s="1" t="str">
        <f>HYPERLINK("http://digipan.lumentumllc.com/apps/getMap/index.php?p=6129169","Map")</f>
        <v>Map</v>
      </c>
      <c r="E854" t="s">
        <v>177</v>
      </c>
      <c r="F854" t="s">
        <v>178</v>
      </c>
      <c r="L854" t="s">
        <v>11726</v>
      </c>
      <c r="N854" t="s">
        <v>11726</v>
      </c>
      <c r="O854" t="s">
        <v>11726</v>
      </c>
      <c r="P854" t="s">
        <v>11727</v>
      </c>
      <c r="Q854" t="s">
        <v>11726</v>
      </c>
      <c r="V854">
        <v>990</v>
      </c>
      <c r="W854">
        <v>4</v>
      </c>
      <c r="X854">
        <v>2017</v>
      </c>
      <c r="Y854">
        <v>2018</v>
      </c>
      <c r="Z854">
        <v>1309.02</v>
      </c>
      <c r="AB854" t="s">
        <v>181</v>
      </c>
      <c r="AC854" t="s">
        <v>182</v>
      </c>
      <c r="AD854" t="s">
        <v>183</v>
      </c>
      <c r="AE854">
        <v>0</v>
      </c>
      <c r="AF854">
        <v>1</v>
      </c>
      <c r="AG854" t="s">
        <v>821</v>
      </c>
      <c r="AH854">
        <v>100</v>
      </c>
      <c r="AK854">
        <v>0</v>
      </c>
      <c r="AL854">
        <v>71549</v>
      </c>
      <c r="AM854">
        <v>16957</v>
      </c>
      <c r="AN854">
        <v>54592</v>
      </c>
      <c r="AO854">
        <v>1145</v>
      </c>
      <c r="AP854">
        <v>2016</v>
      </c>
      <c r="AQ854">
        <v>1.83</v>
      </c>
      <c r="AS854" t="s">
        <v>11728</v>
      </c>
      <c r="AT854" t="s">
        <v>3747</v>
      </c>
      <c r="AU854" t="s">
        <v>177</v>
      </c>
      <c r="AV854" t="s">
        <v>1030</v>
      </c>
      <c r="AW854" t="s">
        <v>182</v>
      </c>
      <c r="AX854">
        <v>1</v>
      </c>
      <c r="AY854" t="s">
        <v>188</v>
      </c>
      <c r="AZ854" t="s">
        <v>206</v>
      </c>
      <c r="BA854" t="s">
        <v>355</v>
      </c>
      <c r="BB854" t="s">
        <v>191</v>
      </c>
      <c r="BC854" t="s">
        <v>182</v>
      </c>
      <c r="BD854" t="s">
        <v>182</v>
      </c>
      <c r="BE854" t="s">
        <v>5948</v>
      </c>
      <c r="BF854">
        <v>1</v>
      </c>
      <c r="BG854">
        <v>1</v>
      </c>
      <c r="BH854">
        <v>1938</v>
      </c>
      <c r="BI854" t="s">
        <v>11729</v>
      </c>
      <c r="BJ854" t="s">
        <v>194</v>
      </c>
      <c r="BK854" t="s">
        <v>195</v>
      </c>
      <c r="BL854" t="s">
        <v>5405</v>
      </c>
      <c r="BM854" t="s">
        <v>286</v>
      </c>
      <c r="BN854" t="s">
        <v>182</v>
      </c>
      <c r="BO854" t="s">
        <v>198</v>
      </c>
      <c r="BP854" t="s">
        <v>198</v>
      </c>
      <c r="BQ854" t="s">
        <v>198</v>
      </c>
      <c r="BR854" t="s">
        <v>198</v>
      </c>
      <c r="BS854" t="s">
        <v>198</v>
      </c>
      <c r="BT854" t="s">
        <v>198</v>
      </c>
      <c r="BU854" t="s">
        <v>182</v>
      </c>
      <c r="BV854" t="s">
        <v>198</v>
      </c>
      <c r="BW854" t="s">
        <v>198</v>
      </c>
      <c r="BX854" t="s">
        <v>199</v>
      </c>
      <c r="BY854" t="s">
        <v>198</v>
      </c>
      <c r="BZ854" t="s">
        <v>199</v>
      </c>
      <c r="CA854" t="s">
        <v>199</v>
      </c>
      <c r="CB854" t="s">
        <v>11658</v>
      </c>
      <c r="CC854" t="s">
        <v>201</v>
      </c>
      <c r="CD854" t="s">
        <v>182</v>
      </c>
      <c r="CE854" t="s">
        <v>5509</v>
      </c>
      <c r="CF854" t="s">
        <v>1029</v>
      </c>
      <c r="CG854" t="s">
        <v>177</v>
      </c>
      <c r="CH854" t="s">
        <v>1030</v>
      </c>
      <c r="CI854" t="s">
        <v>11730</v>
      </c>
      <c r="CJ854" t="s">
        <v>10736</v>
      </c>
      <c r="CK854" t="s">
        <v>232</v>
      </c>
      <c r="CL854" t="s">
        <v>233</v>
      </c>
      <c r="CM854" t="s">
        <v>11731</v>
      </c>
      <c r="CN854" t="s">
        <v>235</v>
      </c>
      <c r="CO854" t="s">
        <v>183</v>
      </c>
      <c r="CP854" t="s">
        <v>211</v>
      </c>
      <c r="CQ854" t="s">
        <v>206</v>
      </c>
      <c r="CS854" t="s">
        <v>5512</v>
      </c>
      <c r="DC854" t="s">
        <v>198</v>
      </c>
      <c r="DM854" t="s">
        <v>198</v>
      </c>
      <c r="DW854" t="s">
        <v>198</v>
      </c>
      <c r="EG854" t="s">
        <v>198</v>
      </c>
      <c r="EQ854" t="s">
        <v>198</v>
      </c>
      <c r="FA854" t="s">
        <v>198</v>
      </c>
      <c r="FK854" t="s">
        <v>198</v>
      </c>
      <c r="FU854" t="s">
        <v>198</v>
      </c>
    </row>
    <row r="855" spans="1:177">
      <c r="A855" s="1" t="str">
        <f>HYPERLINK("http://digipan.lumentumllc.com/apps/getLink/index.php?t=PropLink&amp;p=6886768","PL")</f>
        <v>PL</v>
      </c>
      <c r="B855" s="1" t="str">
        <f>HYPERLINK("http://digipan.lumentumllc.com/apps/getLink/index.php?t=TaxLink&amp;p=6886768","TL")</f>
        <v>TL</v>
      </c>
      <c r="C855" s="1" t="str">
        <f>HYPERLINK("http://digipan.lumentumllc.com/apps/getMap/index.php?p=6886768","Map")</f>
        <v>Map</v>
      </c>
      <c r="E855" t="s">
        <v>177</v>
      </c>
      <c r="F855" t="s">
        <v>178</v>
      </c>
      <c r="L855" t="s">
        <v>11732</v>
      </c>
      <c r="N855" t="s">
        <v>11732</v>
      </c>
      <c r="O855" t="s">
        <v>11732</v>
      </c>
      <c r="P855" t="s">
        <v>11733</v>
      </c>
      <c r="Q855" t="s">
        <v>11732</v>
      </c>
      <c r="V855">
        <v>992</v>
      </c>
      <c r="W855">
        <v>4</v>
      </c>
      <c r="X855">
        <v>2017</v>
      </c>
      <c r="Y855">
        <v>2018</v>
      </c>
      <c r="Z855">
        <v>1200.0899999999999</v>
      </c>
      <c r="AG855" t="s">
        <v>184</v>
      </c>
      <c r="AH855">
        <v>0</v>
      </c>
      <c r="AK855">
        <v>0</v>
      </c>
      <c r="AL855">
        <v>65447</v>
      </c>
      <c r="AM855">
        <v>14280</v>
      </c>
      <c r="AN855">
        <v>51167</v>
      </c>
      <c r="AO855">
        <v>1067</v>
      </c>
      <c r="AP855">
        <v>2016</v>
      </c>
      <c r="AQ855">
        <v>1.83</v>
      </c>
      <c r="AS855" t="s">
        <v>11734</v>
      </c>
      <c r="AT855" t="s">
        <v>3747</v>
      </c>
      <c r="AU855" t="s">
        <v>177</v>
      </c>
      <c r="AV855" t="s">
        <v>1030</v>
      </c>
      <c r="AW855" t="s">
        <v>182</v>
      </c>
      <c r="AX855">
        <v>1</v>
      </c>
      <c r="AY855" t="s">
        <v>188</v>
      </c>
      <c r="AZ855" t="s">
        <v>206</v>
      </c>
      <c r="BA855" t="s">
        <v>355</v>
      </c>
      <c r="BB855" t="s">
        <v>191</v>
      </c>
      <c r="BC855" t="s">
        <v>182</v>
      </c>
      <c r="BD855" t="s">
        <v>182</v>
      </c>
      <c r="BE855" t="s">
        <v>11735</v>
      </c>
      <c r="BF855">
        <v>1</v>
      </c>
      <c r="BG855">
        <v>1</v>
      </c>
      <c r="BH855">
        <v>1958</v>
      </c>
      <c r="BI855" t="s">
        <v>11736</v>
      </c>
      <c r="BJ855" t="s">
        <v>194</v>
      </c>
      <c r="BK855" t="s">
        <v>195</v>
      </c>
      <c r="BL855" t="s">
        <v>199</v>
      </c>
      <c r="BM855" t="s">
        <v>679</v>
      </c>
      <c r="BN855" t="s">
        <v>182</v>
      </c>
      <c r="BO855" t="s">
        <v>198</v>
      </c>
      <c r="BP855" t="s">
        <v>198</v>
      </c>
      <c r="BQ855" t="s">
        <v>198</v>
      </c>
      <c r="BR855" t="s">
        <v>198</v>
      </c>
      <c r="BS855" t="s">
        <v>198</v>
      </c>
      <c r="BT855" t="s">
        <v>198</v>
      </c>
      <c r="BU855" t="s">
        <v>182</v>
      </c>
      <c r="BV855" t="s">
        <v>198</v>
      </c>
      <c r="BW855" t="s">
        <v>198</v>
      </c>
      <c r="BX855" t="s">
        <v>199</v>
      </c>
      <c r="BY855" t="s">
        <v>198</v>
      </c>
      <c r="BZ855" t="s">
        <v>199</v>
      </c>
      <c r="CA855" t="s">
        <v>199</v>
      </c>
      <c r="CB855" t="s">
        <v>11737</v>
      </c>
      <c r="CC855" t="s">
        <v>201</v>
      </c>
      <c r="CD855" t="s">
        <v>182</v>
      </c>
      <c r="CE855" t="s">
        <v>11738</v>
      </c>
      <c r="CF855" t="s">
        <v>11739</v>
      </c>
      <c r="CG855" t="s">
        <v>1602</v>
      </c>
      <c r="CH855" t="s">
        <v>11740</v>
      </c>
      <c r="CI855" t="s">
        <v>11741</v>
      </c>
      <c r="CS855" t="s">
        <v>198</v>
      </c>
      <c r="DC855" t="s">
        <v>198</v>
      </c>
      <c r="DM855" t="s">
        <v>198</v>
      </c>
      <c r="DW855" t="s">
        <v>198</v>
      </c>
      <c r="EG855" t="s">
        <v>198</v>
      </c>
      <c r="EQ855" t="s">
        <v>198</v>
      </c>
      <c r="FA855" t="s">
        <v>198</v>
      </c>
      <c r="FK855" t="s">
        <v>198</v>
      </c>
      <c r="FU855" t="s">
        <v>198</v>
      </c>
    </row>
    <row r="856" spans="1:177">
      <c r="A856" s="1" t="str">
        <f>HYPERLINK("http://digipan.lumentumllc.com/apps/getLink/index.php?t=PropLink&amp;p=6886769","PL")</f>
        <v>PL</v>
      </c>
      <c r="B856" s="1" t="str">
        <f>HYPERLINK("http://digipan.lumentumllc.com/apps/getLink/index.php?t=TaxLink&amp;p=6886769","TL")</f>
        <v>TL</v>
      </c>
      <c r="C856" s="1" t="str">
        <f>HYPERLINK("http://digipan.lumentumllc.com/apps/getMap/index.php?p=6886769","Map")</f>
        <v>Map</v>
      </c>
      <c r="E856" t="s">
        <v>177</v>
      </c>
      <c r="F856" t="s">
        <v>178</v>
      </c>
      <c r="L856" t="s">
        <v>11742</v>
      </c>
      <c r="N856" t="s">
        <v>11742</v>
      </c>
      <c r="O856" t="s">
        <v>11742</v>
      </c>
      <c r="P856" t="s">
        <v>11743</v>
      </c>
      <c r="Q856" t="s">
        <v>11742</v>
      </c>
      <c r="V856">
        <v>993</v>
      </c>
      <c r="W856">
        <v>4</v>
      </c>
      <c r="X856">
        <v>2017</v>
      </c>
      <c r="Y856">
        <v>2018</v>
      </c>
      <c r="Z856">
        <v>1049.5</v>
      </c>
      <c r="AB856" t="s">
        <v>181</v>
      </c>
      <c r="AC856" t="s">
        <v>182</v>
      </c>
      <c r="AD856" t="s">
        <v>183</v>
      </c>
      <c r="AE856">
        <v>1</v>
      </c>
      <c r="AF856">
        <v>2</v>
      </c>
      <c r="AG856" t="s">
        <v>363</v>
      </c>
      <c r="AH856">
        <v>67</v>
      </c>
      <c r="AI856">
        <v>1033.58</v>
      </c>
      <c r="AJ856">
        <v>51.68</v>
      </c>
      <c r="AK856">
        <v>1085.26</v>
      </c>
      <c r="AL856">
        <v>57009</v>
      </c>
      <c r="AM856">
        <v>16975</v>
      </c>
      <c r="AN856">
        <v>40034</v>
      </c>
      <c r="AO856">
        <v>931</v>
      </c>
      <c r="AP856">
        <v>2016</v>
      </c>
      <c r="AQ856">
        <v>1.84</v>
      </c>
      <c r="AR856">
        <v>1.9</v>
      </c>
      <c r="AS856" t="s">
        <v>11744</v>
      </c>
      <c r="AT856" t="s">
        <v>3747</v>
      </c>
      <c r="AU856" t="s">
        <v>177</v>
      </c>
      <c r="AV856" t="s">
        <v>1030</v>
      </c>
      <c r="AW856" t="s">
        <v>182</v>
      </c>
      <c r="AX856">
        <v>1</v>
      </c>
      <c r="AY856" t="s">
        <v>188</v>
      </c>
      <c r="AZ856" t="s">
        <v>206</v>
      </c>
      <c r="BA856" t="s">
        <v>355</v>
      </c>
      <c r="BB856" t="s">
        <v>191</v>
      </c>
      <c r="BC856" t="s">
        <v>182</v>
      </c>
      <c r="BD856" t="s">
        <v>182</v>
      </c>
      <c r="BE856" t="s">
        <v>3956</v>
      </c>
      <c r="BF856">
        <v>1</v>
      </c>
      <c r="BG856">
        <v>1</v>
      </c>
      <c r="BH856">
        <v>1958</v>
      </c>
      <c r="BI856" t="s">
        <v>11745</v>
      </c>
      <c r="BJ856" t="s">
        <v>194</v>
      </c>
      <c r="BK856" t="s">
        <v>195</v>
      </c>
      <c r="BL856" t="s">
        <v>199</v>
      </c>
      <c r="BM856" t="s">
        <v>273</v>
      </c>
      <c r="BN856" t="s">
        <v>182</v>
      </c>
      <c r="BO856" t="s">
        <v>198</v>
      </c>
      <c r="BP856" t="s">
        <v>198</v>
      </c>
      <c r="BQ856" t="s">
        <v>198</v>
      </c>
      <c r="BR856" t="s">
        <v>198</v>
      </c>
      <c r="BS856" t="s">
        <v>198</v>
      </c>
      <c r="BT856" t="s">
        <v>198</v>
      </c>
      <c r="BU856" t="s">
        <v>182</v>
      </c>
      <c r="BV856" t="s">
        <v>198</v>
      </c>
      <c r="BW856" t="s">
        <v>198</v>
      </c>
      <c r="BX856" t="s">
        <v>199</v>
      </c>
      <c r="BY856" t="s">
        <v>198</v>
      </c>
      <c r="BZ856" t="s">
        <v>199</v>
      </c>
      <c r="CA856" t="s">
        <v>199</v>
      </c>
      <c r="CB856" t="s">
        <v>11746</v>
      </c>
      <c r="CC856" t="s">
        <v>201</v>
      </c>
      <c r="CD856" t="s">
        <v>202</v>
      </c>
      <c r="CE856" t="s">
        <v>11716</v>
      </c>
      <c r="CF856" t="s">
        <v>1029</v>
      </c>
      <c r="CG856" t="s">
        <v>177</v>
      </c>
      <c r="CH856" t="s">
        <v>1030</v>
      </c>
      <c r="CI856" t="s">
        <v>11747</v>
      </c>
      <c r="CJ856" t="s">
        <v>5889</v>
      </c>
      <c r="CK856" t="s">
        <v>232</v>
      </c>
      <c r="CL856" t="s">
        <v>233</v>
      </c>
      <c r="CM856" t="s">
        <v>11748</v>
      </c>
      <c r="CN856" t="s">
        <v>235</v>
      </c>
      <c r="CO856" t="s">
        <v>183</v>
      </c>
      <c r="CP856" t="s">
        <v>266</v>
      </c>
      <c r="CS856" t="s">
        <v>198</v>
      </c>
      <c r="CT856" t="s">
        <v>8868</v>
      </c>
      <c r="CU856" t="s">
        <v>292</v>
      </c>
      <c r="CV856" t="s">
        <v>293</v>
      </c>
      <c r="CW856" t="s">
        <v>11749</v>
      </c>
      <c r="CX856" t="s">
        <v>235</v>
      </c>
      <c r="CY856" t="s">
        <v>183</v>
      </c>
      <c r="CZ856" t="s">
        <v>211</v>
      </c>
      <c r="DA856" t="s">
        <v>212</v>
      </c>
      <c r="DC856" t="s">
        <v>5482</v>
      </c>
      <c r="DD856" t="s">
        <v>8381</v>
      </c>
      <c r="DE856" t="s">
        <v>267</v>
      </c>
      <c r="DF856" t="s">
        <v>268</v>
      </c>
      <c r="DG856" t="s">
        <v>11750</v>
      </c>
      <c r="DH856" t="s">
        <v>235</v>
      </c>
      <c r="DI856" t="s">
        <v>183</v>
      </c>
      <c r="DJ856" t="s">
        <v>211</v>
      </c>
      <c r="DK856" t="s">
        <v>342</v>
      </c>
      <c r="DM856" t="s">
        <v>4483</v>
      </c>
      <c r="DW856" t="s">
        <v>198</v>
      </c>
      <c r="EG856" t="s">
        <v>198</v>
      </c>
      <c r="EQ856" t="s">
        <v>198</v>
      </c>
      <c r="FA856" t="s">
        <v>198</v>
      </c>
      <c r="FK856" t="s">
        <v>198</v>
      </c>
      <c r="FU856" t="s">
        <v>198</v>
      </c>
    </row>
    <row r="857" spans="1:177">
      <c r="A857" s="1" t="str">
        <f>HYPERLINK("http://digipan.lumentumllc.com/apps/getLink/index.php?t=PropLink&amp;p=5246816","PL")</f>
        <v>PL</v>
      </c>
      <c r="B857" s="1" t="str">
        <f>HYPERLINK("http://digipan.lumentumllc.com/apps/getLink/index.php?t=TaxLink&amp;p=5246816","TL")</f>
        <v>TL</v>
      </c>
      <c r="C857" s="1" t="str">
        <f>HYPERLINK("http://digipan.lumentumllc.com/apps/getMap/index.php?p=5246816","Map")</f>
        <v>Map</v>
      </c>
      <c r="E857" t="s">
        <v>177</v>
      </c>
      <c r="F857" t="s">
        <v>178</v>
      </c>
      <c r="L857" t="s">
        <v>11751</v>
      </c>
      <c r="N857" t="s">
        <v>11751</v>
      </c>
      <c r="O857" t="s">
        <v>11751</v>
      </c>
      <c r="P857" t="s">
        <v>11752</v>
      </c>
      <c r="Q857" t="s">
        <v>11751</v>
      </c>
      <c r="V857">
        <v>995</v>
      </c>
      <c r="W857">
        <v>4</v>
      </c>
      <c r="X857">
        <v>2017</v>
      </c>
      <c r="Y857">
        <v>2018</v>
      </c>
      <c r="Z857">
        <v>2453.0300000000002</v>
      </c>
      <c r="AB857" t="s">
        <v>181</v>
      </c>
      <c r="AC857" t="s">
        <v>202</v>
      </c>
      <c r="AD857" t="s">
        <v>183</v>
      </c>
      <c r="AE857">
        <v>1</v>
      </c>
      <c r="AF857">
        <v>7</v>
      </c>
      <c r="AG857" t="s">
        <v>418</v>
      </c>
      <c r="AH857">
        <v>86</v>
      </c>
      <c r="AI857">
        <v>2432.98</v>
      </c>
      <c r="AJ857">
        <v>121.65</v>
      </c>
      <c r="AK857">
        <v>2554.63</v>
      </c>
      <c r="AL857">
        <v>228003</v>
      </c>
      <c r="AM857">
        <v>35490</v>
      </c>
      <c r="AN857">
        <v>192513</v>
      </c>
      <c r="AO857">
        <v>2225</v>
      </c>
      <c r="AP857">
        <v>2016</v>
      </c>
      <c r="AQ857">
        <v>1.08</v>
      </c>
      <c r="AR857">
        <v>1.1200000000000001</v>
      </c>
      <c r="AS857" t="s">
        <v>11753</v>
      </c>
      <c r="AT857" t="s">
        <v>3747</v>
      </c>
      <c r="AU857" t="s">
        <v>177</v>
      </c>
      <c r="AV857" t="s">
        <v>1030</v>
      </c>
      <c r="AW857" t="s">
        <v>202</v>
      </c>
      <c r="AX857">
        <v>1</v>
      </c>
      <c r="AY857" t="s">
        <v>188</v>
      </c>
      <c r="AZ857" t="s">
        <v>206</v>
      </c>
      <c r="BA857" t="s">
        <v>355</v>
      </c>
      <c r="BB857" t="s">
        <v>191</v>
      </c>
      <c r="BC857" t="s">
        <v>182</v>
      </c>
      <c r="BD857" t="s">
        <v>182</v>
      </c>
      <c r="BE857" t="s">
        <v>7278</v>
      </c>
      <c r="BF857">
        <v>1</v>
      </c>
      <c r="BG857">
        <v>1</v>
      </c>
      <c r="BH857">
        <v>1986</v>
      </c>
      <c r="BI857" t="s">
        <v>11754</v>
      </c>
      <c r="BJ857" t="s">
        <v>315</v>
      </c>
      <c r="BK857" t="s">
        <v>195</v>
      </c>
      <c r="BL857" t="s">
        <v>4647</v>
      </c>
      <c r="BM857" t="s">
        <v>4724</v>
      </c>
      <c r="BN857" t="s">
        <v>182</v>
      </c>
      <c r="BO857" t="s">
        <v>1668</v>
      </c>
      <c r="BP857" t="s">
        <v>956</v>
      </c>
      <c r="BR857" t="s">
        <v>1461</v>
      </c>
      <c r="BS857" t="s">
        <v>11755</v>
      </c>
      <c r="BT857" t="s">
        <v>198</v>
      </c>
      <c r="BU857" t="s">
        <v>182</v>
      </c>
      <c r="BV857" t="s">
        <v>198</v>
      </c>
      <c r="BW857" t="s">
        <v>198</v>
      </c>
      <c r="BX857" t="s">
        <v>199</v>
      </c>
      <c r="BY857" t="s">
        <v>198</v>
      </c>
      <c r="BZ857" t="s">
        <v>199</v>
      </c>
      <c r="CA857" t="s">
        <v>199</v>
      </c>
      <c r="CB857" t="s">
        <v>11756</v>
      </c>
      <c r="CC857" t="s">
        <v>201</v>
      </c>
      <c r="CD857" t="s">
        <v>182</v>
      </c>
      <c r="CE857" t="s">
        <v>11757</v>
      </c>
      <c r="CF857" t="s">
        <v>1029</v>
      </c>
      <c r="CG857" t="s">
        <v>177</v>
      </c>
      <c r="CH857" t="s">
        <v>1030</v>
      </c>
      <c r="CI857" t="s">
        <v>11758</v>
      </c>
      <c r="CJ857" t="s">
        <v>10821</v>
      </c>
      <c r="CK857" t="s">
        <v>232</v>
      </c>
      <c r="CL857" t="s">
        <v>233</v>
      </c>
      <c r="CM857" t="s">
        <v>11759</v>
      </c>
      <c r="CN857" t="s">
        <v>235</v>
      </c>
      <c r="CO857" t="s">
        <v>183</v>
      </c>
      <c r="CP857" t="s">
        <v>266</v>
      </c>
      <c r="CS857" t="s">
        <v>198</v>
      </c>
      <c r="CT857" t="s">
        <v>8272</v>
      </c>
      <c r="CU857" t="s">
        <v>292</v>
      </c>
      <c r="CV857" t="s">
        <v>293</v>
      </c>
      <c r="CW857" t="s">
        <v>11760</v>
      </c>
      <c r="CX857" t="s">
        <v>235</v>
      </c>
      <c r="CY857" t="s">
        <v>183</v>
      </c>
      <c r="CZ857" t="s">
        <v>211</v>
      </c>
      <c r="DA857" t="s">
        <v>298</v>
      </c>
      <c r="DC857" t="s">
        <v>1066</v>
      </c>
      <c r="DD857" t="s">
        <v>8398</v>
      </c>
      <c r="DE857" t="s">
        <v>267</v>
      </c>
      <c r="DF857" t="s">
        <v>268</v>
      </c>
      <c r="DG857" t="s">
        <v>11761</v>
      </c>
      <c r="DH857" t="s">
        <v>235</v>
      </c>
      <c r="DI857" t="s">
        <v>183</v>
      </c>
      <c r="DJ857" t="s">
        <v>211</v>
      </c>
      <c r="DK857" t="s">
        <v>189</v>
      </c>
      <c r="DM857" t="s">
        <v>11762</v>
      </c>
      <c r="DN857" t="s">
        <v>11763</v>
      </c>
      <c r="DO857" t="s">
        <v>273</v>
      </c>
      <c r="DP857" t="s">
        <v>274</v>
      </c>
      <c r="DQ857" t="s">
        <v>11764</v>
      </c>
      <c r="DR857" t="s">
        <v>235</v>
      </c>
      <c r="DS857" t="s">
        <v>183</v>
      </c>
      <c r="DT857" t="s">
        <v>211</v>
      </c>
      <c r="DU857" t="s">
        <v>306</v>
      </c>
      <c r="DW857" t="s">
        <v>11657</v>
      </c>
      <c r="DX857" t="s">
        <v>11765</v>
      </c>
      <c r="DY857" t="s">
        <v>302</v>
      </c>
      <c r="DZ857" t="s">
        <v>303</v>
      </c>
      <c r="EA857" t="s">
        <v>11766</v>
      </c>
      <c r="EB857" t="s">
        <v>235</v>
      </c>
      <c r="EC857" t="s">
        <v>183</v>
      </c>
      <c r="ED857" t="s">
        <v>211</v>
      </c>
      <c r="EE857" t="s">
        <v>298</v>
      </c>
      <c r="EG857" t="s">
        <v>437</v>
      </c>
      <c r="EH857" t="s">
        <v>11767</v>
      </c>
      <c r="EI857" t="s">
        <v>238</v>
      </c>
      <c r="EJ857" t="s">
        <v>239</v>
      </c>
      <c r="EK857" t="s">
        <v>11768</v>
      </c>
      <c r="EL857" t="s">
        <v>235</v>
      </c>
      <c r="EM857" t="s">
        <v>183</v>
      </c>
      <c r="EN857" t="s">
        <v>211</v>
      </c>
      <c r="EO857" t="s">
        <v>298</v>
      </c>
      <c r="EQ857" t="s">
        <v>1133</v>
      </c>
      <c r="ER857" t="s">
        <v>465</v>
      </c>
      <c r="ES857" t="s">
        <v>346</v>
      </c>
      <c r="ET857" t="s">
        <v>347</v>
      </c>
      <c r="EU857" t="s">
        <v>11769</v>
      </c>
      <c r="EV857" t="s">
        <v>235</v>
      </c>
      <c r="EW857" t="s">
        <v>183</v>
      </c>
      <c r="EX857" t="s">
        <v>211</v>
      </c>
      <c r="EY857" t="s">
        <v>189</v>
      </c>
      <c r="EZ857" t="s">
        <v>271</v>
      </c>
      <c r="FA857" t="s">
        <v>4358</v>
      </c>
      <c r="FB857" t="s">
        <v>5114</v>
      </c>
      <c r="FC857" t="s">
        <v>207</v>
      </c>
      <c r="FD857" t="s">
        <v>208</v>
      </c>
      <c r="FE857" t="s">
        <v>11770</v>
      </c>
      <c r="FF857" t="s">
        <v>235</v>
      </c>
      <c r="FG857" t="s">
        <v>183</v>
      </c>
      <c r="FH857" t="s">
        <v>211</v>
      </c>
      <c r="FI857" t="s">
        <v>460</v>
      </c>
      <c r="FJ857" t="s">
        <v>271</v>
      </c>
      <c r="FK857" t="s">
        <v>4358</v>
      </c>
      <c r="FU857" t="s">
        <v>198</v>
      </c>
    </row>
    <row r="858" spans="1:177">
      <c r="A858" s="1" t="str">
        <f>HYPERLINK("http://digipan.lumentumllc.com/apps/getLink/index.php?t=PropLink&amp;p=5246817","PL")</f>
        <v>PL</v>
      </c>
      <c r="B858" s="1" t="str">
        <f>HYPERLINK("http://digipan.lumentumllc.com/apps/getLink/index.php?t=TaxLink&amp;p=5246817","TL")</f>
        <v>TL</v>
      </c>
      <c r="C858" s="1" t="str">
        <f>HYPERLINK("http://digipan.lumentumllc.com/apps/getMap/index.php?p=5246817","Map")</f>
        <v>Map</v>
      </c>
      <c r="E858" t="s">
        <v>177</v>
      </c>
      <c r="F858" t="s">
        <v>178</v>
      </c>
      <c r="L858" t="s">
        <v>11771</v>
      </c>
      <c r="N858" t="s">
        <v>11771</v>
      </c>
      <c r="O858" t="s">
        <v>11771</v>
      </c>
      <c r="P858" t="s">
        <v>11772</v>
      </c>
      <c r="Q858" t="s">
        <v>11771</v>
      </c>
      <c r="V858">
        <v>996</v>
      </c>
      <c r="W858">
        <v>4</v>
      </c>
      <c r="X858">
        <v>2017</v>
      </c>
      <c r="Y858">
        <v>2018</v>
      </c>
      <c r="Z858">
        <v>1714.31</v>
      </c>
      <c r="AB858" t="s">
        <v>181</v>
      </c>
      <c r="AC858" t="s">
        <v>202</v>
      </c>
      <c r="AD858" t="s">
        <v>183</v>
      </c>
      <c r="AE858">
        <v>1</v>
      </c>
      <c r="AF858">
        <v>5</v>
      </c>
      <c r="AG858" t="s">
        <v>951</v>
      </c>
      <c r="AH858">
        <v>80</v>
      </c>
      <c r="AI858">
        <v>1717.74</v>
      </c>
      <c r="AJ858">
        <v>85.89</v>
      </c>
      <c r="AK858">
        <v>1803.63</v>
      </c>
      <c r="AL858">
        <v>94256</v>
      </c>
      <c r="AM858">
        <v>60840</v>
      </c>
      <c r="AN858">
        <v>33416</v>
      </c>
      <c r="AO858">
        <v>1563</v>
      </c>
      <c r="AP858">
        <v>2016</v>
      </c>
      <c r="AQ858">
        <v>1.82</v>
      </c>
      <c r="AR858">
        <v>1.91</v>
      </c>
      <c r="AS858" t="s">
        <v>11773</v>
      </c>
      <c r="AT858" t="s">
        <v>3747</v>
      </c>
      <c r="AU858" t="s">
        <v>177</v>
      </c>
      <c r="AV858" t="s">
        <v>1030</v>
      </c>
      <c r="AW858" t="s">
        <v>182</v>
      </c>
      <c r="AX858">
        <v>1</v>
      </c>
      <c r="AY858" t="s">
        <v>188</v>
      </c>
      <c r="AZ858" t="s">
        <v>206</v>
      </c>
      <c r="BA858" t="s">
        <v>355</v>
      </c>
      <c r="BB858" t="s">
        <v>191</v>
      </c>
      <c r="BC858" t="s">
        <v>182</v>
      </c>
      <c r="BD858" t="s">
        <v>182</v>
      </c>
      <c r="BE858" t="s">
        <v>11774</v>
      </c>
      <c r="BF858">
        <v>1</v>
      </c>
      <c r="BG858">
        <v>1</v>
      </c>
      <c r="BH858">
        <v>1959</v>
      </c>
      <c r="BI858" t="s">
        <v>9240</v>
      </c>
      <c r="BJ858" t="s">
        <v>194</v>
      </c>
      <c r="BK858" t="s">
        <v>195</v>
      </c>
      <c r="BL858" t="s">
        <v>7226</v>
      </c>
      <c r="BM858" t="s">
        <v>930</v>
      </c>
      <c r="BN858" t="s">
        <v>182</v>
      </c>
      <c r="BO858" t="s">
        <v>198</v>
      </c>
      <c r="BP858" t="s">
        <v>198</v>
      </c>
      <c r="BQ858" t="s">
        <v>198</v>
      </c>
      <c r="BR858" t="s">
        <v>198</v>
      </c>
      <c r="BS858" t="s">
        <v>198</v>
      </c>
      <c r="BT858" t="s">
        <v>198</v>
      </c>
      <c r="BU858" t="s">
        <v>182</v>
      </c>
      <c r="BV858" t="s">
        <v>198</v>
      </c>
      <c r="BW858" t="s">
        <v>198</v>
      </c>
      <c r="BX858" t="s">
        <v>199</v>
      </c>
      <c r="BY858" t="s">
        <v>198</v>
      </c>
      <c r="BZ858" t="s">
        <v>199</v>
      </c>
      <c r="CA858" t="s">
        <v>199</v>
      </c>
      <c r="CB858" t="s">
        <v>8103</v>
      </c>
      <c r="CC858" t="s">
        <v>201</v>
      </c>
      <c r="CD858" t="s">
        <v>202</v>
      </c>
      <c r="CE858" t="s">
        <v>8104</v>
      </c>
      <c r="CF858" t="s">
        <v>1029</v>
      </c>
      <c r="CG858" t="s">
        <v>177</v>
      </c>
      <c r="CH858" t="s">
        <v>1030</v>
      </c>
      <c r="CI858" t="s">
        <v>11775</v>
      </c>
      <c r="CJ858" t="s">
        <v>7905</v>
      </c>
      <c r="CK858" t="s">
        <v>232</v>
      </c>
      <c r="CL858" t="s">
        <v>233</v>
      </c>
      <c r="CM858" t="s">
        <v>11776</v>
      </c>
      <c r="CN858" t="s">
        <v>235</v>
      </c>
      <c r="CO858" t="s">
        <v>183</v>
      </c>
      <c r="CP858" t="s">
        <v>266</v>
      </c>
      <c r="CS858" t="s">
        <v>198</v>
      </c>
      <c r="CT858" t="s">
        <v>8785</v>
      </c>
      <c r="CU858" t="s">
        <v>273</v>
      </c>
      <c r="CV858" t="s">
        <v>274</v>
      </c>
      <c r="CW858" t="s">
        <v>11777</v>
      </c>
      <c r="CX858" t="s">
        <v>235</v>
      </c>
      <c r="CY858" t="s">
        <v>183</v>
      </c>
      <c r="CZ858" t="s">
        <v>211</v>
      </c>
      <c r="DB858" t="s">
        <v>271</v>
      </c>
      <c r="DC858" t="s">
        <v>198</v>
      </c>
      <c r="DD858" t="s">
        <v>9372</v>
      </c>
      <c r="DE858" t="s">
        <v>302</v>
      </c>
      <c r="DF858" t="s">
        <v>303</v>
      </c>
      <c r="DG858" t="s">
        <v>11778</v>
      </c>
      <c r="DH858" t="s">
        <v>235</v>
      </c>
      <c r="DI858" t="s">
        <v>183</v>
      </c>
      <c r="DJ858" t="s">
        <v>211</v>
      </c>
      <c r="DL858" t="s">
        <v>271</v>
      </c>
      <c r="DM858" t="s">
        <v>198</v>
      </c>
      <c r="DN858" t="s">
        <v>11779</v>
      </c>
      <c r="DO858" t="s">
        <v>238</v>
      </c>
      <c r="DP858" t="s">
        <v>239</v>
      </c>
      <c r="DQ858" t="s">
        <v>11780</v>
      </c>
      <c r="DR858" t="s">
        <v>511</v>
      </c>
      <c r="DS858" t="s">
        <v>183</v>
      </c>
      <c r="DT858" t="s">
        <v>211</v>
      </c>
      <c r="DU858" t="s">
        <v>337</v>
      </c>
      <c r="DW858" t="s">
        <v>2971</v>
      </c>
      <c r="DX858" t="s">
        <v>490</v>
      </c>
      <c r="DY858" t="s">
        <v>346</v>
      </c>
      <c r="DZ858" t="s">
        <v>347</v>
      </c>
      <c r="EA858" t="s">
        <v>11781</v>
      </c>
      <c r="EB858" t="s">
        <v>1491</v>
      </c>
      <c r="EC858" t="s">
        <v>183</v>
      </c>
      <c r="ED858" t="s">
        <v>211</v>
      </c>
      <c r="EE858" t="s">
        <v>633</v>
      </c>
      <c r="EG858" t="s">
        <v>5257</v>
      </c>
      <c r="EH858" t="s">
        <v>11782</v>
      </c>
      <c r="EI858" t="s">
        <v>207</v>
      </c>
      <c r="EJ858" t="s">
        <v>208</v>
      </c>
      <c r="EK858" t="s">
        <v>11783</v>
      </c>
      <c r="EL858" t="s">
        <v>235</v>
      </c>
      <c r="EM858" t="s">
        <v>183</v>
      </c>
      <c r="EN858" t="s">
        <v>211</v>
      </c>
      <c r="EO858" t="s">
        <v>525</v>
      </c>
      <c r="EQ858" t="s">
        <v>8707</v>
      </c>
      <c r="FA858" t="s">
        <v>198</v>
      </c>
      <c r="FK858" t="s">
        <v>198</v>
      </c>
      <c r="FU858" t="s">
        <v>198</v>
      </c>
    </row>
    <row r="859" spans="1:177">
      <c r="A859" s="1" t="str">
        <f>HYPERLINK("http://digipan.lumentumllc.com/apps/getLink/index.php?t=PropLink&amp;p=5246818","PL")</f>
        <v>PL</v>
      </c>
      <c r="B859" s="1" t="str">
        <f>HYPERLINK("http://digipan.lumentumllc.com/apps/getLink/index.php?t=TaxLink&amp;p=5246818","TL")</f>
        <v>TL</v>
      </c>
      <c r="C859" s="1" t="str">
        <f>HYPERLINK("http://digipan.lumentumllc.com/apps/getMap/index.php?p=5246818","Map")</f>
        <v>Map</v>
      </c>
      <c r="E859" t="s">
        <v>177</v>
      </c>
      <c r="F859" t="s">
        <v>178</v>
      </c>
      <c r="L859" t="s">
        <v>11784</v>
      </c>
      <c r="N859" t="s">
        <v>11784</v>
      </c>
      <c r="O859" t="s">
        <v>11784</v>
      </c>
      <c r="P859" t="s">
        <v>11785</v>
      </c>
      <c r="Q859" t="s">
        <v>11784</v>
      </c>
      <c r="V859">
        <v>997</v>
      </c>
      <c r="W859">
        <v>4</v>
      </c>
      <c r="X859">
        <v>2017</v>
      </c>
      <c r="Y859">
        <v>2018</v>
      </c>
      <c r="Z859">
        <v>2217.54</v>
      </c>
      <c r="AB859" t="s">
        <v>181</v>
      </c>
      <c r="AC859" t="s">
        <v>202</v>
      </c>
      <c r="AD859" t="s">
        <v>183</v>
      </c>
      <c r="AE859">
        <v>0</v>
      </c>
      <c r="AF859">
        <v>5</v>
      </c>
      <c r="AG859" t="s">
        <v>3266</v>
      </c>
      <c r="AH859">
        <v>100</v>
      </c>
      <c r="AK859">
        <v>0</v>
      </c>
      <c r="AL859">
        <v>122451</v>
      </c>
      <c r="AM859">
        <v>60840</v>
      </c>
      <c r="AN859">
        <v>61611</v>
      </c>
      <c r="AO859">
        <v>2020</v>
      </c>
      <c r="AP859">
        <v>2016</v>
      </c>
      <c r="AQ859">
        <v>1.81</v>
      </c>
      <c r="AS859" t="s">
        <v>11786</v>
      </c>
      <c r="AT859" t="s">
        <v>3747</v>
      </c>
      <c r="AU859" t="s">
        <v>177</v>
      </c>
      <c r="AV859" t="s">
        <v>1030</v>
      </c>
      <c r="AW859" t="s">
        <v>182</v>
      </c>
      <c r="AX859">
        <v>28</v>
      </c>
      <c r="AY859" t="s">
        <v>3641</v>
      </c>
      <c r="AZ859" t="s">
        <v>635</v>
      </c>
      <c r="BA859" t="s">
        <v>6374</v>
      </c>
      <c r="BB859" t="s">
        <v>191</v>
      </c>
      <c r="BC859" t="s">
        <v>182</v>
      </c>
      <c r="BD859" t="s">
        <v>182</v>
      </c>
      <c r="BE859" t="s">
        <v>11774</v>
      </c>
      <c r="BF859">
        <v>1</v>
      </c>
      <c r="BG859">
        <v>1</v>
      </c>
      <c r="BH859">
        <v>1923</v>
      </c>
      <c r="BI859" t="s">
        <v>10953</v>
      </c>
      <c r="BJ859" t="s">
        <v>194</v>
      </c>
      <c r="BK859" t="s">
        <v>195</v>
      </c>
      <c r="BL859" t="s">
        <v>199</v>
      </c>
      <c r="BM859" t="s">
        <v>358</v>
      </c>
      <c r="BN859" t="s">
        <v>182</v>
      </c>
      <c r="BO859" t="s">
        <v>198</v>
      </c>
      <c r="BP859" t="s">
        <v>198</v>
      </c>
      <c r="BQ859" t="s">
        <v>198</v>
      </c>
      <c r="BR859" t="s">
        <v>198</v>
      </c>
      <c r="BS859" t="s">
        <v>198</v>
      </c>
      <c r="BT859" t="s">
        <v>198</v>
      </c>
      <c r="BU859" t="s">
        <v>182</v>
      </c>
      <c r="BV859" t="s">
        <v>198</v>
      </c>
      <c r="BW859" t="s">
        <v>198</v>
      </c>
      <c r="BX859" t="s">
        <v>199</v>
      </c>
      <c r="BY859" t="s">
        <v>198</v>
      </c>
      <c r="BZ859" t="s">
        <v>199</v>
      </c>
      <c r="CA859" t="s">
        <v>199</v>
      </c>
      <c r="CB859" t="s">
        <v>8103</v>
      </c>
      <c r="CC859" t="s">
        <v>201</v>
      </c>
      <c r="CD859" t="s">
        <v>202</v>
      </c>
      <c r="CE859" t="s">
        <v>8104</v>
      </c>
      <c r="CF859" t="s">
        <v>1029</v>
      </c>
      <c r="CG859" t="s">
        <v>177</v>
      </c>
      <c r="CH859" t="s">
        <v>1030</v>
      </c>
      <c r="CI859" t="s">
        <v>11787</v>
      </c>
      <c r="CJ859" t="s">
        <v>8419</v>
      </c>
      <c r="CK859" t="s">
        <v>267</v>
      </c>
      <c r="CL859" t="s">
        <v>268</v>
      </c>
      <c r="CM859" t="s">
        <v>11788</v>
      </c>
      <c r="CN859" t="s">
        <v>235</v>
      </c>
      <c r="CO859" t="s">
        <v>183</v>
      </c>
      <c r="CP859" t="s">
        <v>211</v>
      </c>
      <c r="CR859" t="s">
        <v>271</v>
      </c>
      <c r="CS859" t="s">
        <v>198</v>
      </c>
      <c r="CT859" t="s">
        <v>7935</v>
      </c>
      <c r="CU859" t="s">
        <v>273</v>
      </c>
      <c r="CV859" t="s">
        <v>274</v>
      </c>
      <c r="CW859" t="s">
        <v>11789</v>
      </c>
      <c r="CX859" t="s">
        <v>235</v>
      </c>
      <c r="CY859" t="s">
        <v>183</v>
      </c>
      <c r="CZ859" t="s">
        <v>211</v>
      </c>
      <c r="DA859" t="s">
        <v>298</v>
      </c>
      <c r="DC859" t="s">
        <v>3727</v>
      </c>
      <c r="DD859" t="s">
        <v>9579</v>
      </c>
      <c r="DE859" t="s">
        <v>302</v>
      </c>
      <c r="DF859" t="s">
        <v>303</v>
      </c>
      <c r="DG859" t="s">
        <v>11790</v>
      </c>
      <c r="DH859" t="s">
        <v>235</v>
      </c>
      <c r="DI859" t="s">
        <v>183</v>
      </c>
      <c r="DJ859" t="s">
        <v>211</v>
      </c>
      <c r="DK859" t="s">
        <v>199</v>
      </c>
      <c r="DL859" t="s">
        <v>271</v>
      </c>
      <c r="DM859" t="s">
        <v>5257</v>
      </c>
      <c r="DN859" t="s">
        <v>11791</v>
      </c>
      <c r="DO859" t="s">
        <v>238</v>
      </c>
      <c r="DP859" t="s">
        <v>239</v>
      </c>
      <c r="DQ859" t="s">
        <v>11792</v>
      </c>
      <c r="DR859" t="s">
        <v>331</v>
      </c>
      <c r="DS859" t="s">
        <v>183</v>
      </c>
      <c r="DT859" t="s">
        <v>211</v>
      </c>
      <c r="DU859" t="s">
        <v>427</v>
      </c>
      <c r="DV859" t="s">
        <v>271</v>
      </c>
      <c r="DW859" t="s">
        <v>5257</v>
      </c>
      <c r="DX859" t="s">
        <v>11793</v>
      </c>
      <c r="DY859" t="s">
        <v>346</v>
      </c>
      <c r="DZ859" t="s">
        <v>347</v>
      </c>
      <c r="EA859" t="s">
        <v>11794</v>
      </c>
      <c r="EB859" t="s">
        <v>247</v>
      </c>
      <c r="EC859" t="s">
        <v>183</v>
      </c>
      <c r="ED859" t="s">
        <v>211</v>
      </c>
      <c r="EF859" t="s">
        <v>271</v>
      </c>
      <c r="EG859" t="s">
        <v>198</v>
      </c>
      <c r="EQ859" t="s">
        <v>198</v>
      </c>
      <c r="FA859" t="s">
        <v>198</v>
      </c>
      <c r="FK859" t="s">
        <v>198</v>
      </c>
      <c r="FU859" t="s">
        <v>198</v>
      </c>
    </row>
    <row r="860" spans="1:177">
      <c r="A860" s="1" t="str">
        <f>HYPERLINK("http://digipan.lumentumllc.com/apps/getLink/index.php?t=PropLink&amp;p=6886770","PL")</f>
        <v>PL</v>
      </c>
      <c r="B860" s="1" t="str">
        <f>HYPERLINK("http://digipan.lumentumllc.com/apps/getLink/index.php?t=TaxLink&amp;p=6886770","TL")</f>
        <v>TL</v>
      </c>
      <c r="C860" s="1" t="str">
        <f>HYPERLINK("http://digipan.lumentumllc.com/apps/getMap/index.php?p=6886770","Map")</f>
        <v>Map</v>
      </c>
      <c r="E860" t="s">
        <v>177</v>
      </c>
      <c r="F860" t="s">
        <v>178</v>
      </c>
      <c r="L860" t="s">
        <v>11795</v>
      </c>
      <c r="N860" t="s">
        <v>11795</v>
      </c>
      <c r="O860" t="s">
        <v>11795</v>
      </c>
      <c r="P860" t="s">
        <v>11796</v>
      </c>
      <c r="Q860" t="s">
        <v>11795</v>
      </c>
      <c r="V860">
        <v>998</v>
      </c>
      <c r="W860">
        <v>4</v>
      </c>
      <c r="X860">
        <v>2017</v>
      </c>
      <c r="Y860">
        <v>2018</v>
      </c>
      <c r="Z860">
        <v>2983.32</v>
      </c>
      <c r="AB860" t="s">
        <v>181</v>
      </c>
      <c r="AC860" t="s">
        <v>202</v>
      </c>
      <c r="AD860" t="s">
        <v>183</v>
      </c>
      <c r="AE860">
        <v>0</v>
      </c>
      <c r="AF860">
        <v>3</v>
      </c>
      <c r="AG860" t="s">
        <v>381</v>
      </c>
      <c r="AH860">
        <v>100</v>
      </c>
      <c r="AK860">
        <v>0</v>
      </c>
      <c r="AL860">
        <v>165357</v>
      </c>
      <c r="AM860">
        <v>13475</v>
      </c>
      <c r="AN860">
        <v>151882</v>
      </c>
      <c r="AO860">
        <v>1133</v>
      </c>
      <c r="AP860">
        <v>2016</v>
      </c>
      <c r="AQ860">
        <v>1.8</v>
      </c>
      <c r="AS860" t="s">
        <v>11797</v>
      </c>
      <c r="AT860" t="s">
        <v>3747</v>
      </c>
      <c r="AU860" t="s">
        <v>177</v>
      </c>
      <c r="AV860" t="s">
        <v>1030</v>
      </c>
      <c r="AW860" t="s">
        <v>182</v>
      </c>
      <c r="AX860">
        <v>1</v>
      </c>
      <c r="AY860" t="s">
        <v>188</v>
      </c>
      <c r="AZ860" t="s">
        <v>206</v>
      </c>
      <c r="BA860" t="s">
        <v>355</v>
      </c>
      <c r="BB860" t="s">
        <v>191</v>
      </c>
      <c r="BC860" t="s">
        <v>182</v>
      </c>
      <c r="BD860" t="s">
        <v>182</v>
      </c>
      <c r="BE860" t="s">
        <v>5608</v>
      </c>
      <c r="BF860">
        <v>1</v>
      </c>
      <c r="BG860">
        <v>1</v>
      </c>
      <c r="BH860">
        <v>2006</v>
      </c>
      <c r="BI860" t="s">
        <v>8346</v>
      </c>
      <c r="BJ860" t="s">
        <v>194</v>
      </c>
      <c r="BK860" t="s">
        <v>195</v>
      </c>
      <c r="BL860" t="s">
        <v>11798</v>
      </c>
      <c r="BM860" t="s">
        <v>238</v>
      </c>
      <c r="BN860" t="s">
        <v>182</v>
      </c>
      <c r="BO860" t="s">
        <v>11799</v>
      </c>
      <c r="BP860" t="s">
        <v>11800</v>
      </c>
      <c r="BQ860" t="s">
        <v>1896</v>
      </c>
      <c r="BR860" t="s">
        <v>1300</v>
      </c>
      <c r="BS860" t="s">
        <v>198</v>
      </c>
      <c r="BT860" t="s">
        <v>7436</v>
      </c>
      <c r="BU860" t="s">
        <v>182</v>
      </c>
      <c r="BV860" t="s">
        <v>198</v>
      </c>
      <c r="BW860" t="s">
        <v>198</v>
      </c>
      <c r="BX860" t="s">
        <v>199</v>
      </c>
      <c r="BY860" t="s">
        <v>198</v>
      </c>
      <c r="BZ860" t="s">
        <v>199</v>
      </c>
      <c r="CA860" t="s">
        <v>199</v>
      </c>
      <c r="CB860" t="s">
        <v>11801</v>
      </c>
      <c r="CC860" t="s">
        <v>201</v>
      </c>
      <c r="CD860" t="s">
        <v>182</v>
      </c>
      <c r="CE860" t="s">
        <v>11802</v>
      </c>
      <c r="CF860" t="s">
        <v>1029</v>
      </c>
      <c r="CG860" t="s">
        <v>177</v>
      </c>
      <c r="CH860" t="s">
        <v>1030</v>
      </c>
      <c r="CI860" t="s">
        <v>11803</v>
      </c>
      <c r="CJ860" t="s">
        <v>8175</v>
      </c>
      <c r="CK860" t="s">
        <v>232</v>
      </c>
      <c r="CL860" t="s">
        <v>233</v>
      </c>
      <c r="CM860" t="s">
        <v>11804</v>
      </c>
      <c r="CN860" t="s">
        <v>235</v>
      </c>
      <c r="CO860" t="s">
        <v>183</v>
      </c>
      <c r="CP860" t="s">
        <v>211</v>
      </c>
      <c r="CQ860" t="s">
        <v>206</v>
      </c>
      <c r="CR860" t="s">
        <v>271</v>
      </c>
      <c r="CS860" t="s">
        <v>10327</v>
      </c>
      <c r="CT860" t="s">
        <v>8289</v>
      </c>
      <c r="CU860" t="s">
        <v>292</v>
      </c>
      <c r="CV860" t="s">
        <v>293</v>
      </c>
      <c r="CW860" t="s">
        <v>11805</v>
      </c>
      <c r="CX860" t="s">
        <v>235</v>
      </c>
      <c r="CY860" t="s">
        <v>183</v>
      </c>
      <c r="CZ860" t="s">
        <v>211</v>
      </c>
      <c r="DB860" t="s">
        <v>271</v>
      </c>
      <c r="DC860" t="s">
        <v>198</v>
      </c>
      <c r="DD860" t="s">
        <v>4222</v>
      </c>
      <c r="DE860" t="s">
        <v>267</v>
      </c>
      <c r="DF860" t="s">
        <v>268</v>
      </c>
      <c r="DG860" t="s">
        <v>11806</v>
      </c>
      <c r="DH860" t="s">
        <v>235</v>
      </c>
      <c r="DI860" t="s">
        <v>183</v>
      </c>
      <c r="DJ860" t="s">
        <v>211</v>
      </c>
      <c r="DL860" t="s">
        <v>271</v>
      </c>
      <c r="DM860" t="s">
        <v>198</v>
      </c>
      <c r="DW860" t="s">
        <v>198</v>
      </c>
      <c r="EG860" t="s">
        <v>198</v>
      </c>
      <c r="EQ860" t="s">
        <v>198</v>
      </c>
      <c r="FA860" t="s">
        <v>198</v>
      </c>
      <c r="FK860" t="s">
        <v>198</v>
      </c>
      <c r="FU860" t="s">
        <v>198</v>
      </c>
    </row>
    <row r="861" spans="1:177">
      <c r="A861" s="1" t="str">
        <f>HYPERLINK("http://digipan.lumentumllc.com/apps/getLink/index.php?t=PropLink&amp;p=15752400","PL")</f>
        <v>PL</v>
      </c>
      <c r="B861" s="1" t="str">
        <f>HYPERLINK("http://digipan.lumentumllc.com/apps/getLink/index.php?t=TaxLink&amp;p=15752400","TL")</f>
        <v>TL</v>
      </c>
      <c r="C861" s="1" t="str">
        <f>HYPERLINK("http://digipan.lumentumllc.com/apps/getMap/index.php?p=15752400","Map")</f>
        <v>Map</v>
      </c>
      <c r="E861" t="s">
        <v>177</v>
      </c>
      <c r="F861" t="s">
        <v>178</v>
      </c>
      <c r="L861" t="s">
        <v>11807</v>
      </c>
      <c r="N861" t="s">
        <v>11807</v>
      </c>
      <c r="O861" t="s">
        <v>11807</v>
      </c>
      <c r="Q861" t="s">
        <v>11807</v>
      </c>
      <c r="V861">
        <v>999</v>
      </c>
      <c r="W861">
        <v>4</v>
      </c>
      <c r="X861">
        <v>2017</v>
      </c>
      <c r="Y861">
        <v>2018</v>
      </c>
      <c r="Z861">
        <v>2559.69</v>
      </c>
      <c r="AG861" t="s">
        <v>184</v>
      </c>
      <c r="AH861">
        <v>0</v>
      </c>
      <c r="AK861">
        <v>0</v>
      </c>
      <c r="AL861">
        <v>141621</v>
      </c>
      <c r="AM861">
        <v>45900</v>
      </c>
      <c r="AN861">
        <v>95721</v>
      </c>
      <c r="AO861">
        <v>2317</v>
      </c>
      <c r="AP861">
        <v>2016</v>
      </c>
      <c r="AQ861">
        <v>1.81</v>
      </c>
      <c r="AS861" t="s">
        <v>11808</v>
      </c>
      <c r="AT861" t="s">
        <v>3747</v>
      </c>
      <c r="AU861" t="s">
        <v>177</v>
      </c>
      <c r="AV861" t="s">
        <v>1030</v>
      </c>
      <c r="AW861" t="s">
        <v>182</v>
      </c>
      <c r="AX861">
        <v>72</v>
      </c>
      <c r="AY861" t="s">
        <v>3641</v>
      </c>
      <c r="AZ861" t="s">
        <v>720</v>
      </c>
      <c r="BA861" t="s">
        <v>11712</v>
      </c>
      <c r="BB861" t="s">
        <v>191</v>
      </c>
      <c r="BC861" t="s">
        <v>182</v>
      </c>
      <c r="BD861" t="s">
        <v>182</v>
      </c>
      <c r="BE861" t="s">
        <v>11809</v>
      </c>
      <c r="BF861">
        <v>1</v>
      </c>
      <c r="BG861">
        <v>0</v>
      </c>
      <c r="BH861">
        <v>1993</v>
      </c>
      <c r="BI861" t="s">
        <v>11810</v>
      </c>
      <c r="BJ861" t="s">
        <v>194</v>
      </c>
      <c r="BK861" t="s">
        <v>195</v>
      </c>
      <c r="BL861" t="s">
        <v>11811</v>
      </c>
      <c r="BM861" t="s">
        <v>197</v>
      </c>
      <c r="BN861" t="s">
        <v>182</v>
      </c>
      <c r="BO861" t="s">
        <v>11812</v>
      </c>
      <c r="BP861" t="s">
        <v>11813</v>
      </c>
      <c r="BQ861" t="s">
        <v>226</v>
      </c>
      <c r="BR861" t="s">
        <v>227</v>
      </c>
      <c r="BS861" t="s">
        <v>198</v>
      </c>
      <c r="BT861" t="s">
        <v>11814</v>
      </c>
      <c r="BU861" t="s">
        <v>182</v>
      </c>
      <c r="BV861" t="s">
        <v>198</v>
      </c>
      <c r="BW861" t="s">
        <v>198</v>
      </c>
      <c r="BX861" t="s">
        <v>199</v>
      </c>
      <c r="BY861" t="s">
        <v>198</v>
      </c>
      <c r="BZ861" t="s">
        <v>199</v>
      </c>
      <c r="CA861" t="s">
        <v>199</v>
      </c>
      <c r="CB861" t="s">
        <v>11815</v>
      </c>
      <c r="CC861" t="s">
        <v>201</v>
      </c>
      <c r="CD861" t="s">
        <v>202</v>
      </c>
      <c r="CE861" t="s">
        <v>11816</v>
      </c>
      <c r="CF861" t="s">
        <v>1029</v>
      </c>
      <c r="CG861" t="s">
        <v>177</v>
      </c>
      <c r="CH861" t="s">
        <v>1030</v>
      </c>
      <c r="CI861" t="s">
        <v>11817</v>
      </c>
      <c r="CS861" t="s">
        <v>198</v>
      </c>
      <c r="DC861" t="s">
        <v>198</v>
      </c>
      <c r="DM861" t="s">
        <v>198</v>
      </c>
      <c r="DW861" t="s">
        <v>198</v>
      </c>
      <c r="EG861" t="s">
        <v>198</v>
      </c>
      <c r="EQ861" t="s">
        <v>198</v>
      </c>
      <c r="FA861" t="s">
        <v>198</v>
      </c>
      <c r="FK861" t="s">
        <v>198</v>
      </c>
      <c r="FU861" t="s">
        <v>198</v>
      </c>
    </row>
    <row r="862" spans="1:177">
      <c r="A862" s="1" t="str">
        <f>HYPERLINK("http://digipan.lumentumllc.com/apps/getLink/index.php?t=PropLink&amp;p=6129173","PL")</f>
        <v>PL</v>
      </c>
      <c r="B862" s="1" t="str">
        <f>HYPERLINK("http://digipan.lumentumllc.com/apps/getLink/index.php?t=TaxLink&amp;p=6129173","TL")</f>
        <v>TL</v>
      </c>
      <c r="C862" s="1" t="str">
        <f>HYPERLINK("http://digipan.lumentumllc.com/apps/getMap/index.php?p=6129173","Map")</f>
        <v>Map</v>
      </c>
      <c r="E862" t="s">
        <v>177</v>
      </c>
      <c r="F862" t="s">
        <v>178</v>
      </c>
      <c r="L862" t="s">
        <v>11818</v>
      </c>
      <c r="N862" t="s">
        <v>11818</v>
      </c>
      <c r="O862" t="s">
        <v>11818</v>
      </c>
      <c r="P862" t="s">
        <v>11819</v>
      </c>
      <c r="Q862" t="s">
        <v>11818</v>
      </c>
      <c r="V862">
        <v>1000</v>
      </c>
      <c r="W862">
        <v>4</v>
      </c>
      <c r="X862">
        <v>2017</v>
      </c>
      <c r="Y862">
        <v>2018</v>
      </c>
      <c r="Z862">
        <v>973.87</v>
      </c>
      <c r="AB862" t="s">
        <v>181</v>
      </c>
      <c r="AC862" t="s">
        <v>182</v>
      </c>
      <c r="AD862" t="s">
        <v>183</v>
      </c>
      <c r="AE862">
        <v>1</v>
      </c>
      <c r="AF862">
        <v>4</v>
      </c>
      <c r="AG862" t="s">
        <v>257</v>
      </c>
      <c r="AH862">
        <v>75</v>
      </c>
      <c r="AI862">
        <v>959.11</v>
      </c>
      <c r="AJ862">
        <v>47.96</v>
      </c>
      <c r="AK862">
        <v>1007.07</v>
      </c>
      <c r="AL862">
        <v>52771</v>
      </c>
      <c r="AM862">
        <v>11000</v>
      </c>
      <c r="AN862">
        <v>41771</v>
      </c>
      <c r="AO862">
        <v>862</v>
      </c>
      <c r="AP862">
        <v>2016</v>
      </c>
      <c r="AQ862">
        <v>1.85</v>
      </c>
      <c r="AR862">
        <v>1.91</v>
      </c>
      <c r="AS862" t="s">
        <v>11820</v>
      </c>
      <c r="AT862" t="s">
        <v>3747</v>
      </c>
      <c r="AU862" t="s">
        <v>177</v>
      </c>
      <c r="AV862" t="s">
        <v>1030</v>
      </c>
      <c r="AW862" t="s">
        <v>182</v>
      </c>
      <c r="AX862">
        <v>1</v>
      </c>
      <c r="AY862" t="s">
        <v>188</v>
      </c>
      <c r="AZ862" t="s">
        <v>206</v>
      </c>
      <c r="BA862" t="s">
        <v>355</v>
      </c>
      <c r="BB862" t="s">
        <v>191</v>
      </c>
      <c r="BC862" t="s">
        <v>182</v>
      </c>
      <c r="BD862" t="s">
        <v>182</v>
      </c>
      <c r="BE862" t="s">
        <v>11821</v>
      </c>
      <c r="BF862">
        <v>1</v>
      </c>
      <c r="BG862">
        <v>1</v>
      </c>
      <c r="BH862">
        <v>1985</v>
      </c>
      <c r="BI862" t="s">
        <v>11822</v>
      </c>
      <c r="BJ862" t="s">
        <v>194</v>
      </c>
      <c r="BK862" t="s">
        <v>195</v>
      </c>
      <c r="BL862" t="s">
        <v>824</v>
      </c>
      <c r="BM862" t="s">
        <v>559</v>
      </c>
      <c r="BN862" t="s">
        <v>182</v>
      </c>
      <c r="BO862" t="s">
        <v>1710</v>
      </c>
      <c r="BP862" t="s">
        <v>11823</v>
      </c>
      <c r="BR862" t="s">
        <v>1123</v>
      </c>
      <c r="BS862" t="s">
        <v>11824</v>
      </c>
      <c r="BT862" t="s">
        <v>11825</v>
      </c>
      <c r="BU862" t="s">
        <v>182</v>
      </c>
      <c r="BV862" t="s">
        <v>198</v>
      </c>
      <c r="BW862" t="s">
        <v>198</v>
      </c>
      <c r="BX862" t="s">
        <v>199</v>
      </c>
      <c r="BY862" t="s">
        <v>198</v>
      </c>
      <c r="BZ862" t="s">
        <v>199</v>
      </c>
      <c r="CA862" t="s">
        <v>199</v>
      </c>
      <c r="CB862" t="s">
        <v>8862</v>
      </c>
      <c r="CC862" t="s">
        <v>201</v>
      </c>
      <c r="CD862" t="s">
        <v>182</v>
      </c>
      <c r="CE862" t="s">
        <v>1726</v>
      </c>
      <c r="CF862" t="s">
        <v>1029</v>
      </c>
      <c r="CG862" t="s">
        <v>177</v>
      </c>
      <c r="CH862" t="s">
        <v>1030</v>
      </c>
      <c r="CI862" t="s">
        <v>11826</v>
      </c>
      <c r="CJ862" t="s">
        <v>8193</v>
      </c>
      <c r="CK862" t="s">
        <v>232</v>
      </c>
      <c r="CL862" t="s">
        <v>233</v>
      </c>
      <c r="CM862" t="s">
        <v>11827</v>
      </c>
      <c r="CN862" t="s">
        <v>235</v>
      </c>
      <c r="CO862" t="s">
        <v>183</v>
      </c>
      <c r="CP862" t="s">
        <v>266</v>
      </c>
      <c r="CS862" t="s">
        <v>198</v>
      </c>
      <c r="CT862" t="s">
        <v>11828</v>
      </c>
      <c r="CU862" t="s">
        <v>273</v>
      </c>
      <c r="CV862" t="s">
        <v>274</v>
      </c>
      <c r="CW862" t="s">
        <v>11829</v>
      </c>
      <c r="CX862" t="s">
        <v>235</v>
      </c>
      <c r="CY862" t="s">
        <v>183</v>
      </c>
      <c r="CZ862" t="s">
        <v>211</v>
      </c>
      <c r="DA862" t="s">
        <v>306</v>
      </c>
      <c r="DC862" t="s">
        <v>1731</v>
      </c>
      <c r="DD862" t="s">
        <v>6299</v>
      </c>
      <c r="DE862" t="s">
        <v>302</v>
      </c>
      <c r="DF862" t="s">
        <v>303</v>
      </c>
      <c r="DG862" t="s">
        <v>11830</v>
      </c>
      <c r="DH862" t="s">
        <v>235</v>
      </c>
      <c r="DI862" t="s">
        <v>183</v>
      </c>
      <c r="DJ862" t="s">
        <v>211</v>
      </c>
      <c r="DK862" t="s">
        <v>808</v>
      </c>
      <c r="DM862" t="s">
        <v>1731</v>
      </c>
      <c r="DN862" t="s">
        <v>900</v>
      </c>
      <c r="DO862" t="s">
        <v>238</v>
      </c>
      <c r="DP862" t="s">
        <v>239</v>
      </c>
      <c r="DQ862" t="s">
        <v>11831</v>
      </c>
      <c r="DR862" t="s">
        <v>305</v>
      </c>
      <c r="DS862" t="s">
        <v>183</v>
      </c>
      <c r="DT862" t="s">
        <v>211</v>
      </c>
      <c r="DU862" t="s">
        <v>808</v>
      </c>
      <c r="DW862" t="s">
        <v>11832</v>
      </c>
      <c r="DX862" t="s">
        <v>11833</v>
      </c>
      <c r="DY862" t="s">
        <v>207</v>
      </c>
      <c r="DZ862" t="s">
        <v>208</v>
      </c>
      <c r="EA862" t="s">
        <v>11834</v>
      </c>
      <c r="EB862" t="s">
        <v>816</v>
      </c>
      <c r="EC862" t="s">
        <v>183</v>
      </c>
      <c r="ED862" t="s">
        <v>211</v>
      </c>
      <c r="EE862" t="s">
        <v>1317</v>
      </c>
      <c r="EG862" t="s">
        <v>1731</v>
      </c>
      <c r="EQ862" t="s">
        <v>198</v>
      </c>
      <c r="FA862" t="s">
        <v>198</v>
      </c>
      <c r="FK862" t="s">
        <v>198</v>
      </c>
      <c r="FU862" t="s">
        <v>198</v>
      </c>
    </row>
    <row r="863" spans="1:177">
      <c r="A863" s="1" t="str">
        <f>HYPERLINK("http://digipan.lumentumllc.com/apps/getLink/index.php?t=PropLink&amp;p=5747999","PL")</f>
        <v>PL</v>
      </c>
      <c r="B863" s="1" t="str">
        <f>HYPERLINK("http://digipan.lumentumllc.com/apps/getLink/index.php?t=TaxLink&amp;p=5747999","TL")</f>
        <v>TL</v>
      </c>
      <c r="C863" s="1" t="str">
        <f>HYPERLINK("http://digipan.lumentumllc.com/apps/getMap/index.php?p=5747999","Map")</f>
        <v>Map</v>
      </c>
      <c r="E863" t="s">
        <v>177</v>
      </c>
      <c r="F863" t="s">
        <v>178</v>
      </c>
      <c r="L863" t="s">
        <v>11835</v>
      </c>
      <c r="N863" t="s">
        <v>11835</v>
      </c>
      <c r="O863" t="s">
        <v>11835</v>
      </c>
      <c r="P863" t="s">
        <v>11836</v>
      </c>
      <c r="Q863" t="s">
        <v>11835</v>
      </c>
      <c r="V863">
        <v>1001</v>
      </c>
      <c r="W863">
        <v>4</v>
      </c>
      <c r="X863">
        <v>2017</v>
      </c>
      <c r="Y863">
        <v>2018</v>
      </c>
      <c r="Z863">
        <v>1109.25</v>
      </c>
      <c r="AB863" t="s">
        <v>181</v>
      </c>
      <c r="AC863" t="s">
        <v>202</v>
      </c>
      <c r="AD863" t="s">
        <v>183</v>
      </c>
      <c r="AE863">
        <v>1</v>
      </c>
      <c r="AF863">
        <v>4</v>
      </c>
      <c r="AG863" t="s">
        <v>257</v>
      </c>
      <c r="AH863">
        <v>75</v>
      </c>
      <c r="AI863">
        <v>1094.72</v>
      </c>
      <c r="AJ863">
        <v>54.74</v>
      </c>
      <c r="AK863">
        <v>1149.46</v>
      </c>
      <c r="AL863">
        <v>60356</v>
      </c>
      <c r="AM863">
        <v>15000</v>
      </c>
      <c r="AN863">
        <v>45356</v>
      </c>
      <c r="AO863">
        <v>987</v>
      </c>
      <c r="AP863">
        <v>2016</v>
      </c>
      <c r="AQ863">
        <v>1.84</v>
      </c>
      <c r="AR863">
        <v>1.9</v>
      </c>
      <c r="AS863" t="s">
        <v>11837</v>
      </c>
      <c r="AT863" t="s">
        <v>3747</v>
      </c>
      <c r="AU863" t="s">
        <v>177</v>
      </c>
      <c r="AV863" t="s">
        <v>1030</v>
      </c>
      <c r="AW863" t="s">
        <v>182</v>
      </c>
      <c r="AX863">
        <v>1</v>
      </c>
      <c r="AY863" t="s">
        <v>188</v>
      </c>
      <c r="AZ863" t="s">
        <v>206</v>
      </c>
      <c r="BA863" t="s">
        <v>355</v>
      </c>
      <c r="BB863" t="s">
        <v>191</v>
      </c>
      <c r="BC863" t="s">
        <v>182</v>
      </c>
      <c r="BD863" t="s">
        <v>182</v>
      </c>
      <c r="BE863" t="s">
        <v>11838</v>
      </c>
      <c r="BF863">
        <v>1</v>
      </c>
      <c r="BG863">
        <v>1</v>
      </c>
      <c r="BH863">
        <v>1985</v>
      </c>
      <c r="BI863" t="s">
        <v>11839</v>
      </c>
      <c r="BJ863" t="s">
        <v>194</v>
      </c>
      <c r="BK863" t="s">
        <v>195</v>
      </c>
      <c r="BL863" t="s">
        <v>1720</v>
      </c>
      <c r="BM863" t="s">
        <v>286</v>
      </c>
      <c r="BN863" t="s">
        <v>182</v>
      </c>
      <c r="BO863" t="s">
        <v>1710</v>
      </c>
      <c r="BP863" t="s">
        <v>11840</v>
      </c>
      <c r="BR863" t="s">
        <v>1123</v>
      </c>
      <c r="BS863" t="s">
        <v>11841</v>
      </c>
      <c r="BT863" t="s">
        <v>198</v>
      </c>
      <c r="BU863" t="s">
        <v>182</v>
      </c>
      <c r="BV863" t="s">
        <v>198</v>
      </c>
      <c r="BW863" t="s">
        <v>198</v>
      </c>
      <c r="BX863" t="s">
        <v>199</v>
      </c>
      <c r="BY863" t="s">
        <v>198</v>
      </c>
      <c r="BZ863" t="s">
        <v>199</v>
      </c>
      <c r="CA863" t="s">
        <v>199</v>
      </c>
      <c r="CB863" t="s">
        <v>8862</v>
      </c>
      <c r="CC863" t="s">
        <v>201</v>
      </c>
      <c r="CD863" t="s">
        <v>182</v>
      </c>
      <c r="CE863" t="s">
        <v>1726</v>
      </c>
      <c r="CF863" t="s">
        <v>1029</v>
      </c>
      <c r="CG863" t="s">
        <v>177</v>
      </c>
      <c r="CH863" t="s">
        <v>1030</v>
      </c>
      <c r="CI863" t="s">
        <v>11842</v>
      </c>
      <c r="CJ863" t="s">
        <v>8215</v>
      </c>
      <c r="CK863" t="s">
        <v>232</v>
      </c>
      <c r="CL863" t="s">
        <v>233</v>
      </c>
      <c r="CM863" t="s">
        <v>11843</v>
      </c>
      <c r="CN863" t="s">
        <v>235</v>
      </c>
      <c r="CO863" t="s">
        <v>183</v>
      </c>
      <c r="CP863" t="s">
        <v>266</v>
      </c>
      <c r="CS863" t="s">
        <v>198</v>
      </c>
      <c r="CT863" t="s">
        <v>9246</v>
      </c>
      <c r="CU863" t="s">
        <v>273</v>
      </c>
      <c r="CV863" t="s">
        <v>274</v>
      </c>
      <c r="CW863" t="s">
        <v>11844</v>
      </c>
      <c r="CX863" t="s">
        <v>1491</v>
      </c>
      <c r="CY863" t="s">
        <v>183</v>
      </c>
      <c r="CZ863" t="s">
        <v>211</v>
      </c>
      <c r="DA863" t="s">
        <v>427</v>
      </c>
      <c r="DB863" t="s">
        <v>271</v>
      </c>
      <c r="DC863" t="s">
        <v>604</v>
      </c>
      <c r="DD863" t="s">
        <v>9627</v>
      </c>
      <c r="DE863" t="s">
        <v>302</v>
      </c>
      <c r="DF863" t="s">
        <v>303</v>
      </c>
      <c r="DG863" t="s">
        <v>11845</v>
      </c>
      <c r="DH863" t="s">
        <v>235</v>
      </c>
      <c r="DI863" t="s">
        <v>183</v>
      </c>
      <c r="DJ863" t="s">
        <v>211</v>
      </c>
      <c r="DL863" t="s">
        <v>271</v>
      </c>
      <c r="DM863" t="s">
        <v>198</v>
      </c>
      <c r="DN863" t="s">
        <v>5627</v>
      </c>
      <c r="DO863" t="s">
        <v>238</v>
      </c>
      <c r="DP863" t="s">
        <v>239</v>
      </c>
      <c r="DQ863" t="s">
        <v>11846</v>
      </c>
      <c r="DR863" t="s">
        <v>1341</v>
      </c>
      <c r="DS863" t="s">
        <v>183</v>
      </c>
      <c r="DT863" t="s">
        <v>211</v>
      </c>
      <c r="DU863" t="s">
        <v>655</v>
      </c>
      <c r="DV863" t="s">
        <v>271</v>
      </c>
      <c r="DW863" t="s">
        <v>604</v>
      </c>
      <c r="DX863" t="s">
        <v>11847</v>
      </c>
      <c r="DY863" t="s">
        <v>207</v>
      </c>
      <c r="DZ863" t="s">
        <v>208</v>
      </c>
      <c r="EA863" t="s">
        <v>11848</v>
      </c>
      <c r="EB863" t="s">
        <v>341</v>
      </c>
      <c r="EC863" t="s">
        <v>183</v>
      </c>
      <c r="ED863" t="s">
        <v>211</v>
      </c>
      <c r="EE863" t="s">
        <v>245</v>
      </c>
      <c r="EF863" t="s">
        <v>271</v>
      </c>
      <c r="EG863" t="s">
        <v>604</v>
      </c>
      <c r="EQ863" t="s">
        <v>198</v>
      </c>
      <c r="FA863" t="s">
        <v>198</v>
      </c>
      <c r="FK863" t="s">
        <v>198</v>
      </c>
      <c r="FU863" t="s">
        <v>198</v>
      </c>
    </row>
    <row r="864" spans="1:177">
      <c r="A864" s="1" t="str">
        <f>HYPERLINK("http://digipan.lumentumllc.com/apps/getLink/index.php?t=PropLink&amp;p=6129174","PL")</f>
        <v>PL</v>
      </c>
      <c r="B864" s="1" t="str">
        <f>HYPERLINK("http://digipan.lumentumllc.com/apps/getLink/index.php?t=TaxLink&amp;p=6129174","TL")</f>
        <v>TL</v>
      </c>
      <c r="C864" s="1" t="str">
        <f>HYPERLINK("http://digipan.lumentumllc.com/apps/getMap/index.php?p=6129174","Map")</f>
        <v>Map</v>
      </c>
      <c r="E864" t="s">
        <v>177</v>
      </c>
      <c r="F864" t="s">
        <v>178</v>
      </c>
      <c r="L864" t="s">
        <v>11849</v>
      </c>
      <c r="N864" t="s">
        <v>11849</v>
      </c>
      <c r="O864" t="s">
        <v>11849</v>
      </c>
      <c r="P864" t="s">
        <v>11850</v>
      </c>
      <c r="Q864" t="s">
        <v>11849</v>
      </c>
      <c r="V864">
        <v>1002</v>
      </c>
      <c r="W864">
        <v>4</v>
      </c>
      <c r="X864">
        <v>2017</v>
      </c>
      <c r="Y864">
        <v>2018</v>
      </c>
      <c r="Z864">
        <v>1105.6600000000001</v>
      </c>
      <c r="AB864" t="s">
        <v>181</v>
      </c>
      <c r="AC864" t="s">
        <v>182</v>
      </c>
      <c r="AD864" t="s">
        <v>183</v>
      </c>
      <c r="AE864">
        <v>1</v>
      </c>
      <c r="AF864">
        <v>4</v>
      </c>
      <c r="AG864" t="s">
        <v>257</v>
      </c>
      <c r="AH864">
        <v>75</v>
      </c>
      <c r="AI864">
        <v>1091.25</v>
      </c>
      <c r="AJ864">
        <v>54.56</v>
      </c>
      <c r="AK864">
        <v>1145.81</v>
      </c>
      <c r="AL864">
        <v>60155</v>
      </c>
      <c r="AM864">
        <v>15000</v>
      </c>
      <c r="AN864">
        <v>45155</v>
      </c>
      <c r="AO864">
        <v>984</v>
      </c>
      <c r="AP864">
        <v>2016</v>
      </c>
      <c r="AQ864">
        <v>1.84</v>
      </c>
      <c r="AR864">
        <v>1.9</v>
      </c>
      <c r="AS864" t="s">
        <v>11851</v>
      </c>
      <c r="AT864" t="s">
        <v>3747</v>
      </c>
      <c r="AU864" t="s">
        <v>177</v>
      </c>
      <c r="AV864" t="s">
        <v>1030</v>
      </c>
      <c r="AW864" t="s">
        <v>182</v>
      </c>
      <c r="AX864">
        <v>1</v>
      </c>
      <c r="AY864" t="s">
        <v>188</v>
      </c>
      <c r="AZ864" t="s">
        <v>206</v>
      </c>
      <c r="BA864" t="s">
        <v>355</v>
      </c>
      <c r="BB864" t="s">
        <v>191</v>
      </c>
      <c r="BC864" t="s">
        <v>182</v>
      </c>
      <c r="BD864" t="s">
        <v>182</v>
      </c>
      <c r="BE864" t="s">
        <v>3918</v>
      </c>
      <c r="BF864">
        <v>1</v>
      </c>
      <c r="BG864">
        <v>1</v>
      </c>
      <c r="BH864">
        <v>1985</v>
      </c>
      <c r="BI864" t="s">
        <v>11822</v>
      </c>
      <c r="BJ864" t="s">
        <v>194</v>
      </c>
      <c r="BK864" t="s">
        <v>195</v>
      </c>
      <c r="BL864" t="s">
        <v>1720</v>
      </c>
      <c r="BM864" t="s">
        <v>286</v>
      </c>
      <c r="BN864" t="s">
        <v>182</v>
      </c>
      <c r="BO864" t="s">
        <v>1710</v>
      </c>
      <c r="BP864" t="s">
        <v>11840</v>
      </c>
      <c r="BR864" t="s">
        <v>1123</v>
      </c>
      <c r="BS864" t="s">
        <v>11841</v>
      </c>
      <c r="BT864" t="s">
        <v>198</v>
      </c>
      <c r="BU864" t="s">
        <v>182</v>
      </c>
      <c r="BV864" t="s">
        <v>198</v>
      </c>
      <c r="BW864" t="s">
        <v>198</v>
      </c>
      <c r="BX864" t="s">
        <v>199</v>
      </c>
      <c r="BY864" t="s">
        <v>198</v>
      </c>
      <c r="BZ864" t="s">
        <v>199</v>
      </c>
      <c r="CA864" t="s">
        <v>199</v>
      </c>
      <c r="CB864" t="s">
        <v>8862</v>
      </c>
      <c r="CC864" t="s">
        <v>201</v>
      </c>
      <c r="CD864" t="s">
        <v>182</v>
      </c>
      <c r="CE864" t="s">
        <v>1726</v>
      </c>
      <c r="CF864" t="s">
        <v>1029</v>
      </c>
      <c r="CG864" t="s">
        <v>177</v>
      </c>
      <c r="CH864" t="s">
        <v>1030</v>
      </c>
      <c r="CI864" t="s">
        <v>11826</v>
      </c>
      <c r="CJ864" t="s">
        <v>10874</v>
      </c>
      <c r="CK864" t="s">
        <v>232</v>
      </c>
      <c r="CL864" t="s">
        <v>233</v>
      </c>
      <c r="CM864" t="s">
        <v>11852</v>
      </c>
      <c r="CN864" t="s">
        <v>235</v>
      </c>
      <c r="CO864" t="s">
        <v>183</v>
      </c>
      <c r="CP864" t="s">
        <v>266</v>
      </c>
      <c r="CS864" t="s">
        <v>198</v>
      </c>
      <c r="CT864" t="s">
        <v>9278</v>
      </c>
      <c r="CU864" t="s">
        <v>273</v>
      </c>
      <c r="CV864" t="s">
        <v>274</v>
      </c>
      <c r="CW864" t="s">
        <v>11853</v>
      </c>
      <c r="CX864" t="s">
        <v>235</v>
      </c>
      <c r="CY864" t="s">
        <v>183</v>
      </c>
      <c r="CZ864" t="s">
        <v>211</v>
      </c>
      <c r="DA864" t="s">
        <v>306</v>
      </c>
      <c r="DC864" t="s">
        <v>1731</v>
      </c>
      <c r="DD864" t="s">
        <v>6319</v>
      </c>
      <c r="DE864" t="s">
        <v>302</v>
      </c>
      <c r="DF864" t="s">
        <v>303</v>
      </c>
      <c r="DG864" t="s">
        <v>11854</v>
      </c>
      <c r="DH864" t="s">
        <v>235</v>
      </c>
      <c r="DI864" t="s">
        <v>183</v>
      </c>
      <c r="DJ864" t="s">
        <v>211</v>
      </c>
      <c r="DK864" t="s">
        <v>808</v>
      </c>
      <c r="DM864" t="s">
        <v>1731</v>
      </c>
      <c r="DN864" t="s">
        <v>11855</v>
      </c>
      <c r="DO864" t="s">
        <v>238</v>
      </c>
      <c r="DP864" t="s">
        <v>239</v>
      </c>
      <c r="DQ864" t="s">
        <v>11856</v>
      </c>
      <c r="DR864" t="s">
        <v>305</v>
      </c>
      <c r="DS864" t="s">
        <v>183</v>
      </c>
      <c r="DT864" t="s">
        <v>211</v>
      </c>
      <c r="DU864" t="s">
        <v>808</v>
      </c>
      <c r="DW864" t="s">
        <v>11832</v>
      </c>
      <c r="DX864" t="s">
        <v>11857</v>
      </c>
      <c r="DY864" t="s">
        <v>207</v>
      </c>
      <c r="DZ864" t="s">
        <v>208</v>
      </c>
      <c r="EA864" t="s">
        <v>11858</v>
      </c>
      <c r="EB864" t="s">
        <v>816</v>
      </c>
      <c r="EC864" t="s">
        <v>183</v>
      </c>
      <c r="ED864" t="s">
        <v>211</v>
      </c>
      <c r="EE864" t="s">
        <v>1317</v>
      </c>
      <c r="EG864" t="s">
        <v>1731</v>
      </c>
      <c r="EQ864" t="s">
        <v>198</v>
      </c>
      <c r="FA864" t="s">
        <v>198</v>
      </c>
      <c r="FK864" t="s">
        <v>198</v>
      </c>
      <c r="FU864" t="s">
        <v>198</v>
      </c>
    </row>
    <row r="865" spans="1:177">
      <c r="A865" s="1" t="str">
        <f>HYPERLINK("http://digipan.lumentumllc.com/apps/getLink/index.php?t=PropLink&amp;p=4637954","PL")</f>
        <v>PL</v>
      </c>
      <c r="B865" s="1" t="str">
        <f>HYPERLINK("http://digipan.lumentumllc.com/apps/getLink/index.php?t=TaxLink&amp;p=4637954","TL")</f>
        <v>TL</v>
      </c>
      <c r="C865" s="1" t="str">
        <f>HYPERLINK("http://digipan.lumentumllc.com/apps/getMap/index.php?p=4637954","Map")</f>
        <v>Map</v>
      </c>
      <c r="E865" t="s">
        <v>177</v>
      </c>
      <c r="F865" t="s">
        <v>178</v>
      </c>
      <c r="L865" t="s">
        <v>11859</v>
      </c>
      <c r="N865" t="s">
        <v>11859</v>
      </c>
      <c r="O865" t="s">
        <v>11859</v>
      </c>
      <c r="P865" t="s">
        <v>11860</v>
      </c>
      <c r="Q865" t="s">
        <v>11859</v>
      </c>
      <c r="V865">
        <v>1003</v>
      </c>
      <c r="W865">
        <v>4</v>
      </c>
      <c r="X865">
        <v>2017</v>
      </c>
      <c r="Y865">
        <v>2018</v>
      </c>
      <c r="Z865">
        <v>4527.07</v>
      </c>
      <c r="AB865" t="s">
        <v>181</v>
      </c>
      <c r="AC865" t="s">
        <v>182</v>
      </c>
      <c r="AD865" t="s">
        <v>183</v>
      </c>
      <c r="AE865">
        <v>0</v>
      </c>
      <c r="AF865">
        <v>6</v>
      </c>
      <c r="AG865" t="s">
        <v>3266</v>
      </c>
      <c r="AH865">
        <v>100</v>
      </c>
      <c r="AK865">
        <v>0</v>
      </c>
      <c r="AL865">
        <v>251850</v>
      </c>
      <c r="AM865">
        <v>251850</v>
      </c>
      <c r="AN865">
        <v>0</v>
      </c>
      <c r="AO865">
        <v>4241</v>
      </c>
      <c r="AP865">
        <v>2016</v>
      </c>
      <c r="AQ865">
        <v>1.8</v>
      </c>
      <c r="AS865" t="s">
        <v>3209</v>
      </c>
      <c r="AT865" t="s">
        <v>3747</v>
      </c>
      <c r="AU865" t="s">
        <v>177</v>
      </c>
      <c r="AV865" t="s">
        <v>1030</v>
      </c>
      <c r="AW865" t="s">
        <v>182</v>
      </c>
      <c r="AX865">
        <v>10</v>
      </c>
      <c r="AY865" t="s">
        <v>3211</v>
      </c>
      <c r="AZ865" t="s">
        <v>270</v>
      </c>
      <c r="BA865" t="s">
        <v>3212</v>
      </c>
      <c r="BB865" t="s">
        <v>191</v>
      </c>
      <c r="BC865" t="s">
        <v>182</v>
      </c>
      <c r="BD865" t="s">
        <v>182</v>
      </c>
      <c r="BE865" t="s">
        <v>11861</v>
      </c>
      <c r="BF865">
        <v>0</v>
      </c>
      <c r="BG865">
        <v>0</v>
      </c>
      <c r="BH865">
        <v>0</v>
      </c>
      <c r="BI865" t="s">
        <v>199</v>
      </c>
      <c r="BJ865" t="s">
        <v>315</v>
      </c>
      <c r="BL865" t="s">
        <v>11862</v>
      </c>
      <c r="BM865" t="s">
        <v>559</v>
      </c>
      <c r="BN865" t="s">
        <v>182</v>
      </c>
      <c r="BO865" t="s">
        <v>11863</v>
      </c>
      <c r="BP865" t="s">
        <v>11864</v>
      </c>
      <c r="BQ865" t="s">
        <v>581</v>
      </c>
      <c r="BR865" t="s">
        <v>563</v>
      </c>
      <c r="BS865" t="s">
        <v>198</v>
      </c>
      <c r="BT865" t="s">
        <v>228</v>
      </c>
      <c r="BU865" t="s">
        <v>182</v>
      </c>
      <c r="BV865" t="s">
        <v>198</v>
      </c>
      <c r="BW865" t="s">
        <v>198</v>
      </c>
      <c r="BX865" t="s">
        <v>199</v>
      </c>
      <c r="BY865" t="s">
        <v>198</v>
      </c>
      <c r="BZ865" t="s">
        <v>199</v>
      </c>
      <c r="CA865" t="s">
        <v>199</v>
      </c>
      <c r="CB865" t="s">
        <v>11225</v>
      </c>
      <c r="CC865" t="s">
        <v>201</v>
      </c>
      <c r="CD865" t="s">
        <v>182</v>
      </c>
      <c r="CE865" t="s">
        <v>2111</v>
      </c>
      <c r="CF865" t="s">
        <v>1029</v>
      </c>
      <c r="CG865" t="s">
        <v>177</v>
      </c>
      <c r="CH865" t="s">
        <v>1030</v>
      </c>
      <c r="CI865" t="s">
        <v>11865</v>
      </c>
      <c r="CJ865" t="s">
        <v>8302</v>
      </c>
      <c r="CK865" t="s">
        <v>292</v>
      </c>
      <c r="CL865" t="s">
        <v>293</v>
      </c>
      <c r="CM865" t="s">
        <v>11866</v>
      </c>
      <c r="CN865" t="s">
        <v>235</v>
      </c>
      <c r="CO865" t="s">
        <v>183</v>
      </c>
      <c r="CP865" t="s">
        <v>211</v>
      </c>
      <c r="CQ865" t="s">
        <v>296</v>
      </c>
      <c r="CS865" t="s">
        <v>690</v>
      </c>
      <c r="CT865" t="s">
        <v>8769</v>
      </c>
      <c r="CU865" t="s">
        <v>267</v>
      </c>
      <c r="CV865" t="s">
        <v>268</v>
      </c>
      <c r="CW865" t="s">
        <v>11867</v>
      </c>
      <c r="CX865" t="s">
        <v>235</v>
      </c>
      <c r="CY865" t="s">
        <v>183</v>
      </c>
      <c r="CZ865" t="s">
        <v>211</v>
      </c>
      <c r="DA865" t="s">
        <v>329</v>
      </c>
      <c r="DC865" t="s">
        <v>5484</v>
      </c>
      <c r="DD865" t="s">
        <v>8907</v>
      </c>
      <c r="DE865" t="s">
        <v>273</v>
      </c>
      <c r="DF865" t="s">
        <v>274</v>
      </c>
      <c r="DG865" t="s">
        <v>11868</v>
      </c>
      <c r="DH865" t="s">
        <v>235</v>
      </c>
      <c r="DI865" t="s">
        <v>183</v>
      </c>
      <c r="DJ865" t="s">
        <v>211</v>
      </c>
      <c r="DK865" t="s">
        <v>206</v>
      </c>
      <c r="DM865" t="s">
        <v>11230</v>
      </c>
      <c r="DN865" t="s">
        <v>6336</v>
      </c>
      <c r="DO865" t="s">
        <v>302</v>
      </c>
      <c r="DP865" t="s">
        <v>303</v>
      </c>
      <c r="DQ865" t="s">
        <v>11869</v>
      </c>
      <c r="DR865" t="s">
        <v>235</v>
      </c>
      <c r="DS865" t="s">
        <v>183</v>
      </c>
      <c r="DT865" t="s">
        <v>211</v>
      </c>
      <c r="DU865" t="s">
        <v>329</v>
      </c>
      <c r="DW865" t="s">
        <v>520</v>
      </c>
      <c r="DX865" t="s">
        <v>11870</v>
      </c>
      <c r="DY865" t="s">
        <v>238</v>
      </c>
      <c r="DZ865" t="s">
        <v>239</v>
      </c>
      <c r="EA865" t="s">
        <v>11871</v>
      </c>
      <c r="EB865" t="s">
        <v>1341</v>
      </c>
      <c r="EC865" t="s">
        <v>183</v>
      </c>
      <c r="ED865" t="s">
        <v>211</v>
      </c>
      <c r="EE865" t="s">
        <v>189</v>
      </c>
      <c r="EG865" t="s">
        <v>11234</v>
      </c>
      <c r="EH865" t="s">
        <v>11872</v>
      </c>
      <c r="EI865" t="s">
        <v>207</v>
      </c>
      <c r="EJ865" t="s">
        <v>208</v>
      </c>
      <c r="EK865" t="s">
        <v>11873</v>
      </c>
      <c r="EL865" t="s">
        <v>576</v>
      </c>
      <c r="EM865" t="s">
        <v>183</v>
      </c>
      <c r="EN865" t="s">
        <v>211</v>
      </c>
      <c r="EO865" t="s">
        <v>206</v>
      </c>
      <c r="EQ865" t="s">
        <v>11276</v>
      </c>
      <c r="FA865" t="s">
        <v>198</v>
      </c>
      <c r="FK865" t="s">
        <v>198</v>
      </c>
      <c r="FU865" t="s">
        <v>198</v>
      </c>
    </row>
    <row r="866" spans="1:177">
      <c r="A866" s="1" t="str">
        <f>HYPERLINK("http://digipan.lumentumllc.com/apps/getLink/index.php?t=PropLink&amp;p=4637955","PL")</f>
        <v>PL</v>
      </c>
      <c r="B866" s="1" t="str">
        <f>HYPERLINK("http://digipan.lumentumllc.com/apps/getLink/index.php?t=TaxLink&amp;p=4637955","TL")</f>
        <v>TL</v>
      </c>
      <c r="C866" s="1" t="str">
        <f>HYPERLINK("http://digipan.lumentumllc.com/apps/getMap/index.php?p=4637955","Map")</f>
        <v>Map</v>
      </c>
      <c r="E866" t="s">
        <v>177</v>
      </c>
      <c r="F866" t="s">
        <v>178</v>
      </c>
      <c r="L866" t="s">
        <v>11874</v>
      </c>
      <c r="N866" t="s">
        <v>11874</v>
      </c>
      <c r="O866" t="s">
        <v>11874</v>
      </c>
      <c r="P866" t="s">
        <v>11875</v>
      </c>
      <c r="Q866" t="s">
        <v>11874</v>
      </c>
      <c r="V866">
        <v>1004</v>
      </c>
      <c r="W866">
        <v>4</v>
      </c>
      <c r="X866">
        <v>2017</v>
      </c>
      <c r="Y866">
        <v>2018</v>
      </c>
      <c r="Z866">
        <v>2284.8000000000002</v>
      </c>
      <c r="AB866" t="s">
        <v>181</v>
      </c>
      <c r="AC866" t="s">
        <v>182</v>
      </c>
      <c r="AD866" t="s">
        <v>183</v>
      </c>
      <c r="AE866">
        <v>0</v>
      </c>
      <c r="AF866">
        <v>6</v>
      </c>
      <c r="AG866" t="s">
        <v>3266</v>
      </c>
      <c r="AH866">
        <v>100</v>
      </c>
      <c r="AK866">
        <v>0</v>
      </c>
      <c r="AL866">
        <v>151200</v>
      </c>
      <c r="AM866">
        <v>151200</v>
      </c>
      <c r="AN866">
        <v>0</v>
      </c>
      <c r="AO866">
        <v>2028</v>
      </c>
      <c r="AP866">
        <v>2016</v>
      </c>
      <c r="AQ866">
        <v>1.51</v>
      </c>
      <c r="AS866" t="s">
        <v>3209</v>
      </c>
      <c r="AT866" t="s">
        <v>3747</v>
      </c>
      <c r="AU866" t="s">
        <v>177</v>
      </c>
      <c r="AV866" t="s">
        <v>1030</v>
      </c>
      <c r="AW866" t="s">
        <v>182</v>
      </c>
      <c r="AX866">
        <v>10</v>
      </c>
      <c r="AY866" t="s">
        <v>3211</v>
      </c>
      <c r="AZ866" t="s">
        <v>270</v>
      </c>
      <c r="BA866" t="s">
        <v>3212</v>
      </c>
      <c r="BB866" t="s">
        <v>191</v>
      </c>
      <c r="BC866" t="s">
        <v>182</v>
      </c>
      <c r="BD866" t="s">
        <v>182</v>
      </c>
      <c r="BE866" t="s">
        <v>11876</v>
      </c>
      <c r="BF866">
        <v>0</v>
      </c>
      <c r="BG866">
        <v>0</v>
      </c>
      <c r="BH866">
        <v>0</v>
      </c>
      <c r="BI866" t="s">
        <v>199</v>
      </c>
      <c r="BJ866" t="s">
        <v>315</v>
      </c>
      <c r="BL866" t="s">
        <v>11256</v>
      </c>
      <c r="BM866" t="s">
        <v>559</v>
      </c>
      <c r="BN866" t="s">
        <v>182</v>
      </c>
      <c r="BO866" t="s">
        <v>198</v>
      </c>
      <c r="BP866" t="s">
        <v>198</v>
      </c>
      <c r="BQ866" t="s">
        <v>198</v>
      </c>
      <c r="BR866" t="s">
        <v>198</v>
      </c>
      <c r="BS866" t="s">
        <v>198</v>
      </c>
      <c r="BT866" t="s">
        <v>198</v>
      </c>
      <c r="BU866" t="s">
        <v>182</v>
      </c>
      <c r="BV866" t="s">
        <v>198</v>
      </c>
      <c r="BW866" t="s">
        <v>198</v>
      </c>
      <c r="BX866" t="s">
        <v>199</v>
      </c>
      <c r="BY866" t="s">
        <v>198</v>
      </c>
      <c r="BZ866" t="s">
        <v>199</v>
      </c>
      <c r="CA866" t="s">
        <v>199</v>
      </c>
      <c r="CB866" t="s">
        <v>11225</v>
      </c>
      <c r="CC866" t="s">
        <v>201</v>
      </c>
      <c r="CD866" t="s">
        <v>182</v>
      </c>
      <c r="CE866" t="s">
        <v>2111</v>
      </c>
      <c r="CF866" t="s">
        <v>1029</v>
      </c>
      <c r="CG866" t="s">
        <v>177</v>
      </c>
      <c r="CH866" t="s">
        <v>1030</v>
      </c>
      <c r="CI866" t="s">
        <v>11865</v>
      </c>
      <c r="CJ866" t="s">
        <v>8633</v>
      </c>
      <c r="CK866" t="s">
        <v>292</v>
      </c>
      <c r="CL866" t="s">
        <v>293</v>
      </c>
      <c r="CM866" t="s">
        <v>11877</v>
      </c>
      <c r="CN866" t="s">
        <v>235</v>
      </c>
      <c r="CO866" t="s">
        <v>183</v>
      </c>
      <c r="CP866" t="s">
        <v>211</v>
      </c>
      <c r="CQ866" t="s">
        <v>296</v>
      </c>
      <c r="CS866" t="s">
        <v>690</v>
      </c>
      <c r="CT866" t="s">
        <v>8449</v>
      </c>
      <c r="CU866" t="s">
        <v>267</v>
      </c>
      <c r="CV866" t="s">
        <v>268</v>
      </c>
      <c r="CW866" t="s">
        <v>11878</v>
      </c>
      <c r="CX866" t="s">
        <v>235</v>
      </c>
      <c r="CY866" t="s">
        <v>183</v>
      </c>
      <c r="CZ866" t="s">
        <v>211</v>
      </c>
      <c r="DA866" t="s">
        <v>329</v>
      </c>
      <c r="DC866" t="s">
        <v>5484</v>
      </c>
      <c r="DD866" t="s">
        <v>8972</v>
      </c>
      <c r="DE866" t="s">
        <v>273</v>
      </c>
      <c r="DF866" t="s">
        <v>274</v>
      </c>
      <c r="DG866" t="s">
        <v>11879</v>
      </c>
      <c r="DH866" t="s">
        <v>235</v>
      </c>
      <c r="DI866" t="s">
        <v>183</v>
      </c>
      <c r="DJ866" t="s">
        <v>211</v>
      </c>
      <c r="DK866" t="s">
        <v>206</v>
      </c>
      <c r="DM866" t="s">
        <v>11230</v>
      </c>
      <c r="DN866" t="s">
        <v>2209</v>
      </c>
      <c r="DO866" t="s">
        <v>302</v>
      </c>
      <c r="DP866" t="s">
        <v>303</v>
      </c>
      <c r="DQ866" t="s">
        <v>11880</v>
      </c>
      <c r="DR866" t="s">
        <v>235</v>
      </c>
      <c r="DS866" t="s">
        <v>183</v>
      </c>
      <c r="DT866" t="s">
        <v>211</v>
      </c>
      <c r="DU866" t="s">
        <v>329</v>
      </c>
      <c r="DW866" t="s">
        <v>520</v>
      </c>
      <c r="DX866" t="s">
        <v>9936</v>
      </c>
      <c r="DY866" t="s">
        <v>238</v>
      </c>
      <c r="DZ866" t="s">
        <v>239</v>
      </c>
      <c r="EA866" t="s">
        <v>11881</v>
      </c>
      <c r="EB866" t="s">
        <v>440</v>
      </c>
      <c r="EC866" t="s">
        <v>183</v>
      </c>
      <c r="ED866" t="s">
        <v>211</v>
      </c>
      <c r="EE866" t="s">
        <v>189</v>
      </c>
      <c r="EG866" t="s">
        <v>11234</v>
      </c>
      <c r="EH866" t="s">
        <v>1733</v>
      </c>
      <c r="EI866" t="s">
        <v>207</v>
      </c>
      <c r="EJ866" t="s">
        <v>208</v>
      </c>
      <c r="EK866" t="s">
        <v>11882</v>
      </c>
      <c r="EL866" t="s">
        <v>576</v>
      </c>
      <c r="EM866" t="s">
        <v>183</v>
      </c>
      <c r="EN866" t="s">
        <v>211</v>
      </c>
      <c r="EO866" t="s">
        <v>206</v>
      </c>
      <c r="EQ866" t="s">
        <v>11276</v>
      </c>
      <c r="FA866" t="s">
        <v>198</v>
      </c>
      <c r="FK866" t="s">
        <v>198</v>
      </c>
      <c r="FU866" t="s">
        <v>198</v>
      </c>
    </row>
    <row r="867" spans="1:177">
      <c r="A867" s="1" t="str">
        <f>HYPERLINK("http://digipan.lumentumllc.com/apps/getLink/index.php?t=PropLink&amp;p=41030022","PL")</f>
        <v>PL</v>
      </c>
      <c r="B867" s="1" t="str">
        <f>HYPERLINK("http://digipan.lumentumllc.com/apps/getLink/index.php?t=TaxLink&amp;p=41030022","TL")</f>
        <v>TL</v>
      </c>
      <c r="C867" s="1" t="str">
        <f>HYPERLINK("","")</f>
        <v/>
      </c>
      <c r="E867" t="s">
        <v>177</v>
      </c>
      <c r="F867" t="s">
        <v>178</v>
      </c>
      <c r="L867" t="s">
        <v>11883</v>
      </c>
      <c r="N867" t="s">
        <v>11883</v>
      </c>
      <c r="O867" t="s">
        <v>11883</v>
      </c>
      <c r="Q867" t="s">
        <v>11883</v>
      </c>
      <c r="V867">
        <v>1005</v>
      </c>
      <c r="W867">
        <v>4</v>
      </c>
      <c r="X867">
        <v>2017</v>
      </c>
      <c r="Y867">
        <v>2018</v>
      </c>
      <c r="Z867">
        <v>37.71</v>
      </c>
      <c r="AG867" t="s">
        <v>184</v>
      </c>
      <c r="AH867">
        <v>0</v>
      </c>
      <c r="AK867">
        <v>0</v>
      </c>
      <c r="AL867">
        <v>24000</v>
      </c>
      <c r="AM867">
        <v>320</v>
      </c>
      <c r="AN867">
        <v>23680</v>
      </c>
      <c r="AQ867">
        <v>0.16</v>
      </c>
      <c r="AS867" t="s">
        <v>11884</v>
      </c>
      <c r="AT867" t="s">
        <v>3747</v>
      </c>
      <c r="AU867" t="s">
        <v>177</v>
      </c>
      <c r="AV867" t="s">
        <v>1030</v>
      </c>
      <c r="AW867" t="s">
        <v>182</v>
      </c>
      <c r="AX867">
        <v>59</v>
      </c>
      <c r="AY867" t="s">
        <v>218</v>
      </c>
      <c r="AZ867" t="s">
        <v>1275</v>
      </c>
      <c r="BA867" t="s">
        <v>1508</v>
      </c>
      <c r="BB867" t="s">
        <v>191</v>
      </c>
      <c r="BC867" t="s">
        <v>202</v>
      </c>
      <c r="BD867" t="s">
        <v>182</v>
      </c>
      <c r="BE867" t="s">
        <v>1930</v>
      </c>
      <c r="BI867" t="s">
        <v>199</v>
      </c>
      <c r="BL867" t="s">
        <v>592</v>
      </c>
      <c r="BM867" t="s">
        <v>197</v>
      </c>
      <c r="BN867" t="s">
        <v>182</v>
      </c>
      <c r="BO867" t="s">
        <v>198</v>
      </c>
      <c r="BP867" t="s">
        <v>198</v>
      </c>
      <c r="BQ867" t="s">
        <v>198</v>
      </c>
      <c r="BR867" t="s">
        <v>198</v>
      </c>
      <c r="BS867" t="s">
        <v>198</v>
      </c>
      <c r="BT867" t="s">
        <v>198</v>
      </c>
      <c r="BU867" t="s">
        <v>182</v>
      </c>
      <c r="BV867" t="s">
        <v>198</v>
      </c>
      <c r="BW867" t="s">
        <v>198</v>
      </c>
      <c r="BX867" t="s">
        <v>199</v>
      </c>
      <c r="BY867" t="s">
        <v>198</v>
      </c>
      <c r="CB867" t="s">
        <v>11885</v>
      </c>
      <c r="CC867" t="s">
        <v>201</v>
      </c>
      <c r="CD867" t="s">
        <v>182</v>
      </c>
      <c r="CE867" t="s">
        <v>11886</v>
      </c>
      <c r="CF867" t="s">
        <v>1029</v>
      </c>
      <c r="CG867" t="s">
        <v>177</v>
      </c>
      <c r="CH867" t="s">
        <v>1030</v>
      </c>
      <c r="CI867" t="s">
        <v>11887</v>
      </c>
      <c r="CS867" t="s">
        <v>198</v>
      </c>
      <c r="DC867" t="s">
        <v>198</v>
      </c>
      <c r="DM867" t="s">
        <v>198</v>
      </c>
      <c r="DW867" t="s">
        <v>198</v>
      </c>
      <c r="EG867" t="s">
        <v>198</v>
      </c>
      <c r="EQ867" t="s">
        <v>198</v>
      </c>
      <c r="FA867" t="s">
        <v>198</v>
      </c>
      <c r="FK867" t="s">
        <v>198</v>
      </c>
      <c r="FU867" t="s">
        <v>198</v>
      </c>
    </row>
    <row r="868" spans="1:177">
      <c r="A868" s="1" t="str">
        <f>HYPERLINK("http://digipan.lumentumllc.com/apps/getLink/index.php?t=PropLink&amp;p=5246856","PL")</f>
        <v>PL</v>
      </c>
      <c r="B868" s="1" t="str">
        <f>HYPERLINK("http://digipan.lumentumllc.com/apps/getLink/index.php?t=TaxLink&amp;p=5246856","TL")</f>
        <v>TL</v>
      </c>
      <c r="C868" s="1" t="str">
        <f>HYPERLINK("http://digipan.lumentumllc.com/apps/getMap/index.php?p=5246856","Map")</f>
        <v>Map</v>
      </c>
      <c r="E868" t="s">
        <v>177</v>
      </c>
      <c r="F868" t="s">
        <v>178</v>
      </c>
      <c r="L868" t="s">
        <v>11888</v>
      </c>
      <c r="N868" t="s">
        <v>11888</v>
      </c>
      <c r="O868" t="s">
        <v>11888</v>
      </c>
      <c r="P868" t="s">
        <v>11889</v>
      </c>
      <c r="Q868" t="s">
        <v>11888</v>
      </c>
      <c r="V868">
        <v>1007</v>
      </c>
      <c r="W868">
        <v>4</v>
      </c>
      <c r="X868">
        <v>2017</v>
      </c>
      <c r="Y868">
        <v>2018</v>
      </c>
      <c r="Z868">
        <v>465.21</v>
      </c>
      <c r="AB868" t="s">
        <v>181</v>
      </c>
      <c r="AC868" t="s">
        <v>202</v>
      </c>
      <c r="AD868" t="s">
        <v>183</v>
      </c>
      <c r="AE868">
        <v>0</v>
      </c>
      <c r="AF868">
        <v>3</v>
      </c>
      <c r="AG868" t="s">
        <v>381</v>
      </c>
      <c r="AH868">
        <v>100</v>
      </c>
      <c r="AK868">
        <v>0</v>
      </c>
      <c r="AL868">
        <v>26400</v>
      </c>
      <c r="AM868">
        <v>26400</v>
      </c>
      <c r="AN868">
        <v>0</v>
      </c>
      <c r="AO868">
        <v>384</v>
      </c>
      <c r="AP868">
        <v>2016</v>
      </c>
      <c r="AQ868">
        <v>1.76</v>
      </c>
      <c r="AS868" t="s">
        <v>11890</v>
      </c>
      <c r="AT868" t="s">
        <v>3747</v>
      </c>
      <c r="AU868" t="s">
        <v>177</v>
      </c>
      <c r="AV868" t="s">
        <v>1030</v>
      </c>
      <c r="AW868" t="s">
        <v>182</v>
      </c>
      <c r="AX868">
        <v>0</v>
      </c>
      <c r="AY868" t="s">
        <v>312</v>
      </c>
      <c r="AZ868" t="s">
        <v>199</v>
      </c>
      <c r="BA868" t="s">
        <v>313</v>
      </c>
      <c r="BB868" t="s">
        <v>191</v>
      </c>
      <c r="BC868" t="s">
        <v>182</v>
      </c>
      <c r="BD868" t="s">
        <v>2072</v>
      </c>
      <c r="BE868" t="s">
        <v>11891</v>
      </c>
      <c r="BF868">
        <v>0</v>
      </c>
      <c r="BG868">
        <v>0</v>
      </c>
      <c r="BH868">
        <v>0</v>
      </c>
      <c r="BI868" t="s">
        <v>199</v>
      </c>
      <c r="BJ868" t="s">
        <v>248</v>
      </c>
      <c r="BL868" t="s">
        <v>199</v>
      </c>
      <c r="BM868" t="s">
        <v>501</v>
      </c>
      <c r="BN868" t="s">
        <v>182</v>
      </c>
      <c r="BO868" t="s">
        <v>198</v>
      </c>
      <c r="BP868" t="s">
        <v>198</v>
      </c>
      <c r="BQ868" t="s">
        <v>198</v>
      </c>
      <c r="BR868" t="s">
        <v>198</v>
      </c>
      <c r="BS868" t="s">
        <v>198</v>
      </c>
      <c r="BT868" t="s">
        <v>198</v>
      </c>
      <c r="BU868" t="s">
        <v>182</v>
      </c>
      <c r="BV868" t="s">
        <v>198</v>
      </c>
      <c r="BW868" t="s">
        <v>198</v>
      </c>
      <c r="BX868" t="s">
        <v>199</v>
      </c>
      <c r="BY868" t="s">
        <v>198</v>
      </c>
      <c r="BZ868" t="s">
        <v>199</v>
      </c>
      <c r="CA868" t="s">
        <v>199</v>
      </c>
      <c r="CB868" t="s">
        <v>11892</v>
      </c>
      <c r="CC868" t="s">
        <v>201</v>
      </c>
      <c r="CD868" t="s">
        <v>182</v>
      </c>
      <c r="CE868" t="s">
        <v>11893</v>
      </c>
      <c r="CF868" t="s">
        <v>1029</v>
      </c>
      <c r="CG868" t="s">
        <v>177</v>
      </c>
      <c r="CH868" t="s">
        <v>1030</v>
      </c>
      <c r="CI868" t="s">
        <v>11894</v>
      </c>
      <c r="CJ868" t="s">
        <v>8348</v>
      </c>
      <c r="CK868" t="s">
        <v>292</v>
      </c>
      <c r="CL868" t="s">
        <v>293</v>
      </c>
      <c r="CM868" t="s">
        <v>11895</v>
      </c>
      <c r="CN868" t="s">
        <v>278</v>
      </c>
      <c r="CO868" t="s">
        <v>183</v>
      </c>
      <c r="CP868" t="s">
        <v>211</v>
      </c>
      <c r="CQ868" t="s">
        <v>270</v>
      </c>
      <c r="CR868" t="s">
        <v>271</v>
      </c>
      <c r="CS868" t="s">
        <v>4800</v>
      </c>
      <c r="CT868" t="s">
        <v>11643</v>
      </c>
      <c r="CU868" t="s">
        <v>267</v>
      </c>
      <c r="CV868" t="s">
        <v>268</v>
      </c>
      <c r="CW868" t="s">
        <v>11896</v>
      </c>
      <c r="CX868" t="s">
        <v>331</v>
      </c>
      <c r="CY868" t="s">
        <v>183</v>
      </c>
      <c r="CZ868" t="s">
        <v>211</v>
      </c>
      <c r="DB868" t="s">
        <v>271</v>
      </c>
      <c r="DC868" t="s">
        <v>198</v>
      </c>
      <c r="DD868" t="s">
        <v>1095</v>
      </c>
      <c r="DE868" t="s">
        <v>273</v>
      </c>
      <c r="DF868" t="s">
        <v>274</v>
      </c>
      <c r="DG868" t="s">
        <v>11897</v>
      </c>
      <c r="DH868" t="s">
        <v>1491</v>
      </c>
      <c r="DI868" t="s">
        <v>183</v>
      </c>
      <c r="DJ868" t="s">
        <v>211</v>
      </c>
      <c r="DK868" t="s">
        <v>206</v>
      </c>
      <c r="DM868" t="s">
        <v>11898</v>
      </c>
      <c r="DW868" t="s">
        <v>198</v>
      </c>
      <c r="EG868" t="s">
        <v>198</v>
      </c>
      <c r="EQ868" t="s">
        <v>198</v>
      </c>
      <c r="FA868" t="s">
        <v>198</v>
      </c>
      <c r="FK868" t="s">
        <v>198</v>
      </c>
      <c r="FU868" t="s">
        <v>198</v>
      </c>
    </row>
    <row r="869" spans="1:177">
      <c r="A869" s="1" t="str">
        <f>HYPERLINK("http://digipan.lumentumllc.com/apps/getLink/index.php?t=PropLink&amp;p=5246858","PL")</f>
        <v>PL</v>
      </c>
      <c r="B869" s="1" t="str">
        <f>HYPERLINK("http://digipan.lumentumllc.com/apps/getLink/index.php?t=TaxLink&amp;p=5246858","TL")</f>
        <v>TL</v>
      </c>
      <c r="C869" s="1" t="str">
        <f>HYPERLINK("http://digipan.lumentumllc.com/apps/getMap/index.php?p=5246858","Map")</f>
        <v>Map</v>
      </c>
      <c r="E869" t="s">
        <v>177</v>
      </c>
      <c r="F869" t="s">
        <v>178</v>
      </c>
      <c r="L869" t="s">
        <v>11899</v>
      </c>
      <c r="N869" t="s">
        <v>11899</v>
      </c>
      <c r="O869" t="s">
        <v>11899</v>
      </c>
      <c r="P869" t="s">
        <v>11900</v>
      </c>
      <c r="Q869" t="s">
        <v>11899</v>
      </c>
      <c r="V869">
        <v>1008</v>
      </c>
      <c r="W869">
        <v>4</v>
      </c>
      <c r="X869">
        <v>2017</v>
      </c>
      <c r="Y869">
        <v>2018</v>
      </c>
      <c r="Z869">
        <v>4635.2</v>
      </c>
      <c r="AB869" t="s">
        <v>181</v>
      </c>
      <c r="AC869" t="s">
        <v>182</v>
      </c>
      <c r="AD869" t="s">
        <v>183</v>
      </c>
      <c r="AE869">
        <v>0</v>
      </c>
      <c r="AF869">
        <v>5</v>
      </c>
      <c r="AG869" t="s">
        <v>3266</v>
      </c>
      <c r="AH869">
        <v>100</v>
      </c>
      <c r="AK869">
        <v>0</v>
      </c>
      <c r="AL869">
        <v>257909</v>
      </c>
      <c r="AM869">
        <v>100084</v>
      </c>
      <c r="AN869">
        <v>157825</v>
      </c>
      <c r="AO869">
        <v>4241</v>
      </c>
      <c r="AP869">
        <v>2016</v>
      </c>
      <c r="AQ869">
        <v>1.8</v>
      </c>
      <c r="AS869" t="s">
        <v>11890</v>
      </c>
      <c r="AT869" t="s">
        <v>3747</v>
      </c>
      <c r="AU869" t="s">
        <v>177</v>
      </c>
      <c r="AV869" t="s">
        <v>1030</v>
      </c>
      <c r="AW869" t="s">
        <v>182</v>
      </c>
      <c r="AX869">
        <v>76</v>
      </c>
      <c r="AY869" t="s">
        <v>3641</v>
      </c>
      <c r="AZ869" t="s">
        <v>722</v>
      </c>
      <c r="BA869" t="s">
        <v>11901</v>
      </c>
      <c r="BB869" t="s">
        <v>191</v>
      </c>
      <c r="BC869" t="s">
        <v>182</v>
      </c>
      <c r="BD869" t="s">
        <v>182</v>
      </c>
      <c r="BE869" t="s">
        <v>5145</v>
      </c>
      <c r="BF869">
        <v>1</v>
      </c>
      <c r="BG869">
        <v>0</v>
      </c>
      <c r="BH869">
        <v>1908</v>
      </c>
      <c r="BI869" t="s">
        <v>11902</v>
      </c>
      <c r="BJ869" t="s">
        <v>285</v>
      </c>
      <c r="BK869" t="s">
        <v>195</v>
      </c>
      <c r="BL869" t="s">
        <v>199</v>
      </c>
      <c r="BM869" t="s">
        <v>679</v>
      </c>
      <c r="BN869" t="s">
        <v>182</v>
      </c>
      <c r="BO869" t="s">
        <v>3842</v>
      </c>
      <c r="BP869" t="s">
        <v>11903</v>
      </c>
      <c r="BS869" t="s">
        <v>11904</v>
      </c>
      <c r="BT869" t="s">
        <v>198</v>
      </c>
      <c r="BU869" t="s">
        <v>182</v>
      </c>
      <c r="BV869" t="s">
        <v>198</v>
      </c>
      <c r="BW869" t="s">
        <v>198</v>
      </c>
      <c r="BX869" t="s">
        <v>199</v>
      </c>
      <c r="BY869" t="s">
        <v>198</v>
      </c>
      <c r="BZ869" t="s">
        <v>199</v>
      </c>
      <c r="CA869" t="s">
        <v>199</v>
      </c>
      <c r="CB869" t="s">
        <v>11905</v>
      </c>
      <c r="CC869" t="s">
        <v>201</v>
      </c>
      <c r="CD869" t="s">
        <v>202</v>
      </c>
      <c r="CE869" t="s">
        <v>11906</v>
      </c>
      <c r="CF869" t="s">
        <v>1029</v>
      </c>
      <c r="CG869" t="s">
        <v>177</v>
      </c>
      <c r="CH869" t="s">
        <v>1030</v>
      </c>
      <c r="CI869" t="s">
        <v>11907</v>
      </c>
      <c r="CJ869" t="s">
        <v>8868</v>
      </c>
      <c r="CK869" t="s">
        <v>232</v>
      </c>
      <c r="CL869" t="s">
        <v>233</v>
      </c>
      <c r="CM869" t="s">
        <v>11908</v>
      </c>
      <c r="CN869" t="s">
        <v>235</v>
      </c>
      <c r="CO869" t="s">
        <v>183</v>
      </c>
      <c r="CP869" t="s">
        <v>211</v>
      </c>
      <c r="CQ869" t="s">
        <v>206</v>
      </c>
      <c r="CS869" t="s">
        <v>2262</v>
      </c>
      <c r="CT869" t="s">
        <v>9025</v>
      </c>
      <c r="CU869" t="s">
        <v>292</v>
      </c>
      <c r="CV869" t="s">
        <v>293</v>
      </c>
      <c r="CW869" t="s">
        <v>11909</v>
      </c>
      <c r="CX869" t="s">
        <v>235</v>
      </c>
      <c r="CY869" t="s">
        <v>183</v>
      </c>
      <c r="CZ869" t="s">
        <v>211</v>
      </c>
      <c r="DA869" t="s">
        <v>427</v>
      </c>
      <c r="DC869" t="s">
        <v>11910</v>
      </c>
      <c r="DD869" t="s">
        <v>11911</v>
      </c>
      <c r="DE869" t="s">
        <v>267</v>
      </c>
      <c r="DF869" t="s">
        <v>268</v>
      </c>
      <c r="DG869" t="s">
        <v>11912</v>
      </c>
      <c r="DH869" t="s">
        <v>235</v>
      </c>
      <c r="DI869" t="s">
        <v>183</v>
      </c>
      <c r="DJ869" t="s">
        <v>211</v>
      </c>
      <c r="DK869" t="s">
        <v>189</v>
      </c>
      <c r="DM869" t="s">
        <v>11913</v>
      </c>
      <c r="DN869" t="s">
        <v>11914</v>
      </c>
      <c r="DO869" t="s">
        <v>273</v>
      </c>
      <c r="DP869" t="s">
        <v>274</v>
      </c>
      <c r="DQ869" t="s">
        <v>11915</v>
      </c>
      <c r="DR869" t="s">
        <v>235</v>
      </c>
      <c r="DS869" t="s">
        <v>183</v>
      </c>
      <c r="DT869" t="s">
        <v>211</v>
      </c>
      <c r="DU869" t="s">
        <v>206</v>
      </c>
      <c r="DW869" t="s">
        <v>11898</v>
      </c>
      <c r="DX869" t="s">
        <v>11916</v>
      </c>
      <c r="DY869" t="s">
        <v>238</v>
      </c>
      <c r="DZ869" t="s">
        <v>239</v>
      </c>
      <c r="EA869" t="s">
        <v>11917</v>
      </c>
      <c r="EB869" t="s">
        <v>436</v>
      </c>
      <c r="EC869" t="s">
        <v>183</v>
      </c>
      <c r="ED869" t="s">
        <v>211</v>
      </c>
      <c r="EE869" t="s">
        <v>339</v>
      </c>
      <c r="EG869" t="s">
        <v>11918</v>
      </c>
      <c r="EQ869" t="s">
        <v>198</v>
      </c>
      <c r="FA869" t="s">
        <v>198</v>
      </c>
      <c r="FK869" t="s">
        <v>198</v>
      </c>
      <c r="FU869" t="s">
        <v>198</v>
      </c>
    </row>
    <row r="870" spans="1:177">
      <c r="A870" s="1" t="str">
        <f>HYPERLINK("http://digipan.lumentumllc.com/apps/getLink/index.php?t=PropLink&amp;p=5246860","PL")</f>
        <v>PL</v>
      </c>
      <c r="B870" s="1" t="str">
        <f>HYPERLINK("http://digipan.lumentumllc.com/apps/getLink/index.php?t=TaxLink&amp;p=5246860","TL")</f>
        <v>TL</v>
      </c>
      <c r="C870" s="1" t="str">
        <f>HYPERLINK("http://digipan.lumentumllc.com/apps/getMap/index.php?p=5246860","Map")</f>
        <v>Map</v>
      </c>
      <c r="E870" t="s">
        <v>177</v>
      </c>
      <c r="F870" t="s">
        <v>178</v>
      </c>
      <c r="L870" t="s">
        <v>11919</v>
      </c>
      <c r="N870" t="s">
        <v>11919</v>
      </c>
      <c r="O870" t="s">
        <v>11919</v>
      </c>
      <c r="P870" t="s">
        <v>11920</v>
      </c>
      <c r="Q870" t="s">
        <v>11919</v>
      </c>
      <c r="V870">
        <v>1009</v>
      </c>
      <c r="W870">
        <v>4</v>
      </c>
      <c r="X870">
        <v>2017</v>
      </c>
      <c r="Y870">
        <v>2018</v>
      </c>
      <c r="Z870">
        <v>2230.64</v>
      </c>
      <c r="AB870" t="s">
        <v>181</v>
      </c>
      <c r="AC870" t="s">
        <v>182</v>
      </c>
      <c r="AD870" t="s">
        <v>183</v>
      </c>
      <c r="AE870">
        <v>0</v>
      </c>
      <c r="AF870">
        <v>8</v>
      </c>
      <c r="AG870" t="s">
        <v>1059</v>
      </c>
      <c r="AH870">
        <v>100</v>
      </c>
      <c r="AK870">
        <v>0</v>
      </c>
      <c r="AL870">
        <v>134287</v>
      </c>
      <c r="AM870">
        <v>29120</v>
      </c>
      <c r="AN870">
        <v>105167</v>
      </c>
      <c r="AO870">
        <v>2073</v>
      </c>
      <c r="AP870">
        <v>2016</v>
      </c>
      <c r="AQ870">
        <v>1.66</v>
      </c>
      <c r="AS870" t="s">
        <v>11921</v>
      </c>
      <c r="AT870" t="s">
        <v>3747</v>
      </c>
      <c r="AU870" t="s">
        <v>177</v>
      </c>
      <c r="AV870" t="s">
        <v>1030</v>
      </c>
      <c r="AW870" t="s">
        <v>182</v>
      </c>
      <c r="AX870">
        <v>1</v>
      </c>
      <c r="AY870" t="s">
        <v>188</v>
      </c>
      <c r="AZ870" t="s">
        <v>206</v>
      </c>
      <c r="BA870" t="s">
        <v>355</v>
      </c>
      <c r="BB870" t="s">
        <v>191</v>
      </c>
      <c r="BC870" t="s">
        <v>182</v>
      </c>
      <c r="BD870" t="s">
        <v>182</v>
      </c>
      <c r="BE870" t="s">
        <v>2442</v>
      </c>
      <c r="BF870">
        <v>2</v>
      </c>
      <c r="BG870">
        <v>2</v>
      </c>
      <c r="BH870">
        <v>1945</v>
      </c>
      <c r="BI870" t="s">
        <v>11922</v>
      </c>
      <c r="BJ870" t="s">
        <v>194</v>
      </c>
      <c r="BK870" t="s">
        <v>195</v>
      </c>
      <c r="BL870" t="s">
        <v>199</v>
      </c>
      <c r="BM870" t="s">
        <v>358</v>
      </c>
      <c r="BN870" t="s">
        <v>182</v>
      </c>
      <c r="BO870" t="s">
        <v>198</v>
      </c>
      <c r="BP870" t="s">
        <v>198</v>
      </c>
      <c r="BQ870" t="s">
        <v>198</v>
      </c>
      <c r="BR870" t="s">
        <v>198</v>
      </c>
      <c r="BS870" t="s">
        <v>198</v>
      </c>
      <c r="BT870" t="s">
        <v>198</v>
      </c>
      <c r="BU870" t="s">
        <v>182</v>
      </c>
      <c r="BV870" t="s">
        <v>198</v>
      </c>
      <c r="BW870" t="s">
        <v>198</v>
      </c>
      <c r="BX870" t="s">
        <v>199</v>
      </c>
      <c r="BY870" t="s">
        <v>198</v>
      </c>
      <c r="BZ870" t="s">
        <v>199</v>
      </c>
      <c r="CA870" t="s">
        <v>199</v>
      </c>
      <c r="CB870" t="s">
        <v>11923</v>
      </c>
      <c r="CC870" t="s">
        <v>1407</v>
      </c>
      <c r="CD870" t="s">
        <v>202</v>
      </c>
      <c r="CE870" t="s">
        <v>11924</v>
      </c>
      <c r="CF870" t="s">
        <v>1029</v>
      </c>
      <c r="CG870" t="s">
        <v>177</v>
      </c>
      <c r="CH870" t="s">
        <v>1030</v>
      </c>
      <c r="CI870" t="s">
        <v>11925</v>
      </c>
      <c r="CJ870" t="s">
        <v>8257</v>
      </c>
      <c r="CK870" t="s">
        <v>232</v>
      </c>
      <c r="CL870" t="s">
        <v>233</v>
      </c>
      <c r="CM870" t="s">
        <v>11926</v>
      </c>
      <c r="CN870" t="s">
        <v>235</v>
      </c>
      <c r="CO870" t="s">
        <v>183</v>
      </c>
      <c r="CP870" t="s">
        <v>211</v>
      </c>
      <c r="CQ870" t="s">
        <v>329</v>
      </c>
      <c r="CS870" t="s">
        <v>430</v>
      </c>
      <c r="CT870" t="s">
        <v>8381</v>
      </c>
      <c r="CU870" t="s">
        <v>292</v>
      </c>
      <c r="CV870" t="s">
        <v>293</v>
      </c>
      <c r="CW870" t="s">
        <v>11927</v>
      </c>
      <c r="CX870" t="s">
        <v>235</v>
      </c>
      <c r="CY870" t="s">
        <v>183</v>
      </c>
      <c r="CZ870" t="s">
        <v>211</v>
      </c>
      <c r="DA870" t="s">
        <v>296</v>
      </c>
      <c r="DC870" t="s">
        <v>849</v>
      </c>
      <c r="DD870" t="s">
        <v>11124</v>
      </c>
      <c r="DE870" t="s">
        <v>267</v>
      </c>
      <c r="DF870" t="s">
        <v>268</v>
      </c>
      <c r="DG870" t="s">
        <v>11928</v>
      </c>
      <c r="DH870" t="s">
        <v>235</v>
      </c>
      <c r="DI870" t="s">
        <v>183</v>
      </c>
      <c r="DJ870" t="s">
        <v>211</v>
      </c>
      <c r="DK870" t="s">
        <v>444</v>
      </c>
      <c r="DM870" t="s">
        <v>849</v>
      </c>
      <c r="DN870" t="s">
        <v>11929</v>
      </c>
      <c r="DO870" t="s">
        <v>273</v>
      </c>
      <c r="DP870" t="s">
        <v>274</v>
      </c>
      <c r="DQ870" t="s">
        <v>11930</v>
      </c>
      <c r="DR870" t="s">
        <v>235</v>
      </c>
      <c r="DS870" t="s">
        <v>183</v>
      </c>
      <c r="DT870" t="s">
        <v>211</v>
      </c>
      <c r="DU870" t="s">
        <v>345</v>
      </c>
      <c r="DW870" t="s">
        <v>3539</v>
      </c>
      <c r="DX870" t="s">
        <v>9544</v>
      </c>
      <c r="DY870" t="s">
        <v>302</v>
      </c>
      <c r="DZ870" t="s">
        <v>303</v>
      </c>
      <c r="EA870" t="s">
        <v>11931</v>
      </c>
      <c r="EB870" t="s">
        <v>235</v>
      </c>
      <c r="EC870" t="s">
        <v>183</v>
      </c>
      <c r="ED870" t="s">
        <v>211</v>
      </c>
      <c r="EE870" t="s">
        <v>345</v>
      </c>
      <c r="EG870" t="s">
        <v>11932</v>
      </c>
      <c r="EH870" t="s">
        <v>11933</v>
      </c>
      <c r="EI870" t="s">
        <v>238</v>
      </c>
      <c r="EJ870" t="s">
        <v>239</v>
      </c>
      <c r="EK870" t="s">
        <v>11934</v>
      </c>
      <c r="EL870" t="s">
        <v>235</v>
      </c>
      <c r="EM870" t="s">
        <v>183</v>
      </c>
      <c r="EN870" t="s">
        <v>211</v>
      </c>
      <c r="EO870" t="s">
        <v>345</v>
      </c>
      <c r="EQ870" t="s">
        <v>2753</v>
      </c>
      <c r="ER870" t="s">
        <v>11833</v>
      </c>
      <c r="ES870" t="s">
        <v>346</v>
      </c>
      <c r="ET870" t="s">
        <v>347</v>
      </c>
      <c r="EU870" t="s">
        <v>11935</v>
      </c>
      <c r="EV870" t="s">
        <v>235</v>
      </c>
      <c r="EW870" t="s">
        <v>183</v>
      </c>
      <c r="EX870" t="s">
        <v>211</v>
      </c>
      <c r="EY870" t="s">
        <v>337</v>
      </c>
      <c r="FA870" t="s">
        <v>1352</v>
      </c>
      <c r="FB870" t="s">
        <v>11936</v>
      </c>
      <c r="FC870" t="s">
        <v>207</v>
      </c>
      <c r="FD870" t="s">
        <v>208</v>
      </c>
      <c r="FE870" t="s">
        <v>11937</v>
      </c>
      <c r="FF870" t="s">
        <v>235</v>
      </c>
      <c r="FG870" t="s">
        <v>183</v>
      </c>
      <c r="FH870" t="s">
        <v>211</v>
      </c>
      <c r="FI870" t="s">
        <v>493</v>
      </c>
      <c r="FK870" t="s">
        <v>9320</v>
      </c>
      <c r="FU870" t="s">
        <v>198</v>
      </c>
    </row>
    <row r="871" spans="1:177">
      <c r="A871" s="1" t="str">
        <f>HYPERLINK("http://digipan.lumentumllc.com/apps/getLink/index.php?t=PropLink&amp;p=7112491","PL")</f>
        <v>PL</v>
      </c>
      <c r="B871" s="1" t="str">
        <f>HYPERLINK("http://digipan.lumentumllc.com/apps/getLink/index.php?t=TaxLink&amp;p=7112491","TL")</f>
        <v>TL</v>
      </c>
      <c r="C871" s="1" t="str">
        <f>HYPERLINK("http://digipan.lumentumllc.com/apps/getMap/index.php?p=7112491","Map")</f>
        <v>Map</v>
      </c>
      <c r="E871" t="s">
        <v>177</v>
      </c>
      <c r="F871" t="s">
        <v>178</v>
      </c>
      <c r="L871" t="s">
        <v>11938</v>
      </c>
      <c r="N871" t="s">
        <v>11938</v>
      </c>
      <c r="O871" t="s">
        <v>11938</v>
      </c>
      <c r="P871" t="s">
        <v>11939</v>
      </c>
      <c r="Q871" t="s">
        <v>11938</v>
      </c>
      <c r="V871">
        <v>1011</v>
      </c>
      <c r="W871">
        <v>4</v>
      </c>
      <c r="X871">
        <v>2017</v>
      </c>
      <c r="Y871">
        <v>2018</v>
      </c>
      <c r="Z871">
        <v>656.44</v>
      </c>
      <c r="AB871" t="s">
        <v>181</v>
      </c>
      <c r="AC871" t="s">
        <v>182</v>
      </c>
      <c r="AD871" t="s">
        <v>183</v>
      </c>
      <c r="AE871">
        <v>2</v>
      </c>
      <c r="AF871">
        <v>0</v>
      </c>
      <c r="AG871" t="s">
        <v>1737</v>
      </c>
      <c r="AH871">
        <v>0</v>
      </c>
      <c r="AI871">
        <v>793.23</v>
      </c>
      <c r="AJ871">
        <v>106.67</v>
      </c>
      <c r="AK871">
        <v>899.9</v>
      </c>
      <c r="AL871">
        <v>40952</v>
      </c>
      <c r="AM871">
        <v>15450</v>
      </c>
      <c r="AN871">
        <v>25502</v>
      </c>
      <c r="AO871">
        <v>475</v>
      </c>
      <c r="AP871">
        <v>2016</v>
      </c>
      <c r="AQ871">
        <v>1.6</v>
      </c>
      <c r="AR871">
        <v>2.2000000000000002</v>
      </c>
      <c r="AS871" t="s">
        <v>11940</v>
      </c>
      <c r="AT871" t="s">
        <v>3747</v>
      </c>
      <c r="AU871" t="s">
        <v>177</v>
      </c>
      <c r="AV871" t="s">
        <v>1030</v>
      </c>
      <c r="AW871" t="s">
        <v>182</v>
      </c>
      <c r="AX871">
        <v>2</v>
      </c>
      <c r="AY871" t="s">
        <v>188</v>
      </c>
      <c r="AZ871" t="s">
        <v>189</v>
      </c>
      <c r="BA871" t="s">
        <v>190</v>
      </c>
      <c r="BB871" t="s">
        <v>191</v>
      </c>
      <c r="BC871" t="s">
        <v>182</v>
      </c>
      <c r="BD871" t="s">
        <v>182</v>
      </c>
      <c r="BE871" t="s">
        <v>1385</v>
      </c>
      <c r="BF871">
        <v>1</v>
      </c>
      <c r="BG871">
        <v>1</v>
      </c>
      <c r="BH871">
        <v>1992</v>
      </c>
      <c r="BI871" t="s">
        <v>10774</v>
      </c>
      <c r="BJ871" t="s">
        <v>396</v>
      </c>
      <c r="BK871" t="s">
        <v>195</v>
      </c>
      <c r="BL871" t="s">
        <v>367</v>
      </c>
      <c r="BM871" t="s">
        <v>292</v>
      </c>
      <c r="BN871" t="s">
        <v>182</v>
      </c>
      <c r="BO871" t="s">
        <v>198</v>
      </c>
      <c r="BP871" t="s">
        <v>198</v>
      </c>
      <c r="BQ871" t="s">
        <v>198</v>
      </c>
      <c r="BR871" t="s">
        <v>198</v>
      </c>
      <c r="BS871" t="s">
        <v>198</v>
      </c>
      <c r="BT871" t="s">
        <v>198</v>
      </c>
      <c r="BU871" t="s">
        <v>182</v>
      </c>
      <c r="BV871" t="s">
        <v>198</v>
      </c>
      <c r="BW871" t="s">
        <v>198</v>
      </c>
      <c r="BX871" t="s">
        <v>199</v>
      </c>
      <c r="BY871" t="s">
        <v>198</v>
      </c>
      <c r="BZ871" t="s">
        <v>199</v>
      </c>
      <c r="CA871" t="s">
        <v>199</v>
      </c>
      <c r="CB871" t="s">
        <v>11941</v>
      </c>
      <c r="CC871" t="s">
        <v>201</v>
      </c>
      <c r="CD871" t="s">
        <v>202</v>
      </c>
      <c r="CE871" t="s">
        <v>11942</v>
      </c>
      <c r="CF871" t="s">
        <v>1029</v>
      </c>
      <c r="CG871" t="s">
        <v>177</v>
      </c>
      <c r="CH871" t="s">
        <v>1030</v>
      </c>
      <c r="CI871" t="s">
        <v>11943</v>
      </c>
      <c r="CJ871" t="s">
        <v>8272</v>
      </c>
      <c r="CK871" t="s">
        <v>232</v>
      </c>
      <c r="CL871" t="s">
        <v>233</v>
      </c>
      <c r="CM871" t="s">
        <v>11944</v>
      </c>
      <c r="CN871" t="s">
        <v>235</v>
      </c>
      <c r="CO871" t="s">
        <v>183</v>
      </c>
      <c r="CP871" t="s">
        <v>266</v>
      </c>
      <c r="CS871" t="s">
        <v>198</v>
      </c>
      <c r="CT871" t="s">
        <v>11945</v>
      </c>
      <c r="CU871" t="s">
        <v>292</v>
      </c>
      <c r="CV871" t="s">
        <v>293</v>
      </c>
      <c r="CW871" t="s">
        <v>11946</v>
      </c>
      <c r="CX871" t="s">
        <v>389</v>
      </c>
      <c r="CY871" t="s">
        <v>183</v>
      </c>
      <c r="CZ871" t="s">
        <v>266</v>
      </c>
      <c r="DC871" t="s">
        <v>198</v>
      </c>
      <c r="DM871" t="s">
        <v>198</v>
      </c>
      <c r="DW871" t="s">
        <v>198</v>
      </c>
      <c r="EG871" t="s">
        <v>198</v>
      </c>
      <c r="EQ871" t="s">
        <v>198</v>
      </c>
      <c r="FA871" t="s">
        <v>198</v>
      </c>
      <c r="FK871" t="s">
        <v>198</v>
      </c>
      <c r="FU871" t="s">
        <v>198</v>
      </c>
    </row>
    <row r="872" spans="1:177">
      <c r="A872" s="1" t="str">
        <f>HYPERLINK("http://digipan.lumentumllc.com/apps/getLink/index.php?t=PropLink&amp;p=4637956","PL")</f>
        <v>PL</v>
      </c>
      <c r="B872" s="1" t="str">
        <f>HYPERLINK("http://digipan.lumentumllc.com/apps/getLink/index.php?t=TaxLink&amp;p=4637956","TL")</f>
        <v>TL</v>
      </c>
      <c r="C872" s="1" t="str">
        <f>HYPERLINK("http://digipan.lumentumllc.com/apps/getMap/index.php?p=4637956","Map")</f>
        <v>Map</v>
      </c>
      <c r="E872" t="s">
        <v>177</v>
      </c>
      <c r="F872" t="s">
        <v>178</v>
      </c>
      <c r="L872" t="s">
        <v>11947</v>
      </c>
      <c r="N872" t="s">
        <v>11947</v>
      </c>
      <c r="O872" t="s">
        <v>11947</v>
      </c>
      <c r="P872" t="s">
        <v>11948</v>
      </c>
      <c r="Q872" t="s">
        <v>11947</v>
      </c>
      <c r="V872">
        <v>1012</v>
      </c>
      <c r="W872">
        <v>4</v>
      </c>
      <c r="X872">
        <v>2017</v>
      </c>
      <c r="Y872">
        <v>2018</v>
      </c>
      <c r="Z872">
        <v>289.01</v>
      </c>
      <c r="AB872" t="s">
        <v>181</v>
      </c>
      <c r="AC872" t="s">
        <v>182</v>
      </c>
      <c r="AD872" t="s">
        <v>183</v>
      </c>
      <c r="AE872">
        <v>0</v>
      </c>
      <c r="AF872">
        <v>6</v>
      </c>
      <c r="AG872" t="s">
        <v>3266</v>
      </c>
      <c r="AH872">
        <v>100</v>
      </c>
      <c r="AK872">
        <v>0</v>
      </c>
      <c r="AL872">
        <v>14400</v>
      </c>
      <c r="AM872">
        <v>14400</v>
      </c>
      <c r="AN872">
        <v>0</v>
      </c>
      <c r="AO872">
        <v>242</v>
      </c>
      <c r="AP872">
        <v>2016</v>
      </c>
      <c r="AQ872">
        <v>2.0099999999999998</v>
      </c>
      <c r="AS872" t="s">
        <v>3209</v>
      </c>
      <c r="AT872" t="s">
        <v>3747</v>
      </c>
      <c r="AU872" t="s">
        <v>177</v>
      </c>
      <c r="AV872" t="s">
        <v>1030</v>
      </c>
      <c r="AW872" t="s">
        <v>182</v>
      </c>
      <c r="AX872">
        <v>10</v>
      </c>
      <c r="AY872" t="s">
        <v>3211</v>
      </c>
      <c r="AZ872" t="s">
        <v>270</v>
      </c>
      <c r="BA872" t="s">
        <v>3212</v>
      </c>
      <c r="BB872" t="s">
        <v>191</v>
      </c>
      <c r="BC872" t="s">
        <v>182</v>
      </c>
      <c r="BD872" t="s">
        <v>182</v>
      </c>
      <c r="BE872" t="s">
        <v>9812</v>
      </c>
      <c r="BF872">
        <v>0</v>
      </c>
      <c r="BG872">
        <v>0</v>
      </c>
      <c r="BH872">
        <v>0</v>
      </c>
      <c r="BI872" t="s">
        <v>199</v>
      </c>
      <c r="BJ872" t="s">
        <v>315</v>
      </c>
      <c r="BL872" t="s">
        <v>11256</v>
      </c>
      <c r="BM872" t="s">
        <v>559</v>
      </c>
      <c r="BN872" t="s">
        <v>182</v>
      </c>
      <c r="BO872" t="s">
        <v>198</v>
      </c>
      <c r="BP872" t="s">
        <v>198</v>
      </c>
      <c r="BQ872" t="s">
        <v>198</v>
      </c>
      <c r="BR872" t="s">
        <v>198</v>
      </c>
      <c r="BS872" t="s">
        <v>198</v>
      </c>
      <c r="BT872" t="s">
        <v>198</v>
      </c>
      <c r="BU872" t="s">
        <v>182</v>
      </c>
      <c r="BV872" t="s">
        <v>198</v>
      </c>
      <c r="BW872" t="s">
        <v>198</v>
      </c>
      <c r="BX872" t="s">
        <v>199</v>
      </c>
      <c r="BY872" t="s">
        <v>198</v>
      </c>
      <c r="BZ872" t="s">
        <v>199</v>
      </c>
      <c r="CA872" t="s">
        <v>199</v>
      </c>
      <c r="CB872" t="s">
        <v>11225</v>
      </c>
      <c r="CC872" t="s">
        <v>201</v>
      </c>
      <c r="CD872" t="s">
        <v>182</v>
      </c>
      <c r="CE872" t="s">
        <v>2111</v>
      </c>
      <c r="CF872" t="s">
        <v>1029</v>
      </c>
      <c r="CG872" t="s">
        <v>177</v>
      </c>
      <c r="CH872" t="s">
        <v>1030</v>
      </c>
      <c r="CI872" t="s">
        <v>11865</v>
      </c>
      <c r="CJ872" t="s">
        <v>11949</v>
      </c>
      <c r="CK872" t="s">
        <v>292</v>
      </c>
      <c r="CL872" t="s">
        <v>293</v>
      </c>
      <c r="CM872" t="s">
        <v>11950</v>
      </c>
      <c r="CN872" t="s">
        <v>235</v>
      </c>
      <c r="CO872" t="s">
        <v>183</v>
      </c>
      <c r="CP872" t="s">
        <v>211</v>
      </c>
      <c r="CQ872" t="s">
        <v>296</v>
      </c>
      <c r="CS872" t="s">
        <v>690</v>
      </c>
      <c r="CT872" t="s">
        <v>11182</v>
      </c>
      <c r="CU872" t="s">
        <v>267</v>
      </c>
      <c r="CV872" t="s">
        <v>268</v>
      </c>
      <c r="CW872" t="s">
        <v>11951</v>
      </c>
      <c r="CX872" t="s">
        <v>247</v>
      </c>
      <c r="CY872" t="s">
        <v>183</v>
      </c>
      <c r="CZ872" t="s">
        <v>211</v>
      </c>
      <c r="DA872" t="s">
        <v>329</v>
      </c>
      <c r="DC872" t="s">
        <v>5484</v>
      </c>
      <c r="DD872" t="s">
        <v>1261</v>
      </c>
      <c r="DE872" t="s">
        <v>273</v>
      </c>
      <c r="DF872" t="s">
        <v>274</v>
      </c>
      <c r="DG872" t="s">
        <v>11952</v>
      </c>
      <c r="DH872" t="s">
        <v>389</v>
      </c>
      <c r="DI872" t="s">
        <v>183</v>
      </c>
      <c r="DJ872" t="s">
        <v>211</v>
      </c>
      <c r="DK872" t="s">
        <v>206</v>
      </c>
      <c r="DM872" t="s">
        <v>11230</v>
      </c>
      <c r="DN872" t="s">
        <v>11953</v>
      </c>
      <c r="DO872" t="s">
        <v>302</v>
      </c>
      <c r="DP872" t="s">
        <v>303</v>
      </c>
      <c r="DQ872" t="s">
        <v>11954</v>
      </c>
      <c r="DR872" t="s">
        <v>278</v>
      </c>
      <c r="DS872" t="s">
        <v>183</v>
      </c>
      <c r="DT872" t="s">
        <v>211</v>
      </c>
      <c r="DU872" t="s">
        <v>329</v>
      </c>
      <c r="DW872" t="s">
        <v>520</v>
      </c>
      <c r="DX872" t="s">
        <v>11955</v>
      </c>
      <c r="DY872" t="s">
        <v>238</v>
      </c>
      <c r="DZ872" t="s">
        <v>239</v>
      </c>
      <c r="EA872" t="s">
        <v>11956</v>
      </c>
      <c r="EB872" t="s">
        <v>440</v>
      </c>
      <c r="EC872" t="s">
        <v>183</v>
      </c>
      <c r="ED872" t="s">
        <v>211</v>
      </c>
      <c r="EE872" t="s">
        <v>189</v>
      </c>
      <c r="EG872" t="s">
        <v>11234</v>
      </c>
      <c r="EH872" t="s">
        <v>499</v>
      </c>
      <c r="EI872" t="s">
        <v>207</v>
      </c>
      <c r="EJ872" t="s">
        <v>208</v>
      </c>
      <c r="EK872" t="s">
        <v>11957</v>
      </c>
      <c r="EL872" t="s">
        <v>576</v>
      </c>
      <c r="EM872" t="s">
        <v>183</v>
      </c>
      <c r="EN872" t="s">
        <v>211</v>
      </c>
      <c r="EO872" t="s">
        <v>206</v>
      </c>
      <c r="EQ872" t="s">
        <v>11276</v>
      </c>
      <c r="FA872" t="s">
        <v>198</v>
      </c>
      <c r="FK872" t="s">
        <v>198</v>
      </c>
      <c r="FU872" t="s">
        <v>198</v>
      </c>
    </row>
    <row r="873" spans="1:177">
      <c r="A873" s="1" t="str">
        <f>HYPERLINK("http://digipan.lumentumllc.com/apps/getLink/index.php?t=PropLink&amp;p=15753441","PL")</f>
        <v>PL</v>
      </c>
      <c r="B873" s="1" t="str">
        <f>HYPERLINK("http://digipan.lumentumllc.com/apps/getLink/index.php?t=TaxLink&amp;p=15753441","TL")</f>
        <v>TL</v>
      </c>
      <c r="C873" s="1" t="str">
        <f>HYPERLINK("http://digipan.lumentumllc.com/apps/getMap/index.php?p=15753441","Map")</f>
        <v>Map</v>
      </c>
      <c r="E873" t="s">
        <v>177</v>
      </c>
      <c r="F873" t="s">
        <v>178</v>
      </c>
      <c r="L873" t="s">
        <v>11958</v>
      </c>
      <c r="N873" t="s">
        <v>11958</v>
      </c>
      <c r="O873" t="s">
        <v>11958</v>
      </c>
      <c r="Q873" t="s">
        <v>11958</v>
      </c>
      <c r="V873">
        <v>1013</v>
      </c>
      <c r="W873">
        <v>4</v>
      </c>
      <c r="X873">
        <v>2017</v>
      </c>
      <c r="Y873">
        <v>2018</v>
      </c>
      <c r="Z873">
        <v>1718.84</v>
      </c>
      <c r="AG873" t="s">
        <v>184</v>
      </c>
      <c r="AH873">
        <v>0</v>
      </c>
      <c r="AK873">
        <v>0</v>
      </c>
      <c r="AL873">
        <v>146418</v>
      </c>
      <c r="AM873">
        <v>42720</v>
      </c>
      <c r="AN873">
        <v>103698</v>
      </c>
      <c r="AO873">
        <v>1548</v>
      </c>
      <c r="AP873">
        <v>2016</v>
      </c>
      <c r="AQ873">
        <v>1.17</v>
      </c>
      <c r="AS873" t="s">
        <v>11959</v>
      </c>
      <c r="AT873" t="s">
        <v>3747</v>
      </c>
      <c r="AU873" t="s">
        <v>177</v>
      </c>
      <c r="AV873" t="s">
        <v>1030</v>
      </c>
      <c r="AW873" t="s">
        <v>202</v>
      </c>
      <c r="AX873">
        <v>1</v>
      </c>
      <c r="AY873" t="s">
        <v>188</v>
      </c>
      <c r="AZ873" t="s">
        <v>206</v>
      </c>
      <c r="BA873" t="s">
        <v>355</v>
      </c>
      <c r="BB873" t="s">
        <v>191</v>
      </c>
      <c r="BC873" t="s">
        <v>182</v>
      </c>
      <c r="BD873" t="s">
        <v>182</v>
      </c>
      <c r="BE873" t="s">
        <v>11960</v>
      </c>
      <c r="BF873">
        <v>1</v>
      </c>
      <c r="BG873">
        <v>1</v>
      </c>
      <c r="BH873">
        <v>1961</v>
      </c>
      <c r="BI873" t="s">
        <v>1108</v>
      </c>
      <c r="BJ873" t="s">
        <v>194</v>
      </c>
      <c r="BK873" t="s">
        <v>195</v>
      </c>
      <c r="BL873" t="s">
        <v>11961</v>
      </c>
      <c r="BM873" t="s">
        <v>679</v>
      </c>
      <c r="BN873" t="s">
        <v>182</v>
      </c>
      <c r="BO873" t="s">
        <v>11962</v>
      </c>
      <c r="BP873" t="s">
        <v>2737</v>
      </c>
      <c r="BQ873" t="s">
        <v>1896</v>
      </c>
      <c r="BR873" t="s">
        <v>563</v>
      </c>
      <c r="BS873" t="s">
        <v>198</v>
      </c>
      <c r="BT873" t="s">
        <v>1847</v>
      </c>
      <c r="BU873" t="s">
        <v>182</v>
      </c>
      <c r="BV873" t="s">
        <v>198</v>
      </c>
      <c r="BW873" t="s">
        <v>198</v>
      </c>
      <c r="BX873" t="s">
        <v>199</v>
      </c>
      <c r="BY873" t="s">
        <v>198</v>
      </c>
      <c r="BZ873" t="s">
        <v>199</v>
      </c>
      <c r="CA873" t="s">
        <v>199</v>
      </c>
      <c r="CB873" t="s">
        <v>11963</v>
      </c>
      <c r="CC873" t="s">
        <v>201</v>
      </c>
      <c r="CD873" t="s">
        <v>182</v>
      </c>
      <c r="CE873" t="s">
        <v>11964</v>
      </c>
      <c r="CF873" t="s">
        <v>1029</v>
      </c>
      <c r="CG873" t="s">
        <v>177</v>
      </c>
      <c r="CH873" t="s">
        <v>1030</v>
      </c>
      <c r="CI873" t="s">
        <v>11965</v>
      </c>
      <c r="CS873" t="s">
        <v>198</v>
      </c>
      <c r="DC873" t="s">
        <v>198</v>
      </c>
      <c r="DM873" t="s">
        <v>198</v>
      </c>
      <c r="DW873" t="s">
        <v>198</v>
      </c>
      <c r="EG873" t="s">
        <v>198</v>
      </c>
      <c r="EQ873" t="s">
        <v>198</v>
      </c>
      <c r="FA873" t="s">
        <v>198</v>
      </c>
      <c r="FK873" t="s">
        <v>198</v>
      </c>
      <c r="FU873" t="s">
        <v>198</v>
      </c>
    </row>
    <row r="874" spans="1:177">
      <c r="A874" s="1" t="str">
        <f>HYPERLINK("http://digipan.lumentumllc.com/apps/getLink/index.php?t=PropLink&amp;p=4638121","PL")</f>
        <v>PL</v>
      </c>
      <c r="B874" s="1" t="str">
        <f>HYPERLINK("http://digipan.lumentumllc.com/apps/getLink/index.php?t=TaxLink&amp;p=4638121","TL")</f>
        <v>TL</v>
      </c>
      <c r="C874" s="1" t="str">
        <f>HYPERLINK("http://digipan.lumentumllc.com/apps/getMap/index.php?p=4638121","Map")</f>
        <v>Map</v>
      </c>
      <c r="E874" t="s">
        <v>177</v>
      </c>
      <c r="F874" t="s">
        <v>178</v>
      </c>
      <c r="L874" t="s">
        <v>11966</v>
      </c>
      <c r="N874" t="s">
        <v>11966</v>
      </c>
      <c r="O874" t="s">
        <v>11966</v>
      </c>
      <c r="P874" t="s">
        <v>11967</v>
      </c>
      <c r="Q874" t="s">
        <v>11966</v>
      </c>
      <c r="V874">
        <v>1014</v>
      </c>
      <c r="W874">
        <v>4</v>
      </c>
      <c r="X874">
        <v>2017</v>
      </c>
      <c r="Y874">
        <v>2018</v>
      </c>
      <c r="Z874">
        <v>2930.92</v>
      </c>
      <c r="AB874" t="s">
        <v>181</v>
      </c>
      <c r="AC874" t="s">
        <v>202</v>
      </c>
      <c r="AD874" t="s">
        <v>183</v>
      </c>
      <c r="AE874">
        <v>0</v>
      </c>
      <c r="AF874">
        <v>4</v>
      </c>
      <c r="AG874" t="s">
        <v>744</v>
      </c>
      <c r="AH874">
        <v>100</v>
      </c>
      <c r="AK874">
        <v>0</v>
      </c>
      <c r="AL874">
        <v>177059</v>
      </c>
      <c r="AM874">
        <v>33976</v>
      </c>
      <c r="AN874">
        <v>143083</v>
      </c>
      <c r="AO874">
        <v>2781</v>
      </c>
      <c r="AP874">
        <v>2016</v>
      </c>
      <c r="AQ874">
        <v>1.66</v>
      </c>
      <c r="AS874" t="s">
        <v>11968</v>
      </c>
      <c r="AT874" t="s">
        <v>3747</v>
      </c>
      <c r="AU874" t="s">
        <v>177</v>
      </c>
      <c r="AV874" t="s">
        <v>1030</v>
      </c>
      <c r="AW874" t="s">
        <v>182</v>
      </c>
      <c r="AX874">
        <v>27</v>
      </c>
      <c r="AY874" t="s">
        <v>3641</v>
      </c>
      <c r="AZ874" t="s">
        <v>616</v>
      </c>
      <c r="BA874" t="s">
        <v>6072</v>
      </c>
      <c r="BB874" t="s">
        <v>191</v>
      </c>
      <c r="BC874" t="s">
        <v>182</v>
      </c>
      <c r="BD874" t="s">
        <v>182</v>
      </c>
      <c r="BE874" t="s">
        <v>1495</v>
      </c>
      <c r="BF874">
        <v>4</v>
      </c>
      <c r="BG874">
        <v>0</v>
      </c>
      <c r="BH874">
        <v>1984</v>
      </c>
      <c r="BI874" t="s">
        <v>11969</v>
      </c>
      <c r="BJ874" t="s">
        <v>194</v>
      </c>
      <c r="BK874" t="s">
        <v>195</v>
      </c>
      <c r="BL874" t="s">
        <v>11970</v>
      </c>
      <c r="BM874" t="s">
        <v>1598</v>
      </c>
      <c r="BN874" t="s">
        <v>182</v>
      </c>
      <c r="BO874" t="s">
        <v>198</v>
      </c>
      <c r="BP874" t="s">
        <v>198</v>
      </c>
      <c r="BQ874" t="s">
        <v>198</v>
      </c>
      <c r="BR874" t="s">
        <v>198</v>
      </c>
      <c r="BS874" t="s">
        <v>198</v>
      </c>
      <c r="BT874" t="s">
        <v>198</v>
      </c>
      <c r="BU874" t="s">
        <v>182</v>
      </c>
      <c r="BV874" t="s">
        <v>198</v>
      </c>
      <c r="BW874" t="s">
        <v>198</v>
      </c>
      <c r="BX874" t="s">
        <v>199</v>
      </c>
      <c r="BY874" t="s">
        <v>198</v>
      </c>
      <c r="BZ874" t="s">
        <v>199</v>
      </c>
      <c r="CA874" t="s">
        <v>199</v>
      </c>
      <c r="CB874" t="s">
        <v>11971</v>
      </c>
      <c r="CC874" t="s">
        <v>201</v>
      </c>
      <c r="CD874" t="s">
        <v>182</v>
      </c>
      <c r="CE874" t="s">
        <v>11972</v>
      </c>
      <c r="CF874" t="s">
        <v>1029</v>
      </c>
      <c r="CG874" t="s">
        <v>177</v>
      </c>
      <c r="CH874" t="s">
        <v>1030</v>
      </c>
      <c r="CI874" t="s">
        <v>11973</v>
      </c>
      <c r="CJ874" t="s">
        <v>8302</v>
      </c>
      <c r="CK874" t="s">
        <v>232</v>
      </c>
      <c r="CL874" t="s">
        <v>233</v>
      </c>
      <c r="CM874" t="s">
        <v>11974</v>
      </c>
      <c r="CN874" t="s">
        <v>235</v>
      </c>
      <c r="CO874" t="s">
        <v>183</v>
      </c>
      <c r="CP874" t="s">
        <v>211</v>
      </c>
      <c r="CQ874" t="s">
        <v>199</v>
      </c>
      <c r="CS874" t="s">
        <v>4061</v>
      </c>
      <c r="CT874" t="s">
        <v>8607</v>
      </c>
      <c r="CU874" t="s">
        <v>267</v>
      </c>
      <c r="CV874" t="s">
        <v>268</v>
      </c>
      <c r="CW874" t="s">
        <v>11975</v>
      </c>
      <c r="CX874" t="s">
        <v>235</v>
      </c>
      <c r="CY874" t="s">
        <v>183</v>
      </c>
      <c r="CZ874" t="s">
        <v>211</v>
      </c>
      <c r="DA874" t="s">
        <v>264</v>
      </c>
      <c r="DB874" t="s">
        <v>271</v>
      </c>
      <c r="DC874" t="s">
        <v>6043</v>
      </c>
      <c r="DD874" t="s">
        <v>9463</v>
      </c>
      <c r="DE874" t="s">
        <v>273</v>
      </c>
      <c r="DF874" t="s">
        <v>274</v>
      </c>
      <c r="DG874" t="s">
        <v>11976</v>
      </c>
      <c r="DH874" t="s">
        <v>235</v>
      </c>
      <c r="DI874" t="s">
        <v>183</v>
      </c>
      <c r="DJ874" t="s">
        <v>211</v>
      </c>
      <c r="DK874" t="s">
        <v>339</v>
      </c>
      <c r="DM874" t="s">
        <v>6188</v>
      </c>
      <c r="DN874" t="s">
        <v>6491</v>
      </c>
      <c r="DO874" t="s">
        <v>302</v>
      </c>
      <c r="DP874" t="s">
        <v>303</v>
      </c>
      <c r="DQ874" t="s">
        <v>11977</v>
      </c>
      <c r="DR874" t="s">
        <v>235</v>
      </c>
      <c r="DS874" t="s">
        <v>183</v>
      </c>
      <c r="DT874" t="s">
        <v>211</v>
      </c>
      <c r="DV874" t="s">
        <v>271</v>
      </c>
      <c r="DW874" t="s">
        <v>198</v>
      </c>
      <c r="EG874" t="s">
        <v>198</v>
      </c>
      <c r="EQ874" t="s">
        <v>198</v>
      </c>
      <c r="FA874" t="s">
        <v>198</v>
      </c>
      <c r="FK874" t="s">
        <v>198</v>
      </c>
      <c r="FU874" t="s">
        <v>198</v>
      </c>
    </row>
    <row r="875" spans="1:177">
      <c r="A875" s="1" t="str">
        <f>HYPERLINK("http://digipan.lumentumllc.com/apps/getLink/index.php?t=PropLink&amp;p=15753446","PL")</f>
        <v>PL</v>
      </c>
      <c r="B875" s="1" t="str">
        <f>HYPERLINK("http://digipan.lumentumllc.com/apps/getLink/index.php?t=TaxLink&amp;p=15753446","TL")</f>
        <v>TL</v>
      </c>
      <c r="C875" s="1" t="str">
        <f>HYPERLINK("http://digipan.lumentumllc.com/apps/getMap/index.php?p=15753446","Map")</f>
        <v>Map</v>
      </c>
      <c r="E875" t="s">
        <v>177</v>
      </c>
      <c r="F875" t="s">
        <v>178</v>
      </c>
      <c r="L875" t="s">
        <v>11978</v>
      </c>
      <c r="N875" t="s">
        <v>11978</v>
      </c>
      <c r="O875" t="s">
        <v>11978</v>
      </c>
      <c r="Q875" t="s">
        <v>11978</v>
      </c>
      <c r="V875">
        <v>1015</v>
      </c>
      <c r="W875">
        <v>4</v>
      </c>
      <c r="X875">
        <v>2017</v>
      </c>
      <c r="Y875">
        <v>2018</v>
      </c>
      <c r="Z875">
        <v>1337.97</v>
      </c>
      <c r="AB875" t="s">
        <v>181</v>
      </c>
      <c r="AC875" t="s">
        <v>182</v>
      </c>
      <c r="AD875" t="s">
        <v>183</v>
      </c>
      <c r="AE875">
        <v>1</v>
      </c>
      <c r="AF875">
        <v>0</v>
      </c>
      <c r="AG875" t="s">
        <v>1200</v>
      </c>
      <c r="AH875">
        <v>0</v>
      </c>
      <c r="AI875">
        <v>1297.45</v>
      </c>
      <c r="AJ875">
        <v>64.87</v>
      </c>
      <c r="AK875">
        <v>1362.32</v>
      </c>
      <c r="AL875">
        <v>79766</v>
      </c>
      <c r="AM875">
        <v>30492</v>
      </c>
      <c r="AN875">
        <v>49274</v>
      </c>
      <c r="AO875">
        <v>1175</v>
      </c>
      <c r="AP875">
        <v>2016</v>
      </c>
      <c r="AQ875">
        <v>1.68</v>
      </c>
      <c r="AR875">
        <v>1.71</v>
      </c>
      <c r="AS875" t="s">
        <v>11979</v>
      </c>
      <c r="AT875" t="s">
        <v>3747</v>
      </c>
      <c r="AU875" t="s">
        <v>177</v>
      </c>
      <c r="AV875" t="s">
        <v>1030</v>
      </c>
      <c r="AW875" t="s">
        <v>182</v>
      </c>
      <c r="AX875">
        <v>11</v>
      </c>
      <c r="AY875" t="s">
        <v>3641</v>
      </c>
      <c r="AZ875" t="s">
        <v>212</v>
      </c>
      <c r="BA875" t="s">
        <v>5959</v>
      </c>
      <c r="BB875" t="s">
        <v>191</v>
      </c>
      <c r="BC875" t="s">
        <v>182</v>
      </c>
      <c r="BD875" t="s">
        <v>182</v>
      </c>
      <c r="BE875" t="s">
        <v>383</v>
      </c>
      <c r="BF875">
        <v>1</v>
      </c>
      <c r="BG875">
        <v>0</v>
      </c>
      <c r="BH875">
        <v>1950</v>
      </c>
      <c r="BI875" t="s">
        <v>11980</v>
      </c>
      <c r="BJ875" t="s">
        <v>194</v>
      </c>
      <c r="BK875" t="s">
        <v>195</v>
      </c>
      <c r="BL875" t="s">
        <v>11981</v>
      </c>
      <c r="BM875" t="s">
        <v>286</v>
      </c>
      <c r="BN875" t="s">
        <v>182</v>
      </c>
      <c r="BO875" t="s">
        <v>9199</v>
      </c>
      <c r="BP875" t="s">
        <v>11982</v>
      </c>
      <c r="BQ875" t="s">
        <v>800</v>
      </c>
      <c r="BR875" t="s">
        <v>563</v>
      </c>
      <c r="BS875" t="s">
        <v>198</v>
      </c>
      <c r="BT875" t="s">
        <v>228</v>
      </c>
      <c r="BU875" t="s">
        <v>182</v>
      </c>
      <c r="BV875" t="s">
        <v>198</v>
      </c>
      <c r="BW875" t="s">
        <v>198</v>
      </c>
      <c r="BX875" t="s">
        <v>199</v>
      </c>
      <c r="BY875" t="s">
        <v>198</v>
      </c>
      <c r="BZ875" t="s">
        <v>199</v>
      </c>
      <c r="CA875" t="s">
        <v>199</v>
      </c>
      <c r="CB875" t="s">
        <v>11983</v>
      </c>
      <c r="CC875" t="s">
        <v>201</v>
      </c>
      <c r="CD875" t="s">
        <v>182</v>
      </c>
      <c r="CE875" t="s">
        <v>11984</v>
      </c>
      <c r="CF875" t="s">
        <v>5331</v>
      </c>
      <c r="CG875" t="s">
        <v>177</v>
      </c>
      <c r="CH875" t="s">
        <v>371</v>
      </c>
      <c r="CI875" t="s">
        <v>11973</v>
      </c>
      <c r="CJ875" t="s">
        <v>8610</v>
      </c>
      <c r="CK875" t="s">
        <v>232</v>
      </c>
      <c r="CL875" t="s">
        <v>233</v>
      </c>
      <c r="CM875" t="s">
        <v>11985</v>
      </c>
      <c r="CN875" t="s">
        <v>235</v>
      </c>
      <c r="CO875" t="s">
        <v>183</v>
      </c>
      <c r="CP875" t="s">
        <v>266</v>
      </c>
      <c r="CS875" t="s">
        <v>198</v>
      </c>
      <c r="DC875" t="s">
        <v>198</v>
      </c>
      <c r="DM875" t="s">
        <v>198</v>
      </c>
      <c r="DW875" t="s">
        <v>198</v>
      </c>
      <c r="EG875" t="s">
        <v>198</v>
      </c>
      <c r="EQ875" t="s">
        <v>198</v>
      </c>
      <c r="FA875" t="s">
        <v>198</v>
      </c>
      <c r="FK875" t="s">
        <v>198</v>
      </c>
      <c r="FU875" t="s">
        <v>198</v>
      </c>
    </row>
    <row r="876" spans="1:177">
      <c r="A876" s="1" t="str">
        <f>HYPERLINK("http://digipan.lumentumllc.com/apps/getLink/index.php?t=PropLink&amp;p=5246934","PL")</f>
        <v>PL</v>
      </c>
      <c r="B876" s="1" t="str">
        <f>HYPERLINK("http://digipan.lumentumllc.com/apps/getLink/index.php?t=TaxLink&amp;p=5246934","TL")</f>
        <v>TL</v>
      </c>
      <c r="C876" s="1" t="str">
        <f>HYPERLINK("http://digipan.lumentumllc.com/apps/getMap/index.php?p=5246934","Map")</f>
        <v>Map</v>
      </c>
      <c r="E876" t="s">
        <v>177</v>
      </c>
      <c r="F876" t="s">
        <v>178</v>
      </c>
      <c r="L876" t="s">
        <v>11986</v>
      </c>
      <c r="N876" t="s">
        <v>11986</v>
      </c>
      <c r="O876" t="s">
        <v>11986</v>
      </c>
      <c r="P876" t="s">
        <v>11987</v>
      </c>
      <c r="Q876" t="s">
        <v>11986</v>
      </c>
      <c r="V876">
        <v>1016</v>
      </c>
      <c r="W876">
        <v>4</v>
      </c>
      <c r="X876">
        <v>2017</v>
      </c>
      <c r="Y876">
        <v>2018</v>
      </c>
      <c r="Z876">
        <v>1104.1199999999999</v>
      </c>
      <c r="AB876" t="s">
        <v>181</v>
      </c>
      <c r="AC876" t="s">
        <v>202</v>
      </c>
      <c r="AD876" t="s">
        <v>183</v>
      </c>
      <c r="AE876">
        <v>0</v>
      </c>
      <c r="AF876">
        <v>5</v>
      </c>
      <c r="AG876" t="s">
        <v>3266</v>
      </c>
      <c r="AH876">
        <v>100</v>
      </c>
      <c r="AK876">
        <v>0</v>
      </c>
      <c r="AL876">
        <v>65482</v>
      </c>
      <c r="AM876">
        <v>22215</v>
      </c>
      <c r="AN876">
        <v>43267</v>
      </c>
      <c r="AO876">
        <v>1005</v>
      </c>
      <c r="AP876">
        <v>2016</v>
      </c>
      <c r="AQ876">
        <v>1.69</v>
      </c>
      <c r="AS876" t="s">
        <v>11988</v>
      </c>
      <c r="AT876" t="s">
        <v>3747</v>
      </c>
      <c r="AU876" t="s">
        <v>177</v>
      </c>
      <c r="AV876" t="s">
        <v>1030</v>
      </c>
      <c r="AW876" t="s">
        <v>182</v>
      </c>
      <c r="AX876">
        <v>25</v>
      </c>
      <c r="AY876" t="s">
        <v>3641</v>
      </c>
      <c r="AZ876" t="s">
        <v>808</v>
      </c>
      <c r="BA876" t="s">
        <v>10620</v>
      </c>
      <c r="BB876" t="s">
        <v>191</v>
      </c>
      <c r="BC876" t="s">
        <v>182</v>
      </c>
      <c r="BD876" t="s">
        <v>182</v>
      </c>
      <c r="BE876" t="s">
        <v>5145</v>
      </c>
      <c r="BF876">
        <v>1</v>
      </c>
      <c r="BG876">
        <v>0</v>
      </c>
      <c r="BH876">
        <v>1971</v>
      </c>
      <c r="BI876" t="s">
        <v>11989</v>
      </c>
      <c r="BJ876" t="s">
        <v>285</v>
      </c>
      <c r="BK876" t="s">
        <v>195</v>
      </c>
      <c r="BL876" t="s">
        <v>11990</v>
      </c>
      <c r="BM876" t="s">
        <v>197</v>
      </c>
      <c r="BN876" t="s">
        <v>182</v>
      </c>
      <c r="BO876" t="s">
        <v>1710</v>
      </c>
      <c r="BP876" t="s">
        <v>11991</v>
      </c>
      <c r="BQ876" t="s">
        <v>5784</v>
      </c>
      <c r="BS876" t="s">
        <v>11992</v>
      </c>
      <c r="BT876" t="s">
        <v>198</v>
      </c>
      <c r="BU876" t="s">
        <v>182</v>
      </c>
      <c r="BV876" t="s">
        <v>198</v>
      </c>
      <c r="BW876" t="s">
        <v>198</v>
      </c>
      <c r="BX876" t="s">
        <v>199</v>
      </c>
      <c r="BY876" t="s">
        <v>198</v>
      </c>
      <c r="BZ876" t="s">
        <v>199</v>
      </c>
      <c r="CA876" t="s">
        <v>199</v>
      </c>
      <c r="CB876" t="s">
        <v>6609</v>
      </c>
      <c r="CC876" t="s">
        <v>201</v>
      </c>
      <c r="CD876" t="s">
        <v>202</v>
      </c>
      <c r="CE876" t="s">
        <v>11993</v>
      </c>
      <c r="CF876" t="s">
        <v>204</v>
      </c>
      <c r="CG876" t="s">
        <v>177</v>
      </c>
      <c r="CH876" t="s">
        <v>187</v>
      </c>
      <c r="CI876" t="s">
        <v>11994</v>
      </c>
      <c r="CJ876" t="s">
        <v>8348</v>
      </c>
      <c r="CK876" t="s">
        <v>232</v>
      </c>
      <c r="CL876" t="s">
        <v>233</v>
      </c>
      <c r="CM876" t="s">
        <v>11995</v>
      </c>
      <c r="CN876" t="s">
        <v>235</v>
      </c>
      <c r="CO876" t="s">
        <v>183</v>
      </c>
      <c r="CP876" t="s">
        <v>211</v>
      </c>
      <c r="CQ876" t="s">
        <v>290</v>
      </c>
      <c r="CS876" t="s">
        <v>11996</v>
      </c>
      <c r="CT876" t="s">
        <v>8975</v>
      </c>
      <c r="CU876" t="s">
        <v>267</v>
      </c>
      <c r="CV876" t="s">
        <v>268</v>
      </c>
      <c r="CW876" t="s">
        <v>11997</v>
      </c>
      <c r="CX876" t="s">
        <v>235</v>
      </c>
      <c r="CY876" t="s">
        <v>183</v>
      </c>
      <c r="CZ876" t="s">
        <v>211</v>
      </c>
      <c r="DA876" t="s">
        <v>270</v>
      </c>
      <c r="DB876" t="s">
        <v>271</v>
      </c>
      <c r="DC876" t="s">
        <v>3650</v>
      </c>
      <c r="DD876" t="s">
        <v>9289</v>
      </c>
      <c r="DE876" t="s">
        <v>273</v>
      </c>
      <c r="DF876" t="s">
        <v>274</v>
      </c>
      <c r="DG876" t="s">
        <v>11998</v>
      </c>
      <c r="DH876" t="s">
        <v>235</v>
      </c>
      <c r="DI876" t="s">
        <v>183</v>
      </c>
      <c r="DJ876" t="s">
        <v>211</v>
      </c>
      <c r="DL876" t="s">
        <v>271</v>
      </c>
      <c r="DM876" t="s">
        <v>198</v>
      </c>
      <c r="DN876" t="s">
        <v>11999</v>
      </c>
      <c r="DO876" t="s">
        <v>238</v>
      </c>
      <c r="DP876" t="s">
        <v>239</v>
      </c>
      <c r="DQ876" t="s">
        <v>12000</v>
      </c>
      <c r="DR876" t="s">
        <v>305</v>
      </c>
      <c r="DS876" t="s">
        <v>183</v>
      </c>
      <c r="DT876" t="s">
        <v>211</v>
      </c>
      <c r="DU876" t="s">
        <v>212</v>
      </c>
      <c r="DW876" t="s">
        <v>1378</v>
      </c>
      <c r="DX876" t="s">
        <v>499</v>
      </c>
      <c r="DY876" t="s">
        <v>346</v>
      </c>
      <c r="DZ876" t="s">
        <v>347</v>
      </c>
      <c r="EA876" t="s">
        <v>4250</v>
      </c>
      <c r="EB876" t="s">
        <v>247</v>
      </c>
      <c r="EC876" t="s">
        <v>183</v>
      </c>
      <c r="ED876" t="s">
        <v>211</v>
      </c>
      <c r="EE876" t="s">
        <v>334</v>
      </c>
      <c r="EG876" t="s">
        <v>1378</v>
      </c>
      <c r="EQ876" t="s">
        <v>198</v>
      </c>
      <c r="FA876" t="s">
        <v>198</v>
      </c>
      <c r="FK876" t="s">
        <v>198</v>
      </c>
      <c r="FU876" t="s">
        <v>198</v>
      </c>
    </row>
    <row r="877" spans="1:177">
      <c r="A877" s="1" t="str">
        <f>HYPERLINK("http://digipan.lumentumllc.com/apps/getLink/index.php?t=PropLink&amp;p=5246935","PL")</f>
        <v>PL</v>
      </c>
      <c r="B877" s="1" t="str">
        <f>HYPERLINK("http://digipan.lumentumllc.com/apps/getLink/index.php?t=TaxLink&amp;p=5246935","TL")</f>
        <v>TL</v>
      </c>
      <c r="C877" s="1" t="str">
        <f>HYPERLINK("http://digipan.lumentumllc.com/apps/getMap/index.php?p=5246935","Map")</f>
        <v>Map</v>
      </c>
      <c r="E877" t="s">
        <v>177</v>
      </c>
      <c r="F877" t="s">
        <v>178</v>
      </c>
      <c r="L877" t="s">
        <v>12001</v>
      </c>
      <c r="N877" t="s">
        <v>12001</v>
      </c>
      <c r="O877" t="s">
        <v>12001</v>
      </c>
      <c r="P877" t="s">
        <v>12002</v>
      </c>
      <c r="Q877" t="s">
        <v>12001</v>
      </c>
      <c r="V877">
        <v>1017</v>
      </c>
      <c r="W877">
        <v>4</v>
      </c>
      <c r="X877">
        <v>2017</v>
      </c>
      <c r="Y877">
        <v>2018</v>
      </c>
      <c r="Z877">
        <v>2276.0300000000002</v>
      </c>
      <c r="AB877" t="s">
        <v>181</v>
      </c>
      <c r="AC877" t="s">
        <v>182</v>
      </c>
      <c r="AD877" t="s">
        <v>183</v>
      </c>
      <c r="AE877">
        <v>0</v>
      </c>
      <c r="AF877">
        <v>6</v>
      </c>
      <c r="AG877" t="s">
        <v>528</v>
      </c>
      <c r="AH877">
        <v>100</v>
      </c>
      <c r="AK877">
        <v>0</v>
      </c>
      <c r="AL877">
        <v>125728</v>
      </c>
      <c r="AM877">
        <v>20000</v>
      </c>
      <c r="AN877">
        <v>105728</v>
      </c>
      <c r="AO877">
        <v>1127</v>
      </c>
      <c r="AP877">
        <v>2016</v>
      </c>
      <c r="AQ877">
        <v>1.81</v>
      </c>
      <c r="AS877" t="s">
        <v>12003</v>
      </c>
      <c r="AT877" t="s">
        <v>3747</v>
      </c>
      <c r="AU877" t="s">
        <v>177</v>
      </c>
      <c r="AV877" t="s">
        <v>1030</v>
      </c>
      <c r="AW877" t="s">
        <v>182</v>
      </c>
      <c r="AX877">
        <v>1</v>
      </c>
      <c r="AY877" t="s">
        <v>188</v>
      </c>
      <c r="AZ877" t="s">
        <v>206</v>
      </c>
      <c r="BA877" t="s">
        <v>355</v>
      </c>
      <c r="BB877" t="s">
        <v>191</v>
      </c>
      <c r="BC877" t="s">
        <v>182</v>
      </c>
      <c r="BD877" t="s">
        <v>182</v>
      </c>
      <c r="BE877" t="s">
        <v>3907</v>
      </c>
      <c r="BF877">
        <v>1</v>
      </c>
      <c r="BG877">
        <v>1</v>
      </c>
      <c r="BH877">
        <v>2008</v>
      </c>
      <c r="BI877" t="s">
        <v>12004</v>
      </c>
      <c r="BJ877" t="s">
        <v>248</v>
      </c>
      <c r="BK877" t="s">
        <v>195</v>
      </c>
      <c r="BL877" t="s">
        <v>12005</v>
      </c>
      <c r="BM877" t="s">
        <v>679</v>
      </c>
      <c r="BN877" t="s">
        <v>182</v>
      </c>
      <c r="BO877" t="s">
        <v>198</v>
      </c>
      <c r="BP877" t="s">
        <v>198</v>
      </c>
      <c r="BQ877" t="s">
        <v>198</v>
      </c>
      <c r="BR877" t="s">
        <v>198</v>
      </c>
      <c r="BS877" t="s">
        <v>198</v>
      </c>
      <c r="BT877" t="s">
        <v>198</v>
      </c>
      <c r="BU877" t="s">
        <v>182</v>
      </c>
      <c r="BV877" t="s">
        <v>198</v>
      </c>
      <c r="BW877" t="s">
        <v>198</v>
      </c>
      <c r="BX877" t="s">
        <v>199</v>
      </c>
      <c r="BY877" t="s">
        <v>198</v>
      </c>
      <c r="BZ877" t="s">
        <v>199</v>
      </c>
      <c r="CA877" t="s">
        <v>199</v>
      </c>
      <c r="CB877" t="s">
        <v>12006</v>
      </c>
      <c r="CC877" t="s">
        <v>201</v>
      </c>
      <c r="CD877" t="s">
        <v>182</v>
      </c>
      <c r="CE877" t="s">
        <v>12007</v>
      </c>
      <c r="CF877" t="s">
        <v>1029</v>
      </c>
      <c r="CG877" t="s">
        <v>177</v>
      </c>
      <c r="CH877" t="s">
        <v>1030</v>
      </c>
      <c r="CI877" t="s">
        <v>9852</v>
      </c>
      <c r="CJ877" t="s">
        <v>8769</v>
      </c>
      <c r="CK877" t="s">
        <v>292</v>
      </c>
      <c r="CL877" t="s">
        <v>293</v>
      </c>
      <c r="CM877" t="s">
        <v>12008</v>
      </c>
      <c r="CN877" t="s">
        <v>235</v>
      </c>
      <c r="CO877" t="s">
        <v>183</v>
      </c>
      <c r="CP877" t="s">
        <v>211</v>
      </c>
      <c r="CQ877" t="s">
        <v>329</v>
      </c>
      <c r="CS877" t="s">
        <v>2151</v>
      </c>
      <c r="CT877" t="s">
        <v>2190</v>
      </c>
      <c r="CU877" t="s">
        <v>267</v>
      </c>
      <c r="CV877" t="s">
        <v>268</v>
      </c>
      <c r="CW877" t="s">
        <v>12009</v>
      </c>
      <c r="CX877" t="s">
        <v>235</v>
      </c>
      <c r="CY877" t="s">
        <v>183</v>
      </c>
      <c r="CZ877" t="s">
        <v>211</v>
      </c>
      <c r="DA877" t="s">
        <v>298</v>
      </c>
      <c r="DC877" t="s">
        <v>2151</v>
      </c>
      <c r="DD877" t="s">
        <v>9508</v>
      </c>
      <c r="DE877" t="s">
        <v>273</v>
      </c>
      <c r="DF877" t="s">
        <v>274</v>
      </c>
      <c r="DG877" t="s">
        <v>12010</v>
      </c>
      <c r="DH877" t="s">
        <v>235</v>
      </c>
      <c r="DI877" t="s">
        <v>183</v>
      </c>
      <c r="DJ877" t="s">
        <v>211</v>
      </c>
      <c r="DK877" t="s">
        <v>345</v>
      </c>
      <c r="DM877" t="s">
        <v>12011</v>
      </c>
      <c r="DN877" t="s">
        <v>6503</v>
      </c>
      <c r="DO877" t="s">
        <v>302</v>
      </c>
      <c r="DP877" t="s">
        <v>303</v>
      </c>
      <c r="DQ877" t="s">
        <v>12012</v>
      </c>
      <c r="DR877" t="s">
        <v>235</v>
      </c>
      <c r="DS877" t="s">
        <v>183</v>
      </c>
      <c r="DT877" t="s">
        <v>211</v>
      </c>
      <c r="DU877" t="s">
        <v>298</v>
      </c>
      <c r="DW877" t="s">
        <v>3499</v>
      </c>
      <c r="DX877" t="s">
        <v>12013</v>
      </c>
      <c r="DY877" t="s">
        <v>238</v>
      </c>
      <c r="DZ877" t="s">
        <v>239</v>
      </c>
      <c r="EA877" t="s">
        <v>12014</v>
      </c>
      <c r="EB877" t="s">
        <v>235</v>
      </c>
      <c r="EC877" t="s">
        <v>183</v>
      </c>
      <c r="ED877" t="s">
        <v>211</v>
      </c>
      <c r="EE877" t="s">
        <v>345</v>
      </c>
      <c r="EG877" t="s">
        <v>1097</v>
      </c>
      <c r="EH877" t="s">
        <v>12015</v>
      </c>
      <c r="EI877" t="s">
        <v>346</v>
      </c>
      <c r="EJ877" t="s">
        <v>347</v>
      </c>
      <c r="EK877" t="s">
        <v>12016</v>
      </c>
      <c r="EL877" t="s">
        <v>235</v>
      </c>
      <c r="EM877" t="s">
        <v>183</v>
      </c>
      <c r="EN877" t="s">
        <v>211</v>
      </c>
      <c r="EO877" t="s">
        <v>345</v>
      </c>
      <c r="EQ877" t="s">
        <v>4897</v>
      </c>
      <c r="FA877" t="s">
        <v>198</v>
      </c>
      <c r="FK877" t="s">
        <v>198</v>
      </c>
      <c r="FU877" t="s">
        <v>198</v>
      </c>
    </row>
    <row r="878" spans="1:177">
      <c r="A878" s="1" t="str">
        <f>HYPERLINK("http://digipan.lumentumllc.com/apps/getLink/index.php?t=PropLink&amp;p=6129194","PL")</f>
        <v>PL</v>
      </c>
      <c r="B878" s="1" t="str">
        <f>HYPERLINK("http://digipan.lumentumllc.com/apps/getLink/index.php?t=TaxLink&amp;p=6129194","TL")</f>
        <v>TL</v>
      </c>
      <c r="C878" s="1" t="str">
        <f>HYPERLINK("http://digipan.lumentumllc.com/apps/getMap/index.php?p=6129194","Map")</f>
        <v>Map</v>
      </c>
      <c r="E878" t="s">
        <v>177</v>
      </c>
      <c r="F878" t="s">
        <v>178</v>
      </c>
      <c r="L878" t="s">
        <v>12017</v>
      </c>
      <c r="N878" t="s">
        <v>12017</v>
      </c>
      <c r="O878" t="s">
        <v>12017</v>
      </c>
      <c r="P878" t="s">
        <v>12018</v>
      </c>
      <c r="Q878" t="s">
        <v>12017</v>
      </c>
      <c r="V878">
        <v>1018</v>
      </c>
      <c r="W878">
        <v>4</v>
      </c>
      <c r="X878">
        <v>2017</v>
      </c>
      <c r="Y878">
        <v>2018</v>
      </c>
      <c r="Z878">
        <v>268.82</v>
      </c>
      <c r="AB878" t="s">
        <v>181</v>
      </c>
      <c r="AC878" t="s">
        <v>182</v>
      </c>
      <c r="AD878" t="s">
        <v>183</v>
      </c>
      <c r="AE878">
        <v>0</v>
      </c>
      <c r="AF878">
        <v>1</v>
      </c>
      <c r="AG878" t="s">
        <v>821</v>
      </c>
      <c r="AH878">
        <v>100</v>
      </c>
      <c r="AK878">
        <v>0</v>
      </c>
      <c r="AL878">
        <v>20000</v>
      </c>
      <c r="AM878">
        <v>20000</v>
      </c>
      <c r="AN878">
        <v>0</v>
      </c>
      <c r="AO878">
        <v>148</v>
      </c>
      <c r="AP878">
        <v>2016</v>
      </c>
      <c r="AQ878">
        <v>1.34</v>
      </c>
      <c r="AS878" t="s">
        <v>12019</v>
      </c>
      <c r="AT878" t="s">
        <v>3747</v>
      </c>
      <c r="AU878" t="s">
        <v>177</v>
      </c>
      <c r="AV878" t="s">
        <v>1030</v>
      </c>
      <c r="AW878" t="s">
        <v>182</v>
      </c>
      <c r="AX878">
        <v>0</v>
      </c>
      <c r="AY878" t="s">
        <v>312</v>
      </c>
      <c r="AZ878" t="s">
        <v>199</v>
      </c>
      <c r="BA878" t="s">
        <v>313</v>
      </c>
      <c r="BB878" t="s">
        <v>191</v>
      </c>
      <c r="BC878" t="s">
        <v>182</v>
      </c>
      <c r="BD878" t="s">
        <v>182</v>
      </c>
      <c r="BE878" t="s">
        <v>11809</v>
      </c>
      <c r="BF878">
        <v>0</v>
      </c>
      <c r="BG878">
        <v>0</v>
      </c>
      <c r="BH878">
        <v>0</v>
      </c>
      <c r="BI878" t="s">
        <v>199</v>
      </c>
      <c r="BJ878" t="s">
        <v>396</v>
      </c>
      <c r="BL878" t="s">
        <v>199</v>
      </c>
      <c r="BM878" t="s">
        <v>346</v>
      </c>
      <c r="BN878" t="s">
        <v>182</v>
      </c>
      <c r="BO878" t="s">
        <v>198</v>
      </c>
      <c r="BP878" t="s">
        <v>198</v>
      </c>
      <c r="BQ878" t="s">
        <v>198</v>
      </c>
      <c r="BR878" t="s">
        <v>198</v>
      </c>
      <c r="BS878" t="s">
        <v>198</v>
      </c>
      <c r="BT878" t="s">
        <v>198</v>
      </c>
      <c r="BU878" t="s">
        <v>182</v>
      </c>
      <c r="BV878" t="s">
        <v>198</v>
      </c>
      <c r="BW878" t="s">
        <v>198</v>
      </c>
      <c r="BX878" t="s">
        <v>199</v>
      </c>
      <c r="BY878" t="s">
        <v>198</v>
      </c>
      <c r="BZ878" t="s">
        <v>199</v>
      </c>
      <c r="CA878" t="s">
        <v>199</v>
      </c>
      <c r="CB878" t="s">
        <v>12020</v>
      </c>
      <c r="CC878" t="s">
        <v>201</v>
      </c>
      <c r="CD878" t="s">
        <v>182</v>
      </c>
      <c r="CE878" t="s">
        <v>9164</v>
      </c>
      <c r="CF878" t="s">
        <v>1029</v>
      </c>
      <c r="CG878" t="s">
        <v>177</v>
      </c>
      <c r="CH878" t="s">
        <v>1030</v>
      </c>
      <c r="CI878" t="s">
        <v>1189</v>
      </c>
      <c r="CJ878" t="s">
        <v>12021</v>
      </c>
      <c r="CK878" t="s">
        <v>302</v>
      </c>
      <c r="CL878" t="s">
        <v>303</v>
      </c>
      <c r="CM878" t="s">
        <v>12022</v>
      </c>
      <c r="CN878" t="s">
        <v>341</v>
      </c>
      <c r="CO878" t="s">
        <v>183</v>
      </c>
      <c r="CP878" t="s">
        <v>211</v>
      </c>
      <c r="CQ878" t="s">
        <v>212</v>
      </c>
      <c r="CS878" t="s">
        <v>12023</v>
      </c>
      <c r="DC878" t="s">
        <v>198</v>
      </c>
      <c r="DM878" t="s">
        <v>198</v>
      </c>
      <c r="DW878" t="s">
        <v>198</v>
      </c>
      <c r="EG878" t="s">
        <v>198</v>
      </c>
      <c r="EQ878" t="s">
        <v>198</v>
      </c>
      <c r="FA878" t="s">
        <v>198</v>
      </c>
      <c r="FK878" t="s">
        <v>198</v>
      </c>
      <c r="FU878" t="s">
        <v>198</v>
      </c>
    </row>
    <row r="879" spans="1:177">
      <c r="A879" s="1" t="str">
        <f>HYPERLINK("http://digipan.lumentumllc.com/apps/getLink/index.php?t=PropLink&amp;p=6129195","PL")</f>
        <v>PL</v>
      </c>
      <c r="B879" s="1" t="str">
        <f>HYPERLINK("http://digipan.lumentumllc.com/apps/getLink/index.php?t=TaxLink&amp;p=6129195","TL")</f>
        <v>TL</v>
      </c>
      <c r="C879" s="1" t="str">
        <f>HYPERLINK("http://digipan.lumentumllc.com/apps/getMap/index.php?p=6129195","Map")</f>
        <v>Map</v>
      </c>
      <c r="E879" t="s">
        <v>177</v>
      </c>
      <c r="F879" t="s">
        <v>178</v>
      </c>
      <c r="L879" t="s">
        <v>12024</v>
      </c>
      <c r="N879" t="s">
        <v>12024</v>
      </c>
      <c r="O879" t="s">
        <v>12024</v>
      </c>
      <c r="P879" t="s">
        <v>12025</v>
      </c>
      <c r="Q879" t="s">
        <v>12024</v>
      </c>
      <c r="V879">
        <v>1019</v>
      </c>
      <c r="W879">
        <v>4</v>
      </c>
      <c r="X879">
        <v>2017</v>
      </c>
      <c r="Y879">
        <v>2018</v>
      </c>
      <c r="Z879">
        <v>268.82</v>
      </c>
      <c r="AB879" t="s">
        <v>181</v>
      </c>
      <c r="AC879" t="s">
        <v>182</v>
      </c>
      <c r="AD879" t="s">
        <v>183</v>
      </c>
      <c r="AE879">
        <v>0</v>
      </c>
      <c r="AF879">
        <v>1</v>
      </c>
      <c r="AG879" t="s">
        <v>821</v>
      </c>
      <c r="AH879">
        <v>100</v>
      </c>
      <c r="AK879">
        <v>0</v>
      </c>
      <c r="AL879">
        <v>20000</v>
      </c>
      <c r="AM879">
        <v>20000</v>
      </c>
      <c r="AN879">
        <v>0</v>
      </c>
      <c r="AO879">
        <v>148</v>
      </c>
      <c r="AP879">
        <v>2016</v>
      </c>
      <c r="AQ879">
        <v>1.34</v>
      </c>
      <c r="AS879" t="s">
        <v>12026</v>
      </c>
      <c r="AT879" t="s">
        <v>3747</v>
      </c>
      <c r="AU879" t="s">
        <v>177</v>
      </c>
      <c r="AV879" t="s">
        <v>1030</v>
      </c>
      <c r="AW879" t="s">
        <v>182</v>
      </c>
      <c r="AX879">
        <v>0</v>
      </c>
      <c r="AY879" t="s">
        <v>312</v>
      </c>
      <c r="AZ879" t="s">
        <v>199</v>
      </c>
      <c r="BA879" t="s">
        <v>313</v>
      </c>
      <c r="BB879" t="s">
        <v>191</v>
      </c>
      <c r="BC879" t="s">
        <v>182</v>
      </c>
      <c r="BD879" t="s">
        <v>182</v>
      </c>
      <c r="BE879" t="s">
        <v>10639</v>
      </c>
      <c r="BF879">
        <v>0</v>
      </c>
      <c r="BG879">
        <v>0</v>
      </c>
      <c r="BH879">
        <v>0</v>
      </c>
      <c r="BI879" t="s">
        <v>199</v>
      </c>
      <c r="BJ879" t="s">
        <v>396</v>
      </c>
      <c r="BL879" t="s">
        <v>199</v>
      </c>
      <c r="BM879" t="s">
        <v>346</v>
      </c>
      <c r="BN879" t="s">
        <v>182</v>
      </c>
      <c r="BO879" t="s">
        <v>198</v>
      </c>
      <c r="BP879" t="s">
        <v>198</v>
      </c>
      <c r="BQ879" t="s">
        <v>198</v>
      </c>
      <c r="BR879" t="s">
        <v>198</v>
      </c>
      <c r="BS879" t="s">
        <v>198</v>
      </c>
      <c r="BT879" t="s">
        <v>198</v>
      </c>
      <c r="BU879" t="s">
        <v>182</v>
      </c>
      <c r="BV879" t="s">
        <v>198</v>
      </c>
      <c r="BW879" t="s">
        <v>198</v>
      </c>
      <c r="BX879" t="s">
        <v>199</v>
      </c>
      <c r="BY879" t="s">
        <v>198</v>
      </c>
      <c r="BZ879" t="s">
        <v>199</v>
      </c>
      <c r="CA879" t="s">
        <v>199</v>
      </c>
      <c r="CB879" t="s">
        <v>9163</v>
      </c>
      <c r="CC879" t="s">
        <v>201</v>
      </c>
      <c r="CD879" t="s">
        <v>182</v>
      </c>
      <c r="CE879" t="s">
        <v>6183</v>
      </c>
      <c r="CF879" t="s">
        <v>1029</v>
      </c>
      <c r="CG879" t="s">
        <v>177</v>
      </c>
      <c r="CH879" t="s">
        <v>1030</v>
      </c>
      <c r="CI879" t="s">
        <v>1194</v>
      </c>
      <c r="CJ879" t="s">
        <v>12027</v>
      </c>
      <c r="CK879" t="s">
        <v>302</v>
      </c>
      <c r="CL879" t="s">
        <v>303</v>
      </c>
      <c r="CM879" t="s">
        <v>12022</v>
      </c>
      <c r="CN879" t="s">
        <v>341</v>
      </c>
      <c r="CO879" t="s">
        <v>183</v>
      </c>
      <c r="CP879" t="s">
        <v>211</v>
      </c>
      <c r="CQ879" t="s">
        <v>212</v>
      </c>
      <c r="CS879" t="s">
        <v>12023</v>
      </c>
      <c r="DC879" t="s">
        <v>198</v>
      </c>
      <c r="DM879" t="s">
        <v>198</v>
      </c>
      <c r="DW879" t="s">
        <v>198</v>
      </c>
      <c r="EG879" t="s">
        <v>198</v>
      </c>
      <c r="EQ879" t="s">
        <v>198</v>
      </c>
      <c r="FA879" t="s">
        <v>198</v>
      </c>
      <c r="FK879" t="s">
        <v>198</v>
      </c>
      <c r="FU879" t="s">
        <v>198</v>
      </c>
    </row>
    <row r="880" spans="1:177">
      <c r="A880" s="1" t="str">
        <f>HYPERLINK("http://digipan.lumentumllc.com/apps/getLink/index.php?t=PropLink&amp;p=6129196","PL")</f>
        <v>PL</v>
      </c>
      <c r="B880" s="1" t="str">
        <f>HYPERLINK("http://digipan.lumentumllc.com/apps/getLink/index.php?t=TaxLink&amp;p=6129196","TL")</f>
        <v>TL</v>
      </c>
      <c r="C880" s="1" t="str">
        <f>HYPERLINK("http://digipan.lumentumllc.com/apps/getMap/index.php?p=6129196","Map")</f>
        <v>Map</v>
      </c>
      <c r="E880" t="s">
        <v>177</v>
      </c>
      <c r="F880" t="s">
        <v>178</v>
      </c>
      <c r="L880" t="s">
        <v>12028</v>
      </c>
      <c r="N880" t="s">
        <v>12028</v>
      </c>
      <c r="O880" t="s">
        <v>12028</v>
      </c>
      <c r="P880" t="s">
        <v>12029</v>
      </c>
      <c r="Q880" t="s">
        <v>12028</v>
      </c>
      <c r="V880">
        <v>1020</v>
      </c>
      <c r="W880">
        <v>4</v>
      </c>
      <c r="X880">
        <v>2017</v>
      </c>
      <c r="Y880">
        <v>2018</v>
      </c>
      <c r="Z880">
        <v>271.94</v>
      </c>
      <c r="AB880" t="s">
        <v>181</v>
      </c>
      <c r="AC880" t="s">
        <v>182</v>
      </c>
      <c r="AD880" t="s">
        <v>183</v>
      </c>
      <c r="AE880">
        <v>0</v>
      </c>
      <c r="AF880">
        <v>1</v>
      </c>
      <c r="AG880" t="s">
        <v>821</v>
      </c>
      <c r="AH880">
        <v>100</v>
      </c>
      <c r="AK880">
        <v>0</v>
      </c>
      <c r="AL880">
        <v>20000</v>
      </c>
      <c r="AM880">
        <v>20000</v>
      </c>
      <c r="AN880">
        <v>0</v>
      </c>
      <c r="AO880">
        <v>151</v>
      </c>
      <c r="AP880">
        <v>2016</v>
      </c>
      <c r="AQ880">
        <v>1.36</v>
      </c>
      <c r="AS880" t="s">
        <v>12030</v>
      </c>
      <c r="AT880" t="s">
        <v>3747</v>
      </c>
      <c r="AU880" t="s">
        <v>177</v>
      </c>
      <c r="AV880" t="s">
        <v>1030</v>
      </c>
      <c r="AW880" t="s">
        <v>182</v>
      </c>
      <c r="AX880">
        <v>0</v>
      </c>
      <c r="AY880" t="s">
        <v>312</v>
      </c>
      <c r="AZ880" t="s">
        <v>199</v>
      </c>
      <c r="BA880" t="s">
        <v>313</v>
      </c>
      <c r="BB880" t="s">
        <v>191</v>
      </c>
      <c r="BC880" t="s">
        <v>182</v>
      </c>
      <c r="BD880" t="s">
        <v>182</v>
      </c>
      <c r="BE880" t="s">
        <v>10639</v>
      </c>
      <c r="BF880">
        <v>0</v>
      </c>
      <c r="BG880">
        <v>0</v>
      </c>
      <c r="BH880">
        <v>0</v>
      </c>
      <c r="BI880" t="s">
        <v>199</v>
      </c>
      <c r="BJ880" t="s">
        <v>396</v>
      </c>
      <c r="BL880" t="s">
        <v>199</v>
      </c>
      <c r="BM880" t="s">
        <v>346</v>
      </c>
      <c r="BN880" t="s">
        <v>182</v>
      </c>
      <c r="BO880" t="s">
        <v>198</v>
      </c>
      <c r="BP880" t="s">
        <v>198</v>
      </c>
      <c r="BQ880" t="s">
        <v>198</v>
      </c>
      <c r="BR880" t="s">
        <v>198</v>
      </c>
      <c r="BS880" t="s">
        <v>198</v>
      </c>
      <c r="BT880" t="s">
        <v>198</v>
      </c>
      <c r="BU880" t="s">
        <v>182</v>
      </c>
      <c r="BV880" t="s">
        <v>198</v>
      </c>
      <c r="BW880" t="s">
        <v>198</v>
      </c>
      <c r="BX880" t="s">
        <v>199</v>
      </c>
      <c r="BY880" t="s">
        <v>198</v>
      </c>
      <c r="BZ880" t="s">
        <v>199</v>
      </c>
      <c r="CA880" t="s">
        <v>199</v>
      </c>
      <c r="CB880" t="s">
        <v>12020</v>
      </c>
      <c r="CC880" t="s">
        <v>201</v>
      </c>
      <c r="CD880" t="s">
        <v>182</v>
      </c>
      <c r="CE880" t="s">
        <v>9164</v>
      </c>
      <c r="CF880" t="s">
        <v>1029</v>
      </c>
      <c r="CG880" t="s">
        <v>177</v>
      </c>
      <c r="CH880" t="s">
        <v>1030</v>
      </c>
      <c r="CI880" t="s">
        <v>12031</v>
      </c>
      <c r="CJ880" t="s">
        <v>9704</v>
      </c>
      <c r="CK880" t="s">
        <v>302</v>
      </c>
      <c r="CL880" t="s">
        <v>303</v>
      </c>
      <c r="CM880" t="s">
        <v>12032</v>
      </c>
      <c r="CN880" t="s">
        <v>2515</v>
      </c>
      <c r="CO880" t="s">
        <v>183</v>
      </c>
      <c r="CP880" t="s">
        <v>211</v>
      </c>
      <c r="CQ880" t="s">
        <v>212</v>
      </c>
      <c r="CS880" t="s">
        <v>12023</v>
      </c>
      <c r="DC880" t="s">
        <v>198</v>
      </c>
      <c r="DM880" t="s">
        <v>198</v>
      </c>
      <c r="DW880" t="s">
        <v>198</v>
      </c>
      <c r="EG880" t="s">
        <v>198</v>
      </c>
      <c r="EQ880" t="s">
        <v>198</v>
      </c>
      <c r="FA880" t="s">
        <v>198</v>
      </c>
      <c r="FK880" t="s">
        <v>198</v>
      </c>
      <c r="FU880" t="s">
        <v>198</v>
      </c>
    </row>
    <row r="881" spans="1:177">
      <c r="A881" s="1" t="str">
        <f>HYPERLINK("http://digipan.lumentumllc.com/apps/getLink/index.php?t=PropLink&amp;p=6129198","PL")</f>
        <v>PL</v>
      </c>
      <c r="B881" s="1" t="str">
        <f>HYPERLINK("http://digipan.lumentumllc.com/apps/getLink/index.php?t=TaxLink&amp;p=6129198","TL")</f>
        <v>TL</v>
      </c>
      <c r="C881" s="1" t="str">
        <f>HYPERLINK("http://digipan.lumentumllc.com/apps/getMap/index.php?p=6129198","Map")</f>
        <v>Map</v>
      </c>
      <c r="E881" t="s">
        <v>177</v>
      </c>
      <c r="F881" t="s">
        <v>178</v>
      </c>
      <c r="L881" t="s">
        <v>12033</v>
      </c>
      <c r="N881" t="s">
        <v>12033</v>
      </c>
      <c r="O881" t="s">
        <v>12033</v>
      </c>
      <c r="P881" t="s">
        <v>12034</v>
      </c>
      <c r="Q881" t="s">
        <v>12033</v>
      </c>
      <c r="V881">
        <v>1021</v>
      </c>
      <c r="W881">
        <v>4</v>
      </c>
      <c r="X881">
        <v>2017</v>
      </c>
      <c r="Y881">
        <v>2018</v>
      </c>
      <c r="Z881">
        <v>238.08</v>
      </c>
      <c r="AB881" t="s">
        <v>181</v>
      </c>
      <c r="AC881" t="s">
        <v>182</v>
      </c>
      <c r="AD881" t="s">
        <v>183</v>
      </c>
      <c r="AE881">
        <v>6</v>
      </c>
      <c r="AF881">
        <v>0</v>
      </c>
      <c r="AG881" t="s">
        <v>3955</v>
      </c>
      <c r="AH881">
        <v>0</v>
      </c>
      <c r="AI881">
        <v>1306.56</v>
      </c>
      <c r="AJ881">
        <v>379.35</v>
      </c>
      <c r="AK881">
        <v>1685.91</v>
      </c>
      <c r="AL881">
        <v>13500</v>
      </c>
      <c r="AM881">
        <v>13500</v>
      </c>
      <c r="AN881">
        <v>0</v>
      </c>
      <c r="AO881">
        <v>166</v>
      </c>
      <c r="AP881">
        <v>2016</v>
      </c>
      <c r="AQ881">
        <v>1.76</v>
      </c>
      <c r="AR881">
        <v>12.49</v>
      </c>
      <c r="AS881" t="s">
        <v>12035</v>
      </c>
      <c r="AT881" t="s">
        <v>3747</v>
      </c>
      <c r="AU881" t="s">
        <v>177</v>
      </c>
      <c r="AV881" t="s">
        <v>1030</v>
      </c>
      <c r="AW881" t="s">
        <v>182</v>
      </c>
      <c r="AX881">
        <v>0</v>
      </c>
      <c r="AY881" t="s">
        <v>312</v>
      </c>
      <c r="AZ881" t="s">
        <v>199</v>
      </c>
      <c r="BA881" t="s">
        <v>313</v>
      </c>
      <c r="BB881" t="s">
        <v>191</v>
      </c>
      <c r="BC881" t="s">
        <v>182</v>
      </c>
      <c r="BD881" t="s">
        <v>182</v>
      </c>
      <c r="BE881" t="s">
        <v>383</v>
      </c>
      <c r="BF881">
        <v>0</v>
      </c>
      <c r="BG881">
        <v>0</v>
      </c>
      <c r="BH881">
        <v>0</v>
      </c>
      <c r="BI881" t="s">
        <v>199</v>
      </c>
      <c r="BJ881" t="s">
        <v>315</v>
      </c>
      <c r="BL881" t="s">
        <v>199</v>
      </c>
      <c r="BM881" t="s">
        <v>358</v>
      </c>
      <c r="BN881" t="s">
        <v>182</v>
      </c>
      <c r="BO881" t="s">
        <v>198</v>
      </c>
      <c r="BP881" t="s">
        <v>198</v>
      </c>
      <c r="BQ881" t="s">
        <v>198</v>
      </c>
      <c r="BR881" t="s">
        <v>198</v>
      </c>
      <c r="BS881" t="s">
        <v>198</v>
      </c>
      <c r="BT881" t="s">
        <v>198</v>
      </c>
      <c r="BU881" t="s">
        <v>182</v>
      </c>
      <c r="BV881" t="s">
        <v>198</v>
      </c>
      <c r="BW881" t="s">
        <v>198</v>
      </c>
      <c r="BX881" t="s">
        <v>199</v>
      </c>
      <c r="BY881" t="s">
        <v>198</v>
      </c>
      <c r="BZ881" t="s">
        <v>199</v>
      </c>
      <c r="CA881" t="s">
        <v>199</v>
      </c>
      <c r="CB881" t="s">
        <v>12036</v>
      </c>
      <c r="CC881" t="s">
        <v>201</v>
      </c>
      <c r="CD881" t="s">
        <v>182</v>
      </c>
      <c r="CE881" t="s">
        <v>12037</v>
      </c>
      <c r="CF881" t="s">
        <v>12038</v>
      </c>
      <c r="CG881" t="s">
        <v>12039</v>
      </c>
      <c r="CH881" t="s">
        <v>12040</v>
      </c>
      <c r="CI881" t="s">
        <v>10132</v>
      </c>
      <c r="CJ881" t="s">
        <v>9025</v>
      </c>
      <c r="CK881" t="s">
        <v>232</v>
      </c>
      <c r="CL881" t="s">
        <v>233</v>
      </c>
      <c r="CM881" t="s">
        <v>11062</v>
      </c>
      <c r="CN881" t="s">
        <v>922</v>
      </c>
      <c r="CO881" t="s">
        <v>183</v>
      </c>
      <c r="CP881" t="s">
        <v>266</v>
      </c>
      <c r="CS881" t="s">
        <v>198</v>
      </c>
      <c r="CT881" t="s">
        <v>8787</v>
      </c>
      <c r="CU881" t="s">
        <v>292</v>
      </c>
      <c r="CV881" t="s">
        <v>293</v>
      </c>
      <c r="CW881" t="s">
        <v>12041</v>
      </c>
      <c r="CX881" t="s">
        <v>482</v>
      </c>
      <c r="CY881" t="s">
        <v>183</v>
      </c>
      <c r="CZ881" t="s">
        <v>266</v>
      </c>
      <c r="DC881" t="s">
        <v>198</v>
      </c>
      <c r="DD881" t="s">
        <v>8705</v>
      </c>
      <c r="DE881" t="s">
        <v>267</v>
      </c>
      <c r="DF881" t="s">
        <v>268</v>
      </c>
      <c r="DG881" t="s">
        <v>12042</v>
      </c>
      <c r="DH881" t="s">
        <v>247</v>
      </c>
      <c r="DI881" t="s">
        <v>183</v>
      </c>
      <c r="DJ881" t="s">
        <v>266</v>
      </c>
      <c r="DM881" t="s">
        <v>198</v>
      </c>
      <c r="DN881" t="s">
        <v>12043</v>
      </c>
      <c r="DO881" t="s">
        <v>273</v>
      </c>
      <c r="DP881" t="s">
        <v>274</v>
      </c>
      <c r="DQ881" t="s">
        <v>12044</v>
      </c>
      <c r="DR881" t="s">
        <v>1491</v>
      </c>
      <c r="DS881" t="s">
        <v>183</v>
      </c>
      <c r="DT881" t="s">
        <v>266</v>
      </c>
      <c r="DW881" t="s">
        <v>198</v>
      </c>
      <c r="DX881" t="s">
        <v>12045</v>
      </c>
      <c r="DY881" t="s">
        <v>302</v>
      </c>
      <c r="DZ881" t="s">
        <v>303</v>
      </c>
      <c r="EA881" t="s">
        <v>12046</v>
      </c>
      <c r="EB881" t="s">
        <v>278</v>
      </c>
      <c r="EC881" t="s">
        <v>183</v>
      </c>
      <c r="ED881" t="s">
        <v>266</v>
      </c>
      <c r="EG881" t="s">
        <v>198</v>
      </c>
      <c r="EH881" t="s">
        <v>12047</v>
      </c>
      <c r="EI881" t="s">
        <v>238</v>
      </c>
      <c r="EJ881" t="s">
        <v>239</v>
      </c>
      <c r="EK881" t="s">
        <v>11127</v>
      </c>
      <c r="EL881" t="s">
        <v>254</v>
      </c>
      <c r="EM881" t="s">
        <v>183</v>
      </c>
      <c r="EN881" t="s">
        <v>266</v>
      </c>
      <c r="EQ881" t="s">
        <v>198</v>
      </c>
      <c r="FA881" t="s">
        <v>198</v>
      </c>
      <c r="FK881" t="s">
        <v>198</v>
      </c>
      <c r="FU881" t="s">
        <v>198</v>
      </c>
    </row>
    <row r="882" spans="1:177">
      <c r="A882" s="1" t="str">
        <f>HYPERLINK("http://digipan.lumentumllc.com/apps/getLink/index.php?t=PropLink&amp;p=7112495","PL")</f>
        <v>PL</v>
      </c>
      <c r="B882" s="1" t="str">
        <f>HYPERLINK("http://digipan.lumentumllc.com/apps/getLink/index.php?t=TaxLink&amp;p=7112495","TL")</f>
        <v>TL</v>
      </c>
      <c r="C882" s="1" t="str">
        <f>HYPERLINK("http://digipan.lumentumllc.com/apps/getMap/index.php?p=7112495","Map")</f>
        <v>Map</v>
      </c>
      <c r="E882" t="s">
        <v>177</v>
      </c>
      <c r="F882" t="s">
        <v>178</v>
      </c>
      <c r="L882" t="s">
        <v>12048</v>
      </c>
      <c r="N882" t="s">
        <v>12048</v>
      </c>
      <c r="O882" t="s">
        <v>12048</v>
      </c>
      <c r="P882" t="s">
        <v>12049</v>
      </c>
      <c r="Q882" t="s">
        <v>12048</v>
      </c>
      <c r="V882">
        <v>1023</v>
      </c>
      <c r="W882">
        <v>4</v>
      </c>
      <c r="X882">
        <v>2017</v>
      </c>
      <c r="Y882">
        <v>2018</v>
      </c>
      <c r="Z882">
        <v>407.39</v>
      </c>
      <c r="AB882" t="s">
        <v>181</v>
      </c>
      <c r="AC882" t="s">
        <v>182</v>
      </c>
      <c r="AD882" t="s">
        <v>183</v>
      </c>
      <c r="AE882">
        <v>0</v>
      </c>
      <c r="AF882">
        <v>1</v>
      </c>
      <c r="AG882" t="s">
        <v>821</v>
      </c>
      <c r="AH882">
        <v>100</v>
      </c>
      <c r="AK882">
        <v>0</v>
      </c>
      <c r="AL882">
        <v>23466</v>
      </c>
      <c r="AM882">
        <v>15000</v>
      </c>
      <c r="AN882">
        <v>8466</v>
      </c>
      <c r="AO882">
        <v>314</v>
      </c>
      <c r="AP882">
        <v>2016</v>
      </c>
      <c r="AQ882">
        <v>1.74</v>
      </c>
      <c r="AS882" t="s">
        <v>12050</v>
      </c>
      <c r="AT882" t="s">
        <v>3747</v>
      </c>
      <c r="AU882" t="s">
        <v>177</v>
      </c>
      <c r="AV882" t="s">
        <v>1030</v>
      </c>
      <c r="AW882" t="s">
        <v>182</v>
      </c>
      <c r="AX882">
        <v>2</v>
      </c>
      <c r="AY882" t="s">
        <v>188</v>
      </c>
      <c r="AZ882" t="s">
        <v>189</v>
      </c>
      <c r="BA882" t="s">
        <v>190</v>
      </c>
      <c r="BB882" t="s">
        <v>191</v>
      </c>
      <c r="BC882" t="s">
        <v>182</v>
      </c>
      <c r="BD882" t="s">
        <v>182</v>
      </c>
      <c r="BE882" t="s">
        <v>383</v>
      </c>
      <c r="BF882">
        <v>2</v>
      </c>
      <c r="BG882">
        <v>1</v>
      </c>
      <c r="BH882">
        <v>1972</v>
      </c>
      <c r="BI882" t="s">
        <v>11598</v>
      </c>
      <c r="BJ882" t="s">
        <v>194</v>
      </c>
      <c r="BK882" t="s">
        <v>195</v>
      </c>
      <c r="BL882" t="s">
        <v>7000</v>
      </c>
      <c r="BM882" t="s">
        <v>2604</v>
      </c>
      <c r="BN882" t="s">
        <v>182</v>
      </c>
      <c r="BO882" t="s">
        <v>198</v>
      </c>
      <c r="BP882" t="s">
        <v>198</v>
      </c>
      <c r="BQ882" t="s">
        <v>198</v>
      </c>
      <c r="BR882" t="s">
        <v>198</v>
      </c>
      <c r="BS882" t="s">
        <v>198</v>
      </c>
      <c r="BT882" t="s">
        <v>198</v>
      </c>
      <c r="BU882" t="s">
        <v>182</v>
      </c>
      <c r="BV882" t="s">
        <v>198</v>
      </c>
      <c r="BW882" t="s">
        <v>198</v>
      </c>
      <c r="BX882" t="s">
        <v>199</v>
      </c>
      <c r="BY882" t="s">
        <v>198</v>
      </c>
      <c r="BZ882" t="s">
        <v>199</v>
      </c>
      <c r="CA882" t="s">
        <v>199</v>
      </c>
      <c r="CB882" t="s">
        <v>12051</v>
      </c>
      <c r="CC882" t="s">
        <v>201</v>
      </c>
      <c r="CD882" t="s">
        <v>202</v>
      </c>
      <c r="CE882" t="s">
        <v>12052</v>
      </c>
      <c r="CF882" t="s">
        <v>8687</v>
      </c>
      <c r="CG882" t="s">
        <v>177</v>
      </c>
      <c r="CH882" t="s">
        <v>8688</v>
      </c>
      <c r="CI882" t="s">
        <v>12053</v>
      </c>
      <c r="CJ882" t="s">
        <v>8449</v>
      </c>
      <c r="CK882" t="s">
        <v>292</v>
      </c>
      <c r="CL882" t="s">
        <v>293</v>
      </c>
      <c r="CM882" t="s">
        <v>12054</v>
      </c>
      <c r="CN882" t="s">
        <v>1551</v>
      </c>
      <c r="CO882" t="s">
        <v>183</v>
      </c>
      <c r="CP882" t="s">
        <v>211</v>
      </c>
      <c r="CQ882" t="s">
        <v>250</v>
      </c>
      <c r="CS882" t="s">
        <v>2627</v>
      </c>
      <c r="DC882" t="s">
        <v>198</v>
      </c>
      <c r="DM882" t="s">
        <v>198</v>
      </c>
      <c r="DW882" t="s">
        <v>198</v>
      </c>
      <c r="EG882" t="s">
        <v>198</v>
      </c>
      <c r="EQ882" t="s">
        <v>198</v>
      </c>
      <c r="FA882" t="s">
        <v>198</v>
      </c>
      <c r="FK882" t="s">
        <v>198</v>
      </c>
      <c r="FU882" t="s">
        <v>198</v>
      </c>
    </row>
    <row r="883" spans="1:177">
      <c r="A883" s="1" t="str">
        <f>HYPERLINK("http://digipan.lumentumllc.com/apps/getLink/index.php?t=PropLink&amp;p=5246938","PL")</f>
        <v>PL</v>
      </c>
      <c r="B883" s="1" t="str">
        <f>HYPERLINK("http://digipan.lumentumllc.com/apps/getLink/index.php?t=TaxLink&amp;p=5246938","TL")</f>
        <v>TL</v>
      </c>
      <c r="C883" s="1" t="str">
        <f>HYPERLINK("http://digipan.lumentumllc.com/apps/getMap/index.php?p=5246938","Map")</f>
        <v>Map</v>
      </c>
      <c r="E883" t="s">
        <v>177</v>
      </c>
      <c r="F883" t="s">
        <v>178</v>
      </c>
      <c r="L883" t="s">
        <v>12055</v>
      </c>
      <c r="N883" t="s">
        <v>12055</v>
      </c>
      <c r="O883" t="s">
        <v>12055</v>
      </c>
      <c r="P883" t="s">
        <v>12056</v>
      </c>
      <c r="Q883" t="s">
        <v>12055</v>
      </c>
      <c r="V883">
        <v>1024</v>
      </c>
      <c r="W883">
        <v>4</v>
      </c>
      <c r="X883">
        <v>2017</v>
      </c>
      <c r="Y883">
        <v>2018</v>
      </c>
      <c r="Z883">
        <v>313.97000000000003</v>
      </c>
      <c r="AB883" t="s">
        <v>181</v>
      </c>
      <c r="AC883" t="s">
        <v>182</v>
      </c>
      <c r="AD883" t="s">
        <v>183</v>
      </c>
      <c r="AE883">
        <v>0</v>
      </c>
      <c r="AF883">
        <v>2</v>
      </c>
      <c r="AG883" t="s">
        <v>216</v>
      </c>
      <c r="AH883">
        <v>100</v>
      </c>
      <c r="AK883">
        <v>0</v>
      </c>
      <c r="AL883">
        <v>18945</v>
      </c>
      <c r="AM883">
        <v>15000</v>
      </c>
      <c r="AN883">
        <v>3945</v>
      </c>
      <c r="AO883">
        <v>222</v>
      </c>
      <c r="AP883">
        <v>2016</v>
      </c>
      <c r="AQ883">
        <v>1.66</v>
      </c>
      <c r="AS883" t="s">
        <v>12057</v>
      </c>
      <c r="AT883" t="s">
        <v>3747</v>
      </c>
      <c r="AU883" t="s">
        <v>177</v>
      </c>
      <c r="AV883" t="s">
        <v>1030</v>
      </c>
      <c r="AW883" t="s">
        <v>182</v>
      </c>
      <c r="AX883">
        <v>0</v>
      </c>
      <c r="AY883" t="s">
        <v>312</v>
      </c>
      <c r="AZ883" t="s">
        <v>199</v>
      </c>
      <c r="BA883" t="s">
        <v>313</v>
      </c>
      <c r="BB883" t="s">
        <v>191</v>
      </c>
      <c r="BC883" t="s">
        <v>182</v>
      </c>
      <c r="BD883" t="s">
        <v>182</v>
      </c>
      <c r="BE883" t="s">
        <v>383</v>
      </c>
      <c r="BF883">
        <v>0</v>
      </c>
      <c r="BG883">
        <v>0</v>
      </c>
      <c r="BH883">
        <v>0</v>
      </c>
      <c r="BI883" t="s">
        <v>199</v>
      </c>
      <c r="BJ883" t="s">
        <v>248</v>
      </c>
      <c r="BL883" t="s">
        <v>199</v>
      </c>
      <c r="BM883" t="s">
        <v>232</v>
      </c>
      <c r="BN883" t="s">
        <v>182</v>
      </c>
      <c r="BO883" t="s">
        <v>198</v>
      </c>
      <c r="BP883" t="s">
        <v>198</v>
      </c>
      <c r="BQ883" t="s">
        <v>198</v>
      </c>
      <c r="BR883" t="s">
        <v>198</v>
      </c>
      <c r="BS883" t="s">
        <v>198</v>
      </c>
      <c r="BT883" t="s">
        <v>198</v>
      </c>
      <c r="BU883" t="s">
        <v>182</v>
      </c>
      <c r="BV883" t="s">
        <v>198</v>
      </c>
      <c r="BW883" t="s">
        <v>198</v>
      </c>
      <c r="BX883" t="s">
        <v>199</v>
      </c>
      <c r="BY883" t="s">
        <v>198</v>
      </c>
      <c r="BZ883" t="s">
        <v>199</v>
      </c>
      <c r="CA883" t="s">
        <v>199</v>
      </c>
      <c r="CB883" t="s">
        <v>12058</v>
      </c>
      <c r="CC883" t="s">
        <v>201</v>
      </c>
      <c r="CD883" t="s">
        <v>202</v>
      </c>
      <c r="CE883" t="s">
        <v>12059</v>
      </c>
      <c r="CF883" t="s">
        <v>1029</v>
      </c>
      <c r="CG883" t="s">
        <v>177</v>
      </c>
      <c r="CH883" t="s">
        <v>1030</v>
      </c>
      <c r="CI883" t="s">
        <v>12060</v>
      </c>
      <c r="CJ883" t="s">
        <v>8381</v>
      </c>
      <c r="CK883" t="s">
        <v>232</v>
      </c>
      <c r="CL883" t="s">
        <v>233</v>
      </c>
      <c r="CM883" t="s">
        <v>12061</v>
      </c>
      <c r="CN883" t="s">
        <v>1164</v>
      </c>
      <c r="CO883" t="s">
        <v>183</v>
      </c>
      <c r="CP883" t="s">
        <v>211</v>
      </c>
      <c r="CQ883" t="s">
        <v>212</v>
      </c>
      <c r="CS883" t="s">
        <v>335</v>
      </c>
      <c r="CT883" t="s">
        <v>6118</v>
      </c>
      <c r="CU883" t="s">
        <v>273</v>
      </c>
      <c r="CV883" t="s">
        <v>274</v>
      </c>
      <c r="CW883" t="s">
        <v>12062</v>
      </c>
      <c r="CX883" t="s">
        <v>1491</v>
      </c>
      <c r="CY883" t="s">
        <v>183</v>
      </c>
      <c r="CZ883" t="s">
        <v>211</v>
      </c>
      <c r="DA883" t="s">
        <v>189</v>
      </c>
      <c r="DC883" t="s">
        <v>12063</v>
      </c>
      <c r="DM883" t="s">
        <v>198</v>
      </c>
      <c r="DW883" t="s">
        <v>198</v>
      </c>
      <c r="EG883" t="s">
        <v>198</v>
      </c>
      <c r="EQ883" t="s">
        <v>198</v>
      </c>
      <c r="FA883" t="s">
        <v>198</v>
      </c>
      <c r="FK883" t="s">
        <v>198</v>
      </c>
      <c r="FU883" t="s">
        <v>198</v>
      </c>
    </row>
    <row r="884" spans="1:177">
      <c r="A884" s="1" t="str">
        <f>HYPERLINK("http://digipan.lumentumllc.com/apps/getLink/index.php?t=PropLink&amp;p=6594294","PL")</f>
        <v>PL</v>
      </c>
      <c r="B884" s="1" t="str">
        <f>HYPERLINK("http://digipan.lumentumllc.com/apps/getLink/index.php?t=TaxLink&amp;p=6594294","TL")</f>
        <v>TL</v>
      </c>
      <c r="C884" s="1" t="str">
        <f>HYPERLINK("http://digipan.lumentumllc.com/apps/getMap/index.php?p=6594294","Map")</f>
        <v>Map</v>
      </c>
      <c r="E884" t="s">
        <v>177</v>
      </c>
      <c r="F884" t="s">
        <v>178</v>
      </c>
      <c r="L884" t="s">
        <v>12064</v>
      </c>
      <c r="N884" t="s">
        <v>12064</v>
      </c>
      <c r="O884" t="s">
        <v>12064</v>
      </c>
      <c r="P884" t="s">
        <v>12065</v>
      </c>
      <c r="Q884" t="s">
        <v>12064</v>
      </c>
      <c r="V884">
        <v>1025</v>
      </c>
      <c r="W884">
        <v>4</v>
      </c>
      <c r="X884">
        <v>2017</v>
      </c>
      <c r="Y884">
        <v>2018</v>
      </c>
      <c r="Z884">
        <v>469.62</v>
      </c>
      <c r="AB884" t="s">
        <v>181</v>
      </c>
      <c r="AC884" t="s">
        <v>182</v>
      </c>
      <c r="AD884" t="s">
        <v>183</v>
      </c>
      <c r="AE884">
        <v>2</v>
      </c>
      <c r="AF884">
        <v>2</v>
      </c>
      <c r="AG884" t="s">
        <v>762</v>
      </c>
      <c r="AH884">
        <v>50</v>
      </c>
      <c r="AI884">
        <v>903.95</v>
      </c>
      <c r="AJ884">
        <v>45.2</v>
      </c>
      <c r="AK884">
        <v>949.15</v>
      </c>
      <c r="AL884">
        <v>27059</v>
      </c>
      <c r="AM884">
        <v>15000</v>
      </c>
      <c r="AN884">
        <v>12059</v>
      </c>
      <c r="AO884">
        <v>369</v>
      </c>
      <c r="AP884">
        <v>2016</v>
      </c>
      <c r="AQ884">
        <v>1.74</v>
      </c>
      <c r="AR884">
        <v>3.51</v>
      </c>
      <c r="AS884" t="s">
        <v>12066</v>
      </c>
      <c r="AT884" t="s">
        <v>3747</v>
      </c>
      <c r="AU884" t="s">
        <v>177</v>
      </c>
      <c r="AV884" t="s">
        <v>1030</v>
      </c>
      <c r="AW884" t="s">
        <v>182</v>
      </c>
      <c r="AX884">
        <v>2</v>
      </c>
      <c r="AY884" t="s">
        <v>188</v>
      </c>
      <c r="AZ884" t="s">
        <v>189</v>
      </c>
      <c r="BA884" t="s">
        <v>190</v>
      </c>
      <c r="BB884" t="s">
        <v>191</v>
      </c>
      <c r="BC884" t="s">
        <v>182</v>
      </c>
      <c r="BD884" t="s">
        <v>182</v>
      </c>
      <c r="BE884" t="s">
        <v>383</v>
      </c>
      <c r="BF884">
        <v>1</v>
      </c>
      <c r="BG884">
        <v>1</v>
      </c>
      <c r="BH884">
        <v>1984</v>
      </c>
      <c r="BI884" t="s">
        <v>10387</v>
      </c>
      <c r="BJ884" t="s">
        <v>194</v>
      </c>
      <c r="BK884" t="s">
        <v>195</v>
      </c>
      <c r="BL884" t="s">
        <v>199</v>
      </c>
      <c r="BM884" t="s">
        <v>286</v>
      </c>
      <c r="BN884" t="s">
        <v>182</v>
      </c>
      <c r="BO884" t="s">
        <v>198</v>
      </c>
      <c r="BP884" t="s">
        <v>198</v>
      </c>
      <c r="BQ884" t="s">
        <v>198</v>
      </c>
      <c r="BR884" t="s">
        <v>198</v>
      </c>
      <c r="BS884" t="s">
        <v>198</v>
      </c>
      <c r="BT884" t="s">
        <v>198</v>
      </c>
      <c r="BU884" t="s">
        <v>182</v>
      </c>
      <c r="BV884" t="s">
        <v>198</v>
      </c>
      <c r="BW884" t="s">
        <v>198</v>
      </c>
      <c r="BX884" t="s">
        <v>199</v>
      </c>
      <c r="BY884" t="s">
        <v>198</v>
      </c>
      <c r="BZ884" t="s">
        <v>199</v>
      </c>
      <c r="CA884" t="s">
        <v>199</v>
      </c>
      <c r="CB884" t="s">
        <v>12067</v>
      </c>
      <c r="CC884" t="s">
        <v>201</v>
      </c>
      <c r="CD884" t="s">
        <v>182</v>
      </c>
      <c r="CE884" t="s">
        <v>12068</v>
      </c>
      <c r="CF884" t="s">
        <v>1029</v>
      </c>
      <c r="CG884" t="s">
        <v>177</v>
      </c>
      <c r="CH884" t="s">
        <v>1030</v>
      </c>
      <c r="CI884" t="s">
        <v>12069</v>
      </c>
      <c r="CJ884" t="s">
        <v>11949</v>
      </c>
      <c r="CK884" t="s">
        <v>232</v>
      </c>
      <c r="CL884" t="s">
        <v>233</v>
      </c>
      <c r="CM884" t="s">
        <v>12070</v>
      </c>
      <c r="CN884" t="s">
        <v>305</v>
      </c>
      <c r="CO884" t="s">
        <v>183</v>
      </c>
      <c r="CP884" t="s">
        <v>266</v>
      </c>
      <c r="CS884" t="s">
        <v>198</v>
      </c>
      <c r="CT884" t="s">
        <v>11643</v>
      </c>
      <c r="CU884" t="s">
        <v>292</v>
      </c>
      <c r="CV884" t="s">
        <v>293</v>
      </c>
      <c r="CW884" t="s">
        <v>12071</v>
      </c>
      <c r="CX884" t="s">
        <v>235</v>
      </c>
      <c r="CY884" t="s">
        <v>183</v>
      </c>
      <c r="CZ884" t="s">
        <v>266</v>
      </c>
      <c r="DC884" t="s">
        <v>198</v>
      </c>
      <c r="DD884" t="s">
        <v>12072</v>
      </c>
      <c r="DE884" t="s">
        <v>267</v>
      </c>
      <c r="DF884" t="s">
        <v>268</v>
      </c>
      <c r="DG884" t="s">
        <v>12073</v>
      </c>
      <c r="DH884" t="s">
        <v>511</v>
      </c>
      <c r="DI884" t="s">
        <v>183</v>
      </c>
      <c r="DJ884" t="s">
        <v>211</v>
      </c>
      <c r="DK884" t="s">
        <v>334</v>
      </c>
      <c r="DM884" t="s">
        <v>12074</v>
      </c>
      <c r="DN884" t="s">
        <v>11765</v>
      </c>
      <c r="DO884" t="s">
        <v>273</v>
      </c>
      <c r="DP884" t="s">
        <v>274</v>
      </c>
      <c r="DQ884" t="s">
        <v>12075</v>
      </c>
      <c r="DR884" t="s">
        <v>1164</v>
      </c>
      <c r="DS884" t="s">
        <v>183</v>
      </c>
      <c r="DT884" t="s">
        <v>211</v>
      </c>
      <c r="DU884" t="s">
        <v>345</v>
      </c>
      <c r="DW884" t="s">
        <v>9539</v>
      </c>
      <c r="EG884" t="s">
        <v>198</v>
      </c>
      <c r="EQ884" t="s">
        <v>198</v>
      </c>
      <c r="FA884" t="s">
        <v>198</v>
      </c>
      <c r="FK884" t="s">
        <v>198</v>
      </c>
      <c r="FU884" t="s">
        <v>198</v>
      </c>
    </row>
    <row r="885" spans="1:177">
      <c r="A885" s="1" t="str">
        <f>HYPERLINK("http://digipan.lumentumllc.com/apps/getLink/index.php?t=PropLink&amp;p=5246940","PL")</f>
        <v>PL</v>
      </c>
      <c r="B885" s="1" t="str">
        <f>HYPERLINK("http://digipan.lumentumllc.com/apps/getLink/index.php?t=TaxLink&amp;p=5246940","TL")</f>
        <v>TL</v>
      </c>
      <c r="C885" s="1" t="str">
        <f>HYPERLINK("http://digipan.lumentumllc.com/apps/getMap/index.php?p=5246940","Map")</f>
        <v>Map</v>
      </c>
      <c r="E885" t="s">
        <v>177</v>
      </c>
      <c r="F885" t="s">
        <v>178</v>
      </c>
      <c r="L885" t="s">
        <v>12076</v>
      </c>
      <c r="N885" t="s">
        <v>12076</v>
      </c>
      <c r="O885" t="s">
        <v>12076</v>
      </c>
      <c r="P885" t="s">
        <v>12077</v>
      </c>
      <c r="Q885" t="s">
        <v>12076</v>
      </c>
      <c r="V885">
        <v>1026</v>
      </c>
      <c r="W885">
        <v>4</v>
      </c>
      <c r="X885">
        <v>2017</v>
      </c>
      <c r="Y885">
        <v>2018</v>
      </c>
      <c r="Z885">
        <v>1268.1400000000001</v>
      </c>
      <c r="AB885" t="s">
        <v>181</v>
      </c>
      <c r="AC885" t="s">
        <v>182</v>
      </c>
      <c r="AD885" t="s">
        <v>183</v>
      </c>
      <c r="AE885">
        <v>1</v>
      </c>
      <c r="AF885">
        <v>7</v>
      </c>
      <c r="AG885" t="s">
        <v>418</v>
      </c>
      <c r="AH885">
        <v>86</v>
      </c>
      <c r="AI885">
        <v>1197.44</v>
      </c>
      <c r="AJ885">
        <v>59.87</v>
      </c>
      <c r="AK885">
        <v>1257.31</v>
      </c>
      <c r="AL885">
        <v>75500</v>
      </c>
      <c r="AM885">
        <v>60500</v>
      </c>
      <c r="AN885">
        <v>15000</v>
      </c>
      <c r="AO885">
        <v>1082</v>
      </c>
      <c r="AP885">
        <v>2016</v>
      </c>
      <c r="AQ885">
        <v>1.68</v>
      </c>
      <c r="AR885">
        <v>1.67</v>
      </c>
      <c r="AS885" t="s">
        <v>12078</v>
      </c>
      <c r="AT885" t="s">
        <v>3747</v>
      </c>
      <c r="AU885" t="s">
        <v>177</v>
      </c>
      <c r="AV885" t="s">
        <v>1030</v>
      </c>
      <c r="AW885" t="s">
        <v>182</v>
      </c>
      <c r="AX885">
        <v>0</v>
      </c>
      <c r="AY885" t="s">
        <v>312</v>
      </c>
      <c r="AZ885" t="s">
        <v>199</v>
      </c>
      <c r="BA885" t="s">
        <v>313</v>
      </c>
      <c r="BB885" t="s">
        <v>191</v>
      </c>
      <c r="BC885" t="s">
        <v>182</v>
      </c>
      <c r="BD885" t="s">
        <v>182</v>
      </c>
      <c r="BE885" t="s">
        <v>314</v>
      </c>
      <c r="BF885">
        <v>0</v>
      </c>
      <c r="BG885">
        <v>0</v>
      </c>
      <c r="BH885">
        <v>0</v>
      </c>
      <c r="BI885" t="s">
        <v>199</v>
      </c>
      <c r="BJ885" t="s">
        <v>248</v>
      </c>
      <c r="BL885" t="s">
        <v>199</v>
      </c>
      <c r="BM885" t="s">
        <v>273</v>
      </c>
      <c r="BN885" t="s">
        <v>182</v>
      </c>
      <c r="BO885" t="s">
        <v>198</v>
      </c>
      <c r="BP885" t="s">
        <v>198</v>
      </c>
      <c r="BQ885" t="s">
        <v>198</v>
      </c>
      <c r="BR885" t="s">
        <v>198</v>
      </c>
      <c r="BS885" t="s">
        <v>198</v>
      </c>
      <c r="BT885" t="s">
        <v>198</v>
      </c>
      <c r="BU885" t="s">
        <v>182</v>
      </c>
      <c r="BV885" t="s">
        <v>198</v>
      </c>
      <c r="BW885" t="s">
        <v>198</v>
      </c>
      <c r="BX885" t="s">
        <v>199</v>
      </c>
      <c r="BY885" t="s">
        <v>198</v>
      </c>
      <c r="BZ885" t="s">
        <v>199</v>
      </c>
      <c r="CA885" t="s">
        <v>199</v>
      </c>
      <c r="CB885" t="s">
        <v>9928</v>
      </c>
      <c r="CC885" t="s">
        <v>201</v>
      </c>
      <c r="CD885" t="s">
        <v>182</v>
      </c>
      <c r="CE885" t="s">
        <v>12079</v>
      </c>
      <c r="CF885" t="s">
        <v>1029</v>
      </c>
      <c r="CG885" t="s">
        <v>177</v>
      </c>
      <c r="CH885" t="s">
        <v>1030</v>
      </c>
      <c r="CI885" t="s">
        <v>12080</v>
      </c>
      <c r="CJ885" t="s">
        <v>10989</v>
      </c>
      <c r="CK885" t="s">
        <v>232</v>
      </c>
      <c r="CL885" t="s">
        <v>233</v>
      </c>
      <c r="CM885" t="s">
        <v>12081</v>
      </c>
      <c r="CN885" t="s">
        <v>235</v>
      </c>
      <c r="CO885" t="s">
        <v>183</v>
      </c>
      <c r="CP885" t="s">
        <v>266</v>
      </c>
      <c r="CS885" t="s">
        <v>198</v>
      </c>
      <c r="CT885" t="s">
        <v>11911</v>
      </c>
      <c r="CU885" t="s">
        <v>292</v>
      </c>
      <c r="CV885" t="s">
        <v>293</v>
      </c>
      <c r="CW885" t="s">
        <v>12082</v>
      </c>
      <c r="CX885" t="s">
        <v>235</v>
      </c>
      <c r="CY885" t="s">
        <v>183</v>
      </c>
      <c r="CZ885" t="s">
        <v>211</v>
      </c>
      <c r="DA885" t="s">
        <v>493</v>
      </c>
      <c r="DC885" t="s">
        <v>9932</v>
      </c>
      <c r="DD885" t="s">
        <v>12083</v>
      </c>
      <c r="DE885" t="s">
        <v>267</v>
      </c>
      <c r="DF885" t="s">
        <v>268</v>
      </c>
      <c r="DG885" t="s">
        <v>12084</v>
      </c>
      <c r="DH885" t="s">
        <v>331</v>
      </c>
      <c r="DI885" t="s">
        <v>183</v>
      </c>
      <c r="DJ885" t="s">
        <v>211</v>
      </c>
      <c r="DK885" t="s">
        <v>444</v>
      </c>
      <c r="DM885" t="s">
        <v>12085</v>
      </c>
      <c r="DN885" t="s">
        <v>9372</v>
      </c>
      <c r="DO885" t="s">
        <v>273</v>
      </c>
      <c r="DP885" t="s">
        <v>274</v>
      </c>
      <c r="DQ885" t="s">
        <v>12086</v>
      </c>
      <c r="DR885" t="s">
        <v>796</v>
      </c>
      <c r="DS885" t="s">
        <v>183</v>
      </c>
      <c r="DT885" t="s">
        <v>211</v>
      </c>
      <c r="DU885" t="s">
        <v>523</v>
      </c>
      <c r="DW885" t="s">
        <v>12087</v>
      </c>
      <c r="DX885" t="s">
        <v>6517</v>
      </c>
      <c r="DY885" t="s">
        <v>302</v>
      </c>
      <c r="DZ885" t="s">
        <v>303</v>
      </c>
      <c r="EA885" t="s">
        <v>12088</v>
      </c>
      <c r="EB885" t="s">
        <v>235</v>
      </c>
      <c r="EC885" t="s">
        <v>183</v>
      </c>
      <c r="ED885" t="s">
        <v>211</v>
      </c>
      <c r="EE885" t="s">
        <v>493</v>
      </c>
      <c r="EG885" t="s">
        <v>12089</v>
      </c>
      <c r="EH885" t="s">
        <v>12090</v>
      </c>
      <c r="EI885" t="s">
        <v>238</v>
      </c>
      <c r="EJ885" t="s">
        <v>239</v>
      </c>
      <c r="EK885" t="s">
        <v>12091</v>
      </c>
      <c r="EL885" t="s">
        <v>440</v>
      </c>
      <c r="EM885" t="s">
        <v>183</v>
      </c>
      <c r="EN885" t="s">
        <v>211</v>
      </c>
      <c r="EO885" t="s">
        <v>298</v>
      </c>
      <c r="EQ885" t="s">
        <v>1794</v>
      </c>
      <c r="ER885" t="s">
        <v>12092</v>
      </c>
      <c r="ES885" t="s">
        <v>346</v>
      </c>
      <c r="ET885" t="s">
        <v>347</v>
      </c>
      <c r="EU885" t="s">
        <v>12093</v>
      </c>
      <c r="EV885" t="s">
        <v>1551</v>
      </c>
      <c r="EW885" t="s">
        <v>183</v>
      </c>
      <c r="EX885" t="s">
        <v>211</v>
      </c>
      <c r="EY885" t="s">
        <v>493</v>
      </c>
      <c r="FA885" t="s">
        <v>12094</v>
      </c>
      <c r="FB885" t="s">
        <v>12095</v>
      </c>
      <c r="FC885" t="s">
        <v>207</v>
      </c>
      <c r="FD885" t="s">
        <v>208</v>
      </c>
      <c r="FE885" t="s">
        <v>12096</v>
      </c>
      <c r="FF885" t="s">
        <v>576</v>
      </c>
      <c r="FG885" t="s">
        <v>183</v>
      </c>
      <c r="FH885" t="s">
        <v>211</v>
      </c>
      <c r="FI885" t="s">
        <v>493</v>
      </c>
      <c r="FK885" t="s">
        <v>1576</v>
      </c>
      <c r="FU885" t="s">
        <v>198</v>
      </c>
    </row>
    <row r="886" spans="1:177">
      <c r="A886" s="1" t="str">
        <f>HYPERLINK("http://digipan.lumentumllc.com/apps/getLink/index.php?t=PropLink&amp;p=5246945","PL")</f>
        <v>PL</v>
      </c>
      <c r="B886" s="1" t="str">
        <f>HYPERLINK("http://digipan.lumentumllc.com/apps/getLink/index.php?t=TaxLink&amp;p=5246945","TL")</f>
        <v>TL</v>
      </c>
      <c r="C886" s="1" t="str">
        <f>HYPERLINK("http://digipan.lumentumllc.com/apps/getMap/index.php?p=5246945","Map")</f>
        <v>Map</v>
      </c>
      <c r="E886" t="s">
        <v>177</v>
      </c>
      <c r="F886" t="s">
        <v>178</v>
      </c>
      <c r="L886" t="s">
        <v>12097</v>
      </c>
      <c r="N886" t="s">
        <v>12097</v>
      </c>
      <c r="O886" t="s">
        <v>12097</v>
      </c>
      <c r="P886" t="s">
        <v>12098</v>
      </c>
      <c r="Q886" t="s">
        <v>12097</v>
      </c>
      <c r="V886">
        <v>1027</v>
      </c>
      <c r="W886">
        <v>4</v>
      </c>
      <c r="X886">
        <v>2017</v>
      </c>
      <c r="Y886">
        <v>2018</v>
      </c>
      <c r="Z886">
        <v>842.75</v>
      </c>
      <c r="AB886" t="s">
        <v>181</v>
      </c>
      <c r="AC886" t="s">
        <v>182</v>
      </c>
      <c r="AD886" t="s">
        <v>183</v>
      </c>
      <c r="AE886">
        <v>1</v>
      </c>
      <c r="AF886">
        <v>7</v>
      </c>
      <c r="AG886" t="s">
        <v>418</v>
      </c>
      <c r="AH886">
        <v>86</v>
      </c>
      <c r="AI886">
        <v>821.63</v>
      </c>
      <c r="AJ886">
        <v>41.08</v>
      </c>
      <c r="AK886">
        <v>862.71</v>
      </c>
      <c r="AL886">
        <v>102732</v>
      </c>
      <c r="AM886">
        <v>33520</v>
      </c>
      <c r="AN886">
        <v>69212</v>
      </c>
      <c r="AO886">
        <v>735</v>
      </c>
      <c r="AP886">
        <v>2016</v>
      </c>
      <c r="AQ886">
        <v>0.82</v>
      </c>
      <c r="AR886">
        <v>0.84</v>
      </c>
      <c r="AS886" t="s">
        <v>12099</v>
      </c>
      <c r="AT886" t="s">
        <v>3747</v>
      </c>
      <c r="AU886" t="s">
        <v>177</v>
      </c>
      <c r="AV886" t="s">
        <v>1030</v>
      </c>
      <c r="AW886" t="s">
        <v>202</v>
      </c>
      <c r="AX886">
        <v>1</v>
      </c>
      <c r="AY886" t="s">
        <v>188</v>
      </c>
      <c r="AZ886" t="s">
        <v>206</v>
      </c>
      <c r="BA886" t="s">
        <v>355</v>
      </c>
      <c r="BB886" t="s">
        <v>191</v>
      </c>
      <c r="BC886" t="s">
        <v>182</v>
      </c>
      <c r="BD886" t="s">
        <v>182</v>
      </c>
      <c r="BE886" t="s">
        <v>9378</v>
      </c>
      <c r="BF886">
        <v>1</v>
      </c>
      <c r="BG886">
        <v>1</v>
      </c>
      <c r="BH886">
        <v>1961</v>
      </c>
      <c r="BI886" t="s">
        <v>5250</v>
      </c>
      <c r="BJ886" t="s">
        <v>194</v>
      </c>
      <c r="BK886" t="s">
        <v>195</v>
      </c>
      <c r="BL886" t="s">
        <v>12100</v>
      </c>
      <c r="BM886" t="s">
        <v>451</v>
      </c>
      <c r="BN886" t="s">
        <v>182</v>
      </c>
      <c r="BO886" t="s">
        <v>3842</v>
      </c>
      <c r="BP886" t="s">
        <v>9962</v>
      </c>
      <c r="BR886" t="s">
        <v>1461</v>
      </c>
      <c r="BS886" t="s">
        <v>12101</v>
      </c>
      <c r="BT886" t="s">
        <v>198</v>
      </c>
      <c r="BU886" t="s">
        <v>182</v>
      </c>
      <c r="BV886" t="s">
        <v>198</v>
      </c>
      <c r="BW886" t="s">
        <v>198</v>
      </c>
      <c r="BX886" t="s">
        <v>199</v>
      </c>
      <c r="BY886" t="s">
        <v>198</v>
      </c>
      <c r="BZ886" t="s">
        <v>199</v>
      </c>
      <c r="CA886" t="s">
        <v>199</v>
      </c>
      <c r="CB886" t="s">
        <v>12102</v>
      </c>
      <c r="CC886" t="s">
        <v>201</v>
      </c>
      <c r="CD886" t="s">
        <v>182</v>
      </c>
      <c r="CE886" t="s">
        <v>12103</v>
      </c>
      <c r="CF886" t="s">
        <v>1029</v>
      </c>
      <c r="CG886" t="s">
        <v>177</v>
      </c>
      <c r="CH886" t="s">
        <v>1030</v>
      </c>
      <c r="CI886" t="s">
        <v>12104</v>
      </c>
      <c r="CJ886" t="s">
        <v>8787</v>
      </c>
      <c r="CK886" t="s">
        <v>232</v>
      </c>
      <c r="CL886" t="s">
        <v>233</v>
      </c>
      <c r="CM886" t="s">
        <v>12105</v>
      </c>
      <c r="CN886" t="s">
        <v>235</v>
      </c>
      <c r="CO886" t="s">
        <v>183</v>
      </c>
      <c r="CP886" t="s">
        <v>266</v>
      </c>
      <c r="CS886" t="s">
        <v>198</v>
      </c>
      <c r="CT886" t="s">
        <v>11164</v>
      </c>
      <c r="CU886" t="s">
        <v>292</v>
      </c>
      <c r="CV886" t="s">
        <v>293</v>
      </c>
      <c r="CW886" t="s">
        <v>12106</v>
      </c>
      <c r="CX886" t="s">
        <v>235</v>
      </c>
      <c r="CY886" t="s">
        <v>183</v>
      </c>
      <c r="CZ886" t="s">
        <v>211</v>
      </c>
      <c r="DA886" t="s">
        <v>298</v>
      </c>
      <c r="DC886" t="s">
        <v>457</v>
      </c>
      <c r="DD886" t="s">
        <v>4018</v>
      </c>
      <c r="DE886" t="s">
        <v>267</v>
      </c>
      <c r="DF886" t="s">
        <v>268</v>
      </c>
      <c r="DG886" t="s">
        <v>12107</v>
      </c>
      <c r="DH886" t="s">
        <v>235</v>
      </c>
      <c r="DI886" t="s">
        <v>183</v>
      </c>
      <c r="DJ886" t="s">
        <v>211</v>
      </c>
      <c r="DK886" t="s">
        <v>298</v>
      </c>
      <c r="DM886" t="s">
        <v>459</v>
      </c>
      <c r="DN886" t="s">
        <v>6248</v>
      </c>
      <c r="DO886" t="s">
        <v>273</v>
      </c>
      <c r="DP886" t="s">
        <v>274</v>
      </c>
      <c r="DQ886" t="s">
        <v>12108</v>
      </c>
      <c r="DR886" t="s">
        <v>235</v>
      </c>
      <c r="DS886" t="s">
        <v>183</v>
      </c>
      <c r="DT886" t="s">
        <v>211</v>
      </c>
      <c r="DU886" t="s">
        <v>298</v>
      </c>
      <c r="DW886" t="s">
        <v>462</v>
      </c>
      <c r="DX886" t="s">
        <v>6640</v>
      </c>
      <c r="DY886" t="s">
        <v>302</v>
      </c>
      <c r="DZ886" t="s">
        <v>303</v>
      </c>
      <c r="EA886" t="s">
        <v>12109</v>
      </c>
      <c r="EB886" t="s">
        <v>235</v>
      </c>
      <c r="EC886" t="s">
        <v>183</v>
      </c>
      <c r="ED886" t="s">
        <v>211</v>
      </c>
      <c r="EE886" t="s">
        <v>298</v>
      </c>
      <c r="EG886" t="s">
        <v>2359</v>
      </c>
      <c r="EH886" t="s">
        <v>12110</v>
      </c>
      <c r="EI886" t="s">
        <v>238</v>
      </c>
      <c r="EJ886" t="s">
        <v>239</v>
      </c>
      <c r="EK886" t="s">
        <v>12111</v>
      </c>
      <c r="EL886" t="s">
        <v>331</v>
      </c>
      <c r="EM886" t="s">
        <v>183</v>
      </c>
      <c r="EN886" t="s">
        <v>211</v>
      </c>
      <c r="EO886" t="s">
        <v>199</v>
      </c>
      <c r="EQ886" t="s">
        <v>3572</v>
      </c>
      <c r="ER886" t="s">
        <v>12112</v>
      </c>
      <c r="ES886" t="s">
        <v>346</v>
      </c>
      <c r="ET886" t="s">
        <v>347</v>
      </c>
      <c r="EU886" t="s">
        <v>12113</v>
      </c>
      <c r="EV886" t="s">
        <v>235</v>
      </c>
      <c r="EW886" t="s">
        <v>183</v>
      </c>
      <c r="EX886" t="s">
        <v>211</v>
      </c>
      <c r="EY886" t="s">
        <v>427</v>
      </c>
      <c r="FA886" t="s">
        <v>7383</v>
      </c>
      <c r="FB886" t="s">
        <v>12114</v>
      </c>
      <c r="FC886" t="s">
        <v>207</v>
      </c>
      <c r="FD886" t="s">
        <v>208</v>
      </c>
      <c r="FE886" t="s">
        <v>12115</v>
      </c>
      <c r="FF886" t="s">
        <v>235</v>
      </c>
      <c r="FG886" t="s">
        <v>183</v>
      </c>
      <c r="FH886" t="s">
        <v>211</v>
      </c>
      <c r="FI886" t="s">
        <v>298</v>
      </c>
      <c r="FK886" t="s">
        <v>7700</v>
      </c>
      <c r="FU886" t="s">
        <v>198</v>
      </c>
    </row>
    <row r="887" spans="1:177">
      <c r="A887" s="1" t="str">
        <f>HYPERLINK("http://digipan.lumentumllc.com/apps/getLink/index.php?t=PropLink&amp;p=6461991","PL")</f>
        <v>PL</v>
      </c>
      <c r="B887" s="1" t="str">
        <f>HYPERLINK("http://digipan.lumentumllc.com/apps/getLink/index.php?t=TaxLink&amp;p=6461991","TL")</f>
        <v>TL</v>
      </c>
      <c r="C887" s="1" t="str">
        <f>HYPERLINK("http://digipan.lumentumllc.com/apps/getMap/index.php?p=6461991","Map")</f>
        <v>Map</v>
      </c>
      <c r="E887" t="s">
        <v>177</v>
      </c>
      <c r="F887" t="s">
        <v>178</v>
      </c>
      <c r="L887" t="s">
        <v>12116</v>
      </c>
      <c r="N887" t="s">
        <v>12116</v>
      </c>
      <c r="O887" t="s">
        <v>12116</v>
      </c>
      <c r="P887" t="s">
        <v>12117</v>
      </c>
      <c r="Q887" t="s">
        <v>12116</v>
      </c>
      <c r="V887">
        <v>1028</v>
      </c>
      <c r="W887">
        <v>4</v>
      </c>
      <c r="X887">
        <v>2017</v>
      </c>
      <c r="Y887">
        <v>2018</v>
      </c>
      <c r="Z887">
        <v>852.27</v>
      </c>
      <c r="AB887" t="s">
        <v>181</v>
      </c>
      <c r="AC887" t="s">
        <v>182</v>
      </c>
      <c r="AD887" t="s">
        <v>183</v>
      </c>
      <c r="AE887">
        <v>0</v>
      </c>
      <c r="AF887">
        <v>5</v>
      </c>
      <c r="AG887" t="s">
        <v>3266</v>
      </c>
      <c r="AH887">
        <v>100</v>
      </c>
      <c r="AK887">
        <v>0</v>
      </c>
      <c r="AL887">
        <v>50100</v>
      </c>
      <c r="AM887">
        <v>50100</v>
      </c>
      <c r="AN887">
        <v>0</v>
      </c>
      <c r="AO887">
        <v>769</v>
      </c>
      <c r="AP887">
        <v>2016</v>
      </c>
      <c r="AQ887">
        <v>1.7</v>
      </c>
      <c r="AS887" t="s">
        <v>12118</v>
      </c>
      <c r="AT887" t="s">
        <v>3747</v>
      </c>
      <c r="AU887" t="s">
        <v>177</v>
      </c>
      <c r="AV887" t="s">
        <v>1030</v>
      </c>
      <c r="AW887" t="s">
        <v>182</v>
      </c>
      <c r="AX887">
        <v>0</v>
      </c>
      <c r="AY887" t="s">
        <v>312</v>
      </c>
      <c r="AZ887" t="s">
        <v>199</v>
      </c>
      <c r="BA887" t="s">
        <v>313</v>
      </c>
      <c r="BB887" t="s">
        <v>191</v>
      </c>
      <c r="BC887" t="s">
        <v>182</v>
      </c>
      <c r="BD887" t="s">
        <v>182</v>
      </c>
      <c r="BE887" t="s">
        <v>12119</v>
      </c>
      <c r="BF887">
        <v>0</v>
      </c>
      <c r="BG887">
        <v>0</v>
      </c>
      <c r="BH887">
        <v>0</v>
      </c>
      <c r="BI887" t="s">
        <v>199</v>
      </c>
      <c r="BJ887" t="s">
        <v>315</v>
      </c>
      <c r="BL887" t="s">
        <v>3815</v>
      </c>
      <c r="BM887" t="s">
        <v>325</v>
      </c>
      <c r="BN887" t="s">
        <v>182</v>
      </c>
      <c r="BO887" t="s">
        <v>12120</v>
      </c>
      <c r="BP887" t="s">
        <v>12121</v>
      </c>
      <c r="BR887" t="s">
        <v>1123</v>
      </c>
      <c r="BS887" t="s">
        <v>12122</v>
      </c>
      <c r="BT887" t="s">
        <v>12123</v>
      </c>
      <c r="BU887" t="s">
        <v>182</v>
      </c>
      <c r="BV887" t="s">
        <v>198</v>
      </c>
      <c r="BW887" t="s">
        <v>198</v>
      </c>
      <c r="BX887" t="s">
        <v>199</v>
      </c>
      <c r="BY887" t="s">
        <v>198</v>
      </c>
      <c r="BZ887" t="s">
        <v>199</v>
      </c>
      <c r="CA887" t="s">
        <v>199</v>
      </c>
      <c r="CB887" t="s">
        <v>12124</v>
      </c>
      <c r="CC887" t="s">
        <v>201</v>
      </c>
      <c r="CD887" t="s">
        <v>182</v>
      </c>
      <c r="CE887" t="s">
        <v>12125</v>
      </c>
      <c r="CF887" t="s">
        <v>1029</v>
      </c>
      <c r="CG887" t="s">
        <v>177</v>
      </c>
      <c r="CH887" t="s">
        <v>1030</v>
      </c>
      <c r="CI887" t="s">
        <v>12126</v>
      </c>
      <c r="CJ887" t="s">
        <v>6276</v>
      </c>
      <c r="CK887" t="s">
        <v>273</v>
      </c>
      <c r="CL887" t="s">
        <v>274</v>
      </c>
      <c r="CM887" t="s">
        <v>12127</v>
      </c>
      <c r="CN887" t="s">
        <v>235</v>
      </c>
      <c r="CO887" t="s">
        <v>183</v>
      </c>
      <c r="CP887" t="s">
        <v>211</v>
      </c>
      <c r="CQ887" t="s">
        <v>250</v>
      </c>
      <c r="CS887" t="s">
        <v>12128</v>
      </c>
      <c r="CT887" t="s">
        <v>6662</v>
      </c>
      <c r="CU887" t="s">
        <v>302</v>
      </c>
      <c r="CV887" t="s">
        <v>303</v>
      </c>
      <c r="CW887" t="s">
        <v>12129</v>
      </c>
      <c r="CX887" t="s">
        <v>927</v>
      </c>
      <c r="CY887" t="s">
        <v>183</v>
      </c>
      <c r="CZ887" t="s">
        <v>211</v>
      </c>
      <c r="DA887" t="s">
        <v>296</v>
      </c>
      <c r="DC887" t="s">
        <v>12130</v>
      </c>
      <c r="DD887" t="s">
        <v>12131</v>
      </c>
      <c r="DE887" t="s">
        <v>238</v>
      </c>
      <c r="DF887" t="s">
        <v>303</v>
      </c>
      <c r="DG887" t="s">
        <v>12132</v>
      </c>
      <c r="DH887" t="s">
        <v>440</v>
      </c>
      <c r="DI887" t="s">
        <v>183</v>
      </c>
      <c r="DJ887" t="s">
        <v>211</v>
      </c>
      <c r="DK887" t="s">
        <v>296</v>
      </c>
      <c r="DM887" t="s">
        <v>12130</v>
      </c>
      <c r="DN887" t="s">
        <v>12133</v>
      </c>
      <c r="DO887" t="s">
        <v>346</v>
      </c>
      <c r="DP887" t="s">
        <v>303</v>
      </c>
      <c r="DQ887" t="s">
        <v>12134</v>
      </c>
      <c r="DR887" t="s">
        <v>440</v>
      </c>
      <c r="DS887" t="s">
        <v>183</v>
      </c>
      <c r="DT887" t="s">
        <v>211</v>
      </c>
      <c r="DU887" t="s">
        <v>296</v>
      </c>
      <c r="DW887" t="s">
        <v>12130</v>
      </c>
      <c r="DX887" t="s">
        <v>12135</v>
      </c>
      <c r="DY887" t="s">
        <v>207</v>
      </c>
      <c r="DZ887" t="s">
        <v>303</v>
      </c>
      <c r="EA887" t="s">
        <v>12136</v>
      </c>
      <c r="EB887" t="s">
        <v>278</v>
      </c>
      <c r="EC887" t="s">
        <v>183</v>
      </c>
      <c r="ED887" t="s">
        <v>211</v>
      </c>
      <c r="EE887" t="s">
        <v>296</v>
      </c>
      <c r="EG887" t="s">
        <v>12130</v>
      </c>
      <c r="EQ887" t="s">
        <v>198</v>
      </c>
      <c r="FA887" t="s">
        <v>198</v>
      </c>
      <c r="FK887" t="s">
        <v>198</v>
      </c>
      <c r="FU887" t="s">
        <v>198</v>
      </c>
    </row>
    <row r="888" spans="1:177">
      <c r="A888" s="1" t="str">
        <f>HYPERLINK("http://digipan.lumentumllc.com/apps/getLink/index.php?t=PropLink&amp;p=15753541","PL")</f>
        <v>PL</v>
      </c>
      <c r="B888" s="1" t="str">
        <f>HYPERLINK("http://digipan.lumentumllc.com/apps/getLink/index.php?t=TaxLink&amp;p=15753541","TL")</f>
        <v>TL</v>
      </c>
      <c r="C888" s="1" t="str">
        <f>HYPERLINK("http://digipan.lumentumllc.com/apps/getMap/index.php?p=15753541","Map")</f>
        <v>Map</v>
      </c>
      <c r="E888" t="s">
        <v>177</v>
      </c>
      <c r="F888" t="s">
        <v>178</v>
      </c>
      <c r="L888" t="s">
        <v>12137</v>
      </c>
      <c r="N888" t="s">
        <v>12137</v>
      </c>
      <c r="O888" t="s">
        <v>12137</v>
      </c>
      <c r="Q888" t="s">
        <v>12137</v>
      </c>
      <c r="V888">
        <v>1029</v>
      </c>
      <c r="W888">
        <v>4</v>
      </c>
      <c r="X888">
        <v>2017</v>
      </c>
      <c r="Y888">
        <v>2018</v>
      </c>
      <c r="Z888">
        <v>1642.61</v>
      </c>
      <c r="AG888" t="s">
        <v>184</v>
      </c>
      <c r="AH888">
        <v>0</v>
      </c>
      <c r="AK888">
        <v>0</v>
      </c>
      <c r="AL888">
        <v>149939</v>
      </c>
      <c r="AM888">
        <v>15450</v>
      </c>
      <c r="AN888">
        <v>134489</v>
      </c>
      <c r="AO888">
        <v>1469</v>
      </c>
      <c r="AP888">
        <v>2016</v>
      </c>
      <c r="AQ888">
        <v>1.1000000000000001</v>
      </c>
      <c r="AS888" t="s">
        <v>12138</v>
      </c>
      <c r="AT888" t="s">
        <v>3747</v>
      </c>
      <c r="AU888" t="s">
        <v>177</v>
      </c>
      <c r="AV888" t="s">
        <v>1030</v>
      </c>
      <c r="AW888" t="s">
        <v>202</v>
      </c>
      <c r="AX888">
        <v>1</v>
      </c>
      <c r="AY888" t="s">
        <v>188</v>
      </c>
      <c r="AZ888" t="s">
        <v>206</v>
      </c>
      <c r="BA888" t="s">
        <v>355</v>
      </c>
      <c r="BB888" t="s">
        <v>191</v>
      </c>
      <c r="BC888" t="s">
        <v>182</v>
      </c>
      <c r="BD888" t="s">
        <v>182</v>
      </c>
      <c r="BE888" t="s">
        <v>1385</v>
      </c>
      <c r="BF888">
        <v>1</v>
      </c>
      <c r="BG888">
        <v>1</v>
      </c>
      <c r="BH888">
        <v>2012</v>
      </c>
      <c r="BI888" t="s">
        <v>12139</v>
      </c>
      <c r="BJ888" t="s">
        <v>194</v>
      </c>
      <c r="BK888" t="s">
        <v>195</v>
      </c>
      <c r="BL888" t="s">
        <v>12005</v>
      </c>
      <c r="BM888" t="s">
        <v>238</v>
      </c>
      <c r="BN888" t="s">
        <v>182</v>
      </c>
      <c r="BO888" t="s">
        <v>2015</v>
      </c>
      <c r="BP888" t="s">
        <v>12140</v>
      </c>
      <c r="BQ888" t="s">
        <v>800</v>
      </c>
      <c r="BR888" t="s">
        <v>582</v>
      </c>
      <c r="BS888" t="s">
        <v>198</v>
      </c>
      <c r="BT888" t="s">
        <v>12141</v>
      </c>
      <c r="BU888" t="s">
        <v>182</v>
      </c>
      <c r="BV888" t="s">
        <v>198</v>
      </c>
      <c r="BW888" t="s">
        <v>198</v>
      </c>
      <c r="BX888" t="s">
        <v>199</v>
      </c>
      <c r="BY888" t="s">
        <v>198</v>
      </c>
      <c r="BZ888" t="s">
        <v>199</v>
      </c>
      <c r="CA888" t="s">
        <v>199</v>
      </c>
      <c r="CB888" t="s">
        <v>12142</v>
      </c>
      <c r="CC888" t="s">
        <v>201</v>
      </c>
      <c r="CD888" t="s">
        <v>182</v>
      </c>
      <c r="CE888" t="s">
        <v>12143</v>
      </c>
      <c r="CF888" t="s">
        <v>1029</v>
      </c>
      <c r="CG888" t="s">
        <v>177</v>
      </c>
      <c r="CH888" t="s">
        <v>1030</v>
      </c>
      <c r="CI888" t="s">
        <v>12144</v>
      </c>
      <c r="CS888" t="s">
        <v>198</v>
      </c>
      <c r="DC888" t="s">
        <v>198</v>
      </c>
      <c r="DM888" t="s">
        <v>198</v>
      </c>
      <c r="DW888" t="s">
        <v>198</v>
      </c>
      <c r="EG888" t="s">
        <v>198</v>
      </c>
      <c r="EQ888" t="s">
        <v>198</v>
      </c>
      <c r="FA888" t="s">
        <v>198</v>
      </c>
      <c r="FK888" t="s">
        <v>198</v>
      </c>
      <c r="FU888" t="s">
        <v>198</v>
      </c>
    </row>
    <row r="889" spans="1:177">
      <c r="A889" s="1" t="str">
        <f>HYPERLINK("http://digipan.lumentumllc.com/apps/getLink/index.php?t=PropLink&amp;p=15753554","PL")</f>
        <v>PL</v>
      </c>
      <c r="B889" s="1" t="str">
        <f>HYPERLINK("http://digipan.lumentumllc.com/apps/getLink/index.php?t=TaxLink&amp;p=15753554","TL")</f>
        <v>TL</v>
      </c>
      <c r="C889" s="1" t="str">
        <f>HYPERLINK("http://digipan.lumentumllc.com/apps/getMap/index.php?p=15753554","Map")</f>
        <v>Map</v>
      </c>
      <c r="E889" t="s">
        <v>177</v>
      </c>
      <c r="F889" t="s">
        <v>178</v>
      </c>
      <c r="L889" t="s">
        <v>12145</v>
      </c>
      <c r="N889" t="s">
        <v>12145</v>
      </c>
      <c r="O889" t="s">
        <v>12145</v>
      </c>
      <c r="Q889" t="s">
        <v>12145</v>
      </c>
      <c r="V889">
        <v>1031</v>
      </c>
      <c r="W889">
        <v>4</v>
      </c>
      <c r="X889">
        <v>2017</v>
      </c>
      <c r="Y889">
        <v>2018</v>
      </c>
      <c r="Z889">
        <v>938.61</v>
      </c>
      <c r="AG889" t="s">
        <v>184</v>
      </c>
      <c r="AH889">
        <v>0</v>
      </c>
      <c r="AK889">
        <v>0</v>
      </c>
      <c r="AL889">
        <v>57179</v>
      </c>
      <c r="AM889">
        <v>34440</v>
      </c>
      <c r="AN889">
        <v>22739</v>
      </c>
      <c r="AO889">
        <v>680</v>
      </c>
      <c r="AP889">
        <v>2016</v>
      </c>
      <c r="AQ889">
        <v>1.64</v>
      </c>
      <c r="AS889" t="s">
        <v>12146</v>
      </c>
      <c r="AT889" t="s">
        <v>3747</v>
      </c>
      <c r="AU889" t="s">
        <v>177</v>
      </c>
      <c r="AV889" t="s">
        <v>1030</v>
      </c>
      <c r="AW889" t="s">
        <v>182</v>
      </c>
      <c r="AX889">
        <v>2</v>
      </c>
      <c r="AY889" t="s">
        <v>188</v>
      </c>
      <c r="AZ889" t="s">
        <v>189</v>
      </c>
      <c r="BA889" t="s">
        <v>190</v>
      </c>
      <c r="BB889" t="s">
        <v>191</v>
      </c>
      <c r="BC889" t="s">
        <v>182</v>
      </c>
      <c r="BD889" t="s">
        <v>182</v>
      </c>
      <c r="BE889" t="s">
        <v>5249</v>
      </c>
      <c r="BF889">
        <v>1</v>
      </c>
      <c r="BG889">
        <v>1</v>
      </c>
      <c r="BH889">
        <v>1992</v>
      </c>
      <c r="BI889" t="s">
        <v>4941</v>
      </c>
      <c r="BJ889" t="s">
        <v>396</v>
      </c>
      <c r="BK889" t="s">
        <v>195</v>
      </c>
      <c r="BL889" t="s">
        <v>199</v>
      </c>
      <c r="BM889" t="s">
        <v>292</v>
      </c>
      <c r="BN889" t="s">
        <v>182</v>
      </c>
      <c r="BO889" t="s">
        <v>198</v>
      </c>
      <c r="BP889" t="s">
        <v>198</v>
      </c>
      <c r="BQ889" t="s">
        <v>198</v>
      </c>
      <c r="BR889" t="s">
        <v>198</v>
      </c>
      <c r="BS889" t="s">
        <v>198</v>
      </c>
      <c r="BT889" t="s">
        <v>198</v>
      </c>
      <c r="BU889" t="s">
        <v>182</v>
      </c>
      <c r="BV889" t="s">
        <v>198</v>
      </c>
      <c r="BW889" t="s">
        <v>198</v>
      </c>
      <c r="BX889" t="s">
        <v>199</v>
      </c>
      <c r="BY889" t="s">
        <v>198</v>
      </c>
      <c r="BZ889" t="s">
        <v>199</v>
      </c>
      <c r="CA889" t="s">
        <v>199</v>
      </c>
      <c r="CB889" t="s">
        <v>12147</v>
      </c>
      <c r="CC889" t="s">
        <v>201</v>
      </c>
      <c r="CD889" t="s">
        <v>182</v>
      </c>
      <c r="CE889" t="s">
        <v>12148</v>
      </c>
      <c r="CF889" t="s">
        <v>1029</v>
      </c>
      <c r="CG889" t="s">
        <v>177</v>
      </c>
      <c r="CH889" t="s">
        <v>1030</v>
      </c>
      <c r="CI889" t="s">
        <v>12149</v>
      </c>
      <c r="CS889" t="s">
        <v>198</v>
      </c>
      <c r="DC889" t="s">
        <v>198</v>
      </c>
      <c r="DM889" t="s">
        <v>198</v>
      </c>
      <c r="DW889" t="s">
        <v>198</v>
      </c>
      <c r="EG889" t="s">
        <v>198</v>
      </c>
      <c r="EQ889" t="s">
        <v>198</v>
      </c>
      <c r="FA889" t="s">
        <v>198</v>
      </c>
      <c r="FK889" t="s">
        <v>198</v>
      </c>
      <c r="FU889" t="s">
        <v>198</v>
      </c>
    </row>
    <row r="890" spans="1:177">
      <c r="A890" s="1" t="str">
        <f>HYPERLINK("http://digipan.lumentumllc.com/apps/getLink/index.php?t=PropLink&amp;p=5246949","PL")</f>
        <v>PL</v>
      </c>
      <c r="B890" s="1" t="str">
        <f>HYPERLINK("http://digipan.lumentumllc.com/apps/getLink/index.php?t=TaxLink&amp;p=5246949","TL")</f>
        <v>TL</v>
      </c>
      <c r="C890" s="1" t="str">
        <f>HYPERLINK("http://digipan.lumentumllc.com/apps/getMap/index.php?p=5246949","Map")</f>
        <v>Map</v>
      </c>
      <c r="E890" t="s">
        <v>177</v>
      </c>
      <c r="F890" t="s">
        <v>178</v>
      </c>
      <c r="L890" t="s">
        <v>12150</v>
      </c>
      <c r="N890" t="s">
        <v>12150</v>
      </c>
      <c r="O890" t="s">
        <v>12150</v>
      </c>
      <c r="P890" t="s">
        <v>12151</v>
      </c>
      <c r="Q890" t="s">
        <v>12150</v>
      </c>
      <c r="V890">
        <v>1032</v>
      </c>
      <c r="W890">
        <v>4</v>
      </c>
      <c r="X890">
        <v>2017</v>
      </c>
      <c r="Y890">
        <v>2018</v>
      </c>
      <c r="Z890">
        <v>444.6</v>
      </c>
      <c r="AB890" t="s">
        <v>181</v>
      </c>
      <c r="AC890" t="s">
        <v>182</v>
      </c>
      <c r="AD890" t="s">
        <v>183</v>
      </c>
      <c r="AE890">
        <v>0</v>
      </c>
      <c r="AF890">
        <v>6</v>
      </c>
      <c r="AG890" t="s">
        <v>3266</v>
      </c>
      <c r="AH890">
        <v>100</v>
      </c>
      <c r="AK890">
        <v>0</v>
      </c>
      <c r="AL890">
        <v>25200</v>
      </c>
      <c r="AM890">
        <v>25200</v>
      </c>
      <c r="AN890">
        <v>0</v>
      </c>
      <c r="AO890">
        <v>387</v>
      </c>
      <c r="AP890">
        <v>2016</v>
      </c>
      <c r="AQ890">
        <v>1.76</v>
      </c>
      <c r="AS890" t="s">
        <v>12152</v>
      </c>
      <c r="AT890" t="s">
        <v>3747</v>
      </c>
      <c r="AU890" t="s">
        <v>177</v>
      </c>
      <c r="AV890" t="s">
        <v>1030</v>
      </c>
      <c r="AW890" t="s">
        <v>182</v>
      </c>
      <c r="AX890">
        <v>0</v>
      </c>
      <c r="AY890" t="s">
        <v>312</v>
      </c>
      <c r="AZ890" t="s">
        <v>199</v>
      </c>
      <c r="BA890" t="s">
        <v>313</v>
      </c>
      <c r="BB890" t="s">
        <v>191</v>
      </c>
      <c r="BC890" t="s">
        <v>182</v>
      </c>
      <c r="BD890" t="s">
        <v>182</v>
      </c>
      <c r="BE890" t="s">
        <v>11441</v>
      </c>
      <c r="BF890">
        <v>0</v>
      </c>
      <c r="BG890">
        <v>0</v>
      </c>
      <c r="BH890">
        <v>0</v>
      </c>
      <c r="BI890" t="s">
        <v>199</v>
      </c>
      <c r="BJ890" t="s">
        <v>315</v>
      </c>
      <c r="BL890" t="s">
        <v>1081</v>
      </c>
      <c r="BM890" t="s">
        <v>368</v>
      </c>
      <c r="BN890" t="s">
        <v>182</v>
      </c>
      <c r="BO890" t="s">
        <v>12153</v>
      </c>
      <c r="BP890" t="s">
        <v>12154</v>
      </c>
      <c r="BQ890" t="s">
        <v>2053</v>
      </c>
      <c r="BR890" t="s">
        <v>227</v>
      </c>
      <c r="BS890" t="s">
        <v>198</v>
      </c>
      <c r="BT890" t="s">
        <v>228</v>
      </c>
      <c r="BU890" t="s">
        <v>182</v>
      </c>
      <c r="BV890" t="s">
        <v>198</v>
      </c>
      <c r="BW890" t="s">
        <v>198</v>
      </c>
      <c r="BX890" t="s">
        <v>199</v>
      </c>
      <c r="BY890" t="s">
        <v>198</v>
      </c>
      <c r="BZ890" t="s">
        <v>199</v>
      </c>
      <c r="CA890" t="s">
        <v>199</v>
      </c>
      <c r="CB890" t="s">
        <v>12155</v>
      </c>
      <c r="CC890" t="s">
        <v>201</v>
      </c>
      <c r="CD890" t="s">
        <v>182</v>
      </c>
      <c r="CE890" t="s">
        <v>12156</v>
      </c>
      <c r="CF890" t="s">
        <v>1029</v>
      </c>
      <c r="CG890" t="s">
        <v>177</v>
      </c>
      <c r="CH890" t="s">
        <v>1030</v>
      </c>
      <c r="CI890" t="s">
        <v>12157</v>
      </c>
      <c r="CJ890" t="s">
        <v>11368</v>
      </c>
      <c r="CK890" t="s">
        <v>267</v>
      </c>
      <c r="CL890" t="s">
        <v>268</v>
      </c>
      <c r="CM890" t="s">
        <v>12158</v>
      </c>
      <c r="CN890" t="s">
        <v>331</v>
      </c>
      <c r="CO890" t="s">
        <v>183</v>
      </c>
      <c r="CP890" t="s">
        <v>211</v>
      </c>
      <c r="CQ890" t="s">
        <v>342</v>
      </c>
      <c r="CS890" t="s">
        <v>4483</v>
      </c>
      <c r="CT890" t="s">
        <v>6319</v>
      </c>
      <c r="CU890" t="s">
        <v>273</v>
      </c>
      <c r="CV890" t="s">
        <v>274</v>
      </c>
      <c r="CW890" t="s">
        <v>12159</v>
      </c>
      <c r="CX890" t="s">
        <v>1491</v>
      </c>
      <c r="CY890" t="s">
        <v>183</v>
      </c>
      <c r="CZ890" t="s">
        <v>211</v>
      </c>
      <c r="DA890" t="s">
        <v>306</v>
      </c>
      <c r="DC890" t="s">
        <v>12160</v>
      </c>
      <c r="DD890" t="s">
        <v>11822</v>
      </c>
      <c r="DE890" t="s">
        <v>302</v>
      </c>
      <c r="DF890" t="s">
        <v>303</v>
      </c>
      <c r="DG890" t="s">
        <v>12161</v>
      </c>
      <c r="DH890" t="s">
        <v>1586</v>
      </c>
      <c r="DI890" t="s">
        <v>183</v>
      </c>
      <c r="DJ890" t="s">
        <v>211</v>
      </c>
      <c r="DK890" t="s">
        <v>298</v>
      </c>
      <c r="DM890" t="s">
        <v>464</v>
      </c>
      <c r="DN890" t="s">
        <v>366</v>
      </c>
      <c r="DO890" t="s">
        <v>238</v>
      </c>
      <c r="DP890" t="s">
        <v>239</v>
      </c>
      <c r="DQ890" t="s">
        <v>12162</v>
      </c>
      <c r="DR890" t="s">
        <v>305</v>
      </c>
      <c r="DS890" t="s">
        <v>183</v>
      </c>
      <c r="DT890" t="s">
        <v>211</v>
      </c>
      <c r="DU890" t="s">
        <v>298</v>
      </c>
      <c r="DW890" t="s">
        <v>467</v>
      </c>
      <c r="DX890" t="s">
        <v>12095</v>
      </c>
      <c r="DY890" t="s">
        <v>346</v>
      </c>
      <c r="DZ890" t="s">
        <v>347</v>
      </c>
      <c r="EA890" t="s">
        <v>12163</v>
      </c>
      <c r="EB890" t="s">
        <v>1551</v>
      </c>
      <c r="EC890" t="s">
        <v>183</v>
      </c>
      <c r="ED890" t="s">
        <v>211</v>
      </c>
      <c r="EE890" t="s">
        <v>298</v>
      </c>
      <c r="EG890" t="s">
        <v>443</v>
      </c>
      <c r="EH890" t="s">
        <v>1931</v>
      </c>
      <c r="EI890" t="s">
        <v>207</v>
      </c>
      <c r="EJ890" t="s">
        <v>208</v>
      </c>
      <c r="EK890" t="s">
        <v>12164</v>
      </c>
      <c r="EL890" t="s">
        <v>576</v>
      </c>
      <c r="EM890" t="s">
        <v>183</v>
      </c>
      <c r="EN890" t="s">
        <v>211</v>
      </c>
      <c r="EO890" t="s">
        <v>298</v>
      </c>
      <c r="EQ890" t="s">
        <v>474</v>
      </c>
      <c r="FA890" t="s">
        <v>198</v>
      </c>
      <c r="FK890" t="s">
        <v>198</v>
      </c>
      <c r="FU890" t="s">
        <v>198</v>
      </c>
    </row>
    <row r="891" spans="1:177">
      <c r="A891" s="1" t="str">
        <f>HYPERLINK("http://digipan.lumentumllc.com/apps/getLink/index.php?t=PropLink&amp;p=5246950","PL")</f>
        <v>PL</v>
      </c>
      <c r="B891" s="1" t="str">
        <f>HYPERLINK("http://digipan.lumentumllc.com/apps/getLink/index.php?t=TaxLink&amp;p=5246950","TL")</f>
        <v>TL</v>
      </c>
      <c r="C891" s="1" t="str">
        <f>HYPERLINK("http://digipan.lumentumllc.com/apps/getMap/index.php?p=5246950","Map")</f>
        <v>Map</v>
      </c>
      <c r="E891" t="s">
        <v>177</v>
      </c>
      <c r="F891" t="s">
        <v>178</v>
      </c>
      <c r="L891" t="s">
        <v>12165</v>
      </c>
      <c r="N891" t="s">
        <v>12165</v>
      </c>
      <c r="O891" t="s">
        <v>12165</v>
      </c>
      <c r="P891" t="s">
        <v>12166</v>
      </c>
      <c r="Q891" t="s">
        <v>12165</v>
      </c>
      <c r="V891">
        <v>1033</v>
      </c>
      <c r="W891">
        <v>4</v>
      </c>
      <c r="X891">
        <v>2017</v>
      </c>
      <c r="Y891">
        <v>2018</v>
      </c>
      <c r="Z891">
        <v>551.5</v>
      </c>
      <c r="AB891" t="s">
        <v>181</v>
      </c>
      <c r="AC891" t="s">
        <v>182</v>
      </c>
      <c r="AD891" t="s">
        <v>183</v>
      </c>
      <c r="AE891">
        <v>0</v>
      </c>
      <c r="AF891">
        <v>6</v>
      </c>
      <c r="AG891" t="s">
        <v>3266</v>
      </c>
      <c r="AH891">
        <v>100</v>
      </c>
      <c r="AK891">
        <v>0</v>
      </c>
      <c r="AL891">
        <v>72706</v>
      </c>
      <c r="AM891">
        <v>27960</v>
      </c>
      <c r="AN891">
        <v>44746</v>
      </c>
      <c r="AO891">
        <v>481</v>
      </c>
      <c r="AP891">
        <v>2016</v>
      </c>
      <c r="AQ891">
        <v>0.76</v>
      </c>
      <c r="AS891" t="s">
        <v>12167</v>
      </c>
      <c r="AT891" t="s">
        <v>3747</v>
      </c>
      <c r="AU891" t="s">
        <v>177</v>
      </c>
      <c r="AV891" t="s">
        <v>1030</v>
      </c>
      <c r="AW891" t="s">
        <v>202</v>
      </c>
      <c r="AX891">
        <v>2</v>
      </c>
      <c r="AY891" t="s">
        <v>188</v>
      </c>
      <c r="AZ891" t="s">
        <v>189</v>
      </c>
      <c r="BA891" t="s">
        <v>190</v>
      </c>
      <c r="BB891" t="s">
        <v>191</v>
      </c>
      <c r="BC891" t="s">
        <v>182</v>
      </c>
      <c r="BD891" t="s">
        <v>182</v>
      </c>
      <c r="BE891" t="s">
        <v>12168</v>
      </c>
      <c r="BF891">
        <v>1</v>
      </c>
      <c r="BG891">
        <v>1</v>
      </c>
      <c r="BH891">
        <v>1999</v>
      </c>
      <c r="BI891" t="s">
        <v>839</v>
      </c>
      <c r="BJ891" t="s">
        <v>194</v>
      </c>
      <c r="BK891" t="s">
        <v>195</v>
      </c>
      <c r="BL891" t="s">
        <v>2395</v>
      </c>
      <c r="BM891" t="s">
        <v>1311</v>
      </c>
      <c r="BN891" t="s">
        <v>182</v>
      </c>
      <c r="BO891" t="s">
        <v>198</v>
      </c>
      <c r="BP891" t="s">
        <v>198</v>
      </c>
      <c r="BQ891" t="s">
        <v>198</v>
      </c>
      <c r="BR891" t="s">
        <v>198</v>
      </c>
      <c r="BS891" t="s">
        <v>198</v>
      </c>
      <c r="BT891" t="s">
        <v>198</v>
      </c>
      <c r="BU891" t="s">
        <v>182</v>
      </c>
      <c r="BV891" t="s">
        <v>198</v>
      </c>
      <c r="BW891" t="s">
        <v>198</v>
      </c>
      <c r="BX891" t="s">
        <v>199</v>
      </c>
      <c r="BY891" t="s">
        <v>198</v>
      </c>
      <c r="BZ891" t="s">
        <v>199</v>
      </c>
      <c r="CA891" t="s">
        <v>199</v>
      </c>
      <c r="CB891" t="s">
        <v>12169</v>
      </c>
      <c r="CC891" t="s">
        <v>201</v>
      </c>
      <c r="CD891" t="s">
        <v>182</v>
      </c>
      <c r="CE891" t="s">
        <v>12170</v>
      </c>
      <c r="CF891" t="s">
        <v>1029</v>
      </c>
      <c r="CG891" t="s">
        <v>177</v>
      </c>
      <c r="CH891" t="s">
        <v>1030</v>
      </c>
      <c r="CI891" t="s">
        <v>7898</v>
      </c>
      <c r="CJ891" t="s">
        <v>11385</v>
      </c>
      <c r="CK891" t="s">
        <v>267</v>
      </c>
      <c r="CL891" t="s">
        <v>268</v>
      </c>
      <c r="CM891" t="s">
        <v>12171</v>
      </c>
      <c r="CN891" t="s">
        <v>235</v>
      </c>
      <c r="CO891" t="s">
        <v>183</v>
      </c>
      <c r="CP891" t="s">
        <v>211</v>
      </c>
      <c r="CQ891" t="s">
        <v>264</v>
      </c>
      <c r="CS891" t="s">
        <v>6043</v>
      </c>
      <c r="CT891" t="s">
        <v>6336</v>
      </c>
      <c r="CU891" t="s">
        <v>273</v>
      </c>
      <c r="CV891" t="s">
        <v>274</v>
      </c>
      <c r="CW891" t="s">
        <v>12172</v>
      </c>
      <c r="CX891" t="s">
        <v>235</v>
      </c>
      <c r="CY891" t="s">
        <v>183</v>
      </c>
      <c r="CZ891" t="s">
        <v>211</v>
      </c>
      <c r="DA891" t="s">
        <v>306</v>
      </c>
      <c r="DC891" t="s">
        <v>12160</v>
      </c>
      <c r="DD891" t="s">
        <v>9873</v>
      </c>
      <c r="DE891" t="s">
        <v>302</v>
      </c>
      <c r="DF891" t="s">
        <v>303</v>
      </c>
      <c r="DG891" t="s">
        <v>12173</v>
      </c>
      <c r="DH891" t="s">
        <v>796</v>
      </c>
      <c r="DI891" t="s">
        <v>183</v>
      </c>
      <c r="DJ891" t="s">
        <v>211</v>
      </c>
      <c r="DK891" t="s">
        <v>298</v>
      </c>
      <c r="DM891" t="s">
        <v>464</v>
      </c>
      <c r="DN891" t="s">
        <v>12174</v>
      </c>
      <c r="DO891" t="s">
        <v>238</v>
      </c>
      <c r="DP891" t="s">
        <v>239</v>
      </c>
      <c r="DQ891" t="s">
        <v>4937</v>
      </c>
      <c r="DR891" t="s">
        <v>440</v>
      </c>
      <c r="DS891" t="s">
        <v>183</v>
      </c>
      <c r="DT891" t="s">
        <v>211</v>
      </c>
      <c r="DU891" t="s">
        <v>298</v>
      </c>
      <c r="DW891" t="s">
        <v>467</v>
      </c>
      <c r="DX891" t="s">
        <v>12114</v>
      </c>
      <c r="DY891" t="s">
        <v>346</v>
      </c>
      <c r="DZ891" t="s">
        <v>347</v>
      </c>
      <c r="EA891" t="s">
        <v>12175</v>
      </c>
      <c r="EB891" t="s">
        <v>1551</v>
      </c>
      <c r="EC891" t="s">
        <v>183</v>
      </c>
      <c r="ED891" t="s">
        <v>211</v>
      </c>
      <c r="EE891" t="s">
        <v>298</v>
      </c>
      <c r="EG891" t="s">
        <v>1100</v>
      </c>
      <c r="EH891" t="s">
        <v>3924</v>
      </c>
      <c r="EI891" t="s">
        <v>207</v>
      </c>
      <c r="EJ891" t="s">
        <v>208</v>
      </c>
      <c r="EK891" t="s">
        <v>12176</v>
      </c>
      <c r="EL891" t="s">
        <v>576</v>
      </c>
      <c r="EM891" t="s">
        <v>183</v>
      </c>
      <c r="EN891" t="s">
        <v>211</v>
      </c>
      <c r="EO891" t="s">
        <v>298</v>
      </c>
      <c r="EQ891" t="s">
        <v>474</v>
      </c>
      <c r="FA891" t="s">
        <v>198</v>
      </c>
      <c r="FK891" t="s">
        <v>198</v>
      </c>
      <c r="FU891" t="s">
        <v>198</v>
      </c>
    </row>
    <row r="892" spans="1:177">
      <c r="A892" s="1" t="str">
        <f>HYPERLINK("http://digipan.lumentumllc.com/apps/getLink/index.php?t=PropLink&amp;p=6129215","PL")</f>
        <v>PL</v>
      </c>
      <c r="B892" s="1" t="str">
        <f>HYPERLINK("http://digipan.lumentumllc.com/apps/getLink/index.php?t=TaxLink&amp;p=6129215","TL")</f>
        <v>TL</v>
      </c>
      <c r="C892" s="1" t="str">
        <f>HYPERLINK("http://digipan.lumentumllc.com/apps/getMap/index.php?p=6129215","Map")</f>
        <v>Map</v>
      </c>
      <c r="E892" t="s">
        <v>177</v>
      </c>
      <c r="F892" t="s">
        <v>178</v>
      </c>
      <c r="L892" t="s">
        <v>12177</v>
      </c>
      <c r="N892" t="s">
        <v>12177</v>
      </c>
      <c r="O892" t="s">
        <v>12177</v>
      </c>
      <c r="P892" t="s">
        <v>12178</v>
      </c>
      <c r="Q892" t="s">
        <v>12177</v>
      </c>
      <c r="V892">
        <v>1034</v>
      </c>
      <c r="W892">
        <v>4</v>
      </c>
      <c r="X892">
        <v>2017</v>
      </c>
      <c r="Y892">
        <v>2018</v>
      </c>
      <c r="Z892">
        <v>2046.85</v>
      </c>
      <c r="AB892" t="s">
        <v>181</v>
      </c>
      <c r="AC892" t="s">
        <v>182</v>
      </c>
      <c r="AD892" t="s">
        <v>183</v>
      </c>
      <c r="AE892">
        <v>0</v>
      </c>
      <c r="AF892">
        <v>1</v>
      </c>
      <c r="AG892" t="s">
        <v>821</v>
      </c>
      <c r="AH892">
        <v>100</v>
      </c>
      <c r="AK892">
        <v>0</v>
      </c>
      <c r="AL892">
        <v>123062</v>
      </c>
      <c r="AM892">
        <v>38700</v>
      </c>
      <c r="AN892">
        <v>84362</v>
      </c>
      <c r="AO892">
        <v>1771</v>
      </c>
      <c r="AP892">
        <v>2016</v>
      </c>
      <c r="AQ892">
        <v>1.66</v>
      </c>
      <c r="AS892" t="s">
        <v>12179</v>
      </c>
      <c r="AT892" t="s">
        <v>3747</v>
      </c>
      <c r="AU892" t="s">
        <v>177</v>
      </c>
      <c r="AV892" t="s">
        <v>1030</v>
      </c>
      <c r="AW892" t="s">
        <v>182</v>
      </c>
      <c r="AX892">
        <v>28</v>
      </c>
      <c r="AY892" t="s">
        <v>3641</v>
      </c>
      <c r="AZ892" t="s">
        <v>635</v>
      </c>
      <c r="BA892" t="s">
        <v>6374</v>
      </c>
      <c r="BB892" t="s">
        <v>191</v>
      </c>
      <c r="BC892" t="s">
        <v>182</v>
      </c>
      <c r="BD892" t="s">
        <v>182</v>
      </c>
      <c r="BE892" t="s">
        <v>12180</v>
      </c>
      <c r="BF892">
        <v>4</v>
      </c>
      <c r="BG892">
        <v>4</v>
      </c>
      <c r="BH892">
        <v>1940</v>
      </c>
      <c r="BI892" t="s">
        <v>12181</v>
      </c>
      <c r="BJ892" t="s">
        <v>194</v>
      </c>
      <c r="BK892" t="s">
        <v>195</v>
      </c>
      <c r="BL892" t="s">
        <v>12182</v>
      </c>
      <c r="BM892" t="s">
        <v>267</v>
      </c>
      <c r="BN892" t="s">
        <v>182</v>
      </c>
      <c r="BO892" t="s">
        <v>198</v>
      </c>
      <c r="BP892" t="s">
        <v>198</v>
      </c>
      <c r="BQ892" t="s">
        <v>198</v>
      </c>
      <c r="BR892" t="s">
        <v>198</v>
      </c>
      <c r="BS892" t="s">
        <v>198</v>
      </c>
      <c r="BT892" t="s">
        <v>198</v>
      </c>
      <c r="BU892" t="s">
        <v>182</v>
      </c>
      <c r="BV892" t="s">
        <v>198</v>
      </c>
      <c r="BW892" t="s">
        <v>198</v>
      </c>
      <c r="BX892" t="s">
        <v>199</v>
      </c>
      <c r="BY892" t="s">
        <v>198</v>
      </c>
      <c r="BZ892" t="s">
        <v>199</v>
      </c>
      <c r="CA892" t="s">
        <v>199</v>
      </c>
      <c r="CB892" t="s">
        <v>12183</v>
      </c>
      <c r="CC892" t="s">
        <v>201</v>
      </c>
      <c r="CD892" t="s">
        <v>182</v>
      </c>
      <c r="CE892" t="s">
        <v>7878</v>
      </c>
      <c r="CF892" t="s">
        <v>204</v>
      </c>
      <c r="CG892" t="s">
        <v>177</v>
      </c>
      <c r="CH892" t="s">
        <v>187</v>
      </c>
      <c r="CI892" t="s">
        <v>12184</v>
      </c>
      <c r="CJ892" t="s">
        <v>8588</v>
      </c>
      <c r="CK892" t="s">
        <v>292</v>
      </c>
      <c r="CL892" t="s">
        <v>293</v>
      </c>
      <c r="CM892" t="s">
        <v>12185</v>
      </c>
      <c r="CN892" t="s">
        <v>235</v>
      </c>
      <c r="CO892" t="s">
        <v>183</v>
      </c>
      <c r="CP892" t="s">
        <v>211</v>
      </c>
      <c r="CQ892" t="s">
        <v>345</v>
      </c>
      <c r="CS892" t="s">
        <v>1088</v>
      </c>
      <c r="DC892" t="s">
        <v>198</v>
      </c>
      <c r="DM892" t="s">
        <v>198</v>
      </c>
      <c r="DW892" t="s">
        <v>198</v>
      </c>
      <c r="EG892" t="s">
        <v>198</v>
      </c>
      <c r="EQ892" t="s">
        <v>198</v>
      </c>
      <c r="FA892" t="s">
        <v>198</v>
      </c>
      <c r="FK892" t="s">
        <v>198</v>
      </c>
      <c r="FU892" t="s">
        <v>198</v>
      </c>
    </row>
    <row r="893" spans="1:177">
      <c r="A893" s="1" t="str">
        <f>HYPERLINK("http://digipan.lumentumllc.com/apps/getLink/index.php?t=PropLink&amp;p=15753969","PL")</f>
        <v>PL</v>
      </c>
      <c r="B893" s="1" t="str">
        <f>HYPERLINK("http://digipan.lumentumllc.com/apps/getLink/index.php?t=TaxLink&amp;p=15753969","TL")</f>
        <v>TL</v>
      </c>
      <c r="C893" s="1" t="str">
        <f>HYPERLINK("http://digipan.lumentumllc.com/apps/getMap/index.php?p=15753969","Map")</f>
        <v>Map</v>
      </c>
      <c r="E893" t="s">
        <v>177</v>
      </c>
      <c r="F893" t="s">
        <v>178</v>
      </c>
      <c r="L893" t="s">
        <v>12186</v>
      </c>
      <c r="N893" t="s">
        <v>12186</v>
      </c>
      <c r="O893" t="s">
        <v>12186</v>
      </c>
      <c r="Q893" t="s">
        <v>12186</v>
      </c>
      <c r="V893">
        <v>1035</v>
      </c>
      <c r="W893">
        <v>4</v>
      </c>
      <c r="X893">
        <v>2017</v>
      </c>
      <c r="Y893">
        <v>2018</v>
      </c>
      <c r="Z893">
        <v>2301.2399999999998</v>
      </c>
      <c r="AB893" t="s">
        <v>181</v>
      </c>
      <c r="AC893" t="s">
        <v>182</v>
      </c>
      <c r="AD893" t="s">
        <v>183</v>
      </c>
      <c r="AE893">
        <v>0</v>
      </c>
      <c r="AF893">
        <v>1</v>
      </c>
      <c r="AG893" t="s">
        <v>821</v>
      </c>
      <c r="AH893">
        <v>100</v>
      </c>
      <c r="AK893">
        <v>0</v>
      </c>
      <c r="AL893">
        <v>138599</v>
      </c>
      <c r="AM893">
        <v>57487</v>
      </c>
      <c r="AN893">
        <v>81112</v>
      </c>
      <c r="AO893">
        <v>1978</v>
      </c>
      <c r="AP893">
        <v>2016</v>
      </c>
      <c r="AQ893">
        <v>1.66</v>
      </c>
      <c r="AS893" t="s">
        <v>12187</v>
      </c>
      <c r="AT893" t="s">
        <v>3747</v>
      </c>
      <c r="AU893" t="s">
        <v>177</v>
      </c>
      <c r="AV893" t="s">
        <v>1030</v>
      </c>
      <c r="AW893" t="s">
        <v>182</v>
      </c>
      <c r="AX893">
        <v>2</v>
      </c>
      <c r="AY893" t="s">
        <v>188</v>
      </c>
      <c r="AZ893" t="s">
        <v>189</v>
      </c>
      <c r="BA893" t="s">
        <v>190</v>
      </c>
      <c r="BB893" t="s">
        <v>191</v>
      </c>
      <c r="BC893" t="s">
        <v>182</v>
      </c>
      <c r="BD893" t="s">
        <v>182</v>
      </c>
      <c r="BE893" t="s">
        <v>12188</v>
      </c>
      <c r="BF893">
        <v>3</v>
      </c>
      <c r="BG893">
        <v>3</v>
      </c>
      <c r="BH893">
        <v>1992</v>
      </c>
      <c r="BI893" t="s">
        <v>12189</v>
      </c>
      <c r="BJ893" t="s">
        <v>194</v>
      </c>
      <c r="BK893" t="s">
        <v>195</v>
      </c>
      <c r="BL893" t="s">
        <v>12190</v>
      </c>
      <c r="BM893" t="s">
        <v>292</v>
      </c>
      <c r="BN893" t="s">
        <v>182</v>
      </c>
      <c r="BO893" t="s">
        <v>12191</v>
      </c>
      <c r="BP893" t="s">
        <v>12192</v>
      </c>
      <c r="BQ893" t="s">
        <v>226</v>
      </c>
      <c r="BR893" t="s">
        <v>227</v>
      </c>
      <c r="BS893" t="s">
        <v>198</v>
      </c>
      <c r="BT893" t="s">
        <v>12193</v>
      </c>
      <c r="BU893" t="s">
        <v>182</v>
      </c>
      <c r="BV893" t="s">
        <v>198</v>
      </c>
      <c r="BW893" t="s">
        <v>198</v>
      </c>
      <c r="BX893" t="s">
        <v>199</v>
      </c>
      <c r="BY893" t="s">
        <v>198</v>
      </c>
      <c r="BZ893" t="s">
        <v>199</v>
      </c>
      <c r="CA893" t="s">
        <v>199</v>
      </c>
      <c r="CB893" t="s">
        <v>12194</v>
      </c>
      <c r="CC893" t="s">
        <v>201</v>
      </c>
      <c r="CD893" t="s">
        <v>182</v>
      </c>
      <c r="CE893" t="s">
        <v>12195</v>
      </c>
      <c r="CF893" t="s">
        <v>1029</v>
      </c>
      <c r="CG893" t="s">
        <v>177</v>
      </c>
      <c r="CH893" t="s">
        <v>1030</v>
      </c>
      <c r="CI893" t="s">
        <v>12196</v>
      </c>
      <c r="CJ893" t="s">
        <v>11124</v>
      </c>
      <c r="CK893" t="s">
        <v>232</v>
      </c>
      <c r="CL893" t="s">
        <v>233</v>
      </c>
      <c r="CM893" t="s">
        <v>12197</v>
      </c>
      <c r="CN893" t="s">
        <v>235</v>
      </c>
      <c r="CO893" t="s">
        <v>183</v>
      </c>
      <c r="CP893" t="s">
        <v>211</v>
      </c>
      <c r="CQ893" t="s">
        <v>199</v>
      </c>
      <c r="CS893" t="s">
        <v>236</v>
      </c>
      <c r="DC893" t="s">
        <v>198</v>
      </c>
      <c r="DM893" t="s">
        <v>198</v>
      </c>
      <c r="DW893" t="s">
        <v>198</v>
      </c>
      <c r="EG893" t="s">
        <v>198</v>
      </c>
      <c r="EQ893" t="s">
        <v>198</v>
      </c>
      <c r="FA893" t="s">
        <v>198</v>
      </c>
      <c r="FK893" t="s">
        <v>198</v>
      </c>
      <c r="FU893" t="s">
        <v>198</v>
      </c>
    </row>
    <row r="894" spans="1:177">
      <c r="A894" s="1" t="str">
        <f>HYPERLINK("http://digipan.lumentumllc.com/apps/getLink/index.php?t=PropLink&amp;p=5247113","PL")</f>
        <v>PL</v>
      </c>
      <c r="B894" s="1" t="str">
        <f>HYPERLINK("http://digipan.lumentumllc.com/apps/getLink/index.php?t=TaxLink&amp;p=5247113","TL")</f>
        <v>TL</v>
      </c>
      <c r="C894" s="1" t="str">
        <f>HYPERLINK("http://digipan.lumentumllc.com/apps/getMap/index.php?p=5247113","Map")</f>
        <v>Map</v>
      </c>
      <c r="E894" t="s">
        <v>177</v>
      </c>
      <c r="F894" t="s">
        <v>178</v>
      </c>
      <c r="L894" t="s">
        <v>12198</v>
      </c>
      <c r="N894" t="s">
        <v>12198</v>
      </c>
      <c r="O894" t="s">
        <v>12198</v>
      </c>
      <c r="P894" t="s">
        <v>12199</v>
      </c>
      <c r="Q894" t="s">
        <v>12198</v>
      </c>
      <c r="V894">
        <v>1036</v>
      </c>
      <c r="W894">
        <v>4</v>
      </c>
      <c r="X894">
        <v>2017</v>
      </c>
      <c r="Y894">
        <v>2018</v>
      </c>
      <c r="Z894">
        <v>1130.32</v>
      </c>
      <c r="AB894" t="s">
        <v>181</v>
      </c>
      <c r="AC894" t="s">
        <v>182</v>
      </c>
      <c r="AD894" t="s">
        <v>183</v>
      </c>
      <c r="AE894">
        <v>0</v>
      </c>
      <c r="AF894">
        <v>7</v>
      </c>
      <c r="AG894" t="s">
        <v>1059</v>
      </c>
      <c r="AH894">
        <v>100</v>
      </c>
      <c r="AK894">
        <v>0</v>
      </c>
      <c r="AL894">
        <v>67082</v>
      </c>
      <c r="AM894">
        <v>67082</v>
      </c>
      <c r="AN894">
        <v>0</v>
      </c>
      <c r="AO894">
        <v>1030</v>
      </c>
      <c r="AP894">
        <v>2016</v>
      </c>
      <c r="AQ894">
        <v>1.68</v>
      </c>
      <c r="AS894" t="s">
        <v>3209</v>
      </c>
      <c r="AT894" t="s">
        <v>3747</v>
      </c>
      <c r="AU894" t="s">
        <v>177</v>
      </c>
      <c r="AV894" t="s">
        <v>1030</v>
      </c>
      <c r="AW894" t="s">
        <v>182</v>
      </c>
      <c r="AX894">
        <v>10</v>
      </c>
      <c r="AY894" t="s">
        <v>3211</v>
      </c>
      <c r="AZ894" t="s">
        <v>270</v>
      </c>
      <c r="BA894" t="s">
        <v>3212</v>
      </c>
      <c r="BB894" t="s">
        <v>191</v>
      </c>
      <c r="BC894" t="s">
        <v>182</v>
      </c>
      <c r="BD894" t="s">
        <v>182</v>
      </c>
      <c r="BE894" t="s">
        <v>8238</v>
      </c>
      <c r="BF894">
        <v>0</v>
      </c>
      <c r="BG894">
        <v>0</v>
      </c>
      <c r="BH894">
        <v>0</v>
      </c>
      <c r="BI894" t="s">
        <v>199</v>
      </c>
      <c r="BJ894" t="s">
        <v>315</v>
      </c>
      <c r="BL894" t="s">
        <v>2801</v>
      </c>
      <c r="BM894" t="s">
        <v>533</v>
      </c>
      <c r="BN894" t="s">
        <v>182</v>
      </c>
      <c r="BO894" t="s">
        <v>12200</v>
      </c>
      <c r="BP894" t="s">
        <v>12201</v>
      </c>
      <c r="BQ894" t="s">
        <v>226</v>
      </c>
      <c r="BR894" t="s">
        <v>227</v>
      </c>
      <c r="BS894" t="s">
        <v>198</v>
      </c>
      <c r="BT894" t="s">
        <v>12202</v>
      </c>
      <c r="BU894" t="s">
        <v>182</v>
      </c>
      <c r="BV894" t="s">
        <v>198</v>
      </c>
      <c r="BW894" t="s">
        <v>198</v>
      </c>
      <c r="BX894" t="s">
        <v>199</v>
      </c>
      <c r="BY894" t="s">
        <v>198</v>
      </c>
      <c r="BZ894" t="s">
        <v>199</v>
      </c>
      <c r="CA894" t="s">
        <v>199</v>
      </c>
      <c r="CB894" t="s">
        <v>12203</v>
      </c>
      <c r="CC894" t="s">
        <v>201</v>
      </c>
      <c r="CD894" t="s">
        <v>182</v>
      </c>
      <c r="CE894" t="s">
        <v>12204</v>
      </c>
      <c r="CF894" t="s">
        <v>1029</v>
      </c>
      <c r="CG894" t="s">
        <v>177</v>
      </c>
      <c r="CH894" t="s">
        <v>1030</v>
      </c>
      <c r="CI894" t="s">
        <v>12205</v>
      </c>
      <c r="CJ894" t="s">
        <v>8853</v>
      </c>
      <c r="CK894" t="s">
        <v>232</v>
      </c>
      <c r="CL894" t="s">
        <v>233</v>
      </c>
      <c r="CM894" t="s">
        <v>12206</v>
      </c>
      <c r="CN894" t="s">
        <v>235</v>
      </c>
      <c r="CO894" t="s">
        <v>183</v>
      </c>
      <c r="CP894" t="s">
        <v>211</v>
      </c>
      <c r="CQ894" t="s">
        <v>290</v>
      </c>
      <c r="CS894" t="s">
        <v>12207</v>
      </c>
      <c r="CT894" t="s">
        <v>6018</v>
      </c>
      <c r="CU894" t="s">
        <v>292</v>
      </c>
      <c r="CV894" t="s">
        <v>293</v>
      </c>
      <c r="CW894" t="s">
        <v>12208</v>
      </c>
      <c r="CX894" t="s">
        <v>331</v>
      </c>
      <c r="CY894" t="s">
        <v>183</v>
      </c>
      <c r="CZ894" t="s">
        <v>211</v>
      </c>
      <c r="DA894" t="s">
        <v>493</v>
      </c>
      <c r="DC894" t="s">
        <v>12209</v>
      </c>
      <c r="DD894" t="s">
        <v>9246</v>
      </c>
      <c r="DE894" t="s">
        <v>267</v>
      </c>
      <c r="DF894" t="s">
        <v>268</v>
      </c>
      <c r="DG894" t="s">
        <v>12210</v>
      </c>
      <c r="DH894" t="s">
        <v>331</v>
      </c>
      <c r="DI894" t="s">
        <v>183</v>
      </c>
      <c r="DJ894" t="s">
        <v>211</v>
      </c>
      <c r="DK894" t="s">
        <v>523</v>
      </c>
      <c r="DM894" t="s">
        <v>4025</v>
      </c>
      <c r="DN894" t="s">
        <v>9544</v>
      </c>
      <c r="DO894" t="s">
        <v>273</v>
      </c>
      <c r="DP894" t="s">
        <v>274</v>
      </c>
      <c r="DQ894" t="s">
        <v>12211</v>
      </c>
      <c r="DR894" t="s">
        <v>1491</v>
      </c>
      <c r="DS894" t="s">
        <v>183</v>
      </c>
      <c r="DT894" t="s">
        <v>211</v>
      </c>
      <c r="DU894" t="s">
        <v>298</v>
      </c>
      <c r="DW894" t="s">
        <v>12212</v>
      </c>
      <c r="DX894" t="s">
        <v>12213</v>
      </c>
      <c r="DY894" t="s">
        <v>302</v>
      </c>
      <c r="DZ894" t="s">
        <v>303</v>
      </c>
      <c r="EA894" t="s">
        <v>12214</v>
      </c>
      <c r="EB894" t="s">
        <v>838</v>
      </c>
      <c r="EC894" t="s">
        <v>183</v>
      </c>
      <c r="ED894" t="s">
        <v>211</v>
      </c>
      <c r="EE894" t="s">
        <v>298</v>
      </c>
      <c r="EG894" t="s">
        <v>3143</v>
      </c>
      <c r="EH894" t="s">
        <v>2351</v>
      </c>
      <c r="EI894" t="s">
        <v>238</v>
      </c>
      <c r="EJ894" t="s">
        <v>239</v>
      </c>
      <c r="EK894" t="s">
        <v>12215</v>
      </c>
      <c r="EL894" t="s">
        <v>278</v>
      </c>
      <c r="EM894" t="s">
        <v>183</v>
      </c>
      <c r="EN894" t="s">
        <v>211</v>
      </c>
      <c r="EO894" t="s">
        <v>345</v>
      </c>
      <c r="EQ894" t="s">
        <v>4460</v>
      </c>
      <c r="ER894" t="s">
        <v>3924</v>
      </c>
      <c r="ES894" t="s">
        <v>346</v>
      </c>
      <c r="ET894" t="s">
        <v>347</v>
      </c>
      <c r="EU894" t="s">
        <v>12216</v>
      </c>
      <c r="EV894" t="s">
        <v>1551</v>
      </c>
      <c r="EW894" t="s">
        <v>183</v>
      </c>
      <c r="EX894" t="s">
        <v>211</v>
      </c>
      <c r="EY894" t="s">
        <v>298</v>
      </c>
      <c r="FA894" t="s">
        <v>3166</v>
      </c>
      <c r="FK894" t="s">
        <v>198</v>
      </c>
      <c r="FU894" t="s">
        <v>198</v>
      </c>
    </row>
    <row r="895" spans="1:177">
      <c r="A895" s="1" t="str">
        <f>HYPERLINK("http://digipan.lumentumllc.com/apps/getLink/index.php?t=PropLink&amp;p=5247145","PL")</f>
        <v>PL</v>
      </c>
      <c r="B895" s="1" t="str">
        <f>HYPERLINK("http://digipan.lumentumllc.com/apps/getLink/index.php?t=TaxLink&amp;p=5247145","TL")</f>
        <v>TL</v>
      </c>
      <c r="C895" s="1" t="str">
        <f>HYPERLINK("http://digipan.lumentumllc.com/apps/getMap/index.php?p=5247145","Map")</f>
        <v>Map</v>
      </c>
      <c r="E895" t="s">
        <v>177</v>
      </c>
      <c r="F895" t="s">
        <v>178</v>
      </c>
      <c r="L895" t="s">
        <v>12217</v>
      </c>
      <c r="N895" t="s">
        <v>12217</v>
      </c>
      <c r="O895" t="s">
        <v>12217</v>
      </c>
      <c r="P895" t="s">
        <v>12218</v>
      </c>
      <c r="Q895" t="s">
        <v>12217</v>
      </c>
      <c r="V895">
        <v>1037</v>
      </c>
      <c r="W895">
        <v>4</v>
      </c>
      <c r="X895">
        <v>2017</v>
      </c>
      <c r="Y895">
        <v>2018</v>
      </c>
      <c r="Z895">
        <v>39.36</v>
      </c>
      <c r="AB895" t="s">
        <v>181</v>
      </c>
      <c r="AC895" t="s">
        <v>182</v>
      </c>
      <c r="AD895" t="s">
        <v>183</v>
      </c>
      <c r="AE895">
        <v>2</v>
      </c>
      <c r="AF895">
        <v>3</v>
      </c>
      <c r="AG895" t="s">
        <v>2376</v>
      </c>
      <c r="AH895">
        <v>60</v>
      </c>
      <c r="AI895">
        <v>74.48</v>
      </c>
      <c r="AJ895">
        <v>19.670000000000002</v>
      </c>
      <c r="AK895">
        <v>94.15</v>
      </c>
      <c r="AL895">
        <v>450</v>
      </c>
      <c r="AM895">
        <v>450</v>
      </c>
      <c r="AN895">
        <v>0</v>
      </c>
      <c r="AO895">
        <v>6</v>
      </c>
      <c r="AP895">
        <v>2016</v>
      </c>
      <c r="AQ895">
        <v>8.75</v>
      </c>
      <c r="AR895">
        <v>20.92</v>
      </c>
      <c r="AS895" t="s">
        <v>12219</v>
      </c>
      <c r="AT895" t="s">
        <v>3747</v>
      </c>
      <c r="AU895" t="s">
        <v>177</v>
      </c>
      <c r="AV895" t="s">
        <v>1030</v>
      </c>
      <c r="AW895" t="s">
        <v>182</v>
      </c>
      <c r="AX895">
        <v>0</v>
      </c>
      <c r="AY895" t="s">
        <v>312</v>
      </c>
      <c r="AZ895" t="s">
        <v>199</v>
      </c>
      <c r="BA895" t="s">
        <v>313</v>
      </c>
      <c r="BB895" t="s">
        <v>191</v>
      </c>
      <c r="BC895" t="s">
        <v>182</v>
      </c>
      <c r="BD895" t="s">
        <v>182</v>
      </c>
      <c r="BE895" t="s">
        <v>11821</v>
      </c>
      <c r="BF895">
        <v>0</v>
      </c>
      <c r="BG895">
        <v>0</v>
      </c>
      <c r="BH895">
        <v>0</v>
      </c>
      <c r="BI895" t="s">
        <v>199</v>
      </c>
      <c r="BJ895" t="s">
        <v>315</v>
      </c>
      <c r="BL895" t="s">
        <v>199</v>
      </c>
      <c r="BM895" t="s">
        <v>232</v>
      </c>
      <c r="BN895" t="s">
        <v>182</v>
      </c>
      <c r="BO895" t="s">
        <v>198</v>
      </c>
      <c r="BP895" t="s">
        <v>198</v>
      </c>
      <c r="BQ895" t="s">
        <v>198</v>
      </c>
      <c r="BR895" t="s">
        <v>198</v>
      </c>
      <c r="BS895" t="s">
        <v>198</v>
      </c>
      <c r="BT895" t="s">
        <v>198</v>
      </c>
      <c r="BU895" t="s">
        <v>182</v>
      </c>
      <c r="BV895" t="s">
        <v>198</v>
      </c>
      <c r="BW895" t="s">
        <v>198</v>
      </c>
      <c r="BX895" t="s">
        <v>199</v>
      </c>
      <c r="BY895" t="s">
        <v>198</v>
      </c>
      <c r="BZ895" t="s">
        <v>199</v>
      </c>
      <c r="CA895" t="s">
        <v>199</v>
      </c>
      <c r="CB895" t="s">
        <v>12220</v>
      </c>
      <c r="CC895" t="s">
        <v>201</v>
      </c>
      <c r="CD895" t="s">
        <v>202</v>
      </c>
      <c r="CE895" t="s">
        <v>12221</v>
      </c>
      <c r="CF895" t="s">
        <v>413</v>
      </c>
      <c r="CG895" t="s">
        <v>177</v>
      </c>
      <c r="CH895" t="s">
        <v>782</v>
      </c>
      <c r="CI895" t="s">
        <v>12222</v>
      </c>
      <c r="CJ895" t="s">
        <v>11182</v>
      </c>
      <c r="CK895" t="s">
        <v>232</v>
      </c>
      <c r="CL895" t="s">
        <v>233</v>
      </c>
      <c r="CM895" t="s">
        <v>12223</v>
      </c>
      <c r="CN895" t="s">
        <v>482</v>
      </c>
      <c r="CO895" t="s">
        <v>183</v>
      </c>
      <c r="CP895" t="s">
        <v>266</v>
      </c>
      <c r="CS895" t="s">
        <v>198</v>
      </c>
      <c r="CT895" t="s">
        <v>11293</v>
      </c>
      <c r="CU895" t="s">
        <v>292</v>
      </c>
      <c r="CV895" t="s">
        <v>293</v>
      </c>
      <c r="CW895" t="s">
        <v>12224</v>
      </c>
      <c r="CX895" t="s">
        <v>482</v>
      </c>
      <c r="CY895" t="s">
        <v>183</v>
      </c>
      <c r="CZ895" t="s">
        <v>266</v>
      </c>
      <c r="DC895" t="s">
        <v>198</v>
      </c>
      <c r="DD895" t="s">
        <v>6793</v>
      </c>
      <c r="DE895" t="s">
        <v>302</v>
      </c>
      <c r="DF895" t="s">
        <v>303</v>
      </c>
      <c r="DG895" t="s">
        <v>12225</v>
      </c>
      <c r="DH895" t="s">
        <v>576</v>
      </c>
      <c r="DI895" t="s">
        <v>183</v>
      </c>
      <c r="DJ895" t="s">
        <v>211</v>
      </c>
      <c r="DK895" t="s">
        <v>270</v>
      </c>
      <c r="DM895" t="s">
        <v>7988</v>
      </c>
      <c r="DN895" t="s">
        <v>238</v>
      </c>
      <c r="DO895" t="s">
        <v>238</v>
      </c>
      <c r="DP895" t="s">
        <v>239</v>
      </c>
      <c r="DQ895" t="s">
        <v>12226</v>
      </c>
      <c r="DR895" t="s">
        <v>482</v>
      </c>
      <c r="DS895" t="s">
        <v>183</v>
      </c>
      <c r="DT895" t="s">
        <v>211</v>
      </c>
      <c r="DU895" t="s">
        <v>298</v>
      </c>
      <c r="DW895" t="s">
        <v>1619</v>
      </c>
      <c r="DX895" t="s">
        <v>12227</v>
      </c>
      <c r="DY895" t="s">
        <v>346</v>
      </c>
      <c r="DZ895" t="s">
        <v>347</v>
      </c>
      <c r="EA895" t="s">
        <v>12228</v>
      </c>
      <c r="EB895" t="s">
        <v>254</v>
      </c>
      <c r="EC895" t="s">
        <v>183</v>
      </c>
      <c r="ED895" t="s">
        <v>211</v>
      </c>
      <c r="EE895" t="s">
        <v>298</v>
      </c>
      <c r="EG895" t="s">
        <v>1100</v>
      </c>
      <c r="EQ895" t="s">
        <v>198</v>
      </c>
      <c r="FA895" t="s">
        <v>198</v>
      </c>
      <c r="FK895" t="s">
        <v>198</v>
      </c>
      <c r="FU895" t="s">
        <v>198</v>
      </c>
    </row>
    <row r="896" spans="1:177">
      <c r="A896" s="1" t="str">
        <f>HYPERLINK("http://digipan.lumentumllc.com/apps/getLink/index.php?t=PropLink&amp;p=5247147","PL")</f>
        <v>PL</v>
      </c>
      <c r="B896" s="1" t="str">
        <f>HYPERLINK("http://digipan.lumentumllc.com/apps/getLink/index.php?t=TaxLink&amp;p=5247147","TL")</f>
        <v>TL</v>
      </c>
      <c r="C896" s="1" t="str">
        <f>HYPERLINK("http://digipan.lumentumllc.com/apps/getMap/index.php?p=5247147","Map")</f>
        <v>Map</v>
      </c>
      <c r="E896" t="s">
        <v>177</v>
      </c>
      <c r="F896" t="s">
        <v>178</v>
      </c>
      <c r="L896" t="s">
        <v>12229</v>
      </c>
      <c r="N896" t="s">
        <v>12229</v>
      </c>
      <c r="O896" t="s">
        <v>12229</v>
      </c>
      <c r="P896" t="s">
        <v>12230</v>
      </c>
      <c r="Q896" t="s">
        <v>12229</v>
      </c>
      <c r="V896">
        <v>1038</v>
      </c>
      <c r="W896">
        <v>4</v>
      </c>
      <c r="X896">
        <v>2017</v>
      </c>
      <c r="Y896">
        <v>2018</v>
      </c>
      <c r="Z896">
        <v>379.5</v>
      </c>
      <c r="AB896" t="s">
        <v>181</v>
      </c>
      <c r="AC896" t="s">
        <v>182</v>
      </c>
      <c r="AD896" t="s">
        <v>183</v>
      </c>
      <c r="AE896">
        <v>0</v>
      </c>
      <c r="AF896">
        <v>1</v>
      </c>
      <c r="AG896" t="s">
        <v>821</v>
      </c>
      <c r="AH896">
        <v>100</v>
      </c>
      <c r="AK896">
        <v>0</v>
      </c>
      <c r="AL896">
        <v>55803</v>
      </c>
      <c r="AM896">
        <v>15000</v>
      </c>
      <c r="AN896">
        <v>40803</v>
      </c>
      <c r="AO896">
        <v>311</v>
      </c>
      <c r="AP896">
        <v>2016</v>
      </c>
      <c r="AQ896">
        <v>0.68</v>
      </c>
      <c r="AS896" t="s">
        <v>12231</v>
      </c>
      <c r="AT896" t="s">
        <v>3747</v>
      </c>
      <c r="AU896" t="s">
        <v>177</v>
      </c>
      <c r="AV896" t="s">
        <v>1030</v>
      </c>
      <c r="AW896" t="s">
        <v>202</v>
      </c>
      <c r="AX896">
        <v>2</v>
      </c>
      <c r="AY896" t="s">
        <v>188</v>
      </c>
      <c r="AZ896" t="s">
        <v>189</v>
      </c>
      <c r="BA896" t="s">
        <v>190</v>
      </c>
      <c r="BB896" t="s">
        <v>191</v>
      </c>
      <c r="BC896" t="s">
        <v>182</v>
      </c>
      <c r="BD896" t="s">
        <v>182</v>
      </c>
      <c r="BE896" t="s">
        <v>383</v>
      </c>
      <c r="BF896">
        <v>1</v>
      </c>
      <c r="BG896">
        <v>1</v>
      </c>
      <c r="BH896">
        <v>1998</v>
      </c>
      <c r="BI896" t="s">
        <v>12232</v>
      </c>
      <c r="BJ896" t="s">
        <v>194</v>
      </c>
      <c r="BK896" t="s">
        <v>195</v>
      </c>
      <c r="BL896" t="s">
        <v>199</v>
      </c>
      <c r="BM896" t="s">
        <v>533</v>
      </c>
      <c r="BN896" t="s">
        <v>182</v>
      </c>
      <c r="BO896" t="s">
        <v>198</v>
      </c>
      <c r="BP896" t="s">
        <v>198</v>
      </c>
      <c r="BQ896" t="s">
        <v>198</v>
      </c>
      <c r="BR896" t="s">
        <v>198</v>
      </c>
      <c r="BS896" t="s">
        <v>198</v>
      </c>
      <c r="BT896" t="s">
        <v>198</v>
      </c>
      <c r="BU896" t="s">
        <v>182</v>
      </c>
      <c r="BV896" t="s">
        <v>198</v>
      </c>
      <c r="BW896" t="s">
        <v>198</v>
      </c>
      <c r="BX896" t="s">
        <v>199</v>
      </c>
      <c r="BY896" t="s">
        <v>198</v>
      </c>
      <c r="BZ896" t="s">
        <v>199</v>
      </c>
      <c r="CA896" t="s">
        <v>199</v>
      </c>
      <c r="CB896" t="s">
        <v>12233</v>
      </c>
      <c r="CC896" t="s">
        <v>201</v>
      </c>
      <c r="CD896" t="s">
        <v>182</v>
      </c>
      <c r="CE896" t="s">
        <v>12234</v>
      </c>
      <c r="CF896" t="s">
        <v>1029</v>
      </c>
      <c r="CG896" t="s">
        <v>177</v>
      </c>
      <c r="CH896" t="s">
        <v>1030</v>
      </c>
      <c r="CI896" t="s">
        <v>12235</v>
      </c>
      <c r="CJ896" t="s">
        <v>12236</v>
      </c>
      <c r="CK896" t="s">
        <v>346</v>
      </c>
      <c r="CL896" t="s">
        <v>347</v>
      </c>
      <c r="CM896" t="s">
        <v>12237</v>
      </c>
      <c r="CN896" t="s">
        <v>1551</v>
      </c>
      <c r="CO896" t="s">
        <v>183</v>
      </c>
      <c r="CP896" t="s">
        <v>211</v>
      </c>
      <c r="CQ896" t="s">
        <v>270</v>
      </c>
      <c r="CS896" t="s">
        <v>10786</v>
      </c>
      <c r="DC896" t="s">
        <v>198</v>
      </c>
      <c r="DM896" t="s">
        <v>198</v>
      </c>
      <c r="DW896" t="s">
        <v>198</v>
      </c>
      <c r="EG896" t="s">
        <v>198</v>
      </c>
      <c r="EQ896" t="s">
        <v>198</v>
      </c>
      <c r="FA896" t="s">
        <v>198</v>
      </c>
      <c r="FK896" t="s">
        <v>198</v>
      </c>
      <c r="FU896" t="s">
        <v>198</v>
      </c>
    </row>
    <row r="897" spans="1:177">
      <c r="A897" s="1" t="str">
        <f>HYPERLINK("http://digipan.lumentumllc.com/apps/getLink/index.php?t=PropLink&amp;p=7112565","PL")</f>
        <v>PL</v>
      </c>
      <c r="B897" s="1" t="str">
        <f>HYPERLINK("http://digipan.lumentumllc.com/apps/getLink/index.php?t=TaxLink&amp;p=7112565","TL")</f>
        <v>TL</v>
      </c>
      <c r="C897" s="1" t="str">
        <f>HYPERLINK("http://digipan.lumentumllc.com/apps/getMap/index.php?p=7112565","Map")</f>
        <v>Map</v>
      </c>
      <c r="E897" t="s">
        <v>177</v>
      </c>
      <c r="F897" t="s">
        <v>178</v>
      </c>
      <c r="L897" t="s">
        <v>12238</v>
      </c>
      <c r="N897" t="s">
        <v>12238</v>
      </c>
      <c r="O897" t="s">
        <v>12238</v>
      </c>
      <c r="P897" t="s">
        <v>12239</v>
      </c>
      <c r="Q897" t="s">
        <v>12238</v>
      </c>
      <c r="V897">
        <v>1040</v>
      </c>
      <c r="W897">
        <v>4</v>
      </c>
      <c r="X897">
        <v>2017</v>
      </c>
      <c r="Y897">
        <v>2018</v>
      </c>
      <c r="Z897">
        <v>2447.38</v>
      </c>
      <c r="AB897" t="s">
        <v>181</v>
      </c>
      <c r="AC897" t="s">
        <v>182</v>
      </c>
      <c r="AD897" t="s">
        <v>183</v>
      </c>
      <c r="AE897">
        <v>0</v>
      </c>
      <c r="AF897">
        <v>2</v>
      </c>
      <c r="AG897" t="s">
        <v>216</v>
      </c>
      <c r="AH897">
        <v>100</v>
      </c>
      <c r="AK897">
        <v>0</v>
      </c>
      <c r="AL897">
        <v>147525</v>
      </c>
      <c r="AM897">
        <v>147525</v>
      </c>
      <c r="AN897">
        <v>0</v>
      </c>
      <c r="AO897">
        <v>2265</v>
      </c>
      <c r="AP897">
        <v>2016</v>
      </c>
      <c r="AQ897">
        <v>1.66</v>
      </c>
      <c r="AS897" t="s">
        <v>10628</v>
      </c>
      <c r="AT897" t="s">
        <v>3747</v>
      </c>
      <c r="AU897" t="s">
        <v>177</v>
      </c>
      <c r="AV897" t="s">
        <v>1030</v>
      </c>
      <c r="AW897" t="s">
        <v>182</v>
      </c>
      <c r="AX897">
        <v>0</v>
      </c>
      <c r="AY897" t="s">
        <v>312</v>
      </c>
      <c r="AZ897" t="s">
        <v>199</v>
      </c>
      <c r="BA897" t="s">
        <v>313</v>
      </c>
      <c r="BB897" t="s">
        <v>191</v>
      </c>
      <c r="BC897" t="s">
        <v>182</v>
      </c>
      <c r="BD897" t="s">
        <v>182</v>
      </c>
      <c r="BE897" t="s">
        <v>12240</v>
      </c>
      <c r="BF897">
        <v>0</v>
      </c>
      <c r="BG897">
        <v>0</v>
      </c>
      <c r="BH897">
        <v>0</v>
      </c>
      <c r="BI897" t="s">
        <v>199</v>
      </c>
      <c r="BJ897" t="s">
        <v>315</v>
      </c>
      <c r="BL897" t="s">
        <v>12241</v>
      </c>
      <c r="BM897" t="s">
        <v>292</v>
      </c>
      <c r="BN897" t="s">
        <v>182</v>
      </c>
      <c r="BO897" t="s">
        <v>198</v>
      </c>
      <c r="BP897" t="s">
        <v>198</v>
      </c>
      <c r="BQ897" t="s">
        <v>198</v>
      </c>
      <c r="BR897" t="s">
        <v>198</v>
      </c>
      <c r="BS897" t="s">
        <v>198</v>
      </c>
      <c r="BT897" t="s">
        <v>198</v>
      </c>
      <c r="BU897" t="s">
        <v>182</v>
      </c>
      <c r="BV897" t="s">
        <v>198</v>
      </c>
      <c r="BW897" t="s">
        <v>198</v>
      </c>
      <c r="BX897" t="s">
        <v>199</v>
      </c>
      <c r="BY897" t="s">
        <v>198</v>
      </c>
      <c r="BZ897" t="s">
        <v>199</v>
      </c>
      <c r="CA897" t="s">
        <v>199</v>
      </c>
      <c r="CB897" t="s">
        <v>5072</v>
      </c>
      <c r="CC897" t="s">
        <v>201</v>
      </c>
      <c r="CD897" t="s">
        <v>202</v>
      </c>
      <c r="CE897" t="s">
        <v>2111</v>
      </c>
      <c r="CF897" t="s">
        <v>1029</v>
      </c>
      <c r="CG897" t="s">
        <v>177</v>
      </c>
      <c r="CH897" t="s">
        <v>1030</v>
      </c>
      <c r="CI897" t="s">
        <v>12242</v>
      </c>
      <c r="CJ897" t="s">
        <v>8870</v>
      </c>
      <c r="CK897" t="s">
        <v>232</v>
      </c>
      <c r="CL897" t="s">
        <v>233</v>
      </c>
      <c r="CM897" t="s">
        <v>12243</v>
      </c>
      <c r="CN897" t="s">
        <v>235</v>
      </c>
      <c r="CO897" t="s">
        <v>183</v>
      </c>
      <c r="CP897" t="s">
        <v>211</v>
      </c>
      <c r="CQ897" t="s">
        <v>296</v>
      </c>
      <c r="CS897" t="s">
        <v>12244</v>
      </c>
      <c r="CT897" t="s">
        <v>2190</v>
      </c>
      <c r="CU897" t="s">
        <v>292</v>
      </c>
      <c r="CV897" t="s">
        <v>293</v>
      </c>
      <c r="CW897" t="s">
        <v>12245</v>
      </c>
      <c r="CX897" t="s">
        <v>235</v>
      </c>
      <c r="CY897" t="s">
        <v>183</v>
      </c>
      <c r="CZ897" t="s">
        <v>211</v>
      </c>
      <c r="DA897" t="s">
        <v>444</v>
      </c>
      <c r="DC897" t="s">
        <v>12244</v>
      </c>
      <c r="DM897" t="s">
        <v>198</v>
      </c>
      <c r="DW897" t="s">
        <v>198</v>
      </c>
      <c r="EG897" t="s">
        <v>198</v>
      </c>
      <c r="EQ897" t="s">
        <v>198</v>
      </c>
      <c r="FA897" t="s">
        <v>198</v>
      </c>
      <c r="FK897" t="s">
        <v>198</v>
      </c>
      <c r="FU897" t="s">
        <v>198</v>
      </c>
    </row>
    <row r="898" spans="1:177">
      <c r="A898" s="1" t="str">
        <f>HYPERLINK("http://digipan.lumentumllc.com/apps/getLink/index.php?t=PropLink&amp;p=7112566","PL")</f>
        <v>PL</v>
      </c>
      <c r="B898" s="1" t="str">
        <f>HYPERLINK("http://digipan.lumentumllc.com/apps/getLink/index.php?t=TaxLink&amp;p=7112566","TL")</f>
        <v>TL</v>
      </c>
      <c r="C898" s="1" t="str">
        <f>HYPERLINK("http://digipan.lumentumllc.com/apps/getMap/index.php?p=7112566","Map")</f>
        <v>Map</v>
      </c>
      <c r="E898" t="s">
        <v>177</v>
      </c>
      <c r="F898" t="s">
        <v>178</v>
      </c>
      <c r="L898" t="s">
        <v>12246</v>
      </c>
      <c r="N898" t="s">
        <v>12246</v>
      </c>
      <c r="O898" t="s">
        <v>12246</v>
      </c>
      <c r="P898" t="s">
        <v>12247</v>
      </c>
      <c r="Q898" t="s">
        <v>12246</v>
      </c>
      <c r="V898">
        <v>1041</v>
      </c>
      <c r="W898">
        <v>4</v>
      </c>
      <c r="X898">
        <v>2017</v>
      </c>
      <c r="Y898">
        <v>2018</v>
      </c>
      <c r="Z898">
        <v>2324.81</v>
      </c>
      <c r="AB898" t="s">
        <v>181</v>
      </c>
      <c r="AC898" t="s">
        <v>182</v>
      </c>
      <c r="AD898" t="s">
        <v>183</v>
      </c>
      <c r="AE898">
        <v>0</v>
      </c>
      <c r="AF898">
        <v>2</v>
      </c>
      <c r="AG898" t="s">
        <v>216</v>
      </c>
      <c r="AH898">
        <v>100</v>
      </c>
      <c r="AK898">
        <v>0</v>
      </c>
      <c r="AL898">
        <v>140040</v>
      </c>
      <c r="AM898">
        <v>140040</v>
      </c>
      <c r="AN898">
        <v>0</v>
      </c>
      <c r="AO898">
        <v>2815</v>
      </c>
      <c r="AP898">
        <v>2016</v>
      </c>
      <c r="AQ898">
        <v>1.66</v>
      </c>
      <c r="AS898" t="s">
        <v>10628</v>
      </c>
      <c r="AT898" t="s">
        <v>3747</v>
      </c>
      <c r="AU898" t="s">
        <v>177</v>
      </c>
      <c r="AV898" t="s">
        <v>1030</v>
      </c>
      <c r="AW898" t="s">
        <v>182</v>
      </c>
      <c r="AX898">
        <v>0</v>
      </c>
      <c r="AY898" t="s">
        <v>312</v>
      </c>
      <c r="AZ898" t="s">
        <v>199</v>
      </c>
      <c r="BA898" t="s">
        <v>313</v>
      </c>
      <c r="BB898" t="s">
        <v>191</v>
      </c>
      <c r="BC898" t="s">
        <v>182</v>
      </c>
      <c r="BD898" t="s">
        <v>1528</v>
      </c>
      <c r="BE898" t="s">
        <v>12248</v>
      </c>
      <c r="BF898">
        <v>0</v>
      </c>
      <c r="BG898">
        <v>0</v>
      </c>
      <c r="BH898">
        <v>0</v>
      </c>
      <c r="BI898" t="s">
        <v>199</v>
      </c>
      <c r="BJ898" t="s">
        <v>248</v>
      </c>
      <c r="BL898" t="s">
        <v>1720</v>
      </c>
      <c r="BM898" t="s">
        <v>197</v>
      </c>
      <c r="BN898" t="s">
        <v>182</v>
      </c>
      <c r="BO898" t="s">
        <v>198</v>
      </c>
      <c r="BP898" t="s">
        <v>198</v>
      </c>
      <c r="BQ898" t="s">
        <v>198</v>
      </c>
      <c r="BR898" t="s">
        <v>198</v>
      </c>
      <c r="BS898" t="s">
        <v>198</v>
      </c>
      <c r="BT898" t="s">
        <v>198</v>
      </c>
      <c r="BU898" t="s">
        <v>182</v>
      </c>
      <c r="BV898" t="s">
        <v>198</v>
      </c>
      <c r="BW898" t="s">
        <v>198</v>
      </c>
      <c r="BX898" t="s">
        <v>199</v>
      </c>
      <c r="BY898" t="s">
        <v>198</v>
      </c>
      <c r="BZ898" t="s">
        <v>199</v>
      </c>
      <c r="CA898" t="s">
        <v>199</v>
      </c>
      <c r="CB898" t="s">
        <v>12249</v>
      </c>
      <c r="CC898" t="s">
        <v>201</v>
      </c>
      <c r="CD898" t="s">
        <v>202</v>
      </c>
      <c r="CE898" t="s">
        <v>2111</v>
      </c>
      <c r="CF898" t="s">
        <v>1029</v>
      </c>
      <c r="CG898" t="s">
        <v>177</v>
      </c>
      <c r="CH898" t="s">
        <v>1030</v>
      </c>
      <c r="CI898" t="s">
        <v>12242</v>
      </c>
      <c r="CJ898" t="s">
        <v>8562</v>
      </c>
      <c r="CK898" t="s">
        <v>232</v>
      </c>
      <c r="CL898" t="s">
        <v>233</v>
      </c>
      <c r="CM898" t="s">
        <v>12250</v>
      </c>
      <c r="CN898" t="s">
        <v>235</v>
      </c>
      <c r="CO898" t="s">
        <v>183</v>
      </c>
      <c r="CP898" t="s">
        <v>211</v>
      </c>
      <c r="CQ898" t="s">
        <v>250</v>
      </c>
      <c r="CS898" t="s">
        <v>4347</v>
      </c>
      <c r="CT898" t="s">
        <v>8705</v>
      </c>
      <c r="CU898" t="s">
        <v>292</v>
      </c>
      <c r="CV898" t="s">
        <v>293</v>
      </c>
      <c r="CW898" t="s">
        <v>12251</v>
      </c>
      <c r="CX898" t="s">
        <v>235</v>
      </c>
      <c r="CY898" t="s">
        <v>183</v>
      </c>
      <c r="CZ898" t="s">
        <v>211</v>
      </c>
      <c r="DA898" t="s">
        <v>487</v>
      </c>
      <c r="DC898" t="s">
        <v>4347</v>
      </c>
      <c r="DM898" t="s">
        <v>198</v>
      </c>
      <c r="DW898" t="s">
        <v>198</v>
      </c>
      <c r="EG898" t="s">
        <v>198</v>
      </c>
      <c r="EQ898" t="s">
        <v>198</v>
      </c>
      <c r="FA898" t="s">
        <v>198</v>
      </c>
      <c r="FK898" t="s">
        <v>198</v>
      </c>
      <c r="FU898" t="s">
        <v>198</v>
      </c>
    </row>
    <row r="899" spans="1:177">
      <c r="A899" s="1" t="str">
        <f>HYPERLINK("http://digipan.lumentumllc.com/apps/getLink/index.php?t=PropLink&amp;p=5247792","PL")</f>
        <v>PL</v>
      </c>
      <c r="B899" s="1" t="str">
        <f>HYPERLINK("http://digipan.lumentumllc.com/apps/getLink/index.php?t=TaxLink&amp;p=5247792","TL")</f>
        <v>TL</v>
      </c>
      <c r="C899" s="1" t="str">
        <f>HYPERLINK("http://digipan.lumentumllc.com/apps/getMap/index.php?p=5247792","Map")</f>
        <v>Map</v>
      </c>
      <c r="E899" t="s">
        <v>177</v>
      </c>
      <c r="F899" t="s">
        <v>178</v>
      </c>
      <c r="L899" t="s">
        <v>12252</v>
      </c>
      <c r="N899" t="s">
        <v>12252</v>
      </c>
      <c r="O899" t="s">
        <v>12252</v>
      </c>
      <c r="P899" t="s">
        <v>12253</v>
      </c>
      <c r="Q899" t="s">
        <v>12252</v>
      </c>
      <c r="V899">
        <v>1042</v>
      </c>
      <c r="W899">
        <v>4</v>
      </c>
      <c r="X899">
        <v>2017</v>
      </c>
      <c r="Y899">
        <v>2018</v>
      </c>
      <c r="Z899">
        <v>59.72</v>
      </c>
      <c r="AB899" t="s">
        <v>181</v>
      </c>
      <c r="AC899" t="s">
        <v>182</v>
      </c>
      <c r="AD899" t="s">
        <v>1037</v>
      </c>
      <c r="AE899">
        <v>0</v>
      </c>
      <c r="AF899">
        <v>4</v>
      </c>
      <c r="AG899" t="s">
        <v>381</v>
      </c>
      <c r="AH899">
        <v>100</v>
      </c>
      <c r="AK899">
        <v>0</v>
      </c>
      <c r="AL899">
        <v>1815</v>
      </c>
      <c r="AM899">
        <v>1815</v>
      </c>
      <c r="AN899">
        <v>0</v>
      </c>
      <c r="AO899">
        <v>22</v>
      </c>
      <c r="AP899">
        <v>2016</v>
      </c>
      <c r="AQ899">
        <v>3.29</v>
      </c>
      <c r="AS899" t="s">
        <v>10628</v>
      </c>
      <c r="AT899" t="s">
        <v>3747</v>
      </c>
      <c r="AU899" t="s">
        <v>177</v>
      </c>
      <c r="AV899" t="s">
        <v>1030</v>
      </c>
      <c r="AW899" t="s">
        <v>182</v>
      </c>
      <c r="AX899">
        <v>0</v>
      </c>
      <c r="AY899" t="s">
        <v>312</v>
      </c>
      <c r="AZ899" t="s">
        <v>199</v>
      </c>
      <c r="BA899" t="s">
        <v>313</v>
      </c>
      <c r="BB899" t="s">
        <v>191</v>
      </c>
      <c r="BC899" t="s">
        <v>182</v>
      </c>
      <c r="BD899" t="s">
        <v>182</v>
      </c>
      <c r="BE899" t="s">
        <v>12254</v>
      </c>
      <c r="BF899">
        <v>0</v>
      </c>
      <c r="BG899">
        <v>0</v>
      </c>
      <c r="BH899">
        <v>0</v>
      </c>
      <c r="BI899" t="s">
        <v>199</v>
      </c>
      <c r="BJ899" t="s">
        <v>315</v>
      </c>
      <c r="BL899" t="s">
        <v>199</v>
      </c>
      <c r="BM899" t="s">
        <v>3644</v>
      </c>
      <c r="BN899" t="s">
        <v>182</v>
      </c>
      <c r="BO899" t="s">
        <v>198</v>
      </c>
      <c r="BP899" t="s">
        <v>198</v>
      </c>
      <c r="BQ899" t="s">
        <v>198</v>
      </c>
      <c r="BR899" t="s">
        <v>198</v>
      </c>
      <c r="BS899" t="s">
        <v>198</v>
      </c>
      <c r="BT899" t="s">
        <v>198</v>
      </c>
      <c r="BU899" t="s">
        <v>182</v>
      </c>
      <c r="BV899" t="s">
        <v>198</v>
      </c>
      <c r="BW899" t="s">
        <v>198</v>
      </c>
      <c r="BX899" t="s">
        <v>199</v>
      </c>
      <c r="BY899" t="s">
        <v>198</v>
      </c>
      <c r="BZ899" t="s">
        <v>199</v>
      </c>
      <c r="CA899" t="s">
        <v>199</v>
      </c>
      <c r="CB899" t="s">
        <v>12255</v>
      </c>
      <c r="CC899" t="s">
        <v>201</v>
      </c>
      <c r="CD899" t="s">
        <v>182</v>
      </c>
      <c r="CE899" t="s">
        <v>12256</v>
      </c>
      <c r="CF899" t="s">
        <v>1029</v>
      </c>
      <c r="CG899" t="s">
        <v>177</v>
      </c>
      <c r="CH899" t="s">
        <v>1030</v>
      </c>
      <c r="CI899" t="s">
        <v>12242</v>
      </c>
      <c r="CJ899" t="s">
        <v>6460</v>
      </c>
      <c r="CK899" t="s">
        <v>273</v>
      </c>
      <c r="CL899" t="s">
        <v>274</v>
      </c>
      <c r="CM899" t="s">
        <v>12257</v>
      </c>
      <c r="CN899" t="s">
        <v>482</v>
      </c>
      <c r="CO899" t="s">
        <v>5</v>
      </c>
      <c r="CP899" t="s">
        <v>211</v>
      </c>
      <c r="CQ899" t="s">
        <v>206</v>
      </c>
      <c r="CS899" t="s">
        <v>12258</v>
      </c>
      <c r="CT899" t="s">
        <v>12259</v>
      </c>
      <c r="CU899" t="s">
        <v>238</v>
      </c>
      <c r="CV899" t="s">
        <v>239</v>
      </c>
      <c r="CW899" t="s">
        <v>12260</v>
      </c>
      <c r="CX899" t="s">
        <v>482</v>
      </c>
      <c r="CY899" t="s">
        <v>183</v>
      </c>
      <c r="CZ899" t="s">
        <v>211</v>
      </c>
      <c r="DA899" t="s">
        <v>342</v>
      </c>
      <c r="DC899" t="s">
        <v>4170</v>
      </c>
      <c r="DD899" t="s">
        <v>1838</v>
      </c>
      <c r="DE899" t="s">
        <v>346</v>
      </c>
      <c r="DF899" t="s">
        <v>347</v>
      </c>
      <c r="DG899" t="s">
        <v>12261</v>
      </c>
      <c r="DH899" t="s">
        <v>254</v>
      </c>
      <c r="DI899" t="s">
        <v>183</v>
      </c>
      <c r="DJ899" t="s">
        <v>211</v>
      </c>
      <c r="DK899" t="s">
        <v>345</v>
      </c>
      <c r="DM899" t="s">
        <v>4170</v>
      </c>
      <c r="DN899" t="s">
        <v>2762</v>
      </c>
      <c r="DO899" t="s">
        <v>207</v>
      </c>
      <c r="DP899" t="s">
        <v>208</v>
      </c>
      <c r="DQ899" t="s">
        <v>12262</v>
      </c>
      <c r="DR899" t="s">
        <v>341</v>
      </c>
      <c r="DS899" t="s">
        <v>183</v>
      </c>
      <c r="DT899" t="s">
        <v>211</v>
      </c>
      <c r="DU899" t="s">
        <v>298</v>
      </c>
      <c r="DW899" t="s">
        <v>5492</v>
      </c>
      <c r="EG899" t="s">
        <v>198</v>
      </c>
      <c r="EQ899" t="s">
        <v>198</v>
      </c>
      <c r="FA899" t="s">
        <v>198</v>
      </c>
      <c r="FK899" t="s">
        <v>198</v>
      </c>
      <c r="FU899" t="s">
        <v>198</v>
      </c>
    </row>
    <row r="900" spans="1:177">
      <c r="A900" s="1" t="str">
        <f>HYPERLINK("http://digipan.lumentumllc.com/apps/getLink/index.php?t=PropLink&amp;p=15758517","PL")</f>
        <v>PL</v>
      </c>
      <c r="B900" s="1" t="str">
        <f>HYPERLINK("http://digipan.lumentumllc.com/apps/getLink/index.php?t=TaxLink&amp;p=15758517","TL")</f>
        <v>TL</v>
      </c>
      <c r="C900" s="1" t="str">
        <f>HYPERLINK("http://digipan.lumentumllc.com/apps/getMap/index.php?p=15758517","Map")</f>
        <v>Map</v>
      </c>
      <c r="E900" t="s">
        <v>177</v>
      </c>
      <c r="F900" t="s">
        <v>178</v>
      </c>
      <c r="L900" t="s">
        <v>12263</v>
      </c>
      <c r="N900" t="s">
        <v>12263</v>
      </c>
      <c r="O900" t="s">
        <v>12263</v>
      </c>
      <c r="Q900" t="s">
        <v>12263</v>
      </c>
      <c r="V900">
        <v>1043</v>
      </c>
      <c r="W900">
        <v>4</v>
      </c>
      <c r="X900">
        <v>2017</v>
      </c>
      <c r="Y900">
        <v>2018</v>
      </c>
      <c r="Z900">
        <v>424.95</v>
      </c>
      <c r="AB900" t="s">
        <v>181</v>
      </c>
      <c r="AC900" t="s">
        <v>182</v>
      </c>
      <c r="AD900" t="s">
        <v>183</v>
      </c>
      <c r="AE900">
        <v>0</v>
      </c>
      <c r="AF900">
        <v>1</v>
      </c>
      <c r="AG900" t="s">
        <v>821</v>
      </c>
      <c r="AH900">
        <v>100</v>
      </c>
      <c r="AK900">
        <v>0</v>
      </c>
      <c r="AL900">
        <v>24000</v>
      </c>
      <c r="AM900">
        <v>24000</v>
      </c>
      <c r="AN900">
        <v>0</v>
      </c>
      <c r="AO900">
        <v>295</v>
      </c>
      <c r="AP900">
        <v>2016</v>
      </c>
      <c r="AQ900">
        <v>1.77</v>
      </c>
      <c r="AS900" t="s">
        <v>10628</v>
      </c>
      <c r="AT900" t="s">
        <v>3747</v>
      </c>
      <c r="AU900" t="s">
        <v>177</v>
      </c>
      <c r="AV900" t="s">
        <v>1030</v>
      </c>
      <c r="AW900" t="s">
        <v>182</v>
      </c>
      <c r="AX900">
        <v>0</v>
      </c>
      <c r="AY900" t="s">
        <v>312</v>
      </c>
      <c r="AZ900" t="s">
        <v>199</v>
      </c>
      <c r="BA900" t="s">
        <v>313</v>
      </c>
      <c r="BB900" t="s">
        <v>191</v>
      </c>
      <c r="BC900" t="s">
        <v>182</v>
      </c>
      <c r="BD900" t="s">
        <v>1528</v>
      </c>
      <c r="BE900" t="s">
        <v>1930</v>
      </c>
      <c r="BF900">
        <v>0</v>
      </c>
      <c r="BG900">
        <v>0</v>
      </c>
      <c r="BH900">
        <v>0</v>
      </c>
      <c r="BI900" t="s">
        <v>199</v>
      </c>
      <c r="BJ900" t="s">
        <v>315</v>
      </c>
      <c r="BL900" t="s">
        <v>11407</v>
      </c>
      <c r="BM900" t="s">
        <v>232</v>
      </c>
      <c r="BN900" t="s">
        <v>182</v>
      </c>
      <c r="BO900" t="s">
        <v>12264</v>
      </c>
      <c r="BP900" t="s">
        <v>12265</v>
      </c>
      <c r="BQ900" t="s">
        <v>603</v>
      </c>
      <c r="BR900" t="s">
        <v>563</v>
      </c>
      <c r="BS900" t="s">
        <v>198</v>
      </c>
      <c r="BT900" t="s">
        <v>228</v>
      </c>
      <c r="BU900" t="s">
        <v>182</v>
      </c>
      <c r="BV900" t="s">
        <v>198</v>
      </c>
      <c r="BW900" t="s">
        <v>198</v>
      </c>
      <c r="BX900" t="s">
        <v>199</v>
      </c>
      <c r="BY900" t="s">
        <v>198</v>
      </c>
      <c r="BZ900" t="s">
        <v>199</v>
      </c>
      <c r="CA900" t="s">
        <v>199</v>
      </c>
      <c r="CB900" t="s">
        <v>12266</v>
      </c>
      <c r="CC900" t="s">
        <v>201</v>
      </c>
      <c r="CD900" t="s">
        <v>202</v>
      </c>
      <c r="CE900" t="s">
        <v>12267</v>
      </c>
      <c r="CF900" t="s">
        <v>2333</v>
      </c>
      <c r="CG900" t="s">
        <v>177</v>
      </c>
      <c r="CH900" t="s">
        <v>2334</v>
      </c>
      <c r="CI900" t="s">
        <v>12268</v>
      </c>
      <c r="CJ900" t="s">
        <v>10589</v>
      </c>
      <c r="CK900" t="s">
        <v>232</v>
      </c>
      <c r="CL900" t="s">
        <v>233</v>
      </c>
      <c r="CM900" t="s">
        <v>2381</v>
      </c>
      <c r="CN900" t="s">
        <v>247</v>
      </c>
      <c r="CO900" t="s">
        <v>183</v>
      </c>
      <c r="CP900" t="s">
        <v>211</v>
      </c>
      <c r="CQ900" t="s">
        <v>206</v>
      </c>
      <c r="CS900" t="s">
        <v>4571</v>
      </c>
      <c r="DC900" t="s">
        <v>198</v>
      </c>
      <c r="DM900" t="s">
        <v>198</v>
      </c>
      <c r="DW900" t="s">
        <v>198</v>
      </c>
      <c r="EG900" t="s">
        <v>198</v>
      </c>
      <c r="EQ900" t="s">
        <v>198</v>
      </c>
      <c r="FA900" t="s">
        <v>198</v>
      </c>
      <c r="FK900" t="s">
        <v>198</v>
      </c>
      <c r="FU900" t="s">
        <v>198</v>
      </c>
    </row>
    <row r="901" spans="1:177">
      <c r="A901" s="1" t="str">
        <f>HYPERLINK("http://digipan.lumentumllc.com/apps/getLink/index.php?t=PropLink&amp;p=15758519","PL")</f>
        <v>PL</v>
      </c>
      <c r="B901" s="1" t="str">
        <f>HYPERLINK("http://digipan.lumentumllc.com/apps/getLink/index.php?t=TaxLink&amp;p=15758519","TL")</f>
        <v>TL</v>
      </c>
      <c r="C901" s="1" t="str">
        <f>HYPERLINK("http://digipan.lumentumllc.com/apps/getMap/index.php?p=15758519","Map")</f>
        <v>Map</v>
      </c>
      <c r="E901" t="s">
        <v>177</v>
      </c>
      <c r="F901" t="s">
        <v>178</v>
      </c>
      <c r="L901" t="s">
        <v>12269</v>
      </c>
      <c r="N901" t="s">
        <v>12269</v>
      </c>
      <c r="O901" t="s">
        <v>12269</v>
      </c>
      <c r="Q901" t="s">
        <v>12269</v>
      </c>
      <c r="V901">
        <v>1044</v>
      </c>
      <c r="W901">
        <v>4</v>
      </c>
      <c r="X901">
        <v>2017</v>
      </c>
      <c r="Y901">
        <v>2018</v>
      </c>
      <c r="Z901">
        <v>2044.06</v>
      </c>
      <c r="AG901" t="s">
        <v>184</v>
      </c>
      <c r="AH901">
        <v>0</v>
      </c>
      <c r="AK901">
        <v>0</v>
      </c>
      <c r="AL901">
        <v>122892</v>
      </c>
      <c r="AM901">
        <v>24000</v>
      </c>
      <c r="AN901">
        <v>98892</v>
      </c>
      <c r="AO901">
        <v>295</v>
      </c>
      <c r="AP901">
        <v>2016</v>
      </c>
      <c r="AQ901">
        <v>1.66</v>
      </c>
      <c r="AS901" t="s">
        <v>12270</v>
      </c>
      <c r="AT901" t="s">
        <v>3747</v>
      </c>
      <c r="AU901" t="s">
        <v>177</v>
      </c>
      <c r="AV901" t="s">
        <v>1030</v>
      </c>
      <c r="AW901" t="s">
        <v>182</v>
      </c>
      <c r="AX901">
        <v>2</v>
      </c>
      <c r="AY901" t="s">
        <v>188</v>
      </c>
      <c r="AZ901" t="s">
        <v>189</v>
      </c>
      <c r="BA901" t="s">
        <v>190</v>
      </c>
      <c r="BB901" t="s">
        <v>191</v>
      </c>
      <c r="BC901" t="s">
        <v>182</v>
      </c>
      <c r="BD901" t="s">
        <v>182</v>
      </c>
      <c r="BE901" t="s">
        <v>1930</v>
      </c>
      <c r="BF901">
        <v>1</v>
      </c>
      <c r="BG901">
        <v>1</v>
      </c>
      <c r="BH901">
        <v>2016</v>
      </c>
      <c r="BI901" t="s">
        <v>1709</v>
      </c>
      <c r="BJ901" t="s">
        <v>194</v>
      </c>
      <c r="BK901" t="s">
        <v>195</v>
      </c>
      <c r="BL901" t="s">
        <v>199</v>
      </c>
      <c r="BM901" t="s">
        <v>232</v>
      </c>
      <c r="BN901" t="s">
        <v>182</v>
      </c>
      <c r="BO901" t="s">
        <v>198</v>
      </c>
      <c r="BP901" t="s">
        <v>198</v>
      </c>
      <c r="BQ901" t="s">
        <v>198</v>
      </c>
      <c r="BR901" t="s">
        <v>198</v>
      </c>
      <c r="BS901" t="s">
        <v>198</v>
      </c>
      <c r="BT901" t="s">
        <v>198</v>
      </c>
      <c r="BU901" t="s">
        <v>182</v>
      </c>
      <c r="BV901" t="s">
        <v>198</v>
      </c>
      <c r="BW901" t="s">
        <v>198</v>
      </c>
      <c r="BX901" t="s">
        <v>199</v>
      </c>
      <c r="BY901" t="s">
        <v>198</v>
      </c>
      <c r="BZ901" t="s">
        <v>199</v>
      </c>
      <c r="CA901" t="s">
        <v>199</v>
      </c>
      <c r="CB901" t="s">
        <v>12271</v>
      </c>
      <c r="CC901" t="s">
        <v>201</v>
      </c>
      <c r="CD901" t="s">
        <v>182</v>
      </c>
      <c r="CE901" t="s">
        <v>12272</v>
      </c>
      <c r="CF901" t="s">
        <v>5331</v>
      </c>
      <c r="CG901" t="s">
        <v>177</v>
      </c>
      <c r="CH901" t="s">
        <v>371</v>
      </c>
      <c r="CI901" t="s">
        <v>12268</v>
      </c>
      <c r="CS901" t="s">
        <v>198</v>
      </c>
      <c r="DC901" t="s">
        <v>198</v>
      </c>
      <c r="DM901" t="s">
        <v>198</v>
      </c>
      <c r="DW901" t="s">
        <v>198</v>
      </c>
      <c r="EG901" t="s">
        <v>198</v>
      </c>
      <c r="EQ901" t="s">
        <v>198</v>
      </c>
      <c r="FA901" t="s">
        <v>198</v>
      </c>
      <c r="FK901" t="s">
        <v>198</v>
      </c>
      <c r="FU901" t="s">
        <v>198</v>
      </c>
    </row>
    <row r="902" spans="1:177">
      <c r="A902" s="1" t="str">
        <f>HYPERLINK("http://digipan.lumentumllc.com/apps/getLink/index.php?t=PropLink&amp;p=15758522","PL")</f>
        <v>PL</v>
      </c>
      <c r="B902" s="1" t="str">
        <f>HYPERLINK("http://digipan.lumentumllc.com/apps/getLink/index.php?t=TaxLink&amp;p=15758522","TL")</f>
        <v>TL</v>
      </c>
      <c r="C902" s="1" t="str">
        <f>HYPERLINK("http://digipan.lumentumllc.com/apps/getMap/index.php?p=15758522","Map")</f>
        <v>Map</v>
      </c>
      <c r="E902" t="s">
        <v>177</v>
      </c>
      <c r="F902" t="s">
        <v>178</v>
      </c>
      <c r="L902" t="s">
        <v>12273</v>
      </c>
      <c r="N902" t="s">
        <v>12273</v>
      </c>
      <c r="O902" t="s">
        <v>12273</v>
      </c>
      <c r="Q902" t="s">
        <v>12273</v>
      </c>
      <c r="V902">
        <v>1045</v>
      </c>
      <c r="W902">
        <v>4</v>
      </c>
      <c r="X902">
        <v>2017</v>
      </c>
      <c r="Y902">
        <v>2018</v>
      </c>
      <c r="Z902">
        <v>444.09</v>
      </c>
      <c r="AG902" t="s">
        <v>184</v>
      </c>
      <c r="AH902">
        <v>0</v>
      </c>
      <c r="AK902">
        <v>0</v>
      </c>
      <c r="AL902">
        <v>65516</v>
      </c>
      <c r="AM902">
        <v>21750</v>
      </c>
      <c r="AN902">
        <v>43766</v>
      </c>
      <c r="AO902">
        <v>371</v>
      </c>
      <c r="AP902">
        <v>2016</v>
      </c>
      <c r="AQ902">
        <v>0.68</v>
      </c>
      <c r="AS902" t="s">
        <v>12274</v>
      </c>
      <c r="AT902" t="s">
        <v>3747</v>
      </c>
      <c r="AU902" t="s">
        <v>177</v>
      </c>
      <c r="AV902" t="s">
        <v>1030</v>
      </c>
      <c r="AW902" t="s">
        <v>202</v>
      </c>
      <c r="AX902">
        <v>2</v>
      </c>
      <c r="AY902" t="s">
        <v>188</v>
      </c>
      <c r="AZ902" t="s">
        <v>189</v>
      </c>
      <c r="BA902" t="s">
        <v>190</v>
      </c>
      <c r="BB902" t="s">
        <v>191</v>
      </c>
      <c r="BC902" t="s">
        <v>182</v>
      </c>
      <c r="BD902" t="s">
        <v>182</v>
      </c>
      <c r="BE902" t="s">
        <v>2938</v>
      </c>
      <c r="BF902">
        <v>1</v>
      </c>
      <c r="BG902">
        <v>1</v>
      </c>
      <c r="BH902">
        <v>1996</v>
      </c>
      <c r="BI902" t="s">
        <v>839</v>
      </c>
      <c r="BJ902" t="s">
        <v>194</v>
      </c>
      <c r="BK902" t="s">
        <v>195</v>
      </c>
      <c r="BL902" t="s">
        <v>6226</v>
      </c>
      <c r="BM902" t="s">
        <v>1311</v>
      </c>
      <c r="BN902" t="s">
        <v>182</v>
      </c>
      <c r="BO902" t="s">
        <v>198</v>
      </c>
      <c r="BP902" t="s">
        <v>198</v>
      </c>
      <c r="BQ902" t="s">
        <v>198</v>
      </c>
      <c r="BR902" t="s">
        <v>198</v>
      </c>
      <c r="BS902" t="s">
        <v>198</v>
      </c>
      <c r="BT902" t="s">
        <v>198</v>
      </c>
      <c r="BU902" t="s">
        <v>182</v>
      </c>
      <c r="BV902" t="s">
        <v>198</v>
      </c>
      <c r="BW902" t="s">
        <v>198</v>
      </c>
      <c r="BX902" t="s">
        <v>199</v>
      </c>
      <c r="BY902" t="s">
        <v>198</v>
      </c>
      <c r="BZ902" t="s">
        <v>199</v>
      </c>
      <c r="CA902" t="s">
        <v>199</v>
      </c>
      <c r="CB902" t="s">
        <v>12275</v>
      </c>
      <c r="CC902" t="s">
        <v>201</v>
      </c>
      <c r="CD902" t="s">
        <v>202</v>
      </c>
      <c r="CE902" t="s">
        <v>12276</v>
      </c>
      <c r="CF902" t="s">
        <v>1029</v>
      </c>
      <c r="CG902" t="s">
        <v>177</v>
      </c>
      <c r="CH902" t="s">
        <v>1030</v>
      </c>
      <c r="CI902" t="s">
        <v>12277</v>
      </c>
      <c r="CS902" t="s">
        <v>198</v>
      </c>
      <c r="DC902" t="s">
        <v>198</v>
      </c>
      <c r="DM902" t="s">
        <v>198</v>
      </c>
      <c r="DW902" t="s">
        <v>198</v>
      </c>
      <c r="EG902" t="s">
        <v>198</v>
      </c>
      <c r="EQ902" t="s">
        <v>198</v>
      </c>
      <c r="FA902" t="s">
        <v>198</v>
      </c>
      <c r="FK902" t="s">
        <v>198</v>
      </c>
      <c r="FU902" t="s">
        <v>198</v>
      </c>
    </row>
    <row r="903" spans="1:177">
      <c r="A903" s="1" t="str">
        <f>HYPERLINK("http://digipan.lumentumllc.com/apps/getLink/index.php?t=PropLink&amp;p=5248410","PL")</f>
        <v>PL</v>
      </c>
      <c r="B903" s="1" t="str">
        <f>HYPERLINK("http://digipan.lumentumllc.com/apps/getLink/index.php?t=TaxLink&amp;p=5248410","TL")</f>
        <v>TL</v>
      </c>
      <c r="C903" s="1" t="str">
        <f>HYPERLINK("http://digipan.lumentumllc.com/apps/getMap/index.php?p=5248410","Map")</f>
        <v>Map</v>
      </c>
      <c r="E903" t="s">
        <v>177</v>
      </c>
      <c r="F903" t="s">
        <v>178</v>
      </c>
      <c r="L903" t="s">
        <v>12278</v>
      </c>
      <c r="N903" t="s">
        <v>12278</v>
      </c>
      <c r="O903" t="s">
        <v>12278</v>
      </c>
      <c r="P903" t="s">
        <v>12279</v>
      </c>
      <c r="Q903" t="s">
        <v>12278</v>
      </c>
      <c r="V903">
        <v>1046</v>
      </c>
      <c r="W903">
        <v>4</v>
      </c>
      <c r="X903">
        <v>2017</v>
      </c>
      <c r="Y903">
        <v>2018</v>
      </c>
      <c r="Z903">
        <v>613.62</v>
      </c>
      <c r="AB903" t="s">
        <v>181</v>
      </c>
      <c r="AC903" t="s">
        <v>182</v>
      </c>
      <c r="AD903" t="s">
        <v>183</v>
      </c>
      <c r="AE903">
        <v>1</v>
      </c>
      <c r="AF903">
        <v>5</v>
      </c>
      <c r="AG903" t="s">
        <v>951</v>
      </c>
      <c r="AH903">
        <v>80</v>
      </c>
      <c r="AI903">
        <v>608.26</v>
      </c>
      <c r="AJ903">
        <v>30.41</v>
      </c>
      <c r="AK903">
        <v>638.66999999999996</v>
      </c>
      <c r="AL903">
        <v>85635</v>
      </c>
      <c r="AM903">
        <v>40480</v>
      </c>
      <c r="AN903">
        <v>45155</v>
      </c>
      <c r="AO903">
        <v>537</v>
      </c>
      <c r="AP903">
        <v>2016</v>
      </c>
      <c r="AQ903">
        <v>0.72</v>
      </c>
      <c r="AR903">
        <v>0.75</v>
      </c>
      <c r="AS903" t="s">
        <v>12280</v>
      </c>
      <c r="AT903" t="s">
        <v>3747</v>
      </c>
      <c r="AU903" t="s">
        <v>177</v>
      </c>
      <c r="AV903" t="s">
        <v>1030</v>
      </c>
      <c r="AW903" t="s">
        <v>202</v>
      </c>
      <c r="AX903">
        <v>2</v>
      </c>
      <c r="AY903" t="s">
        <v>188</v>
      </c>
      <c r="AZ903" t="s">
        <v>189</v>
      </c>
      <c r="BA903" t="s">
        <v>190</v>
      </c>
      <c r="BB903" t="s">
        <v>191</v>
      </c>
      <c r="BC903" t="s">
        <v>182</v>
      </c>
      <c r="BD903" t="s">
        <v>182</v>
      </c>
      <c r="BE903" t="s">
        <v>12281</v>
      </c>
      <c r="BF903">
        <v>1</v>
      </c>
      <c r="BG903">
        <v>1</v>
      </c>
      <c r="BH903">
        <v>1994</v>
      </c>
      <c r="BI903" t="s">
        <v>12282</v>
      </c>
      <c r="BJ903" t="s">
        <v>194</v>
      </c>
      <c r="BK903" t="s">
        <v>195</v>
      </c>
      <c r="BL903" t="s">
        <v>199</v>
      </c>
      <c r="BM903" t="s">
        <v>1041</v>
      </c>
      <c r="BN903" t="s">
        <v>182</v>
      </c>
      <c r="BO903" t="s">
        <v>198</v>
      </c>
      <c r="BP903" t="s">
        <v>198</v>
      </c>
      <c r="BQ903" t="s">
        <v>198</v>
      </c>
      <c r="BR903" t="s">
        <v>198</v>
      </c>
      <c r="BS903" t="s">
        <v>198</v>
      </c>
      <c r="BT903" t="s">
        <v>198</v>
      </c>
      <c r="BU903" t="s">
        <v>182</v>
      </c>
      <c r="BV903" t="s">
        <v>198</v>
      </c>
      <c r="BW903" t="s">
        <v>198</v>
      </c>
      <c r="BX903" t="s">
        <v>199</v>
      </c>
      <c r="BY903" t="s">
        <v>198</v>
      </c>
      <c r="BZ903" t="s">
        <v>199</v>
      </c>
      <c r="CA903" t="s">
        <v>199</v>
      </c>
      <c r="CB903" t="s">
        <v>12283</v>
      </c>
      <c r="CC903" t="s">
        <v>201</v>
      </c>
      <c r="CD903" t="s">
        <v>182</v>
      </c>
      <c r="CE903" t="s">
        <v>12284</v>
      </c>
      <c r="CF903" t="s">
        <v>1029</v>
      </c>
      <c r="CG903" t="s">
        <v>177</v>
      </c>
      <c r="CH903" t="s">
        <v>1030</v>
      </c>
      <c r="CI903" t="s">
        <v>12285</v>
      </c>
      <c r="CJ903" t="s">
        <v>8607</v>
      </c>
      <c r="CK903" t="s">
        <v>232</v>
      </c>
      <c r="CL903" t="s">
        <v>233</v>
      </c>
      <c r="CM903" t="s">
        <v>12286</v>
      </c>
      <c r="CN903" t="s">
        <v>235</v>
      </c>
      <c r="CO903" t="s">
        <v>183</v>
      </c>
      <c r="CP903" t="s">
        <v>266</v>
      </c>
      <c r="CS903" t="s">
        <v>198</v>
      </c>
      <c r="CT903" t="s">
        <v>12021</v>
      </c>
      <c r="CU903" t="s">
        <v>273</v>
      </c>
      <c r="CV903" t="s">
        <v>274</v>
      </c>
      <c r="CW903" t="s">
        <v>12287</v>
      </c>
      <c r="CX903" t="s">
        <v>235</v>
      </c>
      <c r="CY903" t="s">
        <v>183</v>
      </c>
      <c r="CZ903" t="s">
        <v>211</v>
      </c>
      <c r="DA903" t="s">
        <v>296</v>
      </c>
      <c r="DC903" t="s">
        <v>5199</v>
      </c>
      <c r="DD903" t="s">
        <v>12288</v>
      </c>
      <c r="DE903" t="s">
        <v>302</v>
      </c>
      <c r="DF903" t="s">
        <v>303</v>
      </c>
      <c r="DG903" t="s">
        <v>12289</v>
      </c>
      <c r="DH903" t="s">
        <v>796</v>
      </c>
      <c r="DI903" t="s">
        <v>183</v>
      </c>
      <c r="DJ903" t="s">
        <v>211</v>
      </c>
      <c r="DK903" t="s">
        <v>427</v>
      </c>
      <c r="DM903" t="s">
        <v>10909</v>
      </c>
      <c r="DN903" t="s">
        <v>12290</v>
      </c>
      <c r="DO903" t="s">
        <v>238</v>
      </c>
      <c r="DP903" t="s">
        <v>239</v>
      </c>
      <c r="DQ903" t="s">
        <v>12291</v>
      </c>
      <c r="DR903" t="s">
        <v>278</v>
      </c>
      <c r="DS903" t="s">
        <v>183</v>
      </c>
      <c r="DT903" t="s">
        <v>211</v>
      </c>
      <c r="DU903" t="s">
        <v>345</v>
      </c>
      <c r="DW903" t="s">
        <v>12292</v>
      </c>
      <c r="DX903" t="s">
        <v>12293</v>
      </c>
      <c r="DY903" t="s">
        <v>346</v>
      </c>
      <c r="DZ903" t="s">
        <v>347</v>
      </c>
      <c r="EA903" t="s">
        <v>12294</v>
      </c>
      <c r="EB903" t="s">
        <v>1551</v>
      </c>
      <c r="EC903" t="s">
        <v>183</v>
      </c>
      <c r="ED903" t="s">
        <v>211</v>
      </c>
      <c r="EE903" t="s">
        <v>298</v>
      </c>
      <c r="EG903" t="s">
        <v>1622</v>
      </c>
      <c r="EH903" t="s">
        <v>12295</v>
      </c>
      <c r="EI903" t="s">
        <v>207</v>
      </c>
      <c r="EJ903" t="s">
        <v>208</v>
      </c>
      <c r="EK903" t="s">
        <v>12296</v>
      </c>
      <c r="EL903" t="s">
        <v>1966</v>
      </c>
      <c r="EM903" t="s">
        <v>183</v>
      </c>
      <c r="EN903" t="s">
        <v>211</v>
      </c>
      <c r="EO903" t="s">
        <v>525</v>
      </c>
      <c r="EQ903" t="s">
        <v>1622</v>
      </c>
      <c r="FA903" t="s">
        <v>198</v>
      </c>
      <c r="FK903" t="s">
        <v>198</v>
      </c>
      <c r="FU903" t="s">
        <v>198</v>
      </c>
    </row>
    <row r="904" spans="1:177">
      <c r="A904" s="1" t="str">
        <f>HYPERLINK("http://digipan.lumentumllc.com/apps/getLink/index.php?t=PropLink&amp;p=5248412","PL")</f>
        <v>PL</v>
      </c>
      <c r="B904" s="1" t="str">
        <f>HYPERLINK("http://digipan.lumentumllc.com/apps/getLink/index.php?t=TaxLink&amp;p=5248412","TL")</f>
        <v>TL</v>
      </c>
      <c r="C904" s="1" t="str">
        <f>HYPERLINK("http://digipan.lumentumllc.com/apps/getMap/index.php?p=5248412","Map")</f>
        <v>Map</v>
      </c>
      <c r="E904" t="s">
        <v>177</v>
      </c>
      <c r="F904" t="s">
        <v>178</v>
      </c>
      <c r="L904" t="s">
        <v>12297</v>
      </c>
      <c r="N904" t="s">
        <v>12297</v>
      </c>
      <c r="O904" t="s">
        <v>12297</v>
      </c>
      <c r="P904" t="s">
        <v>12298</v>
      </c>
      <c r="Q904" t="s">
        <v>12297</v>
      </c>
      <c r="V904">
        <v>1047</v>
      </c>
      <c r="W904">
        <v>4</v>
      </c>
      <c r="X904">
        <v>2017</v>
      </c>
      <c r="Y904">
        <v>2018</v>
      </c>
      <c r="Z904">
        <v>422.67</v>
      </c>
      <c r="AB904" t="s">
        <v>181</v>
      </c>
      <c r="AC904" t="s">
        <v>202</v>
      </c>
      <c r="AD904" t="s">
        <v>1037</v>
      </c>
      <c r="AE904">
        <v>1</v>
      </c>
      <c r="AF904">
        <v>7</v>
      </c>
      <c r="AG904" t="s">
        <v>322</v>
      </c>
      <c r="AH904">
        <v>83</v>
      </c>
      <c r="AI904">
        <v>332.18</v>
      </c>
      <c r="AJ904">
        <v>16.61</v>
      </c>
      <c r="AK904">
        <v>348.79</v>
      </c>
      <c r="AL904">
        <v>23861</v>
      </c>
      <c r="AM904">
        <v>15000</v>
      </c>
      <c r="AN904">
        <v>8861</v>
      </c>
      <c r="AO904">
        <v>1302</v>
      </c>
      <c r="AP904">
        <v>2016</v>
      </c>
      <c r="AQ904">
        <v>1.77</v>
      </c>
      <c r="AR904">
        <v>1.46</v>
      </c>
      <c r="AS904" t="s">
        <v>12299</v>
      </c>
      <c r="AT904" t="s">
        <v>3747</v>
      </c>
      <c r="AU904" t="s">
        <v>177</v>
      </c>
      <c r="AV904" t="s">
        <v>1030</v>
      </c>
      <c r="AW904" t="s">
        <v>182</v>
      </c>
      <c r="AX904">
        <v>0</v>
      </c>
      <c r="AY904" t="s">
        <v>312</v>
      </c>
      <c r="AZ904" t="s">
        <v>199</v>
      </c>
      <c r="BA904" t="s">
        <v>313</v>
      </c>
      <c r="BB904" t="s">
        <v>191</v>
      </c>
      <c r="BC904" t="s">
        <v>182</v>
      </c>
      <c r="BD904" t="s">
        <v>182</v>
      </c>
      <c r="BE904" t="s">
        <v>383</v>
      </c>
      <c r="BF904">
        <v>1</v>
      </c>
      <c r="BG904">
        <v>0</v>
      </c>
      <c r="BH904">
        <v>2009</v>
      </c>
      <c r="BI904" t="s">
        <v>199</v>
      </c>
      <c r="BJ904" t="s">
        <v>248</v>
      </c>
      <c r="BK904" t="s">
        <v>2350</v>
      </c>
      <c r="BL904" t="s">
        <v>199</v>
      </c>
      <c r="BM904" t="s">
        <v>1825</v>
      </c>
      <c r="BN904" t="s">
        <v>182</v>
      </c>
      <c r="BO904" t="s">
        <v>198</v>
      </c>
      <c r="BP904" t="s">
        <v>198</v>
      </c>
      <c r="BQ904" t="s">
        <v>198</v>
      </c>
      <c r="BR904" t="s">
        <v>198</v>
      </c>
      <c r="BS904" t="s">
        <v>198</v>
      </c>
      <c r="BT904" t="s">
        <v>198</v>
      </c>
      <c r="BU904" t="s">
        <v>182</v>
      </c>
      <c r="BV904" t="s">
        <v>198</v>
      </c>
      <c r="BW904" t="s">
        <v>198</v>
      </c>
      <c r="BX904" t="s">
        <v>199</v>
      </c>
      <c r="BY904" t="s">
        <v>198</v>
      </c>
      <c r="BZ904" t="s">
        <v>199</v>
      </c>
      <c r="CA904" t="s">
        <v>199</v>
      </c>
      <c r="CB904" t="s">
        <v>12300</v>
      </c>
      <c r="CC904" t="s">
        <v>201</v>
      </c>
      <c r="CD904" t="s">
        <v>182</v>
      </c>
      <c r="CE904" t="s">
        <v>12301</v>
      </c>
      <c r="CF904" t="s">
        <v>1029</v>
      </c>
      <c r="CG904" t="s">
        <v>177</v>
      </c>
      <c r="CH904" t="s">
        <v>1030</v>
      </c>
      <c r="CI904" t="s">
        <v>12302</v>
      </c>
      <c r="CJ904" t="s">
        <v>8631</v>
      </c>
      <c r="CK904" t="s">
        <v>232</v>
      </c>
      <c r="CL904" t="s">
        <v>233</v>
      </c>
      <c r="CM904" t="s">
        <v>12303</v>
      </c>
      <c r="CN904" t="s">
        <v>235</v>
      </c>
      <c r="CO904" t="s">
        <v>183</v>
      </c>
      <c r="CP904" t="s">
        <v>266</v>
      </c>
      <c r="CS904" t="s">
        <v>198</v>
      </c>
      <c r="CT904" t="s">
        <v>9018</v>
      </c>
      <c r="CU904" t="s">
        <v>292</v>
      </c>
      <c r="CV904" t="s">
        <v>293</v>
      </c>
      <c r="CW904" t="s">
        <v>12304</v>
      </c>
      <c r="CX904" t="s">
        <v>331</v>
      </c>
      <c r="CY904" t="s">
        <v>183</v>
      </c>
      <c r="CZ904" t="s">
        <v>211</v>
      </c>
      <c r="DA904" t="s">
        <v>298</v>
      </c>
      <c r="DC904" t="s">
        <v>1066</v>
      </c>
      <c r="DD904" t="s">
        <v>11929</v>
      </c>
      <c r="DE904" t="s">
        <v>267</v>
      </c>
      <c r="DF904" t="s">
        <v>268</v>
      </c>
      <c r="DG904" t="s">
        <v>12305</v>
      </c>
      <c r="DH904" t="s">
        <v>331</v>
      </c>
      <c r="DI904" t="s">
        <v>183</v>
      </c>
      <c r="DJ904" t="s">
        <v>211</v>
      </c>
      <c r="DK904" t="s">
        <v>298</v>
      </c>
      <c r="DM904" t="s">
        <v>1611</v>
      </c>
      <c r="DN904" t="s">
        <v>9704</v>
      </c>
      <c r="DO904" t="s">
        <v>273</v>
      </c>
      <c r="DP904" t="s">
        <v>274</v>
      </c>
      <c r="DQ904" t="s">
        <v>12306</v>
      </c>
      <c r="DR904" t="s">
        <v>1491</v>
      </c>
      <c r="DS904" t="s">
        <v>183</v>
      </c>
      <c r="DT904" t="s">
        <v>211</v>
      </c>
      <c r="DU904" t="s">
        <v>298</v>
      </c>
      <c r="DW904" t="s">
        <v>2749</v>
      </c>
      <c r="DX904" t="s">
        <v>10114</v>
      </c>
      <c r="DY904" t="s">
        <v>302</v>
      </c>
      <c r="DZ904" t="s">
        <v>303</v>
      </c>
      <c r="EA904" t="s">
        <v>12307</v>
      </c>
      <c r="EB904" t="s">
        <v>440</v>
      </c>
      <c r="EC904" t="s">
        <v>183</v>
      </c>
      <c r="ED904" t="s">
        <v>211</v>
      </c>
      <c r="EE904" t="s">
        <v>298</v>
      </c>
      <c r="EG904" t="s">
        <v>464</v>
      </c>
      <c r="EH904" t="s">
        <v>12308</v>
      </c>
      <c r="EI904" t="s">
        <v>346</v>
      </c>
      <c r="EJ904" t="s">
        <v>347</v>
      </c>
      <c r="EK904" t="s">
        <v>12309</v>
      </c>
      <c r="EL904" t="s">
        <v>2515</v>
      </c>
      <c r="EM904" t="s">
        <v>5</v>
      </c>
      <c r="EN904" t="s">
        <v>211</v>
      </c>
      <c r="EO904" t="s">
        <v>487</v>
      </c>
      <c r="EP904" t="s">
        <v>271</v>
      </c>
      <c r="EQ904" t="s">
        <v>12310</v>
      </c>
      <c r="ER904" t="s">
        <v>12308</v>
      </c>
      <c r="ES904" t="s">
        <v>346</v>
      </c>
      <c r="ET904" t="s">
        <v>347</v>
      </c>
      <c r="EU904" t="s">
        <v>12309</v>
      </c>
      <c r="EV904" t="s">
        <v>2515</v>
      </c>
      <c r="EW904" t="s">
        <v>183</v>
      </c>
      <c r="EX904" t="s">
        <v>211</v>
      </c>
      <c r="EY904" t="s">
        <v>270</v>
      </c>
      <c r="EZ904" t="s">
        <v>271</v>
      </c>
      <c r="FA904" t="s">
        <v>2786</v>
      </c>
      <c r="FB904" t="s">
        <v>12311</v>
      </c>
      <c r="FC904" t="s">
        <v>207</v>
      </c>
      <c r="FD904" t="s">
        <v>208</v>
      </c>
      <c r="FE904" t="s">
        <v>8914</v>
      </c>
      <c r="FF904" t="s">
        <v>2515</v>
      </c>
      <c r="FG904" t="s">
        <v>183</v>
      </c>
      <c r="FH904" t="s">
        <v>211</v>
      </c>
      <c r="FJ904" t="s">
        <v>271</v>
      </c>
      <c r="FK904" t="s">
        <v>198</v>
      </c>
      <c r="FU904" t="s">
        <v>198</v>
      </c>
    </row>
    <row r="905" spans="1:177">
      <c r="A905" s="1" t="str">
        <f>HYPERLINK("http://digipan.lumentumllc.com/apps/getLink/index.php?t=PropLink&amp;p=6129588","PL")</f>
        <v>PL</v>
      </c>
      <c r="B905" s="1" t="str">
        <f>HYPERLINK("http://digipan.lumentumllc.com/apps/getLink/index.php?t=TaxLink&amp;p=6129588","TL")</f>
        <v>TL</v>
      </c>
      <c r="C905" s="1" t="str">
        <f>HYPERLINK("http://digipan.lumentumllc.com/apps/getMap/index.php?p=6129588","Map")</f>
        <v>Map</v>
      </c>
      <c r="E905" t="s">
        <v>177</v>
      </c>
      <c r="F905" t="s">
        <v>178</v>
      </c>
      <c r="L905" t="s">
        <v>12312</v>
      </c>
      <c r="N905" t="s">
        <v>12312</v>
      </c>
      <c r="O905" t="s">
        <v>12312</v>
      </c>
      <c r="P905" t="s">
        <v>12313</v>
      </c>
      <c r="Q905" t="s">
        <v>12312</v>
      </c>
      <c r="V905">
        <v>1048</v>
      </c>
      <c r="W905">
        <v>4</v>
      </c>
      <c r="X905">
        <v>2017</v>
      </c>
      <c r="Y905">
        <v>2018</v>
      </c>
      <c r="Z905">
        <v>365.29</v>
      </c>
      <c r="AB905" t="s">
        <v>181</v>
      </c>
      <c r="AC905" t="s">
        <v>182</v>
      </c>
      <c r="AD905" t="s">
        <v>183</v>
      </c>
      <c r="AE905">
        <v>1</v>
      </c>
      <c r="AF905">
        <v>1</v>
      </c>
      <c r="AG905" t="s">
        <v>2222</v>
      </c>
      <c r="AH905">
        <v>50</v>
      </c>
      <c r="AI905">
        <v>309.23</v>
      </c>
      <c r="AJ905">
        <v>15.46</v>
      </c>
      <c r="AK905">
        <v>324.69</v>
      </c>
      <c r="AL905">
        <v>22500</v>
      </c>
      <c r="AM905">
        <v>15000</v>
      </c>
      <c r="AN905">
        <v>7500</v>
      </c>
      <c r="AO905">
        <v>261</v>
      </c>
      <c r="AP905">
        <v>2016</v>
      </c>
      <c r="AQ905">
        <v>1.62</v>
      </c>
      <c r="AR905">
        <v>1.44</v>
      </c>
      <c r="AS905" t="s">
        <v>12314</v>
      </c>
      <c r="AT905" t="s">
        <v>3747</v>
      </c>
      <c r="AU905" t="s">
        <v>177</v>
      </c>
      <c r="AV905" t="s">
        <v>1030</v>
      </c>
      <c r="AW905" t="s">
        <v>182</v>
      </c>
      <c r="AX905">
        <v>0</v>
      </c>
      <c r="AY905" t="s">
        <v>312</v>
      </c>
      <c r="AZ905" t="s">
        <v>199</v>
      </c>
      <c r="BA905" t="s">
        <v>313</v>
      </c>
      <c r="BB905" t="s">
        <v>191</v>
      </c>
      <c r="BC905" t="s">
        <v>182</v>
      </c>
      <c r="BD905" t="s">
        <v>182</v>
      </c>
      <c r="BE905" t="s">
        <v>383</v>
      </c>
      <c r="BF905">
        <v>1</v>
      </c>
      <c r="BG905">
        <v>0</v>
      </c>
      <c r="BH905">
        <v>0</v>
      </c>
      <c r="BI905" t="s">
        <v>199</v>
      </c>
      <c r="BJ905" t="s">
        <v>248</v>
      </c>
      <c r="BL905" t="s">
        <v>199</v>
      </c>
      <c r="BM905" t="s">
        <v>1825</v>
      </c>
      <c r="BN905" t="s">
        <v>182</v>
      </c>
      <c r="BO905" t="s">
        <v>12315</v>
      </c>
      <c r="BP905" t="s">
        <v>12316</v>
      </c>
      <c r="BS905" t="s">
        <v>12317</v>
      </c>
      <c r="BT905" t="s">
        <v>198</v>
      </c>
      <c r="BU905" t="s">
        <v>182</v>
      </c>
      <c r="BV905" t="s">
        <v>198</v>
      </c>
      <c r="BW905" t="s">
        <v>198</v>
      </c>
      <c r="BX905" t="s">
        <v>199</v>
      </c>
      <c r="BY905" t="s">
        <v>198</v>
      </c>
      <c r="BZ905" t="s">
        <v>199</v>
      </c>
      <c r="CA905" t="s">
        <v>199</v>
      </c>
      <c r="CB905" t="s">
        <v>12318</v>
      </c>
      <c r="CC905" t="s">
        <v>201</v>
      </c>
      <c r="CD905" t="s">
        <v>182</v>
      </c>
      <c r="CE905" t="s">
        <v>12319</v>
      </c>
      <c r="CF905" t="s">
        <v>12320</v>
      </c>
      <c r="CG905" t="s">
        <v>5791</v>
      </c>
      <c r="CH905" t="s">
        <v>12321</v>
      </c>
      <c r="CI905" t="s">
        <v>12322</v>
      </c>
      <c r="CJ905" t="s">
        <v>6018</v>
      </c>
      <c r="CK905" t="s">
        <v>232</v>
      </c>
      <c r="CL905" t="s">
        <v>233</v>
      </c>
      <c r="CM905" t="s">
        <v>12323</v>
      </c>
      <c r="CN905" t="s">
        <v>235</v>
      </c>
      <c r="CO905" t="s">
        <v>183</v>
      </c>
      <c r="CP905" t="s">
        <v>266</v>
      </c>
      <c r="CS905" t="s">
        <v>198</v>
      </c>
      <c r="CT905" t="s">
        <v>12072</v>
      </c>
      <c r="CU905" t="s">
        <v>292</v>
      </c>
      <c r="CV905" t="s">
        <v>293</v>
      </c>
      <c r="CW905" t="s">
        <v>12324</v>
      </c>
      <c r="CX905" t="s">
        <v>387</v>
      </c>
      <c r="CY905" t="s">
        <v>183</v>
      </c>
      <c r="CZ905" t="s">
        <v>211</v>
      </c>
      <c r="DA905" t="s">
        <v>206</v>
      </c>
      <c r="DC905" t="s">
        <v>12325</v>
      </c>
      <c r="DM905" t="s">
        <v>198</v>
      </c>
      <c r="DW905" t="s">
        <v>198</v>
      </c>
      <c r="EG905" t="s">
        <v>198</v>
      </c>
      <c r="EQ905" t="s">
        <v>198</v>
      </c>
      <c r="FA905" t="s">
        <v>198</v>
      </c>
      <c r="FK905" t="s">
        <v>198</v>
      </c>
      <c r="FU905" t="s">
        <v>198</v>
      </c>
    </row>
    <row r="906" spans="1:177">
      <c r="A906" s="1" t="str">
        <f>HYPERLINK("http://digipan.lumentumllc.com/apps/getLink/index.php?t=PropLink&amp;p=5248414","PL")</f>
        <v>PL</v>
      </c>
      <c r="B906" s="1" t="str">
        <f>HYPERLINK("http://digipan.lumentumllc.com/apps/getLink/index.php?t=TaxLink&amp;p=5248414","TL")</f>
        <v>TL</v>
      </c>
      <c r="C906" s="1" t="str">
        <f>HYPERLINK("http://digipan.lumentumllc.com/apps/getMap/index.php?p=5248414","Map")</f>
        <v>Map</v>
      </c>
      <c r="E906" t="s">
        <v>177</v>
      </c>
      <c r="F906" t="s">
        <v>178</v>
      </c>
      <c r="L906" t="s">
        <v>12326</v>
      </c>
      <c r="N906" t="s">
        <v>12326</v>
      </c>
      <c r="O906" t="s">
        <v>12326</v>
      </c>
      <c r="P906" t="s">
        <v>12327</v>
      </c>
      <c r="Q906" t="s">
        <v>12326</v>
      </c>
      <c r="V906">
        <v>1049</v>
      </c>
      <c r="W906">
        <v>4</v>
      </c>
      <c r="X906">
        <v>2017</v>
      </c>
      <c r="Y906">
        <v>2018</v>
      </c>
      <c r="Z906">
        <v>2402.9499999999998</v>
      </c>
      <c r="AB906" t="s">
        <v>181</v>
      </c>
      <c r="AC906" t="s">
        <v>182</v>
      </c>
      <c r="AD906" t="s">
        <v>183</v>
      </c>
      <c r="AE906">
        <v>1</v>
      </c>
      <c r="AF906">
        <v>4</v>
      </c>
      <c r="AG906" t="s">
        <v>257</v>
      </c>
      <c r="AH906">
        <v>75</v>
      </c>
      <c r="AI906">
        <v>2376.61</v>
      </c>
      <c r="AJ906">
        <v>118.83</v>
      </c>
      <c r="AK906">
        <v>2495.44</v>
      </c>
      <c r="AL906">
        <v>215232</v>
      </c>
      <c r="AM906">
        <v>25920</v>
      </c>
      <c r="AN906">
        <v>189312</v>
      </c>
      <c r="AO906">
        <v>2173</v>
      </c>
      <c r="AP906">
        <v>2016</v>
      </c>
      <c r="AQ906">
        <v>1.1200000000000001</v>
      </c>
      <c r="AR906">
        <v>1.1599999999999999</v>
      </c>
      <c r="AS906" t="s">
        <v>12328</v>
      </c>
      <c r="AT906" t="s">
        <v>3747</v>
      </c>
      <c r="AU906" t="s">
        <v>177</v>
      </c>
      <c r="AV906" t="s">
        <v>1030</v>
      </c>
      <c r="AW906" t="s">
        <v>202</v>
      </c>
      <c r="AX906">
        <v>1</v>
      </c>
      <c r="AY906" t="s">
        <v>188</v>
      </c>
      <c r="AZ906" t="s">
        <v>206</v>
      </c>
      <c r="BA906" t="s">
        <v>355</v>
      </c>
      <c r="BB906" t="s">
        <v>191</v>
      </c>
      <c r="BC906" t="s">
        <v>182</v>
      </c>
      <c r="BD906" t="s">
        <v>182</v>
      </c>
      <c r="BE906" t="s">
        <v>12329</v>
      </c>
      <c r="BF906">
        <v>2</v>
      </c>
      <c r="BG906">
        <v>2</v>
      </c>
      <c r="BH906">
        <v>1983</v>
      </c>
      <c r="BI906" t="s">
        <v>12330</v>
      </c>
      <c r="BJ906" t="s">
        <v>194</v>
      </c>
      <c r="BK906" t="s">
        <v>195</v>
      </c>
      <c r="BL906" t="s">
        <v>8387</v>
      </c>
      <c r="BM906" t="s">
        <v>2269</v>
      </c>
      <c r="BN906" t="s">
        <v>182</v>
      </c>
      <c r="BO906" t="s">
        <v>1204</v>
      </c>
      <c r="BP906" t="s">
        <v>12331</v>
      </c>
      <c r="BQ906" t="s">
        <v>800</v>
      </c>
      <c r="BR906" t="s">
        <v>563</v>
      </c>
      <c r="BS906" t="s">
        <v>198</v>
      </c>
      <c r="BT906" t="s">
        <v>12332</v>
      </c>
      <c r="BU906" t="s">
        <v>182</v>
      </c>
      <c r="BV906" t="s">
        <v>198</v>
      </c>
      <c r="BW906" t="s">
        <v>198</v>
      </c>
      <c r="BX906" t="s">
        <v>199</v>
      </c>
      <c r="BY906" t="s">
        <v>198</v>
      </c>
      <c r="BZ906" t="s">
        <v>199</v>
      </c>
      <c r="CA906" t="s">
        <v>199</v>
      </c>
      <c r="CB906" t="s">
        <v>12333</v>
      </c>
      <c r="CC906" t="s">
        <v>201</v>
      </c>
      <c r="CD906" t="s">
        <v>202</v>
      </c>
      <c r="CE906" t="s">
        <v>12334</v>
      </c>
      <c r="CF906" t="s">
        <v>1029</v>
      </c>
      <c r="CG906" t="s">
        <v>177</v>
      </c>
      <c r="CH906" t="s">
        <v>1030</v>
      </c>
      <c r="CI906" t="s">
        <v>12335</v>
      </c>
      <c r="CJ906" t="s">
        <v>11293</v>
      </c>
      <c r="CK906" t="s">
        <v>232</v>
      </c>
      <c r="CL906" t="s">
        <v>233</v>
      </c>
      <c r="CM906" t="s">
        <v>12336</v>
      </c>
      <c r="CN906" t="s">
        <v>235</v>
      </c>
      <c r="CO906" t="s">
        <v>183</v>
      </c>
      <c r="CP906" t="s">
        <v>266</v>
      </c>
      <c r="CS906" t="s">
        <v>198</v>
      </c>
      <c r="CT906" t="s">
        <v>6210</v>
      </c>
      <c r="CU906" t="s">
        <v>267</v>
      </c>
      <c r="CV906" t="s">
        <v>268</v>
      </c>
      <c r="CW906" t="s">
        <v>12337</v>
      </c>
      <c r="CX906" t="s">
        <v>235</v>
      </c>
      <c r="CY906" t="s">
        <v>183</v>
      </c>
      <c r="CZ906" t="s">
        <v>211</v>
      </c>
      <c r="DA906" t="s">
        <v>270</v>
      </c>
      <c r="DC906" t="s">
        <v>4105</v>
      </c>
      <c r="DD906" t="s">
        <v>12338</v>
      </c>
      <c r="DE906" t="s">
        <v>273</v>
      </c>
      <c r="DF906" t="s">
        <v>274</v>
      </c>
      <c r="DG906" t="s">
        <v>12339</v>
      </c>
      <c r="DH906" t="s">
        <v>235</v>
      </c>
      <c r="DI906" t="s">
        <v>183</v>
      </c>
      <c r="DJ906" t="s">
        <v>211</v>
      </c>
      <c r="DK906" t="s">
        <v>342</v>
      </c>
      <c r="DM906" t="s">
        <v>8604</v>
      </c>
      <c r="DN906" t="s">
        <v>12340</v>
      </c>
      <c r="DO906" t="s">
        <v>346</v>
      </c>
      <c r="DP906" t="s">
        <v>347</v>
      </c>
      <c r="DQ906" t="s">
        <v>12341</v>
      </c>
      <c r="DR906" t="s">
        <v>235</v>
      </c>
      <c r="DS906" t="s">
        <v>183</v>
      </c>
      <c r="DT906" t="s">
        <v>211</v>
      </c>
      <c r="DU906" t="s">
        <v>199</v>
      </c>
      <c r="DW906" t="s">
        <v>1504</v>
      </c>
      <c r="DX906" t="s">
        <v>12342</v>
      </c>
      <c r="DY906" t="s">
        <v>207</v>
      </c>
      <c r="DZ906" t="s">
        <v>208</v>
      </c>
      <c r="EA906" t="s">
        <v>12343</v>
      </c>
      <c r="EB906" t="s">
        <v>235</v>
      </c>
      <c r="EC906" t="s">
        <v>183</v>
      </c>
      <c r="ED906" t="s">
        <v>211</v>
      </c>
      <c r="EE906" t="s">
        <v>199</v>
      </c>
      <c r="EG906" t="s">
        <v>7782</v>
      </c>
      <c r="EQ906" t="s">
        <v>198</v>
      </c>
      <c r="FA906" t="s">
        <v>198</v>
      </c>
      <c r="FK906" t="s">
        <v>198</v>
      </c>
      <c r="FU906" t="s">
        <v>198</v>
      </c>
    </row>
    <row r="907" spans="1:177">
      <c r="A907" s="1" t="str">
        <f>HYPERLINK("http://digipan.lumentumllc.com/apps/getLink/index.php?t=PropLink&amp;p=15762133","PL")</f>
        <v>PL</v>
      </c>
      <c r="B907" s="1" t="str">
        <f>HYPERLINK("http://digipan.lumentumllc.com/apps/getLink/index.php?t=TaxLink&amp;p=15762133","TL")</f>
        <v>TL</v>
      </c>
      <c r="C907" s="1" t="str">
        <f>HYPERLINK("http://digipan.lumentumllc.com/apps/getMap/index.php?p=15762133","Map")</f>
        <v>Map</v>
      </c>
      <c r="E907" t="s">
        <v>177</v>
      </c>
      <c r="F907" t="s">
        <v>178</v>
      </c>
      <c r="L907" t="s">
        <v>12344</v>
      </c>
      <c r="N907" t="s">
        <v>12344</v>
      </c>
      <c r="O907" t="s">
        <v>12344</v>
      </c>
      <c r="Q907" t="s">
        <v>12344</v>
      </c>
      <c r="V907">
        <v>1050</v>
      </c>
      <c r="W907">
        <v>4</v>
      </c>
      <c r="X907">
        <v>2017</v>
      </c>
      <c r="Y907">
        <v>2018</v>
      </c>
      <c r="Z907">
        <v>2552.29</v>
      </c>
      <c r="AB907" t="s">
        <v>181</v>
      </c>
      <c r="AC907" t="s">
        <v>182</v>
      </c>
      <c r="AD907" t="s">
        <v>183</v>
      </c>
      <c r="AE907">
        <v>1</v>
      </c>
      <c r="AF907">
        <v>0</v>
      </c>
      <c r="AG907" t="s">
        <v>1200</v>
      </c>
      <c r="AH907">
        <v>0</v>
      </c>
      <c r="AI907">
        <v>442.05</v>
      </c>
      <c r="AJ907">
        <v>22.1</v>
      </c>
      <c r="AK907">
        <v>464.15</v>
      </c>
      <c r="AL907">
        <v>153933</v>
      </c>
      <c r="AM907">
        <v>28000</v>
      </c>
      <c r="AN907">
        <v>125933</v>
      </c>
      <c r="AO907">
        <v>384</v>
      </c>
      <c r="AP907">
        <v>2016</v>
      </c>
      <c r="AQ907">
        <v>1.66</v>
      </c>
      <c r="AR907">
        <v>0.3</v>
      </c>
      <c r="AS907" t="s">
        <v>12345</v>
      </c>
      <c r="AT907" t="s">
        <v>3747</v>
      </c>
      <c r="AU907" t="s">
        <v>177</v>
      </c>
      <c r="AV907" t="s">
        <v>1030</v>
      </c>
      <c r="AW907" t="s">
        <v>182</v>
      </c>
      <c r="AX907">
        <v>1</v>
      </c>
      <c r="AY907" t="s">
        <v>188</v>
      </c>
      <c r="AZ907" t="s">
        <v>206</v>
      </c>
      <c r="BA907" t="s">
        <v>355</v>
      </c>
      <c r="BB907" t="s">
        <v>191</v>
      </c>
      <c r="BC907" t="s">
        <v>182</v>
      </c>
      <c r="BD907" t="s">
        <v>182</v>
      </c>
      <c r="BE907" t="s">
        <v>12346</v>
      </c>
      <c r="BF907">
        <v>1</v>
      </c>
      <c r="BG907">
        <v>1</v>
      </c>
      <c r="BH907">
        <v>2016</v>
      </c>
      <c r="BI907" t="s">
        <v>12347</v>
      </c>
      <c r="BJ907" t="s">
        <v>315</v>
      </c>
      <c r="BK907" t="s">
        <v>195</v>
      </c>
      <c r="BL907" t="s">
        <v>12348</v>
      </c>
      <c r="BM907" t="s">
        <v>232</v>
      </c>
      <c r="BN907" t="s">
        <v>182</v>
      </c>
      <c r="BO907" t="s">
        <v>198</v>
      </c>
      <c r="BP907" t="s">
        <v>198</v>
      </c>
      <c r="BQ907" t="s">
        <v>198</v>
      </c>
      <c r="BR907" t="s">
        <v>198</v>
      </c>
      <c r="BS907" t="s">
        <v>198</v>
      </c>
      <c r="BT907" t="s">
        <v>198</v>
      </c>
      <c r="BU907" t="s">
        <v>182</v>
      </c>
      <c r="BV907" t="s">
        <v>198</v>
      </c>
      <c r="BW907" t="s">
        <v>198</v>
      </c>
      <c r="BX907" t="s">
        <v>199</v>
      </c>
      <c r="BY907" t="s">
        <v>198</v>
      </c>
      <c r="BZ907" t="s">
        <v>199</v>
      </c>
      <c r="CA907" t="s">
        <v>199</v>
      </c>
      <c r="CB907" t="s">
        <v>12349</v>
      </c>
      <c r="CC907" t="s">
        <v>201</v>
      </c>
      <c r="CD907" t="s">
        <v>202</v>
      </c>
      <c r="CE907" t="s">
        <v>12350</v>
      </c>
      <c r="CF907" t="s">
        <v>413</v>
      </c>
      <c r="CG907" t="s">
        <v>177</v>
      </c>
      <c r="CH907" t="s">
        <v>414</v>
      </c>
      <c r="CI907" t="s">
        <v>10240</v>
      </c>
      <c r="CJ907" t="s">
        <v>8975</v>
      </c>
      <c r="CK907" t="s">
        <v>232</v>
      </c>
      <c r="CL907" t="s">
        <v>233</v>
      </c>
      <c r="CM907" t="s">
        <v>5636</v>
      </c>
      <c r="CN907" t="s">
        <v>3342</v>
      </c>
      <c r="CO907" t="s">
        <v>183</v>
      </c>
      <c r="CP907" t="s">
        <v>266</v>
      </c>
      <c r="CS907" t="s">
        <v>198</v>
      </c>
      <c r="DC907" t="s">
        <v>198</v>
      </c>
      <c r="DM907" t="s">
        <v>198</v>
      </c>
      <c r="DW907" t="s">
        <v>198</v>
      </c>
      <c r="EG907" t="s">
        <v>198</v>
      </c>
      <c r="EQ907" t="s">
        <v>198</v>
      </c>
      <c r="FA907" t="s">
        <v>198</v>
      </c>
      <c r="FK907" t="s">
        <v>198</v>
      </c>
      <c r="FU907" t="s">
        <v>198</v>
      </c>
    </row>
    <row r="908" spans="1:177">
      <c r="A908" s="1" t="str">
        <f>HYPERLINK("http://digipan.lumentumllc.com/apps/getLink/index.php?t=PropLink&amp;p=15762219","PL")</f>
        <v>PL</v>
      </c>
      <c r="B908" s="1" t="str">
        <f>HYPERLINK("http://digipan.lumentumllc.com/apps/getLink/index.php?t=TaxLink&amp;p=15762219","TL")</f>
        <v>TL</v>
      </c>
      <c r="C908" s="1" t="str">
        <f>HYPERLINK("http://digipan.lumentumllc.com/apps/getMap/index.php?p=15762219","Map")</f>
        <v>Map</v>
      </c>
      <c r="E908" t="s">
        <v>177</v>
      </c>
      <c r="F908" t="s">
        <v>178</v>
      </c>
      <c r="L908" t="s">
        <v>12351</v>
      </c>
      <c r="N908" t="s">
        <v>12351</v>
      </c>
      <c r="O908" t="s">
        <v>12351</v>
      </c>
      <c r="Q908" t="s">
        <v>12351</v>
      </c>
      <c r="V908">
        <v>1051</v>
      </c>
      <c r="W908">
        <v>4</v>
      </c>
      <c r="X908">
        <v>2017</v>
      </c>
      <c r="Y908">
        <v>2018</v>
      </c>
      <c r="Z908">
        <v>1857.78</v>
      </c>
      <c r="AG908" t="s">
        <v>184</v>
      </c>
      <c r="AH908">
        <v>0</v>
      </c>
      <c r="AK908">
        <v>0</v>
      </c>
      <c r="AL908">
        <v>192229</v>
      </c>
      <c r="AM908">
        <v>28000</v>
      </c>
      <c r="AN908">
        <v>164229</v>
      </c>
      <c r="AO908">
        <v>1667</v>
      </c>
      <c r="AP908">
        <v>2016</v>
      </c>
      <c r="AQ908">
        <v>0.97</v>
      </c>
      <c r="AS908" t="s">
        <v>12352</v>
      </c>
      <c r="AT908" t="s">
        <v>3747</v>
      </c>
      <c r="AU908" t="s">
        <v>177</v>
      </c>
      <c r="AV908" t="s">
        <v>1030</v>
      </c>
      <c r="AW908" t="s">
        <v>202</v>
      </c>
      <c r="AX908">
        <v>1</v>
      </c>
      <c r="AY908" t="s">
        <v>188</v>
      </c>
      <c r="AZ908" t="s">
        <v>206</v>
      </c>
      <c r="BA908" t="s">
        <v>355</v>
      </c>
      <c r="BB908" t="s">
        <v>191</v>
      </c>
      <c r="BC908" t="s">
        <v>182</v>
      </c>
      <c r="BD908" t="s">
        <v>182</v>
      </c>
      <c r="BE908" t="s">
        <v>2393</v>
      </c>
      <c r="BF908">
        <v>1</v>
      </c>
      <c r="BG908">
        <v>1</v>
      </c>
      <c r="BH908">
        <v>1993</v>
      </c>
      <c r="BI908" t="s">
        <v>12353</v>
      </c>
      <c r="BJ908" t="s">
        <v>315</v>
      </c>
      <c r="BK908" t="s">
        <v>195</v>
      </c>
      <c r="BL908" t="s">
        <v>5283</v>
      </c>
      <c r="BM908" t="s">
        <v>945</v>
      </c>
      <c r="BN908" t="s">
        <v>182</v>
      </c>
      <c r="BO908" t="s">
        <v>12354</v>
      </c>
      <c r="BP908" t="s">
        <v>12355</v>
      </c>
      <c r="BQ908" t="s">
        <v>1520</v>
      </c>
      <c r="BR908" t="s">
        <v>1300</v>
      </c>
      <c r="BS908" t="s">
        <v>198</v>
      </c>
      <c r="BT908" t="s">
        <v>12356</v>
      </c>
      <c r="BU908" t="s">
        <v>182</v>
      </c>
      <c r="BV908" t="s">
        <v>198</v>
      </c>
      <c r="BW908" t="s">
        <v>198</v>
      </c>
      <c r="BX908" t="s">
        <v>199</v>
      </c>
      <c r="BY908" t="s">
        <v>198</v>
      </c>
      <c r="BZ908" t="s">
        <v>199</v>
      </c>
      <c r="CA908" t="s">
        <v>199</v>
      </c>
      <c r="CB908" t="s">
        <v>12357</v>
      </c>
      <c r="CC908" t="s">
        <v>201</v>
      </c>
      <c r="CD908" t="s">
        <v>182</v>
      </c>
      <c r="CE908" t="s">
        <v>12358</v>
      </c>
      <c r="CF908" t="s">
        <v>1029</v>
      </c>
      <c r="CG908" t="s">
        <v>177</v>
      </c>
      <c r="CH908" t="s">
        <v>1030</v>
      </c>
      <c r="CI908" t="s">
        <v>10404</v>
      </c>
      <c r="CS908" t="s">
        <v>198</v>
      </c>
      <c r="DC908" t="s">
        <v>198</v>
      </c>
      <c r="DM908" t="s">
        <v>198</v>
      </c>
      <c r="DW908" t="s">
        <v>198</v>
      </c>
      <c r="EG908" t="s">
        <v>198</v>
      </c>
      <c r="EQ908" t="s">
        <v>198</v>
      </c>
      <c r="FA908" t="s">
        <v>198</v>
      </c>
      <c r="FK908" t="s">
        <v>198</v>
      </c>
      <c r="FU908" t="s">
        <v>198</v>
      </c>
    </row>
    <row r="909" spans="1:177">
      <c r="A909" s="1" t="str">
        <f>HYPERLINK("http://digipan.lumentumllc.com/apps/getLink/index.php?t=PropLink&amp;p=15762247","PL")</f>
        <v>PL</v>
      </c>
      <c r="B909" s="1" t="str">
        <f>HYPERLINK("http://digipan.lumentumllc.com/apps/getLink/index.php?t=TaxLink&amp;p=15762247","TL")</f>
        <v>TL</v>
      </c>
      <c r="C909" s="1" t="str">
        <f>HYPERLINK("http://digipan.lumentumllc.com/apps/getMap/index.php?p=15762247","Map")</f>
        <v>Map</v>
      </c>
      <c r="E909" t="s">
        <v>177</v>
      </c>
      <c r="F909" t="s">
        <v>178</v>
      </c>
      <c r="L909" t="s">
        <v>12359</v>
      </c>
      <c r="N909" t="s">
        <v>12359</v>
      </c>
      <c r="O909" t="s">
        <v>12359</v>
      </c>
      <c r="Q909" t="s">
        <v>12359</v>
      </c>
      <c r="V909">
        <v>1052</v>
      </c>
      <c r="W909">
        <v>4</v>
      </c>
      <c r="X909">
        <v>2017</v>
      </c>
      <c r="Y909">
        <v>2018</v>
      </c>
      <c r="Z909">
        <v>4106.5</v>
      </c>
      <c r="AG909" t="s">
        <v>184</v>
      </c>
      <c r="AH909">
        <v>0</v>
      </c>
      <c r="AK909">
        <v>0</v>
      </c>
      <c r="AL909">
        <v>248861</v>
      </c>
      <c r="AM909">
        <v>28000</v>
      </c>
      <c r="AN909">
        <v>220861</v>
      </c>
      <c r="AO909">
        <v>2262</v>
      </c>
      <c r="AP909">
        <v>2016</v>
      </c>
      <c r="AQ909">
        <v>1.65</v>
      </c>
      <c r="AS909" t="s">
        <v>12360</v>
      </c>
      <c r="AT909" t="s">
        <v>3747</v>
      </c>
      <c r="AU909" t="s">
        <v>177</v>
      </c>
      <c r="AV909" t="s">
        <v>1030</v>
      </c>
      <c r="AW909" t="s">
        <v>182</v>
      </c>
      <c r="AX909">
        <v>1</v>
      </c>
      <c r="AY909" t="s">
        <v>188</v>
      </c>
      <c r="AZ909" t="s">
        <v>206</v>
      </c>
      <c r="BA909" t="s">
        <v>355</v>
      </c>
      <c r="BB909" t="s">
        <v>191</v>
      </c>
      <c r="BC909" t="s">
        <v>182</v>
      </c>
      <c r="BD909" t="s">
        <v>182</v>
      </c>
      <c r="BE909" t="s">
        <v>7258</v>
      </c>
      <c r="BF909">
        <v>2</v>
      </c>
      <c r="BG909">
        <v>2</v>
      </c>
      <c r="BH909">
        <v>1998</v>
      </c>
      <c r="BI909" t="s">
        <v>12361</v>
      </c>
      <c r="BJ909" t="s">
        <v>315</v>
      </c>
      <c r="BK909" t="s">
        <v>195</v>
      </c>
      <c r="BL909" t="s">
        <v>199</v>
      </c>
      <c r="BM909" t="s">
        <v>238</v>
      </c>
      <c r="BN909" t="s">
        <v>182</v>
      </c>
      <c r="BO909" t="s">
        <v>8682</v>
      </c>
      <c r="BP909" t="s">
        <v>12362</v>
      </c>
      <c r="BQ909" t="s">
        <v>800</v>
      </c>
      <c r="BS909" t="s">
        <v>198</v>
      </c>
      <c r="BT909" t="s">
        <v>12363</v>
      </c>
      <c r="BU909" t="s">
        <v>182</v>
      </c>
      <c r="BV909" t="s">
        <v>198</v>
      </c>
      <c r="BW909" t="s">
        <v>198</v>
      </c>
      <c r="BX909" t="s">
        <v>199</v>
      </c>
      <c r="BY909" t="s">
        <v>198</v>
      </c>
      <c r="BZ909" t="s">
        <v>199</v>
      </c>
      <c r="CA909" t="s">
        <v>199</v>
      </c>
      <c r="CB909" t="s">
        <v>12364</v>
      </c>
      <c r="CC909" t="s">
        <v>201</v>
      </c>
      <c r="CD909" t="s">
        <v>182</v>
      </c>
      <c r="CE909" t="s">
        <v>12365</v>
      </c>
      <c r="CF909" t="s">
        <v>413</v>
      </c>
      <c r="CG909" t="s">
        <v>177</v>
      </c>
      <c r="CH909" t="s">
        <v>4155</v>
      </c>
      <c r="CI909" t="s">
        <v>12366</v>
      </c>
      <c r="CS909" t="s">
        <v>198</v>
      </c>
      <c r="DC909" t="s">
        <v>198</v>
      </c>
      <c r="DM909" t="s">
        <v>198</v>
      </c>
      <c r="DW909" t="s">
        <v>198</v>
      </c>
      <c r="EG909" t="s">
        <v>198</v>
      </c>
      <c r="EQ909" t="s">
        <v>198</v>
      </c>
      <c r="FA909" t="s">
        <v>198</v>
      </c>
      <c r="FK909" t="s">
        <v>198</v>
      </c>
      <c r="FU909" t="s">
        <v>198</v>
      </c>
    </row>
    <row r="910" spans="1:177">
      <c r="A910" s="1" t="str">
        <f>HYPERLINK("http://digipan.lumentumllc.com/apps/getLink/index.php?t=PropLink&amp;p=6594399","PL")</f>
        <v>PL</v>
      </c>
      <c r="B910" s="1" t="str">
        <f>HYPERLINK("http://digipan.lumentumllc.com/apps/getLink/index.php?t=TaxLink&amp;p=6594399","TL")</f>
        <v>TL</v>
      </c>
      <c r="C910" s="1" t="str">
        <f>HYPERLINK("http://digipan.lumentumllc.com/apps/getMap/index.php?p=6594399","Map")</f>
        <v>Map</v>
      </c>
      <c r="E910" t="s">
        <v>177</v>
      </c>
      <c r="F910" t="s">
        <v>178</v>
      </c>
      <c r="L910" t="s">
        <v>12367</v>
      </c>
      <c r="N910" t="s">
        <v>12367</v>
      </c>
      <c r="O910" t="s">
        <v>12367</v>
      </c>
      <c r="P910" t="s">
        <v>12368</v>
      </c>
      <c r="Q910" t="s">
        <v>12367</v>
      </c>
      <c r="V910">
        <v>1053</v>
      </c>
      <c r="W910">
        <v>4</v>
      </c>
      <c r="X910">
        <v>2017</v>
      </c>
      <c r="Y910">
        <v>2018</v>
      </c>
      <c r="Z910">
        <v>2869.32</v>
      </c>
      <c r="AB910" t="s">
        <v>181</v>
      </c>
      <c r="AC910" t="s">
        <v>182</v>
      </c>
      <c r="AD910" t="s">
        <v>183</v>
      </c>
      <c r="AE910">
        <v>0</v>
      </c>
      <c r="AF910">
        <v>3</v>
      </c>
      <c r="AG910" t="s">
        <v>381</v>
      </c>
      <c r="AH910">
        <v>100</v>
      </c>
      <c r="AK910">
        <v>0</v>
      </c>
      <c r="AL910">
        <v>247566</v>
      </c>
      <c r="AM910">
        <v>28000</v>
      </c>
      <c r="AN910">
        <v>219566</v>
      </c>
      <c r="AO910">
        <v>2596</v>
      </c>
      <c r="AP910">
        <v>2016</v>
      </c>
      <c r="AQ910">
        <v>1.1599999999999999</v>
      </c>
      <c r="AS910" t="s">
        <v>12369</v>
      </c>
      <c r="AT910" t="s">
        <v>3747</v>
      </c>
      <c r="AU910" t="s">
        <v>177</v>
      </c>
      <c r="AV910" t="s">
        <v>1030</v>
      </c>
      <c r="AW910" t="s">
        <v>202</v>
      </c>
      <c r="AX910">
        <v>1</v>
      </c>
      <c r="AY910" t="s">
        <v>188</v>
      </c>
      <c r="AZ910" t="s">
        <v>206</v>
      </c>
      <c r="BA910" t="s">
        <v>355</v>
      </c>
      <c r="BB910" t="s">
        <v>191</v>
      </c>
      <c r="BC910" t="s">
        <v>182</v>
      </c>
      <c r="BD910" t="s">
        <v>182</v>
      </c>
      <c r="BE910" t="s">
        <v>383</v>
      </c>
      <c r="BF910">
        <v>1</v>
      </c>
      <c r="BG910">
        <v>1</v>
      </c>
      <c r="BH910">
        <v>1993</v>
      </c>
      <c r="BI910" t="s">
        <v>12370</v>
      </c>
      <c r="BJ910" t="s">
        <v>315</v>
      </c>
      <c r="BK910" t="s">
        <v>195</v>
      </c>
      <c r="BL910" t="s">
        <v>12371</v>
      </c>
      <c r="BM910" t="s">
        <v>273</v>
      </c>
      <c r="BN910" t="s">
        <v>182</v>
      </c>
      <c r="BO910" t="s">
        <v>3184</v>
      </c>
      <c r="BP910" t="s">
        <v>12372</v>
      </c>
      <c r="BS910" t="s">
        <v>12373</v>
      </c>
      <c r="BT910" t="s">
        <v>198</v>
      </c>
      <c r="BU910" t="s">
        <v>182</v>
      </c>
      <c r="BV910" t="s">
        <v>198</v>
      </c>
      <c r="BW910" t="s">
        <v>198</v>
      </c>
      <c r="BX910" t="s">
        <v>199</v>
      </c>
      <c r="BY910" t="s">
        <v>198</v>
      </c>
      <c r="BZ910" t="s">
        <v>199</v>
      </c>
      <c r="CA910" t="s">
        <v>199</v>
      </c>
      <c r="CB910" t="s">
        <v>12374</v>
      </c>
      <c r="CC910" t="s">
        <v>201</v>
      </c>
      <c r="CD910" t="s">
        <v>182</v>
      </c>
      <c r="CE910" t="s">
        <v>12375</v>
      </c>
      <c r="CF910" t="s">
        <v>1029</v>
      </c>
      <c r="CG910" t="s">
        <v>177</v>
      </c>
      <c r="CH910" t="s">
        <v>1030</v>
      </c>
      <c r="CI910" t="s">
        <v>12376</v>
      </c>
      <c r="CJ910" t="s">
        <v>5922</v>
      </c>
      <c r="CK910" t="s">
        <v>232</v>
      </c>
      <c r="CL910" t="s">
        <v>233</v>
      </c>
      <c r="CM910" t="s">
        <v>12377</v>
      </c>
      <c r="CN910" t="s">
        <v>235</v>
      </c>
      <c r="CO910" t="s">
        <v>183</v>
      </c>
      <c r="CP910" t="s">
        <v>211</v>
      </c>
      <c r="CQ910" t="s">
        <v>270</v>
      </c>
      <c r="CS910" t="s">
        <v>540</v>
      </c>
      <c r="CT910" t="s">
        <v>8754</v>
      </c>
      <c r="CU910" t="s">
        <v>292</v>
      </c>
      <c r="CV910" t="s">
        <v>293</v>
      </c>
      <c r="CW910" t="s">
        <v>12378</v>
      </c>
      <c r="CX910" t="s">
        <v>235</v>
      </c>
      <c r="CY910" t="s">
        <v>183</v>
      </c>
      <c r="CZ910" t="s">
        <v>211</v>
      </c>
      <c r="DA910" t="s">
        <v>427</v>
      </c>
      <c r="DC910" t="s">
        <v>5064</v>
      </c>
      <c r="DD910" t="s">
        <v>6543</v>
      </c>
      <c r="DE910" t="s">
        <v>273</v>
      </c>
      <c r="DF910" t="s">
        <v>274</v>
      </c>
      <c r="DG910" t="s">
        <v>12379</v>
      </c>
      <c r="DH910" t="s">
        <v>235</v>
      </c>
      <c r="DI910" t="s">
        <v>183</v>
      </c>
      <c r="DJ910" t="s">
        <v>211</v>
      </c>
      <c r="DK910" t="s">
        <v>345</v>
      </c>
      <c r="DM910" t="s">
        <v>1613</v>
      </c>
      <c r="DW910" t="s">
        <v>198</v>
      </c>
      <c r="EG910" t="s">
        <v>198</v>
      </c>
      <c r="EQ910" t="s">
        <v>198</v>
      </c>
      <c r="FA910" t="s">
        <v>198</v>
      </c>
      <c r="FK910" t="s">
        <v>198</v>
      </c>
      <c r="FU910" t="s">
        <v>198</v>
      </c>
    </row>
    <row r="911" spans="1:177">
      <c r="A911" s="1" t="str">
        <f>HYPERLINK("http://digipan.lumentumllc.com/apps/getLink/index.php?t=PropLink&amp;p=15762323","PL")</f>
        <v>PL</v>
      </c>
      <c r="B911" s="1" t="str">
        <f>HYPERLINK("http://digipan.lumentumllc.com/apps/getLink/index.php?t=TaxLink&amp;p=15762323","TL")</f>
        <v>TL</v>
      </c>
      <c r="C911" s="1" t="str">
        <f>HYPERLINK("http://digipan.lumentumllc.com/apps/getMap/index.php?p=15762323","Map")</f>
        <v>Map</v>
      </c>
      <c r="E911" t="s">
        <v>177</v>
      </c>
      <c r="F911" t="s">
        <v>178</v>
      </c>
      <c r="L911" t="s">
        <v>12380</v>
      </c>
      <c r="N911" t="s">
        <v>12380</v>
      </c>
      <c r="O911" t="s">
        <v>12380</v>
      </c>
      <c r="Q911" t="s">
        <v>12380</v>
      </c>
      <c r="V911">
        <v>1054</v>
      </c>
      <c r="W911">
        <v>4</v>
      </c>
      <c r="X911">
        <v>2017</v>
      </c>
      <c r="Y911">
        <v>2018</v>
      </c>
      <c r="Z911">
        <v>2179.9499999999998</v>
      </c>
      <c r="AG911" t="s">
        <v>184</v>
      </c>
      <c r="AH911">
        <v>0</v>
      </c>
      <c r="AK911">
        <v>0</v>
      </c>
      <c r="AL911">
        <v>207057</v>
      </c>
      <c r="AM911">
        <v>28000</v>
      </c>
      <c r="AN911">
        <v>179057</v>
      </c>
      <c r="AO911">
        <v>1963</v>
      </c>
      <c r="AP911">
        <v>2016</v>
      </c>
      <c r="AQ911">
        <v>1.05</v>
      </c>
      <c r="AS911" t="s">
        <v>12381</v>
      </c>
      <c r="AT911" t="s">
        <v>3747</v>
      </c>
      <c r="AU911" t="s">
        <v>177</v>
      </c>
      <c r="AV911" t="s">
        <v>1030</v>
      </c>
      <c r="AW911" t="s">
        <v>202</v>
      </c>
      <c r="AX911">
        <v>1</v>
      </c>
      <c r="AY911" t="s">
        <v>188</v>
      </c>
      <c r="AZ911" t="s">
        <v>206</v>
      </c>
      <c r="BA911" t="s">
        <v>355</v>
      </c>
      <c r="BB911" t="s">
        <v>191</v>
      </c>
      <c r="BC911" t="s">
        <v>182</v>
      </c>
      <c r="BD911" t="s">
        <v>182</v>
      </c>
      <c r="BE911" t="s">
        <v>383</v>
      </c>
      <c r="BF911">
        <v>1</v>
      </c>
      <c r="BG911">
        <v>1</v>
      </c>
      <c r="BH911">
        <v>2006</v>
      </c>
      <c r="BI911" t="s">
        <v>12382</v>
      </c>
      <c r="BJ911" t="s">
        <v>315</v>
      </c>
      <c r="BK911" t="s">
        <v>195</v>
      </c>
      <c r="BL911" t="s">
        <v>12383</v>
      </c>
      <c r="BM911" t="s">
        <v>197</v>
      </c>
      <c r="BN911" t="s">
        <v>182</v>
      </c>
      <c r="BO911" t="s">
        <v>12384</v>
      </c>
      <c r="BP911" t="s">
        <v>12385</v>
      </c>
      <c r="BQ911" t="s">
        <v>800</v>
      </c>
      <c r="BR911" t="s">
        <v>582</v>
      </c>
      <c r="BS911" t="s">
        <v>198</v>
      </c>
      <c r="BT911" t="s">
        <v>12386</v>
      </c>
      <c r="BU911" t="s">
        <v>182</v>
      </c>
      <c r="BV911" t="s">
        <v>198</v>
      </c>
      <c r="BW911" t="s">
        <v>198</v>
      </c>
      <c r="BX911" t="s">
        <v>199</v>
      </c>
      <c r="BY911" t="s">
        <v>198</v>
      </c>
      <c r="BZ911" t="s">
        <v>199</v>
      </c>
      <c r="CA911" t="s">
        <v>199</v>
      </c>
      <c r="CB911" t="s">
        <v>12387</v>
      </c>
      <c r="CC911" t="s">
        <v>201</v>
      </c>
      <c r="CD911" t="s">
        <v>202</v>
      </c>
      <c r="CE911" t="s">
        <v>12388</v>
      </c>
      <c r="CF911" t="s">
        <v>1029</v>
      </c>
      <c r="CG911" t="s">
        <v>177</v>
      </c>
      <c r="CH911" t="s">
        <v>1030</v>
      </c>
      <c r="CI911" t="s">
        <v>12389</v>
      </c>
      <c r="CS911" t="s">
        <v>198</v>
      </c>
      <c r="DC911" t="s">
        <v>198</v>
      </c>
      <c r="DM911" t="s">
        <v>198</v>
      </c>
      <c r="DW911" t="s">
        <v>198</v>
      </c>
      <c r="EG911" t="s">
        <v>198</v>
      </c>
      <c r="EQ911" t="s">
        <v>198</v>
      </c>
      <c r="FA911" t="s">
        <v>198</v>
      </c>
      <c r="FK911" t="s">
        <v>198</v>
      </c>
      <c r="FU911" t="s">
        <v>198</v>
      </c>
    </row>
    <row r="912" spans="1:177">
      <c r="A912" s="1" t="str">
        <f>HYPERLINK("http://digipan.lumentumllc.com/apps/getLink/index.php?t=PropLink&amp;p=15762374","PL")</f>
        <v>PL</v>
      </c>
      <c r="B912" s="1" t="str">
        <f>HYPERLINK("http://digipan.lumentumllc.com/apps/getLink/index.php?t=TaxLink&amp;p=15762374","TL")</f>
        <v>TL</v>
      </c>
      <c r="C912" s="1" t="str">
        <f>HYPERLINK("http://digipan.lumentumllc.com/apps/getMap/index.php?p=15762374","Map")</f>
        <v>Map</v>
      </c>
      <c r="E912" t="s">
        <v>177</v>
      </c>
      <c r="F912" t="s">
        <v>178</v>
      </c>
      <c r="L912" t="s">
        <v>12390</v>
      </c>
      <c r="N912" t="s">
        <v>12390</v>
      </c>
      <c r="O912" t="s">
        <v>12390</v>
      </c>
      <c r="Q912" t="s">
        <v>12390</v>
      </c>
      <c r="V912">
        <v>1055</v>
      </c>
      <c r="W912">
        <v>4</v>
      </c>
      <c r="X912">
        <v>2017</v>
      </c>
      <c r="Y912">
        <v>2018</v>
      </c>
      <c r="Z912">
        <v>3292.5</v>
      </c>
      <c r="AG912" t="s">
        <v>184</v>
      </c>
      <c r="AH912">
        <v>0</v>
      </c>
      <c r="AK912">
        <v>0</v>
      </c>
      <c r="AL912">
        <v>208745</v>
      </c>
      <c r="AM912">
        <v>28000</v>
      </c>
      <c r="AN912">
        <v>180745</v>
      </c>
      <c r="AO912">
        <v>2676</v>
      </c>
      <c r="AP912">
        <v>2016</v>
      </c>
      <c r="AQ912">
        <v>1.58</v>
      </c>
      <c r="AS912" t="s">
        <v>12391</v>
      </c>
      <c r="AT912" t="s">
        <v>3747</v>
      </c>
      <c r="AU912" t="s">
        <v>177</v>
      </c>
      <c r="AV912" t="s">
        <v>1030</v>
      </c>
      <c r="AW912" t="s">
        <v>182</v>
      </c>
      <c r="AX912">
        <v>1</v>
      </c>
      <c r="AY912" t="s">
        <v>188</v>
      </c>
      <c r="AZ912" t="s">
        <v>206</v>
      </c>
      <c r="BA912" t="s">
        <v>355</v>
      </c>
      <c r="BB912" t="s">
        <v>191</v>
      </c>
      <c r="BC912" t="s">
        <v>182</v>
      </c>
      <c r="BD912" t="s">
        <v>182</v>
      </c>
      <c r="BE912" t="s">
        <v>12392</v>
      </c>
      <c r="BF912">
        <v>1</v>
      </c>
      <c r="BG912">
        <v>1</v>
      </c>
      <c r="BH912">
        <v>2008</v>
      </c>
      <c r="BI912" t="s">
        <v>7028</v>
      </c>
      <c r="BJ912" t="s">
        <v>315</v>
      </c>
      <c r="BK912" t="s">
        <v>195</v>
      </c>
      <c r="BL912" t="s">
        <v>12393</v>
      </c>
      <c r="BM912" t="s">
        <v>197</v>
      </c>
      <c r="BN912" t="s">
        <v>182</v>
      </c>
      <c r="BO912" t="s">
        <v>12394</v>
      </c>
      <c r="BP912" t="s">
        <v>12395</v>
      </c>
      <c r="BQ912" t="s">
        <v>226</v>
      </c>
      <c r="BR912" t="s">
        <v>227</v>
      </c>
      <c r="BS912" t="s">
        <v>198</v>
      </c>
      <c r="BT912" t="s">
        <v>12396</v>
      </c>
      <c r="BU912" t="s">
        <v>182</v>
      </c>
      <c r="BV912" t="s">
        <v>198</v>
      </c>
      <c r="BW912" t="s">
        <v>198</v>
      </c>
      <c r="BX912" t="s">
        <v>199</v>
      </c>
      <c r="BY912" t="s">
        <v>198</v>
      </c>
      <c r="BZ912" t="s">
        <v>199</v>
      </c>
      <c r="CA912" t="s">
        <v>199</v>
      </c>
      <c r="CB912" t="s">
        <v>12397</v>
      </c>
      <c r="CC912" t="s">
        <v>201</v>
      </c>
      <c r="CD912" t="s">
        <v>202</v>
      </c>
      <c r="CE912" t="s">
        <v>12398</v>
      </c>
      <c r="CF912" t="s">
        <v>12399</v>
      </c>
      <c r="CG912" t="s">
        <v>177</v>
      </c>
      <c r="CH912" t="s">
        <v>12400</v>
      </c>
      <c r="CI912" t="s">
        <v>12401</v>
      </c>
      <c r="CS912" t="s">
        <v>198</v>
      </c>
      <c r="DC912" t="s">
        <v>198</v>
      </c>
      <c r="DM912" t="s">
        <v>198</v>
      </c>
      <c r="DW912" t="s">
        <v>198</v>
      </c>
      <c r="EG912" t="s">
        <v>198</v>
      </c>
      <c r="EQ912" t="s">
        <v>198</v>
      </c>
      <c r="FA912" t="s">
        <v>198</v>
      </c>
      <c r="FK912" t="s">
        <v>198</v>
      </c>
      <c r="FU912" t="s">
        <v>198</v>
      </c>
    </row>
    <row r="913" spans="1:177">
      <c r="A913" s="1" t="str">
        <f>HYPERLINK("http://digipan.lumentumllc.com/apps/getLink/index.php?t=PropLink&amp;p=5248427","PL")</f>
        <v>PL</v>
      </c>
      <c r="B913" s="1" t="str">
        <f>HYPERLINK("http://digipan.lumentumllc.com/apps/getLink/index.php?t=TaxLink&amp;p=5248427","TL")</f>
        <v>TL</v>
      </c>
      <c r="C913" s="1" t="str">
        <f>HYPERLINK("http://digipan.lumentumllc.com/apps/getMap/index.php?p=5248427","Map")</f>
        <v>Map</v>
      </c>
      <c r="E913" t="s">
        <v>177</v>
      </c>
      <c r="F913" t="s">
        <v>178</v>
      </c>
      <c r="L913" t="s">
        <v>12402</v>
      </c>
      <c r="N913" t="s">
        <v>12402</v>
      </c>
      <c r="O913" t="s">
        <v>12402</v>
      </c>
      <c r="P913" t="s">
        <v>12403</v>
      </c>
      <c r="Q913" t="s">
        <v>12402</v>
      </c>
      <c r="V913">
        <v>1056</v>
      </c>
      <c r="W913">
        <v>4</v>
      </c>
      <c r="X913">
        <v>2017</v>
      </c>
      <c r="Y913">
        <v>2018</v>
      </c>
      <c r="Z913">
        <v>485.81</v>
      </c>
      <c r="AB913" t="s">
        <v>181</v>
      </c>
      <c r="AC913" t="s">
        <v>182</v>
      </c>
      <c r="AD913" t="s">
        <v>183</v>
      </c>
      <c r="AE913">
        <v>1</v>
      </c>
      <c r="AF913">
        <v>6</v>
      </c>
      <c r="AG913" t="s">
        <v>322</v>
      </c>
      <c r="AH913">
        <v>83</v>
      </c>
      <c r="AI913">
        <v>442.05</v>
      </c>
      <c r="AJ913">
        <v>28.73</v>
      </c>
      <c r="AK913">
        <v>470.78</v>
      </c>
      <c r="AL913">
        <v>28000</v>
      </c>
      <c r="AM913">
        <v>28000</v>
      </c>
      <c r="AN913">
        <v>0</v>
      </c>
      <c r="AO913">
        <v>384</v>
      </c>
      <c r="AP913">
        <v>2016</v>
      </c>
      <c r="AQ913">
        <v>1.74</v>
      </c>
      <c r="AR913">
        <v>1.68</v>
      </c>
      <c r="AS913" t="s">
        <v>12404</v>
      </c>
      <c r="AT913" t="s">
        <v>3747</v>
      </c>
      <c r="AU913" t="s">
        <v>177</v>
      </c>
      <c r="AV913" t="s">
        <v>1030</v>
      </c>
      <c r="AW913" t="s">
        <v>182</v>
      </c>
      <c r="AX913">
        <v>0</v>
      </c>
      <c r="AY913" t="s">
        <v>312</v>
      </c>
      <c r="AZ913" t="s">
        <v>199</v>
      </c>
      <c r="BA913" t="s">
        <v>313</v>
      </c>
      <c r="BB913" t="s">
        <v>191</v>
      </c>
      <c r="BC913" t="s">
        <v>182</v>
      </c>
      <c r="BD913" t="s">
        <v>182</v>
      </c>
      <c r="BE913" t="s">
        <v>1884</v>
      </c>
      <c r="BF913">
        <v>0</v>
      </c>
      <c r="BG913">
        <v>0</v>
      </c>
      <c r="BH913">
        <v>0</v>
      </c>
      <c r="BI913" t="s">
        <v>199</v>
      </c>
      <c r="BJ913" t="s">
        <v>396</v>
      </c>
      <c r="BL913" t="s">
        <v>1741</v>
      </c>
      <c r="BM913" t="s">
        <v>1332</v>
      </c>
      <c r="BN913" t="s">
        <v>182</v>
      </c>
      <c r="BO913" t="s">
        <v>198</v>
      </c>
      <c r="BP913" t="s">
        <v>198</v>
      </c>
      <c r="BQ913" t="s">
        <v>198</v>
      </c>
      <c r="BR913" t="s">
        <v>198</v>
      </c>
      <c r="BS913" t="s">
        <v>198</v>
      </c>
      <c r="BT913" t="s">
        <v>198</v>
      </c>
      <c r="BU913" t="s">
        <v>182</v>
      </c>
      <c r="BV913" t="s">
        <v>198</v>
      </c>
      <c r="BW913" t="s">
        <v>198</v>
      </c>
      <c r="BX913" t="s">
        <v>199</v>
      </c>
      <c r="BY913" t="s">
        <v>198</v>
      </c>
      <c r="BZ913" t="s">
        <v>199</v>
      </c>
      <c r="CA913" t="s">
        <v>199</v>
      </c>
      <c r="CB913" t="s">
        <v>12405</v>
      </c>
      <c r="CC913" t="s">
        <v>201</v>
      </c>
      <c r="CD913" t="s">
        <v>202</v>
      </c>
      <c r="CE913" t="s">
        <v>12406</v>
      </c>
      <c r="CF913" t="s">
        <v>413</v>
      </c>
      <c r="CG913" t="s">
        <v>177</v>
      </c>
      <c r="CH913" t="s">
        <v>5741</v>
      </c>
      <c r="CI913" t="s">
        <v>12407</v>
      </c>
      <c r="CJ913" t="s">
        <v>12083</v>
      </c>
      <c r="CK913" t="s">
        <v>232</v>
      </c>
      <c r="CL913" t="s">
        <v>233</v>
      </c>
      <c r="CM913" t="s">
        <v>5636</v>
      </c>
      <c r="CN913" t="s">
        <v>688</v>
      </c>
      <c r="CO913" t="s">
        <v>183</v>
      </c>
      <c r="CP913" t="s">
        <v>266</v>
      </c>
      <c r="CS913" t="s">
        <v>198</v>
      </c>
      <c r="CT913" t="s">
        <v>4018</v>
      </c>
      <c r="CU913" t="s">
        <v>292</v>
      </c>
      <c r="CV913" t="s">
        <v>293</v>
      </c>
      <c r="CW913" t="s">
        <v>12408</v>
      </c>
      <c r="CX913" t="s">
        <v>387</v>
      </c>
      <c r="CY913" t="s">
        <v>183</v>
      </c>
      <c r="CZ913" t="s">
        <v>211</v>
      </c>
      <c r="DA913" t="s">
        <v>345</v>
      </c>
      <c r="DC913" t="s">
        <v>1609</v>
      </c>
      <c r="DD913" t="s">
        <v>7601</v>
      </c>
      <c r="DE913" t="s">
        <v>267</v>
      </c>
      <c r="DF913" t="s">
        <v>268</v>
      </c>
      <c r="DG913" t="s">
        <v>12409</v>
      </c>
      <c r="DH913" t="s">
        <v>1341</v>
      </c>
      <c r="DI913" t="s">
        <v>183</v>
      </c>
      <c r="DJ913" t="s">
        <v>211</v>
      </c>
      <c r="DK913" t="s">
        <v>298</v>
      </c>
      <c r="DM913" t="s">
        <v>459</v>
      </c>
      <c r="DN913" t="s">
        <v>12410</v>
      </c>
      <c r="DO913" t="s">
        <v>302</v>
      </c>
      <c r="DP913" t="s">
        <v>303</v>
      </c>
      <c r="DQ913" t="s">
        <v>12411</v>
      </c>
      <c r="DR913" t="s">
        <v>331</v>
      </c>
      <c r="DS913" t="s">
        <v>183</v>
      </c>
      <c r="DT913" t="s">
        <v>211</v>
      </c>
      <c r="DU913" t="s">
        <v>339</v>
      </c>
      <c r="DW913" t="s">
        <v>8254</v>
      </c>
      <c r="DX913" t="s">
        <v>12412</v>
      </c>
      <c r="DY913" t="s">
        <v>238</v>
      </c>
      <c r="DZ913" t="s">
        <v>239</v>
      </c>
      <c r="EA913" t="s">
        <v>10992</v>
      </c>
      <c r="EB913" t="s">
        <v>331</v>
      </c>
      <c r="EC913" t="s">
        <v>183</v>
      </c>
      <c r="ED913" t="s">
        <v>211</v>
      </c>
      <c r="EE913" t="s">
        <v>206</v>
      </c>
      <c r="EG913" t="s">
        <v>9432</v>
      </c>
      <c r="EH913" t="s">
        <v>9430</v>
      </c>
      <c r="EI913" t="s">
        <v>346</v>
      </c>
      <c r="EJ913" t="s">
        <v>347</v>
      </c>
      <c r="EK913" t="s">
        <v>12413</v>
      </c>
      <c r="EL913" t="s">
        <v>1551</v>
      </c>
      <c r="EM913" t="s">
        <v>183</v>
      </c>
      <c r="EN913" t="s">
        <v>211</v>
      </c>
      <c r="EO913" t="s">
        <v>306</v>
      </c>
      <c r="EQ913" t="s">
        <v>9432</v>
      </c>
      <c r="ER913" t="s">
        <v>12414</v>
      </c>
      <c r="ES913" t="s">
        <v>207</v>
      </c>
      <c r="ET913" t="s">
        <v>208</v>
      </c>
      <c r="EU913" t="s">
        <v>12415</v>
      </c>
      <c r="EV913" t="s">
        <v>341</v>
      </c>
      <c r="EW913" t="s">
        <v>183</v>
      </c>
      <c r="EX913" t="s">
        <v>211</v>
      </c>
      <c r="EY913" t="s">
        <v>345</v>
      </c>
      <c r="FA913" t="s">
        <v>1355</v>
      </c>
      <c r="FK913" t="s">
        <v>198</v>
      </c>
      <c r="FU913" t="s">
        <v>198</v>
      </c>
    </row>
    <row r="914" spans="1:177">
      <c r="A914" s="1" t="str">
        <f>HYPERLINK("http://digipan.lumentumllc.com/apps/getLink/index.php?t=PropLink&amp;p=5248428","PL")</f>
        <v>PL</v>
      </c>
      <c r="B914" s="1" t="str">
        <f>HYPERLINK("http://digipan.lumentumllc.com/apps/getLink/index.php?t=TaxLink&amp;p=5248428","TL")</f>
        <v>TL</v>
      </c>
      <c r="C914" s="1" t="str">
        <f>HYPERLINK("http://digipan.lumentumllc.com/apps/getMap/index.php?p=5248428","Map")</f>
        <v>Map</v>
      </c>
      <c r="E914" t="s">
        <v>177</v>
      </c>
      <c r="F914" t="s">
        <v>178</v>
      </c>
      <c r="L914" t="s">
        <v>12416</v>
      </c>
      <c r="N914" t="s">
        <v>12416</v>
      </c>
      <c r="O914" t="s">
        <v>12416</v>
      </c>
      <c r="P914" t="s">
        <v>12417</v>
      </c>
      <c r="Q914" t="s">
        <v>12416</v>
      </c>
      <c r="V914">
        <v>1057</v>
      </c>
      <c r="W914">
        <v>4</v>
      </c>
      <c r="X914">
        <v>2017</v>
      </c>
      <c r="Y914">
        <v>2018</v>
      </c>
      <c r="Z914">
        <v>485.81</v>
      </c>
      <c r="AB914" t="s">
        <v>181</v>
      </c>
      <c r="AC914" t="s">
        <v>182</v>
      </c>
      <c r="AD914" t="s">
        <v>183</v>
      </c>
      <c r="AE914">
        <v>1</v>
      </c>
      <c r="AF914">
        <v>6</v>
      </c>
      <c r="AG914" t="s">
        <v>322</v>
      </c>
      <c r="AH914">
        <v>83</v>
      </c>
      <c r="AI914">
        <v>442.05</v>
      </c>
      <c r="AJ914">
        <v>28.73</v>
      </c>
      <c r="AK914">
        <v>470.78</v>
      </c>
      <c r="AL914">
        <v>28000</v>
      </c>
      <c r="AM914">
        <v>28000</v>
      </c>
      <c r="AN914">
        <v>0</v>
      </c>
      <c r="AO914">
        <v>384</v>
      </c>
      <c r="AP914">
        <v>2016</v>
      </c>
      <c r="AQ914">
        <v>1.74</v>
      </c>
      <c r="AR914">
        <v>1.68</v>
      </c>
      <c r="AS914" t="s">
        <v>12418</v>
      </c>
      <c r="AT914" t="s">
        <v>3747</v>
      </c>
      <c r="AU914" t="s">
        <v>177</v>
      </c>
      <c r="AV914" t="s">
        <v>1030</v>
      </c>
      <c r="AW914" t="s">
        <v>182</v>
      </c>
      <c r="AX914">
        <v>0</v>
      </c>
      <c r="AY914" t="s">
        <v>312</v>
      </c>
      <c r="AZ914" t="s">
        <v>199</v>
      </c>
      <c r="BA914" t="s">
        <v>313</v>
      </c>
      <c r="BB914" t="s">
        <v>191</v>
      </c>
      <c r="BC914" t="s">
        <v>182</v>
      </c>
      <c r="BD914" t="s">
        <v>182</v>
      </c>
      <c r="BE914" t="s">
        <v>259</v>
      </c>
      <c r="BF914">
        <v>0</v>
      </c>
      <c r="BG914">
        <v>0</v>
      </c>
      <c r="BH914">
        <v>0</v>
      </c>
      <c r="BI914" t="s">
        <v>199</v>
      </c>
      <c r="BJ914" t="s">
        <v>396</v>
      </c>
      <c r="BL914" t="s">
        <v>1741</v>
      </c>
      <c r="BM914" t="s">
        <v>1332</v>
      </c>
      <c r="BN914" t="s">
        <v>182</v>
      </c>
      <c r="BO914" t="s">
        <v>198</v>
      </c>
      <c r="BP914" t="s">
        <v>198</v>
      </c>
      <c r="BQ914" t="s">
        <v>198</v>
      </c>
      <c r="BR914" t="s">
        <v>198</v>
      </c>
      <c r="BS914" t="s">
        <v>198</v>
      </c>
      <c r="BT914" t="s">
        <v>198</v>
      </c>
      <c r="BU914" t="s">
        <v>182</v>
      </c>
      <c r="BV914" t="s">
        <v>198</v>
      </c>
      <c r="BW914" t="s">
        <v>198</v>
      </c>
      <c r="BX914" t="s">
        <v>199</v>
      </c>
      <c r="BY914" t="s">
        <v>198</v>
      </c>
      <c r="BZ914" t="s">
        <v>199</v>
      </c>
      <c r="CA914" t="s">
        <v>199</v>
      </c>
      <c r="CB914" t="s">
        <v>12405</v>
      </c>
      <c r="CC914" t="s">
        <v>201</v>
      </c>
      <c r="CD914" t="s">
        <v>202</v>
      </c>
      <c r="CE914" t="s">
        <v>12406</v>
      </c>
      <c r="CF914" t="s">
        <v>413</v>
      </c>
      <c r="CG914" t="s">
        <v>177</v>
      </c>
      <c r="CH914" t="s">
        <v>5741</v>
      </c>
      <c r="CI914" t="s">
        <v>12419</v>
      </c>
      <c r="CJ914" t="s">
        <v>9089</v>
      </c>
      <c r="CK914" t="s">
        <v>232</v>
      </c>
      <c r="CL914" t="s">
        <v>233</v>
      </c>
      <c r="CM914" t="s">
        <v>5636</v>
      </c>
      <c r="CN914" t="s">
        <v>688</v>
      </c>
      <c r="CO914" t="s">
        <v>183</v>
      </c>
      <c r="CP914" t="s">
        <v>266</v>
      </c>
      <c r="CS914" t="s">
        <v>198</v>
      </c>
      <c r="CT914" t="s">
        <v>11763</v>
      </c>
      <c r="CU914" t="s">
        <v>292</v>
      </c>
      <c r="CV914" t="s">
        <v>293</v>
      </c>
      <c r="CW914" t="s">
        <v>12408</v>
      </c>
      <c r="CX914" t="s">
        <v>387</v>
      </c>
      <c r="CY914" t="s">
        <v>183</v>
      </c>
      <c r="CZ914" t="s">
        <v>211</v>
      </c>
      <c r="DA914" t="s">
        <v>345</v>
      </c>
      <c r="DC914" t="s">
        <v>1609</v>
      </c>
      <c r="DD914" t="s">
        <v>4850</v>
      </c>
      <c r="DE914" t="s">
        <v>267</v>
      </c>
      <c r="DF914" t="s">
        <v>268</v>
      </c>
      <c r="DG914" t="s">
        <v>12409</v>
      </c>
      <c r="DH914" t="s">
        <v>1341</v>
      </c>
      <c r="DI914" t="s">
        <v>183</v>
      </c>
      <c r="DJ914" t="s">
        <v>211</v>
      </c>
      <c r="DK914" t="s">
        <v>298</v>
      </c>
      <c r="DM914" t="s">
        <v>459</v>
      </c>
      <c r="DN914" t="s">
        <v>10098</v>
      </c>
      <c r="DO914" t="s">
        <v>302</v>
      </c>
      <c r="DP914" t="s">
        <v>303</v>
      </c>
      <c r="DQ914" t="s">
        <v>12411</v>
      </c>
      <c r="DR914" t="s">
        <v>331</v>
      </c>
      <c r="DS914" t="s">
        <v>183</v>
      </c>
      <c r="DT914" t="s">
        <v>211</v>
      </c>
      <c r="DU914" t="s">
        <v>339</v>
      </c>
      <c r="DW914" t="s">
        <v>8254</v>
      </c>
      <c r="DX914" t="s">
        <v>12420</v>
      </c>
      <c r="DY914" t="s">
        <v>238</v>
      </c>
      <c r="DZ914" t="s">
        <v>239</v>
      </c>
      <c r="EA914" t="s">
        <v>10992</v>
      </c>
      <c r="EB914" t="s">
        <v>331</v>
      </c>
      <c r="EC914" t="s">
        <v>183</v>
      </c>
      <c r="ED914" t="s">
        <v>211</v>
      </c>
      <c r="EE914" t="s">
        <v>206</v>
      </c>
      <c r="EG914" t="s">
        <v>9432</v>
      </c>
      <c r="EH914" t="s">
        <v>12421</v>
      </c>
      <c r="EI914" t="s">
        <v>346</v>
      </c>
      <c r="EJ914" t="s">
        <v>347</v>
      </c>
      <c r="EK914" t="s">
        <v>12413</v>
      </c>
      <c r="EL914" t="s">
        <v>1551</v>
      </c>
      <c r="EM914" t="s">
        <v>183</v>
      </c>
      <c r="EN914" t="s">
        <v>211</v>
      </c>
      <c r="EO914" t="s">
        <v>306</v>
      </c>
      <c r="EQ914" t="s">
        <v>9432</v>
      </c>
      <c r="ER914" t="s">
        <v>12422</v>
      </c>
      <c r="ES914" t="s">
        <v>207</v>
      </c>
      <c r="ET914" t="s">
        <v>208</v>
      </c>
      <c r="EU914" t="s">
        <v>12415</v>
      </c>
      <c r="EV914" t="s">
        <v>341</v>
      </c>
      <c r="EW914" t="s">
        <v>183</v>
      </c>
      <c r="EX914" t="s">
        <v>211</v>
      </c>
      <c r="EY914" t="s">
        <v>345</v>
      </c>
      <c r="FA914" t="s">
        <v>1355</v>
      </c>
      <c r="FK914" t="s">
        <v>198</v>
      </c>
      <c r="FU914" t="s">
        <v>198</v>
      </c>
    </row>
    <row r="915" spans="1:177">
      <c r="A915" s="1" t="str">
        <f>HYPERLINK("http://digipan.lumentumllc.com/apps/getLink/index.php?t=PropLink&amp;p=4638803","PL")</f>
        <v>PL</v>
      </c>
      <c r="B915" s="1" t="str">
        <f>HYPERLINK("http://digipan.lumentumllc.com/apps/getLink/index.php?t=TaxLink&amp;p=4638803","TL")</f>
        <v>TL</v>
      </c>
      <c r="C915" s="1" t="str">
        <f>HYPERLINK("http://digipan.lumentumllc.com/apps/getMap/index.php?p=4638803","Map")</f>
        <v>Map</v>
      </c>
      <c r="E915" t="s">
        <v>177</v>
      </c>
      <c r="F915" t="s">
        <v>178</v>
      </c>
      <c r="L915" t="s">
        <v>12423</v>
      </c>
      <c r="N915" t="s">
        <v>12423</v>
      </c>
      <c r="O915" t="s">
        <v>12423</v>
      </c>
      <c r="P915" t="s">
        <v>12424</v>
      </c>
      <c r="Q915" t="s">
        <v>12423</v>
      </c>
      <c r="V915">
        <v>1058</v>
      </c>
      <c r="W915">
        <v>4</v>
      </c>
      <c r="X915">
        <v>2017</v>
      </c>
      <c r="Y915">
        <v>2018</v>
      </c>
      <c r="Z915">
        <v>190.29</v>
      </c>
      <c r="AB915" t="s">
        <v>181</v>
      </c>
      <c r="AC915" t="s">
        <v>182</v>
      </c>
      <c r="AD915" t="s">
        <v>183</v>
      </c>
      <c r="AE915">
        <v>0</v>
      </c>
      <c r="AF915">
        <v>2</v>
      </c>
      <c r="AG915" t="s">
        <v>821</v>
      </c>
      <c r="AH915">
        <v>100</v>
      </c>
      <c r="AK915">
        <v>0</v>
      </c>
      <c r="AL915">
        <v>42364</v>
      </c>
      <c r="AM915">
        <v>1472</v>
      </c>
      <c r="AN915">
        <v>40892</v>
      </c>
      <c r="AO915">
        <v>645</v>
      </c>
      <c r="AP915">
        <v>2016</v>
      </c>
      <c r="AQ915">
        <v>0.45</v>
      </c>
      <c r="AS915" t="s">
        <v>12425</v>
      </c>
      <c r="AT915" t="s">
        <v>3747</v>
      </c>
      <c r="AU915" t="s">
        <v>177</v>
      </c>
      <c r="AV915" t="s">
        <v>1030</v>
      </c>
      <c r="AW915" t="s">
        <v>182</v>
      </c>
      <c r="AX915">
        <v>50</v>
      </c>
      <c r="AY915" t="s">
        <v>218</v>
      </c>
      <c r="AZ915" t="s">
        <v>589</v>
      </c>
      <c r="BA915" t="s">
        <v>590</v>
      </c>
      <c r="BB915" t="s">
        <v>191</v>
      </c>
      <c r="BC915" t="s">
        <v>182</v>
      </c>
      <c r="BD915" t="s">
        <v>182</v>
      </c>
      <c r="BE915" t="s">
        <v>7101</v>
      </c>
      <c r="BF915">
        <v>0</v>
      </c>
      <c r="BG915">
        <v>0</v>
      </c>
      <c r="BH915">
        <v>0</v>
      </c>
      <c r="BI915" t="s">
        <v>199</v>
      </c>
      <c r="BJ915" t="s">
        <v>248</v>
      </c>
      <c r="BL915" t="s">
        <v>578</v>
      </c>
      <c r="BM915" t="s">
        <v>679</v>
      </c>
      <c r="BN915" t="s">
        <v>182</v>
      </c>
      <c r="BO915" t="s">
        <v>5326</v>
      </c>
      <c r="BP915" t="s">
        <v>1574</v>
      </c>
      <c r="BQ915" t="s">
        <v>1285</v>
      </c>
      <c r="BR915" t="s">
        <v>563</v>
      </c>
      <c r="BS915" t="s">
        <v>198</v>
      </c>
      <c r="BT915" t="s">
        <v>12426</v>
      </c>
      <c r="BU915" t="s">
        <v>182</v>
      </c>
      <c r="BV915" t="s">
        <v>198</v>
      </c>
      <c r="BW915" t="s">
        <v>198</v>
      </c>
      <c r="BX915" t="s">
        <v>199</v>
      </c>
      <c r="BY915" t="s">
        <v>198</v>
      </c>
      <c r="BZ915" t="s">
        <v>199</v>
      </c>
      <c r="CA915" t="s">
        <v>199</v>
      </c>
      <c r="CB915" t="s">
        <v>11411</v>
      </c>
      <c r="CC915" t="s">
        <v>201</v>
      </c>
      <c r="CD915" t="s">
        <v>182</v>
      </c>
      <c r="CE915" t="s">
        <v>11400</v>
      </c>
      <c r="CF915" t="s">
        <v>1029</v>
      </c>
      <c r="CG915" t="s">
        <v>177</v>
      </c>
      <c r="CH915" t="s">
        <v>1030</v>
      </c>
      <c r="CI915" t="s">
        <v>12427</v>
      </c>
      <c r="CJ915" t="s">
        <v>6682</v>
      </c>
      <c r="CK915" t="s">
        <v>273</v>
      </c>
      <c r="CL915" t="s">
        <v>274</v>
      </c>
      <c r="CM915" t="s">
        <v>12428</v>
      </c>
      <c r="CN915" t="s">
        <v>235</v>
      </c>
      <c r="CO915" t="s">
        <v>183</v>
      </c>
      <c r="CP915" t="s">
        <v>211</v>
      </c>
      <c r="CQ915" t="s">
        <v>329</v>
      </c>
      <c r="CS915" t="s">
        <v>1765</v>
      </c>
      <c r="CT915" t="s">
        <v>12429</v>
      </c>
      <c r="CU915" t="s">
        <v>207</v>
      </c>
      <c r="CV915" t="s">
        <v>208</v>
      </c>
      <c r="CW915" t="s">
        <v>12430</v>
      </c>
      <c r="CX915" t="s">
        <v>341</v>
      </c>
      <c r="CY915" t="s">
        <v>183</v>
      </c>
      <c r="CZ915" t="s">
        <v>211</v>
      </c>
      <c r="DA915" t="s">
        <v>329</v>
      </c>
      <c r="DC915" t="s">
        <v>7213</v>
      </c>
      <c r="DM915" t="s">
        <v>198</v>
      </c>
      <c r="DW915" t="s">
        <v>198</v>
      </c>
      <c r="EG915" t="s">
        <v>198</v>
      </c>
      <c r="EQ915" t="s">
        <v>198</v>
      </c>
      <c r="FA915" t="s">
        <v>198</v>
      </c>
      <c r="FK915" t="s">
        <v>198</v>
      </c>
      <c r="FU915" t="s">
        <v>198</v>
      </c>
    </row>
    <row r="916" spans="1:177">
      <c r="A916" s="1" t="str">
        <f>HYPERLINK("http://digipan.lumentumllc.com/apps/getLink/index.php?t=PropLink&amp;p=4638804","PL")</f>
        <v>PL</v>
      </c>
      <c r="B916" s="1" t="str">
        <f>HYPERLINK("http://digipan.lumentumllc.com/apps/getLink/index.php?t=TaxLink&amp;p=4638804","TL")</f>
        <v>TL</v>
      </c>
      <c r="C916" s="1" t="str">
        <f>HYPERLINK("http://digipan.lumentumllc.com/apps/getMap/index.php?p=4638804","Map")</f>
        <v>Map</v>
      </c>
      <c r="E916" t="s">
        <v>177</v>
      </c>
      <c r="F916" t="s">
        <v>178</v>
      </c>
      <c r="L916" t="s">
        <v>12431</v>
      </c>
      <c r="N916" t="s">
        <v>12431</v>
      </c>
      <c r="O916" t="s">
        <v>12431</v>
      </c>
      <c r="P916" t="s">
        <v>12432</v>
      </c>
      <c r="Q916" t="s">
        <v>12431</v>
      </c>
      <c r="V916">
        <v>1059</v>
      </c>
      <c r="W916">
        <v>4</v>
      </c>
      <c r="X916">
        <v>2017</v>
      </c>
      <c r="Y916">
        <v>2018</v>
      </c>
      <c r="Z916">
        <v>322.8</v>
      </c>
      <c r="AB916" t="s">
        <v>181</v>
      </c>
      <c r="AC916" t="s">
        <v>202</v>
      </c>
      <c r="AD916" t="s">
        <v>183</v>
      </c>
      <c r="AE916">
        <v>1</v>
      </c>
      <c r="AF916">
        <v>4</v>
      </c>
      <c r="AG916" t="s">
        <v>951</v>
      </c>
      <c r="AH916">
        <v>80</v>
      </c>
      <c r="AI916">
        <v>280.02999999999997</v>
      </c>
      <c r="AJ916">
        <v>23.8</v>
      </c>
      <c r="AK916">
        <v>303.83</v>
      </c>
      <c r="AL916">
        <v>19050</v>
      </c>
      <c r="AM916">
        <v>19050</v>
      </c>
      <c r="AN916">
        <v>0</v>
      </c>
      <c r="AO916">
        <v>234</v>
      </c>
      <c r="AP916">
        <v>2016</v>
      </c>
      <c r="AQ916">
        <v>1.69</v>
      </c>
      <c r="AR916">
        <v>1.59</v>
      </c>
      <c r="AS916" t="s">
        <v>11345</v>
      </c>
      <c r="AT916" t="s">
        <v>3747</v>
      </c>
      <c r="AU916" t="s">
        <v>177</v>
      </c>
      <c r="AV916" t="s">
        <v>1030</v>
      </c>
      <c r="AW916" t="s">
        <v>182</v>
      </c>
      <c r="AX916">
        <v>0</v>
      </c>
      <c r="AY916" t="s">
        <v>312</v>
      </c>
      <c r="AZ916" t="s">
        <v>199</v>
      </c>
      <c r="BA916" t="s">
        <v>313</v>
      </c>
      <c r="BB916" t="s">
        <v>191</v>
      </c>
      <c r="BC916" t="s">
        <v>182</v>
      </c>
      <c r="BD916" t="s">
        <v>182</v>
      </c>
      <c r="BE916" t="s">
        <v>4272</v>
      </c>
      <c r="BF916">
        <v>0</v>
      </c>
      <c r="BG916">
        <v>0</v>
      </c>
      <c r="BH916">
        <v>0</v>
      </c>
      <c r="BI916" t="s">
        <v>199</v>
      </c>
      <c r="BJ916" t="s">
        <v>315</v>
      </c>
      <c r="BL916" t="s">
        <v>199</v>
      </c>
      <c r="BM916" t="s">
        <v>358</v>
      </c>
      <c r="BN916" t="s">
        <v>182</v>
      </c>
      <c r="BO916" t="s">
        <v>198</v>
      </c>
      <c r="BP916" t="s">
        <v>198</v>
      </c>
      <c r="BQ916" t="s">
        <v>198</v>
      </c>
      <c r="BR916" t="s">
        <v>198</v>
      </c>
      <c r="BS916" t="s">
        <v>198</v>
      </c>
      <c r="BT916" t="s">
        <v>198</v>
      </c>
      <c r="BU916" t="s">
        <v>182</v>
      </c>
      <c r="BV916" t="s">
        <v>198</v>
      </c>
      <c r="BW916" t="s">
        <v>198</v>
      </c>
      <c r="BX916" t="s">
        <v>199</v>
      </c>
      <c r="BY916" t="s">
        <v>198</v>
      </c>
      <c r="BZ916" t="s">
        <v>199</v>
      </c>
      <c r="CA916" t="s">
        <v>199</v>
      </c>
      <c r="CB916" t="s">
        <v>11363</v>
      </c>
      <c r="CC916" t="s">
        <v>201</v>
      </c>
      <c r="CD916" t="s">
        <v>202</v>
      </c>
      <c r="CE916" t="s">
        <v>12433</v>
      </c>
      <c r="CF916" t="s">
        <v>1029</v>
      </c>
      <c r="CG916" t="s">
        <v>177</v>
      </c>
      <c r="CH916" t="s">
        <v>1030</v>
      </c>
      <c r="CI916" t="s">
        <v>11364</v>
      </c>
      <c r="CJ916" t="s">
        <v>12434</v>
      </c>
      <c r="CK916" t="s">
        <v>232</v>
      </c>
      <c r="CL916" t="s">
        <v>233</v>
      </c>
      <c r="CM916" t="s">
        <v>10732</v>
      </c>
      <c r="CN916" t="s">
        <v>2679</v>
      </c>
      <c r="CO916" t="s">
        <v>183</v>
      </c>
      <c r="CP916" t="s">
        <v>266</v>
      </c>
      <c r="CS916" t="s">
        <v>198</v>
      </c>
      <c r="CT916" t="s">
        <v>12435</v>
      </c>
      <c r="CU916" t="s">
        <v>267</v>
      </c>
      <c r="CV916" t="s">
        <v>268</v>
      </c>
      <c r="CW916" t="s">
        <v>10734</v>
      </c>
      <c r="CX916" t="s">
        <v>247</v>
      </c>
      <c r="CY916" t="s">
        <v>183</v>
      </c>
      <c r="CZ916" t="s">
        <v>211</v>
      </c>
      <c r="DA916" t="s">
        <v>290</v>
      </c>
      <c r="DB916" t="s">
        <v>271</v>
      </c>
      <c r="DC916" t="s">
        <v>9732</v>
      </c>
      <c r="DD916" t="s">
        <v>11822</v>
      </c>
      <c r="DE916" t="s">
        <v>273</v>
      </c>
      <c r="DF916" t="s">
        <v>274</v>
      </c>
      <c r="DG916" t="s">
        <v>10735</v>
      </c>
      <c r="DH916" t="s">
        <v>389</v>
      </c>
      <c r="DI916" t="s">
        <v>183</v>
      </c>
      <c r="DJ916" t="s">
        <v>211</v>
      </c>
      <c r="DK916" t="s">
        <v>523</v>
      </c>
      <c r="DL916" t="s">
        <v>271</v>
      </c>
      <c r="DM916" t="s">
        <v>9732</v>
      </c>
      <c r="DN916" t="s">
        <v>10141</v>
      </c>
      <c r="DO916" t="s">
        <v>302</v>
      </c>
      <c r="DP916" t="s">
        <v>303</v>
      </c>
      <c r="DQ916" t="s">
        <v>12436</v>
      </c>
      <c r="DR916" t="s">
        <v>440</v>
      </c>
      <c r="DS916" t="s">
        <v>183</v>
      </c>
      <c r="DT916" t="s">
        <v>211</v>
      </c>
      <c r="DV916" t="s">
        <v>271</v>
      </c>
      <c r="DW916" t="s">
        <v>198</v>
      </c>
      <c r="DX916" t="s">
        <v>12437</v>
      </c>
      <c r="DY916" t="s">
        <v>238</v>
      </c>
      <c r="DZ916" t="s">
        <v>239</v>
      </c>
      <c r="EA916" t="s">
        <v>12438</v>
      </c>
      <c r="EB916" t="s">
        <v>278</v>
      </c>
      <c r="EC916" t="s">
        <v>183</v>
      </c>
      <c r="ED916" t="s">
        <v>211</v>
      </c>
      <c r="EE916" t="s">
        <v>1046</v>
      </c>
      <c r="EF916" t="s">
        <v>271</v>
      </c>
      <c r="EG916" t="s">
        <v>9732</v>
      </c>
      <c r="EQ916" t="s">
        <v>198</v>
      </c>
      <c r="FA916" t="s">
        <v>198</v>
      </c>
      <c r="FK916" t="s">
        <v>198</v>
      </c>
      <c r="FU916" t="s">
        <v>198</v>
      </c>
    </row>
    <row r="917" spans="1:177">
      <c r="A917" s="1" t="str">
        <f>HYPERLINK("http://digipan.lumentumllc.com/apps/getLink/index.php?t=PropLink&amp;p=15763015","PL")</f>
        <v>PL</v>
      </c>
      <c r="B917" s="1" t="str">
        <f>HYPERLINK("http://digipan.lumentumllc.com/apps/getLink/index.php?t=TaxLink&amp;p=15763015","TL")</f>
        <v>TL</v>
      </c>
      <c r="C917" s="1" t="str">
        <f>HYPERLINK("http://digipan.lumentumllc.com/apps/getMap/index.php?p=15763015","Map")</f>
        <v>Map</v>
      </c>
      <c r="E917" t="s">
        <v>177</v>
      </c>
      <c r="F917" t="s">
        <v>178</v>
      </c>
      <c r="L917" t="s">
        <v>12439</v>
      </c>
      <c r="N917" t="s">
        <v>12439</v>
      </c>
      <c r="O917" t="s">
        <v>12439</v>
      </c>
      <c r="Q917" t="s">
        <v>12439</v>
      </c>
      <c r="V917">
        <v>1060</v>
      </c>
      <c r="W917">
        <v>4</v>
      </c>
      <c r="X917">
        <v>2017</v>
      </c>
      <c r="Y917">
        <v>2018</v>
      </c>
      <c r="Z917">
        <v>445.09</v>
      </c>
      <c r="AG917" t="s">
        <v>184</v>
      </c>
      <c r="AH917">
        <v>0</v>
      </c>
      <c r="AK917">
        <v>0</v>
      </c>
      <c r="AL917">
        <v>142045</v>
      </c>
      <c r="AM917">
        <v>32880</v>
      </c>
      <c r="AN917">
        <v>109165</v>
      </c>
      <c r="AO917">
        <v>0</v>
      </c>
      <c r="AP917">
        <v>0</v>
      </c>
      <c r="AQ917">
        <v>0.31</v>
      </c>
      <c r="AS917" t="s">
        <v>12440</v>
      </c>
      <c r="AT917" t="s">
        <v>3747</v>
      </c>
      <c r="AU917" t="s">
        <v>177</v>
      </c>
      <c r="AV917" t="s">
        <v>1030</v>
      </c>
      <c r="AW917" t="s">
        <v>202</v>
      </c>
      <c r="AX917">
        <v>1</v>
      </c>
      <c r="AY917" t="s">
        <v>188</v>
      </c>
      <c r="AZ917" t="s">
        <v>206</v>
      </c>
      <c r="BA917" t="s">
        <v>355</v>
      </c>
      <c r="BB917" t="s">
        <v>191</v>
      </c>
      <c r="BC917" t="s">
        <v>182</v>
      </c>
      <c r="BD917" t="s">
        <v>1528</v>
      </c>
      <c r="BE917" t="s">
        <v>12441</v>
      </c>
      <c r="BF917">
        <v>1</v>
      </c>
      <c r="BG917">
        <v>1</v>
      </c>
      <c r="BH917">
        <v>1990</v>
      </c>
      <c r="BI917" t="s">
        <v>12442</v>
      </c>
      <c r="BJ917" t="s">
        <v>194</v>
      </c>
      <c r="BK917" t="s">
        <v>195</v>
      </c>
      <c r="BL917" t="s">
        <v>199</v>
      </c>
      <c r="BM917" t="s">
        <v>559</v>
      </c>
      <c r="BN917" t="s">
        <v>182</v>
      </c>
      <c r="BO917" t="s">
        <v>198</v>
      </c>
      <c r="BP917" t="s">
        <v>198</v>
      </c>
      <c r="BQ917" t="s">
        <v>198</v>
      </c>
      <c r="BR917" t="s">
        <v>198</v>
      </c>
      <c r="BS917" t="s">
        <v>198</v>
      </c>
      <c r="BT917" t="s">
        <v>198</v>
      </c>
      <c r="BU917" t="s">
        <v>182</v>
      </c>
      <c r="BV917" t="s">
        <v>198</v>
      </c>
      <c r="BW917" t="s">
        <v>198</v>
      </c>
      <c r="BX917" t="s">
        <v>199</v>
      </c>
      <c r="BY917" t="s">
        <v>198</v>
      </c>
      <c r="BZ917" t="s">
        <v>199</v>
      </c>
      <c r="CA917" t="s">
        <v>199</v>
      </c>
      <c r="CB917" t="s">
        <v>12443</v>
      </c>
      <c r="CC917" t="s">
        <v>1407</v>
      </c>
      <c r="CD917" t="s">
        <v>202</v>
      </c>
      <c r="CE917" t="s">
        <v>12444</v>
      </c>
      <c r="CF917" t="s">
        <v>1029</v>
      </c>
      <c r="CG917" t="s">
        <v>177</v>
      </c>
      <c r="CH917" t="s">
        <v>1030</v>
      </c>
      <c r="CI917" t="s">
        <v>12445</v>
      </c>
      <c r="CS917" t="s">
        <v>198</v>
      </c>
      <c r="DC917" t="s">
        <v>198</v>
      </c>
      <c r="DM917" t="s">
        <v>198</v>
      </c>
      <c r="DW917" t="s">
        <v>198</v>
      </c>
      <c r="EG917" t="s">
        <v>198</v>
      </c>
      <c r="EQ917" t="s">
        <v>198</v>
      </c>
      <c r="FA917" t="s">
        <v>198</v>
      </c>
      <c r="FK917" t="s">
        <v>198</v>
      </c>
      <c r="FU917" t="s">
        <v>198</v>
      </c>
    </row>
    <row r="918" spans="1:177">
      <c r="A918" s="1" t="str">
        <f>HYPERLINK("http://digipan.lumentumllc.com/apps/getLink/index.php?t=PropLink&amp;p=6594405","PL")</f>
        <v>PL</v>
      </c>
      <c r="B918" s="1" t="str">
        <f>HYPERLINK("http://digipan.lumentumllc.com/apps/getLink/index.php?t=TaxLink&amp;p=6594405","TL")</f>
        <v>TL</v>
      </c>
      <c r="C918" s="1" t="str">
        <f>HYPERLINK("http://digipan.lumentumllc.com/apps/getMap/index.php?p=6594405","Map")</f>
        <v>Map</v>
      </c>
      <c r="E918" t="s">
        <v>177</v>
      </c>
      <c r="F918" t="s">
        <v>178</v>
      </c>
      <c r="L918" t="s">
        <v>12446</v>
      </c>
      <c r="N918" t="s">
        <v>12446</v>
      </c>
      <c r="O918" t="s">
        <v>12446</v>
      </c>
      <c r="P918" t="s">
        <v>12447</v>
      </c>
      <c r="Q918" t="s">
        <v>12446</v>
      </c>
      <c r="V918">
        <v>1061</v>
      </c>
      <c r="W918">
        <v>4</v>
      </c>
      <c r="X918">
        <v>2017</v>
      </c>
      <c r="Y918">
        <v>2018</v>
      </c>
      <c r="Z918">
        <v>1981.2</v>
      </c>
      <c r="AB918" t="s">
        <v>181</v>
      </c>
      <c r="AC918" t="s">
        <v>182</v>
      </c>
      <c r="AD918" t="s">
        <v>183</v>
      </c>
      <c r="AE918">
        <v>0</v>
      </c>
      <c r="AF918">
        <v>2</v>
      </c>
      <c r="AG918" t="s">
        <v>216</v>
      </c>
      <c r="AH918">
        <v>100</v>
      </c>
      <c r="AK918">
        <v>0</v>
      </c>
      <c r="AL918">
        <v>119052</v>
      </c>
      <c r="AM918">
        <v>35040</v>
      </c>
      <c r="AN918">
        <v>84012</v>
      </c>
      <c r="AO918">
        <v>1836</v>
      </c>
      <c r="AP918">
        <v>2016</v>
      </c>
      <c r="AQ918">
        <v>1.66</v>
      </c>
      <c r="AS918" t="s">
        <v>12448</v>
      </c>
      <c r="AT918" t="s">
        <v>3747</v>
      </c>
      <c r="AU918" t="s">
        <v>177</v>
      </c>
      <c r="AV918" t="s">
        <v>1030</v>
      </c>
      <c r="AW918" t="s">
        <v>182</v>
      </c>
      <c r="AX918">
        <v>1</v>
      </c>
      <c r="AY918" t="s">
        <v>188</v>
      </c>
      <c r="AZ918" t="s">
        <v>206</v>
      </c>
      <c r="BA918" t="s">
        <v>355</v>
      </c>
      <c r="BB918" t="s">
        <v>191</v>
      </c>
      <c r="BC918" t="s">
        <v>182</v>
      </c>
      <c r="BD918" t="s">
        <v>182</v>
      </c>
      <c r="BE918" t="s">
        <v>12449</v>
      </c>
      <c r="BF918">
        <v>3</v>
      </c>
      <c r="BG918">
        <v>3</v>
      </c>
      <c r="BH918">
        <v>1956</v>
      </c>
      <c r="BI918" t="s">
        <v>12450</v>
      </c>
      <c r="BJ918" t="s">
        <v>194</v>
      </c>
      <c r="BK918" t="s">
        <v>195</v>
      </c>
      <c r="BL918" t="s">
        <v>2801</v>
      </c>
      <c r="BM918" t="s">
        <v>501</v>
      </c>
      <c r="BN918" t="s">
        <v>182</v>
      </c>
      <c r="BO918" t="s">
        <v>198</v>
      </c>
      <c r="BP918" t="s">
        <v>198</v>
      </c>
      <c r="BQ918" t="s">
        <v>198</v>
      </c>
      <c r="BR918" t="s">
        <v>198</v>
      </c>
      <c r="BS918" t="s">
        <v>198</v>
      </c>
      <c r="BT918" t="s">
        <v>198</v>
      </c>
      <c r="BU918" t="s">
        <v>182</v>
      </c>
      <c r="BV918" t="s">
        <v>198</v>
      </c>
      <c r="BW918" t="s">
        <v>198</v>
      </c>
      <c r="BX918" t="s">
        <v>199</v>
      </c>
      <c r="BY918" t="s">
        <v>198</v>
      </c>
      <c r="BZ918" t="s">
        <v>199</v>
      </c>
      <c r="CA918" t="s">
        <v>199</v>
      </c>
      <c r="CB918" t="s">
        <v>12451</v>
      </c>
      <c r="CC918" t="s">
        <v>201</v>
      </c>
      <c r="CD918" t="s">
        <v>202</v>
      </c>
      <c r="CE918" t="s">
        <v>7878</v>
      </c>
      <c r="CF918" t="s">
        <v>204</v>
      </c>
      <c r="CG918" t="s">
        <v>177</v>
      </c>
      <c r="CH918" t="s">
        <v>187</v>
      </c>
      <c r="CI918" t="s">
        <v>12452</v>
      </c>
      <c r="CJ918" t="s">
        <v>11368</v>
      </c>
      <c r="CK918" t="s">
        <v>292</v>
      </c>
      <c r="CL918" t="s">
        <v>293</v>
      </c>
      <c r="CM918" t="s">
        <v>12453</v>
      </c>
      <c r="CN918" t="s">
        <v>235</v>
      </c>
      <c r="CO918" t="s">
        <v>183</v>
      </c>
      <c r="CP918" t="s">
        <v>211</v>
      </c>
      <c r="CQ918" t="s">
        <v>345</v>
      </c>
      <c r="CS918" t="s">
        <v>1088</v>
      </c>
      <c r="CT918" t="s">
        <v>9873</v>
      </c>
      <c r="CU918" t="s">
        <v>273</v>
      </c>
      <c r="CV918" t="s">
        <v>274</v>
      </c>
      <c r="CW918" t="s">
        <v>12454</v>
      </c>
      <c r="CX918" t="s">
        <v>235</v>
      </c>
      <c r="CY918" t="s">
        <v>183</v>
      </c>
      <c r="CZ918" t="s">
        <v>211</v>
      </c>
      <c r="DA918" t="s">
        <v>270</v>
      </c>
      <c r="DC918" t="s">
        <v>1486</v>
      </c>
      <c r="DM918" t="s">
        <v>198</v>
      </c>
      <c r="DW918" t="s">
        <v>198</v>
      </c>
      <c r="EG918" t="s">
        <v>198</v>
      </c>
      <c r="EQ918" t="s">
        <v>198</v>
      </c>
      <c r="FA918" t="s">
        <v>198</v>
      </c>
      <c r="FK918" t="s">
        <v>198</v>
      </c>
      <c r="FU918" t="s">
        <v>198</v>
      </c>
    </row>
    <row r="919" spans="1:177">
      <c r="A919" s="1" t="str">
        <f>HYPERLINK("http://digipan.lumentumllc.com/apps/getLink/index.php?t=PropLink&amp;p=6462109","PL")</f>
        <v>PL</v>
      </c>
      <c r="B919" s="1" t="str">
        <f>HYPERLINK("http://digipan.lumentumllc.com/apps/getLink/index.php?t=TaxLink&amp;p=6462109","TL")</f>
        <v>TL</v>
      </c>
      <c r="C919" s="1" t="str">
        <f>HYPERLINK("http://digipan.lumentumllc.com/apps/getMap/index.php?p=6462109","Map")</f>
        <v>Map</v>
      </c>
      <c r="E919" t="s">
        <v>177</v>
      </c>
      <c r="F919" t="s">
        <v>178</v>
      </c>
      <c r="L919" t="s">
        <v>12455</v>
      </c>
      <c r="N919" t="s">
        <v>12455</v>
      </c>
      <c r="O919" t="s">
        <v>12455</v>
      </c>
      <c r="P919" t="s">
        <v>12456</v>
      </c>
      <c r="Q919" t="s">
        <v>12455</v>
      </c>
      <c r="V919">
        <v>1062</v>
      </c>
      <c r="W919">
        <v>4</v>
      </c>
      <c r="X919">
        <v>2017</v>
      </c>
      <c r="Y919">
        <v>2018</v>
      </c>
      <c r="Z919">
        <v>2645.12</v>
      </c>
      <c r="AB919" t="s">
        <v>181</v>
      </c>
      <c r="AC919" t="s">
        <v>202</v>
      </c>
      <c r="AD919" t="s">
        <v>183</v>
      </c>
      <c r="AE919">
        <v>0</v>
      </c>
      <c r="AF919">
        <v>4</v>
      </c>
      <c r="AG919" t="s">
        <v>744</v>
      </c>
      <c r="AH919">
        <v>100</v>
      </c>
      <c r="AK919">
        <v>0</v>
      </c>
      <c r="AL919">
        <v>346613</v>
      </c>
      <c r="AM919">
        <v>57039</v>
      </c>
      <c r="AN919">
        <v>289574</v>
      </c>
      <c r="AO919">
        <v>2338</v>
      </c>
      <c r="AP919">
        <v>2016</v>
      </c>
      <c r="AQ919">
        <v>0.76</v>
      </c>
      <c r="AS919" t="s">
        <v>12457</v>
      </c>
      <c r="AT919" t="s">
        <v>3747</v>
      </c>
      <c r="AU919" t="s">
        <v>177</v>
      </c>
      <c r="AV919" t="s">
        <v>1030</v>
      </c>
      <c r="AW919" t="s">
        <v>182</v>
      </c>
      <c r="AX919">
        <v>55</v>
      </c>
      <c r="AY919" t="s">
        <v>218</v>
      </c>
      <c r="AZ919" t="s">
        <v>1682</v>
      </c>
      <c r="BA919" t="s">
        <v>1683</v>
      </c>
      <c r="BB919" t="s">
        <v>191</v>
      </c>
      <c r="BC919" t="s">
        <v>182</v>
      </c>
      <c r="BD919" t="s">
        <v>182</v>
      </c>
      <c r="BE919" t="s">
        <v>12458</v>
      </c>
      <c r="BF919">
        <v>2</v>
      </c>
      <c r="BG919">
        <v>2</v>
      </c>
      <c r="BH919">
        <v>1945</v>
      </c>
      <c r="BI919" t="s">
        <v>12459</v>
      </c>
      <c r="BJ919" t="s">
        <v>194</v>
      </c>
      <c r="BK919" t="s">
        <v>195</v>
      </c>
      <c r="BL919" t="s">
        <v>199</v>
      </c>
      <c r="BM919" t="s">
        <v>679</v>
      </c>
      <c r="BN919" t="s">
        <v>182</v>
      </c>
      <c r="BO919" t="s">
        <v>198</v>
      </c>
      <c r="BP919" t="s">
        <v>198</v>
      </c>
      <c r="BQ919" t="s">
        <v>198</v>
      </c>
      <c r="BR919" t="s">
        <v>198</v>
      </c>
      <c r="BS919" t="s">
        <v>198</v>
      </c>
      <c r="BT919" t="s">
        <v>198</v>
      </c>
      <c r="BU919" t="s">
        <v>182</v>
      </c>
      <c r="BV919" t="s">
        <v>198</v>
      </c>
      <c r="BW919" t="s">
        <v>198</v>
      </c>
      <c r="BX919" t="s">
        <v>199</v>
      </c>
      <c r="BY919" t="s">
        <v>198</v>
      </c>
      <c r="BZ919" t="s">
        <v>199</v>
      </c>
      <c r="CA919" t="s">
        <v>199</v>
      </c>
      <c r="CB919" t="s">
        <v>12460</v>
      </c>
      <c r="CC919" t="s">
        <v>201</v>
      </c>
      <c r="CD919" t="s">
        <v>182</v>
      </c>
      <c r="CE919" t="s">
        <v>12461</v>
      </c>
      <c r="CF919" t="s">
        <v>1029</v>
      </c>
      <c r="CG919" t="s">
        <v>177</v>
      </c>
      <c r="CH919" t="s">
        <v>1030</v>
      </c>
      <c r="CI919" t="s">
        <v>12462</v>
      </c>
      <c r="CJ919" t="s">
        <v>11385</v>
      </c>
      <c r="CK919" t="s">
        <v>292</v>
      </c>
      <c r="CL919" t="s">
        <v>293</v>
      </c>
      <c r="CM919" t="s">
        <v>12463</v>
      </c>
      <c r="CN919" t="s">
        <v>235</v>
      </c>
      <c r="CO919" t="s">
        <v>183</v>
      </c>
      <c r="CP919" t="s">
        <v>211</v>
      </c>
      <c r="CQ919" t="s">
        <v>270</v>
      </c>
      <c r="CR919" t="s">
        <v>271</v>
      </c>
      <c r="CS919" t="s">
        <v>4800</v>
      </c>
      <c r="CT919" t="s">
        <v>9463</v>
      </c>
      <c r="CU919" t="s">
        <v>267</v>
      </c>
      <c r="CV919" t="s">
        <v>268</v>
      </c>
      <c r="CW919" t="s">
        <v>12464</v>
      </c>
      <c r="CX919" t="s">
        <v>331</v>
      </c>
      <c r="CY919" t="s">
        <v>183</v>
      </c>
      <c r="CZ919" t="s">
        <v>211</v>
      </c>
      <c r="DB919" t="s">
        <v>271</v>
      </c>
      <c r="DC919" t="s">
        <v>198</v>
      </c>
      <c r="DD919" t="s">
        <v>9888</v>
      </c>
      <c r="DE919" t="s">
        <v>273</v>
      </c>
      <c r="DF919" t="s">
        <v>274</v>
      </c>
      <c r="DG919" t="s">
        <v>12465</v>
      </c>
      <c r="DH919" t="s">
        <v>235</v>
      </c>
      <c r="DI919" t="s">
        <v>183</v>
      </c>
      <c r="DJ919" t="s">
        <v>211</v>
      </c>
      <c r="DK919" t="s">
        <v>298</v>
      </c>
      <c r="DM919" t="s">
        <v>5484</v>
      </c>
      <c r="DN919" t="s">
        <v>9121</v>
      </c>
      <c r="DO919" t="s">
        <v>302</v>
      </c>
      <c r="DP919" t="s">
        <v>303</v>
      </c>
      <c r="DQ919" t="s">
        <v>12466</v>
      </c>
      <c r="DR919" t="s">
        <v>235</v>
      </c>
      <c r="DS919" t="s">
        <v>183</v>
      </c>
      <c r="DT919" t="s">
        <v>211</v>
      </c>
      <c r="DU919" t="s">
        <v>334</v>
      </c>
      <c r="DW919" t="s">
        <v>4967</v>
      </c>
      <c r="EG919" t="s">
        <v>198</v>
      </c>
      <c r="EQ919" t="s">
        <v>198</v>
      </c>
      <c r="FA919" t="s">
        <v>198</v>
      </c>
      <c r="FK919" t="s">
        <v>198</v>
      </c>
      <c r="FU919" t="s">
        <v>198</v>
      </c>
    </row>
    <row r="920" spans="1:177">
      <c r="A920" s="1" t="str">
        <f>HYPERLINK("http://digipan.lumentumllc.com/apps/getLink/index.php?t=PropLink&amp;p=5248452","PL")</f>
        <v>PL</v>
      </c>
      <c r="B920" s="1" t="str">
        <f>HYPERLINK("http://digipan.lumentumllc.com/apps/getLink/index.php?t=TaxLink&amp;p=5248452","TL")</f>
        <v>TL</v>
      </c>
      <c r="C920" s="1" t="str">
        <f>HYPERLINK("http://digipan.lumentumllc.com/apps/getMap/index.php?p=5248452","Map")</f>
        <v>Map</v>
      </c>
      <c r="E920" t="s">
        <v>177</v>
      </c>
      <c r="F920" t="s">
        <v>178</v>
      </c>
      <c r="L920" t="s">
        <v>12467</v>
      </c>
      <c r="N920" t="s">
        <v>12467</v>
      </c>
      <c r="O920" t="s">
        <v>12467</v>
      </c>
      <c r="P920" t="s">
        <v>12468</v>
      </c>
      <c r="Q920" t="s">
        <v>12467</v>
      </c>
      <c r="V920">
        <v>1063</v>
      </c>
      <c r="W920">
        <v>4</v>
      </c>
      <c r="X920">
        <v>2017</v>
      </c>
      <c r="Y920">
        <v>2018</v>
      </c>
      <c r="Z920">
        <v>1030.74</v>
      </c>
      <c r="AB920" t="s">
        <v>181</v>
      </c>
      <c r="AC920" t="s">
        <v>182</v>
      </c>
      <c r="AD920" t="s">
        <v>183</v>
      </c>
      <c r="AE920">
        <v>0</v>
      </c>
      <c r="AF920">
        <v>6</v>
      </c>
      <c r="AG920" t="s">
        <v>3266</v>
      </c>
      <c r="AH920">
        <v>100</v>
      </c>
      <c r="AK920">
        <v>0</v>
      </c>
      <c r="AL920">
        <v>61001</v>
      </c>
      <c r="AM920">
        <v>27840</v>
      </c>
      <c r="AN920">
        <v>33161</v>
      </c>
      <c r="AO920">
        <v>936</v>
      </c>
      <c r="AP920">
        <v>2016</v>
      </c>
      <c r="AQ920">
        <v>1.69</v>
      </c>
      <c r="AS920" t="s">
        <v>12469</v>
      </c>
      <c r="AT920" t="s">
        <v>3747</v>
      </c>
      <c r="AU920" t="s">
        <v>177</v>
      </c>
      <c r="AV920" t="s">
        <v>1030</v>
      </c>
      <c r="AW920" t="s">
        <v>182</v>
      </c>
      <c r="AX920">
        <v>1</v>
      </c>
      <c r="AY920" t="s">
        <v>188</v>
      </c>
      <c r="AZ920" t="s">
        <v>206</v>
      </c>
      <c r="BA920" t="s">
        <v>355</v>
      </c>
      <c r="BB920" t="s">
        <v>191</v>
      </c>
      <c r="BC920" t="s">
        <v>182</v>
      </c>
      <c r="BD920" t="s">
        <v>182</v>
      </c>
      <c r="BE920" t="s">
        <v>12470</v>
      </c>
      <c r="BF920">
        <v>1</v>
      </c>
      <c r="BG920">
        <v>1</v>
      </c>
      <c r="BH920">
        <v>1940</v>
      </c>
      <c r="BI920" t="s">
        <v>12471</v>
      </c>
      <c r="BJ920" t="s">
        <v>194</v>
      </c>
      <c r="BK920" t="s">
        <v>195</v>
      </c>
      <c r="BL920" t="s">
        <v>199</v>
      </c>
      <c r="BM920" t="s">
        <v>358</v>
      </c>
      <c r="BN920" t="s">
        <v>182</v>
      </c>
      <c r="BO920" t="s">
        <v>198</v>
      </c>
      <c r="BP920" t="s">
        <v>198</v>
      </c>
      <c r="BQ920" t="s">
        <v>198</v>
      </c>
      <c r="BR920" t="s">
        <v>198</v>
      </c>
      <c r="BS920" t="s">
        <v>198</v>
      </c>
      <c r="BT920" t="s">
        <v>198</v>
      </c>
      <c r="BU920" t="s">
        <v>182</v>
      </c>
      <c r="BV920" t="s">
        <v>198</v>
      </c>
      <c r="BW920" t="s">
        <v>198</v>
      </c>
      <c r="BX920" t="s">
        <v>199</v>
      </c>
      <c r="BY920" t="s">
        <v>198</v>
      </c>
      <c r="BZ920" t="s">
        <v>199</v>
      </c>
      <c r="CA920" t="s">
        <v>199</v>
      </c>
      <c r="CB920" t="s">
        <v>12472</v>
      </c>
      <c r="CC920" t="s">
        <v>201</v>
      </c>
      <c r="CD920" t="s">
        <v>202</v>
      </c>
      <c r="CE920" t="s">
        <v>12473</v>
      </c>
      <c r="CF920" t="s">
        <v>1029</v>
      </c>
      <c r="CG920" t="s">
        <v>177</v>
      </c>
      <c r="CH920" t="s">
        <v>1030</v>
      </c>
      <c r="CI920" t="s">
        <v>12474</v>
      </c>
      <c r="CJ920" t="s">
        <v>5971</v>
      </c>
      <c r="CK920" t="s">
        <v>267</v>
      </c>
      <c r="CL920" t="s">
        <v>268</v>
      </c>
      <c r="CM920" t="s">
        <v>12475</v>
      </c>
      <c r="CN920" t="s">
        <v>235</v>
      </c>
      <c r="CO920" t="s">
        <v>183</v>
      </c>
      <c r="CP920" t="s">
        <v>211</v>
      </c>
      <c r="CQ920" t="s">
        <v>329</v>
      </c>
      <c r="CS920" t="s">
        <v>2856</v>
      </c>
      <c r="CT920" t="s">
        <v>6714</v>
      </c>
      <c r="CU920" t="s">
        <v>273</v>
      </c>
      <c r="CV920" t="s">
        <v>274</v>
      </c>
      <c r="CW920" t="s">
        <v>12476</v>
      </c>
      <c r="CX920" t="s">
        <v>235</v>
      </c>
      <c r="CY920" t="s">
        <v>183</v>
      </c>
      <c r="CZ920" t="s">
        <v>211</v>
      </c>
      <c r="DA920" t="s">
        <v>342</v>
      </c>
      <c r="DC920" t="s">
        <v>2553</v>
      </c>
      <c r="DD920" t="s">
        <v>3832</v>
      </c>
      <c r="DE920" t="s">
        <v>302</v>
      </c>
      <c r="DF920" t="s">
        <v>303</v>
      </c>
      <c r="DG920" t="s">
        <v>12477</v>
      </c>
      <c r="DH920" t="s">
        <v>235</v>
      </c>
      <c r="DI920" t="s">
        <v>183</v>
      </c>
      <c r="DJ920" t="s">
        <v>211</v>
      </c>
      <c r="DK920" t="s">
        <v>298</v>
      </c>
      <c r="DM920" t="s">
        <v>464</v>
      </c>
      <c r="DN920" t="s">
        <v>12478</v>
      </c>
      <c r="DO920" t="s">
        <v>238</v>
      </c>
      <c r="DP920" t="s">
        <v>239</v>
      </c>
      <c r="DQ920" t="s">
        <v>12479</v>
      </c>
      <c r="DR920" t="s">
        <v>235</v>
      </c>
      <c r="DS920" t="s">
        <v>183</v>
      </c>
      <c r="DT920" t="s">
        <v>211</v>
      </c>
      <c r="DU920" t="s">
        <v>298</v>
      </c>
      <c r="DW920" t="s">
        <v>12480</v>
      </c>
      <c r="DX920" t="s">
        <v>12481</v>
      </c>
      <c r="DY920" t="s">
        <v>346</v>
      </c>
      <c r="DZ920" t="s">
        <v>347</v>
      </c>
      <c r="EA920" t="s">
        <v>12482</v>
      </c>
      <c r="EB920" t="s">
        <v>927</v>
      </c>
      <c r="EC920" t="s">
        <v>183</v>
      </c>
      <c r="ED920" t="s">
        <v>211</v>
      </c>
      <c r="EE920" t="s">
        <v>298</v>
      </c>
      <c r="EG920" t="s">
        <v>878</v>
      </c>
      <c r="EH920" t="s">
        <v>12483</v>
      </c>
      <c r="EI920" t="s">
        <v>207</v>
      </c>
      <c r="EJ920" t="s">
        <v>208</v>
      </c>
      <c r="EK920" t="s">
        <v>12484</v>
      </c>
      <c r="EL920" t="s">
        <v>688</v>
      </c>
      <c r="EM920" t="s">
        <v>183</v>
      </c>
      <c r="EN920" t="s">
        <v>211</v>
      </c>
      <c r="EO920" t="s">
        <v>298</v>
      </c>
      <c r="EQ920" t="s">
        <v>1770</v>
      </c>
      <c r="FA920" t="s">
        <v>198</v>
      </c>
      <c r="FK920" t="s">
        <v>198</v>
      </c>
      <c r="FU920" t="s">
        <v>198</v>
      </c>
    </row>
    <row r="921" spans="1:177">
      <c r="A921" s="1" t="str">
        <f>HYPERLINK("http://digipan.lumentumllc.com/apps/getLink/index.php?t=PropLink&amp;p=6462112","PL")</f>
        <v>PL</v>
      </c>
      <c r="B921" s="1" t="str">
        <f>HYPERLINK("http://digipan.lumentumllc.com/apps/getLink/index.php?t=TaxLink&amp;p=6462112","TL")</f>
        <v>TL</v>
      </c>
      <c r="C921" s="1" t="str">
        <f>HYPERLINK("http://digipan.lumentumllc.com/apps/getMap/index.php?p=6462112","Map")</f>
        <v>Map</v>
      </c>
      <c r="E921" t="s">
        <v>177</v>
      </c>
      <c r="F921" t="s">
        <v>178</v>
      </c>
      <c r="L921" t="s">
        <v>12485</v>
      </c>
      <c r="N921" t="s">
        <v>12485</v>
      </c>
      <c r="O921" t="s">
        <v>12485</v>
      </c>
      <c r="P921" t="s">
        <v>12486</v>
      </c>
      <c r="Q921" t="s">
        <v>12485</v>
      </c>
      <c r="V921">
        <v>1065</v>
      </c>
      <c r="W921">
        <v>4</v>
      </c>
      <c r="X921">
        <v>2017</v>
      </c>
      <c r="Y921">
        <v>2018</v>
      </c>
      <c r="Z921">
        <v>14603.09</v>
      </c>
      <c r="AB921" t="s">
        <v>181</v>
      </c>
      <c r="AC921" t="s">
        <v>182</v>
      </c>
      <c r="AD921" t="s">
        <v>183</v>
      </c>
      <c r="AE921">
        <v>0</v>
      </c>
      <c r="AF921">
        <v>5</v>
      </c>
      <c r="AG921" t="s">
        <v>744</v>
      </c>
      <c r="AH921">
        <v>100</v>
      </c>
      <c r="AK921">
        <v>0</v>
      </c>
      <c r="AL921">
        <v>1161743</v>
      </c>
      <c r="AM921">
        <v>55614</v>
      </c>
      <c r="AN921">
        <v>1106129</v>
      </c>
      <c r="AO921">
        <v>23519</v>
      </c>
      <c r="AP921">
        <v>2016</v>
      </c>
      <c r="AQ921">
        <v>1.26</v>
      </c>
      <c r="AS921" t="s">
        <v>12487</v>
      </c>
      <c r="AT921" t="s">
        <v>3747</v>
      </c>
      <c r="AU921" t="s">
        <v>177</v>
      </c>
      <c r="AV921" t="s">
        <v>1030</v>
      </c>
      <c r="AW921" t="s">
        <v>182</v>
      </c>
      <c r="AX921">
        <v>60</v>
      </c>
      <c r="AY921" t="s">
        <v>218</v>
      </c>
      <c r="AZ921" t="s">
        <v>245</v>
      </c>
      <c r="BA921" t="s">
        <v>246</v>
      </c>
      <c r="BB921" t="s">
        <v>191</v>
      </c>
      <c r="BC921" t="s">
        <v>182</v>
      </c>
      <c r="BD921" t="s">
        <v>5248</v>
      </c>
      <c r="BE921" t="s">
        <v>12488</v>
      </c>
      <c r="BF921">
        <v>1</v>
      </c>
      <c r="BG921">
        <v>1</v>
      </c>
      <c r="BH921">
        <v>2008</v>
      </c>
      <c r="BI921" t="s">
        <v>12489</v>
      </c>
      <c r="BJ921" t="s">
        <v>194</v>
      </c>
      <c r="BK921" t="s">
        <v>195</v>
      </c>
      <c r="BL921" t="s">
        <v>2050</v>
      </c>
      <c r="BM921" t="s">
        <v>410</v>
      </c>
      <c r="BN921" t="s">
        <v>182</v>
      </c>
      <c r="BO921" t="s">
        <v>198</v>
      </c>
      <c r="BP921" t="s">
        <v>198</v>
      </c>
      <c r="BQ921" t="s">
        <v>198</v>
      </c>
      <c r="BR921" t="s">
        <v>198</v>
      </c>
      <c r="BS921" t="s">
        <v>198</v>
      </c>
      <c r="BT921" t="s">
        <v>198</v>
      </c>
      <c r="BU921" t="s">
        <v>182</v>
      </c>
      <c r="BV921" t="s">
        <v>198</v>
      </c>
      <c r="BW921" t="s">
        <v>198</v>
      </c>
      <c r="BX921" t="s">
        <v>199</v>
      </c>
      <c r="BY921" t="s">
        <v>198</v>
      </c>
      <c r="BZ921" t="s">
        <v>199</v>
      </c>
      <c r="CA921" t="s">
        <v>199</v>
      </c>
      <c r="CB921" t="s">
        <v>12490</v>
      </c>
      <c r="CC921" t="s">
        <v>201</v>
      </c>
      <c r="CD921" t="s">
        <v>182</v>
      </c>
      <c r="CE921" t="s">
        <v>12491</v>
      </c>
      <c r="CF921" t="s">
        <v>1029</v>
      </c>
      <c r="CG921" t="s">
        <v>177</v>
      </c>
      <c r="CH921" t="s">
        <v>1030</v>
      </c>
      <c r="CI921" t="s">
        <v>12492</v>
      </c>
      <c r="CJ921" t="s">
        <v>4018</v>
      </c>
      <c r="CK921" t="s">
        <v>232</v>
      </c>
      <c r="CL921" t="s">
        <v>233</v>
      </c>
      <c r="CM921" t="s">
        <v>12493</v>
      </c>
      <c r="CN921" t="s">
        <v>235</v>
      </c>
      <c r="CO921" t="s">
        <v>183</v>
      </c>
      <c r="CP921" t="s">
        <v>211</v>
      </c>
      <c r="CQ921" t="s">
        <v>329</v>
      </c>
      <c r="CS921" t="s">
        <v>3588</v>
      </c>
      <c r="CT921" t="s">
        <v>5981</v>
      </c>
      <c r="CU921" t="s">
        <v>267</v>
      </c>
      <c r="CV921" t="s">
        <v>268</v>
      </c>
      <c r="CW921" t="s">
        <v>12494</v>
      </c>
      <c r="CX921" t="s">
        <v>235</v>
      </c>
      <c r="CY921" t="s">
        <v>183</v>
      </c>
      <c r="CZ921" t="s">
        <v>211</v>
      </c>
      <c r="DA921" t="s">
        <v>342</v>
      </c>
      <c r="DC921" t="s">
        <v>3676</v>
      </c>
      <c r="DD921" t="s">
        <v>9922</v>
      </c>
      <c r="DE921" t="s">
        <v>273</v>
      </c>
      <c r="DF921" t="s">
        <v>274</v>
      </c>
      <c r="DG921" t="s">
        <v>12495</v>
      </c>
      <c r="DH921" t="s">
        <v>235</v>
      </c>
      <c r="DI921" t="s">
        <v>183</v>
      </c>
      <c r="DJ921" t="s">
        <v>211</v>
      </c>
      <c r="DK921" t="s">
        <v>298</v>
      </c>
      <c r="DM921" t="s">
        <v>1069</v>
      </c>
      <c r="DN921" t="s">
        <v>10387</v>
      </c>
      <c r="DO921" t="s">
        <v>302</v>
      </c>
      <c r="DP921" t="s">
        <v>303</v>
      </c>
      <c r="DQ921" t="s">
        <v>12496</v>
      </c>
      <c r="DR921" t="s">
        <v>235</v>
      </c>
      <c r="DS921" t="s">
        <v>183</v>
      </c>
      <c r="DT921" t="s">
        <v>211</v>
      </c>
      <c r="DU921" t="s">
        <v>298</v>
      </c>
      <c r="DW921" t="s">
        <v>1765</v>
      </c>
      <c r="DX921" t="s">
        <v>7259</v>
      </c>
      <c r="DY921" t="s">
        <v>207</v>
      </c>
      <c r="DZ921" t="s">
        <v>208</v>
      </c>
      <c r="EA921" t="s">
        <v>12497</v>
      </c>
      <c r="EB921" t="s">
        <v>833</v>
      </c>
      <c r="EC921" t="s">
        <v>183</v>
      </c>
      <c r="ED921" t="s">
        <v>211</v>
      </c>
      <c r="EE921" t="s">
        <v>342</v>
      </c>
      <c r="EG921" t="s">
        <v>8771</v>
      </c>
      <c r="EQ921" t="s">
        <v>198</v>
      </c>
      <c r="FA921" t="s">
        <v>198</v>
      </c>
      <c r="FK921" t="s">
        <v>198</v>
      </c>
      <c r="FU921" t="s">
        <v>198</v>
      </c>
    </row>
    <row r="922" spans="1:177">
      <c r="A922" s="1" t="str">
        <f>HYPERLINK("http://digipan.lumentumllc.com/apps/getLink/index.php?t=PropLink&amp;p=5248477","PL")</f>
        <v>PL</v>
      </c>
      <c r="B922" s="1" t="str">
        <f>HYPERLINK("http://digipan.lumentumllc.com/apps/getLink/index.php?t=TaxLink&amp;p=5248477","TL")</f>
        <v>TL</v>
      </c>
      <c r="C922" s="1" t="str">
        <f>HYPERLINK("http://digipan.lumentumllc.com/apps/getMap/index.php?p=5248477","Map")</f>
        <v>Map</v>
      </c>
      <c r="E922" t="s">
        <v>177</v>
      </c>
      <c r="F922" t="s">
        <v>178</v>
      </c>
      <c r="L922" t="s">
        <v>12498</v>
      </c>
      <c r="N922" t="s">
        <v>12498</v>
      </c>
      <c r="O922" t="s">
        <v>12498</v>
      </c>
      <c r="P922" t="s">
        <v>12499</v>
      </c>
      <c r="Q922" t="s">
        <v>12498</v>
      </c>
      <c r="V922">
        <v>1066</v>
      </c>
      <c r="W922">
        <v>4</v>
      </c>
      <c r="X922">
        <v>2017</v>
      </c>
      <c r="Y922">
        <v>2018</v>
      </c>
      <c r="Z922">
        <v>1732.58</v>
      </c>
      <c r="AB922" t="s">
        <v>181</v>
      </c>
      <c r="AC922" t="s">
        <v>202</v>
      </c>
      <c r="AD922" t="s">
        <v>183</v>
      </c>
      <c r="AE922">
        <v>0</v>
      </c>
      <c r="AF922">
        <v>5</v>
      </c>
      <c r="AG922" t="s">
        <v>3266</v>
      </c>
      <c r="AH922">
        <v>100</v>
      </c>
      <c r="AK922">
        <v>0</v>
      </c>
      <c r="AL922">
        <v>95281</v>
      </c>
      <c r="AM922">
        <v>36951</v>
      </c>
      <c r="AN922">
        <v>58330</v>
      </c>
      <c r="AO922">
        <v>1568</v>
      </c>
      <c r="AP922">
        <v>2016</v>
      </c>
      <c r="AQ922">
        <v>1.82</v>
      </c>
      <c r="AS922" t="s">
        <v>12500</v>
      </c>
      <c r="AT922" t="s">
        <v>3747</v>
      </c>
      <c r="AU922" t="s">
        <v>177</v>
      </c>
      <c r="AV922" t="s">
        <v>1030</v>
      </c>
      <c r="AW922" t="s">
        <v>182</v>
      </c>
      <c r="AX922">
        <v>1</v>
      </c>
      <c r="AY922" t="s">
        <v>188</v>
      </c>
      <c r="AZ922" t="s">
        <v>206</v>
      </c>
      <c r="BA922" t="s">
        <v>355</v>
      </c>
      <c r="BB922" t="s">
        <v>191</v>
      </c>
      <c r="BC922" t="s">
        <v>182</v>
      </c>
      <c r="BD922" t="s">
        <v>182</v>
      </c>
      <c r="BE922" t="s">
        <v>12501</v>
      </c>
      <c r="BF922">
        <v>1</v>
      </c>
      <c r="BG922">
        <v>1</v>
      </c>
      <c r="BH922">
        <v>1956</v>
      </c>
      <c r="BI922" t="s">
        <v>12502</v>
      </c>
      <c r="BJ922" t="s">
        <v>194</v>
      </c>
      <c r="BK922" t="s">
        <v>195</v>
      </c>
      <c r="BL922" t="s">
        <v>9757</v>
      </c>
      <c r="BM922" t="s">
        <v>410</v>
      </c>
      <c r="BN922" t="s">
        <v>182</v>
      </c>
      <c r="BO922" t="s">
        <v>12503</v>
      </c>
      <c r="BP922" t="s">
        <v>12504</v>
      </c>
      <c r="BS922" t="s">
        <v>12505</v>
      </c>
      <c r="BT922" t="s">
        <v>198</v>
      </c>
      <c r="BU922" t="s">
        <v>182</v>
      </c>
      <c r="BV922" t="s">
        <v>198</v>
      </c>
      <c r="BW922" t="s">
        <v>198</v>
      </c>
      <c r="BX922" t="s">
        <v>199</v>
      </c>
      <c r="BY922" t="s">
        <v>198</v>
      </c>
      <c r="BZ922" t="s">
        <v>199</v>
      </c>
      <c r="CA922" t="s">
        <v>199</v>
      </c>
      <c r="CB922" t="s">
        <v>12506</v>
      </c>
      <c r="CC922" t="s">
        <v>201</v>
      </c>
      <c r="CD922" t="s">
        <v>182</v>
      </c>
      <c r="CE922" t="s">
        <v>12507</v>
      </c>
      <c r="CF922" t="s">
        <v>1029</v>
      </c>
      <c r="CG922" t="s">
        <v>177</v>
      </c>
      <c r="CH922" t="s">
        <v>1030</v>
      </c>
      <c r="CI922" t="s">
        <v>12508</v>
      </c>
      <c r="CJ922" t="s">
        <v>11828</v>
      </c>
      <c r="CK922" t="s">
        <v>292</v>
      </c>
      <c r="CL922" t="s">
        <v>293</v>
      </c>
      <c r="CM922" t="s">
        <v>12509</v>
      </c>
      <c r="CN922" t="s">
        <v>235</v>
      </c>
      <c r="CO922" t="s">
        <v>183</v>
      </c>
      <c r="CP922" t="s">
        <v>211</v>
      </c>
      <c r="CQ922" t="s">
        <v>270</v>
      </c>
      <c r="CR922" t="s">
        <v>271</v>
      </c>
      <c r="CS922" t="s">
        <v>6710</v>
      </c>
      <c r="CT922" t="s">
        <v>11703</v>
      </c>
      <c r="CU922" t="s">
        <v>267</v>
      </c>
      <c r="CV922" t="s">
        <v>268</v>
      </c>
      <c r="CW922" t="s">
        <v>12510</v>
      </c>
      <c r="CX922" t="s">
        <v>235</v>
      </c>
      <c r="CY922" t="s">
        <v>183</v>
      </c>
      <c r="CZ922" t="s">
        <v>211</v>
      </c>
      <c r="DB922" t="s">
        <v>271</v>
      </c>
      <c r="DC922" t="s">
        <v>198</v>
      </c>
      <c r="DD922" t="s">
        <v>12511</v>
      </c>
      <c r="DE922" t="s">
        <v>273</v>
      </c>
      <c r="DF922" t="s">
        <v>274</v>
      </c>
      <c r="DG922" t="s">
        <v>12512</v>
      </c>
      <c r="DH922" t="s">
        <v>235</v>
      </c>
      <c r="DI922" t="s">
        <v>183</v>
      </c>
      <c r="DJ922" t="s">
        <v>211</v>
      </c>
      <c r="DK922" t="s">
        <v>329</v>
      </c>
      <c r="DM922" t="s">
        <v>1346</v>
      </c>
      <c r="DN922" t="s">
        <v>12513</v>
      </c>
      <c r="DO922" t="s">
        <v>238</v>
      </c>
      <c r="DP922" t="s">
        <v>239</v>
      </c>
      <c r="DQ922" t="s">
        <v>12514</v>
      </c>
      <c r="DR922" t="s">
        <v>235</v>
      </c>
      <c r="DS922" t="s">
        <v>183</v>
      </c>
      <c r="DT922" t="s">
        <v>211</v>
      </c>
      <c r="DU922" t="s">
        <v>329</v>
      </c>
      <c r="DW922" t="s">
        <v>1818</v>
      </c>
      <c r="DX922" t="s">
        <v>12515</v>
      </c>
      <c r="DY922" t="s">
        <v>346</v>
      </c>
      <c r="DZ922" t="s">
        <v>347</v>
      </c>
      <c r="EA922" t="s">
        <v>12516</v>
      </c>
      <c r="EB922" t="s">
        <v>235</v>
      </c>
      <c r="EC922" t="s">
        <v>183</v>
      </c>
      <c r="ED922" t="s">
        <v>211</v>
      </c>
      <c r="EE922" t="s">
        <v>298</v>
      </c>
      <c r="EG922" t="s">
        <v>1818</v>
      </c>
      <c r="EQ922" t="s">
        <v>198</v>
      </c>
      <c r="FA922" t="s">
        <v>198</v>
      </c>
      <c r="FK922" t="s">
        <v>198</v>
      </c>
      <c r="FU922" t="s">
        <v>198</v>
      </c>
    </row>
    <row r="923" spans="1:177">
      <c r="A923" s="1" t="str">
        <f>HYPERLINK("http://digipan.lumentumllc.com/apps/getLink/index.php?t=PropLink&amp;p=5248478","PL")</f>
        <v>PL</v>
      </c>
      <c r="B923" s="1" t="str">
        <f>HYPERLINK("http://digipan.lumentumllc.com/apps/getLink/index.php?t=TaxLink&amp;p=5248478","TL")</f>
        <v>TL</v>
      </c>
      <c r="C923" s="1" t="str">
        <f>HYPERLINK("http://digipan.lumentumllc.com/apps/getMap/index.php?p=5248478","Map")</f>
        <v>Map</v>
      </c>
      <c r="E923" t="s">
        <v>177</v>
      </c>
      <c r="F923" t="s">
        <v>178</v>
      </c>
      <c r="L923" t="s">
        <v>12517</v>
      </c>
      <c r="N923" t="s">
        <v>12517</v>
      </c>
      <c r="O923" t="s">
        <v>12517</v>
      </c>
      <c r="P923" t="s">
        <v>12518</v>
      </c>
      <c r="Q923" t="s">
        <v>12517</v>
      </c>
      <c r="V923">
        <v>1067</v>
      </c>
      <c r="W923">
        <v>4</v>
      </c>
      <c r="X923">
        <v>2017</v>
      </c>
      <c r="Y923">
        <v>2018</v>
      </c>
      <c r="Z923">
        <v>41.37</v>
      </c>
      <c r="AB923" t="s">
        <v>181</v>
      </c>
      <c r="AC923" t="s">
        <v>182</v>
      </c>
      <c r="AD923" t="s">
        <v>1037</v>
      </c>
      <c r="AE923">
        <v>7</v>
      </c>
      <c r="AF923">
        <v>0</v>
      </c>
      <c r="AG923" t="s">
        <v>1038</v>
      </c>
      <c r="AH923">
        <v>0</v>
      </c>
      <c r="AI923">
        <v>230.69</v>
      </c>
      <c r="AJ923">
        <v>164.05</v>
      </c>
      <c r="AK923">
        <v>394.74</v>
      </c>
      <c r="AL923">
        <v>525</v>
      </c>
      <c r="AM923">
        <v>525</v>
      </c>
      <c r="AN923">
        <v>0</v>
      </c>
      <c r="AO923">
        <v>9</v>
      </c>
      <c r="AP923">
        <v>2016</v>
      </c>
      <c r="AQ923">
        <v>7.88</v>
      </c>
      <c r="AR923">
        <v>75.19</v>
      </c>
      <c r="AS923" t="s">
        <v>12519</v>
      </c>
      <c r="AT923" t="s">
        <v>3747</v>
      </c>
      <c r="AU923" t="s">
        <v>177</v>
      </c>
      <c r="AV923" t="s">
        <v>1030</v>
      </c>
      <c r="AW923" t="s">
        <v>182</v>
      </c>
      <c r="AX923">
        <v>0</v>
      </c>
      <c r="AY923" t="s">
        <v>312</v>
      </c>
      <c r="AZ923" t="s">
        <v>199</v>
      </c>
      <c r="BA923" t="s">
        <v>313</v>
      </c>
      <c r="BB923" t="s">
        <v>191</v>
      </c>
      <c r="BC923" t="s">
        <v>182</v>
      </c>
      <c r="BD923" t="s">
        <v>182</v>
      </c>
      <c r="BE923" t="s">
        <v>12520</v>
      </c>
      <c r="BF923">
        <v>0</v>
      </c>
      <c r="BG923">
        <v>0</v>
      </c>
      <c r="BH923">
        <v>0</v>
      </c>
      <c r="BI923" t="s">
        <v>199</v>
      </c>
      <c r="BJ923" t="s">
        <v>315</v>
      </c>
      <c r="BL923" t="s">
        <v>199</v>
      </c>
      <c r="BM923" t="s">
        <v>3644</v>
      </c>
      <c r="BN923" t="s">
        <v>182</v>
      </c>
      <c r="BO923" t="s">
        <v>198</v>
      </c>
      <c r="BP923" t="s">
        <v>198</v>
      </c>
      <c r="BQ923" t="s">
        <v>198</v>
      </c>
      <c r="BR923" t="s">
        <v>198</v>
      </c>
      <c r="BS923" t="s">
        <v>198</v>
      </c>
      <c r="BT923" t="s">
        <v>198</v>
      </c>
      <c r="BU923" t="s">
        <v>182</v>
      </c>
      <c r="BV923" t="s">
        <v>198</v>
      </c>
      <c r="BW923" t="s">
        <v>198</v>
      </c>
      <c r="BX923" t="s">
        <v>199</v>
      </c>
      <c r="BY923" t="s">
        <v>198</v>
      </c>
      <c r="BZ923" t="s">
        <v>199</v>
      </c>
      <c r="CA923" t="s">
        <v>199</v>
      </c>
      <c r="CB923" t="s">
        <v>12521</v>
      </c>
      <c r="CC923" t="s">
        <v>201</v>
      </c>
      <c r="CD923" t="s">
        <v>182</v>
      </c>
      <c r="CE923" t="s">
        <v>12522</v>
      </c>
      <c r="CF923" t="s">
        <v>1029</v>
      </c>
      <c r="CG923" t="s">
        <v>177</v>
      </c>
      <c r="CH923" t="s">
        <v>1030</v>
      </c>
      <c r="CI923" t="s">
        <v>12523</v>
      </c>
      <c r="CJ923" t="s">
        <v>11763</v>
      </c>
      <c r="CK923" t="s">
        <v>232</v>
      </c>
      <c r="CL923" t="s">
        <v>233</v>
      </c>
      <c r="CM923" t="s">
        <v>12524</v>
      </c>
      <c r="CN923" t="s">
        <v>482</v>
      </c>
      <c r="CO923" t="s">
        <v>183</v>
      </c>
      <c r="CP923" t="s">
        <v>266</v>
      </c>
      <c r="CS923" t="s">
        <v>198</v>
      </c>
      <c r="CT923" t="s">
        <v>9246</v>
      </c>
      <c r="CU923" t="s">
        <v>292</v>
      </c>
      <c r="CV923" t="s">
        <v>293</v>
      </c>
      <c r="CW923" t="s">
        <v>12525</v>
      </c>
      <c r="CX923" t="s">
        <v>482</v>
      </c>
      <c r="CY923" t="s">
        <v>5</v>
      </c>
      <c r="CZ923" t="s">
        <v>266</v>
      </c>
      <c r="DC923" t="s">
        <v>198</v>
      </c>
      <c r="DD923" t="s">
        <v>9289</v>
      </c>
      <c r="DE923" t="s">
        <v>267</v>
      </c>
      <c r="DF923" t="s">
        <v>268</v>
      </c>
      <c r="DG923" t="s">
        <v>12526</v>
      </c>
      <c r="DH923" t="s">
        <v>482</v>
      </c>
      <c r="DI923" t="s">
        <v>183</v>
      </c>
      <c r="DJ923" t="s">
        <v>266</v>
      </c>
      <c r="DM923" t="s">
        <v>198</v>
      </c>
      <c r="DN923" t="s">
        <v>6761</v>
      </c>
      <c r="DO923" t="s">
        <v>273</v>
      </c>
      <c r="DP923" t="s">
        <v>274</v>
      </c>
      <c r="DQ923" t="s">
        <v>12527</v>
      </c>
      <c r="DR923" t="s">
        <v>482</v>
      </c>
      <c r="DS923" t="s">
        <v>5</v>
      </c>
      <c r="DT923" t="s">
        <v>266</v>
      </c>
      <c r="DW923" t="s">
        <v>198</v>
      </c>
      <c r="DX923" t="s">
        <v>11678</v>
      </c>
      <c r="DY923" t="s">
        <v>302</v>
      </c>
      <c r="DZ923" t="s">
        <v>303</v>
      </c>
      <c r="EA923" t="s">
        <v>6812</v>
      </c>
      <c r="EB923" t="s">
        <v>1052</v>
      </c>
      <c r="EC923" t="s">
        <v>183</v>
      </c>
      <c r="ED923" t="s">
        <v>266</v>
      </c>
      <c r="EG923" t="s">
        <v>198</v>
      </c>
      <c r="EH923" t="s">
        <v>8639</v>
      </c>
      <c r="EI923" t="s">
        <v>238</v>
      </c>
      <c r="EJ923" t="s">
        <v>239</v>
      </c>
      <c r="EK923" t="s">
        <v>12528</v>
      </c>
      <c r="EL923" t="s">
        <v>482</v>
      </c>
      <c r="EM923" t="s">
        <v>183</v>
      </c>
      <c r="EN923" t="s">
        <v>266</v>
      </c>
      <c r="EQ923" t="s">
        <v>198</v>
      </c>
      <c r="ER923" t="s">
        <v>12529</v>
      </c>
      <c r="ES923" t="s">
        <v>346</v>
      </c>
      <c r="ET923" t="s">
        <v>347</v>
      </c>
      <c r="EU923" t="s">
        <v>12530</v>
      </c>
      <c r="EV923" t="s">
        <v>482</v>
      </c>
      <c r="EW923" t="s">
        <v>183</v>
      </c>
      <c r="EX923" t="s">
        <v>266</v>
      </c>
      <c r="FA923" t="s">
        <v>198</v>
      </c>
      <c r="FK923" t="s">
        <v>198</v>
      </c>
      <c r="FU923" t="s">
        <v>198</v>
      </c>
    </row>
    <row r="924" spans="1:177">
      <c r="A924" s="1" t="str">
        <f>HYPERLINK("http://digipan.lumentumllc.com/apps/getLink/index.php?t=PropLink&amp;p=5248479","PL")</f>
        <v>PL</v>
      </c>
      <c r="B924" s="1" t="str">
        <f>HYPERLINK("http://digipan.lumentumllc.com/apps/getLink/index.php?t=TaxLink&amp;p=5248479","TL")</f>
        <v>TL</v>
      </c>
      <c r="C924" s="1" t="str">
        <f>HYPERLINK("http://digipan.lumentumllc.com/apps/getMap/index.php?p=5248479","Map")</f>
        <v>Map</v>
      </c>
      <c r="E924" t="s">
        <v>177</v>
      </c>
      <c r="F924" t="s">
        <v>178</v>
      </c>
      <c r="L924" t="s">
        <v>12531</v>
      </c>
      <c r="N924" t="s">
        <v>12531</v>
      </c>
      <c r="O924" t="s">
        <v>12531</v>
      </c>
      <c r="P924" t="s">
        <v>12532</v>
      </c>
      <c r="Q924" t="s">
        <v>12531</v>
      </c>
      <c r="V924">
        <v>1068</v>
      </c>
      <c r="W924">
        <v>4</v>
      </c>
      <c r="X924">
        <v>2017</v>
      </c>
      <c r="Y924">
        <v>2018</v>
      </c>
      <c r="Z924">
        <v>200.97</v>
      </c>
      <c r="AB924" t="s">
        <v>181</v>
      </c>
      <c r="AC924" t="s">
        <v>182</v>
      </c>
      <c r="AD924" t="s">
        <v>183</v>
      </c>
      <c r="AE924">
        <v>0</v>
      </c>
      <c r="AF924">
        <v>5</v>
      </c>
      <c r="AG924" t="s">
        <v>3266</v>
      </c>
      <c r="AH924">
        <v>100</v>
      </c>
      <c r="AK924">
        <v>0</v>
      </c>
      <c r="AL924">
        <v>10320</v>
      </c>
      <c r="AM924">
        <v>10320</v>
      </c>
      <c r="AN924">
        <v>0</v>
      </c>
      <c r="AO924">
        <v>158</v>
      </c>
      <c r="AP924">
        <v>2016</v>
      </c>
      <c r="AQ924">
        <v>1.95</v>
      </c>
      <c r="AS924" t="s">
        <v>12533</v>
      </c>
      <c r="AT924" t="s">
        <v>3747</v>
      </c>
      <c r="AU924" t="s">
        <v>177</v>
      </c>
      <c r="AV924" t="s">
        <v>1030</v>
      </c>
      <c r="AW924" t="s">
        <v>182</v>
      </c>
      <c r="AX924">
        <v>0</v>
      </c>
      <c r="AY924" t="s">
        <v>312</v>
      </c>
      <c r="AZ924" t="s">
        <v>199</v>
      </c>
      <c r="BA924" t="s">
        <v>313</v>
      </c>
      <c r="BB924" t="s">
        <v>191</v>
      </c>
      <c r="BC924" t="s">
        <v>182</v>
      </c>
      <c r="BD924" t="s">
        <v>182</v>
      </c>
      <c r="BE924" t="s">
        <v>12534</v>
      </c>
      <c r="BF924">
        <v>0</v>
      </c>
      <c r="BG924">
        <v>0</v>
      </c>
      <c r="BH924">
        <v>0</v>
      </c>
      <c r="BI924" t="s">
        <v>199</v>
      </c>
      <c r="BJ924" t="s">
        <v>315</v>
      </c>
      <c r="BL924" t="s">
        <v>199</v>
      </c>
      <c r="BM924" t="s">
        <v>358</v>
      </c>
      <c r="BN924" t="s">
        <v>182</v>
      </c>
      <c r="BO924" t="s">
        <v>198</v>
      </c>
      <c r="BP924" t="s">
        <v>198</v>
      </c>
      <c r="BQ924" t="s">
        <v>198</v>
      </c>
      <c r="BR924" t="s">
        <v>198</v>
      </c>
      <c r="BS924" t="s">
        <v>198</v>
      </c>
      <c r="BT924" t="s">
        <v>198</v>
      </c>
      <c r="BU924" t="s">
        <v>182</v>
      </c>
      <c r="BV924" t="s">
        <v>198</v>
      </c>
      <c r="BW924" t="s">
        <v>198</v>
      </c>
      <c r="BX924" t="s">
        <v>199</v>
      </c>
      <c r="BY924" t="s">
        <v>198</v>
      </c>
      <c r="BZ924" t="s">
        <v>199</v>
      </c>
      <c r="CA924" t="s">
        <v>199</v>
      </c>
      <c r="CB924" t="s">
        <v>563</v>
      </c>
      <c r="CC924" t="s">
        <v>201</v>
      </c>
      <c r="CD924" t="s">
        <v>202</v>
      </c>
      <c r="CE924" t="s">
        <v>5416</v>
      </c>
      <c r="CF924" t="s">
        <v>12535</v>
      </c>
      <c r="CG924" t="s">
        <v>177</v>
      </c>
      <c r="CI924" t="s">
        <v>12536</v>
      </c>
      <c r="CJ924" t="s">
        <v>9278</v>
      </c>
      <c r="CK924" t="s">
        <v>292</v>
      </c>
      <c r="CL924" t="s">
        <v>293</v>
      </c>
      <c r="CM924" t="s">
        <v>12537</v>
      </c>
      <c r="CN924" t="s">
        <v>1074</v>
      </c>
      <c r="CO924" t="s">
        <v>183</v>
      </c>
      <c r="CP924" t="s">
        <v>211</v>
      </c>
      <c r="CQ924" t="s">
        <v>212</v>
      </c>
      <c r="CS924" t="s">
        <v>8556</v>
      </c>
      <c r="CT924" t="s">
        <v>11720</v>
      </c>
      <c r="CU924" t="s">
        <v>267</v>
      </c>
      <c r="CV924" t="s">
        <v>268</v>
      </c>
      <c r="CW924" t="s">
        <v>12538</v>
      </c>
      <c r="CX924" t="s">
        <v>247</v>
      </c>
      <c r="CY924" t="s">
        <v>183</v>
      </c>
      <c r="CZ924" t="s">
        <v>211</v>
      </c>
      <c r="DA924" t="s">
        <v>493</v>
      </c>
      <c r="DC924" t="s">
        <v>12539</v>
      </c>
      <c r="DD924" t="s">
        <v>2563</v>
      </c>
      <c r="DE924" t="s">
        <v>273</v>
      </c>
      <c r="DF924" t="s">
        <v>274</v>
      </c>
      <c r="DG924" t="s">
        <v>12540</v>
      </c>
      <c r="DH924" t="s">
        <v>389</v>
      </c>
      <c r="DI924" t="s">
        <v>183</v>
      </c>
      <c r="DJ924" t="s">
        <v>211</v>
      </c>
      <c r="DK924" t="s">
        <v>345</v>
      </c>
      <c r="DM924" t="s">
        <v>392</v>
      </c>
      <c r="DN924" t="s">
        <v>7823</v>
      </c>
      <c r="DO924" t="s">
        <v>302</v>
      </c>
      <c r="DP924" t="s">
        <v>303</v>
      </c>
      <c r="DQ924" t="s">
        <v>12541</v>
      </c>
      <c r="DR924" t="s">
        <v>2515</v>
      </c>
      <c r="DS924" t="s">
        <v>183</v>
      </c>
      <c r="DT924" t="s">
        <v>211</v>
      </c>
      <c r="DU924" t="s">
        <v>342</v>
      </c>
      <c r="DW924" t="s">
        <v>4460</v>
      </c>
      <c r="DX924" t="s">
        <v>12542</v>
      </c>
      <c r="DY924" t="s">
        <v>238</v>
      </c>
      <c r="DZ924" t="s">
        <v>239</v>
      </c>
      <c r="EA924" t="s">
        <v>12543</v>
      </c>
      <c r="EB924" t="s">
        <v>4595</v>
      </c>
      <c r="EC924" t="s">
        <v>183</v>
      </c>
      <c r="ED924" t="s">
        <v>211</v>
      </c>
      <c r="EE924" t="s">
        <v>345</v>
      </c>
      <c r="EG924" t="s">
        <v>4460</v>
      </c>
      <c r="EQ924" t="s">
        <v>198</v>
      </c>
      <c r="FA924" t="s">
        <v>198</v>
      </c>
      <c r="FK924" t="s">
        <v>198</v>
      </c>
      <c r="FU924" t="s">
        <v>198</v>
      </c>
    </row>
    <row r="925" spans="1:177">
      <c r="A925" s="1" t="str">
        <f>HYPERLINK("http://digipan.lumentumllc.com/apps/getLink/index.php?t=PropLink&amp;p=5248482","PL")</f>
        <v>PL</v>
      </c>
      <c r="B925" s="1" t="str">
        <f>HYPERLINK("http://digipan.lumentumllc.com/apps/getLink/index.php?t=TaxLink&amp;p=5248482","TL")</f>
        <v>TL</v>
      </c>
      <c r="C925" s="1" t="str">
        <f>HYPERLINK("http://digipan.lumentumllc.com/apps/getMap/index.php?p=5248482","Map")</f>
        <v>Map</v>
      </c>
      <c r="E925" t="s">
        <v>177</v>
      </c>
      <c r="F925" t="s">
        <v>178</v>
      </c>
      <c r="L925" t="s">
        <v>12544</v>
      </c>
      <c r="N925" t="s">
        <v>12544</v>
      </c>
      <c r="O925" t="s">
        <v>12544</v>
      </c>
      <c r="P925" t="s">
        <v>12545</v>
      </c>
      <c r="Q925" t="s">
        <v>12544</v>
      </c>
      <c r="V925">
        <v>1069</v>
      </c>
      <c r="W925">
        <v>4</v>
      </c>
      <c r="X925">
        <v>2017</v>
      </c>
      <c r="Y925">
        <v>2018</v>
      </c>
      <c r="Z925">
        <v>1729.57</v>
      </c>
      <c r="AB925" t="s">
        <v>181</v>
      </c>
      <c r="AC925" t="s">
        <v>182</v>
      </c>
      <c r="AD925" t="s">
        <v>183</v>
      </c>
      <c r="AE925">
        <v>1</v>
      </c>
      <c r="AF925">
        <v>6</v>
      </c>
      <c r="AG925" t="s">
        <v>322</v>
      </c>
      <c r="AH925">
        <v>83</v>
      </c>
      <c r="AI925">
        <v>1677.84</v>
      </c>
      <c r="AJ925">
        <v>83.89</v>
      </c>
      <c r="AK925">
        <v>1761.73</v>
      </c>
      <c r="AL925">
        <v>103683</v>
      </c>
      <c r="AM925">
        <v>15000</v>
      </c>
      <c r="AN925">
        <v>88683</v>
      </c>
      <c r="AO925">
        <v>1526</v>
      </c>
      <c r="AP925">
        <v>2016</v>
      </c>
      <c r="AQ925">
        <v>1.67</v>
      </c>
      <c r="AR925">
        <v>1.7</v>
      </c>
      <c r="AS925" t="s">
        <v>12546</v>
      </c>
      <c r="AT925" t="s">
        <v>3747</v>
      </c>
      <c r="AU925" t="s">
        <v>177</v>
      </c>
      <c r="AV925" t="s">
        <v>1030</v>
      </c>
      <c r="AW925" t="s">
        <v>182</v>
      </c>
      <c r="AX925">
        <v>1</v>
      </c>
      <c r="AY925" t="s">
        <v>188</v>
      </c>
      <c r="AZ925" t="s">
        <v>206</v>
      </c>
      <c r="BA925" t="s">
        <v>355</v>
      </c>
      <c r="BB925" t="s">
        <v>191</v>
      </c>
      <c r="BC925" t="s">
        <v>182</v>
      </c>
      <c r="BD925" t="s">
        <v>182</v>
      </c>
      <c r="BE925" t="s">
        <v>383</v>
      </c>
      <c r="BF925">
        <v>1</v>
      </c>
      <c r="BG925">
        <v>1</v>
      </c>
      <c r="BH925">
        <v>1995</v>
      </c>
      <c r="BI925" t="s">
        <v>11543</v>
      </c>
      <c r="BJ925" t="s">
        <v>194</v>
      </c>
      <c r="BK925" t="s">
        <v>195</v>
      </c>
      <c r="BL925" t="s">
        <v>6052</v>
      </c>
      <c r="BM925" t="s">
        <v>410</v>
      </c>
      <c r="BN925" t="s">
        <v>182</v>
      </c>
      <c r="BO925" t="s">
        <v>3842</v>
      </c>
      <c r="BP925" t="s">
        <v>12547</v>
      </c>
      <c r="BR925" t="s">
        <v>1461</v>
      </c>
      <c r="BS925" t="s">
        <v>12548</v>
      </c>
      <c r="BT925" t="s">
        <v>198</v>
      </c>
      <c r="BU925" t="s">
        <v>182</v>
      </c>
      <c r="BV925" t="s">
        <v>198</v>
      </c>
      <c r="BW925" t="s">
        <v>198</v>
      </c>
      <c r="BX925" t="s">
        <v>199</v>
      </c>
      <c r="BY925" t="s">
        <v>198</v>
      </c>
      <c r="BZ925" t="s">
        <v>199</v>
      </c>
      <c r="CA925" t="s">
        <v>199</v>
      </c>
      <c r="CB925" t="s">
        <v>12549</v>
      </c>
      <c r="CC925" t="s">
        <v>201</v>
      </c>
      <c r="CD925" t="s">
        <v>182</v>
      </c>
      <c r="CE925" t="s">
        <v>12550</v>
      </c>
      <c r="CF925" t="s">
        <v>1029</v>
      </c>
      <c r="CG925" t="s">
        <v>177</v>
      </c>
      <c r="CH925" t="s">
        <v>1030</v>
      </c>
      <c r="CI925" t="s">
        <v>5867</v>
      </c>
      <c r="CJ925" t="s">
        <v>7935</v>
      </c>
      <c r="CK925" t="s">
        <v>232</v>
      </c>
      <c r="CL925" t="s">
        <v>233</v>
      </c>
      <c r="CM925" t="s">
        <v>12551</v>
      </c>
      <c r="CN925" t="s">
        <v>235</v>
      </c>
      <c r="CO925" t="s">
        <v>183</v>
      </c>
      <c r="CP925" t="s">
        <v>266</v>
      </c>
      <c r="CS925" t="s">
        <v>198</v>
      </c>
      <c r="CT925" t="s">
        <v>8907</v>
      </c>
      <c r="CU925" t="s">
        <v>292</v>
      </c>
      <c r="CV925" t="s">
        <v>293</v>
      </c>
      <c r="CW925" t="s">
        <v>12552</v>
      </c>
      <c r="CX925" t="s">
        <v>235</v>
      </c>
      <c r="CY925" t="s">
        <v>183</v>
      </c>
      <c r="CZ925" t="s">
        <v>211</v>
      </c>
      <c r="DA925" t="s">
        <v>270</v>
      </c>
      <c r="DC925" t="s">
        <v>4800</v>
      </c>
      <c r="DD925" t="s">
        <v>6793</v>
      </c>
      <c r="DE925" t="s">
        <v>273</v>
      </c>
      <c r="DF925" t="s">
        <v>274</v>
      </c>
      <c r="DG925" t="s">
        <v>12553</v>
      </c>
      <c r="DH925" t="s">
        <v>235</v>
      </c>
      <c r="DI925" t="s">
        <v>183</v>
      </c>
      <c r="DJ925" t="s">
        <v>211</v>
      </c>
      <c r="DK925" t="s">
        <v>493</v>
      </c>
      <c r="DM925" t="s">
        <v>12554</v>
      </c>
      <c r="DN925" t="s">
        <v>10231</v>
      </c>
      <c r="DO925" t="s">
        <v>302</v>
      </c>
      <c r="DP925" t="s">
        <v>303</v>
      </c>
      <c r="DQ925" t="s">
        <v>12555</v>
      </c>
      <c r="DR925" t="s">
        <v>235</v>
      </c>
      <c r="DS925" t="s">
        <v>183</v>
      </c>
      <c r="DT925" t="s">
        <v>211</v>
      </c>
      <c r="DU925" t="s">
        <v>189</v>
      </c>
      <c r="DW925" t="s">
        <v>9084</v>
      </c>
      <c r="DX925" t="s">
        <v>12556</v>
      </c>
      <c r="DY925" t="s">
        <v>238</v>
      </c>
      <c r="DZ925" t="s">
        <v>239</v>
      </c>
      <c r="EA925" t="s">
        <v>12557</v>
      </c>
      <c r="EB925" t="s">
        <v>235</v>
      </c>
      <c r="EC925" t="s">
        <v>183</v>
      </c>
      <c r="ED925" t="s">
        <v>211</v>
      </c>
      <c r="EE925" t="s">
        <v>460</v>
      </c>
      <c r="EG925" t="s">
        <v>9084</v>
      </c>
      <c r="EH925" t="s">
        <v>12558</v>
      </c>
      <c r="EI925" t="s">
        <v>346</v>
      </c>
      <c r="EJ925" t="s">
        <v>347</v>
      </c>
      <c r="EK925" t="s">
        <v>12559</v>
      </c>
      <c r="EL925" t="s">
        <v>235</v>
      </c>
      <c r="EM925" t="s">
        <v>183</v>
      </c>
      <c r="EN925" t="s">
        <v>211</v>
      </c>
      <c r="EO925" t="s">
        <v>847</v>
      </c>
      <c r="EQ925" t="s">
        <v>9084</v>
      </c>
      <c r="ER925" t="s">
        <v>1838</v>
      </c>
      <c r="ES925" t="s">
        <v>207</v>
      </c>
      <c r="ET925" t="s">
        <v>208</v>
      </c>
      <c r="EU925" t="s">
        <v>12560</v>
      </c>
      <c r="EV925" t="s">
        <v>235</v>
      </c>
      <c r="EW925" t="s">
        <v>183</v>
      </c>
      <c r="EX925" t="s">
        <v>211</v>
      </c>
      <c r="EY925" t="s">
        <v>633</v>
      </c>
      <c r="FA925" t="s">
        <v>12561</v>
      </c>
      <c r="FK925" t="s">
        <v>198</v>
      </c>
      <c r="FU925" t="s">
        <v>198</v>
      </c>
    </row>
    <row r="926" spans="1:177">
      <c r="A926" s="1" t="str">
        <f>HYPERLINK("http://digipan.lumentumllc.com/apps/getLink/index.php?t=PropLink&amp;p=5248485","PL")</f>
        <v>PL</v>
      </c>
      <c r="B926" s="1" t="str">
        <f>HYPERLINK("http://digipan.lumentumllc.com/apps/getLink/index.php?t=TaxLink&amp;p=5248485","TL")</f>
        <v>TL</v>
      </c>
      <c r="C926" s="1" t="str">
        <f>HYPERLINK("http://digipan.lumentumllc.com/apps/getMap/index.php?p=5248485","Map")</f>
        <v>Map</v>
      </c>
      <c r="E926" t="s">
        <v>177</v>
      </c>
      <c r="F926" t="s">
        <v>178</v>
      </c>
      <c r="L926" t="s">
        <v>12562</v>
      </c>
      <c r="N926" t="s">
        <v>12562</v>
      </c>
      <c r="O926" t="s">
        <v>12562</v>
      </c>
      <c r="P926" t="s">
        <v>12563</v>
      </c>
      <c r="Q926" t="s">
        <v>12562</v>
      </c>
      <c r="V926">
        <v>1070</v>
      </c>
      <c r="W926">
        <v>4</v>
      </c>
      <c r="X926">
        <v>2017</v>
      </c>
      <c r="Y926">
        <v>2018</v>
      </c>
      <c r="Z926">
        <v>1295.75</v>
      </c>
      <c r="AB926" t="s">
        <v>181</v>
      </c>
      <c r="AC926" t="s">
        <v>202</v>
      </c>
      <c r="AD926" t="s">
        <v>183</v>
      </c>
      <c r="AE926">
        <v>1</v>
      </c>
      <c r="AF926">
        <v>6</v>
      </c>
      <c r="AG926" t="s">
        <v>322</v>
      </c>
      <c r="AH926">
        <v>83</v>
      </c>
      <c r="AI926">
        <v>1230.43</v>
      </c>
      <c r="AJ926">
        <v>61.52</v>
      </c>
      <c r="AK926">
        <v>1291.95</v>
      </c>
      <c r="AL926">
        <v>76709</v>
      </c>
      <c r="AM926">
        <v>11130</v>
      </c>
      <c r="AN926">
        <v>65579</v>
      </c>
      <c r="AO926">
        <v>1113</v>
      </c>
      <c r="AP926">
        <v>2016</v>
      </c>
      <c r="AQ926">
        <v>1.69</v>
      </c>
      <c r="AR926">
        <v>1.68</v>
      </c>
      <c r="AS926" t="s">
        <v>12564</v>
      </c>
      <c r="AT926" t="s">
        <v>3747</v>
      </c>
      <c r="AU926" t="s">
        <v>177</v>
      </c>
      <c r="AV926" t="s">
        <v>1030</v>
      </c>
      <c r="AW926" t="s">
        <v>182</v>
      </c>
      <c r="AX926">
        <v>1</v>
      </c>
      <c r="AY926" t="s">
        <v>188</v>
      </c>
      <c r="AZ926" t="s">
        <v>206</v>
      </c>
      <c r="BA926" t="s">
        <v>355</v>
      </c>
      <c r="BB926" t="s">
        <v>191</v>
      </c>
      <c r="BC926" t="s">
        <v>182</v>
      </c>
      <c r="BD926" t="s">
        <v>182</v>
      </c>
      <c r="BE926" t="s">
        <v>12565</v>
      </c>
      <c r="BF926">
        <v>1</v>
      </c>
      <c r="BG926">
        <v>1</v>
      </c>
      <c r="BH926">
        <v>2007</v>
      </c>
      <c r="BI926" t="s">
        <v>4364</v>
      </c>
      <c r="BJ926" t="s">
        <v>194</v>
      </c>
      <c r="BK926" t="s">
        <v>195</v>
      </c>
      <c r="BL926" t="s">
        <v>199</v>
      </c>
      <c r="BM926" t="s">
        <v>325</v>
      </c>
      <c r="BN926" t="s">
        <v>182</v>
      </c>
      <c r="BO926" t="s">
        <v>12566</v>
      </c>
      <c r="BP926" t="s">
        <v>11037</v>
      </c>
      <c r="BQ926" t="s">
        <v>603</v>
      </c>
      <c r="BR926" t="s">
        <v>563</v>
      </c>
      <c r="BS926" t="s">
        <v>198</v>
      </c>
      <c r="BT926" t="s">
        <v>228</v>
      </c>
      <c r="BU926" t="s">
        <v>182</v>
      </c>
      <c r="BV926" t="s">
        <v>198</v>
      </c>
      <c r="BW926" t="s">
        <v>198</v>
      </c>
      <c r="BX926" t="s">
        <v>199</v>
      </c>
      <c r="BY926" t="s">
        <v>198</v>
      </c>
      <c r="BZ926" t="s">
        <v>199</v>
      </c>
      <c r="CA926" t="s">
        <v>199</v>
      </c>
      <c r="CB926" t="s">
        <v>12567</v>
      </c>
      <c r="CC926" t="s">
        <v>201</v>
      </c>
      <c r="CD926" t="s">
        <v>182</v>
      </c>
      <c r="CE926" t="s">
        <v>3817</v>
      </c>
      <c r="CF926" t="s">
        <v>1029</v>
      </c>
      <c r="CG926" t="s">
        <v>177</v>
      </c>
      <c r="CH926" t="s">
        <v>1030</v>
      </c>
      <c r="CI926" t="s">
        <v>2399</v>
      </c>
      <c r="CJ926" t="s">
        <v>11385</v>
      </c>
      <c r="CK926" t="s">
        <v>232</v>
      </c>
      <c r="CL926" t="s">
        <v>233</v>
      </c>
      <c r="CM926" t="s">
        <v>12568</v>
      </c>
      <c r="CN926" t="s">
        <v>235</v>
      </c>
      <c r="CO926" t="s">
        <v>183</v>
      </c>
      <c r="CP926" t="s">
        <v>266</v>
      </c>
      <c r="CS926" t="s">
        <v>198</v>
      </c>
      <c r="CT926" t="s">
        <v>1752</v>
      </c>
      <c r="CU926" t="s">
        <v>267</v>
      </c>
      <c r="CV926" t="s">
        <v>268</v>
      </c>
      <c r="CW926" t="s">
        <v>12569</v>
      </c>
      <c r="CX926" t="s">
        <v>235</v>
      </c>
      <c r="CY926" t="s">
        <v>183</v>
      </c>
      <c r="CZ926" t="s">
        <v>211</v>
      </c>
      <c r="DA926" t="s">
        <v>270</v>
      </c>
      <c r="DB926" t="s">
        <v>271</v>
      </c>
      <c r="DC926" t="s">
        <v>272</v>
      </c>
      <c r="DD926" t="s">
        <v>6816</v>
      </c>
      <c r="DE926" t="s">
        <v>273</v>
      </c>
      <c r="DF926" t="s">
        <v>274</v>
      </c>
      <c r="DG926" t="s">
        <v>12570</v>
      </c>
      <c r="DH926" t="s">
        <v>235</v>
      </c>
      <c r="DI926" t="s">
        <v>183</v>
      </c>
      <c r="DJ926" t="s">
        <v>211</v>
      </c>
      <c r="DL926" t="s">
        <v>271</v>
      </c>
      <c r="DM926" t="s">
        <v>198</v>
      </c>
      <c r="DN926" t="s">
        <v>12571</v>
      </c>
      <c r="DO926" t="s">
        <v>302</v>
      </c>
      <c r="DP926" t="s">
        <v>303</v>
      </c>
      <c r="DQ926" t="s">
        <v>12572</v>
      </c>
      <c r="DR926" t="s">
        <v>235</v>
      </c>
      <c r="DS926" t="s">
        <v>183</v>
      </c>
      <c r="DT926" t="s">
        <v>211</v>
      </c>
      <c r="DU926" t="s">
        <v>345</v>
      </c>
      <c r="DW926" t="s">
        <v>2598</v>
      </c>
      <c r="DX926" t="s">
        <v>12573</v>
      </c>
      <c r="DY926" t="s">
        <v>238</v>
      </c>
      <c r="DZ926" t="s">
        <v>239</v>
      </c>
      <c r="EA926" t="s">
        <v>12574</v>
      </c>
      <c r="EB926" t="s">
        <v>331</v>
      </c>
      <c r="EC926" t="s">
        <v>183</v>
      </c>
      <c r="ED926" t="s">
        <v>211</v>
      </c>
      <c r="EE926" t="s">
        <v>345</v>
      </c>
      <c r="EG926" t="s">
        <v>3825</v>
      </c>
      <c r="EH926" t="s">
        <v>9504</v>
      </c>
      <c r="EI926" t="s">
        <v>346</v>
      </c>
      <c r="EJ926" t="s">
        <v>347</v>
      </c>
      <c r="EK926" t="s">
        <v>12575</v>
      </c>
      <c r="EL926" t="s">
        <v>927</v>
      </c>
      <c r="EM926" t="s">
        <v>183</v>
      </c>
      <c r="EN926" t="s">
        <v>211</v>
      </c>
      <c r="EO926" t="s">
        <v>298</v>
      </c>
      <c r="EQ926" t="s">
        <v>2756</v>
      </c>
      <c r="ER926" t="s">
        <v>12576</v>
      </c>
      <c r="ES926" t="s">
        <v>207</v>
      </c>
      <c r="ET926" t="s">
        <v>208</v>
      </c>
      <c r="EU926" t="s">
        <v>12577</v>
      </c>
      <c r="EV926" t="s">
        <v>341</v>
      </c>
      <c r="EW926" t="s">
        <v>183</v>
      </c>
      <c r="EX926" t="s">
        <v>211</v>
      </c>
      <c r="EY926" t="s">
        <v>206</v>
      </c>
      <c r="FA926" t="s">
        <v>12578</v>
      </c>
      <c r="FK926" t="s">
        <v>198</v>
      </c>
      <c r="FU926" t="s">
        <v>198</v>
      </c>
    </row>
    <row r="927" spans="1:177">
      <c r="A927" s="1" t="str">
        <f>HYPERLINK("http://digipan.lumentumllc.com/apps/getLink/index.php?t=PropLink&amp;p=6129622","PL")</f>
        <v>PL</v>
      </c>
      <c r="B927" s="1" t="str">
        <f>HYPERLINK("http://digipan.lumentumllc.com/apps/getLink/index.php?t=TaxLink&amp;p=6129622","TL")</f>
        <v>TL</v>
      </c>
      <c r="C927" s="1" t="str">
        <f>HYPERLINK("http://digipan.lumentumllc.com/apps/getMap/index.php?p=6129622","Map")</f>
        <v>Map</v>
      </c>
      <c r="E927" t="s">
        <v>177</v>
      </c>
      <c r="F927" t="s">
        <v>178</v>
      </c>
      <c r="L927" t="s">
        <v>12579</v>
      </c>
      <c r="N927" t="s">
        <v>12579</v>
      </c>
      <c r="O927" t="s">
        <v>12579</v>
      </c>
      <c r="P927" t="s">
        <v>12580</v>
      </c>
      <c r="Q927" t="s">
        <v>12579</v>
      </c>
      <c r="V927">
        <v>1071</v>
      </c>
      <c r="W927">
        <v>4</v>
      </c>
      <c r="X927">
        <v>2017</v>
      </c>
      <c r="Y927">
        <v>2018</v>
      </c>
      <c r="Z927">
        <v>821.12</v>
      </c>
      <c r="AB927" t="s">
        <v>181</v>
      </c>
      <c r="AC927" t="s">
        <v>182</v>
      </c>
      <c r="AD927" t="s">
        <v>183</v>
      </c>
      <c r="AE927">
        <v>1</v>
      </c>
      <c r="AF927">
        <v>4</v>
      </c>
      <c r="AG927" t="s">
        <v>257</v>
      </c>
      <c r="AH927">
        <v>75</v>
      </c>
      <c r="AI927">
        <v>808.62</v>
      </c>
      <c r="AJ927">
        <v>40.43</v>
      </c>
      <c r="AK927">
        <v>849.05</v>
      </c>
      <c r="AL927">
        <v>44213</v>
      </c>
      <c r="AM927">
        <v>15141</v>
      </c>
      <c r="AN927">
        <v>29072</v>
      </c>
      <c r="AO927">
        <v>723</v>
      </c>
      <c r="AP927">
        <v>2016</v>
      </c>
      <c r="AQ927">
        <v>1.86</v>
      </c>
      <c r="AR927">
        <v>1.92</v>
      </c>
      <c r="AS927" t="s">
        <v>12581</v>
      </c>
      <c r="AT927" t="s">
        <v>3747</v>
      </c>
      <c r="AU927" t="s">
        <v>177</v>
      </c>
      <c r="AV927" t="s">
        <v>1030</v>
      </c>
      <c r="AW927" t="s">
        <v>182</v>
      </c>
      <c r="AX927">
        <v>1</v>
      </c>
      <c r="AY927" t="s">
        <v>188</v>
      </c>
      <c r="AZ927" t="s">
        <v>206</v>
      </c>
      <c r="BA927" t="s">
        <v>355</v>
      </c>
      <c r="BB927" t="s">
        <v>191</v>
      </c>
      <c r="BC927" t="s">
        <v>182</v>
      </c>
      <c r="BD927" t="s">
        <v>182</v>
      </c>
      <c r="BE927" t="s">
        <v>7188</v>
      </c>
      <c r="BF927">
        <v>1</v>
      </c>
      <c r="BG927">
        <v>1</v>
      </c>
      <c r="BH927">
        <v>1940</v>
      </c>
      <c r="BI927" t="s">
        <v>10764</v>
      </c>
      <c r="BJ927" t="s">
        <v>194</v>
      </c>
      <c r="BK927" t="s">
        <v>195</v>
      </c>
      <c r="BL927" t="s">
        <v>1720</v>
      </c>
      <c r="BM927" t="s">
        <v>1041</v>
      </c>
      <c r="BN927" t="s">
        <v>182</v>
      </c>
      <c r="BO927" t="s">
        <v>12582</v>
      </c>
      <c r="BP927" t="s">
        <v>9234</v>
      </c>
      <c r="BQ927" t="s">
        <v>226</v>
      </c>
      <c r="BR927" t="s">
        <v>227</v>
      </c>
      <c r="BS927" t="s">
        <v>198</v>
      </c>
      <c r="BT927" t="s">
        <v>228</v>
      </c>
      <c r="BU927" t="s">
        <v>182</v>
      </c>
      <c r="BV927" t="s">
        <v>198</v>
      </c>
      <c r="BW927" t="s">
        <v>198</v>
      </c>
      <c r="BX927" t="s">
        <v>199</v>
      </c>
      <c r="BY927" t="s">
        <v>198</v>
      </c>
      <c r="BZ927" t="s">
        <v>199</v>
      </c>
      <c r="CA927" t="s">
        <v>199</v>
      </c>
      <c r="CB927" t="s">
        <v>12583</v>
      </c>
      <c r="CC927" t="s">
        <v>201</v>
      </c>
      <c r="CD927" t="s">
        <v>182</v>
      </c>
      <c r="CE927" t="s">
        <v>1726</v>
      </c>
      <c r="CF927" t="s">
        <v>1029</v>
      </c>
      <c r="CG927" t="s">
        <v>177</v>
      </c>
      <c r="CH927" t="s">
        <v>1030</v>
      </c>
      <c r="CI927" t="s">
        <v>2399</v>
      </c>
      <c r="CJ927" t="s">
        <v>968</v>
      </c>
      <c r="CK927" t="s">
        <v>232</v>
      </c>
      <c r="CL927" t="s">
        <v>233</v>
      </c>
      <c r="CM927" t="s">
        <v>12584</v>
      </c>
      <c r="CN927" t="s">
        <v>235</v>
      </c>
      <c r="CO927" t="s">
        <v>183</v>
      </c>
      <c r="CP927" t="s">
        <v>266</v>
      </c>
      <c r="CS927" t="s">
        <v>198</v>
      </c>
      <c r="CT927" t="s">
        <v>6833</v>
      </c>
      <c r="CU927" t="s">
        <v>273</v>
      </c>
      <c r="CV927" t="s">
        <v>274</v>
      </c>
      <c r="CW927" t="s">
        <v>12585</v>
      </c>
      <c r="CX927" t="s">
        <v>235</v>
      </c>
      <c r="CY927" t="s">
        <v>183</v>
      </c>
      <c r="CZ927" t="s">
        <v>211</v>
      </c>
      <c r="DA927" t="s">
        <v>306</v>
      </c>
      <c r="DC927" t="s">
        <v>1731</v>
      </c>
      <c r="DD927" t="s">
        <v>12586</v>
      </c>
      <c r="DE927" t="s">
        <v>302</v>
      </c>
      <c r="DF927" t="s">
        <v>303</v>
      </c>
      <c r="DG927" t="s">
        <v>12587</v>
      </c>
      <c r="DH927" t="s">
        <v>235</v>
      </c>
      <c r="DI927" t="s">
        <v>183</v>
      </c>
      <c r="DJ927" t="s">
        <v>211</v>
      </c>
      <c r="DK927" t="s">
        <v>250</v>
      </c>
      <c r="DM927" t="s">
        <v>7486</v>
      </c>
      <c r="DN927" t="s">
        <v>12588</v>
      </c>
      <c r="DO927" t="s">
        <v>238</v>
      </c>
      <c r="DP927" t="s">
        <v>239</v>
      </c>
      <c r="DQ927" t="s">
        <v>12589</v>
      </c>
      <c r="DR927" t="s">
        <v>331</v>
      </c>
      <c r="DS927" t="s">
        <v>183</v>
      </c>
      <c r="DT927" t="s">
        <v>211</v>
      </c>
      <c r="DU927" t="s">
        <v>487</v>
      </c>
      <c r="DW927" t="s">
        <v>7486</v>
      </c>
      <c r="DX927" t="s">
        <v>12293</v>
      </c>
      <c r="DY927" t="s">
        <v>207</v>
      </c>
      <c r="DZ927" t="s">
        <v>208</v>
      </c>
      <c r="EA927" t="s">
        <v>12590</v>
      </c>
      <c r="EB927" t="s">
        <v>341</v>
      </c>
      <c r="EC927" t="s">
        <v>183</v>
      </c>
      <c r="ED927" t="s">
        <v>211</v>
      </c>
      <c r="EE927" t="s">
        <v>298</v>
      </c>
      <c r="EG927" t="s">
        <v>5492</v>
      </c>
      <c r="EQ927" t="s">
        <v>198</v>
      </c>
      <c r="FA927" t="s">
        <v>198</v>
      </c>
      <c r="FK927" t="s">
        <v>198</v>
      </c>
      <c r="FU927" t="s">
        <v>198</v>
      </c>
    </row>
    <row r="928" spans="1:177">
      <c r="A928" s="1" t="str">
        <f>HYPERLINK("http://digipan.lumentumllc.com/apps/getLink/index.php?t=PropLink&amp;p=6129623","PL")</f>
        <v>PL</v>
      </c>
      <c r="B928" s="1" t="str">
        <f>HYPERLINK("http://digipan.lumentumllc.com/apps/getLink/index.php?t=TaxLink&amp;p=6129623","TL")</f>
        <v>TL</v>
      </c>
      <c r="C928" s="1" t="str">
        <f>HYPERLINK("http://digipan.lumentumllc.com/apps/getMap/index.php?p=6129623","Map")</f>
        <v>Map</v>
      </c>
      <c r="E928" t="s">
        <v>177</v>
      </c>
      <c r="F928" t="s">
        <v>178</v>
      </c>
      <c r="L928" t="s">
        <v>12591</v>
      </c>
      <c r="N928" t="s">
        <v>12591</v>
      </c>
      <c r="O928" t="s">
        <v>12591</v>
      </c>
      <c r="P928" t="s">
        <v>12592</v>
      </c>
      <c r="Q928" t="s">
        <v>12591</v>
      </c>
      <c r="V928">
        <v>1072</v>
      </c>
      <c r="W928">
        <v>4</v>
      </c>
      <c r="X928">
        <v>2017</v>
      </c>
      <c r="Y928">
        <v>2018</v>
      </c>
      <c r="Z928">
        <v>592.26</v>
      </c>
      <c r="AB928" t="s">
        <v>181</v>
      </c>
      <c r="AC928" t="s">
        <v>182</v>
      </c>
      <c r="AD928" t="s">
        <v>183</v>
      </c>
      <c r="AE928">
        <v>1</v>
      </c>
      <c r="AF928">
        <v>4</v>
      </c>
      <c r="AG928" t="s">
        <v>257</v>
      </c>
      <c r="AH928">
        <v>75</v>
      </c>
      <c r="AI928">
        <v>589.16</v>
      </c>
      <c r="AJ928">
        <v>29.46</v>
      </c>
      <c r="AK928">
        <v>618.62</v>
      </c>
      <c r="AL928">
        <v>31391</v>
      </c>
      <c r="AM928">
        <v>18025</v>
      </c>
      <c r="AN928">
        <v>13366</v>
      </c>
      <c r="AO928">
        <v>520</v>
      </c>
      <c r="AP928">
        <v>2016</v>
      </c>
      <c r="AQ928">
        <v>1.89</v>
      </c>
      <c r="AR928">
        <v>1.97</v>
      </c>
      <c r="AS928" t="s">
        <v>12593</v>
      </c>
      <c r="AT928" t="s">
        <v>3747</v>
      </c>
      <c r="AU928" t="s">
        <v>177</v>
      </c>
      <c r="AV928" t="s">
        <v>1030</v>
      </c>
      <c r="AW928" t="s">
        <v>182</v>
      </c>
      <c r="AX928">
        <v>2</v>
      </c>
      <c r="AY928" t="s">
        <v>188</v>
      </c>
      <c r="AZ928" t="s">
        <v>189</v>
      </c>
      <c r="BA928" t="s">
        <v>190</v>
      </c>
      <c r="BB928" t="s">
        <v>191</v>
      </c>
      <c r="BC928" t="s">
        <v>182</v>
      </c>
      <c r="BD928" t="s">
        <v>182</v>
      </c>
      <c r="BE928" t="s">
        <v>11735</v>
      </c>
      <c r="BF928">
        <v>1</v>
      </c>
      <c r="BG928">
        <v>1</v>
      </c>
      <c r="BH928">
        <v>1972</v>
      </c>
      <c r="BI928" t="s">
        <v>12594</v>
      </c>
      <c r="BJ928" t="s">
        <v>285</v>
      </c>
      <c r="BK928" t="s">
        <v>195</v>
      </c>
      <c r="BL928" t="s">
        <v>199</v>
      </c>
      <c r="BM928" t="s">
        <v>1041</v>
      </c>
      <c r="BN928" t="s">
        <v>182</v>
      </c>
      <c r="BO928" t="s">
        <v>1710</v>
      </c>
      <c r="BP928" t="s">
        <v>4050</v>
      </c>
      <c r="BQ928" t="s">
        <v>603</v>
      </c>
      <c r="BR928" t="s">
        <v>563</v>
      </c>
      <c r="BS928" t="s">
        <v>198</v>
      </c>
      <c r="BT928" t="s">
        <v>12595</v>
      </c>
      <c r="BU928" t="s">
        <v>182</v>
      </c>
      <c r="BV928" t="s">
        <v>198</v>
      </c>
      <c r="BW928" t="s">
        <v>198</v>
      </c>
      <c r="BX928" t="s">
        <v>199</v>
      </c>
      <c r="BY928" t="s">
        <v>198</v>
      </c>
      <c r="BZ928" t="s">
        <v>199</v>
      </c>
      <c r="CA928" t="s">
        <v>199</v>
      </c>
      <c r="CB928" t="s">
        <v>12583</v>
      </c>
      <c r="CC928" t="s">
        <v>201</v>
      </c>
      <c r="CD928" t="s">
        <v>182</v>
      </c>
      <c r="CE928" t="s">
        <v>1726</v>
      </c>
      <c r="CF928" t="s">
        <v>1029</v>
      </c>
      <c r="CG928" t="s">
        <v>177</v>
      </c>
      <c r="CH928" t="s">
        <v>1030</v>
      </c>
      <c r="CI928" t="s">
        <v>4843</v>
      </c>
      <c r="CJ928" t="s">
        <v>1015</v>
      </c>
      <c r="CK928" t="s">
        <v>232</v>
      </c>
      <c r="CL928" t="s">
        <v>233</v>
      </c>
      <c r="CM928" t="s">
        <v>12596</v>
      </c>
      <c r="CN928" t="s">
        <v>235</v>
      </c>
      <c r="CO928" t="s">
        <v>183</v>
      </c>
      <c r="CP928" t="s">
        <v>266</v>
      </c>
      <c r="CS928" t="s">
        <v>198</v>
      </c>
      <c r="CT928" t="s">
        <v>10014</v>
      </c>
      <c r="CU928" t="s">
        <v>273</v>
      </c>
      <c r="CV928" t="s">
        <v>274</v>
      </c>
      <c r="CW928" t="s">
        <v>12597</v>
      </c>
      <c r="CX928" t="s">
        <v>235</v>
      </c>
      <c r="CY928" t="s">
        <v>183</v>
      </c>
      <c r="CZ928" t="s">
        <v>211</v>
      </c>
      <c r="DA928" t="s">
        <v>306</v>
      </c>
      <c r="DC928" t="s">
        <v>1731</v>
      </c>
      <c r="DD928" t="s">
        <v>10276</v>
      </c>
      <c r="DE928" t="s">
        <v>302</v>
      </c>
      <c r="DF928" t="s">
        <v>303</v>
      </c>
      <c r="DG928" t="s">
        <v>12598</v>
      </c>
      <c r="DH928" t="s">
        <v>235</v>
      </c>
      <c r="DI928" t="s">
        <v>183</v>
      </c>
      <c r="DJ928" t="s">
        <v>211</v>
      </c>
      <c r="DK928" t="s">
        <v>250</v>
      </c>
      <c r="DM928" t="s">
        <v>7486</v>
      </c>
      <c r="DN928" t="s">
        <v>12599</v>
      </c>
      <c r="DO928" t="s">
        <v>238</v>
      </c>
      <c r="DP928" t="s">
        <v>239</v>
      </c>
      <c r="DQ928" t="s">
        <v>12600</v>
      </c>
      <c r="DR928" t="s">
        <v>247</v>
      </c>
      <c r="DS928" t="s">
        <v>183</v>
      </c>
      <c r="DT928" t="s">
        <v>211</v>
      </c>
      <c r="DU928" t="s">
        <v>487</v>
      </c>
      <c r="DW928" t="s">
        <v>7486</v>
      </c>
      <c r="DX928" t="s">
        <v>12308</v>
      </c>
      <c r="DY928" t="s">
        <v>207</v>
      </c>
      <c r="DZ928" t="s">
        <v>208</v>
      </c>
      <c r="EA928" t="s">
        <v>12601</v>
      </c>
      <c r="EB928" t="s">
        <v>7482</v>
      </c>
      <c r="EC928" t="s">
        <v>183</v>
      </c>
      <c r="ED928" t="s">
        <v>211</v>
      </c>
      <c r="EE928" t="s">
        <v>298</v>
      </c>
      <c r="EG928" t="s">
        <v>5492</v>
      </c>
      <c r="EQ928" t="s">
        <v>198</v>
      </c>
      <c r="FA928" t="s">
        <v>198</v>
      </c>
      <c r="FK928" t="s">
        <v>198</v>
      </c>
      <c r="FU928" t="s">
        <v>198</v>
      </c>
    </row>
    <row r="929" spans="1:177">
      <c r="A929" s="1" t="str">
        <f>HYPERLINK("http://digipan.lumentumllc.com/apps/getLink/index.php?t=PropLink&amp;p=41030469","PL")</f>
        <v>PL</v>
      </c>
      <c r="B929" s="1" t="str">
        <f>HYPERLINK("http://digipan.lumentumllc.com/apps/getLink/index.php?t=TaxLink&amp;p=41030469","TL")</f>
        <v>TL</v>
      </c>
      <c r="C929" s="1" t="str">
        <f>HYPERLINK("","")</f>
        <v/>
      </c>
      <c r="E929" t="s">
        <v>177</v>
      </c>
      <c r="F929" t="s">
        <v>178</v>
      </c>
      <c r="L929" t="s">
        <v>12602</v>
      </c>
      <c r="N929" t="s">
        <v>12602</v>
      </c>
      <c r="O929" t="s">
        <v>12602</v>
      </c>
      <c r="Q929" t="s">
        <v>12602</v>
      </c>
      <c r="V929">
        <v>1075</v>
      </c>
      <c r="W929">
        <v>4</v>
      </c>
      <c r="X929">
        <v>2017</v>
      </c>
      <c r="Y929">
        <v>2018</v>
      </c>
      <c r="Z929">
        <v>356.84</v>
      </c>
      <c r="AG929" t="s">
        <v>184</v>
      </c>
      <c r="AH929">
        <v>0</v>
      </c>
      <c r="AK929">
        <v>0</v>
      </c>
      <c r="AL929">
        <v>18200</v>
      </c>
      <c r="AM929">
        <v>18200</v>
      </c>
      <c r="AN929">
        <v>0</v>
      </c>
      <c r="AQ929">
        <v>1.96</v>
      </c>
      <c r="AS929" t="s">
        <v>12603</v>
      </c>
      <c r="AT929" t="s">
        <v>3747</v>
      </c>
      <c r="AU929" t="s">
        <v>177</v>
      </c>
      <c r="AV929" t="s">
        <v>1030</v>
      </c>
      <c r="AW929" t="s">
        <v>182</v>
      </c>
      <c r="AX929">
        <v>0</v>
      </c>
      <c r="AY929" t="s">
        <v>312</v>
      </c>
      <c r="AZ929" t="s">
        <v>199</v>
      </c>
      <c r="BA929" t="s">
        <v>313</v>
      </c>
      <c r="BB929" t="s">
        <v>191</v>
      </c>
      <c r="BC929" t="s">
        <v>202</v>
      </c>
      <c r="BD929" t="s">
        <v>182</v>
      </c>
      <c r="BE929" t="s">
        <v>11735</v>
      </c>
      <c r="BI929" t="s">
        <v>199</v>
      </c>
      <c r="BN929" t="s">
        <v>182</v>
      </c>
      <c r="BO929" t="s">
        <v>198</v>
      </c>
      <c r="BP929" t="s">
        <v>198</v>
      </c>
      <c r="BQ929" t="s">
        <v>198</v>
      </c>
      <c r="BR929" t="s">
        <v>198</v>
      </c>
      <c r="BS929" t="s">
        <v>198</v>
      </c>
      <c r="BT929" t="s">
        <v>198</v>
      </c>
      <c r="BU929" t="s">
        <v>182</v>
      </c>
      <c r="BV929" t="s">
        <v>198</v>
      </c>
      <c r="BW929" t="s">
        <v>198</v>
      </c>
      <c r="BX929" t="s">
        <v>199</v>
      </c>
      <c r="BY929" t="s">
        <v>198</v>
      </c>
      <c r="CB929" t="s">
        <v>12604</v>
      </c>
      <c r="CC929" t="s">
        <v>201</v>
      </c>
      <c r="CD929" t="s">
        <v>182</v>
      </c>
      <c r="CE929" t="s">
        <v>12605</v>
      </c>
      <c r="CF929" t="s">
        <v>1029</v>
      </c>
      <c r="CG929" t="s">
        <v>177</v>
      </c>
      <c r="CH929" t="s">
        <v>1030</v>
      </c>
      <c r="CI929" t="s">
        <v>1127</v>
      </c>
      <c r="CS929" t="s">
        <v>198</v>
      </c>
      <c r="DC929" t="s">
        <v>198</v>
      </c>
      <c r="DM929" t="s">
        <v>198</v>
      </c>
      <c r="DW929" t="s">
        <v>198</v>
      </c>
      <c r="EG929" t="s">
        <v>198</v>
      </c>
      <c r="EQ929" t="s">
        <v>198</v>
      </c>
      <c r="FA929" t="s">
        <v>198</v>
      </c>
      <c r="FK929" t="s">
        <v>198</v>
      </c>
      <c r="FU929" t="s">
        <v>198</v>
      </c>
    </row>
    <row r="930" spans="1:177">
      <c r="A930" s="1" t="str">
        <f>HYPERLINK("http://digipan.lumentumllc.com/apps/getLink/index.php?t=PropLink&amp;p=6462117","PL")</f>
        <v>PL</v>
      </c>
      <c r="B930" s="1" t="str">
        <f>HYPERLINK("http://digipan.lumentumllc.com/apps/getLink/index.php?t=TaxLink&amp;p=6462117","TL")</f>
        <v>TL</v>
      </c>
      <c r="C930" s="1" t="str">
        <f>HYPERLINK("http://digipan.lumentumllc.com/apps/getMap/index.php?p=6462117","Map")</f>
        <v>Map</v>
      </c>
      <c r="E930" t="s">
        <v>177</v>
      </c>
      <c r="F930" t="s">
        <v>178</v>
      </c>
      <c r="L930" t="s">
        <v>12606</v>
      </c>
      <c r="N930" t="s">
        <v>12606</v>
      </c>
      <c r="O930" t="s">
        <v>12606</v>
      </c>
      <c r="P930" t="s">
        <v>12607</v>
      </c>
      <c r="Q930" t="s">
        <v>12606</v>
      </c>
      <c r="V930">
        <v>1076</v>
      </c>
      <c r="W930">
        <v>4</v>
      </c>
      <c r="X930">
        <v>2017</v>
      </c>
      <c r="Y930">
        <v>2018</v>
      </c>
      <c r="Z930">
        <v>850.51</v>
      </c>
      <c r="AB930" t="s">
        <v>181</v>
      </c>
      <c r="AC930" t="s">
        <v>182</v>
      </c>
      <c r="AD930" t="s">
        <v>183</v>
      </c>
      <c r="AE930">
        <v>1</v>
      </c>
      <c r="AF930">
        <v>3</v>
      </c>
      <c r="AG930" t="s">
        <v>257</v>
      </c>
      <c r="AH930">
        <v>75</v>
      </c>
      <c r="AI930">
        <v>1704.57</v>
      </c>
      <c r="AJ930">
        <v>85.23</v>
      </c>
      <c r="AK930">
        <v>1789.8</v>
      </c>
      <c r="AL930">
        <v>90775</v>
      </c>
      <c r="AM930">
        <v>33488</v>
      </c>
      <c r="AN930">
        <v>57287</v>
      </c>
      <c r="AO930">
        <v>0</v>
      </c>
      <c r="AP930">
        <v>0</v>
      </c>
      <c r="AQ930">
        <v>0.94</v>
      </c>
      <c r="AR930">
        <v>1.97</v>
      </c>
      <c r="AS930" t="s">
        <v>12608</v>
      </c>
      <c r="AT930" t="s">
        <v>3747</v>
      </c>
      <c r="AU930" t="s">
        <v>177</v>
      </c>
      <c r="AV930" t="s">
        <v>1030</v>
      </c>
      <c r="AW930" t="s">
        <v>182</v>
      </c>
      <c r="AX930">
        <v>2</v>
      </c>
      <c r="AY930" t="s">
        <v>188</v>
      </c>
      <c r="AZ930" t="s">
        <v>189</v>
      </c>
      <c r="BA930" t="s">
        <v>190</v>
      </c>
      <c r="BB930" t="s">
        <v>191</v>
      </c>
      <c r="BC930" t="s">
        <v>182</v>
      </c>
      <c r="BD930" t="s">
        <v>182</v>
      </c>
      <c r="BE930" t="s">
        <v>11576</v>
      </c>
      <c r="BF930">
        <v>1</v>
      </c>
      <c r="BG930">
        <v>1</v>
      </c>
      <c r="BH930">
        <v>2008</v>
      </c>
      <c r="BI930" t="s">
        <v>450</v>
      </c>
      <c r="BJ930" t="s">
        <v>194</v>
      </c>
      <c r="BK930" t="s">
        <v>195</v>
      </c>
      <c r="BL930" t="s">
        <v>199</v>
      </c>
      <c r="BM930" t="s">
        <v>1041</v>
      </c>
      <c r="BN930" t="s">
        <v>182</v>
      </c>
      <c r="BO930" t="s">
        <v>198</v>
      </c>
      <c r="BP930" t="s">
        <v>198</v>
      </c>
      <c r="BQ930" t="s">
        <v>198</v>
      </c>
      <c r="BR930" t="s">
        <v>198</v>
      </c>
      <c r="BS930" t="s">
        <v>198</v>
      </c>
      <c r="BT930" t="s">
        <v>198</v>
      </c>
      <c r="BU930" t="s">
        <v>182</v>
      </c>
      <c r="BV930" t="s">
        <v>198</v>
      </c>
      <c r="BW930" t="s">
        <v>198</v>
      </c>
      <c r="BX930" t="s">
        <v>199</v>
      </c>
      <c r="BY930" t="s">
        <v>198</v>
      </c>
      <c r="BZ930" t="s">
        <v>199</v>
      </c>
      <c r="CA930" t="s">
        <v>199</v>
      </c>
      <c r="CB930" t="s">
        <v>12609</v>
      </c>
      <c r="CC930" t="s">
        <v>201</v>
      </c>
      <c r="CD930" t="s">
        <v>182</v>
      </c>
      <c r="CE930" t="s">
        <v>12610</v>
      </c>
      <c r="CF930" t="s">
        <v>1029</v>
      </c>
      <c r="CG930" t="s">
        <v>177</v>
      </c>
      <c r="CH930" t="s">
        <v>1030</v>
      </c>
      <c r="CI930" t="s">
        <v>12611</v>
      </c>
      <c r="CJ930" t="s">
        <v>1053</v>
      </c>
      <c r="CK930" t="s">
        <v>292</v>
      </c>
      <c r="CL930" t="s">
        <v>293</v>
      </c>
      <c r="CM930" t="s">
        <v>12612</v>
      </c>
      <c r="CN930" t="s">
        <v>235</v>
      </c>
      <c r="CO930" t="s">
        <v>183</v>
      </c>
      <c r="CP930" t="s">
        <v>266</v>
      </c>
      <c r="CS930" t="s">
        <v>198</v>
      </c>
      <c r="CT930" t="s">
        <v>6138</v>
      </c>
      <c r="CU930" t="s">
        <v>267</v>
      </c>
      <c r="CV930" t="s">
        <v>268</v>
      </c>
      <c r="CW930" t="s">
        <v>12613</v>
      </c>
      <c r="CX930" t="s">
        <v>235</v>
      </c>
      <c r="CY930" t="s">
        <v>183</v>
      </c>
      <c r="CZ930" t="s">
        <v>211</v>
      </c>
      <c r="DA930" t="s">
        <v>345</v>
      </c>
      <c r="DC930" t="s">
        <v>542</v>
      </c>
      <c r="DD930" t="s">
        <v>11839</v>
      </c>
      <c r="DE930" t="s">
        <v>273</v>
      </c>
      <c r="DF930" t="s">
        <v>274</v>
      </c>
      <c r="DG930" t="s">
        <v>12614</v>
      </c>
      <c r="DH930" t="s">
        <v>235</v>
      </c>
      <c r="DI930" t="s">
        <v>183</v>
      </c>
      <c r="DJ930" t="s">
        <v>211</v>
      </c>
      <c r="DK930" t="s">
        <v>298</v>
      </c>
      <c r="DM930" t="s">
        <v>12212</v>
      </c>
      <c r="DN930" t="s">
        <v>10307</v>
      </c>
      <c r="DO930" t="s">
        <v>302</v>
      </c>
      <c r="DP930" t="s">
        <v>303</v>
      </c>
      <c r="DQ930" t="s">
        <v>12615</v>
      </c>
      <c r="DR930" t="s">
        <v>235</v>
      </c>
      <c r="DS930" t="s">
        <v>183</v>
      </c>
      <c r="DT930" t="s">
        <v>211</v>
      </c>
      <c r="DU930" t="s">
        <v>298</v>
      </c>
      <c r="DW930" t="s">
        <v>2359</v>
      </c>
      <c r="EG930" t="s">
        <v>198</v>
      </c>
      <c r="EQ930" t="s">
        <v>198</v>
      </c>
      <c r="FA930" t="s">
        <v>198</v>
      </c>
      <c r="FK930" t="s">
        <v>198</v>
      </c>
      <c r="FU930" t="s">
        <v>198</v>
      </c>
    </row>
    <row r="931" spans="1:177">
      <c r="A931" s="1" t="str">
        <f>HYPERLINK("http://digipan.lumentumllc.com/apps/getLink/index.php?t=PropLink&amp;p=7112614","PL")</f>
        <v>PL</v>
      </c>
      <c r="B931" s="1" t="str">
        <f>HYPERLINK("http://digipan.lumentumllc.com/apps/getLink/index.php?t=TaxLink&amp;p=7112614","TL")</f>
        <v>TL</v>
      </c>
      <c r="C931" s="1" t="str">
        <f>HYPERLINK("http://digipan.lumentumllc.com/apps/getMap/index.php?p=7112614","Map")</f>
        <v>Map</v>
      </c>
      <c r="E931" t="s">
        <v>177</v>
      </c>
      <c r="F931" t="s">
        <v>178</v>
      </c>
      <c r="L931" t="s">
        <v>12616</v>
      </c>
      <c r="N931" t="s">
        <v>12616</v>
      </c>
      <c r="O931" t="s">
        <v>12616</v>
      </c>
      <c r="P931" t="s">
        <v>12617</v>
      </c>
      <c r="Q931" t="s">
        <v>12616</v>
      </c>
      <c r="V931">
        <v>1078</v>
      </c>
      <c r="W931">
        <v>4</v>
      </c>
      <c r="X931">
        <v>2017</v>
      </c>
      <c r="Y931">
        <v>2018</v>
      </c>
      <c r="Z931">
        <v>58.78</v>
      </c>
      <c r="AB931" t="s">
        <v>181</v>
      </c>
      <c r="AC931" t="s">
        <v>182</v>
      </c>
      <c r="AD931" t="s">
        <v>183</v>
      </c>
      <c r="AE931">
        <v>2</v>
      </c>
      <c r="AF931">
        <v>0</v>
      </c>
      <c r="AG931" t="s">
        <v>1737</v>
      </c>
      <c r="AH931">
        <v>0</v>
      </c>
      <c r="AI931">
        <v>111.32</v>
      </c>
      <c r="AJ931">
        <v>30.3</v>
      </c>
      <c r="AK931">
        <v>141.62</v>
      </c>
      <c r="AL931">
        <v>1500</v>
      </c>
      <c r="AM931">
        <v>1500</v>
      </c>
      <c r="AN931">
        <v>0</v>
      </c>
      <c r="AO931">
        <v>25</v>
      </c>
      <c r="AP931">
        <v>2016</v>
      </c>
      <c r="AQ931">
        <v>3.92</v>
      </c>
      <c r="AR931">
        <v>9.44</v>
      </c>
      <c r="AS931" t="s">
        <v>12533</v>
      </c>
      <c r="AT931" t="s">
        <v>3747</v>
      </c>
      <c r="AU931" t="s">
        <v>177</v>
      </c>
      <c r="AV931" t="s">
        <v>1030</v>
      </c>
      <c r="AW931" t="s">
        <v>182</v>
      </c>
      <c r="AX931">
        <v>0</v>
      </c>
      <c r="AY931" t="s">
        <v>312</v>
      </c>
      <c r="AZ931" t="s">
        <v>199</v>
      </c>
      <c r="BA931" t="s">
        <v>313</v>
      </c>
      <c r="BB931" t="s">
        <v>191</v>
      </c>
      <c r="BC931" t="s">
        <v>182</v>
      </c>
      <c r="BD931" t="s">
        <v>182</v>
      </c>
      <c r="BE931" t="s">
        <v>5985</v>
      </c>
      <c r="BF931">
        <v>0</v>
      </c>
      <c r="BG931">
        <v>0</v>
      </c>
      <c r="BH931">
        <v>0</v>
      </c>
      <c r="BI931" t="s">
        <v>199</v>
      </c>
      <c r="BJ931" t="s">
        <v>248</v>
      </c>
      <c r="BL931" t="s">
        <v>199</v>
      </c>
      <c r="BM931" t="s">
        <v>1332</v>
      </c>
      <c r="BN931" t="s">
        <v>182</v>
      </c>
      <c r="BO931" t="s">
        <v>198</v>
      </c>
      <c r="BP931" t="s">
        <v>198</v>
      </c>
      <c r="BQ931" t="s">
        <v>198</v>
      </c>
      <c r="BR931" t="s">
        <v>198</v>
      </c>
      <c r="BS931" t="s">
        <v>198</v>
      </c>
      <c r="BT931" t="s">
        <v>198</v>
      </c>
      <c r="BU931" t="s">
        <v>182</v>
      </c>
      <c r="BV931" t="s">
        <v>198</v>
      </c>
      <c r="BW931" t="s">
        <v>198</v>
      </c>
      <c r="BX931" t="s">
        <v>199</v>
      </c>
      <c r="BY931" t="s">
        <v>198</v>
      </c>
      <c r="BZ931" t="s">
        <v>199</v>
      </c>
      <c r="CA931" t="s">
        <v>199</v>
      </c>
      <c r="CB931" t="s">
        <v>12618</v>
      </c>
      <c r="CC931" t="s">
        <v>201</v>
      </c>
      <c r="CD931" t="s">
        <v>182</v>
      </c>
      <c r="CE931" t="s">
        <v>12619</v>
      </c>
      <c r="CF931" t="s">
        <v>1029</v>
      </c>
      <c r="CG931" t="s">
        <v>177</v>
      </c>
      <c r="CH931" t="s">
        <v>1030</v>
      </c>
      <c r="CI931" t="s">
        <v>12620</v>
      </c>
      <c r="CJ931" t="s">
        <v>9246</v>
      </c>
      <c r="CK931" t="s">
        <v>232</v>
      </c>
      <c r="CL931" t="s">
        <v>233</v>
      </c>
      <c r="CM931" t="s">
        <v>12621</v>
      </c>
      <c r="CN931" t="s">
        <v>482</v>
      </c>
      <c r="CO931" t="s">
        <v>183</v>
      </c>
      <c r="CP931" t="s">
        <v>266</v>
      </c>
      <c r="CS931" t="s">
        <v>198</v>
      </c>
      <c r="CT931" t="s">
        <v>1072</v>
      </c>
      <c r="CU931" t="s">
        <v>292</v>
      </c>
      <c r="CV931" t="s">
        <v>293</v>
      </c>
      <c r="CW931" t="s">
        <v>12622</v>
      </c>
      <c r="CX931" t="s">
        <v>482</v>
      </c>
      <c r="CY931" t="s">
        <v>183</v>
      </c>
      <c r="CZ931" t="s">
        <v>266</v>
      </c>
      <c r="DC931" t="s">
        <v>198</v>
      </c>
      <c r="DM931" t="s">
        <v>198</v>
      </c>
      <c r="DW931" t="s">
        <v>198</v>
      </c>
      <c r="EG931" t="s">
        <v>198</v>
      </c>
      <c r="EQ931" t="s">
        <v>198</v>
      </c>
      <c r="FA931" t="s">
        <v>198</v>
      </c>
      <c r="FK931" t="s">
        <v>198</v>
      </c>
      <c r="FU931" t="s">
        <v>198</v>
      </c>
    </row>
    <row r="932" spans="1:177">
      <c r="A932" s="1" t="str">
        <f>HYPERLINK("http://digipan.lumentumllc.com/apps/getLink/index.php?t=PropLink&amp;p=6129624","PL")</f>
        <v>PL</v>
      </c>
      <c r="B932" s="1" t="str">
        <f>HYPERLINK("http://digipan.lumentumllc.com/apps/getLink/index.php?t=TaxLink&amp;p=6129624","TL")</f>
        <v>TL</v>
      </c>
      <c r="C932" s="1" t="str">
        <f>HYPERLINK("http://digipan.lumentumllc.com/apps/getMap/index.php?p=6129624","Map")</f>
        <v>Map</v>
      </c>
      <c r="E932" t="s">
        <v>177</v>
      </c>
      <c r="F932" t="s">
        <v>178</v>
      </c>
      <c r="L932" t="s">
        <v>12623</v>
      </c>
      <c r="N932" t="s">
        <v>12623</v>
      </c>
      <c r="O932" t="s">
        <v>12623</v>
      </c>
      <c r="P932" t="s">
        <v>12624</v>
      </c>
      <c r="Q932" t="s">
        <v>12623</v>
      </c>
      <c r="V932">
        <v>1079</v>
      </c>
      <c r="W932">
        <v>4</v>
      </c>
      <c r="X932">
        <v>2017</v>
      </c>
      <c r="Y932">
        <v>2018</v>
      </c>
      <c r="Z932">
        <v>165.85</v>
      </c>
      <c r="AB932" t="s">
        <v>181</v>
      </c>
      <c r="AC932" t="s">
        <v>202</v>
      </c>
      <c r="AD932" t="s">
        <v>183</v>
      </c>
      <c r="AE932">
        <v>1</v>
      </c>
      <c r="AF932">
        <v>5</v>
      </c>
      <c r="AG932" t="s">
        <v>322</v>
      </c>
      <c r="AH932">
        <v>83</v>
      </c>
      <c r="AI932">
        <v>84.04</v>
      </c>
      <c r="AJ932">
        <v>15.13</v>
      </c>
      <c r="AK932">
        <v>99.17</v>
      </c>
      <c r="AL932">
        <v>7500</v>
      </c>
      <c r="AM932">
        <v>7500</v>
      </c>
      <c r="AN932">
        <v>0</v>
      </c>
      <c r="AO932">
        <v>53</v>
      </c>
      <c r="AP932">
        <v>2016</v>
      </c>
      <c r="AQ932">
        <v>2.21</v>
      </c>
      <c r="AR932">
        <v>1.32</v>
      </c>
      <c r="AS932" t="s">
        <v>12533</v>
      </c>
      <c r="AT932" t="s">
        <v>3747</v>
      </c>
      <c r="AU932" t="s">
        <v>177</v>
      </c>
      <c r="AV932" t="s">
        <v>1030</v>
      </c>
      <c r="AW932" t="s">
        <v>182</v>
      </c>
      <c r="AX932">
        <v>0</v>
      </c>
      <c r="AY932" t="s">
        <v>312</v>
      </c>
      <c r="AZ932" t="s">
        <v>199</v>
      </c>
      <c r="BA932" t="s">
        <v>313</v>
      </c>
      <c r="BB932" t="s">
        <v>191</v>
      </c>
      <c r="BC932" t="s">
        <v>182</v>
      </c>
      <c r="BD932" t="s">
        <v>182</v>
      </c>
      <c r="BE932" t="s">
        <v>5992</v>
      </c>
      <c r="BF932">
        <v>0</v>
      </c>
      <c r="BG932">
        <v>0</v>
      </c>
      <c r="BH932">
        <v>0</v>
      </c>
      <c r="BI932" t="s">
        <v>199</v>
      </c>
      <c r="BJ932" t="s">
        <v>315</v>
      </c>
      <c r="BL932" t="s">
        <v>199</v>
      </c>
      <c r="BM932" t="s">
        <v>559</v>
      </c>
      <c r="BN932" t="s">
        <v>182</v>
      </c>
      <c r="BO932" t="s">
        <v>198</v>
      </c>
      <c r="BP932" t="s">
        <v>198</v>
      </c>
      <c r="BQ932" t="s">
        <v>198</v>
      </c>
      <c r="BR932" t="s">
        <v>198</v>
      </c>
      <c r="BS932" t="s">
        <v>198</v>
      </c>
      <c r="BT932" t="s">
        <v>198</v>
      </c>
      <c r="BU932" t="s">
        <v>182</v>
      </c>
      <c r="BV932" t="s">
        <v>198</v>
      </c>
      <c r="BW932" t="s">
        <v>198</v>
      </c>
      <c r="BX932" t="s">
        <v>199</v>
      </c>
      <c r="BY932" t="s">
        <v>198</v>
      </c>
      <c r="BZ932" t="s">
        <v>199</v>
      </c>
      <c r="CA932" t="s">
        <v>199</v>
      </c>
      <c r="CB932" t="s">
        <v>12625</v>
      </c>
      <c r="CC932" t="s">
        <v>201</v>
      </c>
      <c r="CD932" t="s">
        <v>202</v>
      </c>
      <c r="CE932" t="s">
        <v>12626</v>
      </c>
      <c r="CF932" t="s">
        <v>12627</v>
      </c>
      <c r="CG932" t="s">
        <v>5791</v>
      </c>
      <c r="CH932" t="s">
        <v>12628</v>
      </c>
      <c r="CI932" t="s">
        <v>12629</v>
      </c>
      <c r="CJ932" t="s">
        <v>9278</v>
      </c>
      <c r="CK932" t="s">
        <v>232</v>
      </c>
      <c r="CL932" t="s">
        <v>233</v>
      </c>
      <c r="CM932" t="s">
        <v>12630</v>
      </c>
      <c r="CN932" t="s">
        <v>482</v>
      </c>
      <c r="CO932" t="s">
        <v>183</v>
      </c>
      <c r="CP932" t="s">
        <v>266</v>
      </c>
      <c r="CS932" t="s">
        <v>198</v>
      </c>
      <c r="CT932" t="s">
        <v>8972</v>
      </c>
      <c r="CU932" t="s">
        <v>292</v>
      </c>
      <c r="CV932" t="s">
        <v>293</v>
      </c>
      <c r="CW932" t="s">
        <v>12631</v>
      </c>
      <c r="CX932" t="s">
        <v>482</v>
      </c>
      <c r="CY932" t="s">
        <v>183</v>
      </c>
      <c r="CZ932" t="s">
        <v>211</v>
      </c>
      <c r="DB932" t="s">
        <v>6042</v>
      </c>
      <c r="DC932" t="s">
        <v>198</v>
      </c>
      <c r="DD932" t="s">
        <v>11765</v>
      </c>
      <c r="DE932" t="s">
        <v>267</v>
      </c>
      <c r="DF932" t="s">
        <v>268</v>
      </c>
      <c r="DG932" t="s">
        <v>12632</v>
      </c>
      <c r="DH932" t="s">
        <v>482</v>
      </c>
      <c r="DI932" t="s">
        <v>183</v>
      </c>
      <c r="DJ932" t="s">
        <v>211</v>
      </c>
      <c r="DK932" t="s">
        <v>427</v>
      </c>
      <c r="DL932" t="s">
        <v>6042</v>
      </c>
      <c r="DM932" t="s">
        <v>2946</v>
      </c>
      <c r="DN932" t="s">
        <v>6874</v>
      </c>
      <c r="DO932" t="s">
        <v>273</v>
      </c>
      <c r="DP932" t="s">
        <v>274</v>
      </c>
      <c r="DQ932" t="s">
        <v>12633</v>
      </c>
      <c r="DR932" t="s">
        <v>1491</v>
      </c>
      <c r="DS932" t="s">
        <v>183</v>
      </c>
      <c r="DT932" t="s">
        <v>211</v>
      </c>
      <c r="DV932" t="s">
        <v>6042</v>
      </c>
      <c r="DW932" t="s">
        <v>198</v>
      </c>
      <c r="DX932" t="s">
        <v>10347</v>
      </c>
      <c r="DY932" t="s">
        <v>302</v>
      </c>
      <c r="DZ932" t="s">
        <v>303</v>
      </c>
      <c r="EA932" t="s">
        <v>12634</v>
      </c>
      <c r="EB932" t="s">
        <v>576</v>
      </c>
      <c r="EC932" t="s">
        <v>183</v>
      </c>
      <c r="ED932" t="s">
        <v>211</v>
      </c>
      <c r="EE932" t="s">
        <v>655</v>
      </c>
      <c r="EF932" t="s">
        <v>6042</v>
      </c>
      <c r="EG932" t="s">
        <v>2946</v>
      </c>
      <c r="EH932" t="s">
        <v>12635</v>
      </c>
      <c r="EI932" t="s">
        <v>238</v>
      </c>
      <c r="EJ932" t="s">
        <v>239</v>
      </c>
      <c r="EK932" t="s">
        <v>12636</v>
      </c>
      <c r="EL932" t="s">
        <v>408</v>
      </c>
      <c r="EM932" t="s">
        <v>183</v>
      </c>
      <c r="EN932" t="s">
        <v>211</v>
      </c>
      <c r="EO932" t="s">
        <v>1162</v>
      </c>
      <c r="EP932" t="s">
        <v>6042</v>
      </c>
      <c r="EQ932" t="s">
        <v>2946</v>
      </c>
      <c r="FA932" t="s">
        <v>198</v>
      </c>
      <c r="FK932" t="s">
        <v>198</v>
      </c>
      <c r="FU932" t="s">
        <v>198</v>
      </c>
    </row>
    <row r="933" spans="1:177">
      <c r="A933" s="1" t="str">
        <f>HYPERLINK("http://digipan.lumentumllc.com/apps/getLink/index.php?t=PropLink&amp;p=6129625","PL")</f>
        <v>PL</v>
      </c>
      <c r="B933" s="1" t="str">
        <f>HYPERLINK("http://digipan.lumentumllc.com/apps/getLink/index.php?t=TaxLink&amp;p=6129625","TL")</f>
        <v>TL</v>
      </c>
      <c r="C933" s="1" t="str">
        <f>HYPERLINK("http://digipan.lumentumllc.com/apps/getMap/index.php?p=6129625","Map")</f>
        <v>Map</v>
      </c>
      <c r="E933" t="s">
        <v>177</v>
      </c>
      <c r="F933" t="s">
        <v>178</v>
      </c>
      <c r="L933" t="s">
        <v>12637</v>
      </c>
      <c r="N933" t="s">
        <v>12637</v>
      </c>
      <c r="O933" t="s">
        <v>12637</v>
      </c>
      <c r="P933" t="s">
        <v>12638</v>
      </c>
      <c r="Q933" t="s">
        <v>12637</v>
      </c>
      <c r="V933">
        <v>1080</v>
      </c>
      <c r="W933">
        <v>4</v>
      </c>
      <c r="X933">
        <v>2017</v>
      </c>
      <c r="Y933">
        <v>2018</v>
      </c>
      <c r="Z933">
        <v>165.85</v>
      </c>
      <c r="AB933" t="s">
        <v>181</v>
      </c>
      <c r="AC933" t="s">
        <v>202</v>
      </c>
      <c r="AD933" t="s">
        <v>183</v>
      </c>
      <c r="AE933">
        <v>1</v>
      </c>
      <c r="AF933">
        <v>5</v>
      </c>
      <c r="AG933" t="s">
        <v>322</v>
      </c>
      <c r="AH933">
        <v>83</v>
      </c>
      <c r="AI933">
        <v>84.04</v>
      </c>
      <c r="AJ933">
        <v>15.13</v>
      </c>
      <c r="AK933">
        <v>99.17</v>
      </c>
      <c r="AL933">
        <v>7500</v>
      </c>
      <c r="AM933">
        <v>7500</v>
      </c>
      <c r="AN933">
        <v>0</v>
      </c>
      <c r="AO933">
        <v>53</v>
      </c>
      <c r="AP933">
        <v>2016</v>
      </c>
      <c r="AQ933">
        <v>2.21</v>
      </c>
      <c r="AR933">
        <v>1.32</v>
      </c>
      <c r="AS933" t="s">
        <v>12533</v>
      </c>
      <c r="AT933" t="s">
        <v>3747</v>
      </c>
      <c r="AU933" t="s">
        <v>177</v>
      </c>
      <c r="AV933" t="s">
        <v>1030</v>
      </c>
      <c r="AW933" t="s">
        <v>182</v>
      </c>
      <c r="AX933">
        <v>0</v>
      </c>
      <c r="AY933" t="s">
        <v>312</v>
      </c>
      <c r="AZ933" t="s">
        <v>199</v>
      </c>
      <c r="BA933" t="s">
        <v>313</v>
      </c>
      <c r="BB933" t="s">
        <v>191</v>
      </c>
      <c r="BC933" t="s">
        <v>182</v>
      </c>
      <c r="BD933" t="s">
        <v>182</v>
      </c>
      <c r="BE933" t="s">
        <v>6180</v>
      </c>
      <c r="BF933">
        <v>0</v>
      </c>
      <c r="BG933">
        <v>0</v>
      </c>
      <c r="BH933">
        <v>0</v>
      </c>
      <c r="BI933" t="s">
        <v>199</v>
      </c>
      <c r="BJ933" t="s">
        <v>315</v>
      </c>
      <c r="BL933" t="s">
        <v>199</v>
      </c>
      <c r="BM933" t="s">
        <v>559</v>
      </c>
      <c r="BN933" t="s">
        <v>182</v>
      </c>
      <c r="BO933" t="s">
        <v>198</v>
      </c>
      <c r="BP933" t="s">
        <v>198</v>
      </c>
      <c r="BQ933" t="s">
        <v>198</v>
      </c>
      <c r="BR933" t="s">
        <v>198</v>
      </c>
      <c r="BS933" t="s">
        <v>198</v>
      </c>
      <c r="BT933" t="s">
        <v>198</v>
      </c>
      <c r="BU933" t="s">
        <v>182</v>
      </c>
      <c r="BV933" t="s">
        <v>198</v>
      </c>
      <c r="BW933" t="s">
        <v>198</v>
      </c>
      <c r="BX933" t="s">
        <v>199</v>
      </c>
      <c r="BY933" t="s">
        <v>198</v>
      </c>
      <c r="BZ933" t="s">
        <v>199</v>
      </c>
      <c r="CA933" t="s">
        <v>199</v>
      </c>
      <c r="CB933" t="s">
        <v>12625</v>
      </c>
      <c r="CC933" t="s">
        <v>201</v>
      </c>
      <c r="CD933" t="s">
        <v>202</v>
      </c>
      <c r="CE933" t="s">
        <v>12639</v>
      </c>
      <c r="CF933" t="s">
        <v>12627</v>
      </c>
      <c r="CG933" t="s">
        <v>5791</v>
      </c>
      <c r="CH933" t="s">
        <v>12628</v>
      </c>
      <c r="CI933" t="s">
        <v>12640</v>
      </c>
      <c r="CJ933" t="s">
        <v>8907</v>
      </c>
      <c r="CK933" t="s">
        <v>232</v>
      </c>
      <c r="CL933" t="s">
        <v>233</v>
      </c>
      <c r="CM933" t="s">
        <v>12630</v>
      </c>
      <c r="CN933" t="s">
        <v>482</v>
      </c>
      <c r="CO933" t="s">
        <v>183</v>
      </c>
      <c r="CP933" t="s">
        <v>266</v>
      </c>
      <c r="CS933" t="s">
        <v>198</v>
      </c>
      <c r="CT933" t="s">
        <v>1095</v>
      </c>
      <c r="CU933" t="s">
        <v>292</v>
      </c>
      <c r="CV933" t="s">
        <v>293</v>
      </c>
      <c r="CW933" t="s">
        <v>12631</v>
      </c>
      <c r="CX933" t="s">
        <v>482</v>
      </c>
      <c r="CY933" t="s">
        <v>183</v>
      </c>
      <c r="CZ933" t="s">
        <v>211</v>
      </c>
      <c r="DB933" t="s">
        <v>6042</v>
      </c>
      <c r="DC933" t="s">
        <v>198</v>
      </c>
      <c r="DD933" t="s">
        <v>9372</v>
      </c>
      <c r="DE933" t="s">
        <v>267</v>
      </c>
      <c r="DF933" t="s">
        <v>268</v>
      </c>
      <c r="DG933" t="s">
        <v>12632</v>
      </c>
      <c r="DH933" t="s">
        <v>482</v>
      </c>
      <c r="DI933" t="s">
        <v>183</v>
      </c>
      <c r="DJ933" t="s">
        <v>211</v>
      </c>
      <c r="DK933" t="s">
        <v>427</v>
      </c>
      <c r="DL933" t="s">
        <v>6042</v>
      </c>
      <c r="DM933" t="s">
        <v>2946</v>
      </c>
      <c r="DN933" t="s">
        <v>10026</v>
      </c>
      <c r="DO933" t="s">
        <v>273</v>
      </c>
      <c r="DP933" t="s">
        <v>274</v>
      </c>
      <c r="DQ933" t="s">
        <v>12633</v>
      </c>
      <c r="DR933" t="s">
        <v>1491</v>
      </c>
      <c r="DS933" t="s">
        <v>183</v>
      </c>
      <c r="DT933" t="s">
        <v>211</v>
      </c>
      <c r="DV933" t="s">
        <v>6042</v>
      </c>
      <c r="DW933" t="s">
        <v>198</v>
      </c>
      <c r="DX933" t="s">
        <v>10364</v>
      </c>
      <c r="DY933" t="s">
        <v>302</v>
      </c>
      <c r="DZ933" t="s">
        <v>303</v>
      </c>
      <c r="EA933" t="s">
        <v>12634</v>
      </c>
      <c r="EB933" t="s">
        <v>576</v>
      </c>
      <c r="EC933" t="s">
        <v>183</v>
      </c>
      <c r="ED933" t="s">
        <v>211</v>
      </c>
      <c r="EE933" t="s">
        <v>655</v>
      </c>
      <c r="EF933" t="s">
        <v>6042</v>
      </c>
      <c r="EG933" t="s">
        <v>2946</v>
      </c>
      <c r="EH933" t="s">
        <v>12641</v>
      </c>
      <c r="EI933" t="s">
        <v>238</v>
      </c>
      <c r="EJ933" t="s">
        <v>239</v>
      </c>
      <c r="EK933" t="s">
        <v>12636</v>
      </c>
      <c r="EL933" t="s">
        <v>4595</v>
      </c>
      <c r="EM933" t="s">
        <v>183</v>
      </c>
      <c r="EN933" t="s">
        <v>211</v>
      </c>
      <c r="EO933" t="s">
        <v>1162</v>
      </c>
      <c r="EP933" t="s">
        <v>6042</v>
      </c>
      <c r="EQ933" t="s">
        <v>2946</v>
      </c>
      <c r="FA933" t="s">
        <v>198</v>
      </c>
      <c r="FK933" t="s">
        <v>198</v>
      </c>
      <c r="FU933" t="s">
        <v>198</v>
      </c>
    </row>
    <row r="934" spans="1:177">
      <c r="A934" s="1" t="str">
        <f>HYPERLINK("http://digipan.lumentumllc.com/apps/getLink/index.php?t=PropLink&amp;p=6129626","PL")</f>
        <v>PL</v>
      </c>
      <c r="B934" s="1" t="str">
        <f>HYPERLINK("http://digipan.lumentumllc.com/apps/getLink/index.php?t=TaxLink&amp;p=6129626","TL")</f>
        <v>TL</v>
      </c>
      <c r="C934" s="1" t="str">
        <f>HYPERLINK("http://digipan.lumentumllc.com/apps/getMap/index.php?p=6129626","Map")</f>
        <v>Map</v>
      </c>
      <c r="E934" t="s">
        <v>177</v>
      </c>
      <c r="F934" t="s">
        <v>178</v>
      </c>
      <c r="L934" t="s">
        <v>12642</v>
      </c>
      <c r="N934" t="s">
        <v>12642</v>
      </c>
      <c r="O934" t="s">
        <v>12642</v>
      </c>
      <c r="P934" t="s">
        <v>12643</v>
      </c>
      <c r="Q934" t="s">
        <v>12642</v>
      </c>
      <c r="V934">
        <v>1081</v>
      </c>
      <c r="W934">
        <v>4</v>
      </c>
      <c r="X934">
        <v>2017</v>
      </c>
      <c r="Y934">
        <v>2018</v>
      </c>
      <c r="Z934">
        <v>165.85</v>
      </c>
      <c r="AB934" t="s">
        <v>181</v>
      </c>
      <c r="AC934" t="s">
        <v>202</v>
      </c>
      <c r="AD934" t="s">
        <v>183</v>
      </c>
      <c r="AE934">
        <v>1</v>
      </c>
      <c r="AF934">
        <v>5</v>
      </c>
      <c r="AG934" t="s">
        <v>322</v>
      </c>
      <c r="AH934">
        <v>83</v>
      </c>
      <c r="AI934">
        <v>84.04</v>
      </c>
      <c r="AJ934">
        <v>15.13</v>
      </c>
      <c r="AK934">
        <v>99.17</v>
      </c>
      <c r="AL934">
        <v>7500</v>
      </c>
      <c r="AM934">
        <v>7500</v>
      </c>
      <c r="AN934">
        <v>0</v>
      </c>
      <c r="AO934">
        <v>53</v>
      </c>
      <c r="AP934">
        <v>2016</v>
      </c>
      <c r="AQ934">
        <v>2.21</v>
      </c>
      <c r="AR934">
        <v>1.32</v>
      </c>
      <c r="AS934" t="s">
        <v>12533</v>
      </c>
      <c r="AT934" t="s">
        <v>3747</v>
      </c>
      <c r="AU934" t="s">
        <v>177</v>
      </c>
      <c r="AV934" t="s">
        <v>1030</v>
      </c>
      <c r="AW934" t="s">
        <v>182</v>
      </c>
      <c r="AX934">
        <v>0</v>
      </c>
      <c r="AY934" t="s">
        <v>312</v>
      </c>
      <c r="AZ934" t="s">
        <v>199</v>
      </c>
      <c r="BA934" t="s">
        <v>313</v>
      </c>
      <c r="BB934" t="s">
        <v>191</v>
      </c>
      <c r="BC934" t="s">
        <v>182</v>
      </c>
      <c r="BD934" t="s">
        <v>182</v>
      </c>
      <c r="BE934" t="s">
        <v>6180</v>
      </c>
      <c r="BF934">
        <v>0</v>
      </c>
      <c r="BG934">
        <v>0</v>
      </c>
      <c r="BH934">
        <v>0</v>
      </c>
      <c r="BI934" t="s">
        <v>199</v>
      </c>
      <c r="BJ934" t="s">
        <v>315</v>
      </c>
      <c r="BL934" t="s">
        <v>199</v>
      </c>
      <c r="BM934" t="s">
        <v>559</v>
      </c>
      <c r="BN934" t="s">
        <v>182</v>
      </c>
      <c r="BO934" t="s">
        <v>198</v>
      </c>
      <c r="BP934" t="s">
        <v>198</v>
      </c>
      <c r="BQ934" t="s">
        <v>198</v>
      </c>
      <c r="BR934" t="s">
        <v>198</v>
      </c>
      <c r="BS934" t="s">
        <v>198</v>
      </c>
      <c r="BT934" t="s">
        <v>198</v>
      </c>
      <c r="BU934" t="s">
        <v>182</v>
      </c>
      <c r="BV934" t="s">
        <v>198</v>
      </c>
      <c r="BW934" t="s">
        <v>198</v>
      </c>
      <c r="BX934" t="s">
        <v>199</v>
      </c>
      <c r="BY934" t="s">
        <v>198</v>
      </c>
      <c r="BZ934" t="s">
        <v>199</v>
      </c>
      <c r="CA934" t="s">
        <v>199</v>
      </c>
      <c r="CB934" t="s">
        <v>12625</v>
      </c>
      <c r="CC934" t="s">
        <v>201</v>
      </c>
      <c r="CD934" t="s">
        <v>202</v>
      </c>
      <c r="CE934" t="s">
        <v>12626</v>
      </c>
      <c r="CF934" t="s">
        <v>12627</v>
      </c>
      <c r="CG934" t="s">
        <v>5791</v>
      </c>
      <c r="CH934" t="s">
        <v>12628</v>
      </c>
      <c r="CI934" t="s">
        <v>12644</v>
      </c>
      <c r="CJ934" t="s">
        <v>1053</v>
      </c>
      <c r="CK934" t="s">
        <v>232</v>
      </c>
      <c r="CL934" t="s">
        <v>233</v>
      </c>
      <c r="CM934" t="s">
        <v>12630</v>
      </c>
      <c r="CN934" t="s">
        <v>482</v>
      </c>
      <c r="CO934" t="s">
        <v>183</v>
      </c>
      <c r="CP934" t="s">
        <v>266</v>
      </c>
      <c r="CS934" t="s">
        <v>198</v>
      </c>
      <c r="CT934" t="s">
        <v>1134</v>
      </c>
      <c r="CU934" t="s">
        <v>292</v>
      </c>
      <c r="CV934" t="s">
        <v>293</v>
      </c>
      <c r="CW934" t="s">
        <v>12631</v>
      </c>
      <c r="CX934" t="s">
        <v>482</v>
      </c>
      <c r="CY934" t="s">
        <v>183</v>
      </c>
      <c r="CZ934" t="s">
        <v>211</v>
      </c>
      <c r="DB934" t="s">
        <v>6042</v>
      </c>
      <c r="DC934" t="s">
        <v>198</v>
      </c>
      <c r="DD934" t="s">
        <v>9579</v>
      </c>
      <c r="DE934" t="s">
        <v>267</v>
      </c>
      <c r="DF934" t="s">
        <v>268</v>
      </c>
      <c r="DG934" t="s">
        <v>12632</v>
      </c>
      <c r="DH934" t="s">
        <v>482</v>
      </c>
      <c r="DI934" t="s">
        <v>183</v>
      </c>
      <c r="DJ934" t="s">
        <v>211</v>
      </c>
      <c r="DK934" t="s">
        <v>427</v>
      </c>
      <c r="DL934" t="s">
        <v>6042</v>
      </c>
      <c r="DM934" t="s">
        <v>2946</v>
      </c>
      <c r="DN934" t="s">
        <v>6306</v>
      </c>
      <c r="DO934" t="s">
        <v>273</v>
      </c>
      <c r="DP934" t="s">
        <v>274</v>
      </c>
      <c r="DQ934" t="s">
        <v>12633</v>
      </c>
      <c r="DR934" t="s">
        <v>1491</v>
      </c>
      <c r="DS934" t="s">
        <v>183</v>
      </c>
      <c r="DT934" t="s">
        <v>211</v>
      </c>
      <c r="DV934" t="s">
        <v>6042</v>
      </c>
      <c r="DW934" t="s">
        <v>198</v>
      </c>
      <c r="DX934" t="s">
        <v>10385</v>
      </c>
      <c r="DY934" t="s">
        <v>302</v>
      </c>
      <c r="DZ934" t="s">
        <v>303</v>
      </c>
      <c r="EA934" t="s">
        <v>12634</v>
      </c>
      <c r="EB934" t="s">
        <v>576</v>
      </c>
      <c r="EC934" t="s">
        <v>183</v>
      </c>
      <c r="ED934" t="s">
        <v>211</v>
      </c>
      <c r="EE934" t="s">
        <v>655</v>
      </c>
      <c r="EF934" t="s">
        <v>6042</v>
      </c>
      <c r="EG934" t="s">
        <v>2946</v>
      </c>
      <c r="EH934" t="s">
        <v>12645</v>
      </c>
      <c r="EI934" t="s">
        <v>238</v>
      </c>
      <c r="EJ934" t="s">
        <v>239</v>
      </c>
      <c r="EK934" t="s">
        <v>12636</v>
      </c>
      <c r="EL934" t="s">
        <v>4595</v>
      </c>
      <c r="EM934" t="s">
        <v>183</v>
      </c>
      <c r="EN934" t="s">
        <v>211</v>
      </c>
      <c r="EO934" t="s">
        <v>1162</v>
      </c>
      <c r="EP934" t="s">
        <v>6042</v>
      </c>
      <c r="EQ934" t="s">
        <v>2946</v>
      </c>
      <c r="FA934" t="s">
        <v>198</v>
      </c>
      <c r="FK934" t="s">
        <v>198</v>
      </c>
      <c r="FU934" t="s">
        <v>198</v>
      </c>
    </row>
    <row r="935" spans="1:177">
      <c r="A935" s="1" t="str">
        <f>HYPERLINK("http://digipan.lumentumllc.com/apps/getLink/index.php?t=PropLink&amp;p=6129627","PL")</f>
        <v>PL</v>
      </c>
      <c r="B935" s="1" t="str">
        <f>HYPERLINK("http://digipan.lumentumllc.com/apps/getLink/index.php?t=TaxLink&amp;p=6129627","TL")</f>
        <v>TL</v>
      </c>
      <c r="C935" s="1" t="str">
        <f>HYPERLINK("http://digipan.lumentumllc.com/apps/getMap/index.php?p=6129627","Map")</f>
        <v>Map</v>
      </c>
      <c r="E935" t="s">
        <v>177</v>
      </c>
      <c r="F935" t="s">
        <v>178</v>
      </c>
      <c r="L935" t="s">
        <v>12646</v>
      </c>
      <c r="N935" t="s">
        <v>12646</v>
      </c>
      <c r="O935" t="s">
        <v>12646</v>
      </c>
      <c r="P935" t="s">
        <v>12647</v>
      </c>
      <c r="Q935" t="s">
        <v>12646</v>
      </c>
      <c r="V935">
        <v>1082</v>
      </c>
      <c r="W935">
        <v>4</v>
      </c>
      <c r="X935">
        <v>2017</v>
      </c>
      <c r="Y935">
        <v>2018</v>
      </c>
      <c r="Z935">
        <v>299.74</v>
      </c>
      <c r="AB935" t="s">
        <v>181</v>
      </c>
      <c r="AC935" t="s">
        <v>202</v>
      </c>
      <c r="AD935" t="s">
        <v>183</v>
      </c>
      <c r="AE935">
        <v>1</v>
      </c>
      <c r="AF935">
        <v>5</v>
      </c>
      <c r="AG935" t="s">
        <v>322</v>
      </c>
      <c r="AH935">
        <v>83</v>
      </c>
      <c r="AI935">
        <v>139.13999999999999</v>
      </c>
      <c r="AJ935">
        <v>23.65</v>
      </c>
      <c r="AK935">
        <v>162.79</v>
      </c>
      <c r="AL935">
        <v>15000</v>
      </c>
      <c r="AM935">
        <v>15000</v>
      </c>
      <c r="AN935">
        <v>0</v>
      </c>
      <c r="AO935">
        <v>104</v>
      </c>
      <c r="AP935">
        <v>2016</v>
      </c>
      <c r="AQ935">
        <v>2</v>
      </c>
      <c r="AR935">
        <v>1.0900000000000001</v>
      </c>
      <c r="AS935" t="s">
        <v>12533</v>
      </c>
      <c r="AT935" t="s">
        <v>3747</v>
      </c>
      <c r="AU935" t="s">
        <v>177</v>
      </c>
      <c r="AV935" t="s">
        <v>1030</v>
      </c>
      <c r="AW935" t="s">
        <v>182</v>
      </c>
      <c r="AX935">
        <v>0</v>
      </c>
      <c r="AY935" t="s">
        <v>312</v>
      </c>
      <c r="AZ935" t="s">
        <v>199</v>
      </c>
      <c r="BA935" t="s">
        <v>313</v>
      </c>
      <c r="BB935" t="s">
        <v>191</v>
      </c>
      <c r="BC935" t="s">
        <v>182</v>
      </c>
      <c r="BD935" t="s">
        <v>182</v>
      </c>
      <c r="BE935" t="s">
        <v>6180</v>
      </c>
      <c r="BF935">
        <v>0</v>
      </c>
      <c r="BG935">
        <v>0</v>
      </c>
      <c r="BH935">
        <v>0</v>
      </c>
      <c r="BI935" t="s">
        <v>199</v>
      </c>
      <c r="BJ935" t="s">
        <v>315</v>
      </c>
      <c r="BL935" t="s">
        <v>199</v>
      </c>
      <c r="BM935" t="s">
        <v>559</v>
      </c>
      <c r="BN935" t="s">
        <v>182</v>
      </c>
      <c r="BO935" t="s">
        <v>198</v>
      </c>
      <c r="BP935" t="s">
        <v>198</v>
      </c>
      <c r="BQ935" t="s">
        <v>198</v>
      </c>
      <c r="BR935" t="s">
        <v>198</v>
      </c>
      <c r="BS935" t="s">
        <v>198</v>
      </c>
      <c r="BT935" t="s">
        <v>198</v>
      </c>
      <c r="BU935" t="s">
        <v>182</v>
      </c>
      <c r="BV935" t="s">
        <v>198</v>
      </c>
      <c r="BW935" t="s">
        <v>198</v>
      </c>
      <c r="BX935" t="s">
        <v>199</v>
      </c>
      <c r="BY935" t="s">
        <v>198</v>
      </c>
      <c r="BZ935" t="s">
        <v>199</v>
      </c>
      <c r="CA935" t="s">
        <v>199</v>
      </c>
      <c r="CB935" t="s">
        <v>12625</v>
      </c>
      <c r="CC935" t="s">
        <v>201</v>
      </c>
      <c r="CD935" t="s">
        <v>202</v>
      </c>
      <c r="CE935" t="s">
        <v>12626</v>
      </c>
      <c r="CF935" t="s">
        <v>12627</v>
      </c>
      <c r="CG935" t="s">
        <v>5791</v>
      </c>
      <c r="CH935" t="s">
        <v>12628</v>
      </c>
      <c r="CI935" t="s">
        <v>12648</v>
      </c>
      <c r="CJ935" t="s">
        <v>1072</v>
      </c>
      <c r="CK935" t="s">
        <v>232</v>
      </c>
      <c r="CL935" t="s">
        <v>233</v>
      </c>
      <c r="CM935" t="s">
        <v>12649</v>
      </c>
      <c r="CN935" t="s">
        <v>1052</v>
      </c>
      <c r="CO935" t="s">
        <v>183</v>
      </c>
      <c r="CP935" t="s">
        <v>266</v>
      </c>
      <c r="CS935" t="s">
        <v>198</v>
      </c>
      <c r="CT935" t="s">
        <v>11914</v>
      </c>
      <c r="CU935" t="s">
        <v>292</v>
      </c>
      <c r="CV935" t="s">
        <v>293</v>
      </c>
      <c r="CW935" t="s">
        <v>12650</v>
      </c>
      <c r="CX935" t="s">
        <v>482</v>
      </c>
      <c r="CY935" t="s">
        <v>183</v>
      </c>
      <c r="CZ935" t="s">
        <v>211</v>
      </c>
      <c r="DB935" t="s">
        <v>6042</v>
      </c>
      <c r="DC935" t="s">
        <v>198</v>
      </c>
      <c r="DD935" t="s">
        <v>12651</v>
      </c>
      <c r="DE935" t="s">
        <v>267</v>
      </c>
      <c r="DF935" t="s">
        <v>268</v>
      </c>
      <c r="DG935" t="s">
        <v>12632</v>
      </c>
      <c r="DH935" t="s">
        <v>482</v>
      </c>
      <c r="DI935" t="s">
        <v>183</v>
      </c>
      <c r="DJ935" t="s">
        <v>211</v>
      </c>
      <c r="DK935" t="s">
        <v>427</v>
      </c>
      <c r="DL935" t="s">
        <v>6042</v>
      </c>
      <c r="DM935" t="s">
        <v>2946</v>
      </c>
      <c r="DN935" t="s">
        <v>12288</v>
      </c>
      <c r="DO935" t="s">
        <v>273</v>
      </c>
      <c r="DP935" t="s">
        <v>274</v>
      </c>
      <c r="DQ935" t="s">
        <v>12633</v>
      </c>
      <c r="DR935" t="s">
        <v>1491</v>
      </c>
      <c r="DS935" t="s">
        <v>183</v>
      </c>
      <c r="DT935" t="s">
        <v>211</v>
      </c>
      <c r="DV935" t="s">
        <v>6042</v>
      </c>
      <c r="DW935" t="s">
        <v>198</v>
      </c>
      <c r="DX935" t="s">
        <v>10498</v>
      </c>
      <c r="DY935" t="s">
        <v>302</v>
      </c>
      <c r="DZ935" t="s">
        <v>303</v>
      </c>
      <c r="EA935" t="s">
        <v>12634</v>
      </c>
      <c r="EB935" t="s">
        <v>576</v>
      </c>
      <c r="EC935" t="s">
        <v>183</v>
      </c>
      <c r="ED935" t="s">
        <v>211</v>
      </c>
      <c r="EE935" t="s">
        <v>655</v>
      </c>
      <c r="EF935" t="s">
        <v>6042</v>
      </c>
      <c r="EG935" t="s">
        <v>2946</v>
      </c>
      <c r="EH935" t="s">
        <v>12652</v>
      </c>
      <c r="EI935" t="s">
        <v>238</v>
      </c>
      <c r="EJ935" t="s">
        <v>239</v>
      </c>
      <c r="EK935" t="s">
        <v>12636</v>
      </c>
      <c r="EL935" t="s">
        <v>4595</v>
      </c>
      <c r="EM935" t="s">
        <v>183</v>
      </c>
      <c r="EN935" t="s">
        <v>211</v>
      </c>
      <c r="EO935" t="s">
        <v>1162</v>
      </c>
      <c r="EP935" t="s">
        <v>6042</v>
      </c>
      <c r="EQ935" t="s">
        <v>2946</v>
      </c>
      <c r="FA935" t="s">
        <v>198</v>
      </c>
      <c r="FK935" t="s">
        <v>198</v>
      </c>
      <c r="FU935" t="s">
        <v>198</v>
      </c>
    </row>
    <row r="936" spans="1:177">
      <c r="A936" s="1" t="str">
        <f>HYPERLINK("http://digipan.lumentumllc.com/apps/getLink/index.php?t=PropLink&amp;p=6129628","PL")</f>
        <v>PL</v>
      </c>
      <c r="B936" s="1" t="str">
        <f>HYPERLINK("http://digipan.lumentumllc.com/apps/getLink/index.php?t=TaxLink&amp;p=6129628","TL")</f>
        <v>TL</v>
      </c>
      <c r="C936" s="1" t="str">
        <f>HYPERLINK("http://digipan.lumentumllc.com/apps/getMap/index.php?p=6129628","Map")</f>
        <v>Map</v>
      </c>
      <c r="E936" t="s">
        <v>177</v>
      </c>
      <c r="F936" t="s">
        <v>178</v>
      </c>
      <c r="L936" t="s">
        <v>12653</v>
      </c>
      <c r="N936" t="s">
        <v>12653</v>
      </c>
      <c r="O936" t="s">
        <v>12653</v>
      </c>
      <c r="P936" t="s">
        <v>12654</v>
      </c>
      <c r="Q936" t="s">
        <v>12653</v>
      </c>
      <c r="V936">
        <v>1083</v>
      </c>
      <c r="W936">
        <v>4</v>
      </c>
      <c r="X936">
        <v>2017</v>
      </c>
      <c r="Y936">
        <v>2018</v>
      </c>
      <c r="Z936">
        <v>165.85</v>
      </c>
      <c r="AB936" t="s">
        <v>181</v>
      </c>
      <c r="AC936" t="s">
        <v>202</v>
      </c>
      <c r="AD936" t="s">
        <v>183</v>
      </c>
      <c r="AE936">
        <v>1</v>
      </c>
      <c r="AF936">
        <v>5</v>
      </c>
      <c r="AG936" t="s">
        <v>322</v>
      </c>
      <c r="AH936">
        <v>83</v>
      </c>
      <c r="AI936">
        <v>84.04</v>
      </c>
      <c r="AJ936">
        <v>15.13</v>
      </c>
      <c r="AK936">
        <v>99.17</v>
      </c>
      <c r="AL936">
        <v>7500</v>
      </c>
      <c r="AM936">
        <v>7500</v>
      </c>
      <c r="AN936">
        <v>0</v>
      </c>
      <c r="AO936">
        <v>53</v>
      </c>
      <c r="AP936">
        <v>2016</v>
      </c>
      <c r="AQ936">
        <v>2.21</v>
      </c>
      <c r="AR936">
        <v>1.32</v>
      </c>
      <c r="AS936" t="s">
        <v>12533</v>
      </c>
      <c r="AT936" t="s">
        <v>3747</v>
      </c>
      <c r="AU936" t="s">
        <v>177</v>
      </c>
      <c r="AV936" t="s">
        <v>1030</v>
      </c>
      <c r="AW936" t="s">
        <v>182</v>
      </c>
      <c r="AX936">
        <v>0</v>
      </c>
      <c r="AY936" t="s">
        <v>312</v>
      </c>
      <c r="AZ936" t="s">
        <v>199</v>
      </c>
      <c r="BA936" t="s">
        <v>313</v>
      </c>
      <c r="BB936" t="s">
        <v>191</v>
      </c>
      <c r="BC936" t="s">
        <v>182</v>
      </c>
      <c r="BD936" t="s">
        <v>182</v>
      </c>
      <c r="BE936" t="s">
        <v>6180</v>
      </c>
      <c r="BF936">
        <v>0</v>
      </c>
      <c r="BG936">
        <v>0</v>
      </c>
      <c r="BH936">
        <v>0</v>
      </c>
      <c r="BI936" t="s">
        <v>199</v>
      </c>
      <c r="BJ936" t="s">
        <v>315</v>
      </c>
      <c r="BL936" t="s">
        <v>199</v>
      </c>
      <c r="BM936" t="s">
        <v>559</v>
      </c>
      <c r="BN936" t="s">
        <v>182</v>
      </c>
      <c r="BO936" t="s">
        <v>198</v>
      </c>
      <c r="BP936" t="s">
        <v>198</v>
      </c>
      <c r="BQ936" t="s">
        <v>198</v>
      </c>
      <c r="BR936" t="s">
        <v>198</v>
      </c>
      <c r="BS936" t="s">
        <v>198</v>
      </c>
      <c r="BT936" t="s">
        <v>198</v>
      </c>
      <c r="BU936" t="s">
        <v>182</v>
      </c>
      <c r="BV936" t="s">
        <v>198</v>
      </c>
      <c r="BW936" t="s">
        <v>198</v>
      </c>
      <c r="BX936" t="s">
        <v>199</v>
      </c>
      <c r="BY936" t="s">
        <v>198</v>
      </c>
      <c r="BZ936" t="s">
        <v>199</v>
      </c>
      <c r="CA936" t="s">
        <v>199</v>
      </c>
      <c r="CB936" t="s">
        <v>12625</v>
      </c>
      <c r="CC936" t="s">
        <v>201</v>
      </c>
      <c r="CD936" t="s">
        <v>202</v>
      </c>
      <c r="CE936" t="s">
        <v>12626</v>
      </c>
      <c r="CF936" t="s">
        <v>12627</v>
      </c>
      <c r="CG936" t="s">
        <v>5791</v>
      </c>
      <c r="CH936" t="s">
        <v>12628</v>
      </c>
      <c r="CI936" t="s">
        <v>12655</v>
      </c>
      <c r="CJ936" t="s">
        <v>8972</v>
      </c>
      <c r="CK936" t="s">
        <v>232</v>
      </c>
      <c r="CL936" t="s">
        <v>233</v>
      </c>
      <c r="CM936" t="s">
        <v>12630</v>
      </c>
      <c r="CN936" t="s">
        <v>482</v>
      </c>
      <c r="CO936" t="s">
        <v>183</v>
      </c>
      <c r="CP936" t="s">
        <v>266</v>
      </c>
      <c r="CS936" t="s">
        <v>198</v>
      </c>
      <c r="CT936" t="s">
        <v>11645</v>
      </c>
      <c r="CU936" t="s">
        <v>292</v>
      </c>
      <c r="CV936" t="s">
        <v>293</v>
      </c>
      <c r="CW936" t="s">
        <v>12631</v>
      </c>
      <c r="CX936" t="s">
        <v>482</v>
      </c>
      <c r="CY936" t="s">
        <v>183</v>
      </c>
      <c r="CZ936" t="s">
        <v>211</v>
      </c>
      <c r="DB936" t="s">
        <v>6042</v>
      </c>
      <c r="DC936" t="s">
        <v>198</v>
      </c>
      <c r="DD936" t="s">
        <v>6190</v>
      </c>
      <c r="DE936" t="s">
        <v>267</v>
      </c>
      <c r="DF936" t="s">
        <v>268</v>
      </c>
      <c r="DG936" t="s">
        <v>12632</v>
      </c>
      <c r="DH936" t="s">
        <v>482</v>
      </c>
      <c r="DI936" t="s">
        <v>183</v>
      </c>
      <c r="DJ936" t="s">
        <v>211</v>
      </c>
      <c r="DK936" t="s">
        <v>427</v>
      </c>
      <c r="DL936" t="s">
        <v>6042</v>
      </c>
      <c r="DM936" t="s">
        <v>2946</v>
      </c>
      <c r="DN936" t="s">
        <v>12656</v>
      </c>
      <c r="DO936" t="s">
        <v>273</v>
      </c>
      <c r="DP936" t="s">
        <v>274</v>
      </c>
      <c r="DQ936" t="s">
        <v>12633</v>
      </c>
      <c r="DR936" t="s">
        <v>1491</v>
      </c>
      <c r="DS936" t="s">
        <v>183</v>
      </c>
      <c r="DT936" t="s">
        <v>211</v>
      </c>
      <c r="DV936" t="s">
        <v>6042</v>
      </c>
      <c r="DW936" t="s">
        <v>198</v>
      </c>
      <c r="DX936" t="s">
        <v>6197</v>
      </c>
      <c r="DY936" t="s">
        <v>302</v>
      </c>
      <c r="DZ936" t="s">
        <v>303</v>
      </c>
      <c r="EA936" t="s">
        <v>12634</v>
      </c>
      <c r="EB936" t="s">
        <v>576</v>
      </c>
      <c r="EC936" t="s">
        <v>183</v>
      </c>
      <c r="ED936" t="s">
        <v>211</v>
      </c>
      <c r="EE936" t="s">
        <v>655</v>
      </c>
      <c r="EF936" t="s">
        <v>6042</v>
      </c>
      <c r="EG936" t="s">
        <v>2946</v>
      </c>
      <c r="EH936" t="s">
        <v>12657</v>
      </c>
      <c r="EI936" t="s">
        <v>238</v>
      </c>
      <c r="EJ936" t="s">
        <v>239</v>
      </c>
      <c r="EK936" t="s">
        <v>12636</v>
      </c>
      <c r="EL936" t="s">
        <v>4595</v>
      </c>
      <c r="EM936" t="s">
        <v>183</v>
      </c>
      <c r="EN936" t="s">
        <v>211</v>
      </c>
      <c r="EO936" t="s">
        <v>1162</v>
      </c>
      <c r="EP936" t="s">
        <v>6042</v>
      </c>
      <c r="EQ936" t="s">
        <v>2946</v>
      </c>
      <c r="FA936" t="s">
        <v>198</v>
      </c>
      <c r="FK936" t="s">
        <v>198</v>
      </c>
      <c r="FU936" t="s">
        <v>198</v>
      </c>
    </row>
    <row r="937" spans="1:177">
      <c r="A937" s="1" t="str">
        <f>HYPERLINK("http://digipan.lumentumllc.com/apps/getLink/index.php?t=PropLink&amp;p=6129629","PL")</f>
        <v>PL</v>
      </c>
      <c r="B937" s="1" t="str">
        <f>HYPERLINK("http://digipan.lumentumllc.com/apps/getLink/index.php?t=TaxLink&amp;p=6129629","TL")</f>
        <v>TL</v>
      </c>
      <c r="C937" s="1" t="str">
        <f>HYPERLINK("http://digipan.lumentumllc.com/apps/getMap/index.php?p=6129629","Map")</f>
        <v>Map</v>
      </c>
      <c r="E937" t="s">
        <v>177</v>
      </c>
      <c r="F937" t="s">
        <v>178</v>
      </c>
      <c r="L937" t="s">
        <v>12658</v>
      </c>
      <c r="N937" t="s">
        <v>12658</v>
      </c>
      <c r="O937" t="s">
        <v>12658</v>
      </c>
      <c r="P937" t="s">
        <v>12659</v>
      </c>
      <c r="Q937" t="s">
        <v>12658</v>
      </c>
      <c r="V937">
        <v>1084</v>
      </c>
      <c r="W937">
        <v>4</v>
      </c>
      <c r="X937">
        <v>2017</v>
      </c>
      <c r="Y937">
        <v>2018</v>
      </c>
      <c r="Z937">
        <v>165.85</v>
      </c>
      <c r="AB937" t="s">
        <v>181</v>
      </c>
      <c r="AC937" t="s">
        <v>202</v>
      </c>
      <c r="AD937" t="s">
        <v>183</v>
      </c>
      <c r="AE937">
        <v>1</v>
      </c>
      <c r="AF937">
        <v>5</v>
      </c>
      <c r="AG937" t="s">
        <v>322</v>
      </c>
      <c r="AH937">
        <v>83</v>
      </c>
      <c r="AI937">
        <v>84.04</v>
      </c>
      <c r="AJ937">
        <v>15.13</v>
      </c>
      <c r="AK937">
        <v>99.17</v>
      </c>
      <c r="AL937">
        <v>7500</v>
      </c>
      <c r="AM937">
        <v>7500</v>
      </c>
      <c r="AN937">
        <v>0</v>
      </c>
      <c r="AO937">
        <v>53</v>
      </c>
      <c r="AP937">
        <v>2016</v>
      </c>
      <c r="AQ937">
        <v>2.21</v>
      </c>
      <c r="AR937">
        <v>1.32</v>
      </c>
      <c r="AS937" t="s">
        <v>12533</v>
      </c>
      <c r="AT937" t="s">
        <v>3747</v>
      </c>
      <c r="AU937" t="s">
        <v>177</v>
      </c>
      <c r="AV937" t="s">
        <v>1030</v>
      </c>
      <c r="AW937" t="s">
        <v>182</v>
      </c>
      <c r="AX937">
        <v>0</v>
      </c>
      <c r="AY937" t="s">
        <v>312</v>
      </c>
      <c r="AZ937" t="s">
        <v>199</v>
      </c>
      <c r="BA937" t="s">
        <v>313</v>
      </c>
      <c r="BB937" t="s">
        <v>191</v>
      </c>
      <c r="BC937" t="s">
        <v>182</v>
      </c>
      <c r="BD937" t="s">
        <v>182</v>
      </c>
      <c r="BE937" t="s">
        <v>5992</v>
      </c>
      <c r="BF937">
        <v>0</v>
      </c>
      <c r="BG937">
        <v>0</v>
      </c>
      <c r="BH937">
        <v>0</v>
      </c>
      <c r="BI937" t="s">
        <v>199</v>
      </c>
      <c r="BJ937" t="s">
        <v>315</v>
      </c>
      <c r="BL937" t="s">
        <v>199</v>
      </c>
      <c r="BM937" t="s">
        <v>559</v>
      </c>
      <c r="BN937" t="s">
        <v>182</v>
      </c>
      <c r="BO937" t="s">
        <v>198</v>
      </c>
      <c r="BP937" t="s">
        <v>198</v>
      </c>
      <c r="BQ937" t="s">
        <v>198</v>
      </c>
      <c r="BR937" t="s">
        <v>198</v>
      </c>
      <c r="BS937" t="s">
        <v>198</v>
      </c>
      <c r="BT937" t="s">
        <v>198</v>
      </c>
      <c r="BU937" t="s">
        <v>182</v>
      </c>
      <c r="BV937" t="s">
        <v>198</v>
      </c>
      <c r="BW937" t="s">
        <v>198</v>
      </c>
      <c r="BX937" t="s">
        <v>199</v>
      </c>
      <c r="BY937" t="s">
        <v>198</v>
      </c>
      <c r="BZ937" t="s">
        <v>199</v>
      </c>
      <c r="CA937" t="s">
        <v>199</v>
      </c>
      <c r="CB937" t="s">
        <v>12625</v>
      </c>
      <c r="CC937" t="s">
        <v>201</v>
      </c>
      <c r="CD937" t="s">
        <v>202</v>
      </c>
      <c r="CE937" t="s">
        <v>12626</v>
      </c>
      <c r="CF937" t="s">
        <v>12627</v>
      </c>
      <c r="CG937" t="s">
        <v>5791</v>
      </c>
      <c r="CH937" t="s">
        <v>12628</v>
      </c>
      <c r="CI937" t="s">
        <v>12660</v>
      </c>
      <c r="CJ937" t="s">
        <v>1095</v>
      </c>
      <c r="CK937" t="s">
        <v>232</v>
      </c>
      <c r="CL937" t="s">
        <v>233</v>
      </c>
      <c r="CM937" t="s">
        <v>12630</v>
      </c>
      <c r="CN937" t="s">
        <v>482</v>
      </c>
      <c r="CO937" t="s">
        <v>183</v>
      </c>
      <c r="CP937" t="s">
        <v>266</v>
      </c>
      <c r="CS937" t="s">
        <v>198</v>
      </c>
      <c r="CT937" t="s">
        <v>11929</v>
      </c>
      <c r="CU937" t="s">
        <v>292</v>
      </c>
      <c r="CV937" t="s">
        <v>293</v>
      </c>
      <c r="CW937" t="s">
        <v>12631</v>
      </c>
      <c r="CX937" t="s">
        <v>482</v>
      </c>
      <c r="CY937" t="s">
        <v>183</v>
      </c>
      <c r="CZ937" t="s">
        <v>211</v>
      </c>
      <c r="DB937" t="s">
        <v>6042</v>
      </c>
      <c r="DC937" t="s">
        <v>198</v>
      </c>
      <c r="DD937" t="s">
        <v>6248</v>
      </c>
      <c r="DE937" t="s">
        <v>267</v>
      </c>
      <c r="DF937" t="s">
        <v>268</v>
      </c>
      <c r="DG937" t="s">
        <v>12632</v>
      </c>
      <c r="DH937" t="s">
        <v>482</v>
      </c>
      <c r="DI937" t="s">
        <v>183</v>
      </c>
      <c r="DJ937" t="s">
        <v>211</v>
      </c>
      <c r="DK937" t="s">
        <v>427</v>
      </c>
      <c r="DL937" t="s">
        <v>6042</v>
      </c>
      <c r="DM937" t="s">
        <v>2946</v>
      </c>
      <c r="DN937" t="s">
        <v>12661</v>
      </c>
      <c r="DO937" t="s">
        <v>273</v>
      </c>
      <c r="DP937" t="s">
        <v>274</v>
      </c>
      <c r="DQ937" t="s">
        <v>12633</v>
      </c>
      <c r="DR937" t="s">
        <v>1491</v>
      </c>
      <c r="DS937" t="s">
        <v>183</v>
      </c>
      <c r="DT937" t="s">
        <v>211</v>
      </c>
      <c r="DV937" t="s">
        <v>6042</v>
      </c>
      <c r="DW937" t="s">
        <v>198</v>
      </c>
      <c r="DX937" t="s">
        <v>10431</v>
      </c>
      <c r="DY937" t="s">
        <v>302</v>
      </c>
      <c r="DZ937" t="s">
        <v>303</v>
      </c>
      <c r="EA937" t="s">
        <v>12634</v>
      </c>
      <c r="EB937" t="s">
        <v>576</v>
      </c>
      <c r="EC937" t="s">
        <v>183</v>
      </c>
      <c r="ED937" t="s">
        <v>211</v>
      </c>
      <c r="EE937" t="s">
        <v>655</v>
      </c>
      <c r="EF937" t="s">
        <v>6042</v>
      </c>
      <c r="EG937" t="s">
        <v>2946</v>
      </c>
      <c r="EH937" t="s">
        <v>12662</v>
      </c>
      <c r="EI937" t="s">
        <v>238</v>
      </c>
      <c r="EJ937" t="s">
        <v>239</v>
      </c>
      <c r="EK937" t="s">
        <v>12636</v>
      </c>
      <c r="EL937" t="s">
        <v>4595</v>
      </c>
      <c r="EM937" t="s">
        <v>183</v>
      </c>
      <c r="EN937" t="s">
        <v>211</v>
      </c>
      <c r="EO937" t="s">
        <v>1162</v>
      </c>
      <c r="EP937" t="s">
        <v>6042</v>
      </c>
      <c r="EQ937" t="s">
        <v>2946</v>
      </c>
      <c r="FA937" t="s">
        <v>198</v>
      </c>
      <c r="FK937" t="s">
        <v>198</v>
      </c>
      <c r="FU937" t="s">
        <v>198</v>
      </c>
    </row>
    <row r="938" spans="1:177">
      <c r="A938" s="1" t="str">
        <f>HYPERLINK("http://digipan.lumentumllc.com/apps/getLink/index.php?t=PropLink&amp;p=5248493","PL")</f>
        <v>PL</v>
      </c>
      <c r="B938" s="1" t="str">
        <f>HYPERLINK("http://digipan.lumentumllc.com/apps/getLink/index.php?t=TaxLink&amp;p=5248493","TL")</f>
        <v>TL</v>
      </c>
      <c r="C938" s="1" t="str">
        <f>HYPERLINK("http://digipan.lumentumllc.com/apps/getMap/index.php?p=5248493","Map")</f>
        <v>Map</v>
      </c>
      <c r="E938" t="s">
        <v>177</v>
      </c>
      <c r="F938" t="s">
        <v>178</v>
      </c>
      <c r="L938" t="s">
        <v>12663</v>
      </c>
      <c r="N938" t="s">
        <v>12663</v>
      </c>
      <c r="O938" t="s">
        <v>12663</v>
      </c>
      <c r="P938" t="s">
        <v>12664</v>
      </c>
      <c r="Q938" t="s">
        <v>12663</v>
      </c>
      <c r="V938">
        <v>1085</v>
      </c>
      <c r="W938">
        <v>4</v>
      </c>
      <c r="X938">
        <v>2017</v>
      </c>
      <c r="Y938">
        <v>2018</v>
      </c>
      <c r="Z938">
        <v>287.95</v>
      </c>
      <c r="AB938" t="s">
        <v>181</v>
      </c>
      <c r="AC938" t="s">
        <v>182</v>
      </c>
      <c r="AD938" t="s">
        <v>183</v>
      </c>
      <c r="AE938">
        <v>1</v>
      </c>
      <c r="AF938">
        <v>7</v>
      </c>
      <c r="AG938" t="s">
        <v>418</v>
      </c>
      <c r="AH938">
        <v>86</v>
      </c>
      <c r="AI938">
        <v>288.12</v>
      </c>
      <c r="AJ938">
        <v>24.49</v>
      </c>
      <c r="AK938">
        <v>312.61</v>
      </c>
      <c r="AL938">
        <v>14340</v>
      </c>
      <c r="AM938">
        <v>14340</v>
      </c>
      <c r="AN938">
        <v>0</v>
      </c>
      <c r="AO938">
        <v>241</v>
      </c>
      <c r="AP938">
        <v>2016</v>
      </c>
      <c r="AQ938">
        <v>2.0099999999999998</v>
      </c>
      <c r="AR938">
        <v>2.1800000000000002</v>
      </c>
      <c r="AS938" t="s">
        <v>12035</v>
      </c>
      <c r="AT938" t="s">
        <v>3747</v>
      </c>
      <c r="AU938" t="s">
        <v>177</v>
      </c>
      <c r="AV938" t="s">
        <v>1030</v>
      </c>
      <c r="AW938" t="s">
        <v>182</v>
      </c>
      <c r="AX938">
        <v>0</v>
      </c>
      <c r="AY938" t="s">
        <v>312</v>
      </c>
      <c r="AZ938" t="s">
        <v>199</v>
      </c>
      <c r="BA938" t="s">
        <v>313</v>
      </c>
      <c r="BB938" t="s">
        <v>191</v>
      </c>
      <c r="BC938" t="s">
        <v>182</v>
      </c>
      <c r="BD938" t="s">
        <v>182</v>
      </c>
      <c r="BE938" t="s">
        <v>12665</v>
      </c>
      <c r="BF938">
        <v>0</v>
      </c>
      <c r="BG938">
        <v>0</v>
      </c>
      <c r="BH938">
        <v>0</v>
      </c>
      <c r="BI938" t="s">
        <v>199</v>
      </c>
      <c r="BJ938" t="s">
        <v>315</v>
      </c>
      <c r="BL938" t="s">
        <v>578</v>
      </c>
      <c r="BM938" t="s">
        <v>533</v>
      </c>
      <c r="BN938" t="s">
        <v>182</v>
      </c>
      <c r="BO938" t="s">
        <v>198</v>
      </c>
      <c r="BP938" t="s">
        <v>198</v>
      </c>
      <c r="BQ938" t="s">
        <v>198</v>
      </c>
      <c r="BR938" t="s">
        <v>198</v>
      </c>
      <c r="BS938" t="s">
        <v>198</v>
      </c>
      <c r="BT938" t="s">
        <v>198</v>
      </c>
      <c r="BU938" t="s">
        <v>182</v>
      </c>
      <c r="BV938" t="s">
        <v>198</v>
      </c>
      <c r="BW938" t="s">
        <v>198</v>
      </c>
      <c r="BX938" t="s">
        <v>199</v>
      </c>
      <c r="BY938" t="s">
        <v>198</v>
      </c>
      <c r="BZ938" t="s">
        <v>199</v>
      </c>
      <c r="CA938" t="s">
        <v>199</v>
      </c>
      <c r="CB938" t="s">
        <v>12666</v>
      </c>
      <c r="CC938" t="s">
        <v>201</v>
      </c>
      <c r="CD938" t="s">
        <v>182</v>
      </c>
      <c r="CE938" t="s">
        <v>12667</v>
      </c>
      <c r="CF938" t="s">
        <v>5331</v>
      </c>
      <c r="CG938" t="s">
        <v>177</v>
      </c>
      <c r="CH938" t="s">
        <v>371</v>
      </c>
      <c r="CI938" t="s">
        <v>12508</v>
      </c>
      <c r="CJ938" t="s">
        <v>11914</v>
      </c>
      <c r="CK938" t="s">
        <v>232</v>
      </c>
      <c r="CL938" t="s">
        <v>233</v>
      </c>
      <c r="CM938" t="s">
        <v>12668</v>
      </c>
      <c r="CN938" t="s">
        <v>2679</v>
      </c>
      <c r="CO938" t="s">
        <v>183</v>
      </c>
      <c r="CP938" t="s">
        <v>266</v>
      </c>
      <c r="CS938" t="s">
        <v>198</v>
      </c>
      <c r="CT938" t="s">
        <v>6210</v>
      </c>
      <c r="CU938" t="s">
        <v>292</v>
      </c>
      <c r="CV938" t="s">
        <v>293</v>
      </c>
      <c r="CW938" t="s">
        <v>12669</v>
      </c>
      <c r="CX938" t="s">
        <v>333</v>
      </c>
      <c r="CY938" t="s">
        <v>183</v>
      </c>
      <c r="CZ938" t="s">
        <v>211</v>
      </c>
      <c r="DA938" t="s">
        <v>345</v>
      </c>
      <c r="DC938" t="s">
        <v>2485</v>
      </c>
      <c r="DD938" t="s">
        <v>9627</v>
      </c>
      <c r="DE938" t="s">
        <v>267</v>
      </c>
      <c r="DF938" t="s">
        <v>268</v>
      </c>
      <c r="DG938" t="s">
        <v>12670</v>
      </c>
      <c r="DH938" t="s">
        <v>331</v>
      </c>
      <c r="DI938" t="s">
        <v>183</v>
      </c>
      <c r="DJ938" t="s">
        <v>211</v>
      </c>
      <c r="DK938" t="s">
        <v>345</v>
      </c>
      <c r="DM938" t="s">
        <v>785</v>
      </c>
      <c r="DN938" t="s">
        <v>12671</v>
      </c>
      <c r="DO938" t="s">
        <v>273</v>
      </c>
      <c r="DP938" t="s">
        <v>274</v>
      </c>
      <c r="DQ938" t="s">
        <v>12672</v>
      </c>
      <c r="DR938" t="s">
        <v>1491</v>
      </c>
      <c r="DS938" t="s">
        <v>183</v>
      </c>
      <c r="DT938" t="s">
        <v>211</v>
      </c>
      <c r="DU938" t="s">
        <v>345</v>
      </c>
      <c r="DW938" t="s">
        <v>392</v>
      </c>
      <c r="DX938" t="s">
        <v>12673</v>
      </c>
      <c r="DY938" t="s">
        <v>302</v>
      </c>
      <c r="DZ938" t="s">
        <v>303</v>
      </c>
      <c r="EA938" t="s">
        <v>12674</v>
      </c>
      <c r="EB938" t="s">
        <v>278</v>
      </c>
      <c r="EC938" t="s">
        <v>183</v>
      </c>
      <c r="ED938" t="s">
        <v>211</v>
      </c>
      <c r="EE938" t="s">
        <v>345</v>
      </c>
      <c r="EG938" t="s">
        <v>2490</v>
      </c>
      <c r="EH938" t="s">
        <v>12675</v>
      </c>
      <c r="EI938" t="s">
        <v>238</v>
      </c>
      <c r="EJ938" t="s">
        <v>239</v>
      </c>
      <c r="EK938" t="s">
        <v>12676</v>
      </c>
      <c r="EL938" t="s">
        <v>482</v>
      </c>
      <c r="EM938" t="s">
        <v>183</v>
      </c>
      <c r="EN938" t="s">
        <v>211</v>
      </c>
      <c r="EO938" t="s">
        <v>345</v>
      </c>
      <c r="EQ938" t="s">
        <v>1097</v>
      </c>
      <c r="ER938" t="s">
        <v>9565</v>
      </c>
      <c r="ES938" t="s">
        <v>346</v>
      </c>
      <c r="ET938" t="s">
        <v>347</v>
      </c>
      <c r="EU938" t="s">
        <v>12677</v>
      </c>
      <c r="EV938" t="s">
        <v>254</v>
      </c>
      <c r="EW938" t="s">
        <v>183</v>
      </c>
      <c r="EX938" t="s">
        <v>211</v>
      </c>
      <c r="EY938" t="s">
        <v>345</v>
      </c>
      <c r="FA938" t="s">
        <v>10606</v>
      </c>
      <c r="FB938" t="s">
        <v>12678</v>
      </c>
      <c r="FC938" t="s">
        <v>207</v>
      </c>
      <c r="FD938" t="s">
        <v>208</v>
      </c>
      <c r="FE938" t="s">
        <v>12679</v>
      </c>
      <c r="FF938" t="s">
        <v>576</v>
      </c>
      <c r="FG938" t="s">
        <v>183</v>
      </c>
      <c r="FH938" t="s">
        <v>211</v>
      </c>
      <c r="FI938" t="s">
        <v>298</v>
      </c>
      <c r="FK938" t="s">
        <v>474</v>
      </c>
      <c r="FU938" t="s">
        <v>198</v>
      </c>
    </row>
    <row r="939" spans="1:177">
      <c r="A939" s="1" t="str">
        <f>HYPERLINK("http://digipan.lumentumllc.com/apps/getLink/index.php?t=PropLink&amp;p=5248494","PL")</f>
        <v>PL</v>
      </c>
      <c r="B939" s="1" t="str">
        <f>HYPERLINK("http://digipan.lumentumllc.com/apps/getLink/index.php?t=TaxLink&amp;p=5248494","TL")</f>
        <v>TL</v>
      </c>
      <c r="C939" s="1" t="str">
        <f>HYPERLINK("http://digipan.lumentumllc.com/apps/getMap/index.php?p=5248494","Map")</f>
        <v>Map</v>
      </c>
      <c r="E939" t="s">
        <v>177</v>
      </c>
      <c r="F939" t="s">
        <v>178</v>
      </c>
      <c r="L939" t="s">
        <v>12680</v>
      </c>
      <c r="N939" t="s">
        <v>12680</v>
      </c>
      <c r="O939" t="s">
        <v>12680</v>
      </c>
      <c r="P939" t="s">
        <v>12681</v>
      </c>
      <c r="Q939" t="s">
        <v>12680</v>
      </c>
      <c r="V939">
        <v>1086</v>
      </c>
      <c r="W939">
        <v>4</v>
      </c>
      <c r="X939">
        <v>2017</v>
      </c>
      <c r="Y939">
        <v>2018</v>
      </c>
      <c r="Z939">
        <v>235.73</v>
      </c>
      <c r="AB939" t="s">
        <v>181</v>
      </c>
      <c r="AC939" t="s">
        <v>182</v>
      </c>
      <c r="AD939" t="s">
        <v>183</v>
      </c>
      <c r="AE939">
        <v>1</v>
      </c>
      <c r="AF939">
        <v>7</v>
      </c>
      <c r="AG939" t="s">
        <v>418</v>
      </c>
      <c r="AH939">
        <v>86</v>
      </c>
      <c r="AI939">
        <v>206.19</v>
      </c>
      <c r="AJ939">
        <v>17.53</v>
      </c>
      <c r="AK939">
        <v>223.72</v>
      </c>
      <c r="AL939">
        <v>12300</v>
      </c>
      <c r="AM939">
        <v>12300</v>
      </c>
      <c r="AN939">
        <v>0</v>
      </c>
      <c r="AO939">
        <v>166</v>
      </c>
      <c r="AP939">
        <v>2016</v>
      </c>
      <c r="AQ939">
        <v>1.92</v>
      </c>
      <c r="AR939">
        <v>1.82</v>
      </c>
      <c r="AS939" t="s">
        <v>12035</v>
      </c>
      <c r="AT939" t="s">
        <v>3747</v>
      </c>
      <c r="AU939" t="s">
        <v>177</v>
      </c>
      <c r="AV939" t="s">
        <v>1030</v>
      </c>
      <c r="AW939" t="s">
        <v>182</v>
      </c>
      <c r="AX939">
        <v>0</v>
      </c>
      <c r="AY939" t="s">
        <v>312</v>
      </c>
      <c r="AZ939" t="s">
        <v>199</v>
      </c>
      <c r="BA939" t="s">
        <v>313</v>
      </c>
      <c r="BB939" t="s">
        <v>191</v>
      </c>
      <c r="BC939" t="s">
        <v>182</v>
      </c>
      <c r="BD939" t="s">
        <v>182</v>
      </c>
      <c r="BE939" t="s">
        <v>12682</v>
      </c>
      <c r="BF939">
        <v>0</v>
      </c>
      <c r="BG939">
        <v>0</v>
      </c>
      <c r="BH939">
        <v>0</v>
      </c>
      <c r="BI939" t="s">
        <v>199</v>
      </c>
      <c r="BJ939" t="s">
        <v>315</v>
      </c>
      <c r="BL939" t="s">
        <v>199</v>
      </c>
      <c r="BM939" t="s">
        <v>207</v>
      </c>
      <c r="BN939" t="s">
        <v>182</v>
      </c>
      <c r="BO939" t="s">
        <v>198</v>
      </c>
      <c r="BP939" t="s">
        <v>198</v>
      </c>
      <c r="BQ939" t="s">
        <v>198</v>
      </c>
      <c r="BR939" t="s">
        <v>198</v>
      </c>
      <c r="BS939" t="s">
        <v>198</v>
      </c>
      <c r="BT939" t="s">
        <v>198</v>
      </c>
      <c r="BU939" t="s">
        <v>182</v>
      </c>
      <c r="BV939" t="s">
        <v>198</v>
      </c>
      <c r="BW939" t="s">
        <v>198</v>
      </c>
      <c r="BX939" t="s">
        <v>199</v>
      </c>
      <c r="BY939" t="s">
        <v>198</v>
      </c>
      <c r="BZ939" t="s">
        <v>199</v>
      </c>
      <c r="CA939" t="s">
        <v>199</v>
      </c>
      <c r="CB939" t="s">
        <v>12666</v>
      </c>
      <c r="CC939" t="s">
        <v>201</v>
      </c>
      <c r="CD939" t="s">
        <v>182</v>
      </c>
      <c r="CE939" t="s">
        <v>12667</v>
      </c>
      <c r="CF939" t="s">
        <v>5331</v>
      </c>
      <c r="CG939" t="s">
        <v>177</v>
      </c>
      <c r="CH939" t="s">
        <v>371</v>
      </c>
      <c r="CI939" t="s">
        <v>12508</v>
      </c>
      <c r="CJ939" t="s">
        <v>11645</v>
      </c>
      <c r="CK939" t="s">
        <v>232</v>
      </c>
      <c r="CL939" t="s">
        <v>233</v>
      </c>
      <c r="CM939" t="s">
        <v>12683</v>
      </c>
      <c r="CN939" t="s">
        <v>2679</v>
      </c>
      <c r="CO939" t="s">
        <v>183</v>
      </c>
      <c r="CP939" t="s">
        <v>266</v>
      </c>
      <c r="CS939" t="s">
        <v>198</v>
      </c>
      <c r="CT939" t="s">
        <v>1261</v>
      </c>
      <c r="CU939" t="s">
        <v>292</v>
      </c>
      <c r="CV939" t="s">
        <v>293</v>
      </c>
      <c r="CW939" t="s">
        <v>12684</v>
      </c>
      <c r="CX939" t="s">
        <v>387</v>
      </c>
      <c r="CY939" t="s">
        <v>183</v>
      </c>
      <c r="CZ939" t="s">
        <v>211</v>
      </c>
      <c r="DA939" t="s">
        <v>345</v>
      </c>
      <c r="DC939" t="s">
        <v>2485</v>
      </c>
      <c r="DD939" t="s">
        <v>6319</v>
      </c>
      <c r="DE939" t="s">
        <v>267</v>
      </c>
      <c r="DF939" t="s">
        <v>268</v>
      </c>
      <c r="DG939" t="s">
        <v>12685</v>
      </c>
      <c r="DH939" t="s">
        <v>400</v>
      </c>
      <c r="DI939" t="s">
        <v>183</v>
      </c>
      <c r="DJ939" t="s">
        <v>211</v>
      </c>
      <c r="DK939" t="s">
        <v>345</v>
      </c>
      <c r="DM939" t="s">
        <v>785</v>
      </c>
      <c r="DN939" t="s">
        <v>10012</v>
      </c>
      <c r="DO939" t="s">
        <v>273</v>
      </c>
      <c r="DP939" t="s">
        <v>274</v>
      </c>
      <c r="DQ939" t="s">
        <v>12686</v>
      </c>
      <c r="DR939" t="s">
        <v>402</v>
      </c>
      <c r="DS939" t="s">
        <v>183</v>
      </c>
      <c r="DT939" t="s">
        <v>211</v>
      </c>
      <c r="DU939" t="s">
        <v>345</v>
      </c>
      <c r="DW939" t="s">
        <v>392</v>
      </c>
      <c r="DX939" t="s">
        <v>12687</v>
      </c>
      <c r="DY939" t="s">
        <v>302</v>
      </c>
      <c r="DZ939" t="s">
        <v>303</v>
      </c>
      <c r="EA939" t="s">
        <v>12688</v>
      </c>
      <c r="EB939" t="s">
        <v>2515</v>
      </c>
      <c r="EC939" t="s">
        <v>183</v>
      </c>
      <c r="ED939" t="s">
        <v>211</v>
      </c>
      <c r="EE939" t="s">
        <v>345</v>
      </c>
      <c r="EG939" t="s">
        <v>2490</v>
      </c>
      <c r="EH939" t="s">
        <v>12689</v>
      </c>
      <c r="EI939" t="s">
        <v>238</v>
      </c>
      <c r="EJ939" t="s">
        <v>239</v>
      </c>
      <c r="EK939" t="s">
        <v>12690</v>
      </c>
      <c r="EL939" t="s">
        <v>482</v>
      </c>
      <c r="EM939" t="s">
        <v>183</v>
      </c>
      <c r="EN939" t="s">
        <v>211</v>
      </c>
      <c r="EO939" t="s">
        <v>345</v>
      </c>
      <c r="EQ939" t="s">
        <v>1097</v>
      </c>
      <c r="ER939" t="s">
        <v>12691</v>
      </c>
      <c r="ES939" t="s">
        <v>346</v>
      </c>
      <c r="ET939" t="s">
        <v>347</v>
      </c>
      <c r="EU939" t="s">
        <v>12692</v>
      </c>
      <c r="EV939" t="s">
        <v>254</v>
      </c>
      <c r="EW939" t="s">
        <v>183</v>
      </c>
      <c r="EX939" t="s">
        <v>211</v>
      </c>
      <c r="EY939" t="s">
        <v>345</v>
      </c>
      <c r="FA939" t="s">
        <v>10606</v>
      </c>
      <c r="FB939" t="s">
        <v>10031</v>
      </c>
      <c r="FC939" t="s">
        <v>207</v>
      </c>
      <c r="FD939" t="s">
        <v>208</v>
      </c>
      <c r="FE939" t="s">
        <v>12693</v>
      </c>
      <c r="FF939" t="s">
        <v>576</v>
      </c>
      <c r="FG939" t="s">
        <v>183</v>
      </c>
      <c r="FH939" t="s">
        <v>211</v>
      </c>
      <c r="FI939" t="s">
        <v>298</v>
      </c>
      <c r="FK939" t="s">
        <v>474</v>
      </c>
      <c r="FU939" t="s">
        <v>198</v>
      </c>
    </row>
    <row r="940" spans="1:177">
      <c r="A940" s="1" t="str">
        <f>HYPERLINK("http://digipan.lumentumllc.com/apps/getLink/index.php?t=PropLink&amp;p=5248495","PL")</f>
        <v>PL</v>
      </c>
      <c r="B940" s="1" t="str">
        <f>HYPERLINK("http://digipan.lumentumllc.com/apps/getLink/index.php?t=TaxLink&amp;p=5248495","TL")</f>
        <v>TL</v>
      </c>
      <c r="C940" s="1" t="str">
        <f>HYPERLINK("http://digipan.lumentumllc.com/apps/getMap/index.php?p=5248495","Map")</f>
        <v>Map</v>
      </c>
      <c r="E940" t="s">
        <v>177</v>
      </c>
      <c r="F940" t="s">
        <v>178</v>
      </c>
      <c r="L940" t="s">
        <v>12694</v>
      </c>
      <c r="N940" t="s">
        <v>12694</v>
      </c>
      <c r="O940" t="s">
        <v>12694</v>
      </c>
      <c r="P940" t="s">
        <v>12695</v>
      </c>
      <c r="Q940" t="s">
        <v>12694</v>
      </c>
      <c r="V940">
        <v>1087</v>
      </c>
      <c r="W940">
        <v>4</v>
      </c>
      <c r="X940">
        <v>2017</v>
      </c>
      <c r="Y940">
        <v>2018</v>
      </c>
      <c r="Z940">
        <v>800.9</v>
      </c>
      <c r="AB940" t="s">
        <v>181</v>
      </c>
      <c r="AC940" t="s">
        <v>182</v>
      </c>
      <c r="AD940" t="s">
        <v>183</v>
      </c>
      <c r="AE940">
        <v>1</v>
      </c>
      <c r="AF940">
        <v>7</v>
      </c>
      <c r="AG940" t="s">
        <v>418</v>
      </c>
      <c r="AH940">
        <v>86</v>
      </c>
      <c r="AI940">
        <v>811.49</v>
      </c>
      <c r="AJ940">
        <v>40.57</v>
      </c>
      <c r="AK940">
        <v>852.06</v>
      </c>
      <c r="AL940">
        <v>43080</v>
      </c>
      <c r="AM940">
        <v>43080</v>
      </c>
      <c r="AN940">
        <v>0</v>
      </c>
      <c r="AO940">
        <v>725</v>
      </c>
      <c r="AP940">
        <v>2016</v>
      </c>
      <c r="AQ940">
        <v>1.86</v>
      </c>
      <c r="AR940">
        <v>1.98</v>
      </c>
      <c r="AS940" t="s">
        <v>6406</v>
      </c>
      <c r="AT940" t="s">
        <v>3747</v>
      </c>
      <c r="AU940" t="s">
        <v>177</v>
      </c>
      <c r="AV940" t="s">
        <v>1030</v>
      </c>
      <c r="AW940" t="s">
        <v>182</v>
      </c>
      <c r="AX940">
        <v>0</v>
      </c>
      <c r="AY940" t="s">
        <v>312</v>
      </c>
      <c r="AZ940" t="s">
        <v>199</v>
      </c>
      <c r="BA940" t="s">
        <v>313</v>
      </c>
      <c r="BB940" t="s">
        <v>191</v>
      </c>
      <c r="BC940" t="s">
        <v>182</v>
      </c>
      <c r="BD940" t="s">
        <v>182</v>
      </c>
      <c r="BE940" t="s">
        <v>12696</v>
      </c>
      <c r="BF940">
        <v>0</v>
      </c>
      <c r="BG940">
        <v>0</v>
      </c>
      <c r="BH940">
        <v>0</v>
      </c>
      <c r="BI940" t="s">
        <v>199</v>
      </c>
      <c r="BJ940" t="s">
        <v>315</v>
      </c>
      <c r="BL940" t="s">
        <v>199</v>
      </c>
      <c r="BM940" t="s">
        <v>207</v>
      </c>
      <c r="BN940" t="s">
        <v>182</v>
      </c>
      <c r="BO940" t="s">
        <v>198</v>
      </c>
      <c r="BP940" t="s">
        <v>198</v>
      </c>
      <c r="BQ940" t="s">
        <v>198</v>
      </c>
      <c r="BR940" t="s">
        <v>198</v>
      </c>
      <c r="BS940" t="s">
        <v>198</v>
      </c>
      <c r="BT940" t="s">
        <v>198</v>
      </c>
      <c r="BU940" t="s">
        <v>182</v>
      </c>
      <c r="BV940" t="s">
        <v>198</v>
      </c>
      <c r="BW940" t="s">
        <v>198</v>
      </c>
      <c r="BX940" t="s">
        <v>199</v>
      </c>
      <c r="BY940" t="s">
        <v>198</v>
      </c>
      <c r="BZ940" t="s">
        <v>199</v>
      </c>
      <c r="CA940" t="s">
        <v>199</v>
      </c>
      <c r="CB940" t="s">
        <v>12666</v>
      </c>
      <c r="CC940" t="s">
        <v>201</v>
      </c>
      <c r="CD940" t="s">
        <v>182</v>
      </c>
      <c r="CE940" t="s">
        <v>12667</v>
      </c>
      <c r="CF940" t="s">
        <v>5331</v>
      </c>
      <c r="CG940" t="s">
        <v>177</v>
      </c>
      <c r="CH940" t="s">
        <v>371</v>
      </c>
      <c r="CI940" t="s">
        <v>12697</v>
      </c>
      <c r="CJ940" t="s">
        <v>11929</v>
      </c>
      <c r="CK940" t="s">
        <v>232</v>
      </c>
      <c r="CL940" t="s">
        <v>233</v>
      </c>
      <c r="CM940" t="s">
        <v>12698</v>
      </c>
      <c r="CN940" t="s">
        <v>331</v>
      </c>
      <c r="CO940" t="s">
        <v>183</v>
      </c>
      <c r="CP940" t="s">
        <v>266</v>
      </c>
      <c r="CS940" t="s">
        <v>198</v>
      </c>
      <c r="CT940" t="s">
        <v>12699</v>
      </c>
      <c r="CU940" t="s">
        <v>292</v>
      </c>
      <c r="CV940" t="s">
        <v>293</v>
      </c>
      <c r="CW940" t="s">
        <v>12700</v>
      </c>
      <c r="CX940" t="s">
        <v>331</v>
      </c>
      <c r="CY940" t="s">
        <v>183</v>
      </c>
      <c r="CZ940" t="s">
        <v>211</v>
      </c>
      <c r="DA940" t="s">
        <v>345</v>
      </c>
      <c r="DC940" t="s">
        <v>8004</v>
      </c>
      <c r="DD940" t="s">
        <v>6336</v>
      </c>
      <c r="DE940" t="s">
        <v>267</v>
      </c>
      <c r="DF940" t="s">
        <v>268</v>
      </c>
      <c r="DG940" t="s">
        <v>12701</v>
      </c>
      <c r="DH940" t="s">
        <v>331</v>
      </c>
      <c r="DI940" t="s">
        <v>183</v>
      </c>
      <c r="DJ940" t="s">
        <v>211</v>
      </c>
      <c r="DK940" t="s">
        <v>345</v>
      </c>
      <c r="DM940" t="s">
        <v>785</v>
      </c>
      <c r="DN940" t="s">
        <v>12702</v>
      </c>
      <c r="DO940" t="s">
        <v>273</v>
      </c>
      <c r="DP940" t="s">
        <v>274</v>
      </c>
      <c r="DQ940" t="s">
        <v>12703</v>
      </c>
      <c r="DR940" t="s">
        <v>1491</v>
      </c>
      <c r="DS940" t="s">
        <v>183</v>
      </c>
      <c r="DT940" t="s">
        <v>211</v>
      </c>
      <c r="DU940" t="s">
        <v>345</v>
      </c>
      <c r="DW940" t="s">
        <v>392</v>
      </c>
      <c r="DX940" t="s">
        <v>10471</v>
      </c>
      <c r="DY940" t="s">
        <v>302</v>
      </c>
      <c r="DZ940" t="s">
        <v>303</v>
      </c>
      <c r="EA940" t="s">
        <v>3165</v>
      </c>
      <c r="EB940" t="s">
        <v>927</v>
      </c>
      <c r="EC940" t="s">
        <v>183</v>
      </c>
      <c r="ED940" t="s">
        <v>211</v>
      </c>
      <c r="EE940" t="s">
        <v>345</v>
      </c>
      <c r="EG940" t="s">
        <v>2490</v>
      </c>
      <c r="EH940" t="s">
        <v>12704</v>
      </c>
      <c r="EI940" t="s">
        <v>238</v>
      </c>
      <c r="EJ940" t="s">
        <v>239</v>
      </c>
      <c r="EK940" t="s">
        <v>12705</v>
      </c>
      <c r="EL940" t="s">
        <v>440</v>
      </c>
      <c r="EM940" t="s">
        <v>183</v>
      </c>
      <c r="EN940" t="s">
        <v>211</v>
      </c>
      <c r="EO940" t="s">
        <v>345</v>
      </c>
      <c r="EQ940" t="s">
        <v>1097</v>
      </c>
      <c r="ER940" t="s">
        <v>12706</v>
      </c>
      <c r="ES940" t="s">
        <v>346</v>
      </c>
      <c r="ET940" t="s">
        <v>347</v>
      </c>
      <c r="EU940" t="s">
        <v>12707</v>
      </c>
      <c r="EV940" t="s">
        <v>1551</v>
      </c>
      <c r="EW940" t="s">
        <v>183</v>
      </c>
      <c r="EX940" t="s">
        <v>211</v>
      </c>
      <c r="EY940" t="s">
        <v>345</v>
      </c>
      <c r="FA940" t="s">
        <v>10606</v>
      </c>
      <c r="FB940" t="s">
        <v>12708</v>
      </c>
      <c r="FC940" t="s">
        <v>207</v>
      </c>
      <c r="FD940" t="s">
        <v>208</v>
      </c>
      <c r="FE940" t="s">
        <v>12709</v>
      </c>
      <c r="FF940" t="s">
        <v>341</v>
      </c>
      <c r="FG940" t="s">
        <v>183</v>
      </c>
      <c r="FH940" t="s">
        <v>211</v>
      </c>
      <c r="FI940" t="s">
        <v>298</v>
      </c>
      <c r="FK940" t="s">
        <v>474</v>
      </c>
      <c r="FU940" t="s">
        <v>198</v>
      </c>
    </row>
    <row r="941" spans="1:177">
      <c r="A941" s="1" t="str">
        <f>HYPERLINK("http://digipan.lumentumllc.com/apps/getLink/index.php?t=PropLink&amp;p=5248496","PL")</f>
        <v>PL</v>
      </c>
      <c r="B941" s="1" t="str">
        <f>HYPERLINK("http://digipan.lumentumllc.com/apps/getLink/index.php?t=TaxLink&amp;p=5248496","TL")</f>
        <v>TL</v>
      </c>
      <c r="C941" s="1" t="str">
        <f>HYPERLINK("http://digipan.lumentumllc.com/apps/getMap/index.php?p=5248496","Map")</f>
        <v>Map</v>
      </c>
      <c r="E941" t="s">
        <v>177</v>
      </c>
      <c r="F941" t="s">
        <v>178</v>
      </c>
      <c r="L941" t="s">
        <v>12710</v>
      </c>
      <c r="N941" t="s">
        <v>12710</v>
      </c>
      <c r="O941" t="s">
        <v>12710</v>
      </c>
      <c r="P941" t="s">
        <v>12711</v>
      </c>
      <c r="Q941" t="s">
        <v>12710</v>
      </c>
      <c r="V941">
        <v>1088</v>
      </c>
      <c r="W941">
        <v>4</v>
      </c>
      <c r="X941">
        <v>2017</v>
      </c>
      <c r="Y941">
        <v>2018</v>
      </c>
      <c r="Z941">
        <v>952.98</v>
      </c>
      <c r="AB941" t="s">
        <v>181</v>
      </c>
      <c r="AC941" t="s">
        <v>182</v>
      </c>
      <c r="AD941" t="s">
        <v>183</v>
      </c>
      <c r="AE941">
        <v>1</v>
      </c>
      <c r="AF941">
        <v>7</v>
      </c>
      <c r="AG941" t="s">
        <v>418</v>
      </c>
      <c r="AH941">
        <v>86</v>
      </c>
      <c r="AI941">
        <v>966.62</v>
      </c>
      <c r="AJ941">
        <v>48.33</v>
      </c>
      <c r="AK941">
        <v>1014.95</v>
      </c>
      <c r="AL941">
        <v>51600</v>
      </c>
      <c r="AM941">
        <v>51600</v>
      </c>
      <c r="AN941">
        <v>0</v>
      </c>
      <c r="AO941">
        <v>869</v>
      </c>
      <c r="AP941">
        <v>2016</v>
      </c>
      <c r="AQ941">
        <v>1.85</v>
      </c>
      <c r="AR941">
        <v>1.97</v>
      </c>
      <c r="AS941" t="s">
        <v>12035</v>
      </c>
      <c r="AT941" t="s">
        <v>3747</v>
      </c>
      <c r="AU941" t="s">
        <v>177</v>
      </c>
      <c r="AV941" t="s">
        <v>1030</v>
      </c>
      <c r="AW941" t="s">
        <v>182</v>
      </c>
      <c r="AX941">
        <v>0</v>
      </c>
      <c r="AY941" t="s">
        <v>312</v>
      </c>
      <c r="AZ941" t="s">
        <v>199</v>
      </c>
      <c r="BA941" t="s">
        <v>313</v>
      </c>
      <c r="BB941" t="s">
        <v>191</v>
      </c>
      <c r="BC941" t="s">
        <v>182</v>
      </c>
      <c r="BD941" t="s">
        <v>182</v>
      </c>
      <c r="BE941" t="s">
        <v>12712</v>
      </c>
      <c r="BF941">
        <v>0</v>
      </c>
      <c r="BG941">
        <v>0</v>
      </c>
      <c r="BH941">
        <v>0</v>
      </c>
      <c r="BI941" t="s">
        <v>199</v>
      </c>
      <c r="BJ941" t="s">
        <v>315</v>
      </c>
      <c r="BL941" t="s">
        <v>199</v>
      </c>
      <c r="BM941" t="s">
        <v>207</v>
      </c>
      <c r="BN941" t="s">
        <v>182</v>
      </c>
      <c r="BO941" t="s">
        <v>198</v>
      </c>
      <c r="BP941" t="s">
        <v>198</v>
      </c>
      <c r="BQ941" t="s">
        <v>198</v>
      </c>
      <c r="BR941" t="s">
        <v>198</v>
      </c>
      <c r="BS941" t="s">
        <v>198</v>
      </c>
      <c r="BT941" t="s">
        <v>198</v>
      </c>
      <c r="BU941" t="s">
        <v>182</v>
      </c>
      <c r="BV941" t="s">
        <v>198</v>
      </c>
      <c r="BW941" t="s">
        <v>198</v>
      </c>
      <c r="BX941" t="s">
        <v>199</v>
      </c>
      <c r="BY941" t="s">
        <v>198</v>
      </c>
      <c r="BZ941" t="s">
        <v>199</v>
      </c>
      <c r="CA941" t="s">
        <v>199</v>
      </c>
      <c r="CB941" t="s">
        <v>12666</v>
      </c>
      <c r="CC941" t="s">
        <v>201</v>
      </c>
      <c r="CD941" t="s">
        <v>182</v>
      </c>
      <c r="CE941" t="s">
        <v>12667</v>
      </c>
      <c r="CF941" t="s">
        <v>5331</v>
      </c>
      <c r="CG941" t="s">
        <v>177</v>
      </c>
      <c r="CH941" t="s">
        <v>371</v>
      </c>
      <c r="CI941" t="s">
        <v>12713</v>
      </c>
      <c r="CJ941" t="s">
        <v>6210</v>
      </c>
      <c r="CK941" t="s">
        <v>232</v>
      </c>
      <c r="CL941" t="s">
        <v>233</v>
      </c>
      <c r="CM941" t="s">
        <v>12714</v>
      </c>
      <c r="CN941" t="s">
        <v>235</v>
      </c>
      <c r="CO941" t="s">
        <v>183</v>
      </c>
      <c r="CP941" t="s">
        <v>266</v>
      </c>
      <c r="CS941" t="s">
        <v>198</v>
      </c>
      <c r="CT941" t="s">
        <v>9168</v>
      </c>
      <c r="CU941" t="s">
        <v>292</v>
      </c>
      <c r="CV941" t="s">
        <v>293</v>
      </c>
      <c r="CW941" t="s">
        <v>12715</v>
      </c>
      <c r="CX941" t="s">
        <v>331</v>
      </c>
      <c r="CY941" t="s">
        <v>183</v>
      </c>
      <c r="CZ941" t="s">
        <v>211</v>
      </c>
      <c r="DA941" t="s">
        <v>345</v>
      </c>
      <c r="DC941" t="s">
        <v>2485</v>
      </c>
      <c r="DD941" t="s">
        <v>2209</v>
      </c>
      <c r="DE941" t="s">
        <v>267</v>
      </c>
      <c r="DF941" t="s">
        <v>268</v>
      </c>
      <c r="DG941" t="s">
        <v>12716</v>
      </c>
      <c r="DH941" t="s">
        <v>331</v>
      </c>
      <c r="DI941" t="s">
        <v>183</v>
      </c>
      <c r="DJ941" t="s">
        <v>211</v>
      </c>
      <c r="DK941" t="s">
        <v>345</v>
      </c>
      <c r="DM941" t="s">
        <v>785</v>
      </c>
      <c r="DN941" t="s">
        <v>10172</v>
      </c>
      <c r="DO941" t="s">
        <v>273</v>
      </c>
      <c r="DP941" t="s">
        <v>274</v>
      </c>
      <c r="DQ941" t="s">
        <v>12717</v>
      </c>
      <c r="DR941" t="s">
        <v>1491</v>
      </c>
      <c r="DS941" t="s">
        <v>183</v>
      </c>
      <c r="DT941" t="s">
        <v>211</v>
      </c>
      <c r="DU941" t="s">
        <v>345</v>
      </c>
      <c r="DW941" t="s">
        <v>392</v>
      </c>
      <c r="DX941" t="s">
        <v>12718</v>
      </c>
      <c r="DY941" t="s">
        <v>302</v>
      </c>
      <c r="DZ941" t="s">
        <v>303</v>
      </c>
      <c r="EA941" t="s">
        <v>12719</v>
      </c>
      <c r="EB941" t="s">
        <v>305</v>
      </c>
      <c r="EC941" t="s">
        <v>183</v>
      </c>
      <c r="ED941" t="s">
        <v>211</v>
      </c>
      <c r="EE941" t="s">
        <v>345</v>
      </c>
      <c r="EG941" t="s">
        <v>2490</v>
      </c>
      <c r="EH941" t="s">
        <v>12720</v>
      </c>
      <c r="EI941" t="s">
        <v>238</v>
      </c>
      <c r="EJ941" t="s">
        <v>239</v>
      </c>
      <c r="EK941" t="s">
        <v>12721</v>
      </c>
      <c r="EL941" t="s">
        <v>440</v>
      </c>
      <c r="EM941" t="s">
        <v>183</v>
      </c>
      <c r="EN941" t="s">
        <v>211</v>
      </c>
      <c r="EO941" t="s">
        <v>345</v>
      </c>
      <c r="EQ941" t="s">
        <v>1097</v>
      </c>
      <c r="ER941" t="s">
        <v>10312</v>
      </c>
      <c r="ES941" t="s">
        <v>346</v>
      </c>
      <c r="ET941" t="s">
        <v>347</v>
      </c>
      <c r="EU941" t="s">
        <v>12722</v>
      </c>
      <c r="EV941" t="s">
        <v>1551</v>
      </c>
      <c r="EW941" t="s">
        <v>183</v>
      </c>
      <c r="EX941" t="s">
        <v>211</v>
      </c>
      <c r="EY941" t="s">
        <v>345</v>
      </c>
      <c r="FA941" t="s">
        <v>10606</v>
      </c>
      <c r="FB941" t="s">
        <v>8822</v>
      </c>
      <c r="FC941" t="s">
        <v>207</v>
      </c>
      <c r="FD941" t="s">
        <v>208</v>
      </c>
      <c r="FE941" t="s">
        <v>12723</v>
      </c>
      <c r="FF941" t="s">
        <v>341</v>
      </c>
      <c r="FG941" t="s">
        <v>183</v>
      </c>
      <c r="FH941" t="s">
        <v>211</v>
      </c>
      <c r="FI941" t="s">
        <v>298</v>
      </c>
      <c r="FK941" t="s">
        <v>474</v>
      </c>
      <c r="FU941" t="s">
        <v>198</v>
      </c>
    </row>
    <row r="942" spans="1:177">
      <c r="A942" s="1" t="str">
        <f>HYPERLINK("http://digipan.lumentumllc.com/apps/getLink/index.php?t=PropLink&amp;p=5248543","PL")</f>
        <v>PL</v>
      </c>
      <c r="B942" s="1" t="str">
        <f>HYPERLINK("http://digipan.lumentumllc.com/apps/getLink/index.php?t=TaxLink&amp;p=5248543","TL")</f>
        <v>TL</v>
      </c>
      <c r="C942" s="1" t="str">
        <f>HYPERLINK("http://digipan.lumentumllc.com/apps/getMap/index.php?p=5248543","Map")</f>
        <v>Map</v>
      </c>
      <c r="E942" t="s">
        <v>177</v>
      </c>
      <c r="F942" t="s">
        <v>178</v>
      </c>
      <c r="L942" t="s">
        <v>12724</v>
      </c>
      <c r="N942" t="s">
        <v>12724</v>
      </c>
      <c r="O942" t="s">
        <v>12724</v>
      </c>
      <c r="P942" t="s">
        <v>12725</v>
      </c>
      <c r="Q942" t="s">
        <v>12724</v>
      </c>
      <c r="V942">
        <v>1090</v>
      </c>
      <c r="W942">
        <v>4</v>
      </c>
      <c r="X942">
        <v>2017</v>
      </c>
      <c r="Y942">
        <v>2018</v>
      </c>
      <c r="Z942">
        <v>525.63</v>
      </c>
      <c r="AB942" t="s">
        <v>181</v>
      </c>
      <c r="AC942" t="s">
        <v>182</v>
      </c>
      <c r="AD942" t="s">
        <v>183</v>
      </c>
      <c r="AE942">
        <v>1</v>
      </c>
      <c r="AF942">
        <v>7</v>
      </c>
      <c r="AG942" t="s">
        <v>418</v>
      </c>
      <c r="AH942">
        <v>86</v>
      </c>
      <c r="AI942">
        <v>527.54999999999995</v>
      </c>
      <c r="AJ942">
        <v>26.38</v>
      </c>
      <c r="AK942">
        <v>553.92999999999995</v>
      </c>
      <c r="AL942">
        <v>30150</v>
      </c>
      <c r="AM942">
        <v>30150</v>
      </c>
      <c r="AN942">
        <v>0</v>
      </c>
      <c r="AO942">
        <v>463</v>
      </c>
      <c r="AP942">
        <v>2016</v>
      </c>
      <c r="AQ942">
        <v>1.74</v>
      </c>
      <c r="AR942">
        <v>1.84</v>
      </c>
      <c r="AS942" t="s">
        <v>10628</v>
      </c>
      <c r="AT942" t="s">
        <v>3747</v>
      </c>
      <c r="AU942" t="s">
        <v>177</v>
      </c>
      <c r="AV942" t="s">
        <v>1030</v>
      </c>
      <c r="AW942" t="s">
        <v>182</v>
      </c>
      <c r="AX942">
        <v>0</v>
      </c>
      <c r="AY942" t="s">
        <v>312</v>
      </c>
      <c r="AZ942" t="s">
        <v>199</v>
      </c>
      <c r="BA942" t="s">
        <v>313</v>
      </c>
      <c r="BB942" t="s">
        <v>191</v>
      </c>
      <c r="BC942" t="s">
        <v>182</v>
      </c>
      <c r="BD942" t="s">
        <v>182</v>
      </c>
      <c r="BE942" t="s">
        <v>1615</v>
      </c>
      <c r="BF942">
        <v>0</v>
      </c>
      <c r="BG942">
        <v>0</v>
      </c>
      <c r="BH942">
        <v>0</v>
      </c>
      <c r="BI942" t="s">
        <v>199</v>
      </c>
      <c r="BJ942" t="s">
        <v>315</v>
      </c>
      <c r="BL942" t="s">
        <v>199</v>
      </c>
      <c r="BM942" t="s">
        <v>273</v>
      </c>
      <c r="BN942" t="s">
        <v>182</v>
      </c>
      <c r="BO942" t="s">
        <v>198</v>
      </c>
      <c r="BP942" t="s">
        <v>198</v>
      </c>
      <c r="BQ942" t="s">
        <v>198</v>
      </c>
      <c r="BR942" t="s">
        <v>198</v>
      </c>
      <c r="BS942" t="s">
        <v>198</v>
      </c>
      <c r="BT942" t="s">
        <v>198</v>
      </c>
      <c r="BU942" t="s">
        <v>182</v>
      </c>
      <c r="BV942" t="s">
        <v>198</v>
      </c>
      <c r="BW942" t="s">
        <v>198</v>
      </c>
      <c r="BX942" t="s">
        <v>199</v>
      </c>
      <c r="BY942" t="s">
        <v>198</v>
      </c>
      <c r="BZ942" t="s">
        <v>199</v>
      </c>
      <c r="CA942" t="s">
        <v>199</v>
      </c>
      <c r="CB942" t="s">
        <v>9928</v>
      </c>
      <c r="CC942" t="s">
        <v>201</v>
      </c>
      <c r="CD942" t="s">
        <v>182</v>
      </c>
      <c r="CE942" t="s">
        <v>12079</v>
      </c>
      <c r="CF942" t="s">
        <v>1029</v>
      </c>
      <c r="CG942" t="s">
        <v>177</v>
      </c>
      <c r="CH942" t="s">
        <v>1030</v>
      </c>
      <c r="CI942" t="s">
        <v>12726</v>
      </c>
      <c r="CJ942" t="s">
        <v>1261</v>
      </c>
      <c r="CK942" t="s">
        <v>232</v>
      </c>
      <c r="CL942" t="s">
        <v>233</v>
      </c>
      <c r="CM942" t="s">
        <v>12727</v>
      </c>
      <c r="CN942" t="s">
        <v>235</v>
      </c>
      <c r="CO942" t="s">
        <v>183</v>
      </c>
      <c r="CP942" t="s">
        <v>266</v>
      </c>
      <c r="CS942" t="s">
        <v>198</v>
      </c>
      <c r="CT942" t="s">
        <v>7601</v>
      </c>
      <c r="CU942" t="s">
        <v>292</v>
      </c>
      <c r="CV942" t="s">
        <v>293</v>
      </c>
      <c r="CW942" t="s">
        <v>12728</v>
      </c>
      <c r="CX942" t="s">
        <v>235</v>
      </c>
      <c r="CY942" t="s">
        <v>183</v>
      </c>
      <c r="CZ942" t="s">
        <v>211</v>
      </c>
      <c r="DA942" t="s">
        <v>493</v>
      </c>
      <c r="DC942" t="s">
        <v>9932</v>
      </c>
      <c r="DD942" t="s">
        <v>6349</v>
      </c>
      <c r="DE942" t="s">
        <v>267</v>
      </c>
      <c r="DF942" t="s">
        <v>268</v>
      </c>
      <c r="DG942" t="s">
        <v>12729</v>
      </c>
      <c r="DH942" t="s">
        <v>331</v>
      </c>
      <c r="DI942" t="s">
        <v>183</v>
      </c>
      <c r="DJ942" t="s">
        <v>211</v>
      </c>
      <c r="DK942" t="s">
        <v>444</v>
      </c>
      <c r="DM942" t="s">
        <v>12085</v>
      </c>
      <c r="DN942" t="s">
        <v>12410</v>
      </c>
      <c r="DO942" t="s">
        <v>273</v>
      </c>
      <c r="DP942" t="s">
        <v>274</v>
      </c>
      <c r="DQ942" t="s">
        <v>12730</v>
      </c>
      <c r="DR942" t="s">
        <v>1491</v>
      </c>
      <c r="DS942" t="s">
        <v>183</v>
      </c>
      <c r="DT942" t="s">
        <v>211</v>
      </c>
      <c r="DU942" t="s">
        <v>523</v>
      </c>
      <c r="DW942" t="s">
        <v>12087</v>
      </c>
      <c r="DX942" t="s">
        <v>12731</v>
      </c>
      <c r="DY942" t="s">
        <v>302</v>
      </c>
      <c r="DZ942" t="s">
        <v>303</v>
      </c>
      <c r="EA942" t="s">
        <v>12732</v>
      </c>
      <c r="EB942" t="s">
        <v>247</v>
      </c>
      <c r="EC942" t="s">
        <v>183</v>
      </c>
      <c r="ED942" t="s">
        <v>211</v>
      </c>
      <c r="EE942" t="s">
        <v>493</v>
      </c>
      <c r="EG942" t="s">
        <v>12089</v>
      </c>
      <c r="EH942" t="s">
        <v>12733</v>
      </c>
      <c r="EI942" t="s">
        <v>238</v>
      </c>
      <c r="EJ942" t="s">
        <v>239</v>
      </c>
      <c r="EK942" t="s">
        <v>12734</v>
      </c>
      <c r="EL942" t="s">
        <v>440</v>
      </c>
      <c r="EM942" t="s">
        <v>183</v>
      </c>
      <c r="EN942" t="s">
        <v>211</v>
      </c>
      <c r="EO942" t="s">
        <v>298</v>
      </c>
      <c r="EQ942" t="s">
        <v>1794</v>
      </c>
      <c r="ER942" t="s">
        <v>12735</v>
      </c>
      <c r="ES942" t="s">
        <v>346</v>
      </c>
      <c r="ET942" t="s">
        <v>347</v>
      </c>
      <c r="EU942" t="s">
        <v>12736</v>
      </c>
      <c r="EV942" t="s">
        <v>1551</v>
      </c>
      <c r="EW942" t="s">
        <v>183</v>
      </c>
      <c r="EX942" t="s">
        <v>211</v>
      </c>
      <c r="EY942" t="s">
        <v>493</v>
      </c>
      <c r="FA942" t="s">
        <v>12094</v>
      </c>
      <c r="FB942" t="s">
        <v>12737</v>
      </c>
      <c r="FC942" t="s">
        <v>207</v>
      </c>
      <c r="FD942" t="s">
        <v>208</v>
      </c>
      <c r="FE942" t="s">
        <v>12738</v>
      </c>
      <c r="FF942" t="s">
        <v>341</v>
      </c>
      <c r="FG942" t="s">
        <v>183</v>
      </c>
      <c r="FH942" t="s">
        <v>211</v>
      </c>
      <c r="FI942" t="s">
        <v>493</v>
      </c>
      <c r="FK942" t="s">
        <v>1576</v>
      </c>
      <c r="FU942" t="s">
        <v>198</v>
      </c>
    </row>
    <row r="943" spans="1:177">
      <c r="A943" s="1" t="str">
        <f>HYPERLINK("http://digipan.lumentumllc.com/apps/getLink/index.php?t=PropLink&amp;p=4638853","PL")</f>
        <v>PL</v>
      </c>
      <c r="B943" s="1" t="str">
        <f>HYPERLINK("http://digipan.lumentumllc.com/apps/getLink/index.php?t=TaxLink&amp;p=4638853","TL")</f>
        <v>TL</v>
      </c>
      <c r="C943" s="1" t="str">
        <f>HYPERLINK("http://digipan.lumentumllc.com/apps/getMap/index.php?p=4638853","Map")</f>
        <v>Map</v>
      </c>
      <c r="E943" t="s">
        <v>177</v>
      </c>
      <c r="F943" t="s">
        <v>178</v>
      </c>
      <c r="L943" t="s">
        <v>12739</v>
      </c>
      <c r="N943" t="s">
        <v>12739</v>
      </c>
      <c r="O943" t="s">
        <v>12739</v>
      </c>
      <c r="P943" t="s">
        <v>12740</v>
      </c>
      <c r="Q943" t="s">
        <v>12739</v>
      </c>
      <c r="V943">
        <v>1091</v>
      </c>
      <c r="W943">
        <v>4</v>
      </c>
      <c r="X943">
        <v>2017</v>
      </c>
      <c r="Y943">
        <v>2018</v>
      </c>
      <c r="Z943">
        <v>670.53</v>
      </c>
      <c r="AB943" t="s">
        <v>181</v>
      </c>
      <c r="AC943" t="s">
        <v>202</v>
      </c>
      <c r="AD943" t="s">
        <v>183</v>
      </c>
      <c r="AE943">
        <v>0</v>
      </c>
      <c r="AF943">
        <v>3</v>
      </c>
      <c r="AG943" t="s">
        <v>216</v>
      </c>
      <c r="AH943">
        <v>100</v>
      </c>
      <c r="AK943">
        <v>0</v>
      </c>
      <c r="AL943">
        <v>39000</v>
      </c>
      <c r="AM943">
        <v>39000</v>
      </c>
      <c r="AN943">
        <v>0</v>
      </c>
      <c r="AO943">
        <v>599</v>
      </c>
      <c r="AP943">
        <v>2016</v>
      </c>
      <c r="AQ943">
        <v>1.72</v>
      </c>
      <c r="AS943" t="s">
        <v>11074</v>
      </c>
      <c r="AT943" t="s">
        <v>3747</v>
      </c>
      <c r="AU943" t="s">
        <v>177</v>
      </c>
      <c r="AV943" t="s">
        <v>1030</v>
      </c>
      <c r="AW943" t="s">
        <v>182</v>
      </c>
      <c r="AX943">
        <v>0</v>
      </c>
      <c r="AY943" t="s">
        <v>312</v>
      </c>
      <c r="AZ943" t="s">
        <v>199</v>
      </c>
      <c r="BA943" t="s">
        <v>313</v>
      </c>
      <c r="BB943" t="s">
        <v>191</v>
      </c>
      <c r="BC943" t="s">
        <v>182</v>
      </c>
      <c r="BD943" t="s">
        <v>182</v>
      </c>
      <c r="BE943" t="s">
        <v>6008</v>
      </c>
      <c r="BF943">
        <v>0</v>
      </c>
      <c r="BG943">
        <v>0</v>
      </c>
      <c r="BH943">
        <v>0</v>
      </c>
      <c r="BI943" t="s">
        <v>199</v>
      </c>
      <c r="BJ943" t="s">
        <v>248</v>
      </c>
      <c r="BL943" t="s">
        <v>199</v>
      </c>
      <c r="BM943" t="s">
        <v>358</v>
      </c>
      <c r="BN943" t="s">
        <v>182</v>
      </c>
      <c r="BO943" t="s">
        <v>198</v>
      </c>
      <c r="BP943" t="s">
        <v>198</v>
      </c>
      <c r="BQ943" t="s">
        <v>198</v>
      </c>
      <c r="BR943" t="s">
        <v>198</v>
      </c>
      <c r="BS943" t="s">
        <v>198</v>
      </c>
      <c r="BT943" t="s">
        <v>198</v>
      </c>
      <c r="BU943" t="s">
        <v>182</v>
      </c>
      <c r="BV943" t="s">
        <v>198</v>
      </c>
      <c r="BW943" t="s">
        <v>198</v>
      </c>
      <c r="BX943" t="s">
        <v>199</v>
      </c>
      <c r="BY943" t="s">
        <v>198</v>
      </c>
      <c r="BZ943" t="s">
        <v>199</v>
      </c>
      <c r="CA943" t="s">
        <v>199</v>
      </c>
      <c r="CB943" t="s">
        <v>12741</v>
      </c>
      <c r="CC943" t="s">
        <v>201</v>
      </c>
      <c r="CD943" t="s">
        <v>202</v>
      </c>
      <c r="CE943" t="s">
        <v>12742</v>
      </c>
      <c r="CF943" t="s">
        <v>1029</v>
      </c>
      <c r="CG943" t="s">
        <v>177</v>
      </c>
      <c r="CH943" t="s">
        <v>1030</v>
      </c>
      <c r="CI943" t="s">
        <v>12743</v>
      </c>
      <c r="CJ943" t="s">
        <v>4850</v>
      </c>
      <c r="CK943" t="s">
        <v>292</v>
      </c>
      <c r="CL943" t="s">
        <v>293</v>
      </c>
      <c r="CM943" t="s">
        <v>12744</v>
      </c>
      <c r="CN943" t="s">
        <v>333</v>
      </c>
      <c r="CO943" t="s">
        <v>183</v>
      </c>
      <c r="CP943" t="s">
        <v>211</v>
      </c>
      <c r="CQ943" t="s">
        <v>270</v>
      </c>
      <c r="CS943" t="s">
        <v>6922</v>
      </c>
      <c r="CT943" t="s">
        <v>9544</v>
      </c>
      <c r="CU943" t="s">
        <v>267</v>
      </c>
      <c r="CV943" t="s">
        <v>268</v>
      </c>
      <c r="CW943" t="s">
        <v>12745</v>
      </c>
      <c r="CX943" t="s">
        <v>331</v>
      </c>
      <c r="CY943" t="s">
        <v>183</v>
      </c>
      <c r="CZ943" t="s">
        <v>211</v>
      </c>
      <c r="DA943" t="s">
        <v>337</v>
      </c>
      <c r="DC943" t="s">
        <v>6922</v>
      </c>
      <c r="DD943" t="s">
        <v>12421</v>
      </c>
      <c r="DE943" t="s">
        <v>207</v>
      </c>
      <c r="DF943" t="s">
        <v>208</v>
      </c>
      <c r="DG943" t="s">
        <v>12746</v>
      </c>
      <c r="DH943" t="s">
        <v>576</v>
      </c>
      <c r="DI943" t="s">
        <v>183</v>
      </c>
      <c r="DJ943" t="s">
        <v>211</v>
      </c>
      <c r="DK943" t="s">
        <v>189</v>
      </c>
      <c r="DL943" t="s">
        <v>271</v>
      </c>
      <c r="DM943" t="s">
        <v>9091</v>
      </c>
      <c r="DW943" t="s">
        <v>198</v>
      </c>
      <c r="EG943" t="s">
        <v>198</v>
      </c>
      <c r="EQ943" t="s">
        <v>198</v>
      </c>
      <c r="FA943" t="s">
        <v>198</v>
      </c>
      <c r="FK943" t="s">
        <v>198</v>
      </c>
      <c r="FU943" t="s">
        <v>198</v>
      </c>
    </row>
    <row r="944" spans="1:177">
      <c r="A944" s="1" t="str">
        <f>HYPERLINK("http://digipan.lumentumllc.com/apps/getLink/index.php?t=PropLink&amp;p=5248546","PL")</f>
        <v>PL</v>
      </c>
      <c r="B944" s="1" t="str">
        <f>HYPERLINK("http://digipan.lumentumllc.com/apps/getLink/index.php?t=TaxLink&amp;p=5248546","TL")</f>
        <v>TL</v>
      </c>
      <c r="C944" s="1" t="str">
        <f>HYPERLINK("http://digipan.lumentumllc.com/apps/getMap/index.php?p=5248546","Map")</f>
        <v>Map</v>
      </c>
      <c r="E944" t="s">
        <v>177</v>
      </c>
      <c r="F944" t="s">
        <v>178</v>
      </c>
      <c r="L944" t="s">
        <v>12747</v>
      </c>
      <c r="N944" t="s">
        <v>12747</v>
      </c>
      <c r="O944" t="s">
        <v>12747</v>
      </c>
      <c r="P944" t="s">
        <v>12748</v>
      </c>
      <c r="Q944" t="s">
        <v>12747</v>
      </c>
      <c r="V944">
        <v>1092</v>
      </c>
      <c r="W944">
        <v>4</v>
      </c>
      <c r="X944">
        <v>2017</v>
      </c>
      <c r="Y944">
        <v>2018</v>
      </c>
      <c r="Z944">
        <v>1991.03</v>
      </c>
      <c r="AB944" t="s">
        <v>181</v>
      </c>
      <c r="AC944" t="s">
        <v>182</v>
      </c>
      <c r="AD944" t="s">
        <v>183</v>
      </c>
      <c r="AE944">
        <v>1</v>
      </c>
      <c r="AF944">
        <v>7</v>
      </c>
      <c r="AG944" t="s">
        <v>418</v>
      </c>
      <c r="AH944">
        <v>86</v>
      </c>
      <c r="AI944">
        <v>2016.95</v>
      </c>
      <c r="AJ944">
        <v>100.85</v>
      </c>
      <c r="AK944">
        <v>2117.8000000000002</v>
      </c>
      <c r="AL944">
        <v>119653</v>
      </c>
      <c r="AM944">
        <v>96937</v>
      </c>
      <c r="AN944">
        <v>22716</v>
      </c>
      <c r="AO944">
        <v>1840</v>
      </c>
      <c r="AP944">
        <v>2016</v>
      </c>
      <c r="AQ944">
        <v>1.66</v>
      </c>
      <c r="AR944">
        <v>1.77</v>
      </c>
      <c r="AS944" t="s">
        <v>12749</v>
      </c>
      <c r="AT944" t="s">
        <v>3747</v>
      </c>
      <c r="AU944" t="s">
        <v>177</v>
      </c>
      <c r="AV944" t="s">
        <v>1030</v>
      </c>
      <c r="AW944" t="s">
        <v>182</v>
      </c>
      <c r="AX944">
        <v>27</v>
      </c>
      <c r="AY944" t="s">
        <v>3641</v>
      </c>
      <c r="AZ944" t="s">
        <v>616</v>
      </c>
      <c r="BA944" t="s">
        <v>6072</v>
      </c>
      <c r="BB944" t="s">
        <v>11220</v>
      </c>
      <c r="BC944" t="s">
        <v>182</v>
      </c>
      <c r="BD944" t="s">
        <v>182</v>
      </c>
      <c r="BE944" t="s">
        <v>12750</v>
      </c>
      <c r="BF944">
        <v>1</v>
      </c>
      <c r="BG944">
        <v>0</v>
      </c>
      <c r="BH944">
        <v>1948</v>
      </c>
      <c r="BI944" t="s">
        <v>12751</v>
      </c>
      <c r="BJ944" t="s">
        <v>315</v>
      </c>
      <c r="BK944" t="s">
        <v>840</v>
      </c>
      <c r="BL944" t="s">
        <v>1720</v>
      </c>
      <c r="BM944" t="s">
        <v>325</v>
      </c>
      <c r="BN944" t="s">
        <v>182</v>
      </c>
      <c r="BO944" t="s">
        <v>12752</v>
      </c>
      <c r="BP944" t="s">
        <v>5899</v>
      </c>
      <c r="BQ944" t="s">
        <v>226</v>
      </c>
      <c r="BR944" t="s">
        <v>227</v>
      </c>
      <c r="BS944" t="s">
        <v>198</v>
      </c>
      <c r="BT944" t="s">
        <v>228</v>
      </c>
      <c r="BU944" t="s">
        <v>182</v>
      </c>
      <c r="BV944" t="s">
        <v>198</v>
      </c>
      <c r="BW944" t="s">
        <v>198</v>
      </c>
      <c r="BX944" t="s">
        <v>199</v>
      </c>
      <c r="BY944" t="s">
        <v>198</v>
      </c>
      <c r="BZ944" t="s">
        <v>199</v>
      </c>
      <c r="CA944" t="s">
        <v>199</v>
      </c>
      <c r="CB944" t="s">
        <v>12753</v>
      </c>
      <c r="CC944" t="s">
        <v>201</v>
      </c>
      <c r="CD944" t="s">
        <v>182</v>
      </c>
      <c r="CE944" t="s">
        <v>12754</v>
      </c>
      <c r="CF944" t="s">
        <v>1029</v>
      </c>
      <c r="CG944" t="s">
        <v>177</v>
      </c>
      <c r="CH944" t="s">
        <v>1030</v>
      </c>
      <c r="CI944" t="s">
        <v>12755</v>
      </c>
      <c r="CJ944" t="s">
        <v>12699</v>
      </c>
      <c r="CK944" t="s">
        <v>232</v>
      </c>
      <c r="CL944" t="s">
        <v>233</v>
      </c>
      <c r="CM944" t="s">
        <v>12756</v>
      </c>
      <c r="CN944" t="s">
        <v>235</v>
      </c>
      <c r="CO944" t="s">
        <v>183</v>
      </c>
      <c r="CP944" t="s">
        <v>266</v>
      </c>
      <c r="CS944" t="s">
        <v>198</v>
      </c>
      <c r="CT944" t="s">
        <v>9448</v>
      </c>
      <c r="CU944" t="s">
        <v>292</v>
      </c>
      <c r="CV944" t="s">
        <v>293</v>
      </c>
      <c r="CW944" t="s">
        <v>12757</v>
      </c>
      <c r="CX944" t="s">
        <v>235</v>
      </c>
      <c r="CY944" t="s">
        <v>183</v>
      </c>
      <c r="CZ944" t="s">
        <v>211</v>
      </c>
      <c r="DA944" t="s">
        <v>523</v>
      </c>
      <c r="DC944" t="s">
        <v>12758</v>
      </c>
      <c r="DD944" t="s">
        <v>3840</v>
      </c>
      <c r="DE944" t="s">
        <v>267</v>
      </c>
      <c r="DF944" t="s">
        <v>268</v>
      </c>
      <c r="DG944" t="s">
        <v>12759</v>
      </c>
      <c r="DH944" t="s">
        <v>235</v>
      </c>
      <c r="DI944" t="s">
        <v>183</v>
      </c>
      <c r="DJ944" t="s">
        <v>211</v>
      </c>
      <c r="DK944" t="s">
        <v>298</v>
      </c>
      <c r="DM944" t="s">
        <v>8316</v>
      </c>
      <c r="DN944" t="s">
        <v>6532</v>
      </c>
      <c r="DO944" t="s">
        <v>273</v>
      </c>
      <c r="DP944" t="s">
        <v>274</v>
      </c>
      <c r="DQ944" t="s">
        <v>12760</v>
      </c>
      <c r="DR944" t="s">
        <v>235</v>
      </c>
      <c r="DS944" t="s">
        <v>183</v>
      </c>
      <c r="DT944" t="s">
        <v>211</v>
      </c>
      <c r="DU944" t="s">
        <v>298</v>
      </c>
      <c r="DW944" t="s">
        <v>7503</v>
      </c>
      <c r="DX944" t="s">
        <v>12761</v>
      </c>
      <c r="DY944" t="s">
        <v>302</v>
      </c>
      <c r="DZ944" t="s">
        <v>303</v>
      </c>
      <c r="EA944" t="s">
        <v>12762</v>
      </c>
      <c r="EB944" t="s">
        <v>235</v>
      </c>
      <c r="EC944" t="s">
        <v>183</v>
      </c>
      <c r="ED944" t="s">
        <v>211</v>
      </c>
      <c r="EE944" t="s">
        <v>345</v>
      </c>
      <c r="EG944" t="s">
        <v>1372</v>
      </c>
      <c r="EH944" t="s">
        <v>12763</v>
      </c>
      <c r="EI944" t="s">
        <v>238</v>
      </c>
      <c r="EJ944" t="s">
        <v>239</v>
      </c>
      <c r="EK944" t="s">
        <v>12764</v>
      </c>
      <c r="EL944" t="s">
        <v>331</v>
      </c>
      <c r="EM944" t="s">
        <v>183</v>
      </c>
      <c r="EN944" t="s">
        <v>211</v>
      </c>
      <c r="EO944" t="s">
        <v>306</v>
      </c>
      <c r="EQ944" t="s">
        <v>12765</v>
      </c>
      <c r="ER944" t="s">
        <v>9600</v>
      </c>
      <c r="ES944" t="s">
        <v>346</v>
      </c>
      <c r="ET944" t="s">
        <v>347</v>
      </c>
      <c r="EU944" t="s">
        <v>12766</v>
      </c>
      <c r="EV944" t="s">
        <v>278</v>
      </c>
      <c r="EW944" t="s">
        <v>183</v>
      </c>
      <c r="EX944" t="s">
        <v>211</v>
      </c>
      <c r="EY944" t="s">
        <v>334</v>
      </c>
      <c r="FA944" t="s">
        <v>12767</v>
      </c>
      <c r="FB944" t="s">
        <v>7006</v>
      </c>
      <c r="FC944" t="s">
        <v>207</v>
      </c>
      <c r="FD944" t="s">
        <v>208</v>
      </c>
      <c r="FE944" t="s">
        <v>12768</v>
      </c>
      <c r="FF944" t="s">
        <v>341</v>
      </c>
      <c r="FG944" t="s">
        <v>183</v>
      </c>
      <c r="FH944" t="s">
        <v>211</v>
      </c>
      <c r="FI944" t="s">
        <v>337</v>
      </c>
      <c r="FK944" t="s">
        <v>12769</v>
      </c>
      <c r="FU944" t="s">
        <v>198</v>
      </c>
    </row>
    <row r="945" spans="1:177">
      <c r="A945" s="1" t="str">
        <f>HYPERLINK("http://digipan.lumentumllc.com/apps/getLink/index.php?t=PropLink&amp;p=5248547","PL")</f>
        <v>PL</v>
      </c>
      <c r="B945" s="1" t="str">
        <f>HYPERLINK("http://digipan.lumentumllc.com/apps/getLink/index.php?t=TaxLink&amp;p=5248547","TL")</f>
        <v>TL</v>
      </c>
      <c r="C945" s="1" t="str">
        <f>HYPERLINK("http://digipan.lumentumllc.com/apps/getMap/index.php?p=5248547","Map")</f>
        <v>Map</v>
      </c>
      <c r="E945" t="s">
        <v>177</v>
      </c>
      <c r="F945" t="s">
        <v>178</v>
      </c>
      <c r="L945" t="s">
        <v>12770</v>
      </c>
      <c r="N945" t="s">
        <v>12770</v>
      </c>
      <c r="O945" t="s">
        <v>12770</v>
      </c>
      <c r="P945" t="s">
        <v>12771</v>
      </c>
      <c r="Q945" t="s">
        <v>12770</v>
      </c>
      <c r="V945">
        <v>1093</v>
      </c>
      <c r="W945">
        <v>4</v>
      </c>
      <c r="X945">
        <v>2017</v>
      </c>
      <c r="Y945">
        <v>2018</v>
      </c>
      <c r="Z945">
        <v>525.9</v>
      </c>
      <c r="AB945" t="s">
        <v>181</v>
      </c>
      <c r="AC945" t="s">
        <v>202</v>
      </c>
      <c r="AD945" t="s">
        <v>183</v>
      </c>
      <c r="AE945">
        <v>0</v>
      </c>
      <c r="AF945">
        <v>8</v>
      </c>
      <c r="AG945" t="s">
        <v>1059</v>
      </c>
      <c r="AH945">
        <v>100</v>
      </c>
      <c r="AK945">
        <v>0</v>
      </c>
      <c r="AL945">
        <v>30166</v>
      </c>
      <c r="AM945">
        <v>30166</v>
      </c>
      <c r="AN945">
        <v>0</v>
      </c>
      <c r="AO945">
        <v>463</v>
      </c>
      <c r="AP945">
        <v>2016</v>
      </c>
      <c r="AQ945">
        <v>1.74</v>
      </c>
      <c r="AS945" t="s">
        <v>3209</v>
      </c>
      <c r="AT945" t="s">
        <v>3747</v>
      </c>
      <c r="AU945" t="s">
        <v>177</v>
      </c>
      <c r="AV945" t="s">
        <v>1030</v>
      </c>
      <c r="AW945" t="s">
        <v>182</v>
      </c>
      <c r="AX945">
        <v>10</v>
      </c>
      <c r="AY945" t="s">
        <v>3211</v>
      </c>
      <c r="AZ945" t="s">
        <v>270</v>
      </c>
      <c r="BA945" t="s">
        <v>3212</v>
      </c>
      <c r="BB945" t="s">
        <v>191</v>
      </c>
      <c r="BC945" t="s">
        <v>182</v>
      </c>
      <c r="BD945" t="s">
        <v>182</v>
      </c>
      <c r="BE945" t="s">
        <v>3956</v>
      </c>
      <c r="BF945">
        <v>0</v>
      </c>
      <c r="BG945">
        <v>0</v>
      </c>
      <c r="BH945">
        <v>0</v>
      </c>
      <c r="BI945" t="s">
        <v>199</v>
      </c>
      <c r="BJ945" t="s">
        <v>315</v>
      </c>
      <c r="BL945" t="s">
        <v>199</v>
      </c>
      <c r="BM945" t="s">
        <v>945</v>
      </c>
      <c r="BN945" t="s">
        <v>182</v>
      </c>
      <c r="BO945" t="s">
        <v>198</v>
      </c>
      <c r="BP945" t="s">
        <v>198</v>
      </c>
      <c r="BQ945" t="s">
        <v>198</v>
      </c>
      <c r="BR945" t="s">
        <v>198</v>
      </c>
      <c r="BS945" t="s">
        <v>198</v>
      </c>
      <c r="BT945" t="s">
        <v>198</v>
      </c>
      <c r="BU945" t="s">
        <v>182</v>
      </c>
      <c r="BV945" t="s">
        <v>198</v>
      </c>
      <c r="BW945" t="s">
        <v>198</v>
      </c>
      <c r="BX945" t="s">
        <v>199</v>
      </c>
      <c r="BY945" t="s">
        <v>198</v>
      </c>
      <c r="BZ945" t="s">
        <v>199</v>
      </c>
      <c r="CA945" t="s">
        <v>199</v>
      </c>
      <c r="CB945" t="s">
        <v>12772</v>
      </c>
      <c r="CC945" t="s">
        <v>1407</v>
      </c>
      <c r="CD945" t="s">
        <v>202</v>
      </c>
      <c r="CE945" t="s">
        <v>12773</v>
      </c>
      <c r="CF945" t="s">
        <v>1029</v>
      </c>
      <c r="CG945" t="s">
        <v>177</v>
      </c>
      <c r="CH945" t="s">
        <v>1030</v>
      </c>
      <c r="CI945" t="s">
        <v>12774</v>
      </c>
      <c r="CJ945" t="s">
        <v>9168</v>
      </c>
      <c r="CK945" t="s">
        <v>232</v>
      </c>
      <c r="CL945" t="s">
        <v>233</v>
      </c>
      <c r="CM945" t="s">
        <v>12775</v>
      </c>
      <c r="CN945" t="s">
        <v>1164</v>
      </c>
      <c r="CO945" t="s">
        <v>183</v>
      </c>
      <c r="CP945" t="s">
        <v>211</v>
      </c>
      <c r="CQ945" t="s">
        <v>199</v>
      </c>
      <c r="CS945" t="s">
        <v>2774</v>
      </c>
      <c r="CT945" t="s">
        <v>12435</v>
      </c>
      <c r="CU945" t="s">
        <v>292</v>
      </c>
      <c r="CV945" t="s">
        <v>293</v>
      </c>
      <c r="CW945" t="s">
        <v>12776</v>
      </c>
      <c r="CX945" t="s">
        <v>482</v>
      </c>
      <c r="CY945" t="s">
        <v>183</v>
      </c>
      <c r="CZ945" t="s">
        <v>211</v>
      </c>
      <c r="DB945" t="s">
        <v>271</v>
      </c>
      <c r="DC945" t="s">
        <v>198</v>
      </c>
      <c r="DD945" t="s">
        <v>11953</v>
      </c>
      <c r="DE945" t="s">
        <v>267</v>
      </c>
      <c r="DF945" t="s">
        <v>268</v>
      </c>
      <c r="DG945" t="s">
        <v>12777</v>
      </c>
      <c r="DH945" t="s">
        <v>482</v>
      </c>
      <c r="DI945" t="s">
        <v>183</v>
      </c>
      <c r="DJ945" t="s">
        <v>211</v>
      </c>
      <c r="DK945" t="s">
        <v>427</v>
      </c>
      <c r="DL945" t="s">
        <v>271</v>
      </c>
      <c r="DM945" t="s">
        <v>2946</v>
      </c>
      <c r="DN945" t="s">
        <v>10112</v>
      </c>
      <c r="DO945" t="s">
        <v>273</v>
      </c>
      <c r="DP945" t="s">
        <v>274</v>
      </c>
      <c r="DQ945" t="s">
        <v>12778</v>
      </c>
      <c r="DR945" t="s">
        <v>1491</v>
      </c>
      <c r="DS945" t="s">
        <v>183</v>
      </c>
      <c r="DT945" t="s">
        <v>211</v>
      </c>
      <c r="DV945" t="s">
        <v>271</v>
      </c>
      <c r="DW945" t="s">
        <v>198</v>
      </c>
      <c r="DX945" t="s">
        <v>10496</v>
      </c>
      <c r="DY945" t="s">
        <v>302</v>
      </c>
      <c r="DZ945" t="s">
        <v>303</v>
      </c>
      <c r="EA945" t="s">
        <v>12779</v>
      </c>
      <c r="EB945" t="s">
        <v>440</v>
      </c>
      <c r="EC945" t="s">
        <v>183</v>
      </c>
      <c r="ED945" t="s">
        <v>211</v>
      </c>
      <c r="EE945" t="s">
        <v>655</v>
      </c>
      <c r="EF945" t="s">
        <v>271</v>
      </c>
      <c r="EG945" t="s">
        <v>2946</v>
      </c>
      <c r="EH945" t="s">
        <v>12780</v>
      </c>
      <c r="EI945" t="s">
        <v>238</v>
      </c>
      <c r="EJ945" t="s">
        <v>239</v>
      </c>
      <c r="EK945" t="s">
        <v>12781</v>
      </c>
      <c r="EL945" t="s">
        <v>247</v>
      </c>
      <c r="EM945" t="s">
        <v>183</v>
      </c>
      <c r="EN945" t="s">
        <v>211</v>
      </c>
      <c r="EO945" t="s">
        <v>1162</v>
      </c>
      <c r="EP945" t="s">
        <v>271</v>
      </c>
      <c r="EQ945" t="s">
        <v>2946</v>
      </c>
      <c r="ER945" t="s">
        <v>12782</v>
      </c>
      <c r="ES945" t="s">
        <v>346</v>
      </c>
      <c r="ET945" t="s">
        <v>347</v>
      </c>
      <c r="EU945" t="s">
        <v>12783</v>
      </c>
      <c r="EV945" t="s">
        <v>1551</v>
      </c>
      <c r="EW945" t="s">
        <v>183</v>
      </c>
      <c r="EX945" t="s">
        <v>211</v>
      </c>
      <c r="EY945" t="s">
        <v>245</v>
      </c>
      <c r="EZ945" t="s">
        <v>271</v>
      </c>
      <c r="FA945" t="s">
        <v>2946</v>
      </c>
      <c r="FB945" t="s">
        <v>12784</v>
      </c>
      <c r="FC945" t="s">
        <v>207</v>
      </c>
      <c r="FD945" t="s">
        <v>208</v>
      </c>
      <c r="FE945" t="s">
        <v>12785</v>
      </c>
      <c r="FF945" t="s">
        <v>576</v>
      </c>
      <c r="FG945" t="s">
        <v>183</v>
      </c>
      <c r="FH945" t="s">
        <v>211</v>
      </c>
      <c r="FI945" t="s">
        <v>212</v>
      </c>
      <c r="FK945" t="s">
        <v>12786</v>
      </c>
      <c r="FU945" t="s">
        <v>198</v>
      </c>
    </row>
    <row r="946" spans="1:177">
      <c r="A946" s="1" t="str">
        <f>HYPERLINK("http://digipan.lumentumllc.com/apps/getLink/index.php?t=PropLink&amp;p=15763817","PL")</f>
        <v>PL</v>
      </c>
      <c r="B946" s="1" t="str">
        <f>HYPERLINK("http://digipan.lumentumllc.com/apps/getLink/index.php?t=TaxLink&amp;p=15763817","TL")</f>
        <v>TL</v>
      </c>
      <c r="C946" s="1" t="str">
        <f>HYPERLINK("http://digipan.lumentumllc.com/apps/getMap/index.php?p=15763817","Map")</f>
        <v>Map</v>
      </c>
      <c r="E946" t="s">
        <v>177</v>
      </c>
      <c r="F946" t="s">
        <v>178</v>
      </c>
      <c r="L946" t="s">
        <v>12787</v>
      </c>
      <c r="N946" t="s">
        <v>12787</v>
      </c>
      <c r="O946" t="s">
        <v>12787</v>
      </c>
      <c r="Q946" t="s">
        <v>12787</v>
      </c>
      <c r="V946">
        <v>1094</v>
      </c>
      <c r="W946">
        <v>4</v>
      </c>
      <c r="X946">
        <v>2017</v>
      </c>
      <c r="Y946">
        <v>2018</v>
      </c>
      <c r="Z946">
        <v>7166.47</v>
      </c>
      <c r="AG946" t="s">
        <v>184</v>
      </c>
      <c r="AH946">
        <v>0</v>
      </c>
      <c r="AK946">
        <v>0</v>
      </c>
      <c r="AL946">
        <v>435757</v>
      </c>
      <c r="AM946">
        <v>82500</v>
      </c>
      <c r="AN946">
        <v>353257</v>
      </c>
      <c r="AO946">
        <v>0</v>
      </c>
      <c r="AP946">
        <v>0</v>
      </c>
      <c r="AQ946">
        <v>1.64</v>
      </c>
      <c r="AS946" t="s">
        <v>12788</v>
      </c>
      <c r="AT946" t="s">
        <v>3747</v>
      </c>
      <c r="AU946" t="s">
        <v>177</v>
      </c>
      <c r="AV946" t="s">
        <v>1030</v>
      </c>
      <c r="AW946" t="s">
        <v>182</v>
      </c>
      <c r="AX946">
        <v>77</v>
      </c>
      <c r="AY946" t="s">
        <v>3641</v>
      </c>
      <c r="AZ946" t="s">
        <v>1523</v>
      </c>
      <c r="BA946" t="s">
        <v>12789</v>
      </c>
      <c r="BB946" t="s">
        <v>191</v>
      </c>
      <c r="BC946" t="s">
        <v>182</v>
      </c>
      <c r="BD946" t="s">
        <v>182</v>
      </c>
      <c r="BE946" t="s">
        <v>408</v>
      </c>
      <c r="BF946">
        <v>3</v>
      </c>
      <c r="BG946">
        <v>0</v>
      </c>
      <c r="BH946">
        <v>1969</v>
      </c>
      <c r="BI946" t="s">
        <v>12790</v>
      </c>
      <c r="BJ946" t="s">
        <v>194</v>
      </c>
      <c r="BK946" t="s">
        <v>195</v>
      </c>
      <c r="BL946" t="s">
        <v>8160</v>
      </c>
      <c r="BM946" t="s">
        <v>325</v>
      </c>
      <c r="BN946" t="s">
        <v>182</v>
      </c>
      <c r="BO946" t="s">
        <v>3012</v>
      </c>
      <c r="BP946" t="s">
        <v>12791</v>
      </c>
      <c r="BQ946" t="s">
        <v>581</v>
      </c>
      <c r="BR946" t="s">
        <v>643</v>
      </c>
      <c r="BS946" t="s">
        <v>198</v>
      </c>
      <c r="BT946" t="s">
        <v>12792</v>
      </c>
      <c r="BU946" t="s">
        <v>182</v>
      </c>
      <c r="BV946" t="s">
        <v>198</v>
      </c>
      <c r="BW946" t="s">
        <v>198</v>
      </c>
      <c r="BX946" t="s">
        <v>199</v>
      </c>
      <c r="BY946" t="s">
        <v>198</v>
      </c>
      <c r="BZ946" t="s">
        <v>199</v>
      </c>
      <c r="CA946" t="s">
        <v>199</v>
      </c>
      <c r="CB946" t="s">
        <v>12793</v>
      </c>
      <c r="CC946" t="s">
        <v>201</v>
      </c>
      <c r="CD946" t="s">
        <v>202</v>
      </c>
      <c r="CE946" t="s">
        <v>12794</v>
      </c>
      <c r="CF946" t="s">
        <v>1029</v>
      </c>
      <c r="CG946" t="s">
        <v>177</v>
      </c>
      <c r="CH946" t="s">
        <v>1030</v>
      </c>
      <c r="CI946" t="s">
        <v>12795</v>
      </c>
      <c r="CS946" t="s">
        <v>198</v>
      </c>
      <c r="DC946" t="s">
        <v>198</v>
      </c>
      <c r="DM946" t="s">
        <v>198</v>
      </c>
      <c r="DW946" t="s">
        <v>198</v>
      </c>
      <c r="EG946" t="s">
        <v>198</v>
      </c>
      <c r="EQ946" t="s">
        <v>198</v>
      </c>
      <c r="FA946" t="s">
        <v>198</v>
      </c>
      <c r="FK946" t="s">
        <v>198</v>
      </c>
      <c r="FU946" t="s">
        <v>198</v>
      </c>
    </row>
    <row r="947" spans="1:177">
      <c r="A947" s="1" t="str">
        <f>HYPERLINK("http://digipan.lumentumllc.com/apps/getLink/index.php?t=PropLink&amp;p=7112619","PL")</f>
        <v>PL</v>
      </c>
      <c r="B947" s="1" t="str">
        <f>HYPERLINK("http://digipan.lumentumllc.com/apps/getLink/index.php?t=TaxLink&amp;p=7112619","TL")</f>
        <v>TL</v>
      </c>
      <c r="C947" s="1" t="str">
        <f>HYPERLINK("http://digipan.lumentumllc.com/apps/getMap/index.php?p=7112619","Map")</f>
        <v>Map</v>
      </c>
      <c r="E947" t="s">
        <v>177</v>
      </c>
      <c r="F947" t="s">
        <v>178</v>
      </c>
      <c r="L947" t="s">
        <v>12796</v>
      </c>
      <c r="N947" t="s">
        <v>12796</v>
      </c>
      <c r="O947" t="s">
        <v>12796</v>
      </c>
      <c r="P947" t="s">
        <v>12797</v>
      </c>
      <c r="Q947" t="s">
        <v>12796</v>
      </c>
      <c r="V947">
        <v>1095</v>
      </c>
      <c r="W947">
        <v>4</v>
      </c>
      <c r="X947">
        <v>2017</v>
      </c>
      <c r="Y947">
        <v>2018</v>
      </c>
      <c r="Z947">
        <v>1515.46</v>
      </c>
      <c r="AB947" t="s">
        <v>181</v>
      </c>
      <c r="AC947" t="s">
        <v>182</v>
      </c>
      <c r="AD947" t="s">
        <v>183</v>
      </c>
      <c r="AE947">
        <v>0</v>
      </c>
      <c r="AF947">
        <v>1</v>
      </c>
      <c r="AG947" t="s">
        <v>821</v>
      </c>
      <c r="AH947">
        <v>100</v>
      </c>
      <c r="AK947">
        <v>0</v>
      </c>
      <c r="AL947">
        <v>90606</v>
      </c>
      <c r="AM947">
        <v>56700</v>
      </c>
      <c r="AN947">
        <v>33906</v>
      </c>
      <c r="AO947">
        <v>1330</v>
      </c>
      <c r="AP947">
        <v>2016</v>
      </c>
      <c r="AQ947">
        <v>1.67</v>
      </c>
      <c r="AS947" t="s">
        <v>12798</v>
      </c>
      <c r="AT947" t="s">
        <v>3747</v>
      </c>
      <c r="AU947" t="s">
        <v>177</v>
      </c>
      <c r="AV947" t="s">
        <v>1030</v>
      </c>
      <c r="AW947" t="s">
        <v>182</v>
      </c>
      <c r="AX947">
        <v>11</v>
      </c>
      <c r="AY947" t="s">
        <v>3641</v>
      </c>
      <c r="AZ947" t="s">
        <v>212</v>
      </c>
      <c r="BA947" t="s">
        <v>5959</v>
      </c>
      <c r="BB947" t="s">
        <v>191</v>
      </c>
      <c r="BC947" t="s">
        <v>182</v>
      </c>
      <c r="BD947" t="s">
        <v>182</v>
      </c>
      <c r="BE947" t="s">
        <v>11441</v>
      </c>
      <c r="BF947">
        <v>1</v>
      </c>
      <c r="BG947">
        <v>0</v>
      </c>
      <c r="BH947">
        <v>1944</v>
      </c>
      <c r="BI947" t="s">
        <v>12799</v>
      </c>
      <c r="BJ947" t="s">
        <v>194</v>
      </c>
      <c r="BK947" t="s">
        <v>195</v>
      </c>
      <c r="BL947" t="s">
        <v>12800</v>
      </c>
      <c r="BM947" t="s">
        <v>501</v>
      </c>
      <c r="BN947" t="s">
        <v>182</v>
      </c>
      <c r="BO947" t="s">
        <v>198</v>
      </c>
      <c r="BP947" t="s">
        <v>198</v>
      </c>
      <c r="BQ947" t="s">
        <v>198</v>
      </c>
      <c r="BR947" t="s">
        <v>198</v>
      </c>
      <c r="BS947" t="s">
        <v>198</v>
      </c>
      <c r="BT947" t="s">
        <v>198</v>
      </c>
      <c r="BU947" t="s">
        <v>182</v>
      </c>
      <c r="BV947" t="s">
        <v>198</v>
      </c>
      <c r="BW947" t="s">
        <v>198</v>
      </c>
      <c r="BX947" t="s">
        <v>199</v>
      </c>
      <c r="BY947" t="s">
        <v>198</v>
      </c>
      <c r="BZ947" t="s">
        <v>199</v>
      </c>
      <c r="CA947" t="s">
        <v>199</v>
      </c>
      <c r="CB947" t="s">
        <v>12451</v>
      </c>
      <c r="CC947" t="s">
        <v>201</v>
      </c>
      <c r="CD947" t="s">
        <v>202</v>
      </c>
      <c r="CE947" t="s">
        <v>12801</v>
      </c>
      <c r="CF947" t="s">
        <v>204</v>
      </c>
      <c r="CG947" t="s">
        <v>177</v>
      </c>
      <c r="CH947" t="s">
        <v>187</v>
      </c>
      <c r="CI947" t="s">
        <v>12802</v>
      </c>
      <c r="CJ947" t="s">
        <v>9463</v>
      </c>
      <c r="CK947" t="s">
        <v>292</v>
      </c>
      <c r="CL947" t="s">
        <v>293</v>
      </c>
      <c r="CM947" t="s">
        <v>12803</v>
      </c>
      <c r="CN947" t="s">
        <v>235</v>
      </c>
      <c r="CO947" t="s">
        <v>183</v>
      </c>
      <c r="CP947" t="s">
        <v>211</v>
      </c>
      <c r="CQ947" t="s">
        <v>345</v>
      </c>
      <c r="CS947" t="s">
        <v>1088</v>
      </c>
      <c r="DC947" t="s">
        <v>198</v>
      </c>
      <c r="DM947" t="s">
        <v>198</v>
      </c>
      <c r="DW947" t="s">
        <v>198</v>
      </c>
      <c r="EG947" t="s">
        <v>198</v>
      </c>
      <c r="EQ947" t="s">
        <v>198</v>
      </c>
      <c r="FA947" t="s">
        <v>198</v>
      </c>
      <c r="FK947" t="s">
        <v>198</v>
      </c>
      <c r="FU947" t="s">
        <v>198</v>
      </c>
    </row>
    <row r="948" spans="1:177">
      <c r="A948" s="1" t="str">
        <f>HYPERLINK("http://digipan.lumentumllc.com/apps/getLink/index.php?t=PropLink&amp;p=6129643","PL")</f>
        <v>PL</v>
      </c>
      <c r="B948" s="1" t="str">
        <f>HYPERLINK("http://digipan.lumentumllc.com/apps/getLink/index.php?t=TaxLink&amp;p=6129643","TL")</f>
        <v>TL</v>
      </c>
      <c r="C948" s="1" t="str">
        <f>HYPERLINK("http://digipan.lumentumllc.com/apps/getMap/index.php?p=6129643","Map")</f>
        <v>Map</v>
      </c>
      <c r="E948" t="s">
        <v>177</v>
      </c>
      <c r="F948" t="s">
        <v>178</v>
      </c>
      <c r="L948" t="s">
        <v>12804</v>
      </c>
      <c r="N948" t="s">
        <v>12804</v>
      </c>
      <c r="O948" t="s">
        <v>12804</v>
      </c>
      <c r="P948" t="s">
        <v>12805</v>
      </c>
      <c r="Q948" t="s">
        <v>12804</v>
      </c>
      <c r="V948">
        <v>1097</v>
      </c>
      <c r="W948">
        <v>4</v>
      </c>
      <c r="X948">
        <v>2017</v>
      </c>
      <c r="Y948">
        <v>2018</v>
      </c>
      <c r="Z948">
        <v>3502.02</v>
      </c>
      <c r="AB948" t="s">
        <v>181</v>
      </c>
      <c r="AC948" t="s">
        <v>182</v>
      </c>
      <c r="AD948" t="s">
        <v>183</v>
      </c>
      <c r="AE948">
        <v>1</v>
      </c>
      <c r="AF948">
        <v>4</v>
      </c>
      <c r="AG948" t="s">
        <v>951</v>
      </c>
      <c r="AH948">
        <v>80</v>
      </c>
      <c r="AI948">
        <v>3551.6</v>
      </c>
      <c r="AJ948">
        <v>177.58</v>
      </c>
      <c r="AK948">
        <v>3729.18</v>
      </c>
      <c r="AL948">
        <v>211941</v>
      </c>
      <c r="AM948">
        <v>142935</v>
      </c>
      <c r="AN948">
        <v>69006</v>
      </c>
      <c r="AO948">
        <v>3259</v>
      </c>
      <c r="AP948">
        <v>2016</v>
      </c>
      <c r="AQ948">
        <v>1.65</v>
      </c>
      <c r="AR948">
        <v>1.76</v>
      </c>
      <c r="AS948" t="s">
        <v>12806</v>
      </c>
      <c r="AT948" t="s">
        <v>3747</v>
      </c>
      <c r="AU948" t="s">
        <v>177</v>
      </c>
      <c r="AV948" t="s">
        <v>1030</v>
      </c>
      <c r="AW948" t="s">
        <v>182</v>
      </c>
      <c r="AX948">
        <v>12</v>
      </c>
      <c r="AY948" t="s">
        <v>3641</v>
      </c>
      <c r="AZ948" t="s">
        <v>427</v>
      </c>
      <c r="BA948" t="s">
        <v>7093</v>
      </c>
      <c r="BB948" t="s">
        <v>191</v>
      </c>
      <c r="BC948" t="s">
        <v>182</v>
      </c>
      <c r="BD948" t="s">
        <v>182</v>
      </c>
      <c r="BE948" t="s">
        <v>12807</v>
      </c>
      <c r="BF948">
        <v>2</v>
      </c>
      <c r="BG948">
        <v>1</v>
      </c>
      <c r="BH948">
        <v>1950</v>
      </c>
      <c r="BI948" t="s">
        <v>3708</v>
      </c>
      <c r="BJ948" t="s">
        <v>194</v>
      </c>
      <c r="BK948" t="s">
        <v>840</v>
      </c>
      <c r="BL948" t="s">
        <v>199</v>
      </c>
      <c r="BM948" t="s">
        <v>1041</v>
      </c>
      <c r="BN948" t="s">
        <v>182</v>
      </c>
      <c r="BO948" t="s">
        <v>198</v>
      </c>
      <c r="BP948" t="s">
        <v>198</v>
      </c>
      <c r="BQ948" t="s">
        <v>198</v>
      </c>
      <c r="BR948" t="s">
        <v>198</v>
      </c>
      <c r="BS948" t="s">
        <v>198</v>
      </c>
      <c r="BT948" t="s">
        <v>198</v>
      </c>
      <c r="BU948" t="s">
        <v>182</v>
      </c>
      <c r="BV948" t="s">
        <v>198</v>
      </c>
      <c r="BW948" t="s">
        <v>198</v>
      </c>
      <c r="BX948" t="s">
        <v>199</v>
      </c>
      <c r="BY948" t="s">
        <v>198</v>
      </c>
      <c r="BZ948" t="s">
        <v>199</v>
      </c>
      <c r="CA948" t="s">
        <v>199</v>
      </c>
      <c r="CB948" t="s">
        <v>6837</v>
      </c>
      <c r="CC948" t="s">
        <v>201</v>
      </c>
      <c r="CD948" t="s">
        <v>202</v>
      </c>
      <c r="CE948" t="s">
        <v>6838</v>
      </c>
      <c r="CF948" t="s">
        <v>1029</v>
      </c>
      <c r="CG948" t="s">
        <v>177</v>
      </c>
      <c r="CH948" t="s">
        <v>1030</v>
      </c>
      <c r="CI948" t="s">
        <v>12808</v>
      </c>
      <c r="CJ948" t="s">
        <v>4850</v>
      </c>
      <c r="CK948" t="s">
        <v>232</v>
      </c>
      <c r="CL948" t="s">
        <v>233</v>
      </c>
      <c r="CM948" t="s">
        <v>12809</v>
      </c>
      <c r="CN948" t="s">
        <v>235</v>
      </c>
      <c r="CO948" t="s">
        <v>183</v>
      </c>
      <c r="CP948" t="s">
        <v>266</v>
      </c>
      <c r="CS948" t="s">
        <v>198</v>
      </c>
      <c r="CT948" t="s">
        <v>5971</v>
      </c>
      <c r="CU948" t="s">
        <v>292</v>
      </c>
      <c r="CV948" t="s">
        <v>293</v>
      </c>
      <c r="CW948" t="s">
        <v>12810</v>
      </c>
      <c r="CX948" t="s">
        <v>235</v>
      </c>
      <c r="CY948" t="s">
        <v>183</v>
      </c>
      <c r="CZ948" t="s">
        <v>211</v>
      </c>
      <c r="DA948" t="s">
        <v>298</v>
      </c>
      <c r="DC948" t="s">
        <v>1066</v>
      </c>
      <c r="DD948" t="s">
        <v>6409</v>
      </c>
      <c r="DE948" t="s">
        <v>267</v>
      </c>
      <c r="DF948" t="s">
        <v>268</v>
      </c>
      <c r="DG948" t="s">
        <v>12811</v>
      </c>
      <c r="DH948" t="s">
        <v>235</v>
      </c>
      <c r="DI948" t="s">
        <v>183</v>
      </c>
      <c r="DJ948" t="s">
        <v>211</v>
      </c>
      <c r="DK948" t="s">
        <v>298</v>
      </c>
      <c r="DM948" t="s">
        <v>459</v>
      </c>
      <c r="DN948" t="s">
        <v>10141</v>
      </c>
      <c r="DO948" t="s">
        <v>273</v>
      </c>
      <c r="DP948" t="s">
        <v>274</v>
      </c>
      <c r="DQ948" t="s">
        <v>12812</v>
      </c>
      <c r="DR948" t="s">
        <v>235</v>
      </c>
      <c r="DS948" t="s">
        <v>183</v>
      </c>
      <c r="DT948" t="s">
        <v>211</v>
      </c>
      <c r="DU948" t="s">
        <v>345</v>
      </c>
      <c r="DW948" t="s">
        <v>392</v>
      </c>
      <c r="DX948" t="s">
        <v>10579</v>
      </c>
      <c r="DY948" t="s">
        <v>302</v>
      </c>
      <c r="DZ948" t="s">
        <v>303</v>
      </c>
      <c r="EA948" t="s">
        <v>12813</v>
      </c>
      <c r="EB948" t="s">
        <v>235</v>
      </c>
      <c r="EC948" t="s">
        <v>183</v>
      </c>
      <c r="ED948" t="s">
        <v>211</v>
      </c>
      <c r="EE948" t="s">
        <v>298</v>
      </c>
      <c r="EG948" t="s">
        <v>437</v>
      </c>
      <c r="EQ948" t="s">
        <v>198</v>
      </c>
      <c r="FA948" t="s">
        <v>198</v>
      </c>
      <c r="FK948" t="s">
        <v>198</v>
      </c>
      <c r="FU948" t="s">
        <v>198</v>
      </c>
    </row>
    <row r="949" spans="1:177">
      <c r="A949" s="1" t="str">
        <f>HYPERLINK("http://digipan.lumentumllc.com/apps/getLink/index.php?t=PropLink&amp;p=4638854","PL")</f>
        <v>PL</v>
      </c>
      <c r="B949" s="1" t="str">
        <f>HYPERLINK("http://digipan.lumentumllc.com/apps/getLink/index.php?t=TaxLink&amp;p=4638854","TL")</f>
        <v>TL</v>
      </c>
      <c r="C949" s="1" t="str">
        <f>HYPERLINK("http://digipan.lumentumllc.com/apps/getMap/index.php?p=4638854","Map")</f>
        <v>Map</v>
      </c>
      <c r="E949" t="s">
        <v>177</v>
      </c>
      <c r="F949" t="s">
        <v>178</v>
      </c>
      <c r="L949" t="s">
        <v>12814</v>
      </c>
      <c r="N949" t="s">
        <v>12814</v>
      </c>
      <c r="O949" t="s">
        <v>12814</v>
      </c>
      <c r="P949" t="s">
        <v>12815</v>
      </c>
      <c r="Q949" t="s">
        <v>12814</v>
      </c>
      <c r="V949">
        <v>1098</v>
      </c>
      <c r="W949">
        <v>4</v>
      </c>
      <c r="X949">
        <v>2017</v>
      </c>
      <c r="Y949">
        <v>2018</v>
      </c>
      <c r="Z949">
        <v>262.79000000000002</v>
      </c>
      <c r="AB949" t="s">
        <v>181</v>
      </c>
      <c r="AC949" t="s">
        <v>182</v>
      </c>
      <c r="AD949" t="s">
        <v>183</v>
      </c>
      <c r="AE949">
        <v>0</v>
      </c>
      <c r="AF949">
        <v>5</v>
      </c>
      <c r="AG949" t="s">
        <v>3266</v>
      </c>
      <c r="AH949">
        <v>100</v>
      </c>
      <c r="AK949">
        <v>0</v>
      </c>
      <c r="AL949">
        <v>14097</v>
      </c>
      <c r="AM949">
        <v>13597</v>
      </c>
      <c r="AN949">
        <v>500</v>
      </c>
      <c r="AO949">
        <v>216</v>
      </c>
      <c r="AP949">
        <v>2016</v>
      </c>
      <c r="AQ949">
        <v>1.86</v>
      </c>
      <c r="AS949" t="s">
        <v>12816</v>
      </c>
      <c r="AT949" t="s">
        <v>3747</v>
      </c>
      <c r="AU949" t="s">
        <v>177</v>
      </c>
      <c r="AV949" t="s">
        <v>1030</v>
      </c>
      <c r="AW949" t="s">
        <v>182</v>
      </c>
      <c r="AX949">
        <v>0</v>
      </c>
      <c r="AY949" t="s">
        <v>312</v>
      </c>
      <c r="AZ949" t="s">
        <v>199</v>
      </c>
      <c r="BA949" t="s">
        <v>313</v>
      </c>
      <c r="BB949" t="s">
        <v>191</v>
      </c>
      <c r="BC949" t="s">
        <v>182</v>
      </c>
      <c r="BD949" t="s">
        <v>182</v>
      </c>
      <c r="BE949" t="s">
        <v>5992</v>
      </c>
      <c r="BF949">
        <v>1</v>
      </c>
      <c r="BG949">
        <v>0</v>
      </c>
      <c r="BH949">
        <v>0</v>
      </c>
      <c r="BI949" t="s">
        <v>199</v>
      </c>
      <c r="BJ949" t="s">
        <v>248</v>
      </c>
      <c r="BL949" t="s">
        <v>199</v>
      </c>
      <c r="BM949" t="s">
        <v>358</v>
      </c>
      <c r="BN949" t="s">
        <v>182</v>
      </c>
      <c r="BO949" t="s">
        <v>198</v>
      </c>
      <c r="BP949" t="s">
        <v>198</v>
      </c>
      <c r="BQ949" t="s">
        <v>198</v>
      </c>
      <c r="BR949" t="s">
        <v>198</v>
      </c>
      <c r="BS949" t="s">
        <v>198</v>
      </c>
      <c r="BT949" t="s">
        <v>198</v>
      </c>
      <c r="BU949" t="s">
        <v>182</v>
      </c>
      <c r="BV949" t="s">
        <v>198</v>
      </c>
      <c r="BW949" t="s">
        <v>198</v>
      </c>
      <c r="BX949" t="s">
        <v>199</v>
      </c>
      <c r="BY949" t="s">
        <v>198</v>
      </c>
      <c r="BZ949" t="s">
        <v>199</v>
      </c>
      <c r="CA949" t="s">
        <v>199</v>
      </c>
      <c r="CB949" t="s">
        <v>12817</v>
      </c>
      <c r="CC949" t="s">
        <v>1407</v>
      </c>
      <c r="CD949" t="s">
        <v>202</v>
      </c>
      <c r="CE949" t="s">
        <v>12818</v>
      </c>
      <c r="CF949" t="s">
        <v>1029</v>
      </c>
      <c r="CG949" t="s">
        <v>177</v>
      </c>
      <c r="CH949" t="s">
        <v>1030</v>
      </c>
      <c r="CI949" t="s">
        <v>12819</v>
      </c>
      <c r="CJ949" t="s">
        <v>5981</v>
      </c>
      <c r="CK949" t="s">
        <v>292</v>
      </c>
      <c r="CL949" t="s">
        <v>293</v>
      </c>
      <c r="CM949" t="s">
        <v>12820</v>
      </c>
      <c r="CN949" t="s">
        <v>482</v>
      </c>
      <c r="CO949" t="s">
        <v>183</v>
      </c>
      <c r="CP949" t="s">
        <v>211</v>
      </c>
      <c r="CQ949" t="s">
        <v>212</v>
      </c>
      <c r="CS949" t="s">
        <v>2337</v>
      </c>
      <c r="CT949" t="s">
        <v>6436</v>
      </c>
      <c r="CU949" t="s">
        <v>267</v>
      </c>
      <c r="CV949" t="s">
        <v>268</v>
      </c>
      <c r="CW949" t="s">
        <v>12821</v>
      </c>
      <c r="CX949" t="s">
        <v>331</v>
      </c>
      <c r="CY949" t="s">
        <v>183</v>
      </c>
      <c r="CZ949" t="s">
        <v>211</v>
      </c>
      <c r="DA949" t="s">
        <v>298</v>
      </c>
      <c r="DC949" t="s">
        <v>2428</v>
      </c>
      <c r="DD949" t="s">
        <v>9121</v>
      </c>
      <c r="DE949" t="s">
        <v>273</v>
      </c>
      <c r="DF949" t="s">
        <v>274</v>
      </c>
      <c r="DG949" t="s">
        <v>12822</v>
      </c>
      <c r="DH949" t="s">
        <v>391</v>
      </c>
      <c r="DI949" t="s">
        <v>183</v>
      </c>
      <c r="DJ949" t="s">
        <v>211</v>
      </c>
      <c r="DK949" t="s">
        <v>525</v>
      </c>
      <c r="DM949" t="s">
        <v>2428</v>
      </c>
      <c r="DN949" t="s">
        <v>10525</v>
      </c>
      <c r="DO949" t="s">
        <v>302</v>
      </c>
      <c r="DP949" t="s">
        <v>303</v>
      </c>
      <c r="DQ949" t="s">
        <v>12823</v>
      </c>
      <c r="DR949" t="s">
        <v>436</v>
      </c>
      <c r="DS949" t="s">
        <v>183</v>
      </c>
      <c r="DT949" t="s">
        <v>211</v>
      </c>
      <c r="DU949" t="s">
        <v>298</v>
      </c>
      <c r="DW949" t="s">
        <v>437</v>
      </c>
      <c r="DX949" t="s">
        <v>12824</v>
      </c>
      <c r="DY949" t="s">
        <v>238</v>
      </c>
      <c r="DZ949" t="s">
        <v>239</v>
      </c>
      <c r="EA949" t="s">
        <v>12825</v>
      </c>
      <c r="EB949" t="s">
        <v>331</v>
      </c>
      <c r="EC949" t="s">
        <v>183</v>
      </c>
      <c r="ED949" t="s">
        <v>211</v>
      </c>
      <c r="EE949" t="s">
        <v>298</v>
      </c>
      <c r="EG949" t="s">
        <v>467</v>
      </c>
      <c r="EQ949" t="s">
        <v>198</v>
      </c>
      <c r="FA949" t="s">
        <v>198</v>
      </c>
      <c r="FK949" t="s">
        <v>198</v>
      </c>
      <c r="FU949" t="s">
        <v>198</v>
      </c>
    </row>
    <row r="950" spans="1:177">
      <c r="A950" s="1" t="str">
        <f>HYPERLINK("http://digipan.lumentumllc.com/apps/getLink/index.php?t=PropLink&amp;p=5248550","PL")</f>
        <v>PL</v>
      </c>
      <c r="B950" s="1" t="str">
        <f>HYPERLINK("http://digipan.lumentumllc.com/apps/getLink/index.php?t=TaxLink&amp;p=5248550","TL")</f>
        <v>TL</v>
      </c>
      <c r="C950" s="1" t="str">
        <f>HYPERLINK("http://digipan.lumentumllc.com/apps/getMap/index.php?p=5248550","Map")</f>
        <v>Map</v>
      </c>
      <c r="E950" t="s">
        <v>177</v>
      </c>
      <c r="F950" t="s">
        <v>178</v>
      </c>
      <c r="L950" t="s">
        <v>12826</v>
      </c>
      <c r="N950" t="s">
        <v>12826</v>
      </c>
      <c r="O950" t="s">
        <v>12826</v>
      </c>
      <c r="P950" t="s">
        <v>12827</v>
      </c>
      <c r="Q950" t="s">
        <v>12826</v>
      </c>
      <c r="V950">
        <v>1099</v>
      </c>
      <c r="W950">
        <v>4</v>
      </c>
      <c r="X950">
        <v>2017</v>
      </c>
      <c r="Y950">
        <v>2018</v>
      </c>
      <c r="Z950">
        <v>768.5</v>
      </c>
      <c r="AB950" t="s">
        <v>181</v>
      </c>
      <c r="AC950" t="s">
        <v>182</v>
      </c>
      <c r="AD950" t="s">
        <v>183</v>
      </c>
      <c r="AE950">
        <v>1</v>
      </c>
      <c r="AF950">
        <v>5</v>
      </c>
      <c r="AG950" t="s">
        <v>951</v>
      </c>
      <c r="AH950">
        <v>80</v>
      </c>
      <c r="AI950">
        <v>749.18</v>
      </c>
      <c r="AJ950">
        <v>37.46</v>
      </c>
      <c r="AK950">
        <v>786.64</v>
      </c>
      <c r="AL950">
        <v>51705</v>
      </c>
      <c r="AM950">
        <v>9750</v>
      </c>
      <c r="AN950">
        <v>41955</v>
      </c>
      <c r="AO950">
        <v>668</v>
      </c>
      <c r="AP950">
        <v>2016</v>
      </c>
      <c r="AQ950">
        <v>1.49</v>
      </c>
      <c r="AR950">
        <v>1.52</v>
      </c>
      <c r="AS950" t="s">
        <v>12828</v>
      </c>
      <c r="AT950" t="s">
        <v>3747</v>
      </c>
      <c r="AU950" t="s">
        <v>177</v>
      </c>
      <c r="AV950" t="s">
        <v>1030</v>
      </c>
      <c r="AW950" t="s">
        <v>202</v>
      </c>
      <c r="AX950">
        <v>1</v>
      </c>
      <c r="AY950" t="s">
        <v>188</v>
      </c>
      <c r="AZ950" t="s">
        <v>206</v>
      </c>
      <c r="BA950" t="s">
        <v>355</v>
      </c>
      <c r="BB950" t="s">
        <v>191</v>
      </c>
      <c r="BC950" t="s">
        <v>182</v>
      </c>
      <c r="BD950" t="s">
        <v>182</v>
      </c>
      <c r="BE950" t="s">
        <v>3956</v>
      </c>
      <c r="BF950">
        <v>1</v>
      </c>
      <c r="BG950">
        <v>1</v>
      </c>
      <c r="BH950">
        <v>2005</v>
      </c>
      <c r="BI950" t="s">
        <v>8175</v>
      </c>
      <c r="BJ950" t="s">
        <v>194</v>
      </c>
      <c r="BK950" t="s">
        <v>195</v>
      </c>
      <c r="BL950" t="s">
        <v>199</v>
      </c>
      <c r="BM950" t="s">
        <v>12829</v>
      </c>
      <c r="BN950" t="s">
        <v>182</v>
      </c>
      <c r="BO950" t="s">
        <v>198</v>
      </c>
      <c r="BP950" t="s">
        <v>198</v>
      </c>
      <c r="BQ950" t="s">
        <v>198</v>
      </c>
      <c r="BR950" t="s">
        <v>198</v>
      </c>
      <c r="BS950" t="s">
        <v>198</v>
      </c>
      <c r="BT950" t="s">
        <v>198</v>
      </c>
      <c r="BU950" t="s">
        <v>182</v>
      </c>
      <c r="BV950" t="s">
        <v>198</v>
      </c>
      <c r="BW950" t="s">
        <v>198</v>
      </c>
      <c r="BX950" t="s">
        <v>199</v>
      </c>
      <c r="BY950" t="s">
        <v>198</v>
      </c>
      <c r="BZ950" t="s">
        <v>199</v>
      </c>
      <c r="CA950" t="s">
        <v>199</v>
      </c>
      <c r="CB950" t="s">
        <v>12830</v>
      </c>
      <c r="CC950" t="s">
        <v>201</v>
      </c>
      <c r="CD950" t="s">
        <v>202</v>
      </c>
      <c r="CE950" t="s">
        <v>12831</v>
      </c>
      <c r="CF950" t="s">
        <v>1029</v>
      </c>
      <c r="CG950" t="s">
        <v>177</v>
      </c>
      <c r="CH950" t="s">
        <v>1030</v>
      </c>
      <c r="CI950" t="s">
        <v>12832</v>
      </c>
      <c r="CJ950" t="s">
        <v>9448</v>
      </c>
      <c r="CK950" t="s">
        <v>232</v>
      </c>
      <c r="CL950" t="s">
        <v>233</v>
      </c>
      <c r="CM950" t="s">
        <v>12833</v>
      </c>
      <c r="CN950" t="s">
        <v>235</v>
      </c>
      <c r="CO950" t="s">
        <v>183</v>
      </c>
      <c r="CP950" t="s">
        <v>266</v>
      </c>
      <c r="CS950" t="s">
        <v>198</v>
      </c>
      <c r="CT950" t="s">
        <v>11703</v>
      </c>
      <c r="CU950" t="s">
        <v>292</v>
      </c>
      <c r="CV950" t="s">
        <v>293</v>
      </c>
      <c r="CW950" t="s">
        <v>12834</v>
      </c>
      <c r="CX950" t="s">
        <v>235</v>
      </c>
      <c r="CY950" t="s">
        <v>183</v>
      </c>
      <c r="CZ950" t="s">
        <v>211</v>
      </c>
      <c r="DA950" t="s">
        <v>460</v>
      </c>
      <c r="DC950" t="s">
        <v>12835</v>
      </c>
      <c r="DD950" t="s">
        <v>9625</v>
      </c>
      <c r="DE950" t="s">
        <v>267</v>
      </c>
      <c r="DF950" t="s">
        <v>268</v>
      </c>
      <c r="DG950" t="s">
        <v>12836</v>
      </c>
      <c r="DH950" t="s">
        <v>235</v>
      </c>
      <c r="DI950" t="s">
        <v>183</v>
      </c>
      <c r="DJ950" t="s">
        <v>211</v>
      </c>
      <c r="DK950" t="s">
        <v>270</v>
      </c>
      <c r="DM950" t="s">
        <v>4982</v>
      </c>
      <c r="DN950" t="s">
        <v>10607</v>
      </c>
      <c r="DO950" t="s">
        <v>302</v>
      </c>
      <c r="DP950" t="s">
        <v>303</v>
      </c>
      <c r="DQ950" t="s">
        <v>12837</v>
      </c>
      <c r="DR950" t="s">
        <v>235</v>
      </c>
      <c r="DS950" t="s">
        <v>183</v>
      </c>
      <c r="DT950" t="s">
        <v>211</v>
      </c>
      <c r="DU950" t="s">
        <v>199</v>
      </c>
      <c r="DW950" t="s">
        <v>6165</v>
      </c>
      <c r="DX950" t="s">
        <v>12838</v>
      </c>
      <c r="DY950" t="s">
        <v>238</v>
      </c>
      <c r="DZ950" t="s">
        <v>239</v>
      </c>
      <c r="EA950" t="s">
        <v>12839</v>
      </c>
      <c r="EB950" t="s">
        <v>440</v>
      </c>
      <c r="EC950" t="s">
        <v>183</v>
      </c>
      <c r="ED950" t="s">
        <v>211</v>
      </c>
      <c r="EE950" t="s">
        <v>290</v>
      </c>
      <c r="EG950" t="s">
        <v>12840</v>
      </c>
      <c r="EH950" t="s">
        <v>12515</v>
      </c>
      <c r="EI950" t="s">
        <v>207</v>
      </c>
      <c r="EJ950" t="s">
        <v>208</v>
      </c>
      <c r="EK950" t="s">
        <v>12841</v>
      </c>
      <c r="EL950" t="s">
        <v>469</v>
      </c>
      <c r="EM950" t="s">
        <v>183</v>
      </c>
      <c r="EN950" t="s">
        <v>211</v>
      </c>
      <c r="EO950" t="s">
        <v>493</v>
      </c>
      <c r="EQ950" t="s">
        <v>12842</v>
      </c>
      <c r="FA950" t="s">
        <v>198</v>
      </c>
      <c r="FK950" t="s">
        <v>198</v>
      </c>
      <c r="FU950" t="s">
        <v>198</v>
      </c>
    </row>
    <row r="951" spans="1:177">
      <c r="A951" s="1" t="str">
        <f>HYPERLINK("http://digipan.lumentumllc.com/apps/getLink/index.php?t=PropLink&amp;p=5248553","PL")</f>
        <v>PL</v>
      </c>
      <c r="B951" s="1" t="str">
        <f>HYPERLINK("http://digipan.lumentumllc.com/apps/getLink/index.php?t=TaxLink&amp;p=5248553","TL")</f>
        <v>TL</v>
      </c>
      <c r="C951" s="1" t="str">
        <f>HYPERLINK("http://digipan.lumentumllc.com/apps/getMap/index.php?p=5248553","Map")</f>
        <v>Map</v>
      </c>
      <c r="E951" t="s">
        <v>177</v>
      </c>
      <c r="F951" t="s">
        <v>178</v>
      </c>
      <c r="L951" t="s">
        <v>12843</v>
      </c>
      <c r="N951" t="s">
        <v>12843</v>
      </c>
      <c r="O951" t="s">
        <v>12843</v>
      </c>
      <c r="P951" t="s">
        <v>12844</v>
      </c>
      <c r="Q951" t="s">
        <v>12843</v>
      </c>
      <c r="V951">
        <v>1100</v>
      </c>
      <c r="W951">
        <v>4</v>
      </c>
      <c r="X951">
        <v>2017</v>
      </c>
      <c r="Y951">
        <v>2018</v>
      </c>
      <c r="Z951">
        <v>260.95999999999998</v>
      </c>
      <c r="AB951" t="s">
        <v>181</v>
      </c>
      <c r="AC951" t="s">
        <v>202</v>
      </c>
      <c r="AD951" t="s">
        <v>183</v>
      </c>
      <c r="AE951">
        <v>0</v>
      </c>
      <c r="AF951">
        <v>6</v>
      </c>
      <c r="AG951" t="s">
        <v>3266</v>
      </c>
      <c r="AH951">
        <v>100</v>
      </c>
      <c r="AK951">
        <v>0</v>
      </c>
      <c r="AL951">
        <v>15000</v>
      </c>
      <c r="AM951">
        <v>15000</v>
      </c>
      <c r="AN951">
        <v>0</v>
      </c>
      <c r="AO951">
        <v>184</v>
      </c>
      <c r="AP951">
        <v>2016</v>
      </c>
      <c r="AQ951">
        <v>1.74</v>
      </c>
      <c r="AS951" t="s">
        <v>12845</v>
      </c>
      <c r="AT951" t="s">
        <v>3747</v>
      </c>
      <c r="AU951" t="s">
        <v>177</v>
      </c>
      <c r="AV951" t="s">
        <v>1030</v>
      </c>
      <c r="AW951" t="s">
        <v>182</v>
      </c>
      <c r="AX951">
        <v>0</v>
      </c>
      <c r="AY951" t="s">
        <v>312</v>
      </c>
      <c r="AZ951" t="s">
        <v>199</v>
      </c>
      <c r="BA951" t="s">
        <v>313</v>
      </c>
      <c r="BB951" t="s">
        <v>191</v>
      </c>
      <c r="BC951" t="s">
        <v>182</v>
      </c>
      <c r="BD951" t="s">
        <v>182</v>
      </c>
      <c r="BE951" t="s">
        <v>383</v>
      </c>
      <c r="BF951">
        <v>0</v>
      </c>
      <c r="BG951">
        <v>0</v>
      </c>
      <c r="BH951">
        <v>0</v>
      </c>
      <c r="BI951" t="s">
        <v>199</v>
      </c>
      <c r="BJ951" t="s">
        <v>315</v>
      </c>
      <c r="BL951" t="s">
        <v>199</v>
      </c>
      <c r="BM951" t="s">
        <v>559</v>
      </c>
      <c r="BN951" t="s">
        <v>182</v>
      </c>
      <c r="BO951" t="s">
        <v>198</v>
      </c>
      <c r="BP951" t="s">
        <v>198</v>
      </c>
      <c r="BQ951" t="s">
        <v>198</v>
      </c>
      <c r="BR951" t="s">
        <v>198</v>
      </c>
      <c r="BS951" t="s">
        <v>198</v>
      </c>
      <c r="BT951" t="s">
        <v>198</v>
      </c>
      <c r="BU951" t="s">
        <v>182</v>
      </c>
      <c r="BV951" t="s">
        <v>198</v>
      </c>
      <c r="BW951" t="s">
        <v>198</v>
      </c>
      <c r="BX951" t="s">
        <v>199</v>
      </c>
      <c r="BY951" t="s">
        <v>198</v>
      </c>
      <c r="BZ951" t="s">
        <v>199</v>
      </c>
      <c r="CA951" t="s">
        <v>199</v>
      </c>
      <c r="CB951" t="s">
        <v>12846</v>
      </c>
      <c r="CC951" t="s">
        <v>201</v>
      </c>
      <c r="CD951" t="s">
        <v>182</v>
      </c>
      <c r="CE951" t="s">
        <v>12847</v>
      </c>
      <c r="CF951" t="s">
        <v>12848</v>
      </c>
      <c r="CG951" t="s">
        <v>177</v>
      </c>
      <c r="CH951" t="s">
        <v>12849</v>
      </c>
      <c r="CI951" t="s">
        <v>12774</v>
      </c>
      <c r="CJ951" t="s">
        <v>6491</v>
      </c>
      <c r="CK951" t="s">
        <v>267</v>
      </c>
      <c r="CL951" t="s">
        <v>268</v>
      </c>
      <c r="CM951" t="s">
        <v>9491</v>
      </c>
      <c r="CN951" t="s">
        <v>331</v>
      </c>
      <c r="CO951" t="s">
        <v>183</v>
      </c>
      <c r="CP951" t="s">
        <v>211</v>
      </c>
      <c r="CQ951" t="s">
        <v>264</v>
      </c>
      <c r="CR951" t="s">
        <v>271</v>
      </c>
      <c r="CS951" t="s">
        <v>1917</v>
      </c>
      <c r="CT951" t="s">
        <v>1564</v>
      </c>
      <c r="CU951" t="s">
        <v>273</v>
      </c>
      <c r="CV951" t="s">
        <v>274</v>
      </c>
      <c r="CW951" t="s">
        <v>8692</v>
      </c>
      <c r="CX951" t="s">
        <v>1491</v>
      </c>
      <c r="CY951" t="s">
        <v>183</v>
      </c>
      <c r="CZ951" t="s">
        <v>211</v>
      </c>
      <c r="DA951" t="s">
        <v>471</v>
      </c>
      <c r="DB951" t="s">
        <v>271</v>
      </c>
      <c r="DC951" t="s">
        <v>1917</v>
      </c>
      <c r="DD951" t="s">
        <v>12850</v>
      </c>
      <c r="DE951" t="s">
        <v>302</v>
      </c>
      <c r="DF951" t="s">
        <v>303</v>
      </c>
      <c r="DG951" t="s">
        <v>10339</v>
      </c>
      <c r="DH951" t="s">
        <v>440</v>
      </c>
      <c r="DI951" t="s">
        <v>183</v>
      </c>
      <c r="DJ951" t="s">
        <v>211</v>
      </c>
      <c r="DL951" t="s">
        <v>271</v>
      </c>
      <c r="DM951" t="s">
        <v>198</v>
      </c>
      <c r="DN951" t="s">
        <v>12851</v>
      </c>
      <c r="DO951" t="s">
        <v>238</v>
      </c>
      <c r="DP951" t="s">
        <v>239</v>
      </c>
      <c r="DQ951" t="s">
        <v>4598</v>
      </c>
      <c r="DR951" t="s">
        <v>278</v>
      </c>
      <c r="DS951" t="s">
        <v>183</v>
      </c>
      <c r="DT951" t="s">
        <v>211</v>
      </c>
      <c r="DU951" t="s">
        <v>334</v>
      </c>
      <c r="DW951" t="s">
        <v>1395</v>
      </c>
      <c r="DX951" t="s">
        <v>1962</v>
      </c>
      <c r="DY951" t="s">
        <v>346</v>
      </c>
      <c r="DZ951" t="s">
        <v>347</v>
      </c>
      <c r="EA951" t="s">
        <v>1075</v>
      </c>
      <c r="EB951" t="s">
        <v>615</v>
      </c>
      <c r="EC951" t="s">
        <v>183</v>
      </c>
      <c r="ED951" t="s">
        <v>211</v>
      </c>
      <c r="EE951" t="s">
        <v>345</v>
      </c>
      <c r="EG951" t="s">
        <v>8421</v>
      </c>
      <c r="EH951" t="s">
        <v>12852</v>
      </c>
      <c r="EI951" t="s">
        <v>207</v>
      </c>
      <c r="EJ951" t="s">
        <v>208</v>
      </c>
      <c r="EK951" t="s">
        <v>2955</v>
      </c>
      <c r="EL951" t="s">
        <v>576</v>
      </c>
      <c r="EM951" t="s">
        <v>183</v>
      </c>
      <c r="EN951" t="s">
        <v>211</v>
      </c>
      <c r="EO951" t="s">
        <v>298</v>
      </c>
      <c r="EQ951" t="s">
        <v>474</v>
      </c>
      <c r="FA951" t="s">
        <v>198</v>
      </c>
      <c r="FK951" t="s">
        <v>198</v>
      </c>
      <c r="FU951" t="s">
        <v>198</v>
      </c>
    </row>
    <row r="952" spans="1:177">
      <c r="A952" s="1" t="str">
        <f>HYPERLINK("http://digipan.lumentumllc.com/apps/getLink/index.php?t=PropLink&amp;p=5248554","PL")</f>
        <v>PL</v>
      </c>
      <c r="B952" s="1" t="str">
        <f>HYPERLINK("http://digipan.lumentumllc.com/apps/getLink/index.php?t=TaxLink&amp;p=5248554","TL")</f>
        <v>TL</v>
      </c>
      <c r="C952" s="1" t="str">
        <f>HYPERLINK("http://digipan.lumentumllc.com/apps/getMap/index.php?p=5248554","Map")</f>
        <v>Map</v>
      </c>
      <c r="E952" t="s">
        <v>177</v>
      </c>
      <c r="F952" t="s">
        <v>178</v>
      </c>
      <c r="L952" t="s">
        <v>12853</v>
      </c>
      <c r="N952" t="s">
        <v>12853</v>
      </c>
      <c r="O952" t="s">
        <v>12853</v>
      </c>
      <c r="P952" t="s">
        <v>12854</v>
      </c>
      <c r="Q952" t="s">
        <v>12853</v>
      </c>
      <c r="V952">
        <v>1101</v>
      </c>
      <c r="W952">
        <v>4</v>
      </c>
      <c r="X952">
        <v>2017</v>
      </c>
      <c r="Y952">
        <v>2018</v>
      </c>
      <c r="Z952">
        <v>116.75</v>
      </c>
      <c r="AB952" t="s">
        <v>181</v>
      </c>
      <c r="AC952" t="s">
        <v>182</v>
      </c>
      <c r="AD952" t="s">
        <v>183</v>
      </c>
      <c r="AE952">
        <v>0</v>
      </c>
      <c r="AF952">
        <v>6</v>
      </c>
      <c r="AG952" t="s">
        <v>3266</v>
      </c>
      <c r="AH952">
        <v>100</v>
      </c>
      <c r="AK952">
        <v>0</v>
      </c>
      <c r="AL952">
        <v>6000</v>
      </c>
      <c r="AM952">
        <v>6000</v>
      </c>
      <c r="AN952">
        <v>0</v>
      </c>
      <c r="AO952">
        <v>68</v>
      </c>
      <c r="AP952">
        <v>2016</v>
      </c>
      <c r="AQ952">
        <v>1.95</v>
      </c>
      <c r="AS952" t="s">
        <v>12855</v>
      </c>
      <c r="AT952" t="s">
        <v>3747</v>
      </c>
      <c r="AU952" t="s">
        <v>177</v>
      </c>
      <c r="AV952" t="s">
        <v>1030</v>
      </c>
      <c r="AW952" t="s">
        <v>182</v>
      </c>
      <c r="AX952">
        <v>0</v>
      </c>
      <c r="AY952" t="s">
        <v>312</v>
      </c>
      <c r="AZ952" t="s">
        <v>199</v>
      </c>
      <c r="BA952" t="s">
        <v>313</v>
      </c>
      <c r="BB952" t="s">
        <v>191</v>
      </c>
      <c r="BC952" t="s">
        <v>182</v>
      </c>
      <c r="BD952" t="s">
        <v>182</v>
      </c>
      <c r="BE952" t="s">
        <v>12856</v>
      </c>
      <c r="BF952">
        <v>0</v>
      </c>
      <c r="BG952">
        <v>0</v>
      </c>
      <c r="BH952">
        <v>0</v>
      </c>
      <c r="BI952" t="s">
        <v>199</v>
      </c>
      <c r="BJ952" t="s">
        <v>315</v>
      </c>
      <c r="BL952" t="s">
        <v>199</v>
      </c>
      <c r="BM952" t="s">
        <v>559</v>
      </c>
      <c r="BN952" t="s">
        <v>182</v>
      </c>
      <c r="BO952" t="s">
        <v>198</v>
      </c>
      <c r="BP952" t="s">
        <v>198</v>
      </c>
      <c r="BQ952" t="s">
        <v>198</v>
      </c>
      <c r="BR952" t="s">
        <v>198</v>
      </c>
      <c r="BS952" t="s">
        <v>198</v>
      </c>
      <c r="BT952" t="s">
        <v>198</v>
      </c>
      <c r="BU952" t="s">
        <v>182</v>
      </c>
      <c r="BV952" t="s">
        <v>198</v>
      </c>
      <c r="BW952" t="s">
        <v>198</v>
      </c>
      <c r="BX952" t="s">
        <v>199</v>
      </c>
      <c r="BY952" t="s">
        <v>198</v>
      </c>
      <c r="BZ952" t="s">
        <v>199</v>
      </c>
      <c r="CA952" t="s">
        <v>199</v>
      </c>
      <c r="CB952" t="s">
        <v>12846</v>
      </c>
      <c r="CC952" t="s">
        <v>201</v>
      </c>
      <c r="CD952" t="s">
        <v>182</v>
      </c>
      <c r="CE952" t="s">
        <v>12847</v>
      </c>
      <c r="CF952" t="s">
        <v>12848</v>
      </c>
      <c r="CG952" t="s">
        <v>177</v>
      </c>
      <c r="CH952" t="s">
        <v>12849</v>
      </c>
      <c r="CI952" t="s">
        <v>12774</v>
      </c>
      <c r="CJ952" t="s">
        <v>6503</v>
      </c>
      <c r="CK952" t="s">
        <v>267</v>
      </c>
      <c r="CL952" t="s">
        <v>268</v>
      </c>
      <c r="CM952" t="s">
        <v>12857</v>
      </c>
      <c r="CN952" t="s">
        <v>482</v>
      </c>
      <c r="CO952" t="s">
        <v>183</v>
      </c>
      <c r="CP952" t="s">
        <v>211</v>
      </c>
      <c r="CQ952" t="s">
        <v>329</v>
      </c>
      <c r="CS952" t="s">
        <v>871</v>
      </c>
      <c r="CT952" t="s">
        <v>1617</v>
      </c>
      <c r="CU952" t="s">
        <v>273</v>
      </c>
      <c r="CV952" t="s">
        <v>274</v>
      </c>
      <c r="CW952" t="s">
        <v>12858</v>
      </c>
      <c r="CX952" t="s">
        <v>482</v>
      </c>
      <c r="CY952" t="s">
        <v>183</v>
      </c>
      <c r="CZ952" t="s">
        <v>211</v>
      </c>
      <c r="DA952" t="s">
        <v>298</v>
      </c>
      <c r="DC952" t="s">
        <v>871</v>
      </c>
      <c r="DD952" t="s">
        <v>12859</v>
      </c>
      <c r="DE952" t="s">
        <v>302</v>
      </c>
      <c r="DF952" t="s">
        <v>303</v>
      </c>
      <c r="DG952" t="s">
        <v>12860</v>
      </c>
      <c r="DH952" t="s">
        <v>341</v>
      </c>
      <c r="DI952" t="s">
        <v>183</v>
      </c>
      <c r="DJ952" t="s">
        <v>211</v>
      </c>
      <c r="DK952" t="s">
        <v>525</v>
      </c>
      <c r="DM952" t="s">
        <v>871</v>
      </c>
      <c r="DN952" t="s">
        <v>9607</v>
      </c>
      <c r="DO952" t="s">
        <v>238</v>
      </c>
      <c r="DP952" t="s">
        <v>239</v>
      </c>
      <c r="DQ952" t="s">
        <v>12861</v>
      </c>
      <c r="DR952" t="s">
        <v>482</v>
      </c>
      <c r="DS952" t="s">
        <v>183</v>
      </c>
      <c r="DT952" t="s">
        <v>211</v>
      </c>
      <c r="DU952" t="s">
        <v>334</v>
      </c>
      <c r="DW952" t="s">
        <v>1395</v>
      </c>
      <c r="DX952" t="s">
        <v>1978</v>
      </c>
      <c r="DY952" t="s">
        <v>346</v>
      </c>
      <c r="DZ952" t="s">
        <v>347</v>
      </c>
      <c r="EA952" t="s">
        <v>12862</v>
      </c>
      <c r="EB952" t="s">
        <v>254</v>
      </c>
      <c r="EC952" t="s">
        <v>183</v>
      </c>
      <c r="ED952" t="s">
        <v>211</v>
      </c>
      <c r="EE952" t="s">
        <v>345</v>
      </c>
      <c r="EG952" t="s">
        <v>8421</v>
      </c>
      <c r="EH952" t="s">
        <v>12863</v>
      </c>
      <c r="EI952" t="s">
        <v>207</v>
      </c>
      <c r="EJ952" t="s">
        <v>208</v>
      </c>
      <c r="EK952" t="s">
        <v>12864</v>
      </c>
      <c r="EL952" t="s">
        <v>576</v>
      </c>
      <c r="EM952" t="s">
        <v>183</v>
      </c>
      <c r="EN952" t="s">
        <v>211</v>
      </c>
      <c r="EO952" t="s">
        <v>298</v>
      </c>
      <c r="EQ952" t="s">
        <v>474</v>
      </c>
      <c r="FA952" t="s">
        <v>198</v>
      </c>
      <c r="FK952" t="s">
        <v>198</v>
      </c>
      <c r="FU952" t="s">
        <v>198</v>
      </c>
    </row>
    <row r="953" spans="1:177">
      <c r="A953" s="1" t="str">
        <f>HYPERLINK("http://digipan.lumentumllc.com/apps/getLink/index.php?t=PropLink&amp;p=5248555","PL")</f>
        <v>PL</v>
      </c>
      <c r="B953" s="1" t="str">
        <f>HYPERLINK("http://digipan.lumentumllc.com/apps/getLink/index.php?t=TaxLink&amp;p=5248555","TL")</f>
        <v>TL</v>
      </c>
      <c r="C953" s="1" t="str">
        <f>HYPERLINK("http://digipan.lumentumllc.com/apps/getMap/index.php?p=5248555","Map")</f>
        <v>Map</v>
      </c>
      <c r="E953" t="s">
        <v>177</v>
      </c>
      <c r="F953" t="s">
        <v>178</v>
      </c>
      <c r="L953" t="s">
        <v>12865</v>
      </c>
      <c r="N953" t="s">
        <v>12865</v>
      </c>
      <c r="O953" t="s">
        <v>12865</v>
      </c>
      <c r="P953" t="s">
        <v>12866</v>
      </c>
      <c r="Q953" t="s">
        <v>12865</v>
      </c>
      <c r="V953">
        <v>1102</v>
      </c>
      <c r="W953">
        <v>4</v>
      </c>
      <c r="X953">
        <v>2017</v>
      </c>
      <c r="Y953">
        <v>2018</v>
      </c>
      <c r="Z953">
        <v>180.82</v>
      </c>
      <c r="AB953" t="s">
        <v>181</v>
      </c>
      <c r="AC953" t="s">
        <v>182</v>
      </c>
      <c r="AD953" t="s">
        <v>183</v>
      </c>
      <c r="AE953">
        <v>0</v>
      </c>
      <c r="AF953">
        <v>6</v>
      </c>
      <c r="AG953" t="s">
        <v>3266</v>
      </c>
      <c r="AH953">
        <v>100</v>
      </c>
      <c r="AK953">
        <v>0</v>
      </c>
      <c r="AL953">
        <v>9750</v>
      </c>
      <c r="AM953">
        <v>9750</v>
      </c>
      <c r="AN953">
        <v>0</v>
      </c>
      <c r="AO953">
        <v>120</v>
      </c>
      <c r="AP953">
        <v>2016</v>
      </c>
      <c r="AQ953">
        <v>1.85</v>
      </c>
      <c r="AS953" t="s">
        <v>12855</v>
      </c>
      <c r="AT953" t="s">
        <v>3747</v>
      </c>
      <c r="AU953" t="s">
        <v>177</v>
      </c>
      <c r="AV953" t="s">
        <v>1030</v>
      </c>
      <c r="AW953" t="s">
        <v>182</v>
      </c>
      <c r="AX953">
        <v>0</v>
      </c>
      <c r="AY953" t="s">
        <v>312</v>
      </c>
      <c r="AZ953" t="s">
        <v>199</v>
      </c>
      <c r="BA953" t="s">
        <v>313</v>
      </c>
      <c r="BB953" t="s">
        <v>191</v>
      </c>
      <c r="BC953" t="s">
        <v>182</v>
      </c>
      <c r="BD953" t="s">
        <v>182</v>
      </c>
      <c r="BE953" t="s">
        <v>3907</v>
      </c>
      <c r="BF953">
        <v>0</v>
      </c>
      <c r="BG953">
        <v>0</v>
      </c>
      <c r="BH953">
        <v>0</v>
      </c>
      <c r="BI953" t="s">
        <v>199</v>
      </c>
      <c r="BJ953" t="s">
        <v>315</v>
      </c>
      <c r="BL953" t="s">
        <v>199</v>
      </c>
      <c r="BM953" t="s">
        <v>559</v>
      </c>
      <c r="BN953" t="s">
        <v>182</v>
      </c>
      <c r="BO953" t="s">
        <v>198</v>
      </c>
      <c r="BP953" t="s">
        <v>198</v>
      </c>
      <c r="BQ953" t="s">
        <v>198</v>
      </c>
      <c r="BR953" t="s">
        <v>198</v>
      </c>
      <c r="BS953" t="s">
        <v>198</v>
      </c>
      <c r="BT953" t="s">
        <v>198</v>
      </c>
      <c r="BU953" t="s">
        <v>182</v>
      </c>
      <c r="BV953" t="s">
        <v>198</v>
      </c>
      <c r="BW953" t="s">
        <v>198</v>
      </c>
      <c r="BX953" t="s">
        <v>199</v>
      </c>
      <c r="BY953" t="s">
        <v>198</v>
      </c>
      <c r="BZ953" t="s">
        <v>199</v>
      </c>
      <c r="CA953" t="s">
        <v>199</v>
      </c>
      <c r="CB953" t="s">
        <v>12846</v>
      </c>
      <c r="CC953" t="s">
        <v>201</v>
      </c>
      <c r="CD953" t="s">
        <v>182</v>
      </c>
      <c r="CE953" t="s">
        <v>12847</v>
      </c>
      <c r="CF953" t="s">
        <v>12848</v>
      </c>
      <c r="CG953" t="s">
        <v>177</v>
      </c>
      <c r="CH953" t="s">
        <v>12849</v>
      </c>
      <c r="CI953" t="s">
        <v>12774</v>
      </c>
      <c r="CJ953" t="s">
        <v>12021</v>
      </c>
      <c r="CK953" t="s">
        <v>267</v>
      </c>
      <c r="CL953" t="s">
        <v>268</v>
      </c>
      <c r="CM953" t="s">
        <v>11096</v>
      </c>
      <c r="CN953" t="s">
        <v>331</v>
      </c>
      <c r="CO953" t="s">
        <v>183</v>
      </c>
      <c r="CP953" t="s">
        <v>211</v>
      </c>
      <c r="CQ953" t="s">
        <v>329</v>
      </c>
      <c r="CS953" t="s">
        <v>871</v>
      </c>
      <c r="CT953" t="s">
        <v>10387</v>
      </c>
      <c r="CU953" t="s">
        <v>273</v>
      </c>
      <c r="CV953" t="s">
        <v>274</v>
      </c>
      <c r="CW953" t="s">
        <v>11098</v>
      </c>
      <c r="CX953" t="s">
        <v>1491</v>
      </c>
      <c r="CY953" t="s">
        <v>183</v>
      </c>
      <c r="CZ953" t="s">
        <v>211</v>
      </c>
      <c r="DA953" t="s">
        <v>298</v>
      </c>
      <c r="DC953" t="s">
        <v>871</v>
      </c>
      <c r="DD953" t="s">
        <v>12867</v>
      </c>
      <c r="DE953" t="s">
        <v>302</v>
      </c>
      <c r="DF953" t="s">
        <v>303</v>
      </c>
      <c r="DG953" t="s">
        <v>11101</v>
      </c>
      <c r="DH953" t="s">
        <v>278</v>
      </c>
      <c r="DI953" t="s">
        <v>183</v>
      </c>
      <c r="DJ953" t="s">
        <v>211</v>
      </c>
      <c r="DK953" t="s">
        <v>525</v>
      </c>
      <c r="DM953" t="s">
        <v>871</v>
      </c>
      <c r="DN953" t="s">
        <v>12868</v>
      </c>
      <c r="DO953" t="s">
        <v>238</v>
      </c>
      <c r="DP953" t="s">
        <v>239</v>
      </c>
      <c r="DQ953" t="s">
        <v>4652</v>
      </c>
      <c r="DR953" t="s">
        <v>1615</v>
      </c>
      <c r="DS953" t="s">
        <v>183</v>
      </c>
      <c r="DT953" t="s">
        <v>211</v>
      </c>
      <c r="DU953" t="s">
        <v>334</v>
      </c>
      <c r="DW953" t="s">
        <v>1395</v>
      </c>
      <c r="DX953" t="s">
        <v>1992</v>
      </c>
      <c r="DY953" t="s">
        <v>346</v>
      </c>
      <c r="DZ953" t="s">
        <v>347</v>
      </c>
      <c r="EA953" t="s">
        <v>11105</v>
      </c>
      <c r="EB953" t="s">
        <v>254</v>
      </c>
      <c r="EC953" t="s">
        <v>183</v>
      </c>
      <c r="ED953" t="s">
        <v>211</v>
      </c>
      <c r="EE953" t="s">
        <v>345</v>
      </c>
      <c r="EG953" t="s">
        <v>8421</v>
      </c>
      <c r="EH953" t="s">
        <v>9542</v>
      </c>
      <c r="EI953" t="s">
        <v>207</v>
      </c>
      <c r="EJ953" t="s">
        <v>208</v>
      </c>
      <c r="EK953" t="s">
        <v>10878</v>
      </c>
      <c r="EL953" t="s">
        <v>576</v>
      </c>
      <c r="EM953" t="s">
        <v>183</v>
      </c>
      <c r="EN953" t="s">
        <v>211</v>
      </c>
      <c r="EO953" t="s">
        <v>298</v>
      </c>
      <c r="EQ953" t="s">
        <v>474</v>
      </c>
      <c r="FA953" t="s">
        <v>198</v>
      </c>
      <c r="FK953" t="s">
        <v>198</v>
      </c>
      <c r="FU953" t="s">
        <v>198</v>
      </c>
    </row>
    <row r="954" spans="1:177">
      <c r="A954" s="1" t="str">
        <f>HYPERLINK("http://digipan.lumentumllc.com/apps/getLink/index.php?t=PropLink&amp;p=7112620","PL")</f>
        <v>PL</v>
      </c>
      <c r="B954" s="1" t="str">
        <f>HYPERLINK("http://digipan.lumentumllc.com/apps/getLink/index.php?t=TaxLink&amp;p=7112620","TL")</f>
        <v>TL</v>
      </c>
      <c r="C954" s="1" t="str">
        <f>HYPERLINK("http://digipan.lumentumllc.com/apps/getMap/index.php?p=7112620","Map")</f>
        <v>Map</v>
      </c>
      <c r="E954" t="s">
        <v>177</v>
      </c>
      <c r="F954" t="s">
        <v>178</v>
      </c>
      <c r="L954" t="s">
        <v>12869</v>
      </c>
      <c r="N954" t="s">
        <v>12869</v>
      </c>
      <c r="O954" t="s">
        <v>12869</v>
      </c>
      <c r="P954" t="s">
        <v>12870</v>
      </c>
      <c r="Q954" t="s">
        <v>12869</v>
      </c>
      <c r="V954">
        <v>1103</v>
      </c>
      <c r="W954">
        <v>4</v>
      </c>
      <c r="X954">
        <v>2017</v>
      </c>
      <c r="Y954">
        <v>2018</v>
      </c>
      <c r="Z954">
        <v>256.31</v>
      </c>
      <c r="AB954" t="s">
        <v>181</v>
      </c>
      <c r="AC954" t="s">
        <v>182</v>
      </c>
      <c r="AD954" t="s">
        <v>183</v>
      </c>
      <c r="AE954">
        <v>0</v>
      </c>
      <c r="AF954">
        <v>1</v>
      </c>
      <c r="AG954" t="s">
        <v>821</v>
      </c>
      <c r="AH954">
        <v>100</v>
      </c>
      <c r="AK954">
        <v>0</v>
      </c>
      <c r="AL954">
        <v>13700</v>
      </c>
      <c r="AM954">
        <v>13500</v>
      </c>
      <c r="AN954">
        <v>200</v>
      </c>
      <c r="AO954">
        <v>169</v>
      </c>
      <c r="AP954">
        <v>2016</v>
      </c>
      <c r="AQ954">
        <v>1.87</v>
      </c>
      <c r="AS954" t="s">
        <v>12855</v>
      </c>
      <c r="AT954" t="s">
        <v>3747</v>
      </c>
      <c r="AU954" t="s">
        <v>177</v>
      </c>
      <c r="AV954" t="s">
        <v>1030</v>
      </c>
      <c r="AW954" t="s">
        <v>182</v>
      </c>
      <c r="AX954">
        <v>0</v>
      </c>
      <c r="AY954" t="s">
        <v>312</v>
      </c>
      <c r="AZ954" t="s">
        <v>199</v>
      </c>
      <c r="BA954" t="s">
        <v>313</v>
      </c>
      <c r="BB954" t="s">
        <v>191</v>
      </c>
      <c r="BC954" t="s">
        <v>182</v>
      </c>
      <c r="BD954" t="s">
        <v>182</v>
      </c>
      <c r="BE954" t="s">
        <v>9756</v>
      </c>
      <c r="BF954">
        <v>0</v>
      </c>
      <c r="BG954">
        <v>0</v>
      </c>
      <c r="BH954">
        <v>0</v>
      </c>
      <c r="BI954" t="s">
        <v>199</v>
      </c>
      <c r="BJ954" t="s">
        <v>315</v>
      </c>
      <c r="BL954" t="s">
        <v>5738</v>
      </c>
      <c r="BM954" t="s">
        <v>451</v>
      </c>
      <c r="BN954" t="s">
        <v>182</v>
      </c>
      <c r="BO954" t="s">
        <v>198</v>
      </c>
      <c r="BP954" t="s">
        <v>198</v>
      </c>
      <c r="BQ954" t="s">
        <v>198</v>
      </c>
      <c r="BR954" t="s">
        <v>198</v>
      </c>
      <c r="BS954" t="s">
        <v>198</v>
      </c>
      <c r="BT954" t="s">
        <v>198</v>
      </c>
      <c r="BU954" t="s">
        <v>182</v>
      </c>
      <c r="BV954" t="s">
        <v>198</v>
      </c>
      <c r="BW954" t="s">
        <v>198</v>
      </c>
      <c r="BX954" t="s">
        <v>199</v>
      </c>
      <c r="BY954" t="s">
        <v>198</v>
      </c>
      <c r="BZ954" t="s">
        <v>199</v>
      </c>
      <c r="CA954" t="s">
        <v>199</v>
      </c>
      <c r="CB954" t="s">
        <v>12871</v>
      </c>
      <c r="CC954" t="s">
        <v>201</v>
      </c>
      <c r="CD954" t="s">
        <v>202</v>
      </c>
      <c r="CE954" t="s">
        <v>12872</v>
      </c>
      <c r="CF954" t="s">
        <v>413</v>
      </c>
      <c r="CG954" t="s">
        <v>177</v>
      </c>
      <c r="CH954" t="s">
        <v>2643</v>
      </c>
      <c r="CI954" t="s">
        <v>12873</v>
      </c>
      <c r="CJ954" t="s">
        <v>11720</v>
      </c>
      <c r="CK954" t="s">
        <v>292</v>
      </c>
      <c r="CL954" t="s">
        <v>293</v>
      </c>
      <c r="CM954" t="s">
        <v>12874</v>
      </c>
      <c r="CN954" t="s">
        <v>389</v>
      </c>
      <c r="CO954" t="s">
        <v>183</v>
      </c>
      <c r="CP954" t="s">
        <v>211</v>
      </c>
      <c r="CQ954" t="s">
        <v>250</v>
      </c>
      <c r="CS954" t="s">
        <v>12875</v>
      </c>
      <c r="DC954" t="s">
        <v>198</v>
      </c>
      <c r="DM954" t="s">
        <v>198</v>
      </c>
      <c r="DW954" t="s">
        <v>198</v>
      </c>
      <c r="EG954" t="s">
        <v>198</v>
      </c>
      <c r="EQ954" t="s">
        <v>198</v>
      </c>
      <c r="FA954" t="s">
        <v>198</v>
      </c>
      <c r="FK954" t="s">
        <v>198</v>
      </c>
      <c r="FU954" t="s">
        <v>198</v>
      </c>
    </row>
    <row r="955" spans="1:177">
      <c r="A955" s="1" t="str">
        <f>HYPERLINK("http://digipan.lumentumllc.com/apps/getLink/index.php?t=PropLink&amp;p=6594419","PL")</f>
        <v>PL</v>
      </c>
      <c r="B955" s="1" t="str">
        <f>HYPERLINK("http://digipan.lumentumllc.com/apps/getLink/index.php?t=TaxLink&amp;p=6594419","TL")</f>
        <v>TL</v>
      </c>
      <c r="C955" s="1" t="str">
        <f>HYPERLINK("http://digipan.lumentumllc.com/apps/getMap/index.php?p=6594419","Map")</f>
        <v>Map</v>
      </c>
      <c r="E955" t="s">
        <v>177</v>
      </c>
      <c r="F955" t="s">
        <v>178</v>
      </c>
      <c r="L955" t="s">
        <v>12876</v>
      </c>
      <c r="N955" t="s">
        <v>12876</v>
      </c>
      <c r="O955" t="s">
        <v>12876</v>
      </c>
      <c r="P955" t="s">
        <v>12877</v>
      </c>
      <c r="Q955" t="s">
        <v>12876</v>
      </c>
      <c r="V955">
        <v>1104</v>
      </c>
      <c r="W955">
        <v>4</v>
      </c>
      <c r="X955">
        <v>2017</v>
      </c>
      <c r="Y955">
        <v>2018</v>
      </c>
      <c r="Z955">
        <v>426.7</v>
      </c>
      <c r="AB955" t="s">
        <v>181</v>
      </c>
      <c r="AC955" t="s">
        <v>182</v>
      </c>
      <c r="AD955" t="s">
        <v>183</v>
      </c>
      <c r="AE955">
        <v>0</v>
      </c>
      <c r="AF955">
        <v>1</v>
      </c>
      <c r="AG955" t="s">
        <v>821</v>
      </c>
      <c r="AH955">
        <v>100</v>
      </c>
      <c r="AK955">
        <v>0</v>
      </c>
      <c r="AL955">
        <v>24107</v>
      </c>
      <c r="AM955">
        <v>24000</v>
      </c>
      <c r="AN955">
        <v>107</v>
      </c>
      <c r="AO955">
        <v>355</v>
      </c>
      <c r="AP955">
        <v>2016</v>
      </c>
      <c r="AQ955">
        <v>1.77</v>
      </c>
      <c r="AS955" t="s">
        <v>12845</v>
      </c>
      <c r="AT955" t="s">
        <v>3747</v>
      </c>
      <c r="AU955" t="s">
        <v>177</v>
      </c>
      <c r="AV955" t="s">
        <v>1030</v>
      </c>
      <c r="AW955" t="s">
        <v>182</v>
      </c>
      <c r="AX955">
        <v>0</v>
      </c>
      <c r="AY955" t="s">
        <v>312</v>
      </c>
      <c r="AZ955" t="s">
        <v>199</v>
      </c>
      <c r="BA955" t="s">
        <v>313</v>
      </c>
      <c r="BB955" t="s">
        <v>191</v>
      </c>
      <c r="BC955" t="s">
        <v>182</v>
      </c>
      <c r="BD955" t="s">
        <v>182</v>
      </c>
      <c r="BE955" t="s">
        <v>365</v>
      </c>
      <c r="BF955">
        <v>0</v>
      </c>
      <c r="BG955">
        <v>0</v>
      </c>
      <c r="BH955">
        <v>0</v>
      </c>
      <c r="BI955" t="s">
        <v>199</v>
      </c>
      <c r="BJ955" t="s">
        <v>315</v>
      </c>
      <c r="BL955" t="s">
        <v>1002</v>
      </c>
      <c r="BM955" t="s">
        <v>1742</v>
      </c>
      <c r="BN955" t="s">
        <v>182</v>
      </c>
      <c r="BO955" t="s">
        <v>198</v>
      </c>
      <c r="BP955" t="s">
        <v>198</v>
      </c>
      <c r="BQ955" t="s">
        <v>198</v>
      </c>
      <c r="BR955" t="s">
        <v>198</v>
      </c>
      <c r="BS955" t="s">
        <v>198</v>
      </c>
      <c r="BT955" t="s">
        <v>198</v>
      </c>
      <c r="BU955" t="s">
        <v>182</v>
      </c>
      <c r="BV955" t="s">
        <v>198</v>
      </c>
      <c r="BW955" t="s">
        <v>198</v>
      </c>
      <c r="BX955" t="s">
        <v>199</v>
      </c>
      <c r="BY955" t="s">
        <v>198</v>
      </c>
      <c r="BZ955" t="s">
        <v>199</v>
      </c>
      <c r="CA955" t="s">
        <v>199</v>
      </c>
      <c r="CB955" t="s">
        <v>12878</v>
      </c>
      <c r="CC955" t="s">
        <v>201</v>
      </c>
      <c r="CD955" t="s">
        <v>182</v>
      </c>
      <c r="CE955" t="s">
        <v>12879</v>
      </c>
      <c r="CF955" t="s">
        <v>413</v>
      </c>
      <c r="CG955" t="s">
        <v>177</v>
      </c>
      <c r="CH955" t="s">
        <v>414</v>
      </c>
      <c r="CI955" t="s">
        <v>12880</v>
      </c>
      <c r="CJ955" t="s">
        <v>12881</v>
      </c>
      <c r="CK955" t="s">
        <v>273</v>
      </c>
      <c r="CL955" t="s">
        <v>274</v>
      </c>
      <c r="CM955" t="s">
        <v>12882</v>
      </c>
      <c r="CN955" t="s">
        <v>387</v>
      </c>
      <c r="CO955" t="s">
        <v>183</v>
      </c>
      <c r="CP955" t="s">
        <v>211</v>
      </c>
      <c r="CQ955" t="s">
        <v>298</v>
      </c>
      <c r="CS955" t="s">
        <v>462</v>
      </c>
      <c r="DC955" t="s">
        <v>198</v>
      </c>
      <c r="DM955" t="s">
        <v>198</v>
      </c>
      <c r="DW955" t="s">
        <v>198</v>
      </c>
      <c r="EG955" t="s">
        <v>198</v>
      </c>
      <c r="EQ955" t="s">
        <v>198</v>
      </c>
      <c r="FA955" t="s">
        <v>198</v>
      </c>
      <c r="FK955" t="s">
        <v>198</v>
      </c>
      <c r="FU955" t="s">
        <v>198</v>
      </c>
    </row>
    <row r="956" spans="1:177">
      <c r="A956" s="1" t="str">
        <f>HYPERLINK("http://digipan.lumentumllc.com/apps/getLink/index.php?t=PropLink&amp;p=7112621","PL")</f>
        <v>PL</v>
      </c>
      <c r="B956" s="1" t="str">
        <f>HYPERLINK("http://digipan.lumentumllc.com/apps/getLink/index.php?t=TaxLink&amp;p=7112621","TL")</f>
        <v>TL</v>
      </c>
      <c r="C956" s="1" t="str">
        <f>HYPERLINK("http://digipan.lumentumllc.com/apps/getMap/index.php?p=7112621","Map")</f>
        <v>Map</v>
      </c>
      <c r="E956" t="s">
        <v>177</v>
      </c>
      <c r="F956" t="s">
        <v>178</v>
      </c>
      <c r="L956" t="s">
        <v>12883</v>
      </c>
      <c r="N956" t="s">
        <v>12883</v>
      </c>
      <c r="O956" t="s">
        <v>12883</v>
      </c>
      <c r="P956" t="s">
        <v>12884</v>
      </c>
      <c r="Q956" t="s">
        <v>12883</v>
      </c>
      <c r="V956">
        <v>1105</v>
      </c>
      <c r="W956">
        <v>4</v>
      </c>
      <c r="X956">
        <v>2017</v>
      </c>
      <c r="Y956">
        <v>2018</v>
      </c>
      <c r="Z956">
        <v>345.24</v>
      </c>
      <c r="AB956" t="s">
        <v>181</v>
      </c>
      <c r="AC956" t="s">
        <v>182</v>
      </c>
      <c r="AD956" t="s">
        <v>183</v>
      </c>
      <c r="AE956">
        <v>0</v>
      </c>
      <c r="AF956">
        <v>1</v>
      </c>
      <c r="AG956" t="s">
        <v>821</v>
      </c>
      <c r="AH956">
        <v>100</v>
      </c>
      <c r="AK956">
        <v>0</v>
      </c>
      <c r="AL956">
        <v>23915</v>
      </c>
      <c r="AM956">
        <v>13500</v>
      </c>
      <c r="AN956">
        <v>10415</v>
      </c>
      <c r="AO956">
        <v>295</v>
      </c>
      <c r="AP956">
        <v>2016</v>
      </c>
      <c r="AQ956">
        <v>1.44</v>
      </c>
      <c r="AS956" t="s">
        <v>12885</v>
      </c>
      <c r="AT956" t="s">
        <v>3747</v>
      </c>
      <c r="AU956" t="s">
        <v>177</v>
      </c>
      <c r="AV956" t="s">
        <v>1030</v>
      </c>
      <c r="AW956" t="s">
        <v>202</v>
      </c>
      <c r="AX956">
        <v>1</v>
      </c>
      <c r="AY956" t="s">
        <v>188</v>
      </c>
      <c r="AZ956" t="s">
        <v>206</v>
      </c>
      <c r="BA956" t="s">
        <v>355</v>
      </c>
      <c r="BB956" t="s">
        <v>191</v>
      </c>
      <c r="BC956" t="s">
        <v>182</v>
      </c>
      <c r="BD956" t="s">
        <v>182</v>
      </c>
      <c r="BE956" t="s">
        <v>235</v>
      </c>
      <c r="BF956">
        <v>1</v>
      </c>
      <c r="BG956">
        <v>1</v>
      </c>
      <c r="BH956">
        <v>1960</v>
      </c>
      <c r="BI956" t="s">
        <v>6758</v>
      </c>
      <c r="BJ956" t="s">
        <v>285</v>
      </c>
      <c r="BK956" t="s">
        <v>195</v>
      </c>
      <c r="BL956" t="s">
        <v>199</v>
      </c>
      <c r="BM956" t="s">
        <v>358</v>
      </c>
      <c r="BN956" t="s">
        <v>182</v>
      </c>
      <c r="BO956" t="s">
        <v>198</v>
      </c>
      <c r="BP956" t="s">
        <v>198</v>
      </c>
      <c r="BQ956" t="s">
        <v>198</v>
      </c>
      <c r="BR956" t="s">
        <v>198</v>
      </c>
      <c r="BS956" t="s">
        <v>198</v>
      </c>
      <c r="BT956" t="s">
        <v>198</v>
      </c>
      <c r="BU956" t="s">
        <v>182</v>
      </c>
      <c r="BV956" t="s">
        <v>198</v>
      </c>
      <c r="BW956" t="s">
        <v>198</v>
      </c>
      <c r="BX956" t="s">
        <v>199</v>
      </c>
      <c r="BY956" t="s">
        <v>198</v>
      </c>
      <c r="BZ956" t="s">
        <v>199</v>
      </c>
      <c r="CA956" t="s">
        <v>199</v>
      </c>
      <c r="CB956" t="s">
        <v>12886</v>
      </c>
      <c r="CC956" t="s">
        <v>201</v>
      </c>
      <c r="CD956" t="s">
        <v>202</v>
      </c>
      <c r="CE956" t="s">
        <v>12887</v>
      </c>
      <c r="CF956" t="s">
        <v>1029</v>
      </c>
      <c r="CG956" t="s">
        <v>177</v>
      </c>
      <c r="CH956" t="s">
        <v>1030</v>
      </c>
      <c r="CI956" t="s">
        <v>12888</v>
      </c>
      <c r="CJ956" t="s">
        <v>6118</v>
      </c>
      <c r="CK956" t="s">
        <v>292</v>
      </c>
      <c r="CL956" t="s">
        <v>293</v>
      </c>
      <c r="CM956" t="s">
        <v>12889</v>
      </c>
      <c r="CN956" t="s">
        <v>333</v>
      </c>
      <c r="CO956" t="s">
        <v>183</v>
      </c>
      <c r="CP956" t="s">
        <v>211</v>
      </c>
      <c r="CQ956" t="s">
        <v>264</v>
      </c>
      <c r="CS956" t="s">
        <v>12890</v>
      </c>
      <c r="DC956" t="s">
        <v>198</v>
      </c>
      <c r="DM956" t="s">
        <v>198</v>
      </c>
      <c r="DW956" t="s">
        <v>198</v>
      </c>
      <c r="EG956" t="s">
        <v>198</v>
      </c>
      <c r="EQ956" t="s">
        <v>198</v>
      </c>
      <c r="FA956" t="s">
        <v>198</v>
      </c>
      <c r="FK956" t="s">
        <v>198</v>
      </c>
      <c r="FU956" t="s">
        <v>198</v>
      </c>
    </row>
    <row r="957" spans="1:177">
      <c r="A957" s="1" t="str">
        <f>HYPERLINK("http://digipan.lumentumllc.com/apps/getLink/index.php?t=PropLink&amp;p=6886876","PL")</f>
        <v>PL</v>
      </c>
      <c r="B957" s="1" t="str">
        <f>HYPERLINK("http://digipan.lumentumllc.com/apps/getLink/index.php?t=TaxLink&amp;p=6886876","TL")</f>
        <v>TL</v>
      </c>
      <c r="C957" s="1" t="str">
        <f>HYPERLINK("http://digipan.lumentumllc.com/apps/getMap/index.php?p=6886876","Map")</f>
        <v>Map</v>
      </c>
      <c r="E957" t="s">
        <v>177</v>
      </c>
      <c r="F957" t="s">
        <v>178</v>
      </c>
      <c r="L957" t="s">
        <v>12891</v>
      </c>
      <c r="N957" t="s">
        <v>12891</v>
      </c>
      <c r="O957" t="s">
        <v>12891</v>
      </c>
      <c r="P957" t="s">
        <v>12892</v>
      </c>
      <c r="Q957" t="s">
        <v>12891</v>
      </c>
      <c r="V957">
        <v>1106</v>
      </c>
      <c r="W957">
        <v>4</v>
      </c>
      <c r="X957">
        <v>2017</v>
      </c>
      <c r="Y957">
        <v>2018</v>
      </c>
      <c r="Z957">
        <v>228.47</v>
      </c>
      <c r="AB957" t="s">
        <v>181</v>
      </c>
      <c r="AC957" t="s">
        <v>182</v>
      </c>
      <c r="AD957" t="s">
        <v>183</v>
      </c>
      <c r="AE957">
        <v>0</v>
      </c>
      <c r="AF957">
        <v>1</v>
      </c>
      <c r="AG957" t="s">
        <v>821</v>
      </c>
      <c r="AH957">
        <v>100</v>
      </c>
      <c r="AK957">
        <v>0</v>
      </c>
      <c r="AL957">
        <v>12000</v>
      </c>
      <c r="AM957">
        <v>12000</v>
      </c>
      <c r="AN957">
        <v>0</v>
      </c>
      <c r="AO957">
        <v>229</v>
      </c>
      <c r="AP957">
        <v>2016</v>
      </c>
      <c r="AQ957">
        <v>1.9</v>
      </c>
      <c r="AS957" t="s">
        <v>12845</v>
      </c>
      <c r="AT957" t="s">
        <v>3747</v>
      </c>
      <c r="AU957" t="s">
        <v>177</v>
      </c>
      <c r="AV957" t="s">
        <v>1030</v>
      </c>
      <c r="AW957" t="s">
        <v>182</v>
      </c>
      <c r="AX957">
        <v>0</v>
      </c>
      <c r="AY957" t="s">
        <v>312</v>
      </c>
      <c r="AZ957" t="s">
        <v>199</v>
      </c>
      <c r="BA957" t="s">
        <v>313</v>
      </c>
      <c r="BB957" t="s">
        <v>191</v>
      </c>
      <c r="BC957" t="s">
        <v>182</v>
      </c>
      <c r="BD957" t="s">
        <v>182</v>
      </c>
      <c r="BE957" t="s">
        <v>365</v>
      </c>
      <c r="BF957">
        <v>0</v>
      </c>
      <c r="BG957">
        <v>0</v>
      </c>
      <c r="BH957">
        <v>0</v>
      </c>
      <c r="BI957" t="s">
        <v>199</v>
      </c>
      <c r="BJ957" t="s">
        <v>315</v>
      </c>
      <c r="BL957" t="s">
        <v>199</v>
      </c>
      <c r="BM957" t="s">
        <v>1474</v>
      </c>
      <c r="BN957" t="s">
        <v>182</v>
      </c>
      <c r="BO957" t="s">
        <v>198</v>
      </c>
      <c r="BP957" t="s">
        <v>198</v>
      </c>
      <c r="BQ957" t="s">
        <v>198</v>
      </c>
      <c r="BR957" t="s">
        <v>198</v>
      </c>
      <c r="BS957" t="s">
        <v>198</v>
      </c>
      <c r="BT957" t="s">
        <v>198</v>
      </c>
      <c r="BU957" t="s">
        <v>182</v>
      </c>
      <c r="BV957" t="s">
        <v>198</v>
      </c>
      <c r="BW957" t="s">
        <v>198</v>
      </c>
      <c r="BX957" t="s">
        <v>199</v>
      </c>
      <c r="BY957" t="s">
        <v>198</v>
      </c>
      <c r="BZ957" t="s">
        <v>199</v>
      </c>
      <c r="CA957" t="s">
        <v>199</v>
      </c>
      <c r="CB957" t="s">
        <v>12893</v>
      </c>
      <c r="CC957" t="s">
        <v>201</v>
      </c>
      <c r="CD957" t="s">
        <v>202</v>
      </c>
      <c r="CE957" t="s">
        <v>12894</v>
      </c>
      <c r="CF957" t="s">
        <v>1029</v>
      </c>
      <c r="CG957" t="s">
        <v>177</v>
      </c>
      <c r="CH957" t="s">
        <v>1030</v>
      </c>
      <c r="CI957" t="s">
        <v>12895</v>
      </c>
      <c r="CJ957" t="s">
        <v>12896</v>
      </c>
      <c r="CK957" t="s">
        <v>267</v>
      </c>
      <c r="CL957" t="s">
        <v>268</v>
      </c>
      <c r="CM957" t="s">
        <v>3821</v>
      </c>
      <c r="CN957" t="s">
        <v>1164</v>
      </c>
      <c r="CO957" t="s">
        <v>183</v>
      </c>
      <c r="CP957" t="s">
        <v>211</v>
      </c>
      <c r="CQ957" t="s">
        <v>329</v>
      </c>
      <c r="CS957" t="s">
        <v>9411</v>
      </c>
      <c r="DC957" t="s">
        <v>198</v>
      </c>
      <c r="DM957" t="s">
        <v>198</v>
      </c>
      <c r="DW957" t="s">
        <v>198</v>
      </c>
      <c r="EG957" t="s">
        <v>198</v>
      </c>
      <c r="EQ957" t="s">
        <v>198</v>
      </c>
      <c r="FA957" t="s">
        <v>198</v>
      </c>
      <c r="FK957" t="s">
        <v>198</v>
      </c>
      <c r="FU957" t="s">
        <v>198</v>
      </c>
    </row>
    <row r="958" spans="1:177">
      <c r="A958" s="1" t="str">
        <f>HYPERLINK("http://digipan.lumentumllc.com/apps/getLink/index.php?t=PropLink&amp;p=5248560","PL")</f>
        <v>PL</v>
      </c>
      <c r="B958" s="1" t="str">
        <f>HYPERLINK("http://digipan.lumentumllc.com/apps/getLink/index.php?t=TaxLink&amp;p=5248560","TL")</f>
        <v>TL</v>
      </c>
      <c r="C958" s="1" t="str">
        <f>HYPERLINK("http://digipan.lumentumllc.com/apps/getMap/index.php?p=5248560","Map")</f>
        <v>Map</v>
      </c>
      <c r="E958" t="s">
        <v>177</v>
      </c>
      <c r="F958" t="s">
        <v>178</v>
      </c>
      <c r="L958" t="s">
        <v>12897</v>
      </c>
      <c r="N958" t="s">
        <v>12897</v>
      </c>
      <c r="O958" t="s">
        <v>12897</v>
      </c>
      <c r="P958" t="s">
        <v>12898</v>
      </c>
      <c r="Q958" t="s">
        <v>12897</v>
      </c>
      <c r="V958">
        <v>1107</v>
      </c>
      <c r="W958">
        <v>4</v>
      </c>
      <c r="X958">
        <v>2017</v>
      </c>
      <c r="Y958">
        <v>2018</v>
      </c>
      <c r="Z958">
        <v>260.95999999999998</v>
      </c>
      <c r="AB958" t="s">
        <v>181</v>
      </c>
      <c r="AC958" t="s">
        <v>182</v>
      </c>
      <c r="AD958" t="s">
        <v>183</v>
      </c>
      <c r="AE958">
        <v>7</v>
      </c>
      <c r="AF958">
        <v>0</v>
      </c>
      <c r="AG958" t="s">
        <v>1038</v>
      </c>
      <c r="AH958">
        <v>0</v>
      </c>
      <c r="AI958">
        <v>1683.53</v>
      </c>
      <c r="AJ958">
        <v>1079.8</v>
      </c>
      <c r="AK958">
        <v>2763.33</v>
      </c>
      <c r="AL958">
        <v>15000</v>
      </c>
      <c r="AM958">
        <v>15000</v>
      </c>
      <c r="AN958">
        <v>0</v>
      </c>
      <c r="AO958">
        <v>184</v>
      </c>
      <c r="AP958">
        <v>2016</v>
      </c>
      <c r="AQ958">
        <v>1.74</v>
      </c>
      <c r="AR958">
        <v>18.420000000000002</v>
      </c>
      <c r="AS958" t="s">
        <v>12845</v>
      </c>
      <c r="AT958" t="s">
        <v>3747</v>
      </c>
      <c r="AU958" t="s">
        <v>177</v>
      </c>
      <c r="AV958" t="s">
        <v>1030</v>
      </c>
      <c r="AW958" t="s">
        <v>182</v>
      </c>
      <c r="AX958">
        <v>0</v>
      </c>
      <c r="AY958" t="s">
        <v>312</v>
      </c>
      <c r="AZ958" t="s">
        <v>199</v>
      </c>
      <c r="BA958" t="s">
        <v>313</v>
      </c>
      <c r="BB958" t="s">
        <v>191</v>
      </c>
      <c r="BC958" t="s">
        <v>182</v>
      </c>
      <c r="BD958" t="s">
        <v>182</v>
      </c>
      <c r="BE958" t="s">
        <v>383</v>
      </c>
      <c r="BF958">
        <v>0</v>
      </c>
      <c r="BG958">
        <v>0</v>
      </c>
      <c r="BH958">
        <v>0</v>
      </c>
      <c r="BI958" t="s">
        <v>199</v>
      </c>
      <c r="BJ958" t="s">
        <v>315</v>
      </c>
      <c r="BL958" t="s">
        <v>199</v>
      </c>
      <c r="BM958" t="s">
        <v>358</v>
      </c>
      <c r="BN958" t="s">
        <v>182</v>
      </c>
      <c r="BO958" t="s">
        <v>198</v>
      </c>
      <c r="BP958" t="s">
        <v>198</v>
      </c>
      <c r="BQ958" t="s">
        <v>198</v>
      </c>
      <c r="BR958" t="s">
        <v>198</v>
      </c>
      <c r="BS958" t="s">
        <v>198</v>
      </c>
      <c r="BT958" t="s">
        <v>198</v>
      </c>
      <c r="BU958" t="s">
        <v>182</v>
      </c>
      <c r="BV958" t="s">
        <v>198</v>
      </c>
      <c r="BW958" t="s">
        <v>198</v>
      </c>
      <c r="BX958" t="s">
        <v>199</v>
      </c>
      <c r="BY958" t="s">
        <v>198</v>
      </c>
      <c r="BZ958" t="s">
        <v>199</v>
      </c>
      <c r="CA958" t="s">
        <v>199</v>
      </c>
      <c r="CB958" t="s">
        <v>12899</v>
      </c>
      <c r="CC958" t="s">
        <v>201</v>
      </c>
      <c r="CD958" t="s">
        <v>182</v>
      </c>
      <c r="CE958" t="s">
        <v>12900</v>
      </c>
      <c r="CF958" t="s">
        <v>12901</v>
      </c>
      <c r="CG958" t="s">
        <v>9098</v>
      </c>
      <c r="CH958" t="s">
        <v>12902</v>
      </c>
      <c r="CI958" t="s">
        <v>12903</v>
      </c>
      <c r="CJ958" t="s">
        <v>11703</v>
      </c>
      <c r="CK958" t="s">
        <v>232</v>
      </c>
      <c r="CL958" t="s">
        <v>233</v>
      </c>
      <c r="CM958" t="s">
        <v>1195</v>
      </c>
      <c r="CN958" t="s">
        <v>482</v>
      </c>
      <c r="CO958" t="s">
        <v>183</v>
      </c>
      <c r="CP958" t="s">
        <v>266</v>
      </c>
      <c r="CS958" t="s">
        <v>198</v>
      </c>
      <c r="CT958" t="s">
        <v>11765</v>
      </c>
      <c r="CU958" t="s">
        <v>292</v>
      </c>
      <c r="CV958" t="s">
        <v>293</v>
      </c>
      <c r="CW958" t="s">
        <v>9490</v>
      </c>
      <c r="CX958" t="s">
        <v>482</v>
      </c>
      <c r="CY958" t="s">
        <v>183</v>
      </c>
      <c r="CZ958" t="s">
        <v>266</v>
      </c>
      <c r="DC958" t="s">
        <v>198</v>
      </c>
      <c r="DD958" t="s">
        <v>6543</v>
      </c>
      <c r="DE958" t="s">
        <v>267</v>
      </c>
      <c r="DF958" t="s">
        <v>268</v>
      </c>
      <c r="DG958" t="s">
        <v>9491</v>
      </c>
      <c r="DH958" t="s">
        <v>482</v>
      </c>
      <c r="DI958" t="s">
        <v>183</v>
      </c>
      <c r="DJ958" t="s">
        <v>266</v>
      </c>
      <c r="DM958" t="s">
        <v>198</v>
      </c>
      <c r="DN958" t="s">
        <v>12571</v>
      </c>
      <c r="DO958" t="s">
        <v>273</v>
      </c>
      <c r="DP958" t="s">
        <v>274</v>
      </c>
      <c r="DQ958" t="s">
        <v>8692</v>
      </c>
      <c r="DR958" t="s">
        <v>4595</v>
      </c>
      <c r="DS958" t="s">
        <v>183</v>
      </c>
      <c r="DT958" t="s">
        <v>266</v>
      </c>
      <c r="DW958" t="s">
        <v>198</v>
      </c>
      <c r="DX958" t="s">
        <v>11745</v>
      </c>
      <c r="DY958" t="s">
        <v>302</v>
      </c>
      <c r="DZ958" t="s">
        <v>303</v>
      </c>
      <c r="EA958" t="s">
        <v>10339</v>
      </c>
      <c r="EB958" t="s">
        <v>1052</v>
      </c>
      <c r="EC958" t="s">
        <v>183</v>
      </c>
      <c r="ED958" t="s">
        <v>266</v>
      </c>
      <c r="EG958" t="s">
        <v>198</v>
      </c>
      <c r="EH958" t="s">
        <v>12904</v>
      </c>
      <c r="EI958" t="s">
        <v>238</v>
      </c>
      <c r="EJ958" t="s">
        <v>239</v>
      </c>
      <c r="EK958" t="s">
        <v>4598</v>
      </c>
      <c r="EL958" t="s">
        <v>482</v>
      </c>
      <c r="EM958" t="s">
        <v>183</v>
      </c>
      <c r="EN958" t="s">
        <v>266</v>
      </c>
      <c r="EQ958" t="s">
        <v>198</v>
      </c>
      <c r="ER958" t="s">
        <v>12905</v>
      </c>
      <c r="ES958" t="s">
        <v>346</v>
      </c>
      <c r="ET958" t="s">
        <v>347</v>
      </c>
      <c r="EU958" t="s">
        <v>1075</v>
      </c>
      <c r="EV958" t="s">
        <v>576</v>
      </c>
      <c r="EW958" t="s">
        <v>183</v>
      </c>
      <c r="EX958" t="s">
        <v>266</v>
      </c>
      <c r="FA958" t="s">
        <v>198</v>
      </c>
      <c r="FK958" t="s">
        <v>198</v>
      </c>
      <c r="FU958" t="s">
        <v>198</v>
      </c>
    </row>
    <row r="959" spans="1:177">
      <c r="A959" s="1" t="str">
        <f>HYPERLINK("http://digipan.lumentumllc.com/apps/getLink/index.php?t=PropLink&amp;p=15763839","PL")</f>
        <v>PL</v>
      </c>
      <c r="B959" s="1" t="str">
        <f>HYPERLINK("http://digipan.lumentumllc.com/apps/getLink/index.php?t=TaxLink&amp;p=15763839","TL")</f>
        <v>TL</v>
      </c>
      <c r="C959" s="1" t="str">
        <f>HYPERLINK("http://digipan.lumentumllc.com/apps/getMap/index.php?p=15763839","Map")</f>
        <v>Map</v>
      </c>
      <c r="E959" t="s">
        <v>177</v>
      </c>
      <c r="F959" t="s">
        <v>178</v>
      </c>
      <c r="L959" t="s">
        <v>12906</v>
      </c>
      <c r="N959" t="s">
        <v>12906</v>
      </c>
      <c r="O959" t="s">
        <v>12906</v>
      </c>
      <c r="Q959" t="s">
        <v>12906</v>
      </c>
      <c r="V959">
        <v>1108</v>
      </c>
      <c r="W959">
        <v>4</v>
      </c>
      <c r="X959">
        <v>2017</v>
      </c>
      <c r="Y959">
        <v>2018</v>
      </c>
      <c r="Z959">
        <v>262.24</v>
      </c>
      <c r="AG959" t="s">
        <v>184</v>
      </c>
      <c r="AH959">
        <v>0</v>
      </c>
      <c r="AK959">
        <v>0</v>
      </c>
      <c r="AL959">
        <v>14062</v>
      </c>
      <c r="AM959">
        <v>14062</v>
      </c>
      <c r="AN959">
        <v>0</v>
      </c>
      <c r="AO959">
        <v>138</v>
      </c>
      <c r="AP959">
        <v>2016</v>
      </c>
      <c r="AQ959">
        <v>1.86</v>
      </c>
      <c r="AS959" t="s">
        <v>12845</v>
      </c>
      <c r="AT959" t="s">
        <v>3747</v>
      </c>
      <c r="AU959" t="s">
        <v>177</v>
      </c>
      <c r="AV959" t="s">
        <v>1030</v>
      </c>
      <c r="AW959" t="s">
        <v>182</v>
      </c>
      <c r="AX959">
        <v>0</v>
      </c>
      <c r="AY959" t="s">
        <v>312</v>
      </c>
      <c r="AZ959" t="s">
        <v>199</v>
      </c>
      <c r="BA959" t="s">
        <v>313</v>
      </c>
      <c r="BB959" t="s">
        <v>191</v>
      </c>
      <c r="BC959" t="s">
        <v>182</v>
      </c>
      <c r="BD959" t="s">
        <v>182</v>
      </c>
      <c r="BE959" t="s">
        <v>7278</v>
      </c>
      <c r="BF959">
        <v>0</v>
      </c>
      <c r="BG959">
        <v>0</v>
      </c>
      <c r="BH959">
        <v>0</v>
      </c>
      <c r="BI959" t="s">
        <v>199</v>
      </c>
      <c r="BJ959" t="s">
        <v>315</v>
      </c>
      <c r="BL959" t="s">
        <v>1144</v>
      </c>
      <c r="BM959" t="s">
        <v>232</v>
      </c>
      <c r="BN959" t="s">
        <v>182</v>
      </c>
      <c r="BO959" t="s">
        <v>198</v>
      </c>
      <c r="BP959" t="s">
        <v>198</v>
      </c>
      <c r="BQ959" t="s">
        <v>198</v>
      </c>
      <c r="BR959" t="s">
        <v>198</v>
      </c>
      <c r="BS959" t="s">
        <v>198</v>
      </c>
      <c r="BT959" t="s">
        <v>198</v>
      </c>
      <c r="BU959" t="s">
        <v>182</v>
      </c>
      <c r="BV959" t="s">
        <v>198</v>
      </c>
      <c r="BW959" t="s">
        <v>198</v>
      </c>
      <c r="BX959" t="s">
        <v>199</v>
      </c>
      <c r="BY959" t="s">
        <v>198</v>
      </c>
      <c r="BZ959" t="s">
        <v>199</v>
      </c>
      <c r="CA959" t="s">
        <v>199</v>
      </c>
      <c r="CB959" t="s">
        <v>12907</v>
      </c>
      <c r="CC959" t="s">
        <v>201</v>
      </c>
      <c r="CD959" t="s">
        <v>202</v>
      </c>
      <c r="CE959" t="s">
        <v>12908</v>
      </c>
      <c r="CF959" t="s">
        <v>2333</v>
      </c>
      <c r="CG959" t="s">
        <v>177</v>
      </c>
      <c r="CH959" t="s">
        <v>2334</v>
      </c>
      <c r="CI959" t="s">
        <v>12909</v>
      </c>
      <c r="CS959" t="s">
        <v>198</v>
      </c>
      <c r="DC959" t="s">
        <v>198</v>
      </c>
      <c r="DM959" t="s">
        <v>198</v>
      </c>
      <c r="DW959" t="s">
        <v>198</v>
      </c>
      <c r="EG959" t="s">
        <v>198</v>
      </c>
      <c r="EQ959" t="s">
        <v>198</v>
      </c>
      <c r="FA959" t="s">
        <v>198</v>
      </c>
      <c r="FK959" t="s">
        <v>198</v>
      </c>
      <c r="FU959" t="s">
        <v>198</v>
      </c>
    </row>
    <row r="960" spans="1:177">
      <c r="A960" s="1" t="str">
        <f>HYPERLINK("http://digipan.lumentumllc.com/apps/getLink/index.php?t=PropLink&amp;p=15763841","PL")</f>
        <v>PL</v>
      </c>
      <c r="B960" s="1" t="str">
        <f>HYPERLINK("http://digipan.lumentumllc.com/apps/getLink/index.php?t=TaxLink&amp;p=15763841","TL")</f>
        <v>TL</v>
      </c>
      <c r="C960" s="1" t="str">
        <f>HYPERLINK("http://digipan.lumentumllc.com/apps/getMap/index.php?p=15763841","Map")</f>
        <v>Map</v>
      </c>
      <c r="E960" t="s">
        <v>177</v>
      </c>
      <c r="F960" t="s">
        <v>178</v>
      </c>
      <c r="L960" t="s">
        <v>12910</v>
      </c>
      <c r="N960" t="s">
        <v>12910</v>
      </c>
      <c r="O960" t="s">
        <v>12910</v>
      </c>
      <c r="Q960" t="s">
        <v>12910</v>
      </c>
      <c r="V960">
        <v>1109</v>
      </c>
      <c r="W960">
        <v>4</v>
      </c>
      <c r="X960">
        <v>2017</v>
      </c>
      <c r="Y960">
        <v>2018</v>
      </c>
      <c r="Z960">
        <v>1110.3800000000001</v>
      </c>
      <c r="AB960" t="s">
        <v>181</v>
      </c>
      <c r="AC960" t="s">
        <v>182</v>
      </c>
      <c r="AD960" t="s">
        <v>183</v>
      </c>
      <c r="AE960">
        <v>0</v>
      </c>
      <c r="AF960">
        <v>1</v>
      </c>
      <c r="AG960" t="s">
        <v>184</v>
      </c>
      <c r="AH960">
        <v>0</v>
      </c>
      <c r="AK960">
        <v>0</v>
      </c>
      <c r="AL960">
        <v>60420</v>
      </c>
      <c r="AM960">
        <v>60420</v>
      </c>
      <c r="AN960">
        <v>0</v>
      </c>
      <c r="AO960">
        <v>928</v>
      </c>
      <c r="AP960">
        <v>2016</v>
      </c>
      <c r="AQ960">
        <v>1.84</v>
      </c>
      <c r="AS960" t="s">
        <v>12845</v>
      </c>
      <c r="AT960" t="s">
        <v>3747</v>
      </c>
      <c r="AU960" t="s">
        <v>177</v>
      </c>
      <c r="AV960" t="s">
        <v>1030</v>
      </c>
      <c r="AW960" t="s">
        <v>182</v>
      </c>
      <c r="AX960">
        <v>0</v>
      </c>
      <c r="AY960" t="s">
        <v>312</v>
      </c>
      <c r="AZ960" t="s">
        <v>199</v>
      </c>
      <c r="BA960" t="s">
        <v>313</v>
      </c>
      <c r="BB960" t="s">
        <v>191</v>
      </c>
      <c r="BC960" t="s">
        <v>182</v>
      </c>
      <c r="BD960" t="s">
        <v>182</v>
      </c>
      <c r="BE960" t="s">
        <v>12911</v>
      </c>
      <c r="BF960">
        <v>0</v>
      </c>
      <c r="BG960">
        <v>0</v>
      </c>
      <c r="BH960">
        <v>0</v>
      </c>
      <c r="BI960" t="s">
        <v>199</v>
      </c>
      <c r="BJ960" t="s">
        <v>315</v>
      </c>
      <c r="BL960" t="s">
        <v>2801</v>
      </c>
      <c r="BM960" t="s">
        <v>273</v>
      </c>
      <c r="BN960" t="s">
        <v>182</v>
      </c>
      <c r="BO960" t="s">
        <v>12912</v>
      </c>
      <c r="BP960" t="s">
        <v>4714</v>
      </c>
      <c r="BQ960" t="s">
        <v>603</v>
      </c>
      <c r="BR960" t="s">
        <v>3108</v>
      </c>
      <c r="BS960" t="s">
        <v>198</v>
      </c>
      <c r="BT960" t="s">
        <v>12913</v>
      </c>
      <c r="BU960" t="s">
        <v>182</v>
      </c>
      <c r="BV960" t="s">
        <v>198</v>
      </c>
      <c r="BW960" t="s">
        <v>198</v>
      </c>
      <c r="BX960" t="s">
        <v>199</v>
      </c>
      <c r="BY960" t="s">
        <v>198</v>
      </c>
      <c r="BZ960" t="s">
        <v>199</v>
      </c>
      <c r="CA960" t="s">
        <v>199</v>
      </c>
      <c r="CB960" t="s">
        <v>12914</v>
      </c>
      <c r="CC960" t="s">
        <v>201</v>
      </c>
      <c r="CD960" t="s">
        <v>182</v>
      </c>
      <c r="CE960" t="s">
        <v>12915</v>
      </c>
      <c r="CF960" t="s">
        <v>413</v>
      </c>
      <c r="CG960" t="s">
        <v>177</v>
      </c>
      <c r="CH960" t="s">
        <v>6095</v>
      </c>
      <c r="CI960" t="s">
        <v>12774</v>
      </c>
      <c r="CJ960" t="s">
        <v>12706</v>
      </c>
      <c r="CK960" t="s">
        <v>207</v>
      </c>
      <c r="CL960" t="s">
        <v>208</v>
      </c>
      <c r="CM960" t="s">
        <v>12916</v>
      </c>
      <c r="CN960" t="s">
        <v>341</v>
      </c>
      <c r="CO960" t="s">
        <v>183</v>
      </c>
      <c r="CP960" t="s">
        <v>211</v>
      </c>
      <c r="CQ960" t="s">
        <v>199</v>
      </c>
      <c r="CS960" t="s">
        <v>12917</v>
      </c>
      <c r="DC960" t="s">
        <v>198</v>
      </c>
      <c r="DM960" t="s">
        <v>198</v>
      </c>
      <c r="DW960" t="s">
        <v>198</v>
      </c>
      <c r="EG960" t="s">
        <v>198</v>
      </c>
      <c r="EQ960" t="s">
        <v>198</v>
      </c>
      <c r="FA960" t="s">
        <v>198</v>
      </c>
      <c r="FK960" t="s">
        <v>198</v>
      </c>
      <c r="FU960" t="s">
        <v>198</v>
      </c>
    </row>
    <row r="961" spans="1:177">
      <c r="A961" s="1" t="str">
        <f>HYPERLINK("http://digipan.lumentumllc.com/apps/getLink/index.php?t=PropLink&amp;p=5248562","PL")</f>
        <v>PL</v>
      </c>
      <c r="B961" s="1" t="str">
        <f>HYPERLINK("http://digipan.lumentumllc.com/apps/getLink/index.php?t=TaxLink&amp;p=5248562","TL")</f>
        <v>TL</v>
      </c>
      <c r="C961" s="1" t="str">
        <f>HYPERLINK("http://digipan.lumentumllc.com/apps/getMap/index.php?p=5248562","Map")</f>
        <v>Map</v>
      </c>
      <c r="E961" t="s">
        <v>177</v>
      </c>
      <c r="F961" t="s">
        <v>178</v>
      </c>
      <c r="L961" t="s">
        <v>12918</v>
      </c>
      <c r="N961" t="s">
        <v>12918</v>
      </c>
      <c r="O961" t="s">
        <v>12918</v>
      </c>
      <c r="P961" t="s">
        <v>12919</v>
      </c>
      <c r="Q961" t="s">
        <v>12918</v>
      </c>
      <c r="V961">
        <v>1110</v>
      </c>
      <c r="W961">
        <v>4</v>
      </c>
      <c r="X961">
        <v>2017</v>
      </c>
      <c r="Y961">
        <v>2018</v>
      </c>
      <c r="Z961">
        <v>123.58</v>
      </c>
      <c r="AB961" t="s">
        <v>181</v>
      </c>
      <c r="AC961" t="s">
        <v>182</v>
      </c>
      <c r="AD961" t="s">
        <v>183</v>
      </c>
      <c r="AE961">
        <v>0</v>
      </c>
      <c r="AF961">
        <v>6</v>
      </c>
      <c r="AG961" t="s">
        <v>3266</v>
      </c>
      <c r="AH961">
        <v>100</v>
      </c>
      <c r="AK961">
        <v>0</v>
      </c>
      <c r="AL961">
        <v>6000</v>
      </c>
      <c r="AM961">
        <v>6000</v>
      </c>
      <c r="AN961">
        <v>0</v>
      </c>
      <c r="AO961">
        <v>74</v>
      </c>
      <c r="AP961">
        <v>2016</v>
      </c>
      <c r="AQ961">
        <v>2.06</v>
      </c>
      <c r="AS961" t="s">
        <v>12845</v>
      </c>
      <c r="AT961" t="s">
        <v>3747</v>
      </c>
      <c r="AU961" t="s">
        <v>177</v>
      </c>
      <c r="AV961" t="s">
        <v>1030</v>
      </c>
      <c r="AW961" t="s">
        <v>182</v>
      </c>
      <c r="AX961">
        <v>0</v>
      </c>
      <c r="AY961" t="s">
        <v>312</v>
      </c>
      <c r="AZ961" t="s">
        <v>199</v>
      </c>
      <c r="BA961" t="s">
        <v>313</v>
      </c>
      <c r="BB961" t="s">
        <v>191</v>
      </c>
      <c r="BC961" t="s">
        <v>182</v>
      </c>
      <c r="BD961" t="s">
        <v>182</v>
      </c>
      <c r="BE961" t="s">
        <v>383</v>
      </c>
      <c r="BF961">
        <v>0</v>
      </c>
      <c r="BG961">
        <v>0</v>
      </c>
      <c r="BH961">
        <v>0</v>
      </c>
      <c r="BI961" t="s">
        <v>199</v>
      </c>
      <c r="BJ961" t="s">
        <v>315</v>
      </c>
      <c r="BL961" t="s">
        <v>358</v>
      </c>
      <c r="BM961" t="s">
        <v>286</v>
      </c>
      <c r="BN961" t="s">
        <v>182</v>
      </c>
      <c r="BO961" t="s">
        <v>198</v>
      </c>
      <c r="BP961" t="s">
        <v>198</v>
      </c>
      <c r="BQ961" t="s">
        <v>198</v>
      </c>
      <c r="BR961" t="s">
        <v>198</v>
      </c>
      <c r="BS961" t="s">
        <v>198</v>
      </c>
      <c r="BT961" t="s">
        <v>198</v>
      </c>
      <c r="BU961" t="s">
        <v>182</v>
      </c>
      <c r="BV961" t="s">
        <v>198</v>
      </c>
      <c r="BW961" t="s">
        <v>198</v>
      </c>
      <c r="BX961" t="s">
        <v>199</v>
      </c>
      <c r="BY961" t="s">
        <v>198</v>
      </c>
      <c r="BZ961" t="s">
        <v>199</v>
      </c>
      <c r="CA961" t="s">
        <v>199</v>
      </c>
      <c r="CB961" t="s">
        <v>4203</v>
      </c>
      <c r="CC961" t="s">
        <v>201</v>
      </c>
      <c r="CD961" t="s">
        <v>182</v>
      </c>
      <c r="CE961" t="s">
        <v>4213</v>
      </c>
      <c r="CF961" t="s">
        <v>1029</v>
      </c>
      <c r="CG961" t="s">
        <v>177</v>
      </c>
      <c r="CH961" t="s">
        <v>1030</v>
      </c>
      <c r="CI961" t="s">
        <v>12920</v>
      </c>
      <c r="CJ961" t="s">
        <v>9372</v>
      </c>
      <c r="CK961" t="s">
        <v>292</v>
      </c>
      <c r="CL961" t="s">
        <v>293</v>
      </c>
      <c r="CM961" t="s">
        <v>12921</v>
      </c>
      <c r="CN961" t="s">
        <v>482</v>
      </c>
      <c r="CO961" t="s">
        <v>183</v>
      </c>
      <c r="CP961" t="s">
        <v>211</v>
      </c>
      <c r="CQ961" t="s">
        <v>329</v>
      </c>
      <c r="CS961" t="s">
        <v>7501</v>
      </c>
      <c r="CT961" t="s">
        <v>6601</v>
      </c>
      <c r="CU961" t="s">
        <v>267</v>
      </c>
      <c r="CV961" t="s">
        <v>268</v>
      </c>
      <c r="CW961" t="s">
        <v>12922</v>
      </c>
      <c r="CX961" t="s">
        <v>482</v>
      </c>
      <c r="CY961" t="s">
        <v>183</v>
      </c>
      <c r="CZ961" t="s">
        <v>211</v>
      </c>
      <c r="DA961" t="s">
        <v>298</v>
      </c>
      <c r="DC961" t="s">
        <v>7501</v>
      </c>
      <c r="DD961" t="s">
        <v>12923</v>
      </c>
      <c r="DE961" t="s">
        <v>302</v>
      </c>
      <c r="DF961" t="s">
        <v>303</v>
      </c>
      <c r="DG961" t="s">
        <v>12860</v>
      </c>
      <c r="DH961" t="s">
        <v>1052</v>
      </c>
      <c r="DI961" t="s">
        <v>183</v>
      </c>
      <c r="DJ961" t="s">
        <v>211</v>
      </c>
      <c r="DK961" t="s">
        <v>342</v>
      </c>
      <c r="DM961" t="s">
        <v>3657</v>
      </c>
      <c r="DN961" t="s">
        <v>12924</v>
      </c>
      <c r="DO961" t="s">
        <v>238</v>
      </c>
      <c r="DP961" t="s">
        <v>239</v>
      </c>
      <c r="DQ961" t="s">
        <v>12861</v>
      </c>
      <c r="DR961" t="s">
        <v>482</v>
      </c>
      <c r="DS961" t="s">
        <v>183</v>
      </c>
      <c r="DT961" t="s">
        <v>211</v>
      </c>
      <c r="DU961" t="s">
        <v>345</v>
      </c>
      <c r="DW961" t="s">
        <v>3657</v>
      </c>
      <c r="DX961" t="s">
        <v>8946</v>
      </c>
      <c r="DY961" t="s">
        <v>346</v>
      </c>
      <c r="DZ961" t="s">
        <v>347</v>
      </c>
      <c r="EA961" t="s">
        <v>12862</v>
      </c>
      <c r="EB961" t="s">
        <v>254</v>
      </c>
      <c r="EC961" t="s">
        <v>183</v>
      </c>
      <c r="ED961" t="s">
        <v>211</v>
      </c>
      <c r="EE961" t="s">
        <v>865</v>
      </c>
      <c r="EG961" t="s">
        <v>3657</v>
      </c>
      <c r="EH961" t="s">
        <v>10312</v>
      </c>
      <c r="EI961" t="s">
        <v>207</v>
      </c>
      <c r="EJ961" t="s">
        <v>208</v>
      </c>
      <c r="EK961" t="s">
        <v>12864</v>
      </c>
      <c r="EL961" t="s">
        <v>576</v>
      </c>
      <c r="EM961" t="s">
        <v>183</v>
      </c>
      <c r="EN961" t="s">
        <v>211</v>
      </c>
      <c r="EO961" t="s">
        <v>1085</v>
      </c>
      <c r="EQ961" t="s">
        <v>3657</v>
      </c>
      <c r="FA961" t="s">
        <v>198</v>
      </c>
      <c r="FK961" t="s">
        <v>198</v>
      </c>
      <c r="FU961" t="s">
        <v>198</v>
      </c>
    </row>
    <row r="962" spans="1:177">
      <c r="A962" s="1" t="str">
        <f>HYPERLINK("http://digipan.lumentumllc.com/apps/getLink/index.php?t=PropLink&amp;p=6594420","PL")</f>
        <v>PL</v>
      </c>
      <c r="B962" s="1" t="str">
        <f>HYPERLINK("http://digipan.lumentumllc.com/apps/getLink/index.php?t=TaxLink&amp;p=6594420","TL")</f>
        <v>TL</v>
      </c>
      <c r="C962" s="1" t="str">
        <f>HYPERLINK("http://digipan.lumentumllc.com/apps/getMap/index.php?p=6594420","Map")</f>
        <v>Map</v>
      </c>
      <c r="E962" t="s">
        <v>177</v>
      </c>
      <c r="F962" t="s">
        <v>178</v>
      </c>
      <c r="L962" t="s">
        <v>12925</v>
      </c>
      <c r="N962" t="s">
        <v>12925</v>
      </c>
      <c r="O962" t="s">
        <v>12925</v>
      </c>
      <c r="P962" t="s">
        <v>12926</v>
      </c>
      <c r="Q962" t="s">
        <v>12925</v>
      </c>
      <c r="V962">
        <v>1111</v>
      </c>
      <c r="W962">
        <v>4</v>
      </c>
      <c r="X962">
        <v>2017</v>
      </c>
      <c r="Y962">
        <v>2018</v>
      </c>
      <c r="Z962">
        <v>179.35</v>
      </c>
      <c r="AB962" t="s">
        <v>181</v>
      </c>
      <c r="AC962" t="s">
        <v>182</v>
      </c>
      <c r="AD962" t="s">
        <v>183</v>
      </c>
      <c r="AE962">
        <v>0</v>
      </c>
      <c r="AF962">
        <v>2</v>
      </c>
      <c r="AG962" t="s">
        <v>216</v>
      </c>
      <c r="AH962">
        <v>100</v>
      </c>
      <c r="AK962">
        <v>0</v>
      </c>
      <c r="AL962">
        <v>9000</v>
      </c>
      <c r="AM962">
        <v>9000</v>
      </c>
      <c r="AN962">
        <v>0</v>
      </c>
      <c r="AO962">
        <v>138</v>
      </c>
      <c r="AP962">
        <v>2016</v>
      </c>
      <c r="AQ962">
        <v>1.99</v>
      </c>
      <c r="AS962" t="s">
        <v>12927</v>
      </c>
      <c r="AT962" t="s">
        <v>3747</v>
      </c>
      <c r="AU962" t="s">
        <v>177</v>
      </c>
      <c r="AV962" t="s">
        <v>1030</v>
      </c>
      <c r="AW962" t="s">
        <v>182</v>
      </c>
      <c r="AX962">
        <v>0</v>
      </c>
      <c r="AY962" t="s">
        <v>312</v>
      </c>
      <c r="AZ962" t="s">
        <v>199</v>
      </c>
      <c r="BA962" t="s">
        <v>313</v>
      </c>
      <c r="BB962" t="s">
        <v>191</v>
      </c>
      <c r="BC962" t="s">
        <v>182</v>
      </c>
      <c r="BD962" t="s">
        <v>182</v>
      </c>
      <c r="BE962" t="s">
        <v>3682</v>
      </c>
      <c r="BF962">
        <v>2</v>
      </c>
      <c r="BG962">
        <v>0</v>
      </c>
      <c r="BH962">
        <v>1986</v>
      </c>
      <c r="BI962" t="s">
        <v>199</v>
      </c>
      <c r="BJ962" t="s">
        <v>248</v>
      </c>
      <c r="BK962" t="s">
        <v>2350</v>
      </c>
      <c r="BL962" t="s">
        <v>5283</v>
      </c>
      <c r="BM962" t="s">
        <v>302</v>
      </c>
      <c r="BN962" t="s">
        <v>182</v>
      </c>
      <c r="BO962" t="s">
        <v>198</v>
      </c>
      <c r="BP962" t="s">
        <v>198</v>
      </c>
      <c r="BQ962" t="s">
        <v>198</v>
      </c>
      <c r="BR962" t="s">
        <v>198</v>
      </c>
      <c r="BS962" t="s">
        <v>198</v>
      </c>
      <c r="BT962" t="s">
        <v>198</v>
      </c>
      <c r="BU962" t="s">
        <v>182</v>
      </c>
      <c r="BV962" t="s">
        <v>198</v>
      </c>
      <c r="BW962" t="s">
        <v>198</v>
      </c>
      <c r="BX962" t="s">
        <v>199</v>
      </c>
      <c r="BY962" t="s">
        <v>198</v>
      </c>
      <c r="BZ962" t="s">
        <v>199</v>
      </c>
      <c r="CA962" t="s">
        <v>199</v>
      </c>
      <c r="CB962" t="s">
        <v>12928</v>
      </c>
      <c r="CC962" t="s">
        <v>201</v>
      </c>
      <c r="CD962" t="s">
        <v>182</v>
      </c>
      <c r="CE962" t="s">
        <v>5996</v>
      </c>
      <c r="CF962" t="s">
        <v>1029</v>
      </c>
      <c r="CG962" t="s">
        <v>177</v>
      </c>
      <c r="CH962" t="s">
        <v>1030</v>
      </c>
      <c r="CI962" t="s">
        <v>12929</v>
      </c>
      <c r="CJ962" t="s">
        <v>9508</v>
      </c>
      <c r="CK962" t="s">
        <v>232</v>
      </c>
      <c r="CL962" t="s">
        <v>233</v>
      </c>
      <c r="CM962" t="s">
        <v>12930</v>
      </c>
      <c r="CN962" t="s">
        <v>1074</v>
      </c>
      <c r="CO962" t="s">
        <v>183</v>
      </c>
      <c r="CP962" t="s">
        <v>211</v>
      </c>
      <c r="CQ962" t="s">
        <v>199</v>
      </c>
      <c r="CS962" t="s">
        <v>7467</v>
      </c>
      <c r="CT962" t="s">
        <v>1002</v>
      </c>
      <c r="CU962" t="s">
        <v>273</v>
      </c>
      <c r="CV962" t="s">
        <v>274</v>
      </c>
      <c r="CW962" t="s">
        <v>12931</v>
      </c>
      <c r="CX962" t="s">
        <v>514</v>
      </c>
      <c r="CY962" t="s">
        <v>183</v>
      </c>
      <c r="CZ962" t="s">
        <v>211</v>
      </c>
      <c r="DA962" t="s">
        <v>199</v>
      </c>
      <c r="DC962" t="s">
        <v>12932</v>
      </c>
      <c r="DM962" t="s">
        <v>198</v>
      </c>
      <c r="DW962" t="s">
        <v>198</v>
      </c>
      <c r="EG962" t="s">
        <v>198</v>
      </c>
      <c r="EQ962" t="s">
        <v>198</v>
      </c>
      <c r="FA962" t="s">
        <v>198</v>
      </c>
      <c r="FK962" t="s">
        <v>198</v>
      </c>
      <c r="FU962" t="s">
        <v>198</v>
      </c>
    </row>
    <row r="963" spans="1:177">
      <c r="A963" s="1" t="str">
        <f>HYPERLINK("http://digipan.lumentumllc.com/apps/getLink/index.php?t=PropLink&amp;p=6594421","PL")</f>
        <v>PL</v>
      </c>
      <c r="B963" s="1" t="str">
        <f>HYPERLINK("http://digipan.lumentumllc.com/apps/getLink/index.php?t=TaxLink&amp;p=6594421","TL")</f>
        <v>TL</v>
      </c>
      <c r="C963" s="1" t="str">
        <f>HYPERLINK("http://digipan.lumentumllc.com/apps/getMap/index.php?p=6594421","Map")</f>
        <v>Map</v>
      </c>
      <c r="E963" t="s">
        <v>177</v>
      </c>
      <c r="F963" t="s">
        <v>178</v>
      </c>
      <c r="L963" t="s">
        <v>12933</v>
      </c>
      <c r="N963" t="s">
        <v>12933</v>
      </c>
      <c r="O963" t="s">
        <v>12933</v>
      </c>
      <c r="P963" t="s">
        <v>12934</v>
      </c>
      <c r="Q963" t="s">
        <v>12933</v>
      </c>
      <c r="V963">
        <v>1112</v>
      </c>
      <c r="W963">
        <v>4</v>
      </c>
      <c r="X963">
        <v>2017</v>
      </c>
      <c r="Y963">
        <v>2018</v>
      </c>
      <c r="Z963">
        <v>130.22999999999999</v>
      </c>
      <c r="AB963" t="s">
        <v>181</v>
      </c>
      <c r="AC963" t="s">
        <v>182</v>
      </c>
      <c r="AD963" t="s">
        <v>183</v>
      </c>
      <c r="AE963">
        <v>0</v>
      </c>
      <c r="AF963">
        <v>2</v>
      </c>
      <c r="AG963" t="s">
        <v>216</v>
      </c>
      <c r="AH963">
        <v>100</v>
      </c>
      <c r="AK963">
        <v>0</v>
      </c>
      <c r="AL963">
        <v>6000</v>
      </c>
      <c r="AM963">
        <v>6000</v>
      </c>
      <c r="AN963">
        <v>0</v>
      </c>
      <c r="AO963">
        <v>92</v>
      </c>
      <c r="AP963">
        <v>2016</v>
      </c>
      <c r="AQ963">
        <v>2.17</v>
      </c>
      <c r="AS963" t="s">
        <v>12935</v>
      </c>
      <c r="AT963" t="s">
        <v>3747</v>
      </c>
      <c r="AU963" t="s">
        <v>177</v>
      </c>
      <c r="AV963" t="s">
        <v>1030</v>
      </c>
      <c r="AW963" t="s">
        <v>182</v>
      </c>
      <c r="AX963">
        <v>0</v>
      </c>
      <c r="AY963" t="s">
        <v>312</v>
      </c>
      <c r="AZ963" t="s">
        <v>199</v>
      </c>
      <c r="BA963" t="s">
        <v>313</v>
      </c>
      <c r="BB963" t="s">
        <v>191</v>
      </c>
      <c r="BC963" t="s">
        <v>182</v>
      </c>
      <c r="BD963" t="s">
        <v>182</v>
      </c>
      <c r="BE963" t="s">
        <v>12936</v>
      </c>
      <c r="BF963">
        <v>0</v>
      </c>
      <c r="BG963">
        <v>0</v>
      </c>
      <c r="BH963">
        <v>0</v>
      </c>
      <c r="BI963" t="s">
        <v>199</v>
      </c>
      <c r="BJ963" t="s">
        <v>248</v>
      </c>
      <c r="BL963" t="s">
        <v>797</v>
      </c>
      <c r="BM963" t="s">
        <v>346</v>
      </c>
      <c r="BN963" t="s">
        <v>182</v>
      </c>
      <c r="BO963" t="s">
        <v>198</v>
      </c>
      <c r="BP963" t="s">
        <v>198</v>
      </c>
      <c r="BQ963" t="s">
        <v>198</v>
      </c>
      <c r="BR963" t="s">
        <v>198</v>
      </c>
      <c r="BS963" t="s">
        <v>198</v>
      </c>
      <c r="BT963" t="s">
        <v>198</v>
      </c>
      <c r="BU963" t="s">
        <v>182</v>
      </c>
      <c r="BV963" t="s">
        <v>198</v>
      </c>
      <c r="BW963" t="s">
        <v>198</v>
      </c>
      <c r="BX963" t="s">
        <v>199</v>
      </c>
      <c r="BY963" t="s">
        <v>198</v>
      </c>
      <c r="BZ963" t="s">
        <v>199</v>
      </c>
      <c r="CA963" t="s">
        <v>199</v>
      </c>
      <c r="CB963" t="s">
        <v>12928</v>
      </c>
      <c r="CC963" t="s">
        <v>201</v>
      </c>
      <c r="CD963" t="s">
        <v>182</v>
      </c>
      <c r="CE963" t="s">
        <v>5996</v>
      </c>
      <c r="CF963" t="s">
        <v>1029</v>
      </c>
      <c r="CG963" t="s">
        <v>177</v>
      </c>
      <c r="CH963" t="s">
        <v>1030</v>
      </c>
      <c r="CI963" t="s">
        <v>4843</v>
      </c>
      <c r="CJ963" t="s">
        <v>12043</v>
      </c>
      <c r="CK963" t="s">
        <v>232</v>
      </c>
      <c r="CL963" t="s">
        <v>233</v>
      </c>
      <c r="CM963" t="s">
        <v>7842</v>
      </c>
      <c r="CN963" t="s">
        <v>1074</v>
      </c>
      <c r="CO963" t="s">
        <v>183</v>
      </c>
      <c r="CP963" t="s">
        <v>211</v>
      </c>
      <c r="CQ963" t="s">
        <v>199</v>
      </c>
      <c r="CS963" t="s">
        <v>7467</v>
      </c>
      <c r="CT963" t="s">
        <v>12937</v>
      </c>
      <c r="CU963" t="s">
        <v>273</v>
      </c>
      <c r="CV963" t="s">
        <v>274</v>
      </c>
      <c r="CW963" t="s">
        <v>12938</v>
      </c>
      <c r="CX963" t="s">
        <v>1491</v>
      </c>
      <c r="CY963" t="s">
        <v>183</v>
      </c>
      <c r="CZ963" t="s">
        <v>211</v>
      </c>
      <c r="DA963" t="s">
        <v>329</v>
      </c>
      <c r="DC963" t="s">
        <v>12939</v>
      </c>
      <c r="DM963" t="s">
        <v>198</v>
      </c>
      <c r="DW963" t="s">
        <v>198</v>
      </c>
      <c r="EG963" t="s">
        <v>198</v>
      </c>
      <c r="EQ963" t="s">
        <v>198</v>
      </c>
      <c r="FA963" t="s">
        <v>198</v>
      </c>
      <c r="FK963" t="s">
        <v>198</v>
      </c>
      <c r="FU963" t="s">
        <v>198</v>
      </c>
    </row>
    <row r="964" spans="1:177">
      <c r="A964" s="1" t="str">
        <f>HYPERLINK("http://digipan.lumentumllc.com/apps/getLink/index.php?t=PropLink&amp;p=5248564","PL")</f>
        <v>PL</v>
      </c>
      <c r="B964" s="1" t="str">
        <f>HYPERLINK("http://digipan.lumentumllc.com/apps/getLink/index.php?t=TaxLink&amp;p=5248564","TL")</f>
        <v>TL</v>
      </c>
      <c r="C964" s="1" t="str">
        <f>HYPERLINK("http://digipan.lumentumllc.com/apps/getMap/index.php?p=5248564","Map")</f>
        <v>Map</v>
      </c>
      <c r="E964" t="s">
        <v>177</v>
      </c>
      <c r="F964" t="s">
        <v>178</v>
      </c>
      <c r="L964" t="s">
        <v>12940</v>
      </c>
      <c r="N964" t="s">
        <v>12940</v>
      </c>
      <c r="O964" t="s">
        <v>12940</v>
      </c>
      <c r="P964" t="s">
        <v>12941</v>
      </c>
      <c r="Q964" t="s">
        <v>12940</v>
      </c>
      <c r="V964">
        <v>1113</v>
      </c>
      <c r="W964">
        <v>4</v>
      </c>
      <c r="X964">
        <v>2017</v>
      </c>
      <c r="Y964">
        <v>2018</v>
      </c>
      <c r="Z964">
        <v>259.58</v>
      </c>
      <c r="AB964" t="s">
        <v>181</v>
      </c>
      <c r="AC964" t="s">
        <v>202</v>
      </c>
      <c r="AD964" t="s">
        <v>1037</v>
      </c>
      <c r="AE964">
        <v>1</v>
      </c>
      <c r="AF964">
        <v>7</v>
      </c>
      <c r="AG964" t="s">
        <v>418</v>
      </c>
      <c r="AH964">
        <v>86</v>
      </c>
      <c r="AI964">
        <v>257.88</v>
      </c>
      <c r="AJ964">
        <v>36.1</v>
      </c>
      <c r="AK964">
        <v>293.98</v>
      </c>
      <c r="AL964">
        <v>13900</v>
      </c>
      <c r="AM964">
        <v>6000</v>
      </c>
      <c r="AN964">
        <v>7900</v>
      </c>
      <c r="AO964">
        <v>213</v>
      </c>
      <c r="AP964">
        <v>2016</v>
      </c>
      <c r="AQ964">
        <v>1.87</v>
      </c>
      <c r="AR964">
        <v>2.11</v>
      </c>
      <c r="AS964" t="s">
        <v>12942</v>
      </c>
      <c r="AT964" t="s">
        <v>3747</v>
      </c>
      <c r="AU964" t="s">
        <v>177</v>
      </c>
      <c r="AV964" t="s">
        <v>1030</v>
      </c>
      <c r="AW964" t="s">
        <v>182</v>
      </c>
      <c r="AX964">
        <v>2</v>
      </c>
      <c r="AY964" t="s">
        <v>188</v>
      </c>
      <c r="AZ964" t="s">
        <v>189</v>
      </c>
      <c r="BA964" t="s">
        <v>190</v>
      </c>
      <c r="BB964" t="s">
        <v>191</v>
      </c>
      <c r="BC964" t="s">
        <v>182</v>
      </c>
      <c r="BD964" t="s">
        <v>182</v>
      </c>
      <c r="BE964" t="s">
        <v>6180</v>
      </c>
      <c r="BF964">
        <v>1</v>
      </c>
      <c r="BG964">
        <v>1</v>
      </c>
      <c r="BH964">
        <v>1983</v>
      </c>
      <c r="BI964" t="s">
        <v>193</v>
      </c>
      <c r="BJ964" t="s">
        <v>194</v>
      </c>
      <c r="BK964" t="s">
        <v>195</v>
      </c>
      <c r="BL964" t="s">
        <v>1347</v>
      </c>
      <c r="BM964" t="s">
        <v>501</v>
      </c>
      <c r="BN964" t="s">
        <v>182</v>
      </c>
      <c r="BO964" t="s">
        <v>198</v>
      </c>
      <c r="BP964" t="s">
        <v>198</v>
      </c>
      <c r="BQ964" t="s">
        <v>198</v>
      </c>
      <c r="BR964" t="s">
        <v>198</v>
      </c>
      <c r="BS964" t="s">
        <v>198</v>
      </c>
      <c r="BT964" t="s">
        <v>198</v>
      </c>
      <c r="BU964" t="s">
        <v>182</v>
      </c>
      <c r="BV964" t="s">
        <v>198</v>
      </c>
      <c r="BW964" t="s">
        <v>198</v>
      </c>
      <c r="BX964" t="s">
        <v>199</v>
      </c>
      <c r="BY964" t="s">
        <v>198</v>
      </c>
      <c r="BZ964" t="s">
        <v>199</v>
      </c>
      <c r="CA964" t="s">
        <v>199</v>
      </c>
      <c r="CB964" t="s">
        <v>12943</v>
      </c>
      <c r="CC964" t="s">
        <v>201</v>
      </c>
      <c r="CD964" t="s">
        <v>182</v>
      </c>
      <c r="CE964" t="s">
        <v>12944</v>
      </c>
      <c r="CF964" t="s">
        <v>12945</v>
      </c>
      <c r="CG964" t="s">
        <v>3961</v>
      </c>
      <c r="CH964" t="s">
        <v>12946</v>
      </c>
      <c r="CI964" t="s">
        <v>12947</v>
      </c>
      <c r="CJ964" t="s">
        <v>1752</v>
      </c>
      <c r="CK964" t="s">
        <v>232</v>
      </c>
      <c r="CL964" t="s">
        <v>233</v>
      </c>
      <c r="CM964" t="s">
        <v>12948</v>
      </c>
      <c r="CN964" t="s">
        <v>484</v>
      </c>
      <c r="CO964" t="s">
        <v>183</v>
      </c>
      <c r="CP964" t="s">
        <v>266</v>
      </c>
      <c r="CS964" t="s">
        <v>198</v>
      </c>
      <c r="CT964" t="s">
        <v>6336</v>
      </c>
      <c r="CU964" t="s">
        <v>292</v>
      </c>
      <c r="CV964" t="s">
        <v>293</v>
      </c>
      <c r="CW964" t="s">
        <v>12949</v>
      </c>
      <c r="CX964" t="s">
        <v>482</v>
      </c>
      <c r="CY964" t="s">
        <v>5</v>
      </c>
      <c r="CZ964" t="s">
        <v>211</v>
      </c>
      <c r="DA964" t="s">
        <v>250</v>
      </c>
      <c r="DB964" t="s">
        <v>271</v>
      </c>
      <c r="DC964" t="s">
        <v>4374</v>
      </c>
      <c r="DD964" t="s">
        <v>6640</v>
      </c>
      <c r="DE964" t="s">
        <v>267</v>
      </c>
      <c r="DF964" t="s">
        <v>268</v>
      </c>
      <c r="DG964" t="s">
        <v>12950</v>
      </c>
      <c r="DH964" t="s">
        <v>482</v>
      </c>
      <c r="DI964" t="s">
        <v>183</v>
      </c>
      <c r="DJ964" t="s">
        <v>211</v>
      </c>
      <c r="DK964" t="s">
        <v>487</v>
      </c>
      <c r="DL964" t="s">
        <v>271</v>
      </c>
      <c r="DM964" t="s">
        <v>4374</v>
      </c>
      <c r="DN964" t="s">
        <v>12586</v>
      </c>
      <c r="DO964" t="s">
        <v>273</v>
      </c>
      <c r="DP964" t="s">
        <v>274</v>
      </c>
      <c r="DQ964" t="s">
        <v>12951</v>
      </c>
      <c r="DR964" t="s">
        <v>514</v>
      </c>
      <c r="DS964" t="s">
        <v>183</v>
      </c>
      <c r="DT964" t="s">
        <v>211</v>
      </c>
      <c r="DV964" t="s">
        <v>271</v>
      </c>
      <c r="DW964" t="s">
        <v>198</v>
      </c>
      <c r="DX964" t="s">
        <v>12952</v>
      </c>
      <c r="DY964" t="s">
        <v>302</v>
      </c>
      <c r="DZ964" t="s">
        <v>303</v>
      </c>
      <c r="EA964" t="s">
        <v>12953</v>
      </c>
      <c r="EB964" t="s">
        <v>305</v>
      </c>
      <c r="EC964" t="s">
        <v>183</v>
      </c>
      <c r="ED964" t="s">
        <v>211</v>
      </c>
      <c r="EF964" t="s">
        <v>271</v>
      </c>
      <c r="EG964" t="s">
        <v>198</v>
      </c>
      <c r="EH964" t="s">
        <v>12954</v>
      </c>
      <c r="EI964" t="s">
        <v>238</v>
      </c>
      <c r="EJ964" t="s">
        <v>239</v>
      </c>
      <c r="EK964" t="s">
        <v>12955</v>
      </c>
      <c r="EL964" t="s">
        <v>440</v>
      </c>
      <c r="EM964" t="s">
        <v>183</v>
      </c>
      <c r="EN964" t="s">
        <v>211</v>
      </c>
      <c r="EO964" t="s">
        <v>345</v>
      </c>
      <c r="EQ964" t="s">
        <v>1097</v>
      </c>
      <c r="ER964" t="s">
        <v>2491</v>
      </c>
      <c r="ES964" t="s">
        <v>346</v>
      </c>
      <c r="ET964" t="s">
        <v>347</v>
      </c>
      <c r="EU964" t="s">
        <v>12956</v>
      </c>
      <c r="EV964" t="s">
        <v>469</v>
      </c>
      <c r="EW964" t="s">
        <v>183</v>
      </c>
      <c r="EX964" t="s">
        <v>211</v>
      </c>
      <c r="EY964" t="s">
        <v>298</v>
      </c>
      <c r="FA964" t="s">
        <v>3166</v>
      </c>
      <c r="FB964" t="s">
        <v>11663</v>
      </c>
      <c r="FC964" t="s">
        <v>207</v>
      </c>
      <c r="FD964" t="s">
        <v>208</v>
      </c>
      <c r="FE964" t="s">
        <v>12957</v>
      </c>
      <c r="FF964" t="s">
        <v>576</v>
      </c>
      <c r="FG964" t="s">
        <v>183</v>
      </c>
      <c r="FH964" t="s">
        <v>211</v>
      </c>
      <c r="FI964" t="s">
        <v>298</v>
      </c>
      <c r="FK964" t="s">
        <v>5492</v>
      </c>
      <c r="FU964" t="s">
        <v>198</v>
      </c>
    </row>
    <row r="965" spans="1:177">
      <c r="A965" s="1" t="str">
        <f>HYPERLINK("http://digipan.lumentumllc.com/apps/getLink/index.php?t=PropLink&amp;p=5248565","PL")</f>
        <v>PL</v>
      </c>
      <c r="B965" s="1" t="str">
        <f>HYPERLINK("http://digipan.lumentumllc.com/apps/getLink/index.php?t=TaxLink&amp;p=5248565","TL")</f>
        <v>TL</v>
      </c>
      <c r="C965" s="1" t="str">
        <f>HYPERLINK("http://digipan.lumentumllc.com/apps/getMap/index.php?p=5248565","Map")</f>
        <v>Map</v>
      </c>
      <c r="E965" t="s">
        <v>177</v>
      </c>
      <c r="F965" t="s">
        <v>178</v>
      </c>
      <c r="L965" t="s">
        <v>12958</v>
      </c>
      <c r="N965" t="s">
        <v>12958</v>
      </c>
      <c r="O965" t="s">
        <v>12958</v>
      </c>
      <c r="P965" t="s">
        <v>12959</v>
      </c>
      <c r="Q965" t="s">
        <v>12958</v>
      </c>
      <c r="V965">
        <v>1114</v>
      </c>
      <c r="W965">
        <v>4</v>
      </c>
      <c r="X965">
        <v>2017</v>
      </c>
      <c r="Y965">
        <v>2018</v>
      </c>
      <c r="Z965">
        <v>463.93</v>
      </c>
      <c r="AB965" t="s">
        <v>181</v>
      </c>
      <c r="AC965" t="s">
        <v>182</v>
      </c>
      <c r="AD965" t="s">
        <v>183</v>
      </c>
      <c r="AE965">
        <v>1</v>
      </c>
      <c r="AF965">
        <v>7</v>
      </c>
      <c r="AG965" t="s">
        <v>418</v>
      </c>
      <c r="AH965">
        <v>86</v>
      </c>
      <c r="AI965">
        <v>457.29</v>
      </c>
      <c r="AJ965">
        <v>22.86</v>
      </c>
      <c r="AK965">
        <v>480.15</v>
      </c>
      <c r="AL965">
        <v>65872</v>
      </c>
      <c r="AM965">
        <v>7500</v>
      </c>
      <c r="AN965">
        <v>58372</v>
      </c>
      <c r="AO965">
        <v>398</v>
      </c>
      <c r="AP965">
        <v>2016</v>
      </c>
      <c r="AQ965">
        <v>0.7</v>
      </c>
      <c r="AR965">
        <v>0.73</v>
      </c>
      <c r="AS965" t="s">
        <v>12960</v>
      </c>
      <c r="AT965" t="s">
        <v>3747</v>
      </c>
      <c r="AU965" t="s">
        <v>177</v>
      </c>
      <c r="AV965" t="s">
        <v>1030</v>
      </c>
      <c r="AW965" t="s">
        <v>202</v>
      </c>
      <c r="AX965">
        <v>2</v>
      </c>
      <c r="AY965" t="s">
        <v>188</v>
      </c>
      <c r="AZ965" t="s">
        <v>189</v>
      </c>
      <c r="BA965" t="s">
        <v>190</v>
      </c>
      <c r="BB965" t="s">
        <v>191</v>
      </c>
      <c r="BC965" t="s">
        <v>182</v>
      </c>
      <c r="BD965" t="s">
        <v>182</v>
      </c>
      <c r="BE965" t="s">
        <v>6180</v>
      </c>
      <c r="BF965">
        <v>1</v>
      </c>
      <c r="BG965">
        <v>1</v>
      </c>
      <c r="BH965">
        <v>2002</v>
      </c>
      <c r="BI965" t="s">
        <v>7613</v>
      </c>
      <c r="BJ965" t="s">
        <v>194</v>
      </c>
      <c r="BK965" t="s">
        <v>195</v>
      </c>
      <c r="BL965" t="s">
        <v>199</v>
      </c>
      <c r="BM965" t="s">
        <v>1332</v>
      </c>
      <c r="BN965" t="s">
        <v>182</v>
      </c>
      <c r="BO965" t="s">
        <v>198</v>
      </c>
      <c r="BP965" t="s">
        <v>198</v>
      </c>
      <c r="BQ965" t="s">
        <v>198</v>
      </c>
      <c r="BR965" t="s">
        <v>198</v>
      </c>
      <c r="BS965" t="s">
        <v>198</v>
      </c>
      <c r="BT965" t="s">
        <v>198</v>
      </c>
      <c r="BU965" t="s">
        <v>182</v>
      </c>
      <c r="BV965" t="s">
        <v>198</v>
      </c>
      <c r="BW965" t="s">
        <v>198</v>
      </c>
      <c r="BX965" t="s">
        <v>199</v>
      </c>
      <c r="BY965" t="s">
        <v>198</v>
      </c>
      <c r="BZ965" t="s">
        <v>199</v>
      </c>
      <c r="CA965" t="s">
        <v>199</v>
      </c>
      <c r="CB965" t="s">
        <v>12961</v>
      </c>
      <c r="CC965" t="s">
        <v>201</v>
      </c>
      <c r="CD965" t="s">
        <v>202</v>
      </c>
      <c r="CE965" t="s">
        <v>12962</v>
      </c>
      <c r="CF965" t="s">
        <v>1029</v>
      </c>
      <c r="CG965" t="s">
        <v>177</v>
      </c>
      <c r="CH965" t="s">
        <v>1030</v>
      </c>
      <c r="CI965" t="s">
        <v>12963</v>
      </c>
      <c r="CJ965" t="s">
        <v>9372</v>
      </c>
      <c r="CK965" t="s">
        <v>232</v>
      </c>
      <c r="CL965" t="s">
        <v>233</v>
      </c>
      <c r="CM965" t="s">
        <v>12964</v>
      </c>
      <c r="CN965" t="s">
        <v>235</v>
      </c>
      <c r="CO965" t="s">
        <v>183</v>
      </c>
      <c r="CP965" t="s">
        <v>266</v>
      </c>
      <c r="CS965" t="s">
        <v>198</v>
      </c>
      <c r="CT965" t="s">
        <v>9544</v>
      </c>
      <c r="CU965" t="s">
        <v>292</v>
      </c>
      <c r="CV965" t="s">
        <v>293</v>
      </c>
      <c r="CW965" t="s">
        <v>12965</v>
      </c>
      <c r="CX965" t="s">
        <v>235</v>
      </c>
      <c r="CY965" t="s">
        <v>183</v>
      </c>
      <c r="CZ965" t="s">
        <v>211</v>
      </c>
      <c r="DA965" t="s">
        <v>298</v>
      </c>
      <c r="DC965" t="s">
        <v>1235</v>
      </c>
      <c r="DD965" t="s">
        <v>11822</v>
      </c>
      <c r="DE965" t="s">
        <v>267</v>
      </c>
      <c r="DF965" t="s">
        <v>268</v>
      </c>
      <c r="DG965" t="s">
        <v>12966</v>
      </c>
      <c r="DH965" t="s">
        <v>235</v>
      </c>
      <c r="DI965" t="s">
        <v>183</v>
      </c>
      <c r="DJ965" t="s">
        <v>211</v>
      </c>
      <c r="DK965" t="s">
        <v>298</v>
      </c>
      <c r="DM965" t="s">
        <v>459</v>
      </c>
      <c r="DN965" t="s">
        <v>10276</v>
      </c>
      <c r="DO965" t="s">
        <v>273</v>
      </c>
      <c r="DP965" t="s">
        <v>274</v>
      </c>
      <c r="DQ965" t="s">
        <v>12967</v>
      </c>
      <c r="DR965" t="s">
        <v>235</v>
      </c>
      <c r="DS965" t="s">
        <v>183</v>
      </c>
      <c r="DT965" t="s">
        <v>211</v>
      </c>
      <c r="DU965" t="s">
        <v>298</v>
      </c>
      <c r="DW965" t="s">
        <v>1069</v>
      </c>
      <c r="DX965" t="s">
        <v>12968</v>
      </c>
      <c r="DY965" t="s">
        <v>302</v>
      </c>
      <c r="DZ965" t="s">
        <v>303</v>
      </c>
      <c r="EA965" t="s">
        <v>12969</v>
      </c>
      <c r="EB965" t="s">
        <v>3342</v>
      </c>
      <c r="EC965" t="s">
        <v>183</v>
      </c>
      <c r="ED965" t="s">
        <v>211</v>
      </c>
      <c r="EE965" t="s">
        <v>298</v>
      </c>
      <c r="EG965" t="s">
        <v>12970</v>
      </c>
      <c r="EH965" t="s">
        <v>12971</v>
      </c>
      <c r="EI965" t="s">
        <v>238</v>
      </c>
      <c r="EJ965" t="s">
        <v>239</v>
      </c>
      <c r="EK965" t="s">
        <v>12972</v>
      </c>
      <c r="EL965" t="s">
        <v>278</v>
      </c>
      <c r="EM965" t="s">
        <v>183</v>
      </c>
      <c r="EN965" t="s">
        <v>211</v>
      </c>
      <c r="EO965" t="s">
        <v>298</v>
      </c>
      <c r="EQ965" t="s">
        <v>3501</v>
      </c>
      <c r="ER965" t="s">
        <v>7443</v>
      </c>
      <c r="ES965" t="s">
        <v>346</v>
      </c>
      <c r="ET965" t="s">
        <v>347</v>
      </c>
      <c r="EU965" t="s">
        <v>12973</v>
      </c>
      <c r="EV965" t="s">
        <v>1551</v>
      </c>
      <c r="EW965" t="s">
        <v>183</v>
      </c>
      <c r="EX965" t="s">
        <v>211</v>
      </c>
      <c r="EY965" t="s">
        <v>298</v>
      </c>
      <c r="FA965" t="s">
        <v>3166</v>
      </c>
      <c r="FB965" t="s">
        <v>1921</v>
      </c>
      <c r="FC965" t="s">
        <v>207</v>
      </c>
      <c r="FD965" t="s">
        <v>208</v>
      </c>
      <c r="FE965" t="s">
        <v>12974</v>
      </c>
      <c r="FF965" t="s">
        <v>391</v>
      </c>
      <c r="FG965" t="s">
        <v>183</v>
      </c>
      <c r="FH965" t="s">
        <v>211</v>
      </c>
      <c r="FI965" t="s">
        <v>298</v>
      </c>
      <c r="FK965" t="s">
        <v>5492</v>
      </c>
      <c r="FU965" t="s">
        <v>198</v>
      </c>
    </row>
    <row r="966" spans="1:177">
      <c r="A966" s="1" t="str">
        <f>HYPERLINK("http://digipan.lumentumllc.com/apps/getLink/index.php?t=PropLink&amp;p=6594422","PL")</f>
        <v>PL</v>
      </c>
      <c r="B966" s="1" t="str">
        <f>HYPERLINK("http://digipan.lumentumllc.com/apps/getLink/index.php?t=TaxLink&amp;p=6594422","TL")</f>
        <v>TL</v>
      </c>
      <c r="C966" s="1" t="str">
        <f>HYPERLINK("http://digipan.lumentumllc.com/apps/getMap/index.php?p=6594422","Map")</f>
        <v>Map</v>
      </c>
      <c r="E966" t="s">
        <v>177</v>
      </c>
      <c r="F966" t="s">
        <v>178</v>
      </c>
      <c r="L966" t="s">
        <v>12975</v>
      </c>
      <c r="N966" t="s">
        <v>12975</v>
      </c>
      <c r="O966" t="s">
        <v>12975</v>
      </c>
      <c r="P966" t="s">
        <v>12976</v>
      </c>
      <c r="Q966" t="s">
        <v>12975</v>
      </c>
      <c r="V966">
        <v>1115</v>
      </c>
      <c r="W966">
        <v>4</v>
      </c>
      <c r="X966">
        <v>2017</v>
      </c>
      <c r="Y966">
        <v>2018</v>
      </c>
      <c r="Z966">
        <v>494.47</v>
      </c>
      <c r="AB966" t="s">
        <v>181</v>
      </c>
      <c r="AC966" t="s">
        <v>182</v>
      </c>
      <c r="AD966" t="s">
        <v>183</v>
      </c>
      <c r="AE966">
        <v>0</v>
      </c>
      <c r="AF966">
        <v>2</v>
      </c>
      <c r="AG966" t="s">
        <v>216</v>
      </c>
      <c r="AH966">
        <v>100</v>
      </c>
      <c r="AK966">
        <v>0</v>
      </c>
      <c r="AL966">
        <v>28247</v>
      </c>
      <c r="AM966">
        <v>7500</v>
      </c>
      <c r="AN966">
        <v>20747</v>
      </c>
      <c r="AO966">
        <v>439</v>
      </c>
      <c r="AP966">
        <v>2016</v>
      </c>
      <c r="AQ966">
        <v>1.75</v>
      </c>
      <c r="AS966" t="s">
        <v>12977</v>
      </c>
      <c r="AT966" t="s">
        <v>3747</v>
      </c>
      <c r="AU966" t="s">
        <v>177</v>
      </c>
      <c r="AV966" t="s">
        <v>1030</v>
      </c>
      <c r="AW966" t="s">
        <v>182</v>
      </c>
      <c r="AX966">
        <v>2</v>
      </c>
      <c r="AY966" t="s">
        <v>188</v>
      </c>
      <c r="AZ966" t="s">
        <v>189</v>
      </c>
      <c r="BA966" t="s">
        <v>190</v>
      </c>
      <c r="BB966" t="s">
        <v>191</v>
      </c>
      <c r="BC966" t="s">
        <v>182</v>
      </c>
      <c r="BD966" t="s">
        <v>182</v>
      </c>
      <c r="BE966" t="s">
        <v>6180</v>
      </c>
      <c r="BF966">
        <v>1</v>
      </c>
      <c r="BG966">
        <v>1</v>
      </c>
      <c r="BH966">
        <v>1965</v>
      </c>
      <c r="BI966" t="s">
        <v>12978</v>
      </c>
      <c r="BJ966" t="s">
        <v>194</v>
      </c>
      <c r="BK966" t="s">
        <v>195</v>
      </c>
      <c r="BL966" t="s">
        <v>797</v>
      </c>
      <c r="BM966" t="s">
        <v>346</v>
      </c>
      <c r="BN966" t="s">
        <v>182</v>
      </c>
      <c r="BO966" t="s">
        <v>198</v>
      </c>
      <c r="BP966" t="s">
        <v>198</v>
      </c>
      <c r="BQ966" t="s">
        <v>198</v>
      </c>
      <c r="BR966" t="s">
        <v>198</v>
      </c>
      <c r="BS966" t="s">
        <v>198</v>
      </c>
      <c r="BT966" t="s">
        <v>198</v>
      </c>
      <c r="BU966" t="s">
        <v>182</v>
      </c>
      <c r="BV966" t="s">
        <v>198</v>
      </c>
      <c r="BW966" t="s">
        <v>198</v>
      </c>
      <c r="BX966" t="s">
        <v>199</v>
      </c>
      <c r="BY966" t="s">
        <v>198</v>
      </c>
      <c r="BZ966" t="s">
        <v>199</v>
      </c>
      <c r="CA966" t="s">
        <v>199</v>
      </c>
      <c r="CB966" t="s">
        <v>12928</v>
      </c>
      <c r="CC966" t="s">
        <v>201</v>
      </c>
      <c r="CD966" t="s">
        <v>182</v>
      </c>
      <c r="CE966" t="s">
        <v>5996</v>
      </c>
      <c r="CF966" t="s">
        <v>1029</v>
      </c>
      <c r="CG966" t="s">
        <v>177</v>
      </c>
      <c r="CH966" t="s">
        <v>1030</v>
      </c>
      <c r="CI966" t="s">
        <v>12979</v>
      </c>
      <c r="CJ966" t="s">
        <v>12651</v>
      </c>
      <c r="CK966" t="s">
        <v>232</v>
      </c>
      <c r="CL966" t="s">
        <v>233</v>
      </c>
      <c r="CM966" t="s">
        <v>12980</v>
      </c>
      <c r="CN966" t="s">
        <v>235</v>
      </c>
      <c r="CO966" t="s">
        <v>183</v>
      </c>
      <c r="CP966" t="s">
        <v>211</v>
      </c>
      <c r="CQ966" t="s">
        <v>199</v>
      </c>
      <c r="CS966" t="s">
        <v>7467</v>
      </c>
      <c r="CT966" t="s">
        <v>10307</v>
      </c>
      <c r="CU966" t="s">
        <v>273</v>
      </c>
      <c r="CV966" t="s">
        <v>274</v>
      </c>
      <c r="CW966" t="s">
        <v>12981</v>
      </c>
      <c r="CX966" t="s">
        <v>514</v>
      </c>
      <c r="CY966" t="s">
        <v>183</v>
      </c>
      <c r="CZ966" t="s">
        <v>211</v>
      </c>
      <c r="DA966" t="s">
        <v>199</v>
      </c>
      <c r="DC966" t="s">
        <v>12932</v>
      </c>
      <c r="DM966" t="s">
        <v>198</v>
      </c>
      <c r="DW966" t="s">
        <v>198</v>
      </c>
      <c r="EG966" t="s">
        <v>198</v>
      </c>
      <c r="EQ966" t="s">
        <v>198</v>
      </c>
      <c r="FA966" t="s">
        <v>198</v>
      </c>
      <c r="FK966" t="s">
        <v>198</v>
      </c>
      <c r="FU966" t="s">
        <v>198</v>
      </c>
    </row>
    <row r="967" spans="1:177">
      <c r="A967" s="1" t="str">
        <f>HYPERLINK("http://digipan.lumentumllc.com/apps/getLink/index.php?t=PropLink&amp;p=6594423","PL")</f>
        <v>PL</v>
      </c>
      <c r="B967" s="1" t="str">
        <f>HYPERLINK("http://digipan.lumentumllc.com/apps/getLink/index.php?t=TaxLink&amp;p=6594423","TL")</f>
        <v>TL</v>
      </c>
      <c r="C967" s="1" t="str">
        <f>HYPERLINK("http://digipan.lumentumllc.com/apps/getMap/index.php?p=6594423","Map")</f>
        <v>Map</v>
      </c>
      <c r="E967" t="s">
        <v>177</v>
      </c>
      <c r="F967" t="s">
        <v>178</v>
      </c>
      <c r="L967" t="s">
        <v>12982</v>
      </c>
      <c r="N967" t="s">
        <v>12982</v>
      </c>
      <c r="O967" t="s">
        <v>12982</v>
      </c>
      <c r="P967" t="s">
        <v>12983</v>
      </c>
      <c r="Q967" t="s">
        <v>12982</v>
      </c>
      <c r="V967">
        <v>1116</v>
      </c>
      <c r="W967">
        <v>4</v>
      </c>
      <c r="X967">
        <v>2017</v>
      </c>
      <c r="Y967">
        <v>2018</v>
      </c>
      <c r="Z967">
        <v>760.02</v>
      </c>
      <c r="AB967" t="s">
        <v>181</v>
      </c>
      <c r="AC967" t="s">
        <v>182</v>
      </c>
      <c r="AD967" t="s">
        <v>183</v>
      </c>
      <c r="AE967">
        <v>0</v>
      </c>
      <c r="AF967">
        <v>2</v>
      </c>
      <c r="AG967" t="s">
        <v>216</v>
      </c>
      <c r="AH967">
        <v>100</v>
      </c>
      <c r="AK967">
        <v>0</v>
      </c>
      <c r="AL967">
        <v>44466</v>
      </c>
      <c r="AM967">
        <v>7500</v>
      </c>
      <c r="AN967">
        <v>36966</v>
      </c>
      <c r="AO967">
        <v>687</v>
      </c>
      <c r="AP967">
        <v>2016</v>
      </c>
      <c r="AQ967">
        <v>1.71</v>
      </c>
      <c r="AS967" t="s">
        <v>12984</v>
      </c>
      <c r="AT967" t="s">
        <v>3747</v>
      </c>
      <c r="AU967" t="s">
        <v>177</v>
      </c>
      <c r="AV967" t="s">
        <v>1030</v>
      </c>
      <c r="AW967" t="s">
        <v>182</v>
      </c>
      <c r="AX967">
        <v>1</v>
      </c>
      <c r="AY967" t="s">
        <v>188</v>
      </c>
      <c r="AZ967" t="s">
        <v>206</v>
      </c>
      <c r="BA967" t="s">
        <v>355</v>
      </c>
      <c r="BB967" t="s">
        <v>191</v>
      </c>
      <c r="BC967" t="s">
        <v>182</v>
      </c>
      <c r="BD967" t="s">
        <v>182</v>
      </c>
      <c r="BE967" t="s">
        <v>6180</v>
      </c>
      <c r="BF967">
        <v>1</v>
      </c>
      <c r="BG967">
        <v>1</v>
      </c>
      <c r="BH967">
        <v>1960</v>
      </c>
      <c r="BI967" t="s">
        <v>6336</v>
      </c>
      <c r="BJ967" t="s">
        <v>194</v>
      </c>
      <c r="BK967" t="s">
        <v>195</v>
      </c>
      <c r="BL967" t="s">
        <v>944</v>
      </c>
      <c r="BM967" t="s">
        <v>559</v>
      </c>
      <c r="BN967" t="s">
        <v>182</v>
      </c>
      <c r="BO967" t="s">
        <v>198</v>
      </c>
      <c r="BP967" t="s">
        <v>198</v>
      </c>
      <c r="BQ967" t="s">
        <v>198</v>
      </c>
      <c r="BR967" t="s">
        <v>198</v>
      </c>
      <c r="BS967" t="s">
        <v>198</v>
      </c>
      <c r="BT967" t="s">
        <v>198</v>
      </c>
      <c r="BU967" t="s">
        <v>182</v>
      </c>
      <c r="BV967" t="s">
        <v>198</v>
      </c>
      <c r="BW967" t="s">
        <v>198</v>
      </c>
      <c r="BX967" t="s">
        <v>199</v>
      </c>
      <c r="BY967" t="s">
        <v>198</v>
      </c>
      <c r="BZ967" t="s">
        <v>199</v>
      </c>
      <c r="CA967" t="s">
        <v>199</v>
      </c>
      <c r="CB967" t="s">
        <v>12928</v>
      </c>
      <c r="CC967" t="s">
        <v>201</v>
      </c>
      <c r="CD967" t="s">
        <v>182</v>
      </c>
      <c r="CE967" t="s">
        <v>5996</v>
      </c>
      <c r="CF967" t="s">
        <v>1029</v>
      </c>
      <c r="CG967" t="s">
        <v>177</v>
      </c>
      <c r="CH967" t="s">
        <v>1030</v>
      </c>
      <c r="CI967" t="s">
        <v>2915</v>
      </c>
      <c r="CJ967" t="s">
        <v>6190</v>
      </c>
      <c r="CK967" t="s">
        <v>232</v>
      </c>
      <c r="CL967" t="s">
        <v>233</v>
      </c>
      <c r="CM967" t="s">
        <v>12985</v>
      </c>
      <c r="CN967" t="s">
        <v>235</v>
      </c>
      <c r="CO967" t="s">
        <v>183</v>
      </c>
      <c r="CP967" t="s">
        <v>211</v>
      </c>
      <c r="CQ967" t="s">
        <v>199</v>
      </c>
      <c r="CS967" t="s">
        <v>7467</v>
      </c>
      <c r="CT967" t="s">
        <v>12986</v>
      </c>
      <c r="CU967" t="s">
        <v>273</v>
      </c>
      <c r="CV967" t="s">
        <v>274</v>
      </c>
      <c r="CW967" t="s">
        <v>12987</v>
      </c>
      <c r="CX967" t="s">
        <v>235</v>
      </c>
      <c r="CY967" t="s">
        <v>183</v>
      </c>
      <c r="CZ967" t="s">
        <v>211</v>
      </c>
      <c r="DA967" t="s">
        <v>199</v>
      </c>
      <c r="DC967" t="s">
        <v>12932</v>
      </c>
      <c r="DM967" t="s">
        <v>198</v>
      </c>
      <c r="DW967" t="s">
        <v>198</v>
      </c>
      <c r="EG967" t="s">
        <v>198</v>
      </c>
      <c r="EQ967" t="s">
        <v>198</v>
      </c>
      <c r="FA967" t="s">
        <v>198</v>
      </c>
      <c r="FK967" t="s">
        <v>198</v>
      </c>
      <c r="FU967" t="s">
        <v>198</v>
      </c>
    </row>
    <row r="968" spans="1:177">
      <c r="A968" s="1" t="str">
        <f>HYPERLINK("http://digipan.lumentumllc.com/apps/getLink/index.php?t=PropLink&amp;p=5248566","PL")</f>
        <v>PL</v>
      </c>
      <c r="B968" s="1" t="str">
        <f>HYPERLINK("http://digipan.lumentumllc.com/apps/getLink/index.php?t=TaxLink&amp;p=5248566","TL")</f>
        <v>TL</v>
      </c>
      <c r="C968" s="1" t="str">
        <f>HYPERLINK("http://digipan.lumentumllc.com/apps/getMap/index.php?p=5248566","Map")</f>
        <v>Map</v>
      </c>
      <c r="E968" t="s">
        <v>177</v>
      </c>
      <c r="F968" t="s">
        <v>178</v>
      </c>
      <c r="L968" t="s">
        <v>12988</v>
      </c>
      <c r="N968" t="s">
        <v>12988</v>
      </c>
      <c r="O968" t="s">
        <v>12988</v>
      </c>
      <c r="P968" t="s">
        <v>12989</v>
      </c>
      <c r="Q968" t="s">
        <v>12988</v>
      </c>
      <c r="V968">
        <v>1117</v>
      </c>
      <c r="W968">
        <v>4</v>
      </c>
      <c r="X968">
        <v>2017</v>
      </c>
      <c r="Y968">
        <v>2018</v>
      </c>
      <c r="Z968">
        <v>736.37</v>
      </c>
      <c r="AB968" t="s">
        <v>181</v>
      </c>
      <c r="AC968" t="s">
        <v>182</v>
      </c>
      <c r="AD968" t="s">
        <v>183</v>
      </c>
      <c r="AE968">
        <v>1</v>
      </c>
      <c r="AF968">
        <v>7</v>
      </c>
      <c r="AG968" t="s">
        <v>418</v>
      </c>
      <c r="AH968">
        <v>86</v>
      </c>
      <c r="AI968">
        <v>745.78</v>
      </c>
      <c r="AJ968">
        <v>37.29</v>
      </c>
      <c r="AK968">
        <v>783.07</v>
      </c>
      <c r="AL968">
        <v>43021</v>
      </c>
      <c r="AM968">
        <v>7500</v>
      </c>
      <c r="AN968">
        <v>35521</v>
      </c>
      <c r="AO968">
        <v>665</v>
      </c>
      <c r="AP968">
        <v>2016</v>
      </c>
      <c r="AQ968">
        <v>1.71</v>
      </c>
      <c r="AR968">
        <v>1.82</v>
      </c>
      <c r="AS968" t="s">
        <v>12990</v>
      </c>
      <c r="AT968" t="s">
        <v>3747</v>
      </c>
      <c r="AU968" t="s">
        <v>177</v>
      </c>
      <c r="AV968" t="s">
        <v>1030</v>
      </c>
      <c r="AW968" t="s">
        <v>182</v>
      </c>
      <c r="AX968">
        <v>1</v>
      </c>
      <c r="AY968" t="s">
        <v>188</v>
      </c>
      <c r="AZ968" t="s">
        <v>206</v>
      </c>
      <c r="BA968" t="s">
        <v>355</v>
      </c>
      <c r="BB968" t="s">
        <v>191</v>
      </c>
      <c r="BC968" t="s">
        <v>182</v>
      </c>
      <c r="BD968" t="s">
        <v>182</v>
      </c>
      <c r="BE968" t="s">
        <v>6180</v>
      </c>
      <c r="BF968">
        <v>1</v>
      </c>
      <c r="BG968">
        <v>1</v>
      </c>
      <c r="BH968">
        <v>1960</v>
      </c>
      <c r="BI968" t="s">
        <v>10231</v>
      </c>
      <c r="BJ968" t="s">
        <v>194</v>
      </c>
      <c r="BK968" t="s">
        <v>195</v>
      </c>
      <c r="BL968" t="s">
        <v>199</v>
      </c>
      <c r="BM968" t="s">
        <v>358</v>
      </c>
      <c r="BN968" t="s">
        <v>182</v>
      </c>
      <c r="BO968" t="s">
        <v>198</v>
      </c>
      <c r="BP968" t="s">
        <v>198</v>
      </c>
      <c r="BQ968" t="s">
        <v>198</v>
      </c>
      <c r="BR968" t="s">
        <v>198</v>
      </c>
      <c r="BS968" t="s">
        <v>198</v>
      </c>
      <c r="BT968" t="s">
        <v>198</v>
      </c>
      <c r="BU968" t="s">
        <v>182</v>
      </c>
      <c r="BV968" t="s">
        <v>198</v>
      </c>
      <c r="BW968" t="s">
        <v>198</v>
      </c>
      <c r="BX968" t="s">
        <v>199</v>
      </c>
      <c r="BY968" t="s">
        <v>198</v>
      </c>
      <c r="BZ968" t="s">
        <v>199</v>
      </c>
      <c r="CA968" t="s">
        <v>199</v>
      </c>
      <c r="CB968" t="s">
        <v>12991</v>
      </c>
      <c r="CC968" t="s">
        <v>201</v>
      </c>
      <c r="CD968" t="s">
        <v>202</v>
      </c>
      <c r="CE968" t="s">
        <v>12992</v>
      </c>
      <c r="CF968" t="s">
        <v>1029</v>
      </c>
      <c r="CG968" t="s">
        <v>177</v>
      </c>
      <c r="CH968" t="s">
        <v>1030</v>
      </c>
      <c r="CI968" t="s">
        <v>4659</v>
      </c>
      <c r="CJ968" t="s">
        <v>6248</v>
      </c>
      <c r="CK968" t="s">
        <v>232</v>
      </c>
      <c r="CL968" t="s">
        <v>233</v>
      </c>
      <c r="CM968" t="s">
        <v>12993</v>
      </c>
      <c r="CN968" t="s">
        <v>235</v>
      </c>
      <c r="CO968" t="s">
        <v>183</v>
      </c>
      <c r="CP968" t="s">
        <v>266</v>
      </c>
      <c r="CS968" t="s">
        <v>198</v>
      </c>
      <c r="CT968" t="s">
        <v>11953</v>
      </c>
      <c r="CU968" t="s">
        <v>292</v>
      </c>
      <c r="CV968" t="s">
        <v>293</v>
      </c>
      <c r="CW968" t="s">
        <v>12994</v>
      </c>
      <c r="CX968" t="s">
        <v>235</v>
      </c>
      <c r="CY968" t="s">
        <v>183</v>
      </c>
      <c r="CZ968" t="s">
        <v>211</v>
      </c>
      <c r="DA968" t="s">
        <v>298</v>
      </c>
      <c r="DC968" t="s">
        <v>7451</v>
      </c>
      <c r="DD968" t="s">
        <v>9888</v>
      </c>
      <c r="DE968" t="s">
        <v>267</v>
      </c>
      <c r="DF968" t="s">
        <v>268</v>
      </c>
      <c r="DG968" t="s">
        <v>12995</v>
      </c>
      <c r="DH968" t="s">
        <v>235</v>
      </c>
      <c r="DI968" t="s">
        <v>183</v>
      </c>
      <c r="DJ968" t="s">
        <v>211</v>
      </c>
      <c r="DK968" t="s">
        <v>298</v>
      </c>
      <c r="DM968" t="s">
        <v>7501</v>
      </c>
      <c r="DN968" t="s">
        <v>12996</v>
      </c>
      <c r="DO968" t="s">
        <v>273</v>
      </c>
      <c r="DP968" t="s">
        <v>274</v>
      </c>
      <c r="DQ968" t="s">
        <v>12997</v>
      </c>
      <c r="DR968" t="s">
        <v>235</v>
      </c>
      <c r="DS968" t="s">
        <v>183</v>
      </c>
      <c r="DT968" t="s">
        <v>211</v>
      </c>
      <c r="DU968" t="s">
        <v>298</v>
      </c>
      <c r="DW968" t="s">
        <v>7503</v>
      </c>
      <c r="DX968" t="s">
        <v>12998</v>
      </c>
      <c r="DY968" t="s">
        <v>302</v>
      </c>
      <c r="DZ968" t="s">
        <v>303</v>
      </c>
      <c r="EA968" t="s">
        <v>12999</v>
      </c>
      <c r="EB968" t="s">
        <v>235</v>
      </c>
      <c r="EC968" t="s">
        <v>183</v>
      </c>
      <c r="ED968" t="s">
        <v>211</v>
      </c>
      <c r="EE968" t="s">
        <v>298</v>
      </c>
      <c r="EG968" t="s">
        <v>12970</v>
      </c>
      <c r="EH968" t="s">
        <v>13000</v>
      </c>
      <c r="EI968" t="s">
        <v>238</v>
      </c>
      <c r="EJ968" t="s">
        <v>239</v>
      </c>
      <c r="EK968" t="s">
        <v>13001</v>
      </c>
      <c r="EL968" t="s">
        <v>331</v>
      </c>
      <c r="EM968" t="s">
        <v>183</v>
      </c>
      <c r="EN968" t="s">
        <v>211</v>
      </c>
      <c r="EO968" t="s">
        <v>298</v>
      </c>
      <c r="EQ968" t="s">
        <v>3277</v>
      </c>
      <c r="ER968" t="s">
        <v>7132</v>
      </c>
      <c r="ES968" t="s">
        <v>346</v>
      </c>
      <c r="ET968" t="s">
        <v>347</v>
      </c>
      <c r="EU968" t="s">
        <v>13002</v>
      </c>
      <c r="EV968" t="s">
        <v>688</v>
      </c>
      <c r="EW968" t="s">
        <v>183</v>
      </c>
      <c r="EX968" t="s">
        <v>211</v>
      </c>
      <c r="EY968" t="s">
        <v>342</v>
      </c>
      <c r="FA968" t="s">
        <v>3169</v>
      </c>
      <c r="FB968" t="s">
        <v>1938</v>
      </c>
      <c r="FC968" t="s">
        <v>207</v>
      </c>
      <c r="FD968" t="s">
        <v>208</v>
      </c>
      <c r="FE968" t="s">
        <v>13003</v>
      </c>
      <c r="FF968" t="s">
        <v>391</v>
      </c>
      <c r="FG968" t="s">
        <v>183</v>
      </c>
      <c r="FH968" t="s">
        <v>211</v>
      </c>
      <c r="FI968" t="s">
        <v>329</v>
      </c>
      <c r="FK968" t="s">
        <v>13004</v>
      </c>
      <c r="FU968" t="s">
        <v>198</v>
      </c>
    </row>
    <row r="969" spans="1:177">
      <c r="A969" s="1" t="str">
        <f>HYPERLINK("http://digipan.lumentumllc.com/apps/getLink/index.php?t=PropLink&amp;p=5248567","PL")</f>
        <v>PL</v>
      </c>
      <c r="B969" s="1" t="str">
        <f>HYPERLINK("http://digipan.lumentumllc.com/apps/getLink/index.php?t=TaxLink&amp;p=5248567","TL")</f>
        <v>TL</v>
      </c>
      <c r="C969" s="1" t="str">
        <f>HYPERLINK("http://digipan.lumentumllc.com/apps/getMap/index.php?p=5248567","Map")</f>
        <v>Map</v>
      </c>
      <c r="E969" t="s">
        <v>177</v>
      </c>
      <c r="F969" t="s">
        <v>178</v>
      </c>
      <c r="L969" t="s">
        <v>13005</v>
      </c>
      <c r="N969" t="s">
        <v>13005</v>
      </c>
      <c r="O969" t="s">
        <v>13005</v>
      </c>
      <c r="P969" t="s">
        <v>13006</v>
      </c>
      <c r="Q969" t="s">
        <v>13005</v>
      </c>
      <c r="V969">
        <v>1118</v>
      </c>
      <c r="W969">
        <v>4</v>
      </c>
      <c r="X969">
        <v>2017</v>
      </c>
      <c r="Y969">
        <v>2018</v>
      </c>
      <c r="Z969">
        <v>311.02</v>
      </c>
      <c r="AB969" t="s">
        <v>181</v>
      </c>
      <c r="AC969" t="s">
        <v>182</v>
      </c>
      <c r="AD969" t="s">
        <v>183</v>
      </c>
      <c r="AE969">
        <v>0</v>
      </c>
      <c r="AF969">
        <v>5</v>
      </c>
      <c r="AG969" t="s">
        <v>3266</v>
      </c>
      <c r="AH969">
        <v>100</v>
      </c>
      <c r="AK969">
        <v>0</v>
      </c>
      <c r="AL969">
        <v>44553</v>
      </c>
      <c r="AM969">
        <v>7500</v>
      </c>
      <c r="AN969">
        <v>37053</v>
      </c>
      <c r="AO969">
        <v>248</v>
      </c>
      <c r="AP969">
        <v>2016</v>
      </c>
      <c r="AQ969">
        <v>0.7</v>
      </c>
      <c r="AS969" t="s">
        <v>13007</v>
      </c>
      <c r="AT969" t="s">
        <v>3747</v>
      </c>
      <c r="AU969" t="s">
        <v>177</v>
      </c>
      <c r="AV969" t="s">
        <v>1030</v>
      </c>
      <c r="AW969" t="s">
        <v>202</v>
      </c>
      <c r="AX969">
        <v>1</v>
      </c>
      <c r="AY969" t="s">
        <v>188</v>
      </c>
      <c r="AZ969" t="s">
        <v>206</v>
      </c>
      <c r="BA969" t="s">
        <v>355</v>
      </c>
      <c r="BB969" t="s">
        <v>191</v>
      </c>
      <c r="BC969" t="s">
        <v>182</v>
      </c>
      <c r="BD969" t="s">
        <v>182</v>
      </c>
      <c r="BE969" t="s">
        <v>6180</v>
      </c>
      <c r="BF969">
        <v>1</v>
      </c>
      <c r="BG969">
        <v>1</v>
      </c>
      <c r="BH969">
        <v>1977</v>
      </c>
      <c r="BI969" t="s">
        <v>13008</v>
      </c>
      <c r="BJ969" t="s">
        <v>194</v>
      </c>
      <c r="BK969" t="s">
        <v>195</v>
      </c>
      <c r="BL969" t="s">
        <v>4365</v>
      </c>
      <c r="BM969" t="s">
        <v>679</v>
      </c>
      <c r="BN969" t="s">
        <v>182</v>
      </c>
      <c r="BO969" t="s">
        <v>13009</v>
      </c>
      <c r="BP969" t="s">
        <v>5373</v>
      </c>
      <c r="BQ969" t="s">
        <v>226</v>
      </c>
      <c r="BR969" t="s">
        <v>227</v>
      </c>
      <c r="BS969" t="s">
        <v>198</v>
      </c>
      <c r="BT969" t="s">
        <v>12356</v>
      </c>
      <c r="BU969" t="s">
        <v>182</v>
      </c>
      <c r="BV969" t="s">
        <v>198</v>
      </c>
      <c r="BW969" t="s">
        <v>198</v>
      </c>
      <c r="BX969" t="s">
        <v>199</v>
      </c>
      <c r="BY969" t="s">
        <v>198</v>
      </c>
      <c r="BZ969" t="s">
        <v>199</v>
      </c>
      <c r="CA969" t="s">
        <v>199</v>
      </c>
      <c r="CB969" t="s">
        <v>13010</v>
      </c>
      <c r="CC969" t="s">
        <v>201</v>
      </c>
      <c r="CD969" t="s">
        <v>182</v>
      </c>
      <c r="CE969" t="s">
        <v>13011</v>
      </c>
      <c r="CF969" t="s">
        <v>1029</v>
      </c>
      <c r="CG969" t="s">
        <v>177</v>
      </c>
      <c r="CH969" t="s">
        <v>1030</v>
      </c>
      <c r="CI969" t="s">
        <v>13012</v>
      </c>
      <c r="CJ969" t="s">
        <v>6400</v>
      </c>
      <c r="CK969" t="s">
        <v>292</v>
      </c>
      <c r="CL969" t="s">
        <v>293</v>
      </c>
      <c r="CM969" t="s">
        <v>13013</v>
      </c>
      <c r="CN969" t="s">
        <v>235</v>
      </c>
      <c r="CO969" t="s">
        <v>183</v>
      </c>
      <c r="CP969" t="s">
        <v>211</v>
      </c>
      <c r="CQ969" t="s">
        <v>342</v>
      </c>
      <c r="CS969" t="s">
        <v>785</v>
      </c>
      <c r="CT969" t="s">
        <v>6714</v>
      </c>
      <c r="CU969" t="s">
        <v>267</v>
      </c>
      <c r="CV969" t="s">
        <v>268</v>
      </c>
      <c r="CW969" t="s">
        <v>13014</v>
      </c>
      <c r="CX969" t="s">
        <v>235</v>
      </c>
      <c r="CY969" t="s">
        <v>183</v>
      </c>
      <c r="CZ969" t="s">
        <v>211</v>
      </c>
      <c r="DA969" t="s">
        <v>427</v>
      </c>
      <c r="DC969" t="s">
        <v>293</v>
      </c>
      <c r="DD969" t="s">
        <v>10347</v>
      </c>
      <c r="DE969" t="s">
        <v>273</v>
      </c>
      <c r="DF969" t="s">
        <v>274</v>
      </c>
      <c r="DG969" t="s">
        <v>13015</v>
      </c>
      <c r="DH969" t="s">
        <v>235</v>
      </c>
      <c r="DI969" t="s">
        <v>183</v>
      </c>
      <c r="DJ969" t="s">
        <v>211</v>
      </c>
      <c r="DK969" t="s">
        <v>345</v>
      </c>
      <c r="DM969" t="s">
        <v>4483</v>
      </c>
      <c r="DN969" t="s">
        <v>13016</v>
      </c>
      <c r="DO969" t="s">
        <v>302</v>
      </c>
      <c r="DP969" t="s">
        <v>303</v>
      </c>
      <c r="DQ969" t="s">
        <v>13017</v>
      </c>
      <c r="DR969" t="s">
        <v>235</v>
      </c>
      <c r="DS969" t="s">
        <v>183</v>
      </c>
      <c r="DT969" t="s">
        <v>211</v>
      </c>
      <c r="DU969" t="s">
        <v>298</v>
      </c>
      <c r="DW969" t="s">
        <v>8149</v>
      </c>
      <c r="DX969" t="s">
        <v>7147</v>
      </c>
      <c r="DY969" t="s">
        <v>346</v>
      </c>
      <c r="DZ969" t="s">
        <v>347</v>
      </c>
      <c r="EA969" t="s">
        <v>13018</v>
      </c>
      <c r="EB969" t="s">
        <v>1551</v>
      </c>
      <c r="EC969" t="s">
        <v>183</v>
      </c>
      <c r="ED969" t="s">
        <v>211</v>
      </c>
      <c r="EE969" t="s">
        <v>270</v>
      </c>
      <c r="EG969" t="s">
        <v>13019</v>
      </c>
      <c r="EQ969" t="s">
        <v>198</v>
      </c>
      <c r="FA969" t="s">
        <v>198</v>
      </c>
      <c r="FK969" t="s">
        <v>198</v>
      </c>
      <c r="FU969" t="s">
        <v>198</v>
      </c>
    </row>
    <row r="970" spans="1:177">
      <c r="A970" s="1" t="str">
        <f>HYPERLINK("http://digipan.lumentumllc.com/apps/getLink/index.php?t=PropLink&amp;p=5248568","PL")</f>
        <v>PL</v>
      </c>
      <c r="B970" s="1" t="str">
        <f>HYPERLINK("http://digipan.lumentumllc.com/apps/getLink/index.php?t=TaxLink&amp;p=5248568","TL")</f>
        <v>TL</v>
      </c>
      <c r="C970" s="1" t="str">
        <f>HYPERLINK("http://digipan.lumentumllc.com/apps/getMap/index.php?p=5248568","Map")</f>
        <v>Map</v>
      </c>
      <c r="E970" t="s">
        <v>177</v>
      </c>
      <c r="F970" t="s">
        <v>178</v>
      </c>
      <c r="L970" t="s">
        <v>13020</v>
      </c>
      <c r="N970" t="s">
        <v>13020</v>
      </c>
      <c r="O970" t="s">
        <v>13020</v>
      </c>
      <c r="P970" t="s">
        <v>13021</v>
      </c>
      <c r="Q970" t="s">
        <v>13020</v>
      </c>
      <c r="V970">
        <v>1119</v>
      </c>
      <c r="W970">
        <v>4</v>
      </c>
      <c r="X970">
        <v>2017</v>
      </c>
      <c r="Y970">
        <v>2018</v>
      </c>
      <c r="Z970">
        <v>154.80000000000001</v>
      </c>
      <c r="AB970" t="s">
        <v>181</v>
      </c>
      <c r="AC970" t="s">
        <v>182</v>
      </c>
      <c r="AD970" t="s">
        <v>183</v>
      </c>
      <c r="AE970">
        <v>4</v>
      </c>
      <c r="AF970">
        <v>3</v>
      </c>
      <c r="AG970" t="s">
        <v>3420</v>
      </c>
      <c r="AH970">
        <v>43</v>
      </c>
      <c r="AI970">
        <v>660.7</v>
      </c>
      <c r="AJ970">
        <v>275.62</v>
      </c>
      <c r="AK970">
        <v>936.32</v>
      </c>
      <c r="AL970">
        <v>7500</v>
      </c>
      <c r="AM970">
        <v>7500</v>
      </c>
      <c r="AN970">
        <v>0</v>
      </c>
      <c r="AO970">
        <v>115</v>
      </c>
      <c r="AP970">
        <v>2016</v>
      </c>
      <c r="AQ970">
        <v>2.06</v>
      </c>
      <c r="AR970">
        <v>12.48</v>
      </c>
      <c r="AS970" t="s">
        <v>13022</v>
      </c>
      <c r="AT970" t="s">
        <v>3747</v>
      </c>
      <c r="AU970" t="s">
        <v>177</v>
      </c>
      <c r="AV970" t="s">
        <v>1030</v>
      </c>
      <c r="AW970" t="s">
        <v>182</v>
      </c>
      <c r="AX970">
        <v>0</v>
      </c>
      <c r="AY970" t="s">
        <v>312</v>
      </c>
      <c r="AZ970" t="s">
        <v>199</v>
      </c>
      <c r="BA970" t="s">
        <v>313</v>
      </c>
      <c r="BB970" t="s">
        <v>191</v>
      </c>
      <c r="BC970" t="s">
        <v>182</v>
      </c>
      <c r="BD970" t="s">
        <v>182</v>
      </c>
      <c r="BE970" t="s">
        <v>6180</v>
      </c>
      <c r="BF970">
        <v>0</v>
      </c>
      <c r="BG970">
        <v>0</v>
      </c>
      <c r="BH970">
        <v>0</v>
      </c>
      <c r="BI970" t="s">
        <v>199</v>
      </c>
      <c r="BJ970" t="s">
        <v>396</v>
      </c>
      <c r="BL970" t="s">
        <v>11003</v>
      </c>
      <c r="BM970" t="s">
        <v>679</v>
      </c>
      <c r="BN970" t="s">
        <v>182</v>
      </c>
      <c r="BO970" t="s">
        <v>198</v>
      </c>
      <c r="BP970" t="s">
        <v>198</v>
      </c>
      <c r="BQ970" t="s">
        <v>198</v>
      </c>
      <c r="BR970" t="s">
        <v>198</v>
      </c>
      <c r="BS970" t="s">
        <v>198</v>
      </c>
      <c r="BT970" t="s">
        <v>198</v>
      </c>
      <c r="BU970" t="s">
        <v>182</v>
      </c>
      <c r="BV970" t="s">
        <v>198</v>
      </c>
      <c r="BW970" t="s">
        <v>198</v>
      </c>
      <c r="BX970" t="s">
        <v>199</v>
      </c>
      <c r="BY970" t="s">
        <v>198</v>
      </c>
      <c r="BZ970" t="s">
        <v>199</v>
      </c>
      <c r="CA970" t="s">
        <v>199</v>
      </c>
      <c r="CB970" t="s">
        <v>4203</v>
      </c>
      <c r="CC970" t="s">
        <v>201</v>
      </c>
      <c r="CD970" t="s">
        <v>202</v>
      </c>
      <c r="CE970" t="s">
        <v>4213</v>
      </c>
      <c r="CF970" t="s">
        <v>1029</v>
      </c>
      <c r="CG970" t="s">
        <v>177</v>
      </c>
      <c r="CH970" t="s">
        <v>1030</v>
      </c>
      <c r="CI970" t="s">
        <v>4071</v>
      </c>
      <c r="CJ970" t="s">
        <v>6276</v>
      </c>
      <c r="CK970" t="s">
        <v>232</v>
      </c>
      <c r="CL970" t="s">
        <v>233</v>
      </c>
      <c r="CM970" t="s">
        <v>13023</v>
      </c>
      <c r="CN970" t="s">
        <v>482</v>
      </c>
      <c r="CO970" t="s">
        <v>183</v>
      </c>
      <c r="CP970" t="s">
        <v>266</v>
      </c>
      <c r="CS970" t="s">
        <v>198</v>
      </c>
      <c r="CT970" t="s">
        <v>6409</v>
      </c>
      <c r="CU970" t="s">
        <v>292</v>
      </c>
      <c r="CV970" t="s">
        <v>293</v>
      </c>
      <c r="CW970" t="s">
        <v>13024</v>
      </c>
      <c r="CX970" t="s">
        <v>482</v>
      </c>
      <c r="CY970" t="s">
        <v>183</v>
      </c>
      <c r="CZ970" t="s">
        <v>266</v>
      </c>
      <c r="DC970" t="s">
        <v>198</v>
      </c>
      <c r="DD970" t="s">
        <v>9922</v>
      </c>
      <c r="DE970" t="s">
        <v>267</v>
      </c>
      <c r="DF970" t="s">
        <v>268</v>
      </c>
      <c r="DG970" t="s">
        <v>13025</v>
      </c>
      <c r="DH970" t="s">
        <v>482</v>
      </c>
      <c r="DI970" t="s">
        <v>183</v>
      </c>
      <c r="DJ970" t="s">
        <v>266</v>
      </c>
      <c r="DM970" t="s">
        <v>198</v>
      </c>
      <c r="DN970" t="s">
        <v>10364</v>
      </c>
      <c r="DO970" t="s">
        <v>273</v>
      </c>
      <c r="DP970" t="s">
        <v>274</v>
      </c>
      <c r="DQ970" t="s">
        <v>13026</v>
      </c>
      <c r="DR970" t="s">
        <v>4595</v>
      </c>
      <c r="DS970" t="s">
        <v>183</v>
      </c>
      <c r="DT970" t="s">
        <v>266</v>
      </c>
      <c r="DW970" t="s">
        <v>198</v>
      </c>
      <c r="DX970" t="s">
        <v>13027</v>
      </c>
      <c r="DY970" t="s">
        <v>302</v>
      </c>
      <c r="DZ970" t="s">
        <v>303</v>
      </c>
      <c r="EA970" t="s">
        <v>13028</v>
      </c>
      <c r="EB970" t="s">
        <v>1052</v>
      </c>
      <c r="EC970" t="s">
        <v>183</v>
      </c>
      <c r="ED970" t="s">
        <v>211</v>
      </c>
      <c r="EE970" t="s">
        <v>1682</v>
      </c>
      <c r="EG970" t="s">
        <v>1445</v>
      </c>
      <c r="EH970" t="s">
        <v>13029</v>
      </c>
      <c r="EI970" t="s">
        <v>238</v>
      </c>
      <c r="EJ970" t="s">
        <v>239</v>
      </c>
      <c r="EK970" t="s">
        <v>13030</v>
      </c>
      <c r="EL970" t="s">
        <v>482</v>
      </c>
      <c r="EM970" t="s">
        <v>183</v>
      </c>
      <c r="EN970" t="s">
        <v>211</v>
      </c>
      <c r="EO970" t="s">
        <v>707</v>
      </c>
      <c r="EQ970" t="s">
        <v>1445</v>
      </c>
      <c r="ER970" t="s">
        <v>532</v>
      </c>
      <c r="ES970" t="s">
        <v>346</v>
      </c>
      <c r="ET970" t="s">
        <v>347</v>
      </c>
      <c r="EU970" t="s">
        <v>13031</v>
      </c>
      <c r="EV970" t="s">
        <v>254</v>
      </c>
      <c r="EW970" t="s">
        <v>183</v>
      </c>
      <c r="EX970" t="s">
        <v>211</v>
      </c>
      <c r="EY970" t="s">
        <v>722</v>
      </c>
      <c r="FA970" t="s">
        <v>12244</v>
      </c>
      <c r="FK970" t="s">
        <v>198</v>
      </c>
      <c r="FU970" t="s">
        <v>198</v>
      </c>
    </row>
    <row r="971" spans="1:177">
      <c r="A971" s="1" t="str">
        <f>HYPERLINK("http://digipan.lumentumllc.com/apps/getLink/index.php?t=PropLink&amp;p=5248569","PL")</f>
        <v>PL</v>
      </c>
      <c r="B971" s="1" t="str">
        <f>HYPERLINK("http://digipan.lumentumllc.com/apps/getLink/index.php?t=TaxLink&amp;p=5248569","TL")</f>
        <v>TL</v>
      </c>
      <c r="C971" s="1" t="str">
        <f>HYPERLINK("http://digipan.lumentumllc.com/apps/getMap/index.php?p=5248569","Map")</f>
        <v>Map</v>
      </c>
      <c r="E971" t="s">
        <v>177</v>
      </c>
      <c r="F971" t="s">
        <v>178</v>
      </c>
      <c r="L971" t="s">
        <v>13032</v>
      </c>
      <c r="N971" t="s">
        <v>13032</v>
      </c>
      <c r="O971" t="s">
        <v>13032</v>
      </c>
      <c r="P971" t="s">
        <v>13033</v>
      </c>
      <c r="Q971" t="s">
        <v>13032</v>
      </c>
      <c r="V971">
        <v>1120</v>
      </c>
      <c r="W971">
        <v>4</v>
      </c>
      <c r="X971">
        <v>2017</v>
      </c>
      <c r="Y971">
        <v>2018</v>
      </c>
      <c r="Z971">
        <v>181.88</v>
      </c>
      <c r="AB971" t="s">
        <v>181</v>
      </c>
      <c r="AC971" t="s">
        <v>202</v>
      </c>
      <c r="AD971" t="s">
        <v>183</v>
      </c>
      <c r="AE971">
        <v>1</v>
      </c>
      <c r="AF971">
        <v>7</v>
      </c>
      <c r="AG971" t="s">
        <v>418</v>
      </c>
      <c r="AH971">
        <v>86</v>
      </c>
      <c r="AI971">
        <v>179.44</v>
      </c>
      <c r="AJ971">
        <v>17.5</v>
      </c>
      <c r="AK971">
        <v>196.94</v>
      </c>
      <c r="AL971">
        <v>9155</v>
      </c>
      <c r="AM971">
        <v>7500</v>
      </c>
      <c r="AN971">
        <v>1655</v>
      </c>
      <c r="AO971">
        <v>141</v>
      </c>
      <c r="AP971">
        <v>2016</v>
      </c>
      <c r="AQ971">
        <v>1.99</v>
      </c>
      <c r="AR971">
        <v>2.15</v>
      </c>
      <c r="AS971" t="s">
        <v>13034</v>
      </c>
      <c r="AT971" t="s">
        <v>3747</v>
      </c>
      <c r="AU971" t="s">
        <v>177</v>
      </c>
      <c r="AV971" t="s">
        <v>1030</v>
      </c>
      <c r="AW971" t="s">
        <v>182</v>
      </c>
      <c r="AX971">
        <v>0</v>
      </c>
      <c r="AY971" t="s">
        <v>312</v>
      </c>
      <c r="AZ971" t="s">
        <v>199</v>
      </c>
      <c r="BA971" t="s">
        <v>313</v>
      </c>
      <c r="BB971" t="s">
        <v>191</v>
      </c>
      <c r="BC971" t="s">
        <v>182</v>
      </c>
      <c r="BD971" t="s">
        <v>182</v>
      </c>
      <c r="BE971" t="s">
        <v>6180</v>
      </c>
      <c r="BF971">
        <v>1</v>
      </c>
      <c r="BG971">
        <v>0</v>
      </c>
      <c r="BH971">
        <v>0</v>
      </c>
      <c r="BI971" t="s">
        <v>199</v>
      </c>
      <c r="BJ971" t="s">
        <v>396</v>
      </c>
      <c r="BL971" t="s">
        <v>199</v>
      </c>
      <c r="BM971" t="s">
        <v>232</v>
      </c>
      <c r="BN971" t="s">
        <v>182</v>
      </c>
      <c r="BO971" t="s">
        <v>198</v>
      </c>
      <c r="BP971" t="s">
        <v>198</v>
      </c>
      <c r="BQ971" t="s">
        <v>198</v>
      </c>
      <c r="BR971" t="s">
        <v>198</v>
      </c>
      <c r="BS971" t="s">
        <v>198</v>
      </c>
      <c r="BT971" t="s">
        <v>198</v>
      </c>
      <c r="BU971" t="s">
        <v>182</v>
      </c>
      <c r="BV971" t="s">
        <v>198</v>
      </c>
      <c r="BW971" t="s">
        <v>198</v>
      </c>
      <c r="BX971" t="s">
        <v>199</v>
      </c>
      <c r="BY971" t="s">
        <v>198</v>
      </c>
      <c r="BZ971" t="s">
        <v>199</v>
      </c>
      <c r="CA971" t="s">
        <v>199</v>
      </c>
      <c r="CB971" t="s">
        <v>12625</v>
      </c>
      <c r="CC971" t="s">
        <v>201</v>
      </c>
      <c r="CD971" t="s">
        <v>202</v>
      </c>
      <c r="CE971" t="s">
        <v>13035</v>
      </c>
      <c r="CF971" t="s">
        <v>12627</v>
      </c>
      <c r="CG971" t="s">
        <v>5791</v>
      </c>
      <c r="CH971" t="s">
        <v>12628</v>
      </c>
      <c r="CI971" t="s">
        <v>686</v>
      </c>
      <c r="CJ971" t="s">
        <v>6299</v>
      </c>
      <c r="CK971" t="s">
        <v>232</v>
      </c>
      <c r="CL971" t="s">
        <v>233</v>
      </c>
      <c r="CM971" t="s">
        <v>13036</v>
      </c>
      <c r="CN971" t="s">
        <v>341</v>
      </c>
      <c r="CO971" t="s">
        <v>183</v>
      </c>
      <c r="CP971" t="s">
        <v>266</v>
      </c>
      <c r="CS971" t="s">
        <v>198</v>
      </c>
      <c r="CT971" t="s">
        <v>6436</v>
      </c>
      <c r="CU971" t="s">
        <v>292</v>
      </c>
      <c r="CV971" t="s">
        <v>293</v>
      </c>
      <c r="CW971" t="s">
        <v>13037</v>
      </c>
      <c r="CX971" t="s">
        <v>482</v>
      </c>
      <c r="CY971" t="s">
        <v>183</v>
      </c>
      <c r="CZ971" t="s">
        <v>211</v>
      </c>
      <c r="DB971" t="s">
        <v>6042</v>
      </c>
      <c r="DC971" t="s">
        <v>198</v>
      </c>
      <c r="DD971" t="s">
        <v>13038</v>
      </c>
      <c r="DE971" t="s">
        <v>267</v>
      </c>
      <c r="DF971" t="s">
        <v>268</v>
      </c>
      <c r="DG971" t="s">
        <v>13039</v>
      </c>
      <c r="DH971" t="s">
        <v>482</v>
      </c>
      <c r="DI971" t="s">
        <v>183</v>
      </c>
      <c r="DJ971" t="s">
        <v>211</v>
      </c>
      <c r="DK971" t="s">
        <v>427</v>
      </c>
      <c r="DL971" t="s">
        <v>6042</v>
      </c>
      <c r="DM971" t="s">
        <v>2946</v>
      </c>
      <c r="DN971" t="s">
        <v>10385</v>
      </c>
      <c r="DO971" t="s">
        <v>273</v>
      </c>
      <c r="DP971" t="s">
        <v>274</v>
      </c>
      <c r="DQ971" t="s">
        <v>13040</v>
      </c>
      <c r="DR971" t="s">
        <v>1491</v>
      </c>
      <c r="DS971" t="s">
        <v>183</v>
      </c>
      <c r="DT971" t="s">
        <v>211</v>
      </c>
      <c r="DV971" t="s">
        <v>6042</v>
      </c>
      <c r="DW971" t="s">
        <v>198</v>
      </c>
      <c r="DX971" t="s">
        <v>7593</v>
      </c>
      <c r="DY971" t="s">
        <v>302</v>
      </c>
      <c r="DZ971" t="s">
        <v>303</v>
      </c>
      <c r="EA971" t="s">
        <v>13041</v>
      </c>
      <c r="EB971" t="s">
        <v>295</v>
      </c>
      <c r="EC971" t="s">
        <v>183</v>
      </c>
      <c r="ED971" t="s">
        <v>211</v>
      </c>
      <c r="EE971" t="s">
        <v>655</v>
      </c>
      <c r="EF971" t="s">
        <v>6042</v>
      </c>
      <c r="EG971" t="s">
        <v>2946</v>
      </c>
      <c r="EH971" t="s">
        <v>13042</v>
      </c>
      <c r="EI971" t="s">
        <v>238</v>
      </c>
      <c r="EJ971" t="s">
        <v>239</v>
      </c>
      <c r="EK971" t="s">
        <v>13043</v>
      </c>
      <c r="EL971" t="s">
        <v>482</v>
      </c>
      <c r="EM971" t="s">
        <v>183</v>
      </c>
      <c r="EN971" t="s">
        <v>211</v>
      </c>
      <c r="EO971" t="s">
        <v>1162</v>
      </c>
      <c r="EP971" t="s">
        <v>6042</v>
      </c>
      <c r="EQ971" t="s">
        <v>2946</v>
      </c>
      <c r="ER971" t="s">
        <v>13044</v>
      </c>
      <c r="ES971" t="s">
        <v>346</v>
      </c>
      <c r="ET971" t="s">
        <v>347</v>
      </c>
      <c r="EU971" t="s">
        <v>13045</v>
      </c>
      <c r="EV971" t="s">
        <v>235</v>
      </c>
      <c r="EW971" t="s">
        <v>183</v>
      </c>
      <c r="EX971" t="s">
        <v>211</v>
      </c>
      <c r="EY971" t="s">
        <v>245</v>
      </c>
      <c r="EZ971" t="s">
        <v>6042</v>
      </c>
      <c r="FA971" t="s">
        <v>2946</v>
      </c>
      <c r="FB971" t="s">
        <v>1978</v>
      </c>
      <c r="FC971" t="s">
        <v>207</v>
      </c>
      <c r="FD971" t="s">
        <v>208</v>
      </c>
      <c r="FE971" t="s">
        <v>13046</v>
      </c>
      <c r="FF971" t="s">
        <v>576</v>
      </c>
      <c r="FG971" t="s">
        <v>183</v>
      </c>
      <c r="FH971" t="s">
        <v>211</v>
      </c>
      <c r="FI971" t="s">
        <v>298</v>
      </c>
      <c r="FK971" t="s">
        <v>1167</v>
      </c>
      <c r="FU971" t="s">
        <v>198</v>
      </c>
    </row>
    <row r="972" spans="1:177">
      <c r="A972" s="1" t="str">
        <f>HYPERLINK("http://digipan.lumentumllc.com/apps/getLink/index.php?t=PropLink&amp;p=5248570","PL")</f>
        <v>PL</v>
      </c>
      <c r="B972" s="1" t="str">
        <f>HYPERLINK("http://digipan.lumentumllc.com/apps/getLink/index.php?t=TaxLink&amp;p=5248570","TL")</f>
        <v>TL</v>
      </c>
      <c r="C972" s="1" t="str">
        <f>HYPERLINK("http://digipan.lumentumllc.com/apps/getMap/index.php?p=5248570","Map")</f>
        <v>Map</v>
      </c>
      <c r="E972" t="s">
        <v>177</v>
      </c>
      <c r="F972" t="s">
        <v>178</v>
      </c>
      <c r="L972" t="s">
        <v>13047</v>
      </c>
      <c r="N972" t="s">
        <v>13047</v>
      </c>
      <c r="O972" t="s">
        <v>13047</v>
      </c>
      <c r="P972" t="s">
        <v>13048</v>
      </c>
      <c r="Q972" t="s">
        <v>13047</v>
      </c>
      <c r="V972">
        <v>1121</v>
      </c>
      <c r="W972">
        <v>4</v>
      </c>
      <c r="X972">
        <v>2017</v>
      </c>
      <c r="Y972">
        <v>2018</v>
      </c>
      <c r="Z972">
        <v>253.04</v>
      </c>
      <c r="AB972" t="s">
        <v>181</v>
      </c>
      <c r="AC972" t="s">
        <v>202</v>
      </c>
      <c r="AD972" t="s">
        <v>183</v>
      </c>
      <c r="AE972">
        <v>2</v>
      </c>
      <c r="AF972">
        <v>5</v>
      </c>
      <c r="AG972" t="s">
        <v>282</v>
      </c>
      <c r="AH972">
        <v>67</v>
      </c>
      <c r="AI972">
        <v>502.69</v>
      </c>
      <c r="AJ972">
        <v>125.72</v>
      </c>
      <c r="AK972">
        <v>628.41</v>
      </c>
      <c r="AL972">
        <v>13500</v>
      </c>
      <c r="AM972">
        <v>13500</v>
      </c>
      <c r="AN972">
        <v>0</v>
      </c>
      <c r="AO972">
        <v>207</v>
      </c>
      <c r="AP972">
        <v>2016</v>
      </c>
      <c r="AQ972">
        <v>1.87</v>
      </c>
      <c r="AR972">
        <v>4.6500000000000004</v>
      </c>
      <c r="AS972" t="s">
        <v>13049</v>
      </c>
      <c r="AT972" t="s">
        <v>3747</v>
      </c>
      <c r="AU972" t="s">
        <v>177</v>
      </c>
      <c r="AV972" t="s">
        <v>1030</v>
      </c>
      <c r="AW972" t="s">
        <v>182</v>
      </c>
      <c r="AX972">
        <v>0</v>
      </c>
      <c r="AY972" t="s">
        <v>312</v>
      </c>
      <c r="AZ972" t="s">
        <v>199</v>
      </c>
      <c r="BA972" t="s">
        <v>313</v>
      </c>
      <c r="BB972" t="s">
        <v>191</v>
      </c>
      <c r="BC972" t="s">
        <v>182</v>
      </c>
      <c r="BD972" t="s">
        <v>182</v>
      </c>
      <c r="BE972" t="s">
        <v>13050</v>
      </c>
      <c r="BF972">
        <v>0</v>
      </c>
      <c r="BG972">
        <v>0</v>
      </c>
      <c r="BH972">
        <v>0</v>
      </c>
      <c r="BI972" t="s">
        <v>199</v>
      </c>
      <c r="BJ972" t="s">
        <v>396</v>
      </c>
      <c r="BL972" t="s">
        <v>13051</v>
      </c>
      <c r="BM972" t="s">
        <v>286</v>
      </c>
      <c r="BN972" t="s">
        <v>182</v>
      </c>
      <c r="BO972" t="s">
        <v>198</v>
      </c>
      <c r="BP972" t="s">
        <v>198</v>
      </c>
      <c r="BQ972" t="s">
        <v>198</v>
      </c>
      <c r="BR972" t="s">
        <v>198</v>
      </c>
      <c r="BS972" t="s">
        <v>198</v>
      </c>
      <c r="BT972" t="s">
        <v>198</v>
      </c>
      <c r="BU972" t="s">
        <v>182</v>
      </c>
      <c r="BV972" t="s">
        <v>198</v>
      </c>
      <c r="BW972" t="s">
        <v>198</v>
      </c>
      <c r="BX972" t="s">
        <v>199</v>
      </c>
      <c r="BY972" t="s">
        <v>198</v>
      </c>
      <c r="BZ972" t="s">
        <v>199</v>
      </c>
      <c r="CA972" t="s">
        <v>199</v>
      </c>
      <c r="CB972" t="s">
        <v>4203</v>
      </c>
      <c r="CC972" t="s">
        <v>201</v>
      </c>
      <c r="CD972" t="s">
        <v>202</v>
      </c>
      <c r="CE972" t="s">
        <v>4213</v>
      </c>
      <c r="CF972" t="s">
        <v>1029</v>
      </c>
      <c r="CG972" t="s">
        <v>177</v>
      </c>
      <c r="CH972" t="s">
        <v>1030</v>
      </c>
      <c r="CI972" t="s">
        <v>13052</v>
      </c>
      <c r="CJ972" t="s">
        <v>9627</v>
      </c>
      <c r="CK972" t="s">
        <v>232</v>
      </c>
      <c r="CL972" t="s">
        <v>233</v>
      </c>
      <c r="CM972" t="s">
        <v>13053</v>
      </c>
      <c r="CN972" t="s">
        <v>484</v>
      </c>
      <c r="CO972" t="s">
        <v>183</v>
      </c>
      <c r="CP972" t="s">
        <v>266</v>
      </c>
      <c r="CS972" t="s">
        <v>198</v>
      </c>
      <c r="CT972" t="s">
        <v>6491</v>
      </c>
      <c r="CU972" t="s">
        <v>292</v>
      </c>
      <c r="CV972" t="s">
        <v>293</v>
      </c>
      <c r="CW972" t="s">
        <v>10873</v>
      </c>
      <c r="CX972" t="s">
        <v>482</v>
      </c>
      <c r="CY972" t="s">
        <v>183</v>
      </c>
      <c r="CZ972" t="s">
        <v>266</v>
      </c>
      <c r="DC972" t="s">
        <v>198</v>
      </c>
      <c r="DD972" t="s">
        <v>12213</v>
      </c>
      <c r="DE972" t="s">
        <v>267</v>
      </c>
      <c r="DF972" t="s">
        <v>268</v>
      </c>
      <c r="DG972" t="s">
        <v>3821</v>
      </c>
      <c r="DH972" t="s">
        <v>1164</v>
      </c>
      <c r="DI972" t="s">
        <v>183</v>
      </c>
      <c r="DJ972" t="s">
        <v>211</v>
      </c>
      <c r="DK972" t="s">
        <v>635</v>
      </c>
      <c r="DM972" t="s">
        <v>12244</v>
      </c>
      <c r="DN972" t="s">
        <v>5782</v>
      </c>
      <c r="DO972" t="s">
        <v>302</v>
      </c>
      <c r="DP972" t="s">
        <v>303</v>
      </c>
      <c r="DQ972" t="s">
        <v>4596</v>
      </c>
      <c r="DR972" t="s">
        <v>2515</v>
      </c>
      <c r="DS972" t="s">
        <v>183</v>
      </c>
      <c r="DT972" t="s">
        <v>211</v>
      </c>
      <c r="DU972" t="s">
        <v>250</v>
      </c>
      <c r="DV972" t="s">
        <v>271</v>
      </c>
      <c r="DW972" t="s">
        <v>2950</v>
      </c>
      <c r="DX972" t="s">
        <v>13054</v>
      </c>
      <c r="DY972" t="s">
        <v>238</v>
      </c>
      <c r="DZ972" t="s">
        <v>239</v>
      </c>
      <c r="EA972" t="s">
        <v>13055</v>
      </c>
      <c r="EB972" t="s">
        <v>1615</v>
      </c>
      <c r="EC972" t="s">
        <v>183</v>
      </c>
      <c r="ED972" t="s">
        <v>211</v>
      </c>
      <c r="EE972" t="s">
        <v>487</v>
      </c>
      <c r="EF972" t="s">
        <v>271</v>
      </c>
      <c r="EG972" t="s">
        <v>2950</v>
      </c>
      <c r="EH972" t="s">
        <v>13056</v>
      </c>
      <c r="EI972" t="s">
        <v>346</v>
      </c>
      <c r="EJ972" t="s">
        <v>347</v>
      </c>
      <c r="EK972" t="s">
        <v>13057</v>
      </c>
      <c r="EL972" t="s">
        <v>615</v>
      </c>
      <c r="EM972" t="s">
        <v>183</v>
      </c>
      <c r="EN972" t="s">
        <v>211</v>
      </c>
      <c r="EP972" t="s">
        <v>271</v>
      </c>
      <c r="EQ972" t="s">
        <v>198</v>
      </c>
      <c r="ER972" t="s">
        <v>1992</v>
      </c>
      <c r="ES972" t="s">
        <v>207</v>
      </c>
      <c r="ET972" t="s">
        <v>208</v>
      </c>
      <c r="EU972" t="s">
        <v>13058</v>
      </c>
      <c r="EV972" t="s">
        <v>576</v>
      </c>
      <c r="EW972" t="s">
        <v>183</v>
      </c>
      <c r="EX972" t="s">
        <v>211</v>
      </c>
      <c r="EY972" t="s">
        <v>963</v>
      </c>
      <c r="EZ972" t="s">
        <v>271</v>
      </c>
      <c r="FA972" t="s">
        <v>2950</v>
      </c>
      <c r="FK972" t="s">
        <v>198</v>
      </c>
      <c r="FU972" t="s">
        <v>198</v>
      </c>
    </row>
    <row r="973" spans="1:177">
      <c r="A973" s="1" t="str">
        <f>HYPERLINK("http://digipan.lumentumllc.com/apps/getLink/index.php?t=PropLink&amp;p=5248571","PL")</f>
        <v>PL</v>
      </c>
      <c r="B973" s="1" t="str">
        <f>HYPERLINK("http://digipan.lumentumllc.com/apps/getLink/index.php?t=TaxLink&amp;p=5248571","TL")</f>
        <v>TL</v>
      </c>
      <c r="C973" s="1" t="str">
        <f>HYPERLINK("http://digipan.lumentumllc.com/apps/getMap/index.php?p=5248571","Map")</f>
        <v>Map</v>
      </c>
      <c r="E973" t="s">
        <v>177</v>
      </c>
      <c r="F973" t="s">
        <v>178</v>
      </c>
      <c r="L973" t="s">
        <v>13059</v>
      </c>
      <c r="N973" t="s">
        <v>13059</v>
      </c>
      <c r="O973" t="s">
        <v>13059</v>
      </c>
      <c r="P973" t="s">
        <v>13060</v>
      </c>
      <c r="Q973" t="s">
        <v>13059</v>
      </c>
      <c r="V973">
        <v>1122</v>
      </c>
      <c r="W973">
        <v>4</v>
      </c>
      <c r="X973">
        <v>2017</v>
      </c>
      <c r="Y973">
        <v>2018</v>
      </c>
      <c r="Z973">
        <v>301.14999999999998</v>
      </c>
      <c r="AB973" t="s">
        <v>181</v>
      </c>
      <c r="AC973" t="s">
        <v>182</v>
      </c>
      <c r="AD973" t="s">
        <v>183</v>
      </c>
      <c r="AE973">
        <v>0</v>
      </c>
      <c r="AF973">
        <v>5</v>
      </c>
      <c r="AG973" t="s">
        <v>3266</v>
      </c>
      <c r="AH973">
        <v>100</v>
      </c>
      <c r="AK973">
        <v>0</v>
      </c>
      <c r="AL973">
        <v>54038</v>
      </c>
      <c r="AM973">
        <v>15000</v>
      </c>
      <c r="AN973">
        <v>39038</v>
      </c>
      <c r="AO973">
        <v>239</v>
      </c>
      <c r="AP973">
        <v>2016</v>
      </c>
      <c r="AQ973">
        <v>0.56000000000000005</v>
      </c>
      <c r="AS973" t="s">
        <v>13061</v>
      </c>
      <c r="AT973" t="s">
        <v>3747</v>
      </c>
      <c r="AU973" t="s">
        <v>177</v>
      </c>
      <c r="AV973" t="s">
        <v>1030</v>
      </c>
      <c r="AW973" t="s">
        <v>202</v>
      </c>
      <c r="AX973">
        <v>2</v>
      </c>
      <c r="AY973" t="s">
        <v>188</v>
      </c>
      <c r="AZ973" t="s">
        <v>189</v>
      </c>
      <c r="BA973" t="s">
        <v>190</v>
      </c>
      <c r="BB973" t="s">
        <v>191</v>
      </c>
      <c r="BC973" t="s">
        <v>182</v>
      </c>
      <c r="BD973" t="s">
        <v>182</v>
      </c>
      <c r="BE973" t="s">
        <v>3682</v>
      </c>
      <c r="BF973">
        <v>1</v>
      </c>
      <c r="BG973">
        <v>1</v>
      </c>
      <c r="BH973">
        <v>1999</v>
      </c>
      <c r="BI973" t="s">
        <v>3043</v>
      </c>
      <c r="BJ973" t="s">
        <v>194</v>
      </c>
      <c r="BK973" t="s">
        <v>195</v>
      </c>
      <c r="BL973" t="s">
        <v>1310</v>
      </c>
      <c r="BM973" t="s">
        <v>1311</v>
      </c>
      <c r="BN973" t="s">
        <v>182</v>
      </c>
      <c r="BO973" t="s">
        <v>198</v>
      </c>
      <c r="BP973" t="s">
        <v>198</v>
      </c>
      <c r="BQ973" t="s">
        <v>198</v>
      </c>
      <c r="BR973" t="s">
        <v>198</v>
      </c>
      <c r="BS973" t="s">
        <v>198</v>
      </c>
      <c r="BT973" t="s">
        <v>198</v>
      </c>
      <c r="BU973" t="s">
        <v>182</v>
      </c>
      <c r="BV973" t="s">
        <v>198</v>
      </c>
      <c r="BW973" t="s">
        <v>198</v>
      </c>
      <c r="BX973" t="s">
        <v>199</v>
      </c>
      <c r="BY973" t="s">
        <v>198</v>
      </c>
      <c r="BZ973" t="s">
        <v>199</v>
      </c>
      <c r="CA973" t="s">
        <v>199</v>
      </c>
      <c r="CB973" t="s">
        <v>13062</v>
      </c>
      <c r="CC973" t="s">
        <v>201</v>
      </c>
      <c r="CD973" t="s">
        <v>182</v>
      </c>
      <c r="CE973" t="s">
        <v>2795</v>
      </c>
      <c r="CF973" t="s">
        <v>1029</v>
      </c>
      <c r="CG973" t="s">
        <v>177</v>
      </c>
      <c r="CH973" t="s">
        <v>1030</v>
      </c>
      <c r="CI973" t="s">
        <v>13063</v>
      </c>
      <c r="CJ973" t="s">
        <v>6503</v>
      </c>
      <c r="CK973" t="s">
        <v>292</v>
      </c>
      <c r="CL973" t="s">
        <v>293</v>
      </c>
      <c r="CM973" t="s">
        <v>13064</v>
      </c>
      <c r="CN973" t="s">
        <v>235</v>
      </c>
      <c r="CO973" t="s">
        <v>183</v>
      </c>
      <c r="CP973" t="s">
        <v>211</v>
      </c>
      <c r="CQ973" t="s">
        <v>342</v>
      </c>
      <c r="CS973" t="s">
        <v>2198</v>
      </c>
      <c r="CT973" t="s">
        <v>10498</v>
      </c>
      <c r="CU973" t="s">
        <v>273</v>
      </c>
      <c r="CV973" t="s">
        <v>274</v>
      </c>
      <c r="CW973" t="s">
        <v>13065</v>
      </c>
      <c r="CX973" t="s">
        <v>514</v>
      </c>
      <c r="CY973" t="s">
        <v>183</v>
      </c>
      <c r="CZ973" t="s">
        <v>211</v>
      </c>
      <c r="DA973" t="s">
        <v>329</v>
      </c>
      <c r="DC973" t="s">
        <v>8491</v>
      </c>
      <c r="DD973" t="s">
        <v>10802</v>
      </c>
      <c r="DE973" t="s">
        <v>302</v>
      </c>
      <c r="DF973" t="s">
        <v>303</v>
      </c>
      <c r="DG973" t="s">
        <v>13066</v>
      </c>
      <c r="DH973" t="s">
        <v>796</v>
      </c>
      <c r="DI973" t="s">
        <v>183</v>
      </c>
      <c r="DJ973" t="s">
        <v>211</v>
      </c>
      <c r="DK973" t="s">
        <v>298</v>
      </c>
      <c r="DM973" t="s">
        <v>1131</v>
      </c>
      <c r="DN973" t="s">
        <v>13067</v>
      </c>
      <c r="DO973" t="s">
        <v>238</v>
      </c>
      <c r="DP973" t="s">
        <v>239</v>
      </c>
      <c r="DQ973" t="s">
        <v>13068</v>
      </c>
      <c r="DR973" t="s">
        <v>278</v>
      </c>
      <c r="DS973" t="s">
        <v>183</v>
      </c>
      <c r="DT973" t="s">
        <v>211</v>
      </c>
      <c r="DU973" t="s">
        <v>298</v>
      </c>
      <c r="DW973" t="s">
        <v>520</v>
      </c>
      <c r="DX973" t="s">
        <v>13069</v>
      </c>
      <c r="DY973" t="s">
        <v>346</v>
      </c>
      <c r="DZ973" t="s">
        <v>347</v>
      </c>
      <c r="EA973" t="s">
        <v>13070</v>
      </c>
      <c r="EB973" t="s">
        <v>1551</v>
      </c>
      <c r="EC973" t="s">
        <v>183</v>
      </c>
      <c r="ED973" t="s">
        <v>211</v>
      </c>
      <c r="EE973" t="s">
        <v>298</v>
      </c>
      <c r="EG973" t="s">
        <v>1818</v>
      </c>
      <c r="EQ973" t="s">
        <v>198</v>
      </c>
      <c r="FA973" t="s">
        <v>198</v>
      </c>
      <c r="FK973" t="s">
        <v>198</v>
      </c>
      <c r="FU973" t="s">
        <v>198</v>
      </c>
    </row>
    <row r="974" spans="1:177">
      <c r="A974" s="1" t="str">
        <f>HYPERLINK("http://digipan.lumentumllc.com/apps/getLink/index.php?t=PropLink&amp;p=7112634","PL")</f>
        <v>PL</v>
      </c>
      <c r="B974" s="1" t="str">
        <f>HYPERLINK("http://digipan.lumentumllc.com/apps/getLink/index.php?t=TaxLink&amp;p=7112634","TL")</f>
        <v>TL</v>
      </c>
      <c r="C974" s="1" t="str">
        <f>HYPERLINK("http://digipan.lumentumllc.com/apps/getMap/index.php?p=7112634","Map")</f>
        <v>Map</v>
      </c>
      <c r="E974" t="s">
        <v>177</v>
      </c>
      <c r="F974" t="s">
        <v>178</v>
      </c>
      <c r="L974" t="s">
        <v>13071</v>
      </c>
      <c r="N974" t="s">
        <v>13071</v>
      </c>
      <c r="O974" t="s">
        <v>13071</v>
      </c>
      <c r="P974" t="s">
        <v>13072</v>
      </c>
      <c r="Q974" t="s">
        <v>13071</v>
      </c>
      <c r="V974">
        <v>1123</v>
      </c>
      <c r="W974">
        <v>4</v>
      </c>
      <c r="X974">
        <v>2017</v>
      </c>
      <c r="Y974">
        <v>2018</v>
      </c>
      <c r="Z974">
        <v>154.80000000000001</v>
      </c>
      <c r="AB974" t="s">
        <v>181</v>
      </c>
      <c r="AC974" t="s">
        <v>182</v>
      </c>
      <c r="AD974" t="s">
        <v>183</v>
      </c>
      <c r="AE974">
        <v>0</v>
      </c>
      <c r="AF974">
        <v>1</v>
      </c>
      <c r="AG974" t="s">
        <v>821</v>
      </c>
      <c r="AH974">
        <v>100</v>
      </c>
      <c r="AK974">
        <v>0</v>
      </c>
      <c r="AL974">
        <v>7500</v>
      </c>
      <c r="AM974">
        <v>7500</v>
      </c>
      <c r="AN974">
        <v>0</v>
      </c>
      <c r="AO974">
        <v>115</v>
      </c>
      <c r="AP974">
        <v>2016</v>
      </c>
      <c r="AQ974">
        <v>2.06</v>
      </c>
      <c r="AS974" t="s">
        <v>13073</v>
      </c>
      <c r="AT974" t="s">
        <v>3747</v>
      </c>
      <c r="AU974" t="s">
        <v>177</v>
      </c>
      <c r="AV974" t="s">
        <v>1030</v>
      </c>
      <c r="AW974" t="s">
        <v>182</v>
      </c>
      <c r="AX974">
        <v>0</v>
      </c>
      <c r="AY974" t="s">
        <v>312</v>
      </c>
      <c r="AZ974" t="s">
        <v>199</v>
      </c>
      <c r="BA974" t="s">
        <v>313</v>
      </c>
      <c r="BB974" t="s">
        <v>191</v>
      </c>
      <c r="BC974" t="s">
        <v>182</v>
      </c>
      <c r="BD974" t="s">
        <v>182</v>
      </c>
      <c r="BE974" t="s">
        <v>3930</v>
      </c>
      <c r="BF974">
        <v>0</v>
      </c>
      <c r="BG974">
        <v>0</v>
      </c>
      <c r="BH974">
        <v>0</v>
      </c>
      <c r="BI974" t="s">
        <v>199</v>
      </c>
      <c r="BJ974" t="s">
        <v>315</v>
      </c>
      <c r="BL974" t="s">
        <v>5986</v>
      </c>
      <c r="BM974" t="s">
        <v>197</v>
      </c>
      <c r="BN974" t="s">
        <v>182</v>
      </c>
      <c r="BO974" t="s">
        <v>198</v>
      </c>
      <c r="BP974" t="s">
        <v>198</v>
      </c>
      <c r="BQ974" t="s">
        <v>198</v>
      </c>
      <c r="BR974" t="s">
        <v>198</v>
      </c>
      <c r="BS974" t="s">
        <v>198</v>
      </c>
      <c r="BT974" t="s">
        <v>198</v>
      </c>
      <c r="BU974" t="s">
        <v>182</v>
      </c>
      <c r="BV974" t="s">
        <v>198</v>
      </c>
      <c r="BW974" t="s">
        <v>198</v>
      </c>
      <c r="BX974" t="s">
        <v>199</v>
      </c>
      <c r="BY974" t="s">
        <v>198</v>
      </c>
      <c r="BZ974" t="s">
        <v>199</v>
      </c>
      <c r="CA974" t="s">
        <v>199</v>
      </c>
      <c r="CB974" t="s">
        <v>13074</v>
      </c>
      <c r="CC974" t="s">
        <v>201</v>
      </c>
      <c r="CD974" t="s">
        <v>202</v>
      </c>
      <c r="CE974" t="s">
        <v>13075</v>
      </c>
      <c r="CF974" t="s">
        <v>413</v>
      </c>
      <c r="CG974" t="s">
        <v>177</v>
      </c>
      <c r="CH974" t="s">
        <v>9966</v>
      </c>
      <c r="CI974" t="s">
        <v>1178</v>
      </c>
      <c r="CJ974" t="s">
        <v>12027</v>
      </c>
      <c r="CK974" t="s">
        <v>292</v>
      </c>
      <c r="CL974" t="s">
        <v>293</v>
      </c>
      <c r="CM974" t="s">
        <v>13076</v>
      </c>
      <c r="CN974" t="s">
        <v>482</v>
      </c>
      <c r="CO974" t="s">
        <v>183</v>
      </c>
      <c r="CP974" t="s">
        <v>211</v>
      </c>
      <c r="CQ974" t="s">
        <v>329</v>
      </c>
      <c r="CS974" t="s">
        <v>1611</v>
      </c>
      <c r="DC974" t="s">
        <v>198</v>
      </c>
      <c r="DM974" t="s">
        <v>198</v>
      </c>
      <c r="DW974" t="s">
        <v>198</v>
      </c>
      <c r="EG974" t="s">
        <v>198</v>
      </c>
      <c r="EQ974" t="s">
        <v>198</v>
      </c>
      <c r="FA974" t="s">
        <v>198</v>
      </c>
      <c r="FK974" t="s">
        <v>198</v>
      </c>
      <c r="FU974" t="s">
        <v>198</v>
      </c>
    </row>
    <row r="975" spans="1:177">
      <c r="A975" s="1" t="str">
        <f>HYPERLINK("http://digipan.lumentumllc.com/apps/getLink/index.php?t=PropLink&amp;p=5248574","PL")</f>
        <v>PL</v>
      </c>
      <c r="B975" s="1" t="str">
        <f>HYPERLINK("http://digipan.lumentumllc.com/apps/getLink/index.php?t=TaxLink&amp;p=5248574","TL")</f>
        <v>TL</v>
      </c>
      <c r="C975" s="1" t="str">
        <f>HYPERLINK("http://digipan.lumentumllc.com/apps/getMap/index.php?p=5248574","Map")</f>
        <v>Map</v>
      </c>
      <c r="E975" t="s">
        <v>177</v>
      </c>
      <c r="F975" t="s">
        <v>178</v>
      </c>
      <c r="L975" t="s">
        <v>13077</v>
      </c>
      <c r="N975" t="s">
        <v>13077</v>
      </c>
      <c r="O975" t="s">
        <v>13077</v>
      </c>
      <c r="P975" t="s">
        <v>13078</v>
      </c>
      <c r="Q975" t="s">
        <v>13077</v>
      </c>
      <c r="V975">
        <v>1124</v>
      </c>
      <c r="W975">
        <v>4</v>
      </c>
      <c r="X975">
        <v>2017</v>
      </c>
      <c r="Y975">
        <v>2018</v>
      </c>
      <c r="Z975">
        <v>378.45</v>
      </c>
      <c r="AB975" t="s">
        <v>181</v>
      </c>
      <c r="AC975" t="s">
        <v>202</v>
      </c>
      <c r="AD975" t="s">
        <v>183</v>
      </c>
      <c r="AE975">
        <v>1</v>
      </c>
      <c r="AF975">
        <v>7</v>
      </c>
      <c r="AG975" t="s">
        <v>418</v>
      </c>
      <c r="AH975">
        <v>86</v>
      </c>
      <c r="AI975">
        <v>287.58999999999997</v>
      </c>
      <c r="AJ975">
        <v>40.26</v>
      </c>
      <c r="AK975">
        <v>327.85</v>
      </c>
      <c r="AL975">
        <v>21160</v>
      </c>
      <c r="AM975">
        <v>7500</v>
      </c>
      <c r="AN975">
        <v>13660</v>
      </c>
      <c r="AO975">
        <v>241</v>
      </c>
      <c r="AP975">
        <v>2016</v>
      </c>
      <c r="AQ975">
        <v>1.79</v>
      </c>
      <c r="AR975">
        <v>1.55</v>
      </c>
      <c r="AS975" t="s">
        <v>13079</v>
      </c>
      <c r="AT975" t="s">
        <v>3747</v>
      </c>
      <c r="AU975" t="s">
        <v>177</v>
      </c>
      <c r="AV975" t="s">
        <v>1030</v>
      </c>
      <c r="AW975" t="s">
        <v>182</v>
      </c>
      <c r="AX975">
        <v>2</v>
      </c>
      <c r="AY975" t="s">
        <v>188</v>
      </c>
      <c r="AZ975" t="s">
        <v>189</v>
      </c>
      <c r="BA975" t="s">
        <v>190</v>
      </c>
      <c r="BB975" t="s">
        <v>191</v>
      </c>
      <c r="BC975" t="s">
        <v>182</v>
      </c>
      <c r="BD975" t="s">
        <v>182</v>
      </c>
      <c r="BE975" t="s">
        <v>3930</v>
      </c>
      <c r="BF975">
        <v>1</v>
      </c>
      <c r="BG975">
        <v>1</v>
      </c>
      <c r="BH975">
        <v>1988</v>
      </c>
      <c r="BI975" t="s">
        <v>10364</v>
      </c>
      <c r="BJ975" t="s">
        <v>194</v>
      </c>
      <c r="BK975" t="s">
        <v>195</v>
      </c>
      <c r="BL975" t="s">
        <v>13080</v>
      </c>
      <c r="BM975" t="s">
        <v>232</v>
      </c>
      <c r="BN975" t="s">
        <v>182</v>
      </c>
      <c r="BO975" t="s">
        <v>198</v>
      </c>
      <c r="BP975" t="s">
        <v>198</v>
      </c>
      <c r="BQ975" t="s">
        <v>198</v>
      </c>
      <c r="BR975" t="s">
        <v>198</v>
      </c>
      <c r="BS975" t="s">
        <v>198</v>
      </c>
      <c r="BT975" t="s">
        <v>198</v>
      </c>
      <c r="BU975" t="s">
        <v>182</v>
      </c>
      <c r="BV975" t="s">
        <v>198</v>
      </c>
      <c r="BW975" t="s">
        <v>198</v>
      </c>
      <c r="BX975" t="s">
        <v>199</v>
      </c>
      <c r="BY975" t="s">
        <v>198</v>
      </c>
      <c r="BZ975" t="s">
        <v>199</v>
      </c>
      <c r="CA975" t="s">
        <v>199</v>
      </c>
      <c r="CB975" t="s">
        <v>13081</v>
      </c>
      <c r="CC975" t="s">
        <v>201</v>
      </c>
      <c r="CD975" t="s">
        <v>202</v>
      </c>
      <c r="CE975" t="s">
        <v>13082</v>
      </c>
      <c r="CF975" t="s">
        <v>2620</v>
      </c>
      <c r="CG975" t="s">
        <v>177</v>
      </c>
      <c r="CH975" t="s">
        <v>13083</v>
      </c>
      <c r="CI975" t="s">
        <v>1194</v>
      </c>
      <c r="CJ975" t="s">
        <v>6336</v>
      </c>
      <c r="CK975" t="s">
        <v>232</v>
      </c>
      <c r="CL975" t="s">
        <v>233</v>
      </c>
      <c r="CM975" t="s">
        <v>13084</v>
      </c>
      <c r="CN975" t="s">
        <v>484</v>
      </c>
      <c r="CO975" t="s">
        <v>183</v>
      </c>
      <c r="CP975" t="s">
        <v>266</v>
      </c>
      <c r="CS975" t="s">
        <v>198</v>
      </c>
      <c r="CT975" t="s">
        <v>9704</v>
      </c>
      <c r="CU975" t="s">
        <v>292</v>
      </c>
      <c r="CV975" t="s">
        <v>293</v>
      </c>
      <c r="CW975" t="s">
        <v>13085</v>
      </c>
      <c r="CX975" t="s">
        <v>482</v>
      </c>
      <c r="CY975" t="s">
        <v>183</v>
      </c>
      <c r="CZ975" t="s">
        <v>211</v>
      </c>
      <c r="DA975" t="s">
        <v>298</v>
      </c>
      <c r="DC975" t="s">
        <v>8314</v>
      </c>
      <c r="DD975" t="s">
        <v>6761</v>
      </c>
      <c r="DE975" t="s">
        <v>267</v>
      </c>
      <c r="DF975" t="s">
        <v>268</v>
      </c>
      <c r="DG975" t="s">
        <v>13086</v>
      </c>
      <c r="DH975" t="s">
        <v>482</v>
      </c>
      <c r="DI975" t="s">
        <v>183</v>
      </c>
      <c r="DJ975" t="s">
        <v>211</v>
      </c>
      <c r="DK975" t="s">
        <v>296</v>
      </c>
      <c r="DL975" t="s">
        <v>6042</v>
      </c>
      <c r="DM975" t="s">
        <v>13087</v>
      </c>
      <c r="DN975" t="s">
        <v>10431</v>
      </c>
      <c r="DO975" t="s">
        <v>273</v>
      </c>
      <c r="DP975" t="s">
        <v>274</v>
      </c>
      <c r="DQ975" t="s">
        <v>13088</v>
      </c>
      <c r="DR975" t="s">
        <v>1491</v>
      </c>
      <c r="DS975" t="s">
        <v>183</v>
      </c>
      <c r="DT975" t="s">
        <v>211</v>
      </c>
      <c r="DU975" t="s">
        <v>444</v>
      </c>
      <c r="DV975" t="s">
        <v>6042</v>
      </c>
      <c r="DW975" t="s">
        <v>13087</v>
      </c>
      <c r="DX975" t="s">
        <v>10740</v>
      </c>
      <c r="DY975" t="s">
        <v>302</v>
      </c>
      <c r="DZ975" t="s">
        <v>303</v>
      </c>
      <c r="EA975" t="s">
        <v>13089</v>
      </c>
      <c r="EB975" t="s">
        <v>305</v>
      </c>
      <c r="EC975" t="s">
        <v>183</v>
      </c>
      <c r="ED975" t="s">
        <v>211</v>
      </c>
      <c r="EF975" t="s">
        <v>6042</v>
      </c>
      <c r="EG975" t="s">
        <v>198</v>
      </c>
      <c r="EH975" t="s">
        <v>13090</v>
      </c>
      <c r="EI975" t="s">
        <v>238</v>
      </c>
      <c r="EJ975" t="s">
        <v>239</v>
      </c>
      <c r="EK975" t="s">
        <v>13091</v>
      </c>
      <c r="EL975" t="s">
        <v>278</v>
      </c>
      <c r="EM975" t="s">
        <v>183</v>
      </c>
      <c r="EN975" t="s">
        <v>211</v>
      </c>
      <c r="EO975" t="s">
        <v>988</v>
      </c>
      <c r="EP975" t="s">
        <v>6042</v>
      </c>
      <c r="EQ975" t="s">
        <v>13087</v>
      </c>
      <c r="ER975" t="s">
        <v>8010</v>
      </c>
      <c r="ES975" t="s">
        <v>346</v>
      </c>
      <c r="ET975" t="s">
        <v>347</v>
      </c>
      <c r="EU975" t="s">
        <v>13092</v>
      </c>
      <c r="EV975" t="s">
        <v>254</v>
      </c>
      <c r="EW975" t="s">
        <v>183</v>
      </c>
      <c r="EX975" t="s">
        <v>211</v>
      </c>
      <c r="EY975" t="s">
        <v>1190</v>
      </c>
      <c r="EZ975" t="s">
        <v>6042</v>
      </c>
      <c r="FA975" t="s">
        <v>13087</v>
      </c>
      <c r="FB975" t="s">
        <v>13093</v>
      </c>
      <c r="FC975" t="s">
        <v>207</v>
      </c>
      <c r="FD975" t="s">
        <v>208</v>
      </c>
      <c r="FE975" t="s">
        <v>13094</v>
      </c>
      <c r="FF975" t="s">
        <v>576</v>
      </c>
      <c r="FG975" t="s">
        <v>183</v>
      </c>
      <c r="FH975" t="s">
        <v>211</v>
      </c>
      <c r="FI975" t="s">
        <v>909</v>
      </c>
      <c r="FK975" t="s">
        <v>13095</v>
      </c>
      <c r="FU975" t="s">
        <v>198</v>
      </c>
    </row>
    <row r="976" spans="1:177">
      <c r="A976" s="1" t="str">
        <f>HYPERLINK("http://digipan.lumentumllc.com/apps/getLink/index.php?t=PropLink&amp;p=5248575","PL")</f>
        <v>PL</v>
      </c>
      <c r="B976" s="1" t="str">
        <f>HYPERLINK("http://digipan.lumentumllc.com/apps/getLink/index.php?t=TaxLink&amp;p=5248575","TL")</f>
        <v>TL</v>
      </c>
      <c r="C976" s="1" t="str">
        <f>HYPERLINK("http://digipan.lumentumllc.com/apps/getMap/index.php?p=5248575","Map")</f>
        <v>Map</v>
      </c>
      <c r="E976" t="s">
        <v>177</v>
      </c>
      <c r="F976" t="s">
        <v>178</v>
      </c>
      <c r="L976" t="s">
        <v>13096</v>
      </c>
      <c r="N976" t="s">
        <v>13096</v>
      </c>
      <c r="O976" t="s">
        <v>13096</v>
      </c>
      <c r="P976" t="s">
        <v>13097</v>
      </c>
      <c r="Q976" t="s">
        <v>13096</v>
      </c>
      <c r="V976">
        <v>1125</v>
      </c>
      <c r="W976">
        <v>4</v>
      </c>
      <c r="X976">
        <v>2017</v>
      </c>
      <c r="Y976">
        <v>2018</v>
      </c>
      <c r="Z976">
        <v>154.80000000000001</v>
      </c>
      <c r="AB976" t="s">
        <v>181</v>
      </c>
      <c r="AC976" t="s">
        <v>182</v>
      </c>
      <c r="AD976" t="s">
        <v>1037</v>
      </c>
      <c r="AE976">
        <v>0</v>
      </c>
      <c r="AF976">
        <v>7</v>
      </c>
      <c r="AG976" t="s">
        <v>528</v>
      </c>
      <c r="AH976">
        <v>100</v>
      </c>
      <c r="AK976">
        <v>0</v>
      </c>
      <c r="AL976">
        <v>7500</v>
      </c>
      <c r="AM976">
        <v>7500</v>
      </c>
      <c r="AN976">
        <v>0</v>
      </c>
      <c r="AO976">
        <v>115</v>
      </c>
      <c r="AP976">
        <v>2016</v>
      </c>
      <c r="AQ976">
        <v>2.06</v>
      </c>
      <c r="AS976" t="s">
        <v>13098</v>
      </c>
      <c r="AT976" t="s">
        <v>3747</v>
      </c>
      <c r="AU976" t="s">
        <v>177</v>
      </c>
      <c r="AV976" t="s">
        <v>1030</v>
      </c>
      <c r="AW976" t="s">
        <v>182</v>
      </c>
      <c r="AX976">
        <v>0</v>
      </c>
      <c r="AY976" t="s">
        <v>312</v>
      </c>
      <c r="AZ976" t="s">
        <v>199</v>
      </c>
      <c r="BA976" t="s">
        <v>313</v>
      </c>
      <c r="BB976" t="s">
        <v>191</v>
      </c>
      <c r="BC976" t="s">
        <v>182</v>
      </c>
      <c r="BD976" t="s">
        <v>182</v>
      </c>
      <c r="BE976" t="s">
        <v>3930</v>
      </c>
      <c r="BF976">
        <v>0</v>
      </c>
      <c r="BG976">
        <v>0</v>
      </c>
      <c r="BH976">
        <v>0</v>
      </c>
      <c r="BI976" t="s">
        <v>199</v>
      </c>
      <c r="BJ976" t="s">
        <v>248</v>
      </c>
      <c r="BL976" t="s">
        <v>199</v>
      </c>
      <c r="BM976" t="s">
        <v>358</v>
      </c>
      <c r="BN976" t="s">
        <v>182</v>
      </c>
      <c r="BO976" t="s">
        <v>198</v>
      </c>
      <c r="BP976" t="s">
        <v>198</v>
      </c>
      <c r="BQ976" t="s">
        <v>198</v>
      </c>
      <c r="BR976" t="s">
        <v>198</v>
      </c>
      <c r="BS976" t="s">
        <v>198</v>
      </c>
      <c r="BT976" t="s">
        <v>198</v>
      </c>
      <c r="BU976" t="s">
        <v>182</v>
      </c>
      <c r="BV976" t="s">
        <v>198</v>
      </c>
      <c r="BW976" t="s">
        <v>198</v>
      </c>
      <c r="BX976" t="s">
        <v>199</v>
      </c>
      <c r="BY976" t="s">
        <v>198</v>
      </c>
      <c r="BZ976" t="s">
        <v>199</v>
      </c>
      <c r="CA976" t="s">
        <v>199</v>
      </c>
      <c r="CB976" t="s">
        <v>13099</v>
      </c>
      <c r="CC976" t="s">
        <v>201</v>
      </c>
      <c r="CD976" t="s">
        <v>202</v>
      </c>
      <c r="CE976" t="s">
        <v>13100</v>
      </c>
      <c r="CF976" t="s">
        <v>1029</v>
      </c>
      <c r="CG976" t="s">
        <v>177</v>
      </c>
      <c r="CH976" t="s">
        <v>1030</v>
      </c>
      <c r="CI976" t="s">
        <v>12031</v>
      </c>
      <c r="CJ976" t="s">
        <v>12338</v>
      </c>
      <c r="CK976" t="s">
        <v>292</v>
      </c>
      <c r="CL976" t="s">
        <v>293</v>
      </c>
      <c r="CM976" t="s">
        <v>13076</v>
      </c>
      <c r="CN976" t="s">
        <v>482</v>
      </c>
      <c r="CO976" t="s">
        <v>5</v>
      </c>
      <c r="CP976" t="s">
        <v>211</v>
      </c>
      <c r="CQ976" t="s">
        <v>189</v>
      </c>
      <c r="CS976" t="s">
        <v>13101</v>
      </c>
      <c r="CT976" t="s">
        <v>2563</v>
      </c>
      <c r="CU976" t="s">
        <v>267</v>
      </c>
      <c r="CV976" t="s">
        <v>268</v>
      </c>
      <c r="CW976" t="s">
        <v>13102</v>
      </c>
      <c r="CX976" t="s">
        <v>482</v>
      </c>
      <c r="CY976" t="s">
        <v>183</v>
      </c>
      <c r="CZ976" t="s">
        <v>211</v>
      </c>
      <c r="DA976" t="s">
        <v>460</v>
      </c>
      <c r="DC976" t="s">
        <v>13101</v>
      </c>
      <c r="DD976" t="s">
        <v>13103</v>
      </c>
      <c r="DE976" t="s">
        <v>273</v>
      </c>
      <c r="DF976" t="s">
        <v>274</v>
      </c>
      <c r="DG976" t="s">
        <v>11181</v>
      </c>
      <c r="DH976" t="s">
        <v>1491</v>
      </c>
      <c r="DI976" t="s">
        <v>183</v>
      </c>
      <c r="DJ976" t="s">
        <v>211</v>
      </c>
      <c r="DK976" t="s">
        <v>345</v>
      </c>
      <c r="DM976" t="s">
        <v>13104</v>
      </c>
      <c r="DN976" t="s">
        <v>10754</v>
      </c>
      <c r="DO976" t="s">
        <v>302</v>
      </c>
      <c r="DP976" t="s">
        <v>303</v>
      </c>
      <c r="DQ976" t="s">
        <v>3728</v>
      </c>
      <c r="DR976" t="s">
        <v>341</v>
      </c>
      <c r="DS976" t="s">
        <v>183</v>
      </c>
      <c r="DT976" t="s">
        <v>211</v>
      </c>
      <c r="DU976" t="s">
        <v>865</v>
      </c>
      <c r="DW976" t="s">
        <v>13104</v>
      </c>
      <c r="DX976" t="s">
        <v>13105</v>
      </c>
      <c r="DY976" t="s">
        <v>238</v>
      </c>
      <c r="DZ976" t="s">
        <v>239</v>
      </c>
      <c r="EA976" t="s">
        <v>13106</v>
      </c>
      <c r="EB976" t="s">
        <v>482</v>
      </c>
      <c r="EC976" t="s">
        <v>183</v>
      </c>
      <c r="ED976" t="s">
        <v>211</v>
      </c>
      <c r="EE976" t="s">
        <v>1085</v>
      </c>
      <c r="EG976" t="s">
        <v>13104</v>
      </c>
      <c r="EH976" t="s">
        <v>13107</v>
      </c>
      <c r="EI976" t="s">
        <v>346</v>
      </c>
      <c r="EJ976" t="s">
        <v>347</v>
      </c>
      <c r="EK976" t="s">
        <v>11199</v>
      </c>
      <c r="EL976" t="s">
        <v>615</v>
      </c>
      <c r="EM976" t="s">
        <v>183</v>
      </c>
      <c r="EN976" t="s">
        <v>211</v>
      </c>
      <c r="EO976" t="s">
        <v>847</v>
      </c>
      <c r="EQ976" t="s">
        <v>549</v>
      </c>
      <c r="ER976" t="s">
        <v>13108</v>
      </c>
      <c r="ES976" t="s">
        <v>207</v>
      </c>
      <c r="ET976" t="s">
        <v>208</v>
      </c>
      <c r="EU976" t="s">
        <v>13109</v>
      </c>
      <c r="EV976" t="s">
        <v>576</v>
      </c>
      <c r="EW976" t="s">
        <v>183</v>
      </c>
      <c r="EX976" t="s">
        <v>211</v>
      </c>
      <c r="EY976" t="s">
        <v>329</v>
      </c>
      <c r="FA976" t="s">
        <v>1880</v>
      </c>
      <c r="FK976" t="s">
        <v>198</v>
      </c>
      <c r="FU976" t="s">
        <v>198</v>
      </c>
    </row>
    <row r="977" spans="1:177">
      <c r="A977" s="1" t="str">
        <f>HYPERLINK("http://digipan.lumentumllc.com/apps/getLink/index.php?t=PropLink&amp;p=15763992","PL")</f>
        <v>PL</v>
      </c>
      <c r="B977" s="1" t="str">
        <f>HYPERLINK("http://digipan.lumentumllc.com/apps/getLink/index.php?t=TaxLink&amp;p=15763992","TL")</f>
        <v>TL</v>
      </c>
      <c r="C977" s="1" t="str">
        <f>HYPERLINK("http://digipan.lumentumllc.com/apps/getMap/index.php?p=15763992","Map")</f>
        <v>Map</v>
      </c>
      <c r="E977" t="s">
        <v>177</v>
      </c>
      <c r="F977" t="s">
        <v>178</v>
      </c>
      <c r="L977" t="s">
        <v>13110</v>
      </c>
      <c r="N977" t="s">
        <v>13110</v>
      </c>
      <c r="O977" t="s">
        <v>13110</v>
      </c>
      <c r="Q977" t="s">
        <v>13110</v>
      </c>
      <c r="V977">
        <v>1126</v>
      </c>
      <c r="W977">
        <v>4</v>
      </c>
      <c r="X977">
        <v>2017</v>
      </c>
      <c r="Y977">
        <v>2018</v>
      </c>
      <c r="Z977">
        <v>327.08</v>
      </c>
      <c r="AG977" t="s">
        <v>184</v>
      </c>
      <c r="AH977">
        <v>0</v>
      </c>
      <c r="AK977">
        <v>0</v>
      </c>
      <c r="AL977">
        <v>51818</v>
      </c>
      <c r="AM977">
        <v>9000</v>
      </c>
      <c r="AN977">
        <v>42818</v>
      </c>
      <c r="AO977">
        <v>263</v>
      </c>
      <c r="AP977">
        <v>2016</v>
      </c>
      <c r="AQ977">
        <v>0.63</v>
      </c>
      <c r="AS977" t="s">
        <v>13111</v>
      </c>
      <c r="AT977" t="s">
        <v>3747</v>
      </c>
      <c r="AU977" t="s">
        <v>177</v>
      </c>
      <c r="AV977" t="s">
        <v>1030</v>
      </c>
      <c r="AW977" t="s">
        <v>202</v>
      </c>
      <c r="AX977">
        <v>2</v>
      </c>
      <c r="AY977" t="s">
        <v>188</v>
      </c>
      <c r="AZ977" t="s">
        <v>189</v>
      </c>
      <c r="BA977" t="s">
        <v>190</v>
      </c>
      <c r="BB977" t="s">
        <v>191</v>
      </c>
      <c r="BC977" t="s">
        <v>182</v>
      </c>
      <c r="BD977" t="s">
        <v>182</v>
      </c>
      <c r="BE977" t="s">
        <v>3956</v>
      </c>
      <c r="BF977">
        <v>1</v>
      </c>
      <c r="BG977">
        <v>1</v>
      </c>
      <c r="BH977">
        <v>1997</v>
      </c>
      <c r="BI977" t="s">
        <v>13112</v>
      </c>
      <c r="BJ977" t="s">
        <v>194</v>
      </c>
      <c r="BK977" t="s">
        <v>195</v>
      </c>
      <c r="BL977" t="s">
        <v>5160</v>
      </c>
      <c r="BM977" t="s">
        <v>1414</v>
      </c>
      <c r="BN977" t="s">
        <v>182</v>
      </c>
      <c r="BO977" t="s">
        <v>198</v>
      </c>
      <c r="BP977" t="s">
        <v>198</v>
      </c>
      <c r="BQ977" t="s">
        <v>198</v>
      </c>
      <c r="BR977" t="s">
        <v>198</v>
      </c>
      <c r="BS977" t="s">
        <v>198</v>
      </c>
      <c r="BT977" t="s">
        <v>198</v>
      </c>
      <c r="BU977" t="s">
        <v>182</v>
      </c>
      <c r="BV977" t="s">
        <v>198</v>
      </c>
      <c r="BW977" t="s">
        <v>198</v>
      </c>
      <c r="BX977" t="s">
        <v>199</v>
      </c>
      <c r="BY977" t="s">
        <v>198</v>
      </c>
      <c r="BZ977" t="s">
        <v>199</v>
      </c>
      <c r="CA977" t="s">
        <v>199</v>
      </c>
      <c r="CB977" t="s">
        <v>13113</v>
      </c>
      <c r="CC977" t="s">
        <v>201</v>
      </c>
      <c r="CD977" t="s">
        <v>182</v>
      </c>
      <c r="CE977" t="s">
        <v>13114</v>
      </c>
      <c r="CF977" t="s">
        <v>1029</v>
      </c>
      <c r="CG977" t="s">
        <v>177</v>
      </c>
      <c r="CH977" t="s">
        <v>1030</v>
      </c>
      <c r="CI977" t="s">
        <v>13115</v>
      </c>
      <c r="CS977" t="s">
        <v>198</v>
      </c>
      <c r="DC977" t="s">
        <v>198</v>
      </c>
      <c r="DM977" t="s">
        <v>198</v>
      </c>
      <c r="DW977" t="s">
        <v>198</v>
      </c>
      <c r="EG977" t="s">
        <v>198</v>
      </c>
      <c r="EQ977" t="s">
        <v>198</v>
      </c>
      <c r="FA977" t="s">
        <v>198</v>
      </c>
      <c r="FK977" t="s">
        <v>198</v>
      </c>
      <c r="FU977" t="s">
        <v>198</v>
      </c>
    </row>
    <row r="978" spans="1:177">
      <c r="A978" s="1" t="str">
        <f>HYPERLINK("http://digipan.lumentumllc.com/apps/getLink/index.php?t=PropLink&amp;p=5248576","PL")</f>
        <v>PL</v>
      </c>
      <c r="B978" s="1" t="str">
        <f>HYPERLINK("http://digipan.lumentumllc.com/apps/getLink/index.php?t=TaxLink&amp;p=5248576","TL")</f>
        <v>TL</v>
      </c>
      <c r="C978" s="1" t="str">
        <f>HYPERLINK("http://digipan.lumentumllc.com/apps/getMap/index.php?p=5248576","Map")</f>
        <v>Map</v>
      </c>
      <c r="E978" t="s">
        <v>177</v>
      </c>
      <c r="F978" t="s">
        <v>178</v>
      </c>
      <c r="L978" t="s">
        <v>13116</v>
      </c>
      <c r="N978" t="s">
        <v>13116</v>
      </c>
      <c r="O978" t="s">
        <v>13116</v>
      </c>
      <c r="P978" t="s">
        <v>13117</v>
      </c>
      <c r="Q978" t="s">
        <v>13116</v>
      </c>
      <c r="V978">
        <v>1127</v>
      </c>
      <c r="W978">
        <v>4</v>
      </c>
      <c r="X978">
        <v>2017</v>
      </c>
      <c r="Y978">
        <v>2018</v>
      </c>
      <c r="Z978">
        <v>154.80000000000001</v>
      </c>
      <c r="AB978" t="s">
        <v>181</v>
      </c>
      <c r="AC978" t="s">
        <v>202</v>
      </c>
      <c r="AD978" t="s">
        <v>183</v>
      </c>
      <c r="AE978">
        <v>1</v>
      </c>
      <c r="AF978">
        <v>6</v>
      </c>
      <c r="AG978" t="s">
        <v>322</v>
      </c>
      <c r="AH978">
        <v>83</v>
      </c>
      <c r="AI978">
        <v>151.51</v>
      </c>
      <c r="AJ978">
        <v>14.77</v>
      </c>
      <c r="AK978">
        <v>166.28</v>
      </c>
      <c r="AL978">
        <v>7500</v>
      </c>
      <c r="AM978">
        <v>7500</v>
      </c>
      <c r="AN978">
        <v>0</v>
      </c>
      <c r="AO978">
        <v>115</v>
      </c>
      <c r="AP978">
        <v>2016</v>
      </c>
      <c r="AQ978">
        <v>2.06</v>
      </c>
      <c r="AR978">
        <v>2.2200000000000002</v>
      </c>
      <c r="AS978" t="s">
        <v>13118</v>
      </c>
      <c r="AT978" t="s">
        <v>3747</v>
      </c>
      <c r="AU978" t="s">
        <v>177</v>
      </c>
      <c r="AV978" t="s">
        <v>1030</v>
      </c>
      <c r="AW978" t="s">
        <v>182</v>
      </c>
      <c r="AX978">
        <v>0</v>
      </c>
      <c r="AY978" t="s">
        <v>312</v>
      </c>
      <c r="AZ978" t="s">
        <v>199</v>
      </c>
      <c r="BA978" t="s">
        <v>313</v>
      </c>
      <c r="BB978" t="s">
        <v>191</v>
      </c>
      <c r="BC978" t="s">
        <v>182</v>
      </c>
      <c r="BD978" t="s">
        <v>182</v>
      </c>
      <c r="BE978" t="s">
        <v>3930</v>
      </c>
      <c r="BF978">
        <v>0</v>
      </c>
      <c r="BG978">
        <v>0</v>
      </c>
      <c r="BH978">
        <v>0</v>
      </c>
      <c r="BI978" t="s">
        <v>199</v>
      </c>
      <c r="BJ978" t="s">
        <v>315</v>
      </c>
      <c r="BL978" t="s">
        <v>199</v>
      </c>
      <c r="BM978" t="s">
        <v>501</v>
      </c>
      <c r="BN978" t="s">
        <v>182</v>
      </c>
      <c r="BO978" t="s">
        <v>198</v>
      </c>
      <c r="BP978" t="s">
        <v>198</v>
      </c>
      <c r="BQ978" t="s">
        <v>198</v>
      </c>
      <c r="BR978" t="s">
        <v>198</v>
      </c>
      <c r="BS978" t="s">
        <v>198</v>
      </c>
      <c r="BT978" t="s">
        <v>198</v>
      </c>
      <c r="BU978" t="s">
        <v>182</v>
      </c>
      <c r="BV978" t="s">
        <v>198</v>
      </c>
      <c r="BW978" t="s">
        <v>198</v>
      </c>
      <c r="BX978" t="s">
        <v>199</v>
      </c>
      <c r="BY978" t="s">
        <v>198</v>
      </c>
      <c r="BZ978" t="s">
        <v>199</v>
      </c>
      <c r="CA978" t="s">
        <v>199</v>
      </c>
      <c r="CB978" t="s">
        <v>13119</v>
      </c>
      <c r="CC978" t="s">
        <v>201</v>
      </c>
      <c r="CD978" t="s">
        <v>202</v>
      </c>
      <c r="CE978" t="s">
        <v>13120</v>
      </c>
      <c r="CF978" t="s">
        <v>1029</v>
      </c>
      <c r="CG978" t="s">
        <v>177</v>
      </c>
      <c r="CH978" t="s">
        <v>1030</v>
      </c>
      <c r="CI978" t="s">
        <v>13121</v>
      </c>
      <c r="CJ978" t="s">
        <v>2209</v>
      </c>
      <c r="CK978" t="s">
        <v>232</v>
      </c>
      <c r="CL978" t="s">
        <v>233</v>
      </c>
      <c r="CM978" t="s">
        <v>13122</v>
      </c>
      <c r="CN978" t="s">
        <v>341</v>
      </c>
      <c r="CO978" t="s">
        <v>183</v>
      </c>
      <c r="CP978" t="s">
        <v>266</v>
      </c>
      <c r="CS978" t="s">
        <v>198</v>
      </c>
      <c r="CT978" t="s">
        <v>12045</v>
      </c>
      <c r="CU978" t="s">
        <v>292</v>
      </c>
      <c r="CV978" t="s">
        <v>293</v>
      </c>
      <c r="CW978" t="s">
        <v>13076</v>
      </c>
      <c r="CX978" t="s">
        <v>482</v>
      </c>
      <c r="CY978" t="s">
        <v>183</v>
      </c>
      <c r="CZ978" t="s">
        <v>211</v>
      </c>
      <c r="DB978" t="s">
        <v>271</v>
      </c>
      <c r="DC978" t="s">
        <v>198</v>
      </c>
      <c r="DD978" t="s">
        <v>3117</v>
      </c>
      <c r="DE978" t="s">
        <v>267</v>
      </c>
      <c r="DF978" t="s">
        <v>268</v>
      </c>
      <c r="DG978" t="s">
        <v>13102</v>
      </c>
      <c r="DH978" t="s">
        <v>482</v>
      </c>
      <c r="DI978" t="s">
        <v>183</v>
      </c>
      <c r="DJ978" t="s">
        <v>211</v>
      </c>
      <c r="DK978" t="s">
        <v>427</v>
      </c>
      <c r="DL978" t="s">
        <v>271</v>
      </c>
      <c r="DM978" t="s">
        <v>2946</v>
      </c>
      <c r="DN978" t="s">
        <v>6469</v>
      </c>
      <c r="DO978" t="s">
        <v>273</v>
      </c>
      <c r="DP978" t="s">
        <v>274</v>
      </c>
      <c r="DQ978" t="s">
        <v>11181</v>
      </c>
      <c r="DR978" t="s">
        <v>1491</v>
      </c>
      <c r="DS978" t="s">
        <v>183</v>
      </c>
      <c r="DT978" t="s">
        <v>211</v>
      </c>
      <c r="DV978" t="s">
        <v>271</v>
      </c>
      <c r="DW978" t="s">
        <v>198</v>
      </c>
      <c r="DX978" t="s">
        <v>10774</v>
      </c>
      <c r="DY978" t="s">
        <v>302</v>
      </c>
      <c r="DZ978" t="s">
        <v>303</v>
      </c>
      <c r="EA978" t="s">
        <v>3728</v>
      </c>
      <c r="EB978" t="s">
        <v>341</v>
      </c>
      <c r="EC978" t="s">
        <v>183</v>
      </c>
      <c r="ED978" t="s">
        <v>211</v>
      </c>
      <c r="EE978" t="s">
        <v>655</v>
      </c>
      <c r="EF978" t="s">
        <v>271</v>
      </c>
      <c r="EG978" t="s">
        <v>2946</v>
      </c>
      <c r="EH978" t="s">
        <v>1291</v>
      </c>
      <c r="EI978" t="s">
        <v>346</v>
      </c>
      <c r="EJ978" t="s">
        <v>347</v>
      </c>
      <c r="EK978" t="s">
        <v>11199</v>
      </c>
      <c r="EL978" t="s">
        <v>254</v>
      </c>
      <c r="EM978" t="s">
        <v>183</v>
      </c>
      <c r="EN978" t="s">
        <v>211</v>
      </c>
      <c r="EO978" t="s">
        <v>245</v>
      </c>
      <c r="EP978" t="s">
        <v>271</v>
      </c>
      <c r="EQ978" t="s">
        <v>2946</v>
      </c>
      <c r="ER978" t="s">
        <v>5539</v>
      </c>
      <c r="ES978" t="s">
        <v>207</v>
      </c>
      <c r="ET978" t="s">
        <v>208</v>
      </c>
      <c r="EU978" t="s">
        <v>13109</v>
      </c>
      <c r="EV978" t="s">
        <v>576</v>
      </c>
      <c r="EW978" t="s">
        <v>183</v>
      </c>
      <c r="EX978" t="s">
        <v>211</v>
      </c>
      <c r="EY978" t="s">
        <v>720</v>
      </c>
      <c r="EZ978" t="s">
        <v>271</v>
      </c>
      <c r="FA978" t="s">
        <v>2946</v>
      </c>
      <c r="FK978" t="s">
        <v>198</v>
      </c>
      <c r="FU978" t="s">
        <v>198</v>
      </c>
    </row>
    <row r="979" spans="1:177">
      <c r="A979" s="1" t="str">
        <f>HYPERLINK("http://digipan.lumentumllc.com/apps/getLink/index.php?t=PropLink&amp;p=5248577","PL")</f>
        <v>PL</v>
      </c>
      <c r="B979" s="1" t="str">
        <f>HYPERLINK("http://digipan.lumentumllc.com/apps/getLink/index.php?t=TaxLink&amp;p=5248577","TL")</f>
        <v>TL</v>
      </c>
      <c r="C979" s="1" t="str">
        <f>HYPERLINK("http://digipan.lumentumllc.com/apps/getMap/index.php?p=5248577","Map")</f>
        <v>Map</v>
      </c>
      <c r="E979" t="s">
        <v>177</v>
      </c>
      <c r="F979" t="s">
        <v>178</v>
      </c>
      <c r="L979" t="s">
        <v>13123</v>
      </c>
      <c r="N979" t="s">
        <v>13123</v>
      </c>
      <c r="O979" t="s">
        <v>13123</v>
      </c>
      <c r="P979" t="s">
        <v>13124</v>
      </c>
      <c r="Q979" t="s">
        <v>13123</v>
      </c>
      <c r="V979">
        <v>1128</v>
      </c>
      <c r="W979">
        <v>4</v>
      </c>
      <c r="X979">
        <v>2017</v>
      </c>
      <c r="Y979">
        <v>2018</v>
      </c>
      <c r="Z979">
        <v>266.05</v>
      </c>
      <c r="AB979" t="s">
        <v>181</v>
      </c>
      <c r="AC979" t="s">
        <v>182</v>
      </c>
      <c r="AD979" t="s">
        <v>183</v>
      </c>
      <c r="AE979">
        <v>7</v>
      </c>
      <c r="AF979">
        <v>0</v>
      </c>
      <c r="AG979" t="s">
        <v>1038</v>
      </c>
      <c r="AH979">
        <v>0</v>
      </c>
      <c r="AI979">
        <v>1781.49</v>
      </c>
      <c r="AJ979">
        <v>798.8</v>
      </c>
      <c r="AK979">
        <v>2580.29</v>
      </c>
      <c r="AL979">
        <v>15000</v>
      </c>
      <c r="AM979">
        <v>7500</v>
      </c>
      <c r="AN979">
        <v>7500</v>
      </c>
      <c r="AO979">
        <v>192</v>
      </c>
      <c r="AP979">
        <v>2016</v>
      </c>
      <c r="AQ979">
        <v>1.77</v>
      </c>
      <c r="AR979">
        <v>17.2</v>
      </c>
      <c r="AS979" t="s">
        <v>13125</v>
      </c>
      <c r="AT979" t="s">
        <v>3747</v>
      </c>
      <c r="AU979" t="s">
        <v>177</v>
      </c>
      <c r="AV979" t="s">
        <v>1030</v>
      </c>
      <c r="AW979" t="s">
        <v>182</v>
      </c>
      <c r="AX979">
        <v>0</v>
      </c>
      <c r="AY979" t="s">
        <v>312</v>
      </c>
      <c r="AZ979" t="s">
        <v>199</v>
      </c>
      <c r="BA979" t="s">
        <v>313</v>
      </c>
      <c r="BB979" t="s">
        <v>191</v>
      </c>
      <c r="BC979" t="s">
        <v>182</v>
      </c>
      <c r="BD979" t="s">
        <v>182</v>
      </c>
      <c r="BE979" t="s">
        <v>13126</v>
      </c>
      <c r="BF979">
        <v>0</v>
      </c>
      <c r="BG979">
        <v>0</v>
      </c>
      <c r="BH979">
        <v>0</v>
      </c>
      <c r="BI979" t="s">
        <v>199</v>
      </c>
      <c r="BJ979" t="s">
        <v>396</v>
      </c>
      <c r="BL979" t="s">
        <v>199</v>
      </c>
      <c r="BM979" t="s">
        <v>358</v>
      </c>
      <c r="BN979" t="s">
        <v>182</v>
      </c>
      <c r="BO979" t="s">
        <v>198</v>
      </c>
      <c r="BP979" t="s">
        <v>198</v>
      </c>
      <c r="BQ979" t="s">
        <v>198</v>
      </c>
      <c r="BR979" t="s">
        <v>198</v>
      </c>
      <c r="BS979" t="s">
        <v>198</v>
      </c>
      <c r="BT979" t="s">
        <v>198</v>
      </c>
      <c r="BU979" t="s">
        <v>182</v>
      </c>
      <c r="BV979" t="s">
        <v>198</v>
      </c>
      <c r="BW979" t="s">
        <v>198</v>
      </c>
      <c r="BX979" t="s">
        <v>199</v>
      </c>
      <c r="BY979" t="s">
        <v>198</v>
      </c>
      <c r="BZ979" t="s">
        <v>199</v>
      </c>
      <c r="CA979" t="s">
        <v>199</v>
      </c>
      <c r="CB979" t="s">
        <v>13127</v>
      </c>
      <c r="CC979" t="s">
        <v>201</v>
      </c>
      <c r="CD979" t="s">
        <v>182</v>
      </c>
      <c r="CE979" t="s">
        <v>13128</v>
      </c>
      <c r="CF979" t="s">
        <v>1029</v>
      </c>
      <c r="CG979" t="s">
        <v>177</v>
      </c>
      <c r="CH979" t="s">
        <v>1030</v>
      </c>
      <c r="CI979" t="s">
        <v>13129</v>
      </c>
      <c r="CJ979" t="s">
        <v>6349</v>
      </c>
      <c r="CK979" t="s">
        <v>232</v>
      </c>
      <c r="CL979" t="s">
        <v>233</v>
      </c>
      <c r="CM979" t="s">
        <v>13130</v>
      </c>
      <c r="CN979" t="s">
        <v>482</v>
      </c>
      <c r="CO979" t="s">
        <v>183</v>
      </c>
      <c r="CP979" t="s">
        <v>266</v>
      </c>
      <c r="CS979" t="s">
        <v>198</v>
      </c>
      <c r="CT979" t="s">
        <v>12896</v>
      </c>
      <c r="CU979" t="s">
        <v>292</v>
      </c>
      <c r="CV979" t="s">
        <v>293</v>
      </c>
      <c r="CW979" t="s">
        <v>13131</v>
      </c>
      <c r="CX979" t="s">
        <v>482</v>
      </c>
      <c r="CY979" t="s">
        <v>183</v>
      </c>
      <c r="CZ979" t="s">
        <v>266</v>
      </c>
      <c r="DC979" t="s">
        <v>198</v>
      </c>
      <c r="DD979" t="s">
        <v>9871</v>
      </c>
      <c r="DE979" t="s">
        <v>267</v>
      </c>
      <c r="DF979" t="s">
        <v>268</v>
      </c>
      <c r="DG979" t="s">
        <v>13132</v>
      </c>
      <c r="DH979" t="s">
        <v>482</v>
      </c>
      <c r="DI979" t="s">
        <v>183</v>
      </c>
      <c r="DJ979" t="s">
        <v>266</v>
      </c>
      <c r="DM979" t="s">
        <v>198</v>
      </c>
      <c r="DN979" t="s">
        <v>12673</v>
      </c>
      <c r="DO979" t="s">
        <v>273</v>
      </c>
      <c r="DP979" t="s">
        <v>274</v>
      </c>
      <c r="DQ979" t="s">
        <v>13133</v>
      </c>
      <c r="DR979" t="s">
        <v>4595</v>
      </c>
      <c r="DS979" t="s">
        <v>183</v>
      </c>
      <c r="DT979" t="s">
        <v>266</v>
      </c>
      <c r="DW979" t="s">
        <v>198</v>
      </c>
      <c r="DX979" t="s">
        <v>9270</v>
      </c>
      <c r="DY979" t="s">
        <v>302</v>
      </c>
      <c r="DZ979" t="s">
        <v>303</v>
      </c>
      <c r="EA979" t="s">
        <v>13134</v>
      </c>
      <c r="EB979" t="s">
        <v>2515</v>
      </c>
      <c r="EC979" t="s">
        <v>183</v>
      </c>
      <c r="ED979" t="s">
        <v>266</v>
      </c>
      <c r="EG979" t="s">
        <v>198</v>
      </c>
      <c r="EH979" t="s">
        <v>13135</v>
      </c>
      <c r="EI979" t="s">
        <v>238</v>
      </c>
      <c r="EJ979" t="s">
        <v>239</v>
      </c>
      <c r="EK979" t="s">
        <v>2952</v>
      </c>
      <c r="EL979" t="s">
        <v>482</v>
      </c>
      <c r="EM979" t="s">
        <v>183</v>
      </c>
      <c r="EN979" t="s">
        <v>266</v>
      </c>
      <c r="EQ979" t="s">
        <v>198</v>
      </c>
      <c r="ER979" t="s">
        <v>5250</v>
      </c>
      <c r="ES979" t="s">
        <v>346</v>
      </c>
      <c r="ET979" t="s">
        <v>347</v>
      </c>
      <c r="EU979" t="s">
        <v>13136</v>
      </c>
      <c r="EV979" t="s">
        <v>235</v>
      </c>
      <c r="EW979" t="s">
        <v>183</v>
      </c>
      <c r="EX979" t="s">
        <v>266</v>
      </c>
      <c r="FA979" t="s">
        <v>198</v>
      </c>
      <c r="FK979" t="s">
        <v>198</v>
      </c>
      <c r="FU979" t="s">
        <v>198</v>
      </c>
    </row>
    <row r="980" spans="1:177">
      <c r="A980" s="1" t="str">
        <f>HYPERLINK("http://digipan.lumentumllc.com/apps/getLink/index.php?t=PropLink&amp;p=15763996","PL")</f>
        <v>PL</v>
      </c>
      <c r="B980" s="1" t="str">
        <f>HYPERLINK("http://digipan.lumentumllc.com/apps/getLink/index.php?t=TaxLink&amp;p=15763996","TL")</f>
        <v>TL</v>
      </c>
      <c r="C980" s="1" t="str">
        <f>HYPERLINK("http://digipan.lumentumllc.com/apps/getMap/index.php?p=15763996","Map")</f>
        <v>Map</v>
      </c>
      <c r="E980" t="s">
        <v>177</v>
      </c>
      <c r="F980" t="s">
        <v>178</v>
      </c>
      <c r="L980" t="s">
        <v>13137</v>
      </c>
      <c r="N980" t="s">
        <v>13137</v>
      </c>
      <c r="O980" t="s">
        <v>13137</v>
      </c>
      <c r="Q980" t="s">
        <v>13137</v>
      </c>
      <c r="V980">
        <v>1129</v>
      </c>
      <c r="W980">
        <v>4</v>
      </c>
      <c r="X980">
        <v>2017</v>
      </c>
      <c r="Y980">
        <v>2018</v>
      </c>
      <c r="Z980">
        <v>924.44</v>
      </c>
      <c r="AG980" t="s">
        <v>184</v>
      </c>
      <c r="AH980">
        <v>0</v>
      </c>
      <c r="AK980">
        <v>0</v>
      </c>
      <c r="AL980">
        <v>54508</v>
      </c>
      <c r="AM980">
        <v>9000</v>
      </c>
      <c r="AN980">
        <v>45508</v>
      </c>
      <c r="AO980">
        <v>405</v>
      </c>
      <c r="AP980">
        <v>2016</v>
      </c>
      <c r="AQ980">
        <v>1.7</v>
      </c>
      <c r="AS980" t="s">
        <v>13138</v>
      </c>
      <c r="AT980" t="s">
        <v>3747</v>
      </c>
      <c r="AU980" t="s">
        <v>177</v>
      </c>
      <c r="AV980" t="s">
        <v>1030</v>
      </c>
      <c r="AW980" t="s">
        <v>182</v>
      </c>
      <c r="AX980">
        <v>2</v>
      </c>
      <c r="AY980" t="s">
        <v>188</v>
      </c>
      <c r="AZ980" t="s">
        <v>189</v>
      </c>
      <c r="BA980" t="s">
        <v>190</v>
      </c>
      <c r="BB980" t="s">
        <v>191</v>
      </c>
      <c r="BC980" t="s">
        <v>182</v>
      </c>
      <c r="BD980" t="s">
        <v>182</v>
      </c>
      <c r="BE980" t="s">
        <v>3956</v>
      </c>
      <c r="BF980">
        <v>1</v>
      </c>
      <c r="BG980">
        <v>1</v>
      </c>
      <c r="BH980">
        <v>2006</v>
      </c>
      <c r="BI980" t="s">
        <v>669</v>
      </c>
      <c r="BJ980" t="s">
        <v>194</v>
      </c>
      <c r="BK980" t="s">
        <v>195</v>
      </c>
      <c r="BL980" t="s">
        <v>13139</v>
      </c>
      <c r="BM980" t="s">
        <v>197</v>
      </c>
      <c r="BN980" t="s">
        <v>182</v>
      </c>
      <c r="BO980" t="s">
        <v>13140</v>
      </c>
      <c r="BP980" t="s">
        <v>13141</v>
      </c>
      <c r="BQ980" t="s">
        <v>1896</v>
      </c>
      <c r="BR980" t="s">
        <v>563</v>
      </c>
      <c r="BS980" t="s">
        <v>198</v>
      </c>
      <c r="BT980" t="s">
        <v>13142</v>
      </c>
      <c r="BU980" t="s">
        <v>182</v>
      </c>
      <c r="BV980" t="s">
        <v>198</v>
      </c>
      <c r="BW980" t="s">
        <v>198</v>
      </c>
      <c r="BX980" t="s">
        <v>199</v>
      </c>
      <c r="BY980" t="s">
        <v>198</v>
      </c>
      <c r="BZ980" t="s">
        <v>199</v>
      </c>
      <c r="CA980" t="s">
        <v>199</v>
      </c>
      <c r="CB980" t="s">
        <v>13143</v>
      </c>
      <c r="CC980" t="s">
        <v>201</v>
      </c>
      <c r="CD980" t="s">
        <v>202</v>
      </c>
      <c r="CE980" t="s">
        <v>13144</v>
      </c>
      <c r="CF980" t="s">
        <v>13145</v>
      </c>
      <c r="CG980" t="s">
        <v>12039</v>
      </c>
      <c r="CH980" t="s">
        <v>13146</v>
      </c>
      <c r="CI980" t="s">
        <v>13147</v>
      </c>
      <c r="CS980" t="s">
        <v>198</v>
      </c>
      <c r="DC980" t="s">
        <v>198</v>
      </c>
      <c r="DM980" t="s">
        <v>198</v>
      </c>
      <c r="DW980" t="s">
        <v>198</v>
      </c>
      <c r="EG980" t="s">
        <v>198</v>
      </c>
      <c r="EQ980" t="s">
        <v>198</v>
      </c>
      <c r="FA980" t="s">
        <v>198</v>
      </c>
      <c r="FK980" t="s">
        <v>198</v>
      </c>
      <c r="FU980" t="s">
        <v>198</v>
      </c>
    </row>
    <row r="981" spans="1:177">
      <c r="A981" s="1" t="str">
        <f>HYPERLINK("http://digipan.lumentumllc.com/apps/getLink/index.php?t=PropLink&amp;p=6129650","PL")</f>
        <v>PL</v>
      </c>
      <c r="B981" s="1" t="str">
        <f>HYPERLINK("http://digipan.lumentumllc.com/apps/getLink/index.php?t=TaxLink&amp;p=6129650","TL")</f>
        <v>TL</v>
      </c>
      <c r="C981" s="1" t="str">
        <f>HYPERLINK("http://digipan.lumentumllc.com/apps/getMap/index.php?p=6129650","Map")</f>
        <v>Map</v>
      </c>
      <c r="E981" t="s">
        <v>177</v>
      </c>
      <c r="F981" t="s">
        <v>178</v>
      </c>
      <c r="L981" t="s">
        <v>13148</v>
      </c>
      <c r="N981" t="s">
        <v>13148</v>
      </c>
      <c r="O981" t="s">
        <v>13148</v>
      </c>
      <c r="P981" t="s">
        <v>13149</v>
      </c>
      <c r="Q981" t="s">
        <v>13148</v>
      </c>
      <c r="V981">
        <v>1130</v>
      </c>
      <c r="W981">
        <v>4</v>
      </c>
      <c r="X981">
        <v>2017</v>
      </c>
      <c r="Y981">
        <v>2018</v>
      </c>
      <c r="Z981">
        <v>485.52</v>
      </c>
      <c r="AB981" t="s">
        <v>181</v>
      </c>
      <c r="AC981" t="s">
        <v>182</v>
      </c>
      <c r="AD981" t="s">
        <v>183</v>
      </c>
      <c r="AE981">
        <v>0</v>
      </c>
      <c r="AF981">
        <v>4</v>
      </c>
      <c r="AG981" t="s">
        <v>744</v>
      </c>
      <c r="AH981">
        <v>100</v>
      </c>
      <c r="AK981">
        <v>0</v>
      </c>
      <c r="AL981">
        <v>27699</v>
      </c>
      <c r="AM981">
        <v>4500</v>
      </c>
      <c r="AN981">
        <v>23199</v>
      </c>
      <c r="AO981">
        <v>425</v>
      </c>
      <c r="AP981">
        <v>2016</v>
      </c>
      <c r="AQ981">
        <v>1.75</v>
      </c>
      <c r="AS981" t="s">
        <v>13150</v>
      </c>
      <c r="AT981" t="s">
        <v>3747</v>
      </c>
      <c r="AU981" t="s">
        <v>177</v>
      </c>
      <c r="AV981" t="s">
        <v>1030</v>
      </c>
      <c r="AW981" t="s">
        <v>182</v>
      </c>
      <c r="AX981">
        <v>1</v>
      </c>
      <c r="AY981" t="s">
        <v>188</v>
      </c>
      <c r="AZ981" t="s">
        <v>206</v>
      </c>
      <c r="BA981" t="s">
        <v>355</v>
      </c>
      <c r="BB981" t="s">
        <v>191</v>
      </c>
      <c r="BC981" t="s">
        <v>182</v>
      </c>
      <c r="BD981" t="s">
        <v>182</v>
      </c>
      <c r="BE981" t="s">
        <v>12936</v>
      </c>
      <c r="BF981">
        <v>1</v>
      </c>
      <c r="BG981">
        <v>1</v>
      </c>
      <c r="BH981">
        <v>1961</v>
      </c>
      <c r="BI981" t="s">
        <v>8633</v>
      </c>
      <c r="BJ981" t="s">
        <v>194</v>
      </c>
      <c r="BK981" t="s">
        <v>195</v>
      </c>
      <c r="BL981" t="s">
        <v>199</v>
      </c>
      <c r="BM981" t="s">
        <v>358</v>
      </c>
      <c r="BN981" t="s">
        <v>182</v>
      </c>
      <c r="BO981" t="s">
        <v>198</v>
      </c>
      <c r="BP981" t="s">
        <v>198</v>
      </c>
      <c r="BQ981" t="s">
        <v>198</v>
      </c>
      <c r="BR981" t="s">
        <v>198</v>
      </c>
      <c r="BS981" t="s">
        <v>198</v>
      </c>
      <c r="BT981" t="s">
        <v>198</v>
      </c>
      <c r="BU981" t="s">
        <v>182</v>
      </c>
      <c r="BV981" t="s">
        <v>198</v>
      </c>
      <c r="BW981" t="s">
        <v>198</v>
      </c>
      <c r="BX981" t="s">
        <v>199</v>
      </c>
      <c r="BY981" t="s">
        <v>198</v>
      </c>
      <c r="BZ981" t="s">
        <v>199</v>
      </c>
      <c r="CA981" t="s">
        <v>199</v>
      </c>
      <c r="CB981" t="s">
        <v>13151</v>
      </c>
      <c r="CC981" t="s">
        <v>201</v>
      </c>
      <c r="CD981" t="s">
        <v>202</v>
      </c>
      <c r="CE981" t="s">
        <v>13152</v>
      </c>
      <c r="CF981" t="s">
        <v>1029</v>
      </c>
      <c r="CG981" t="s">
        <v>177</v>
      </c>
      <c r="CH981" t="s">
        <v>1030</v>
      </c>
      <c r="CI981" t="s">
        <v>13153</v>
      </c>
      <c r="CJ981" t="s">
        <v>9544</v>
      </c>
      <c r="CK981" t="s">
        <v>232</v>
      </c>
      <c r="CL981" t="s">
        <v>233</v>
      </c>
      <c r="CM981" t="s">
        <v>13154</v>
      </c>
      <c r="CN981" t="s">
        <v>235</v>
      </c>
      <c r="CO981" t="s">
        <v>183</v>
      </c>
      <c r="CP981" t="s">
        <v>211</v>
      </c>
      <c r="CQ981" t="s">
        <v>270</v>
      </c>
      <c r="CS981" t="s">
        <v>10932</v>
      </c>
      <c r="CT981" t="s">
        <v>6517</v>
      </c>
      <c r="CU981" t="s">
        <v>292</v>
      </c>
      <c r="CV981" t="s">
        <v>293</v>
      </c>
      <c r="CW981" t="s">
        <v>6950</v>
      </c>
      <c r="CX981" t="s">
        <v>1491</v>
      </c>
      <c r="CY981" t="s">
        <v>183</v>
      </c>
      <c r="CZ981" t="s">
        <v>211</v>
      </c>
      <c r="DA981" t="s">
        <v>329</v>
      </c>
      <c r="DC981" t="s">
        <v>13155</v>
      </c>
      <c r="DD981" t="s">
        <v>6816</v>
      </c>
      <c r="DE981" t="s">
        <v>267</v>
      </c>
      <c r="DF981" t="s">
        <v>268</v>
      </c>
      <c r="DG981" t="s">
        <v>13156</v>
      </c>
      <c r="DH981" t="s">
        <v>331</v>
      </c>
      <c r="DI981" t="s">
        <v>183</v>
      </c>
      <c r="DJ981" t="s">
        <v>211</v>
      </c>
      <c r="DK981" t="s">
        <v>298</v>
      </c>
      <c r="DM981" t="s">
        <v>13155</v>
      </c>
      <c r="DN981" t="s">
        <v>12687</v>
      </c>
      <c r="DO981" t="s">
        <v>273</v>
      </c>
      <c r="DP981" t="s">
        <v>274</v>
      </c>
      <c r="DQ981" t="s">
        <v>13157</v>
      </c>
      <c r="DR981" t="s">
        <v>235</v>
      </c>
      <c r="DS981" t="s">
        <v>183</v>
      </c>
      <c r="DT981" t="s">
        <v>211</v>
      </c>
      <c r="DU981" t="s">
        <v>487</v>
      </c>
      <c r="DW981" t="s">
        <v>1462</v>
      </c>
      <c r="EG981" t="s">
        <v>198</v>
      </c>
      <c r="EQ981" t="s">
        <v>198</v>
      </c>
      <c r="FA981" t="s">
        <v>198</v>
      </c>
      <c r="FK981" t="s">
        <v>198</v>
      </c>
      <c r="FU981" t="s">
        <v>198</v>
      </c>
    </row>
    <row r="982" spans="1:177">
      <c r="A982" s="1" t="str">
        <f>HYPERLINK("http://digipan.lumentumllc.com/apps/getLink/index.php?t=PropLink&amp;p=6594424","PL")</f>
        <v>PL</v>
      </c>
      <c r="B982" s="1" t="str">
        <f>HYPERLINK("http://digipan.lumentumllc.com/apps/getLink/index.php?t=TaxLink&amp;p=6594424","TL")</f>
        <v>TL</v>
      </c>
      <c r="C982" s="1" t="str">
        <f>HYPERLINK("http://digipan.lumentumllc.com/apps/getMap/index.php?p=6594424","Map")</f>
        <v>Map</v>
      </c>
      <c r="E982" t="s">
        <v>177</v>
      </c>
      <c r="F982" t="s">
        <v>178</v>
      </c>
      <c r="L982" t="s">
        <v>13158</v>
      </c>
      <c r="N982" t="s">
        <v>13158</v>
      </c>
      <c r="O982" t="s">
        <v>13158</v>
      </c>
      <c r="P982" t="s">
        <v>13159</v>
      </c>
      <c r="Q982" t="s">
        <v>13158</v>
      </c>
      <c r="V982">
        <v>1131</v>
      </c>
      <c r="W982">
        <v>4</v>
      </c>
      <c r="X982">
        <v>2017</v>
      </c>
      <c r="Y982">
        <v>2018</v>
      </c>
      <c r="Z982">
        <v>366.2</v>
      </c>
      <c r="AB982" t="s">
        <v>181</v>
      </c>
      <c r="AC982" t="s">
        <v>182</v>
      </c>
      <c r="AD982" t="s">
        <v>183</v>
      </c>
      <c r="AE982">
        <v>0</v>
      </c>
      <c r="AF982">
        <v>2</v>
      </c>
      <c r="AG982" t="s">
        <v>216</v>
      </c>
      <c r="AH982">
        <v>100</v>
      </c>
      <c r="AK982">
        <v>0</v>
      </c>
      <c r="AL982">
        <v>20412</v>
      </c>
      <c r="AM982">
        <v>7500</v>
      </c>
      <c r="AN982">
        <v>12912</v>
      </c>
      <c r="AO982">
        <v>313</v>
      </c>
      <c r="AP982">
        <v>2016</v>
      </c>
      <c r="AQ982">
        <v>1.79</v>
      </c>
      <c r="AS982" t="s">
        <v>13160</v>
      </c>
      <c r="AT982" t="s">
        <v>3747</v>
      </c>
      <c r="AU982" t="s">
        <v>177</v>
      </c>
      <c r="AV982" t="s">
        <v>1030</v>
      </c>
      <c r="AW982" t="s">
        <v>182</v>
      </c>
      <c r="AX982">
        <v>1</v>
      </c>
      <c r="AY982" t="s">
        <v>188</v>
      </c>
      <c r="AZ982" t="s">
        <v>206</v>
      </c>
      <c r="BA982" t="s">
        <v>355</v>
      </c>
      <c r="BB982" t="s">
        <v>191</v>
      </c>
      <c r="BC982" t="s">
        <v>182</v>
      </c>
      <c r="BD982" t="s">
        <v>182</v>
      </c>
      <c r="BE982" t="s">
        <v>6180</v>
      </c>
      <c r="BF982">
        <v>1</v>
      </c>
      <c r="BG982">
        <v>1</v>
      </c>
      <c r="BH982">
        <v>1961</v>
      </c>
      <c r="BI982" t="s">
        <v>13161</v>
      </c>
      <c r="BJ982" t="s">
        <v>285</v>
      </c>
      <c r="BK982" t="s">
        <v>195</v>
      </c>
      <c r="BL982" t="s">
        <v>6558</v>
      </c>
      <c r="BM982" t="s">
        <v>4973</v>
      </c>
      <c r="BN982" t="s">
        <v>182</v>
      </c>
      <c r="BO982" t="s">
        <v>198</v>
      </c>
      <c r="BP982" t="s">
        <v>198</v>
      </c>
      <c r="BQ982" t="s">
        <v>198</v>
      </c>
      <c r="BR982" t="s">
        <v>198</v>
      </c>
      <c r="BS982" t="s">
        <v>198</v>
      </c>
      <c r="BT982" t="s">
        <v>198</v>
      </c>
      <c r="BU982" t="s">
        <v>182</v>
      </c>
      <c r="BV982" t="s">
        <v>198</v>
      </c>
      <c r="BW982" t="s">
        <v>198</v>
      </c>
      <c r="BX982" t="s">
        <v>199</v>
      </c>
      <c r="BY982" t="s">
        <v>198</v>
      </c>
      <c r="BZ982" t="s">
        <v>199</v>
      </c>
      <c r="CA982" t="s">
        <v>199</v>
      </c>
      <c r="CB982" t="s">
        <v>13162</v>
      </c>
      <c r="CC982" t="s">
        <v>201</v>
      </c>
      <c r="CD982" t="s">
        <v>202</v>
      </c>
      <c r="CE982" t="s">
        <v>13163</v>
      </c>
      <c r="CF982" t="s">
        <v>1029</v>
      </c>
      <c r="CG982" t="s">
        <v>177</v>
      </c>
      <c r="CH982" t="s">
        <v>1030</v>
      </c>
      <c r="CI982" t="s">
        <v>13164</v>
      </c>
      <c r="CJ982" t="s">
        <v>6833</v>
      </c>
      <c r="CK982" t="s">
        <v>267</v>
      </c>
      <c r="CL982" t="s">
        <v>268</v>
      </c>
      <c r="CM982" t="s">
        <v>13165</v>
      </c>
      <c r="CN982" t="s">
        <v>331</v>
      </c>
      <c r="CO982" t="s">
        <v>183</v>
      </c>
      <c r="CP982" t="s">
        <v>211</v>
      </c>
      <c r="CQ982" t="s">
        <v>206</v>
      </c>
      <c r="CS982" t="s">
        <v>13166</v>
      </c>
      <c r="CT982" t="s">
        <v>10471</v>
      </c>
      <c r="CU982" t="s">
        <v>273</v>
      </c>
      <c r="CV982" t="s">
        <v>274</v>
      </c>
      <c r="CW982" t="s">
        <v>13167</v>
      </c>
      <c r="CX982" t="s">
        <v>235</v>
      </c>
      <c r="CY982" t="s">
        <v>183</v>
      </c>
      <c r="CZ982" t="s">
        <v>211</v>
      </c>
      <c r="DA982" t="s">
        <v>345</v>
      </c>
      <c r="DC982" t="s">
        <v>7476</v>
      </c>
      <c r="DM982" t="s">
        <v>198</v>
      </c>
      <c r="DW982" t="s">
        <v>198</v>
      </c>
      <c r="EG982" t="s">
        <v>198</v>
      </c>
      <c r="EQ982" t="s">
        <v>198</v>
      </c>
      <c r="FA982" t="s">
        <v>198</v>
      </c>
      <c r="FK982" t="s">
        <v>198</v>
      </c>
      <c r="FU982" t="s">
        <v>198</v>
      </c>
    </row>
    <row r="983" spans="1:177">
      <c r="A983" s="1" t="str">
        <f>HYPERLINK("http://digipan.lumentumllc.com/apps/getLink/index.php?t=PropLink&amp;p=6129651","PL")</f>
        <v>PL</v>
      </c>
      <c r="B983" s="1" t="str">
        <f>HYPERLINK("http://digipan.lumentumllc.com/apps/getLink/index.php?t=TaxLink&amp;p=6129651","TL")</f>
        <v>TL</v>
      </c>
      <c r="C983" s="1" t="str">
        <f>HYPERLINK("http://digipan.lumentumllc.com/apps/getMap/index.php?p=6129651","Map")</f>
        <v>Map</v>
      </c>
      <c r="E983" t="s">
        <v>177</v>
      </c>
      <c r="F983" t="s">
        <v>178</v>
      </c>
      <c r="L983" t="s">
        <v>13168</v>
      </c>
      <c r="N983" t="s">
        <v>13168</v>
      </c>
      <c r="O983" t="s">
        <v>13168</v>
      </c>
      <c r="P983" t="s">
        <v>13169</v>
      </c>
      <c r="Q983" t="s">
        <v>13168</v>
      </c>
      <c r="V983">
        <v>1132</v>
      </c>
      <c r="W983">
        <v>4</v>
      </c>
      <c r="X983">
        <v>2017</v>
      </c>
      <c r="Y983">
        <v>2018</v>
      </c>
      <c r="Z983">
        <v>411.59</v>
      </c>
      <c r="AB983" t="s">
        <v>181</v>
      </c>
      <c r="AC983" t="s">
        <v>182</v>
      </c>
      <c r="AD983" t="s">
        <v>183</v>
      </c>
      <c r="AE983">
        <v>2</v>
      </c>
      <c r="AF983">
        <v>5</v>
      </c>
      <c r="AG983" t="s">
        <v>282</v>
      </c>
      <c r="AH983">
        <v>67</v>
      </c>
      <c r="AI983">
        <v>834.22</v>
      </c>
      <c r="AJ983">
        <v>148.9</v>
      </c>
      <c r="AK983">
        <v>983.12</v>
      </c>
      <c r="AL983">
        <v>23184</v>
      </c>
      <c r="AM983">
        <v>7500</v>
      </c>
      <c r="AN983">
        <v>15684</v>
      </c>
      <c r="AO983">
        <v>358</v>
      </c>
      <c r="AP983">
        <v>2016</v>
      </c>
      <c r="AQ983">
        <v>1.78</v>
      </c>
      <c r="AR983">
        <v>4.24</v>
      </c>
      <c r="AS983" t="s">
        <v>13170</v>
      </c>
      <c r="AT983" t="s">
        <v>3747</v>
      </c>
      <c r="AU983" t="s">
        <v>177</v>
      </c>
      <c r="AV983" t="s">
        <v>1030</v>
      </c>
      <c r="AW983" t="s">
        <v>182</v>
      </c>
      <c r="AX983">
        <v>1</v>
      </c>
      <c r="AY983" t="s">
        <v>188</v>
      </c>
      <c r="AZ983" t="s">
        <v>206</v>
      </c>
      <c r="BA983" t="s">
        <v>355</v>
      </c>
      <c r="BB983" t="s">
        <v>191</v>
      </c>
      <c r="BC983" t="s">
        <v>182</v>
      </c>
      <c r="BD983" t="s">
        <v>182</v>
      </c>
      <c r="BE983" t="s">
        <v>3861</v>
      </c>
      <c r="BF983">
        <v>1</v>
      </c>
      <c r="BG983">
        <v>1</v>
      </c>
      <c r="BH983">
        <v>1962</v>
      </c>
      <c r="BI983" t="s">
        <v>8108</v>
      </c>
      <c r="BJ983" t="s">
        <v>194</v>
      </c>
      <c r="BK983" t="s">
        <v>195</v>
      </c>
      <c r="BL983" t="s">
        <v>199</v>
      </c>
      <c r="BM983" t="s">
        <v>679</v>
      </c>
      <c r="BN983" t="s">
        <v>182</v>
      </c>
      <c r="BO983" t="s">
        <v>4177</v>
      </c>
      <c r="BP983" t="s">
        <v>13171</v>
      </c>
      <c r="BS983" t="s">
        <v>13172</v>
      </c>
      <c r="BT983" t="s">
        <v>198</v>
      </c>
      <c r="BU983" t="s">
        <v>182</v>
      </c>
      <c r="BV983" t="s">
        <v>198</v>
      </c>
      <c r="BW983" t="s">
        <v>198</v>
      </c>
      <c r="BX983" t="s">
        <v>199</v>
      </c>
      <c r="BY983" t="s">
        <v>198</v>
      </c>
      <c r="BZ983" t="s">
        <v>199</v>
      </c>
      <c r="CA983" t="s">
        <v>199</v>
      </c>
      <c r="CB983" t="s">
        <v>13173</v>
      </c>
      <c r="CC983" t="s">
        <v>201</v>
      </c>
      <c r="CD983" t="s">
        <v>202</v>
      </c>
      <c r="CE983" t="s">
        <v>13174</v>
      </c>
      <c r="CF983" t="s">
        <v>1029</v>
      </c>
      <c r="CG983" t="s">
        <v>177</v>
      </c>
      <c r="CH983" t="s">
        <v>1030</v>
      </c>
      <c r="CI983" t="s">
        <v>13175</v>
      </c>
      <c r="CJ983" t="s">
        <v>3840</v>
      </c>
      <c r="CK983" t="s">
        <v>232</v>
      </c>
      <c r="CL983" t="s">
        <v>233</v>
      </c>
      <c r="CM983" t="s">
        <v>13176</v>
      </c>
      <c r="CN983" t="s">
        <v>331</v>
      </c>
      <c r="CO983" t="s">
        <v>183</v>
      </c>
      <c r="CP983" t="s">
        <v>266</v>
      </c>
      <c r="CS983" t="s">
        <v>198</v>
      </c>
      <c r="CT983" t="s">
        <v>6543</v>
      </c>
      <c r="CU983" t="s">
        <v>292</v>
      </c>
      <c r="CV983" t="s">
        <v>293</v>
      </c>
      <c r="CW983" t="s">
        <v>13177</v>
      </c>
      <c r="CX983" t="s">
        <v>387</v>
      </c>
      <c r="CY983" t="s">
        <v>183</v>
      </c>
      <c r="CZ983" t="s">
        <v>266</v>
      </c>
      <c r="DC983" t="s">
        <v>198</v>
      </c>
      <c r="DD983" t="s">
        <v>10014</v>
      </c>
      <c r="DE983" t="s">
        <v>267</v>
      </c>
      <c r="DF983" t="s">
        <v>268</v>
      </c>
      <c r="DG983" t="s">
        <v>13178</v>
      </c>
      <c r="DH983" t="s">
        <v>511</v>
      </c>
      <c r="DI983" t="s">
        <v>183</v>
      </c>
      <c r="DJ983" t="s">
        <v>211</v>
      </c>
      <c r="DK983" t="s">
        <v>337</v>
      </c>
      <c r="DM983" t="s">
        <v>13179</v>
      </c>
      <c r="DN983" t="s">
        <v>12718</v>
      </c>
      <c r="DO983" t="s">
        <v>273</v>
      </c>
      <c r="DP983" t="s">
        <v>274</v>
      </c>
      <c r="DQ983" t="s">
        <v>13180</v>
      </c>
      <c r="DR983" t="s">
        <v>514</v>
      </c>
      <c r="DS983" t="s">
        <v>183</v>
      </c>
      <c r="DT983" t="s">
        <v>211</v>
      </c>
      <c r="DU983" t="s">
        <v>270</v>
      </c>
      <c r="DW983" t="s">
        <v>4984</v>
      </c>
      <c r="DX983" t="s">
        <v>13181</v>
      </c>
      <c r="DY983" t="s">
        <v>302</v>
      </c>
      <c r="DZ983" t="s">
        <v>303</v>
      </c>
      <c r="EA983" t="s">
        <v>13182</v>
      </c>
      <c r="EB983" t="s">
        <v>436</v>
      </c>
      <c r="EC983" t="s">
        <v>183</v>
      </c>
      <c r="ED983" t="s">
        <v>211</v>
      </c>
      <c r="EE983" t="s">
        <v>298</v>
      </c>
      <c r="EG983" t="s">
        <v>464</v>
      </c>
      <c r="EH983" t="s">
        <v>13183</v>
      </c>
      <c r="EI983" t="s">
        <v>238</v>
      </c>
      <c r="EJ983" t="s">
        <v>239</v>
      </c>
      <c r="EK983" t="s">
        <v>13184</v>
      </c>
      <c r="EL983" t="s">
        <v>440</v>
      </c>
      <c r="EM983" t="s">
        <v>183</v>
      </c>
      <c r="EN983" t="s">
        <v>211</v>
      </c>
      <c r="EO983" t="s">
        <v>298</v>
      </c>
      <c r="EQ983" t="s">
        <v>1815</v>
      </c>
      <c r="ER983" t="s">
        <v>2491</v>
      </c>
      <c r="ES983" t="s">
        <v>207</v>
      </c>
      <c r="ET983" t="s">
        <v>208</v>
      </c>
      <c r="EU983" t="s">
        <v>9947</v>
      </c>
      <c r="EV983" t="s">
        <v>576</v>
      </c>
      <c r="EW983" t="s">
        <v>183</v>
      </c>
      <c r="EX983" t="s">
        <v>211</v>
      </c>
      <c r="EY983" t="s">
        <v>337</v>
      </c>
      <c r="FA983" t="s">
        <v>4656</v>
      </c>
      <c r="FK983" t="s">
        <v>198</v>
      </c>
      <c r="FU983" t="s">
        <v>198</v>
      </c>
    </row>
    <row r="984" spans="1:177">
      <c r="A984" s="1" t="str">
        <f>HYPERLINK("http://digipan.lumentumllc.com/apps/getLink/index.php?t=PropLink&amp;p=5248579","PL")</f>
        <v>PL</v>
      </c>
      <c r="B984" s="1" t="str">
        <f>HYPERLINK("http://digipan.lumentumllc.com/apps/getLink/index.php?t=TaxLink&amp;p=5248579","TL")</f>
        <v>TL</v>
      </c>
      <c r="C984" s="1" t="str">
        <f>HYPERLINK("http://digipan.lumentumllc.com/apps/getMap/index.php?p=5248579","Map")</f>
        <v>Map</v>
      </c>
      <c r="E984" t="s">
        <v>177</v>
      </c>
      <c r="F984" t="s">
        <v>178</v>
      </c>
      <c r="L984" t="s">
        <v>13185</v>
      </c>
      <c r="N984" t="s">
        <v>13185</v>
      </c>
      <c r="O984" t="s">
        <v>13185</v>
      </c>
      <c r="P984" t="s">
        <v>13186</v>
      </c>
      <c r="Q984" t="s">
        <v>13185</v>
      </c>
      <c r="V984">
        <v>1133</v>
      </c>
      <c r="W984">
        <v>4</v>
      </c>
      <c r="X984">
        <v>2017</v>
      </c>
      <c r="Y984">
        <v>2018</v>
      </c>
      <c r="Z984">
        <v>330.1</v>
      </c>
      <c r="AB984" t="s">
        <v>181</v>
      </c>
      <c r="AC984" t="s">
        <v>202</v>
      </c>
      <c r="AD984" t="s">
        <v>183</v>
      </c>
      <c r="AE984">
        <v>1</v>
      </c>
      <c r="AF984">
        <v>7</v>
      </c>
      <c r="AG984" t="s">
        <v>418</v>
      </c>
      <c r="AH984">
        <v>86</v>
      </c>
      <c r="AI984">
        <v>322.61</v>
      </c>
      <c r="AJ984">
        <v>16.13</v>
      </c>
      <c r="AK984">
        <v>338.74</v>
      </c>
      <c r="AL984">
        <v>36414</v>
      </c>
      <c r="AM984">
        <v>7500</v>
      </c>
      <c r="AN984">
        <v>28914</v>
      </c>
      <c r="AO984">
        <v>273</v>
      </c>
      <c r="AP984">
        <v>2016</v>
      </c>
      <c r="AQ984">
        <v>0.91</v>
      </c>
      <c r="AR984">
        <v>0.93</v>
      </c>
      <c r="AS984" t="s">
        <v>13187</v>
      </c>
      <c r="AT984" t="s">
        <v>3747</v>
      </c>
      <c r="AU984" t="s">
        <v>177</v>
      </c>
      <c r="AV984" t="s">
        <v>1030</v>
      </c>
      <c r="AW984" t="s">
        <v>202</v>
      </c>
      <c r="AX984">
        <v>2</v>
      </c>
      <c r="AY984" t="s">
        <v>188</v>
      </c>
      <c r="AZ984" t="s">
        <v>189</v>
      </c>
      <c r="BA984" t="s">
        <v>190</v>
      </c>
      <c r="BB984" t="s">
        <v>191</v>
      </c>
      <c r="BC984" t="s">
        <v>182</v>
      </c>
      <c r="BD984" t="s">
        <v>182</v>
      </c>
      <c r="BE984" t="s">
        <v>3907</v>
      </c>
      <c r="BF984">
        <v>1</v>
      </c>
      <c r="BG984">
        <v>1</v>
      </c>
      <c r="BH984">
        <v>2006</v>
      </c>
      <c r="BI984" t="s">
        <v>2563</v>
      </c>
      <c r="BJ984" t="s">
        <v>194</v>
      </c>
      <c r="BK984" t="s">
        <v>195</v>
      </c>
      <c r="BL984" t="s">
        <v>199</v>
      </c>
      <c r="BM984" t="s">
        <v>679</v>
      </c>
      <c r="BN984" t="s">
        <v>182</v>
      </c>
      <c r="BO984" t="s">
        <v>198</v>
      </c>
      <c r="BP984" t="s">
        <v>198</v>
      </c>
      <c r="BQ984" t="s">
        <v>198</v>
      </c>
      <c r="BR984" t="s">
        <v>198</v>
      </c>
      <c r="BS984" t="s">
        <v>198</v>
      </c>
      <c r="BT984" t="s">
        <v>198</v>
      </c>
      <c r="BU984" t="s">
        <v>182</v>
      </c>
      <c r="BV984" t="s">
        <v>198</v>
      </c>
      <c r="BW984" t="s">
        <v>198</v>
      </c>
      <c r="BX984" t="s">
        <v>199</v>
      </c>
      <c r="BY984" t="s">
        <v>198</v>
      </c>
      <c r="BZ984" t="s">
        <v>199</v>
      </c>
      <c r="CA984" t="s">
        <v>199</v>
      </c>
      <c r="CB984" t="s">
        <v>13173</v>
      </c>
      <c r="CC984" t="s">
        <v>201</v>
      </c>
      <c r="CD984" t="s">
        <v>202</v>
      </c>
      <c r="CE984" t="s">
        <v>13188</v>
      </c>
      <c r="CF984" t="s">
        <v>1029</v>
      </c>
      <c r="CG984" t="s">
        <v>177</v>
      </c>
      <c r="CH984" t="s">
        <v>1030</v>
      </c>
      <c r="CI984" t="s">
        <v>13189</v>
      </c>
      <c r="CJ984" t="s">
        <v>11953</v>
      </c>
      <c r="CK984" t="s">
        <v>232</v>
      </c>
      <c r="CL984" t="s">
        <v>233</v>
      </c>
      <c r="CM984" t="s">
        <v>13190</v>
      </c>
      <c r="CN984" t="s">
        <v>235</v>
      </c>
      <c r="CO984" t="s">
        <v>183</v>
      </c>
      <c r="CP984" t="s">
        <v>266</v>
      </c>
      <c r="CS984" t="s">
        <v>198</v>
      </c>
      <c r="CT984" t="s">
        <v>13191</v>
      </c>
      <c r="CU984" t="s">
        <v>292</v>
      </c>
      <c r="CV984" t="s">
        <v>293</v>
      </c>
      <c r="CW984" t="s">
        <v>13192</v>
      </c>
      <c r="CX984" t="s">
        <v>333</v>
      </c>
      <c r="CY984" t="s">
        <v>183</v>
      </c>
      <c r="CZ984" t="s">
        <v>211</v>
      </c>
      <c r="DB984" t="s">
        <v>271</v>
      </c>
      <c r="DC984" t="s">
        <v>198</v>
      </c>
      <c r="DD984" t="s">
        <v>11839</v>
      </c>
      <c r="DE984" t="s">
        <v>267</v>
      </c>
      <c r="DF984" t="s">
        <v>268</v>
      </c>
      <c r="DG984" t="s">
        <v>13193</v>
      </c>
      <c r="DH984" t="s">
        <v>482</v>
      </c>
      <c r="DI984" t="s">
        <v>183</v>
      </c>
      <c r="DJ984" t="s">
        <v>211</v>
      </c>
      <c r="DK984" t="s">
        <v>427</v>
      </c>
      <c r="DL984" t="s">
        <v>271</v>
      </c>
      <c r="DM984" t="s">
        <v>2946</v>
      </c>
      <c r="DN984" t="s">
        <v>13194</v>
      </c>
      <c r="DO984" t="s">
        <v>273</v>
      </c>
      <c r="DP984" t="s">
        <v>274</v>
      </c>
      <c r="DQ984" t="s">
        <v>13195</v>
      </c>
      <c r="DR984" t="s">
        <v>278</v>
      </c>
      <c r="DS984" t="s">
        <v>183</v>
      </c>
      <c r="DT984" t="s">
        <v>211</v>
      </c>
      <c r="DV984" t="s">
        <v>271</v>
      </c>
      <c r="DW984" t="s">
        <v>198</v>
      </c>
      <c r="DX984" t="s">
        <v>10877</v>
      </c>
      <c r="DY984" t="s">
        <v>302</v>
      </c>
      <c r="DZ984" t="s">
        <v>303</v>
      </c>
      <c r="EA984" t="s">
        <v>13196</v>
      </c>
      <c r="EB984" t="s">
        <v>796</v>
      </c>
      <c r="EC984" t="s">
        <v>183</v>
      </c>
      <c r="ED984" t="s">
        <v>211</v>
      </c>
      <c r="EE984" t="s">
        <v>525</v>
      </c>
      <c r="EG984" t="s">
        <v>1069</v>
      </c>
      <c r="EH984" t="s">
        <v>13197</v>
      </c>
      <c r="EI984" t="s">
        <v>238</v>
      </c>
      <c r="EJ984" t="s">
        <v>239</v>
      </c>
      <c r="EK984" t="s">
        <v>13198</v>
      </c>
      <c r="EL984" t="s">
        <v>278</v>
      </c>
      <c r="EM984" t="s">
        <v>183</v>
      </c>
      <c r="EN984" t="s">
        <v>211</v>
      </c>
      <c r="EO984" t="s">
        <v>1162</v>
      </c>
      <c r="EP984" t="s">
        <v>271</v>
      </c>
      <c r="EQ984" t="s">
        <v>2946</v>
      </c>
      <c r="ER984" t="s">
        <v>13199</v>
      </c>
      <c r="ES984" t="s">
        <v>346</v>
      </c>
      <c r="ET984" t="s">
        <v>347</v>
      </c>
      <c r="EU984" t="s">
        <v>13200</v>
      </c>
      <c r="EV984" t="s">
        <v>1551</v>
      </c>
      <c r="EW984" t="s">
        <v>183</v>
      </c>
      <c r="EX984" t="s">
        <v>211</v>
      </c>
      <c r="EY984" t="s">
        <v>245</v>
      </c>
      <c r="EZ984" t="s">
        <v>271</v>
      </c>
      <c r="FA984" t="s">
        <v>2946</v>
      </c>
      <c r="FB984" t="s">
        <v>7443</v>
      </c>
      <c r="FC984" t="s">
        <v>207</v>
      </c>
      <c r="FD984" t="s">
        <v>208</v>
      </c>
      <c r="FE984" t="s">
        <v>13201</v>
      </c>
      <c r="FF984" t="s">
        <v>576</v>
      </c>
      <c r="FG984" t="s">
        <v>183</v>
      </c>
      <c r="FH984" t="s">
        <v>211</v>
      </c>
      <c r="FI984" t="s">
        <v>296</v>
      </c>
      <c r="FK984" t="s">
        <v>13202</v>
      </c>
      <c r="FU984" t="s">
        <v>198</v>
      </c>
    </row>
    <row r="985" spans="1:177">
      <c r="A985" s="1" t="str">
        <f>HYPERLINK("http://digipan.lumentumllc.com/apps/getLink/index.php?t=PropLink&amp;p=5248580","PL")</f>
        <v>PL</v>
      </c>
      <c r="B985" s="1" t="str">
        <f>HYPERLINK("http://digipan.lumentumllc.com/apps/getLink/index.php?t=TaxLink&amp;p=5248580","TL")</f>
        <v>TL</v>
      </c>
      <c r="C985" s="1" t="str">
        <f>HYPERLINK("http://digipan.lumentumllc.com/apps/getMap/index.php?p=5248580","Map")</f>
        <v>Map</v>
      </c>
      <c r="E985" t="s">
        <v>177</v>
      </c>
      <c r="F985" t="s">
        <v>178</v>
      </c>
      <c r="L985" t="s">
        <v>13203</v>
      </c>
      <c r="N985" t="s">
        <v>13203</v>
      </c>
      <c r="O985" t="s">
        <v>13203</v>
      </c>
      <c r="P985" t="s">
        <v>13204</v>
      </c>
      <c r="Q985" t="s">
        <v>13203</v>
      </c>
      <c r="V985">
        <v>1134</v>
      </c>
      <c r="W985">
        <v>4</v>
      </c>
      <c r="X985">
        <v>2017</v>
      </c>
      <c r="Y985">
        <v>2018</v>
      </c>
      <c r="Z985">
        <v>2809.06</v>
      </c>
      <c r="AB985" t="s">
        <v>181</v>
      </c>
      <c r="AC985" t="s">
        <v>182</v>
      </c>
      <c r="AD985" t="s">
        <v>183</v>
      </c>
      <c r="AE985">
        <v>1</v>
      </c>
      <c r="AF985">
        <v>7</v>
      </c>
      <c r="AG985" t="s">
        <v>418</v>
      </c>
      <c r="AH985">
        <v>86</v>
      </c>
      <c r="AI985">
        <v>2792.16</v>
      </c>
      <c r="AJ985">
        <v>139.61000000000001</v>
      </c>
      <c r="AK985">
        <v>2931.77</v>
      </c>
      <c r="AL985">
        <v>169617</v>
      </c>
      <c r="AM985">
        <v>36477</v>
      </c>
      <c r="AN985">
        <v>133140</v>
      </c>
      <c r="AO985">
        <v>2557</v>
      </c>
      <c r="AP985">
        <v>2016</v>
      </c>
      <c r="AQ985">
        <v>1.66</v>
      </c>
      <c r="AR985">
        <v>1.73</v>
      </c>
      <c r="AS985" t="s">
        <v>13205</v>
      </c>
      <c r="AT985" t="s">
        <v>3747</v>
      </c>
      <c r="AU985" t="s">
        <v>177</v>
      </c>
      <c r="AV985" t="s">
        <v>1030</v>
      </c>
      <c r="AW985" t="s">
        <v>182</v>
      </c>
      <c r="AX985">
        <v>12</v>
      </c>
      <c r="AY985" t="s">
        <v>3641</v>
      </c>
      <c r="AZ985" t="s">
        <v>427</v>
      </c>
      <c r="BA985" t="s">
        <v>7093</v>
      </c>
      <c r="BB985" t="s">
        <v>191</v>
      </c>
      <c r="BC985" t="s">
        <v>182</v>
      </c>
      <c r="BD985" t="s">
        <v>182</v>
      </c>
      <c r="BE985" t="s">
        <v>5689</v>
      </c>
      <c r="BF985">
        <v>3</v>
      </c>
      <c r="BG985">
        <v>2</v>
      </c>
      <c r="BH985">
        <v>1953</v>
      </c>
      <c r="BI985" t="s">
        <v>13206</v>
      </c>
      <c r="BJ985" t="s">
        <v>285</v>
      </c>
      <c r="BK985" t="s">
        <v>840</v>
      </c>
      <c r="BL985" t="s">
        <v>199</v>
      </c>
      <c r="BM985" t="s">
        <v>1387</v>
      </c>
      <c r="BN985" t="s">
        <v>182</v>
      </c>
      <c r="BO985" t="s">
        <v>13207</v>
      </c>
      <c r="BP985" t="s">
        <v>9161</v>
      </c>
      <c r="BS985" t="s">
        <v>13208</v>
      </c>
      <c r="BT985" t="s">
        <v>198</v>
      </c>
      <c r="BU985" t="s">
        <v>182</v>
      </c>
      <c r="BV985" t="s">
        <v>198</v>
      </c>
      <c r="BW985" t="s">
        <v>198</v>
      </c>
      <c r="BX985" t="s">
        <v>199</v>
      </c>
      <c r="BY985" t="s">
        <v>198</v>
      </c>
      <c r="BZ985" t="s">
        <v>199</v>
      </c>
      <c r="CA985" t="s">
        <v>199</v>
      </c>
      <c r="CB985" t="s">
        <v>13209</v>
      </c>
      <c r="CC985" t="s">
        <v>201</v>
      </c>
      <c r="CD985" t="s">
        <v>202</v>
      </c>
      <c r="CE985" t="s">
        <v>13210</v>
      </c>
      <c r="CF985" t="s">
        <v>1029</v>
      </c>
      <c r="CG985" t="s">
        <v>177</v>
      </c>
      <c r="CH985" t="s">
        <v>1030</v>
      </c>
      <c r="CI985" t="s">
        <v>13211</v>
      </c>
      <c r="CJ985" t="s">
        <v>6400</v>
      </c>
      <c r="CK985" t="s">
        <v>232</v>
      </c>
      <c r="CL985" t="s">
        <v>233</v>
      </c>
      <c r="CM985" t="s">
        <v>13212</v>
      </c>
      <c r="CN985" t="s">
        <v>235</v>
      </c>
      <c r="CO985" t="s">
        <v>183</v>
      </c>
      <c r="CP985" t="s">
        <v>266</v>
      </c>
      <c r="CS985" t="s">
        <v>198</v>
      </c>
      <c r="CT985" t="s">
        <v>6601</v>
      </c>
      <c r="CU985" t="s">
        <v>292</v>
      </c>
      <c r="CV985" t="s">
        <v>293</v>
      </c>
      <c r="CW985" t="s">
        <v>13213</v>
      </c>
      <c r="CX985" t="s">
        <v>235</v>
      </c>
      <c r="CY985" t="s">
        <v>183</v>
      </c>
      <c r="CZ985" t="s">
        <v>211</v>
      </c>
      <c r="DA985" t="s">
        <v>460</v>
      </c>
      <c r="DC985" t="s">
        <v>3719</v>
      </c>
      <c r="DD985" t="s">
        <v>6874</v>
      </c>
      <c r="DE985" t="s">
        <v>267</v>
      </c>
      <c r="DF985" t="s">
        <v>268</v>
      </c>
      <c r="DG985" t="s">
        <v>13214</v>
      </c>
      <c r="DH985" t="s">
        <v>235</v>
      </c>
      <c r="DI985" t="s">
        <v>183</v>
      </c>
      <c r="DJ985" t="s">
        <v>211</v>
      </c>
      <c r="DK985" t="s">
        <v>523</v>
      </c>
      <c r="DM985" t="s">
        <v>3894</v>
      </c>
      <c r="DN985" t="s">
        <v>13215</v>
      </c>
      <c r="DO985" t="s">
        <v>273</v>
      </c>
      <c r="DP985" t="s">
        <v>274</v>
      </c>
      <c r="DQ985" t="s">
        <v>13216</v>
      </c>
      <c r="DR985" t="s">
        <v>235</v>
      </c>
      <c r="DS985" t="s">
        <v>183</v>
      </c>
      <c r="DT985" t="s">
        <v>211</v>
      </c>
      <c r="DU985" t="s">
        <v>298</v>
      </c>
      <c r="DW985" t="s">
        <v>6014</v>
      </c>
      <c r="DX985" t="s">
        <v>13217</v>
      </c>
      <c r="DY985" t="s">
        <v>302</v>
      </c>
      <c r="DZ985" t="s">
        <v>303</v>
      </c>
      <c r="EA985" t="s">
        <v>13218</v>
      </c>
      <c r="EB985" t="s">
        <v>235</v>
      </c>
      <c r="EC985" t="s">
        <v>183</v>
      </c>
      <c r="ED985" t="s">
        <v>211</v>
      </c>
      <c r="EE985" t="s">
        <v>298</v>
      </c>
      <c r="EG985" t="s">
        <v>464</v>
      </c>
      <c r="EH985" t="s">
        <v>13219</v>
      </c>
      <c r="EI985" t="s">
        <v>238</v>
      </c>
      <c r="EJ985" t="s">
        <v>239</v>
      </c>
      <c r="EK985" t="s">
        <v>13220</v>
      </c>
      <c r="EL985" t="s">
        <v>1586</v>
      </c>
      <c r="EM985" t="s">
        <v>183</v>
      </c>
      <c r="EN985" t="s">
        <v>211</v>
      </c>
      <c r="EO985" t="s">
        <v>212</v>
      </c>
      <c r="EQ985" t="s">
        <v>279</v>
      </c>
      <c r="ER985" t="s">
        <v>1347</v>
      </c>
      <c r="ES985" t="s">
        <v>346</v>
      </c>
      <c r="ET985" t="s">
        <v>347</v>
      </c>
      <c r="EU985" t="s">
        <v>13221</v>
      </c>
      <c r="EV985" t="s">
        <v>511</v>
      </c>
      <c r="EW985" t="s">
        <v>183</v>
      </c>
      <c r="EX985" t="s">
        <v>211</v>
      </c>
      <c r="EY985" t="s">
        <v>296</v>
      </c>
      <c r="FA985" t="s">
        <v>13222</v>
      </c>
      <c r="FB985" t="s">
        <v>7132</v>
      </c>
      <c r="FC985" t="s">
        <v>207</v>
      </c>
      <c r="FD985" t="s">
        <v>208</v>
      </c>
      <c r="FE985" t="s">
        <v>13223</v>
      </c>
      <c r="FF985" t="s">
        <v>833</v>
      </c>
      <c r="FG985" t="s">
        <v>183</v>
      </c>
      <c r="FH985" t="s">
        <v>211</v>
      </c>
      <c r="FI985" t="s">
        <v>296</v>
      </c>
      <c r="FK985" t="s">
        <v>13224</v>
      </c>
      <c r="FU985" t="s">
        <v>198</v>
      </c>
    </row>
    <row r="986" spans="1:177">
      <c r="A986" s="1" t="str">
        <f>HYPERLINK("http://digipan.lumentumllc.com/apps/getLink/index.php?t=PropLink&amp;p=5248581","PL")</f>
        <v>PL</v>
      </c>
      <c r="B986" s="1" t="str">
        <f>HYPERLINK("http://digipan.lumentumllc.com/apps/getLink/index.php?t=TaxLink&amp;p=5248581","TL")</f>
        <v>TL</v>
      </c>
      <c r="C986" s="1" t="str">
        <f>HYPERLINK("http://digipan.lumentumllc.com/apps/getMap/index.php?p=5248581","Map")</f>
        <v>Map</v>
      </c>
      <c r="E986" t="s">
        <v>177</v>
      </c>
      <c r="F986" t="s">
        <v>178</v>
      </c>
      <c r="L986" t="s">
        <v>13225</v>
      </c>
      <c r="N986" t="s">
        <v>13225</v>
      </c>
      <c r="O986" t="s">
        <v>13225</v>
      </c>
      <c r="P986" t="s">
        <v>13226</v>
      </c>
      <c r="Q986" t="s">
        <v>13225</v>
      </c>
      <c r="V986">
        <v>1135</v>
      </c>
      <c r="W986">
        <v>4</v>
      </c>
      <c r="X986">
        <v>2017</v>
      </c>
      <c r="Y986">
        <v>2018</v>
      </c>
      <c r="Z986">
        <v>592.30999999999995</v>
      </c>
      <c r="AB986" t="s">
        <v>181</v>
      </c>
      <c r="AC986" t="s">
        <v>182</v>
      </c>
      <c r="AD986" t="s">
        <v>183</v>
      </c>
      <c r="AE986">
        <v>1</v>
      </c>
      <c r="AF986">
        <v>7</v>
      </c>
      <c r="AG986" t="s">
        <v>418</v>
      </c>
      <c r="AH986">
        <v>86</v>
      </c>
      <c r="AI986">
        <v>595.82000000000005</v>
      </c>
      <c r="AJ986">
        <v>29.79</v>
      </c>
      <c r="AK986">
        <v>625.61</v>
      </c>
      <c r="AL986">
        <v>34222</v>
      </c>
      <c r="AM986">
        <v>24412</v>
      </c>
      <c r="AN986">
        <v>9810</v>
      </c>
      <c r="AO986">
        <v>526</v>
      </c>
      <c r="AP986">
        <v>2016</v>
      </c>
      <c r="AQ986">
        <v>1.73</v>
      </c>
      <c r="AR986">
        <v>1.83</v>
      </c>
      <c r="AS986" t="s">
        <v>13227</v>
      </c>
      <c r="AT986" t="s">
        <v>3747</v>
      </c>
      <c r="AU986" t="s">
        <v>177</v>
      </c>
      <c r="AV986" t="s">
        <v>1030</v>
      </c>
      <c r="AW986" t="s">
        <v>182</v>
      </c>
      <c r="AX986">
        <v>2</v>
      </c>
      <c r="AY986" t="s">
        <v>188</v>
      </c>
      <c r="AZ986" t="s">
        <v>189</v>
      </c>
      <c r="BA986" t="s">
        <v>190</v>
      </c>
      <c r="BB986" t="s">
        <v>191</v>
      </c>
      <c r="BC986" t="s">
        <v>182</v>
      </c>
      <c r="BD986" t="s">
        <v>182</v>
      </c>
      <c r="BE986" t="s">
        <v>8898</v>
      </c>
      <c r="BF986">
        <v>1</v>
      </c>
      <c r="BG986">
        <v>1</v>
      </c>
      <c r="BH986">
        <v>1983</v>
      </c>
      <c r="BI986" t="s">
        <v>5889</v>
      </c>
      <c r="BJ986" t="s">
        <v>194</v>
      </c>
      <c r="BK986" t="s">
        <v>195</v>
      </c>
      <c r="BL986" t="s">
        <v>199</v>
      </c>
      <c r="BM986" t="s">
        <v>1041</v>
      </c>
      <c r="BN986" t="s">
        <v>182</v>
      </c>
      <c r="BO986" t="s">
        <v>198</v>
      </c>
      <c r="BP986" t="s">
        <v>198</v>
      </c>
      <c r="BQ986" t="s">
        <v>198</v>
      </c>
      <c r="BR986" t="s">
        <v>198</v>
      </c>
      <c r="BS986" t="s">
        <v>198</v>
      </c>
      <c r="BT986" t="s">
        <v>198</v>
      </c>
      <c r="BU986" t="s">
        <v>182</v>
      </c>
      <c r="BV986" t="s">
        <v>198</v>
      </c>
      <c r="BW986" t="s">
        <v>198</v>
      </c>
      <c r="BX986" t="s">
        <v>199</v>
      </c>
      <c r="BY986" t="s">
        <v>198</v>
      </c>
      <c r="BZ986" t="s">
        <v>199</v>
      </c>
      <c r="CA986" t="s">
        <v>199</v>
      </c>
      <c r="CB986" t="s">
        <v>13228</v>
      </c>
      <c r="CC986" t="s">
        <v>201</v>
      </c>
      <c r="CD986" t="s">
        <v>202</v>
      </c>
      <c r="CE986" t="s">
        <v>13229</v>
      </c>
      <c r="CF986" t="s">
        <v>1029</v>
      </c>
      <c r="CG986" t="s">
        <v>177</v>
      </c>
      <c r="CH986" t="s">
        <v>1030</v>
      </c>
      <c r="CI986" t="s">
        <v>13230</v>
      </c>
      <c r="CJ986" t="s">
        <v>6409</v>
      </c>
      <c r="CK986" t="s">
        <v>232</v>
      </c>
      <c r="CL986" t="s">
        <v>233</v>
      </c>
      <c r="CM986" t="s">
        <v>8966</v>
      </c>
      <c r="CN986" t="s">
        <v>235</v>
      </c>
      <c r="CO986" t="s">
        <v>183</v>
      </c>
      <c r="CP986" t="s">
        <v>266</v>
      </c>
      <c r="CS986" t="s">
        <v>198</v>
      </c>
      <c r="CT986" t="s">
        <v>6640</v>
      </c>
      <c r="CU986" t="s">
        <v>292</v>
      </c>
      <c r="CV986" t="s">
        <v>293</v>
      </c>
      <c r="CW986" t="s">
        <v>13231</v>
      </c>
      <c r="CX986" t="s">
        <v>235</v>
      </c>
      <c r="CY986" t="s">
        <v>183</v>
      </c>
      <c r="CZ986" t="s">
        <v>211</v>
      </c>
      <c r="DA986" t="s">
        <v>345</v>
      </c>
      <c r="DC986" t="s">
        <v>2825</v>
      </c>
      <c r="DD986" t="s">
        <v>10026</v>
      </c>
      <c r="DE986" t="s">
        <v>267</v>
      </c>
      <c r="DF986" t="s">
        <v>268</v>
      </c>
      <c r="DG986" t="s">
        <v>13232</v>
      </c>
      <c r="DH986" t="s">
        <v>235</v>
      </c>
      <c r="DI986" t="s">
        <v>183</v>
      </c>
      <c r="DJ986" t="s">
        <v>211</v>
      </c>
      <c r="DK986" t="s">
        <v>298</v>
      </c>
      <c r="DM986" t="s">
        <v>459</v>
      </c>
      <c r="DN986" t="s">
        <v>12731</v>
      </c>
      <c r="DO986" t="s">
        <v>273</v>
      </c>
      <c r="DP986" t="s">
        <v>274</v>
      </c>
      <c r="DQ986" t="s">
        <v>13233</v>
      </c>
      <c r="DR986" t="s">
        <v>278</v>
      </c>
      <c r="DS986" t="s">
        <v>183</v>
      </c>
      <c r="DT986" t="s">
        <v>211</v>
      </c>
      <c r="DU986" t="s">
        <v>298</v>
      </c>
      <c r="DW986" t="s">
        <v>6014</v>
      </c>
      <c r="DX986" t="s">
        <v>10942</v>
      </c>
      <c r="DY986" t="s">
        <v>302</v>
      </c>
      <c r="DZ986" t="s">
        <v>303</v>
      </c>
      <c r="EA986" t="s">
        <v>13234</v>
      </c>
      <c r="EB986" t="s">
        <v>796</v>
      </c>
      <c r="EC986" t="s">
        <v>183</v>
      </c>
      <c r="ED986" t="s">
        <v>211</v>
      </c>
      <c r="EE986" t="s">
        <v>298</v>
      </c>
      <c r="EG986" t="s">
        <v>464</v>
      </c>
      <c r="EH986" t="s">
        <v>13235</v>
      </c>
      <c r="EI986" t="s">
        <v>238</v>
      </c>
      <c r="EJ986" t="s">
        <v>239</v>
      </c>
      <c r="EK986" t="s">
        <v>13236</v>
      </c>
      <c r="EL986" t="s">
        <v>247</v>
      </c>
      <c r="EM986" t="s">
        <v>183</v>
      </c>
      <c r="EN986" t="s">
        <v>211</v>
      </c>
      <c r="EO986" t="s">
        <v>298</v>
      </c>
      <c r="EQ986" t="s">
        <v>3501</v>
      </c>
      <c r="ER986" t="s">
        <v>1373</v>
      </c>
      <c r="ES986" t="s">
        <v>346</v>
      </c>
      <c r="ET986" t="s">
        <v>347</v>
      </c>
      <c r="EU986" t="s">
        <v>13237</v>
      </c>
      <c r="EV986" t="s">
        <v>2515</v>
      </c>
      <c r="EW986" t="s">
        <v>183</v>
      </c>
      <c r="EX986" t="s">
        <v>211</v>
      </c>
      <c r="EY986" t="s">
        <v>296</v>
      </c>
      <c r="FA986" t="s">
        <v>13222</v>
      </c>
      <c r="FB986" t="s">
        <v>7147</v>
      </c>
      <c r="FC986" t="s">
        <v>207</v>
      </c>
      <c r="FD986" t="s">
        <v>208</v>
      </c>
      <c r="FE986" t="s">
        <v>13238</v>
      </c>
      <c r="FF986" t="s">
        <v>341</v>
      </c>
      <c r="FG986" t="s">
        <v>183</v>
      </c>
      <c r="FH986" t="s">
        <v>211</v>
      </c>
      <c r="FI986" t="s">
        <v>444</v>
      </c>
      <c r="FK986" t="s">
        <v>13222</v>
      </c>
      <c r="FU986" t="s">
        <v>198</v>
      </c>
    </row>
    <row r="987" spans="1:177">
      <c r="A987" s="1" t="str">
        <f>HYPERLINK("http://digipan.lumentumllc.com/apps/getLink/index.php?t=PropLink&amp;p=6129652","PL")</f>
        <v>PL</v>
      </c>
      <c r="B987" s="1" t="str">
        <f>HYPERLINK("http://digipan.lumentumllc.com/apps/getLink/index.php?t=TaxLink&amp;p=6129652","TL")</f>
        <v>TL</v>
      </c>
      <c r="C987" s="1" t="str">
        <f>HYPERLINK("http://digipan.lumentumllc.com/apps/getMap/index.php?p=6129652","Map")</f>
        <v>Map</v>
      </c>
      <c r="E987" t="s">
        <v>177</v>
      </c>
      <c r="F987" t="s">
        <v>178</v>
      </c>
      <c r="L987" t="s">
        <v>13239</v>
      </c>
      <c r="N987" t="s">
        <v>13239</v>
      </c>
      <c r="O987" t="s">
        <v>13239</v>
      </c>
      <c r="P987" t="s">
        <v>13240</v>
      </c>
      <c r="Q987" t="s">
        <v>13239</v>
      </c>
      <c r="V987">
        <v>1136</v>
      </c>
      <c r="W987">
        <v>4</v>
      </c>
      <c r="X987">
        <v>2017</v>
      </c>
      <c r="Y987">
        <v>2018</v>
      </c>
      <c r="Z987">
        <v>2619.89</v>
      </c>
      <c r="AB987" t="s">
        <v>181</v>
      </c>
      <c r="AC987" t="s">
        <v>202</v>
      </c>
      <c r="AD987" t="s">
        <v>183</v>
      </c>
      <c r="AE987">
        <v>0</v>
      </c>
      <c r="AF987">
        <v>3</v>
      </c>
      <c r="AG987" t="s">
        <v>381</v>
      </c>
      <c r="AH987">
        <v>100</v>
      </c>
      <c r="AK987">
        <v>0</v>
      </c>
      <c r="AL987">
        <v>158061</v>
      </c>
      <c r="AM987">
        <v>91684</v>
      </c>
      <c r="AN987">
        <v>66377</v>
      </c>
      <c r="AO987">
        <v>2730</v>
      </c>
      <c r="AP987">
        <v>2016</v>
      </c>
      <c r="AQ987">
        <v>1.66</v>
      </c>
      <c r="AS987" t="s">
        <v>13241</v>
      </c>
      <c r="AT987" t="s">
        <v>3747</v>
      </c>
      <c r="AU987" t="s">
        <v>177</v>
      </c>
      <c r="AV987" t="s">
        <v>1030</v>
      </c>
      <c r="AW987" t="s">
        <v>182</v>
      </c>
      <c r="AX987">
        <v>14</v>
      </c>
      <c r="AY987" t="s">
        <v>3641</v>
      </c>
      <c r="AZ987" t="s">
        <v>460</v>
      </c>
      <c r="BA987" t="s">
        <v>6032</v>
      </c>
      <c r="BB987" t="s">
        <v>191</v>
      </c>
      <c r="BC987" t="s">
        <v>182</v>
      </c>
      <c r="BD987" t="s">
        <v>182</v>
      </c>
      <c r="BE987" t="s">
        <v>11441</v>
      </c>
      <c r="BF987">
        <v>1</v>
      </c>
      <c r="BG987">
        <v>0</v>
      </c>
      <c r="BH987">
        <v>1966</v>
      </c>
      <c r="BI987" t="s">
        <v>409</v>
      </c>
      <c r="BJ987" t="s">
        <v>285</v>
      </c>
      <c r="BK987" t="s">
        <v>840</v>
      </c>
      <c r="BL987" t="s">
        <v>199</v>
      </c>
      <c r="BM987" t="s">
        <v>207</v>
      </c>
      <c r="BN987" t="s">
        <v>182</v>
      </c>
      <c r="BO987" t="s">
        <v>13242</v>
      </c>
      <c r="BP987" t="s">
        <v>4714</v>
      </c>
      <c r="BQ987" t="s">
        <v>904</v>
      </c>
      <c r="BR987" t="s">
        <v>643</v>
      </c>
      <c r="BS987" t="s">
        <v>198</v>
      </c>
      <c r="BT987" t="s">
        <v>13243</v>
      </c>
      <c r="BU987" t="s">
        <v>182</v>
      </c>
      <c r="BV987" t="s">
        <v>198</v>
      </c>
      <c r="BW987" t="s">
        <v>198</v>
      </c>
      <c r="BX987" t="s">
        <v>199</v>
      </c>
      <c r="BY987" t="s">
        <v>198</v>
      </c>
      <c r="BZ987" t="s">
        <v>199</v>
      </c>
      <c r="CA987" t="s">
        <v>199</v>
      </c>
      <c r="CB987" t="s">
        <v>13244</v>
      </c>
      <c r="CC987" t="s">
        <v>201</v>
      </c>
      <c r="CD987" t="s">
        <v>182</v>
      </c>
      <c r="CE987" t="s">
        <v>13245</v>
      </c>
      <c r="CF987" t="s">
        <v>413</v>
      </c>
      <c r="CG987" t="s">
        <v>177</v>
      </c>
      <c r="CH987" t="s">
        <v>13246</v>
      </c>
      <c r="CI987" t="s">
        <v>13247</v>
      </c>
      <c r="CJ987" t="s">
        <v>6306</v>
      </c>
      <c r="CK987" t="s">
        <v>267</v>
      </c>
      <c r="CL987" t="s">
        <v>268</v>
      </c>
      <c r="CM987" t="s">
        <v>13248</v>
      </c>
      <c r="CN987" t="s">
        <v>235</v>
      </c>
      <c r="CO987" t="s">
        <v>183</v>
      </c>
      <c r="CP987" t="s">
        <v>211</v>
      </c>
      <c r="CQ987" t="s">
        <v>345</v>
      </c>
      <c r="CS987" t="s">
        <v>9288</v>
      </c>
      <c r="CT987" t="s">
        <v>13249</v>
      </c>
      <c r="CU987" t="s">
        <v>302</v>
      </c>
      <c r="CV987" t="s">
        <v>303</v>
      </c>
      <c r="CW987" t="s">
        <v>13250</v>
      </c>
      <c r="CX987" t="s">
        <v>235</v>
      </c>
      <c r="CY987" t="s">
        <v>183</v>
      </c>
      <c r="CZ987" t="s">
        <v>211</v>
      </c>
      <c r="DA987" t="s">
        <v>212</v>
      </c>
      <c r="DB987" t="s">
        <v>271</v>
      </c>
      <c r="DC987" t="s">
        <v>915</v>
      </c>
      <c r="DD987" t="s">
        <v>13251</v>
      </c>
      <c r="DE987" t="s">
        <v>238</v>
      </c>
      <c r="DF987" t="s">
        <v>239</v>
      </c>
      <c r="DG987" t="s">
        <v>13252</v>
      </c>
      <c r="DH987" t="s">
        <v>235</v>
      </c>
      <c r="DI987" t="s">
        <v>183</v>
      </c>
      <c r="DJ987" t="s">
        <v>211</v>
      </c>
      <c r="DL987" t="s">
        <v>271</v>
      </c>
      <c r="DM987" t="s">
        <v>198</v>
      </c>
      <c r="DW987" t="s">
        <v>198</v>
      </c>
      <c r="EG987" t="s">
        <v>198</v>
      </c>
      <c r="EQ987" t="s">
        <v>198</v>
      </c>
      <c r="FA987" t="s">
        <v>198</v>
      </c>
      <c r="FK987" t="s">
        <v>198</v>
      </c>
      <c r="FU987" t="s">
        <v>198</v>
      </c>
    </row>
    <row r="988" spans="1:177">
      <c r="A988" s="1" t="str">
        <f>HYPERLINK("http://digipan.lumentumllc.com/apps/getLink/index.php?t=PropLink&amp;p=5248582","PL")</f>
        <v>PL</v>
      </c>
      <c r="B988" s="1" t="str">
        <f>HYPERLINK("http://digipan.lumentumllc.com/apps/getLink/index.php?t=TaxLink&amp;p=5248582","TL")</f>
        <v>TL</v>
      </c>
      <c r="C988" s="1" t="str">
        <f>HYPERLINK("http://digipan.lumentumllc.com/apps/getMap/index.php?p=5248582","Map")</f>
        <v>Map</v>
      </c>
      <c r="E988" t="s">
        <v>177</v>
      </c>
      <c r="F988" t="s">
        <v>178</v>
      </c>
      <c r="L988" t="s">
        <v>13253</v>
      </c>
      <c r="N988" t="s">
        <v>13253</v>
      </c>
      <c r="O988" t="s">
        <v>13253</v>
      </c>
      <c r="P988" t="s">
        <v>13254</v>
      </c>
      <c r="Q988" t="s">
        <v>13253</v>
      </c>
      <c r="V988">
        <v>1137</v>
      </c>
      <c r="W988">
        <v>4</v>
      </c>
      <c r="X988">
        <v>2017</v>
      </c>
      <c r="Y988">
        <v>2018</v>
      </c>
      <c r="Z988">
        <v>564.76</v>
      </c>
      <c r="AB988" t="s">
        <v>181</v>
      </c>
      <c r="AC988" t="s">
        <v>182</v>
      </c>
      <c r="AD988" t="s">
        <v>183</v>
      </c>
      <c r="AE988">
        <v>1</v>
      </c>
      <c r="AF988">
        <v>7</v>
      </c>
      <c r="AG988" t="s">
        <v>418</v>
      </c>
      <c r="AH988">
        <v>86</v>
      </c>
      <c r="AI988">
        <v>541.87</v>
      </c>
      <c r="AJ988">
        <v>27.09</v>
      </c>
      <c r="AK988">
        <v>568.96</v>
      </c>
      <c r="AL988">
        <v>68770</v>
      </c>
      <c r="AM988">
        <v>19500</v>
      </c>
      <c r="AN988">
        <v>49270</v>
      </c>
      <c r="AO988">
        <v>476</v>
      </c>
      <c r="AP988">
        <v>2016</v>
      </c>
      <c r="AQ988">
        <v>0.82</v>
      </c>
      <c r="AR988">
        <v>0.83</v>
      </c>
      <c r="AS988" t="s">
        <v>13255</v>
      </c>
      <c r="AT988" t="s">
        <v>3747</v>
      </c>
      <c r="AU988" t="s">
        <v>177</v>
      </c>
      <c r="AV988" t="s">
        <v>1030</v>
      </c>
      <c r="AW988" t="s">
        <v>202</v>
      </c>
      <c r="AX988">
        <v>1</v>
      </c>
      <c r="AY988" t="s">
        <v>188</v>
      </c>
      <c r="AZ988" t="s">
        <v>206</v>
      </c>
      <c r="BA988" t="s">
        <v>355</v>
      </c>
      <c r="BB988" t="s">
        <v>191</v>
      </c>
      <c r="BC988" t="s">
        <v>182</v>
      </c>
      <c r="BD988" t="s">
        <v>182</v>
      </c>
      <c r="BE988" t="s">
        <v>6085</v>
      </c>
      <c r="BF988">
        <v>2</v>
      </c>
      <c r="BG988">
        <v>2</v>
      </c>
      <c r="BH988">
        <v>1930</v>
      </c>
      <c r="BI988" t="s">
        <v>13256</v>
      </c>
      <c r="BJ988" t="s">
        <v>194</v>
      </c>
      <c r="BK988" t="s">
        <v>195</v>
      </c>
      <c r="BL988" t="s">
        <v>199</v>
      </c>
      <c r="BM988" t="s">
        <v>286</v>
      </c>
      <c r="BN988" t="s">
        <v>182</v>
      </c>
      <c r="BO988" t="s">
        <v>198</v>
      </c>
      <c r="BP988" t="s">
        <v>198</v>
      </c>
      <c r="BQ988" t="s">
        <v>198</v>
      </c>
      <c r="BR988" t="s">
        <v>198</v>
      </c>
      <c r="BS988" t="s">
        <v>198</v>
      </c>
      <c r="BT988" t="s">
        <v>198</v>
      </c>
      <c r="BU988" t="s">
        <v>182</v>
      </c>
      <c r="BV988" t="s">
        <v>198</v>
      </c>
      <c r="BW988" t="s">
        <v>198</v>
      </c>
      <c r="BX988" t="s">
        <v>199</v>
      </c>
      <c r="BY988" t="s">
        <v>198</v>
      </c>
      <c r="BZ988" t="s">
        <v>199</v>
      </c>
      <c r="CA988" t="s">
        <v>199</v>
      </c>
      <c r="CB988" t="s">
        <v>13257</v>
      </c>
      <c r="CC988" t="s">
        <v>201</v>
      </c>
      <c r="CD988" t="s">
        <v>182</v>
      </c>
      <c r="CE988" t="s">
        <v>13258</v>
      </c>
      <c r="CF988" t="s">
        <v>1029</v>
      </c>
      <c r="CG988" t="s">
        <v>177</v>
      </c>
      <c r="CH988" t="s">
        <v>1030</v>
      </c>
      <c r="CI988" t="s">
        <v>13259</v>
      </c>
      <c r="CJ988" t="s">
        <v>6436</v>
      </c>
      <c r="CK988" t="s">
        <v>232</v>
      </c>
      <c r="CL988" t="s">
        <v>233</v>
      </c>
      <c r="CM988" t="s">
        <v>13260</v>
      </c>
      <c r="CN988" t="s">
        <v>235</v>
      </c>
      <c r="CO988" t="s">
        <v>183</v>
      </c>
      <c r="CP988" t="s">
        <v>266</v>
      </c>
      <c r="CS988" t="s">
        <v>198</v>
      </c>
      <c r="CT988" t="s">
        <v>6662</v>
      </c>
      <c r="CU988" t="s">
        <v>292</v>
      </c>
      <c r="CV988" t="s">
        <v>293</v>
      </c>
      <c r="CW988" t="s">
        <v>13261</v>
      </c>
      <c r="CX988" t="s">
        <v>235</v>
      </c>
      <c r="CY988" t="s">
        <v>183</v>
      </c>
      <c r="CZ988" t="s">
        <v>211</v>
      </c>
      <c r="DA988" t="s">
        <v>298</v>
      </c>
      <c r="DC988" t="s">
        <v>457</v>
      </c>
      <c r="DD988" t="s">
        <v>12656</v>
      </c>
      <c r="DE988" t="s">
        <v>267</v>
      </c>
      <c r="DF988" t="s">
        <v>268</v>
      </c>
      <c r="DG988" t="s">
        <v>13262</v>
      </c>
      <c r="DH988" t="s">
        <v>235</v>
      </c>
      <c r="DI988" t="s">
        <v>183</v>
      </c>
      <c r="DJ988" t="s">
        <v>211</v>
      </c>
      <c r="DK988" t="s">
        <v>298</v>
      </c>
      <c r="DM988" t="s">
        <v>5919</v>
      </c>
      <c r="DN988" t="s">
        <v>13263</v>
      </c>
      <c r="DO988" t="s">
        <v>273</v>
      </c>
      <c r="DP988" t="s">
        <v>274</v>
      </c>
      <c r="DQ988" t="s">
        <v>13264</v>
      </c>
      <c r="DR988" t="s">
        <v>235</v>
      </c>
      <c r="DS988" t="s">
        <v>183</v>
      </c>
      <c r="DT988" t="s">
        <v>211</v>
      </c>
      <c r="DU988" t="s">
        <v>298</v>
      </c>
      <c r="DW988" t="s">
        <v>871</v>
      </c>
      <c r="DX988" t="s">
        <v>13265</v>
      </c>
      <c r="DY988" t="s">
        <v>302</v>
      </c>
      <c r="DZ988" t="s">
        <v>303</v>
      </c>
      <c r="EA988" t="s">
        <v>13266</v>
      </c>
      <c r="EB988" t="s">
        <v>235</v>
      </c>
      <c r="EC988" t="s">
        <v>183</v>
      </c>
      <c r="ED988" t="s">
        <v>211</v>
      </c>
      <c r="EE988" t="s">
        <v>298</v>
      </c>
      <c r="EG988" t="s">
        <v>2184</v>
      </c>
      <c r="EH988" t="s">
        <v>13267</v>
      </c>
      <c r="EI988" t="s">
        <v>238</v>
      </c>
      <c r="EJ988" t="s">
        <v>239</v>
      </c>
      <c r="EK988" t="s">
        <v>13268</v>
      </c>
      <c r="EL988" t="s">
        <v>331</v>
      </c>
      <c r="EM988" t="s">
        <v>183</v>
      </c>
      <c r="EN988" t="s">
        <v>211</v>
      </c>
      <c r="EO988" t="s">
        <v>298</v>
      </c>
      <c r="EQ988" t="s">
        <v>1133</v>
      </c>
      <c r="ER988" t="s">
        <v>13269</v>
      </c>
      <c r="ES988" t="s">
        <v>346</v>
      </c>
      <c r="ET988" t="s">
        <v>347</v>
      </c>
      <c r="EU988" t="s">
        <v>13270</v>
      </c>
      <c r="EV988" t="s">
        <v>235</v>
      </c>
      <c r="EW988" t="s">
        <v>183</v>
      </c>
      <c r="EX988" t="s">
        <v>211</v>
      </c>
      <c r="EY988" t="s">
        <v>298</v>
      </c>
      <c r="FA988" t="s">
        <v>2473</v>
      </c>
      <c r="FB988" t="s">
        <v>13044</v>
      </c>
      <c r="FC988" t="s">
        <v>207</v>
      </c>
      <c r="FD988" t="s">
        <v>208</v>
      </c>
      <c r="FE988" t="s">
        <v>13271</v>
      </c>
      <c r="FF988" t="s">
        <v>391</v>
      </c>
      <c r="FG988" t="s">
        <v>183</v>
      </c>
      <c r="FH988" t="s">
        <v>211</v>
      </c>
      <c r="FI988" t="s">
        <v>345</v>
      </c>
      <c r="FK988" t="s">
        <v>1703</v>
      </c>
      <c r="FU988" t="s">
        <v>198</v>
      </c>
    </row>
    <row r="989" spans="1:177">
      <c r="A989" s="1" t="str">
        <f>HYPERLINK("http://digipan.lumentumllc.com/apps/getLink/index.php?t=PropLink&amp;p=5248586","PL")</f>
        <v>PL</v>
      </c>
      <c r="B989" s="1" t="str">
        <f>HYPERLINK("http://digipan.lumentumllc.com/apps/getLink/index.php?t=TaxLink&amp;p=5248586","TL")</f>
        <v>TL</v>
      </c>
      <c r="C989" s="1" t="str">
        <f>HYPERLINK("http://digipan.lumentumllc.com/apps/getMap/index.php?p=5248586","Map")</f>
        <v>Map</v>
      </c>
      <c r="E989" t="s">
        <v>177</v>
      </c>
      <c r="F989" t="s">
        <v>178</v>
      </c>
      <c r="L989" t="s">
        <v>13272</v>
      </c>
      <c r="N989" t="s">
        <v>13272</v>
      </c>
      <c r="O989" t="s">
        <v>13272</v>
      </c>
      <c r="P989" t="s">
        <v>13273</v>
      </c>
      <c r="Q989" t="s">
        <v>13272</v>
      </c>
      <c r="V989">
        <v>1138</v>
      </c>
      <c r="W989">
        <v>4</v>
      </c>
      <c r="X989">
        <v>2017</v>
      </c>
      <c r="Y989">
        <v>2018</v>
      </c>
      <c r="Z989">
        <v>195.72</v>
      </c>
      <c r="AB989" t="s">
        <v>181</v>
      </c>
      <c r="AC989" t="s">
        <v>182</v>
      </c>
      <c r="AD989" t="s">
        <v>1037</v>
      </c>
      <c r="AE989">
        <v>7</v>
      </c>
      <c r="AF989">
        <v>0</v>
      </c>
      <c r="AG989" t="s">
        <v>1038</v>
      </c>
      <c r="AH989">
        <v>0</v>
      </c>
      <c r="AI989">
        <v>1355.66</v>
      </c>
      <c r="AJ989">
        <v>827.72</v>
      </c>
      <c r="AK989">
        <v>2183.38</v>
      </c>
      <c r="AL989">
        <v>10000</v>
      </c>
      <c r="AM989">
        <v>10000</v>
      </c>
      <c r="AN989">
        <v>0</v>
      </c>
      <c r="AO989">
        <v>154</v>
      </c>
      <c r="AP989">
        <v>2016</v>
      </c>
      <c r="AQ989">
        <v>1.96</v>
      </c>
      <c r="AR989">
        <v>21.83</v>
      </c>
      <c r="AS989" t="s">
        <v>13274</v>
      </c>
      <c r="AT989" t="s">
        <v>3747</v>
      </c>
      <c r="AU989" t="s">
        <v>177</v>
      </c>
      <c r="AV989" t="s">
        <v>1030</v>
      </c>
      <c r="AW989" t="s">
        <v>182</v>
      </c>
      <c r="AX989">
        <v>0</v>
      </c>
      <c r="AY989" t="s">
        <v>312</v>
      </c>
      <c r="AZ989" t="s">
        <v>199</v>
      </c>
      <c r="BA989" t="s">
        <v>313</v>
      </c>
      <c r="BB989" t="s">
        <v>191</v>
      </c>
      <c r="BC989" t="s">
        <v>182</v>
      </c>
      <c r="BD989" t="s">
        <v>182</v>
      </c>
      <c r="BE989" t="s">
        <v>12856</v>
      </c>
      <c r="BF989">
        <v>0</v>
      </c>
      <c r="BG989">
        <v>0</v>
      </c>
      <c r="BH989">
        <v>0</v>
      </c>
      <c r="BI989" t="s">
        <v>199</v>
      </c>
      <c r="BJ989" t="s">
        <v>315</v>
      </c>
      <c r="BL989" t="s">
        <v>9747</v>
      </c>
      <c r="BM989" t="s">
        <v>286</v>
      </c>
      <c r="BN989" t="s">
        <v>182</v>
      </c>
      <c r="BO989" t="s">
        <v>198</v>
      </c>
      <c r="BP989" t="s">
        <v>198</v>
      </c>
      <c r="BQ989" t="s">
        <v>198</v>
      </c>
      <c r="BR989" t="s">
        <v>198</v>
      </c>
      <c r="BS989" t="s">
        <v>198</v>
      </c>
      <c r="BT989" t="s">
        <v>198</v>
      </c>
      <c r="BU989" t="s">
        <v>182</v>
      </c>
      <c r="BV989" t="s">
        <v>198</v>
      </c>
      <c r="BW989" t="s">
        <v>198</v>
      </c>
      <c r="BX989" t="s">
        <v>199</v>
      </c>
      <c r="BY989" t="s">
        <v>198</v>
      </c>
      <c r="BZ989" t="s">
        <v>199</v>
      </c>
      <c r="CA989" t="s">
        <v>199</v>
      </c>
      <c r="CB989" t="s">
        <v>13275</v>
      </c>
      <c r="CC989" t="s">
        <v>201</v>
      </c>
      <c r="CD989" t="s">
        <v>182</v>
      </c>
      <c r="CE989" t="s">
        <v>13276</v>
      </c>
      <c r="CF989" t="s">
        <v>413</v>
      </c>
      <c r="CG989" t="s">
        <v>177</v>
      </c>
      <c r="CH989" t="s">
        <v>414</v>
      </c>
      <c r="CI989" t="s">
        <v>1335</v>
      </c>
      <c r="CJ989" t="s">
        <v>12021</v>
      </c>
      <c r="CK989" t="s">
        <v>232</v>
      </c>
      <c r="CL989" t="s">
        <v>233</v>
      </c>
      <c r="CM989" t="s">
        <v>13277</v>
      </c>
      <c r="CN989" t="s">
        <v>482</v>
      </c>
      <c r="CO989" t="s">
        <v>183</v>
      </c>
      <c r="CP989" t="s">
        <v>266</v>
      </c>
      <c r="CS989" t="s">
        <v>198</v>
      </c>
      <c r="CT989" t="s">
        <v>11822</v>
      </c>
      <c r="CU989" t="s">
        <v>292</v>
      </c>
      <c r="CV989" t="s">
        <v>293</v>
      </c>
      <c r="CW989" t="s">
        <v>8904</v>
      </c>
      <c r="CX989" t="s">
        <v>482</v>
      </c>
      <c r="CY989" t="s">
        <v>5</v>
      </c>
      <c r="CZ989" t="s">
        <v>266</v>
      </c>
      <c r="DC989" t="s">
        <v>198</v>
      </c>
      <c r="DD989" t="s">
        <v>10012</v>
      </c>
      <c r="DE989" t="s">
        <v>267</v>
      </c>
      <c r="DF989" t="s">
        <v>268</v>
      </c>
      <c r="DG989" t="s">
        <v>1196</v>
      </c>
      <c r="DH989" t="s">
        <v>482</v>
      </c>
      <c r="DI989" t="s">
        <v>183</v>
      </c>
      <c r="DJ989" t="s">
        <v>266</v>
      </c>
      <c r="DM989" t="s">
        <v>198</v>
      </c>
      <c r="DN989" t="s">
        <v>10579</v>
      </c>
      <c r="DO989" t="s">
        <v>273</v>
      </c>
      <c r="DP989" t="s">
        <v>274</v>
      </c>
      <c r="DQ989" t="s">
        <v>1179</v>
      </c>
      <c r="DR989" t="s">
        <v>4595</v>
      </c>
      <c r="DS989" t="s">
        <v>183</v>
      </c>
      <c r="DT989" t="s">
        <v>266</v>
      </c>
      <c r="DW989" t="s">
        <v>198</v>
      </c>
      <c r="DX989" t="s">
        <v>13278</v>
      </c>
      <c r="DY989" t="s">
        <v>302</v>
      </c>
      <c r="DZ989" t="s">
        <v>303</v>
      </c>
      <c r="EA989" t="s">
        <v>4650</v>
      </c>
      <c r="EB989" t="s">
        <v>1052</v>
      </c>
      <c r="EC989" t="s">
        <v>183</v>
      </c>
      <c r="ED989" t="s">
        <v>266</v>
      </c>
      <c r="EG989" t="s">
        <v>198</v>
      </c>
      <c r="EH989" t="s">
        <v>13279</v>
      </c>
      <c r="EI989" t="s">
        <v>238</v>
      </c>
      <c r="EJ989" t="s">
        <v>239</v>
      </c>
      <c r="EK989" t="s">
        <v>13280</v>
      </c>
      <c r="EL989" t="s">
        <v>482</v>
      </c>
      <c r="EM989" t="s">
        <v>183</v>
      </c>
      <c r="EN989" t="s">
        <v>266</v>
      </c>
      <c r="EQ989" t="s">
        <v>198</v>
      </c>
      <c r="ER989" t="s">
        <v>13281</v>
      </c>
      <c r="ES989" t="s">
        <v>346</v>
      </c>
      <c r="ET989" t="s">
        <v>347</v>
      </c>
      <c r="EU989" t="s">
        <v>13282</v>
      </c>
      <c r="EV989" t="s">
        <v>576</v>
      </c>
      <c r="EW989" t="s">
        <v>183</v>
      </c>
      <c r="EX989" t="s">
        <v>266</v>
      </c>
      <c r="FA989" t="s">
        <v>198</v>
      </c>
      <c r="FK989" t="s">
        <v>198</v>
      </c>
      <c r="FU989" t="s">
        <v>198</v>
      </c>
    </row>
    <row r="990" spans="1:177">
      <c r="A990" s="1" t="str">
        <f>HYPERLINK("http://digipan.lumentumllc.com/apps/getLink/index.php?t=PropLink&amp;p=5248588","PL")</f>
        <v>PL</v>
      </c>
      <c r="B990" s="1" t="str">
        <f>HYPERLINK("http://digipan.lumentumllc.com/apps/getLink/index.php?t=TaxLink&amp;p=5248588","TL")</f>
        <v>TL</v>
      </c>
      <c r="C990" s="1" t="str">
        <f>HYPERLINK("http://digipan.lumentumllc.com/apps/getMap/index.php?p=5248588","Map")</f>
        <v>Map</v>
      </c>
      <c r="E990" t="s">
        <v>177</v>
      </c>
      <c r="F990" t="s">
        <v>178</v>
      </c>
      <c r="L990" t="s">
        <v>13283</v>
      </c>
      <c r="N990" t="s">
        <v>13283</v>
      </c>
      <c r="O990" t="s">
        <v>13283</v>
      </c>
      <c r="P990" t="s">
        <v>13284</v>
      </c>
      <c r="Q990" t="s">
        <v>13283</v>
      </c>
      <c r="V990">
        <v>1139</v>
      </c>
      <c r="W990">
        <v>4</v>
      </c>
      <c r="X990">
        <v>2017</v>
      </c>
      <c r="Y990">
        <v>2018</v>
      </c>
      <c r="Z990">
        <v>346.93</v>
      </c>
      <c r="AB990" t="s">
        <v>181</v>
      </c>
      <c r="AC990" t="s">
        <v>182</v>
      </c>
      <c r="AD990" t="s">
        <v>183</v>
      </c>
      <c r="AE990">
        <v>1</v>
      </c>
      <c r="AF990">
        <v>6</v>
      </c>
      <c r="AG990" t="s">
        <v>418</v>
      </c>
      <c r="AH990">
        <v>86</v>
      </c>
      <c r="AI990">
        <v>346.33</v>
      </c>
      <c r="AJ990">
        <v>17.32</v>
      </c>
      <c r="AK990">
        <v>363.65</v>
      </c>
      <c r="AL990">
        <v>19234</v>
      </c>
      <c r="AM990">
        <v>10000</v>
      </c>
      <c r="AN990">
        <v>9234</v>
      </c>
      <c r="AO990">
        <v>295</v>
      </c>
      <c r="AP990">
        <v>2016</v>
      </c>
      <c r="AQ990">
        <v>1.8</v>
      </c>
      <c r="AR990">
        <v>1.89</v>
      </c>
      <c r="AS990" t="s">
        <v>13285</v>
      </c>
      <c r="AT990" t="s">
        <v>3747</v>
      </c>
      <c r="AU990" t="s">
        <v>177</v>
      </c>
      <c r="AV990" t="s">
        <v>1030</v>
      </c>
      <c r="AW990" t="s">
        <v>182</v>
      </c>
      <c r="AX990">
        <v>1</v>
      </c>
      <c r="AY990" t="s">
        <v>188</v>
      </c>
      <c r="AZ990" t="s">
        <v>206</v>
      </c>
      <c r="BA990" t="s">
        <v>355</v>
      </c>
      <c r="BB990" t="s">
        <v>191</v>
      </c>
      <c r="BC990" t="s">
        <v>182</v>
      </c>
      <c r="BD990" t="s">
        <v>182</v>
      </c>
      <c r="BE990" t="s">
        <v>3930</v>
      </c>
      <c r="BF990">
        <v>1</v>
      </c>
      <c r="BG990">
        <v>1</v>
      </c>
      <c r="BH990">
        <v>1940</v>
      </c>
      <c r="BI990" t="s">
        <v>8990</v>
      </c>
      <c r="BJ990" t="s">
        <v>194</v>
      </c>
      <c r="BK990" t="s">
        <v>195</v>
      </c>
      <c r="BL990" t="s">
        <v>199</v>
      </c>
      <c r="BM990" t="s">
        <v>559</v>
      </c>
      <c r="BN990" t="s">
        <v>182</v>
      </c>
      <c r="BO990" t="s">
        <v>198</v>
      </c>
      <c r="BP990" t="s">
        <v>198</v>
      </c>
      <c r="BQ990" t="s">
        <v>198</v>
      </c>
      <c r="BR990" t="s">
        <v>198</v>
      </c>
      <c r="BS990" t="s">
        <v>198</v>
      </c>
      <c r="BT990" t="s">
        <v>198</v>
      </c>
      <c r="BU990" t="s">
        <v>182</v>
      </c>
      <c r="BV990" t="s">
        <v>198</v>
      </c>
      <c r="BW990" t="s">
        <v>198</v>
      </c>
      <c r="BX990" t="s">
        <v>199</v>
      </c>
      <c r="BY990" t="s">
        <v>198</v>
      </c>
      <c r="BZ990" t="s">
        <v>199</v>
      </c>
      <c r="CA990" t="s">
        <v>199</v>
      </c>
      <c r="CB990" t="s">
        <v>13286</v>
      </c>
      <c r="CC990" t="s">
        <v>201</v>
      </c>
      <c r="CD990" t="s">
        <v>202</v>
      </c>
      <c r="CE990" t="s">
        <v>13287</v>
      </c>
      <c r="CF990" t="s">
        <v>413</v>
      </c>
      <c r="CG990" t="s">
        <v>177</v>
      </c>
      <c r="CH990" t="s">
        <v>414</v>
      </c>
      <c r="CI990" t="s">
        <v>3818</v>
      </c>
      <c r="CJ990" t="s">
        <v>9704</v>
      </c>
      <c r="CK990" t="s">
        <v>232</v>
      </c>
      <c r="CL990" t="s">
        <v>233</v>
      </c>
      <c r="CM990" t="s">
        <v>13288</v>
      </c>
      <c r="CN990" t="s">
        <v>331</v>
      </c>
      <c r="CO990" t="s">
        <v>183</v>
      </c>
      <c r="CP990" t="s">
        <v>266</v>
      </c>
      <c r="CS990" t="s">
        <v>198</v>
      </c>
      <c r="CT990" t="s">
        <v>9888</v>
      </c>
      <c r="CU990" t="s">
        <v>292</v>
      </c>
      <c r="CV990" t="s">
        <v>293</v>
      </c>
      <c r="CW990" t="s">
        <v>13289</v>
      </c>
      <c r="CX990" t="s">
        <v>387</v>
      </c>
      <c r="CY990" t="s">
        <v>183</v>
      </c>
      <c r="CZ990" t="s">
        <v>211</v>
      </c>
      <c r="DA990" t="s">
        <v>523</v>
      </c>
      <c r="DC990" t="s">
        <v>13290</v>
      </c>
      <c r="DD990" t="s">
        <v>10172</v>
      </c>
      <c r="DE990" t="s">
        <v>267</v>
      </c>
      <c r="DF990" t="s">
        <v>268</v>
      </c>
      <c r="DG990" t="s">
        <v>13291</v>
      </c>
      <c r="DH990" t="s">
        <v>1966</v>
      </c>
      <c r="DI990" t="s">
        <v>183</v>
      </c>
      <c r="DJ990" t="s">
        <v>211</v>
      </c>
      <c r="DK990" t="s">
        <v>345</v>
      </c>
      <c r="DM990" t="s">
        <v>13292</v>
      </c>
      <c r="DN990" t="s">
        <v>10525</v>
      </c>
      <c r="DO990" t="s">
        <v>273</v>
      </c>
      <c r="DP990" t="s">
        <v>274</v>
      </c>
      <c r="DQ990" t="s">
        <v>13293</v>
      </c>
      <c r="DR990" t="s">
        <v>514</v>
      </c>
      <c r="DS990" t="s">
        <v>183</v>
      </c>
      <c r="DT990" t="s">
        <v>211</v>
      </c>
      <c r="DU990" t="s">
        <v>298</v>
      </c>
      <c r="DW990" t="s">
        <v>1811</v>
      </c>
      <c r="DX990" t="s">
        <v>13294</v>
      </c>
      <c r="DY990" t="s">
        <v>302</v>
      </c>
      <c r="DZ990" t="s">
        <v>303</v>
      </c>
      <c r="EA990" t="s">
        <v>13295</v>
      </c>
      <c r="EB990" t="s">
        <v>436</v>
      </c>
      <c r="EC990" t="s">
        <v>183</v>
      </c>
      <c r="ED990" t="s">
        <v>211</v>
      </c>
      <c r="EE990" t="s">
        <v>523</v>
      </c>
      <c r="EG990" t="s">
        <v>4847</v>
      </c>
      <c r="EH990" t="s">
        <v>13296</v>
      </c>
      <c r="EI990" t="s">
        <v>238</v>
      </c>
      <c r="EJ990" t="s">
        <v>239</v>
      </c>
      <c r="EK990" t="s">
        <v>13297</v>
      </c>
      <c r="EL990" t="s">
        <v>331</v>
      </c>
      <c r="EM990" t="s">
        <v>183</v>
      </c>
      <c r="EN990" t="s">
        <v>211</v>
      </c>
      <c r="EO990" t="s">
        <v>298</v>
      </c>
      <c r="EQ990" t="s">
        <v>441</v>
      </c>
      <c r="ER990" t="s">
        <v>13298</v>
      </c>
      <c r="ES990" t="s">
        <v>346</v>
      </c>
      <c r="ET990" t="s">
        <v>347</v>
      </c>
      <c r="EU990" t="s">
        <v>13299</v>
      </c>
      <c r="EV990" t="s">
        <v>1491</v>
      </c>
      <c r="EW990" t="s">
        <v>183</v>
      </c>
      <c r="EX990" t="s">
        <v>211</v>
      </c>
      <c r="EY990" t="s">
        <v>493</v>
      </c>
      <c r="FA990" t="s">
        <v>13300</v>
      </c>
      <c r="FK990" t="s">
        <v>198</v>
      </c>
      <c r="FU990" t="s">
        <v>198</v>
      </c>
    </row>
    <row r="991" spans="1:177">
      <c r="A991" s="1" t="str">
        <f>HYPERLINK("http://digipan.lumentumllc.com/apps/getLink/index.php?t=PropLink&amp;p=5248589","PL")</f>
        <v>PL</v>
      </c>
      <c r="B991" s="1" t="str">
        <f>HYPERLINK("http://digipan.lumentumllc.com/apps/getLink/index.php?t=TaxLink&amp;p=5248589","TL")</f>
        <v>TL</v>
      </c>
      <c r="C991" s="1" t="str">
        <f>HYPERLINK("http://digipan.lumentumllc.com/apps/getMap/index.php?p=5248589","Map")</f>
        <v>Map</v>
      </c>
      <c r="E991" t="s">
        <v>177</v>
      </c>
      <c r="F991" t="s">
        <v>178</v>
      </c>
      <c r="L991" t="s">
        <v>13301</v>
      </c>
      <c r="N991" t="s">
        <v>13301</v>
      </c>
      <c r="O991" t="s">
        <v>13301</v>
      </c>
      <c r="P991" t="s">
        <v>13302</v>
      </c>
      <c r="Q991" t="s">
        <v>13301</v>
      </c>
      <c r="V991">
        <v>1140</v>
      </c>
      <c r="W991">
        <v>4</v>
      </c>
      <c r="X991">
        <v>2017</v>
      </c>
      <c r="Y991">
        <v>2018</v>
      </c>
      <c r="Z991">
        <v>195.72</v>
      </c>
      <c r="AB991" t="s">
        <v>181</v>
      </c>
      <c r="AC991" t="s">
        <v>182</v>
      </c>
      <c r="AD991" t="s">
        <v>183</v>
      </c>
      <c r="AE991">
        <v>1</v>
      </c>
      <c r="AF991">
        <v>6</v>
      </c>
      <c r="AG991" t="s">
        <v>418</v>
      </c>
      <c r="AH991">
        <v>86</v>
      </c>
      <c r="AI991">
        <v>193.03</v>
      </c>
      <c r="AJ991">
        <v>18.82</v>
      </c>
      <c r="AK991">
        <v>211.85</v>
      </c>
      <c r="AL991">
        <v>10000</v>
      </c>
      <c r="AM991">
        <v>10000</v>
      </c>
      <c r="AN991">
        <v>0</v>
      </c>
      <c r="AO991">
        <v>154</v>
      </c>
      <c r="AP991">
        <v>2016</v>
      </c>
      <c r="AQ991">
        <v>1.96</v>
      </c>
      <c r="AR991">
        <v>2.12</v>
      </c>
      <c r="AS991" t="s">
        <v>12845</v>
      </c>
      <c r="AT991" t="s">
        <v>3747</v>
      </c>
      <c r="AU991" t="s">
        <v>177</v>
      </c>
      <c r="AV991" t="s">
        <v>1030</v>
      </c>
      <c r="AW991" t="s">
        <v>182</v>
      </c>
      <c r="AX991">
        <v>0</v>
      </c>
      <c r="AY991" t="s">
        <v>312</v>
      </c>
      <c r="AZ991" t="s">
        <v>199</v>
      </c>
      <c r="BA991" t="s">
        <v>313</v>
      </c>
      <c r="BB991" t="s">
        <v>191</v>
      </c>
      <c r="BC991" t="s">
        <v>182</v>
      </c>
      <c r="BD991" t="s">
        <v>182</v>
      </c>
      <c r="BE991" t="s">
        <v>5975</v>
      </c>
      <c r="BF991">
        <v>0</v>
      </c>
      <c r="BG991">
        <v>0</v>
      </c>
      <c r="BH991">
        <v>0</v>
      </c>
      <c r="BI991" t="s">
        <v>199</v>
      </c>
      <c r="BJ991" t="s">
        <v>315</v>
      </c>
      <c r="BL991" t="s">
        <v>199</v>
      </c>
      <c r="BM991" t="s">
        <v>358</v>
      </c>
      <c r="BN991" t="s">
        <v>182</v>
      </c>
      <c r="BO991" t="s">
        <v>198</v>
      </c>
      <c r="BP991" t="s">
        <v>198</v>
      </c>
      <c r="BQ991" t="s">
        <v>198</v>
      </c>
      <c r="BR991" t="s">
        <v>198</v>
      </c>
      <c r="BS991" t="s">
        <v>198</v>
      </c>
      <c r="BT991" t="s">
        <v>198</v>
      </c>
      <c r="BU991" t="s">
        <v>182</v>
      </c>
      <c r="BV991" t="s">
        <v>198</v>
      </c>
      <c r="BW991" t="s">
        <v>198</v>
      </c>
      <c r="BX991" t="s">
        <v>199</v>
      </c>
      <c r="BY991" t="s">
        <v>198</v>
      </c>
      <c r="BZ991" t="s">
        <v>199</v>
      </c>
      <c r="CA991" t="s">
        <v>199</v>
      </c>
      <c r="CB991" t="s">
        <v>13303</v>
      </c>
      <c r="CC991" t="s">
        <v>201</v>
      </c>
      <c r="CD991" t="s">
        <v>202</v>
      </c>
      <c r="CE991" t="s">
        <v>13304</v>
      </c>
      <c r="CF991" t="s">
        <v>413</v>
      </c>
      <c r="CG991" t="s">
        <v>177</v>
      </c>
      <c r="CH991" t="s">
        <v>414</v>
      </c>
      <c r="CI991" t="s">
        <v>1114</v>
      </c>
      <c r="CJ991" t="s">
        <v>12338</v>
      </c>
      <c r="CK991" t="s">
        <v>232</v>
      </c>
      <c r="CL991" t="s">
        <v>233</v>
      </c>
      <c r="CM991" t="s">
        <v>13305</v>
      </c>
      <c r="CN991" t="s">
        <v>341</v>
      </c>
      <c r="CO991" t="s">
        <v>183</v>
      </c>
      <c r="CP991" t="s">
        <v>266</v>
      </c>
      <c r="CS991" t="s">
        <v>198</v>
      </c>
      <c r="CT991" t="s">
        <v>6714</v>
      </c>
      <c r="CU991" t="s">
        <v>292</v>
      </c>
      <c r="CV991" t="s">
        <v>293</v>
      </c>
      <c r="CW991" t="s">
        <v>8904</v>
      </c>
      <c r="CX991" t="s">
        <v>1074</v>
      </c>
      <c r="CY991" t="s">
        <v>183</v>
      </c>
      <c r="CZ991" t="s">
        <v>211</v>
      </c>
      <c r="DA991" t="s">
        <v>523</v>
      </c>
      <c r="DC991" t="s">
        <v>13290</v>
      </c>
      <c r="DD991" t="s">
        <v>10023</v>
      </c>
      <c r="DE991" t="s">
        <v>267</v>
      </c>
      <c r="DF991" t="s">
        <v>268</v>
      </c>
      <c r="DG991" t="s">
        <v>1196</v>
      </c>
      <c r="DH991" t="s">
        <v>331</v>
      </c>
      <c r="DI991" t="s">
        <v>183</v>
      </c>
      <c r="DJ991" t="s">
        <v>211</v>
      </c>
      <c r="DK991" t="s">
        <v>345</v>
      </c>
      <c r="DM991" t="s">
        <v>13292</v>
      </c>
      <c r="DN991" t="s">
        <v>10607</v>
      </c>
      <c r="DO991" t="s">
        <v>273</v>
      </c>
      <c r="DP991" t="s">
        <v>274</v>
      </c>
      <c r="DQ991" t="s">
        <v>1179</v>
      </c>
      <c r="DR991" t="s">
        <v>440</v>
      </c>
      <c r="DS991" t="s">
        <v>183</v>
      </c>
      <c r="DT991" t="s">
        <v>211</v>
      </c>
      <c r="DU991" t="s">
        <v>298</v>
      </c>
      <c r="DW991" t="s">
        <v>1811</v>
      </c>
      <c r="DX991" t="s">
        <v>13306</v>
      </c>
      <c r="DY991" t="s">
        <v>302</v>
      </c>
      <c r="DZ991" t="s">
        <v>303</v>
      </c>
      <c r="EA991" t="s">
        <v>4650</v>
      </c>
      <c r="EB991" t="s">
        <v>295</v>
      </c>
      <c r="EC991" t="s">
        <v>183</v>
      </c>
      <c r="ED991" t="s">
        <v>211</v>
      </c>
      <c r="EE991" t="s">
        <v>523</v>
      </c>
      <c r="EG991" t="s">
        <v>4847</v>
      </c>
      <c r="EH991" t="s">
        <v>13307</v>
      </c>
      <c r="EI991" t="s">
        <v>238</v>
      </c>
      <c r="EJ991" t="s">
        <v>239</v>
      </c>
      <c r="EK991" t="s">
        <v>13308</v>
      </c>
      <c r="EL991" t="s">
        <v>482</v>
      </c>
      <c r="EM991" t="s">
        <v>183</v>
      </c>
      <c r="EN991" t="s">
        <v>211</v>
      </c>
      <c r="EO991" t="s">
        <v>298</v>
      </c>
      <c r="EQ991" t="s">
        <v>441</v>
      </c>
      <c r="ER991" t="s">
        <v>13309</v>
      </c>
      <c r="ES991" t="s">
        <v>346</v>
      </c>
      <c r="ET991" t="s">
        <v>347</v>
      </c>
      <c r="EU991" t="s">
        <v>13282</v>
      </c>
      <c r="EV991" t="s">
        <v>1491</v>
      </c>
      <c r="EW991" t="s">
        <v>183</v>
      </c>
      <c r="EX991" t="s">
        <v>211</v>
      </c>
      <c r="EY991" t="s">
        <v>493</v>
      </c>
      <c r="FA991" t="s">
        <v>13300</v>
      </c>
      <c r="FK991" t="s">
        <v>198</v>
      </c>
      <c r="FU991" t="s">
        <v>198</v>
      </c>
    </row>
    <row r="992" spans="1:177">
      <c r="A992" s="1" t="str">
        <f>HYPERLINK("http://digipan.lumentumllc.com/apps/getLink/index.php?t=PropLink&amp;p=5245115","PL")</f>
        <v>PL</v>
      </c>
      <c r="B992" s="1" t="str">
        <f>HYPERLINK("http://digipan.lumentumllc.com/apps/getLink/index.php?t=TaxLink&amp;p=5245115","TL")</f>
        <v>TL</v>
      </c>
      <c r="C992" s="1" t="str">
        <f>HYPERLINK("http://digipan.lumentumllc.com/apps/getMap/index.php?p=5245115","Map")</f>
        <v>Map</v>
      </c>
      <c r="E992" t="s">
        <v>177</v>
      </c>
      <c r="F992" t="s">
        <v>178</v>
      </c>
      <c r="L992" t="s">
        <v>13310</v>
      </c>
      <c r="N992" t="s">
        <v>13310</v>
      </c>
      <c r="O992" t="s">
        <v>13310</v>
      </c>
      <c r="P992" t="s">
        <v>13311</v>
      </c>
      <c r="Q992" t="s">
        <v>13310</v>
      </c>
      <c r="V992">
        <v>1141</v>
      </c>
      <c r="W992">
        <v>4</v>
      </c>
      <c r="X992">
        <v>2017</v>
      </c>
      <c r="Y992">
        <v>2018</v>
      </c>
      <c r="Z992">
        <v>296.25</v>
      </c>
      <c r="AB992" t="s">
        <v>181</v>
      </c>
      <c r="AC992" t="s">
        <v>202</v>
      </c>
      <c r="AD992" t="s">
        <v>183</v>
      </c>
      <c r="AE992">
        <v>0</v>
      </c>
      <c r="AF992">
        <v>7</v>
      </c>
      <c r="AG992" t="s">
        <v>1059</v>
      </c>
      <c r="AH992">
        <v>100</v>
      </c>
      <c r="AK992">
        <v>0</v>
      </c>
      <c r="AL992">
        <v>60892</v>
      </c>
      <c r="AM992">
        <v>23625</v>
      </c>
      <c r="AN992">
        <v>37267</v>
      </c>
      <c r="AO992">
        <v>235</v>
      </c>
      <c r="AP992">
        <v>2016</v>
      </c>
      <c r="AQ992">
        <v>0.49</v>
      </c>
      <c r="AS992" t="s">
        <v>13312</v>
      </c>
      <c r="AT992" t="s">
        <v>186</v>
      </c>
      <c r="AU992" t="s">
        <v>177</v>
      </c>
      <c r="AV992" t="s">
        <v>187</v>
      </c>
      <c r="AW992" t="s">
        <v>202</v>
      </c>
      <c r="AX992">
        <v>2</v>
      </c>
      <c r="AY992" t="s">
        <v>188</v>
      </c>
      <c r="AZ992" t="s">
        <v>189</v>
      </c>
      <c r="BA992" t="s">
        <v>190</v>
      </c>
      <c r="BB992" t="s">
        <v>191</v>
      </c>
      <c r="BC992" t="s">
        <v>182</v>
      </c>
      <c r="BD992" t="s">
        <v>182</v>
      </c>
      <c r="BE992" t="s">
        <v>2589</v>
      </c>
      <c r="BF992">
        <v>1</v>
      </c>
      <c r="BG992">
        <v>1</v>
      </c>
      <c r="BH992">
        <v>1987</v>
      </c>
      <c r="BI992" t="s">
        <v>13313</v>
      </c>
      <c r="BJ992" t="s">
        <v>194</v>
      </c>
      <c r="BK992" t="s">
        <v>195</v>
      </c>
      <c r="BL992" t="s">
        <v>199</v>
      </c>
      <c r="BM992" t="s">
        <v>1387</v>
      </c>
      <c r="BN992" t="s">
        <v>182</v>
      </c>
      <c r="BO992" t="s">
        <v>198</v>
      </c>
      <c r="BP992" t="s">
        <v>198</v>
      </c>
      <c r="BQ992" t="s">
        <v>198</v>
      </c>
      <c r="BR992" t="s">
        <v>198</v>
      </c>
      <c r="BS992" t="s">
        <v>198</v>
      </c>
      <c r="BT992" t="s">
        <v>198</v>
      </c>
      <c r="BU992" t="s">
        <v>182</v>
      </c>
      <c r="BV992" t="s">
        <v>198</v>
      </c>
      <c r="BW992" t="s">
        <v>198</v>
      </c>
      <c r="BX992" t="s">
        <v>199</v>
      </c>
      <c r="BY992" t="s">
        <v>198</v>
      </c>
      <c r="BZ992" t="s">
        <v>199</v>
      </c>
      <c r="CA992" t="s">
        <v>199</v>
      </c>
      <c r="CB992" t="s">
        <v>13314</v>
      </c>
      <c r="CC992" t="s">
        <v>201</v>
      </c>
      <c r="CD992" t="s">
        <v>202</v>
      </c>
      <c r="CE992" t="s">
        <v>13315</v>
      </c>
      <c r="CF992" t="s">
        <v>204</v>
      </c>
      <c r="CG992" t="s">
        <v>177</v>
      </c>
      <c r="CH992" t="s">
        <v>187</v>
      </c>
      <c r="CI992" t="s">
        <v>13316</v>
      </c>
      <c r="CJ992" t="s">
        <v>12045</v>
      </c>
      <c r="CK992" t="s">
        <v>232</v>
      </c>
      <c r="CL992" t="s">
        <v>233</v>
      </c>
      <c r="CM992" t="s">
        <v>13317</v>
      </c>
      <c r="CN992" t="s">
        <v>235</v>
      </c>
      <c r="CO992" t="s">
        <v>183</v>
      </c>
      <c r="CP992" t="s">
        <v>211</v>
      </c>
      <c r="CQ992" t="s">
        <v>206</v>
      </c>
      <c r="CR992" t="s">
        <v>271</v>
      </c>
      <c r="CS992" t="s">
        <v>10327</v>
      </c>
      <c r="CT992" t="s">
        <v>9922</v>
      </c>
      <c r="CU992" t="s">
        <v>292</v>
      </c>
      <c r="CV992" t="s">
        <v>293</v>
      </c>
      <c r="CW992" t="s">
        <v>13318</v>
      </c>
      <c r="CX992" t="s">
        <v>235</v>
      </c>
      <c r="CY992" t="s">
        <v>183</v>
      </c>
      <c r="CZ992" t="s">
        <v>211</v>
      </c>
      <c r="DB992" t="s">
        <v>271</v>
      </c>
      <c r="DC992" t="s">
        <v>198</v>
      </c>
      <c r="DD992" t="s">
        <v>10200</v>
      </c>
      <c r="DE992" t="s">
        <v>267</v>
      </c>
      <c r="DF992" t="s">
        <v>268</v>
      </c>
      <c r="DG992" t="s">
        <v>13319</v>
      </c>
      <c r="DH992" t="s">
        <v>235</v>
      </c>
      <c r="DI992" t="s">
        <v>183</v>
      </c>
      <c r="DJ992" t="s">
        <v>211</v>
      </c>
      <c r="DL992" t="s">
        <v>271</v>
      </c>
      <c r="DM992" t="s">
        <v>198</v>
      </c>
      <c r="DN992" t="s">
        <v>13320</v>
      </c>
      <c r="DO992" t="s">
        <v>273</v>
      </c>
      <c r="DP992" t="s">
        <v>274</v>
      </c>
      <c r="DQ992" t="s">
        <v>10093</v>
      </c>
      <c r="DR992" t="s">
        <v>235</v>
      </c>
      <c r="DS992" t="s">
        <v>183</v>
      </c>
      <c r="DT992" t="s">
        <v>211</v>
      </c>
      <c r="DU992" t="s">
        <v>345</v>
      </c>
      <c r="DW992" t="s">
        <v>13321</v>
      </c>
      <c r="DX992" t="s">
        <v>11016</v>
      </c>
      <c r="DY992" t="s">
        <v>302</v>
      </c>
      <c r="DZ992" t="s">
        <v>303</v>
      </c>
      <c r="EA992" t="s">
        <v>13322</v>
      </c>
      <c r="EB992" t="s">
        <v>796</v>
      </c>
      <c r="EC992" t="s">
        <v>183</v>
      </c>
      <c r="ED992" t="s">
        <v>211</v>
      </c>
      <c r="EE992" t="s">
        <v>329</v>
      </c>
      <c r="EG992" t="s">
        <v>1815</v>
      </c>
      <c r="EH992" t="s">
        <v>10810</v>
      </c>
      <c r="EI992" t="s">
        <v>238</v>
      </c>
      <c r="EJ992" t="s">
        <v>239</v>
      </c>
      <c r="EK992" t="s">
        <v>13323</v>
      </c>
      <c r="EL992" t="s">
        <v>295</v>
      </c>
      <c r="EM992" t="s">
        <v>183</v>
      </c>
      <c r="EN992" t="s">
        <v>211</v>
      </c>
      <c r="EO992" t="s">
        <v>342</v>
      </c>
      <c r="EQ992" t="s">
        <v>10606</v>
      </c>
      <c r="ER992" t="s">
        <v>11729</v>
      </c>
      <c r="ES992" t="s">
        <v>346</v>
      </c>
      <c r="ET992" t="s">
        <v>347</v>
      </c>
      <c r="EU992" t="s">
        <v>13324</v>
      </c>
      <c r="EV992" t="s">
        <v>1491</v>
      </c>
      <c r="EW992" t="s">
        <v>183</v>
      </c>
      <c r="EX992" t="s">
        <v>211</v>
      </c>
      <c r="EY992" t="s">
        <v>212</v>
      </c>
      <c r="FA992" t="s">
        <v>13325</v>
      </c>
      <c r="FK992" t="s">
        <v>198</v>
      </c>
      <c r="FU992" t="s">
        <v>198</v>
      </c>
    </row>
    <row r="993" spans="1:177">
      <c r="A993" s="1" t="str">
        <f>HYPERLINK("http://digipan.lumentumllc.com/apps/getLink/index.php?t=PropLink&amp;p=7112388","PL")</f>
        <v>PL</v>
      </c>
      <c r="B993" s="1" t="str">
        <f>HYPERLINK("http://digipan.lumentumllc.com/apps/getLink/index.php?t=TaxLink&amp;p=7112388","TL")</f>
        <v>TL</v>
      </c>
      <c r="C993" s="1" t="str">
        <f>HYPERLINK("http://digipan.lumentumllc.com/apps/getMap/index.php?p=7112388","Map")</f>
        <v>Map</v>
      </c>
      <c r="E993" t="s">
        <v>177</v>
      </c>
      <c r="F993" t="s">
        <v>178</v>
      </c>
      <c r="L993" t="s">
        <v>13326</v>
      </c>
      <c r="N993" t="s">
        <v>13326</v>
      </c>
      <c r="O993" t="s">
        <v>13326</v>
      </c>
      <c r="P993" t="s">
        <v>13327</v>
      </c>
      <c r="Q993" t="s">
        <v>13326</v>
      </c>
      <c r="V993">
        <v>1142</v>
      </c>
      <c r="W993">
        <v>4</v>
      </c>
      <c r="X993">
        <v>2017</v>
      </c>
      <c r="Y993">
        <v>2018</v>
      </c>
      <c r="Z993">
        <v>364.06</v>
      </c>
      <c r="AB993" t="s">
        <v>181</v>
      </c>
      <c r="AC993" t="s">
        <v>182</v>
      </c>
      <c r="AD993" t="s">
        <v>183</v>
      </c>
      <c r="AE993">
        <v>0</v>
      </c>
      <c r="AF993">
        <v>2</v>
      </c>
      <c r="AG993" t="s">
        <v>821</v>
      </c>
      <c r="AH993">
        <v>100</v>
      </c>
      <c r="AK993">
        <v>0</v>
      </c>
      <c r="AL993">
        <v>214704</v>
      </c>
      <c r="AM993">
        <v>20282</v>
      </c>
      <c r="AN993">
        <v>194422</v>
      </c>
      <c r="AO993">
        <v>275</v>
      </c>
      <c r="AP993">
        <v>2016</v>
      </c>
      <c r="AQ993">
        <v>0.17</v>
      </c>
      <c r="AS993" t="s">
        <v>7314</v>
      </c>
      <c r="AT993" t="s">
        <v>186</v>
      </c>
      <c r="AU993" t="s">
        <v>177</v>
      </c>
      <c r="AV993" t="s">
        <v>187</v>
      </c>
      <c r="AW993" t="s">
        <v>182</v>
      </c>
      <c r="AX993">
        <v>56</v>
      </c>
      <c r="AY993" t="s">
        <v>218</v>
      </c>
      <c r="AZ993" t="s">
        <v>219</v>
      </c>
      <c r="BA993" t="s">
        <v>220</v>
      </c>
      <c r="BB993" t="s">
        <v>191</v>
      </c>
      <c r="BC993" t="s">
        <v>182</v>
      </c>
      <c r="BD993" t="s">
        <v>182</v>
      </c>
      <c r="BE993" t="s">
        <v>13328</v>
      </c>
      <c r="BF993">
        <v>0</v>
      </c>
      <c r="BG993">
        <v>0</v>
      </c>
      <c r="BH993">
        <v>0</v>
      </c>
      <c r="BI993" t="s">
        <v>199</v>
      </c>
      <c r="BJ993" t="s">
        <v>315</v>
      </c>
      <c r="BL993" t="s">
        <v>4009</v>
      </c>
      <c r="BM993" t="s">
        <v>533</v>
      </c>
      <c r="BN993" t="s">
        <v>182</v>
      </c>
      <c r="BO993" t="s">
        <v>198</v>
      </c>
      <c r="BP993" t="s">
        <v>198</v>
      </c>
      <c r="BQ993" t="s">
        <v>198</v>
      </c>
      <c r="BR993" t="s">
        <v>198</v>
      </c>
      <c r="BS993" t="s">
        <v>198</v>
      </c>
      <c r="BT993" t="s">
        <v>198</v>
      </c>
      <c r="BU993" t="s">
        <v>182</v>
      </c>
      <c r="BV993" t="s">
        <v>198</v>
      </c>
      <c r="BW993" t="s">
        <v>198</v>
      </c>
      <c r="BX993" t="s">
        <v>199</v>
      </c>
      <c r="BY993" t="s">
        <v>198</v>
      </c>
      <c r="BZ993" t="s">
        <v>199</v>
      </c>
      <c r="CA993" t="s">
        <v>199</v>
      </c>
      <c r="CB993" t="s">
        <v>13329</v>
      </c>
      <c r="CC993" t="s">
        <v>201</v>
      </c>
      <c r="CD993" t="s">
        <v>182</v>
      </c>
      <c r="CE993" t="s">
        <v>13330</v>
      </c>
      <c r="CF993" t="s">
        <v>413</v>
      </c>
      <c r="CG993" t="s">
        <v>177</v>
      </c>
      <c r="CH993" t="s">
        <v>4155</v>
      </c>
      <c r="CI993" t="s">
        <v>13331</v>
      </c>
      <c r="CJ993" t="s">
        <v>13038</v>
      </c>
      <c r="CK993" t="s">
        <v>292</v>
      </c>
      <c r="CL993" t="s">
        <v>293</v>
      </c>
      <c r="CM993" t="s">
        <v>13332</v>
      </c>
      <c r="CN993" t="s">
        <v>278</v>
      </c>
      <c r="CO993" t="s">
        <v>183</v>
      </c>
      <c r="CP993" t="s">
        <v>211</v>
      </c>
      <c r="CQ993" t="s">
        <v>339</v>
      </c>
      <c r="CS993" t="s">
        <v>12539</v>
      </c>
      <c r="CT993" t="s">
        <v>5250</v>
      </c>
      <c r="CU993" t="s">
        <v>207</v>
      </c>
      <c r="CV993" t="s">
        <v>208</v>
      </c>
      <c r="CW993" t="s">
        <v>13333</v>
      </c>
      <c r="CX993" t="s">
        <v>576</v>
      </c>
      <c r="CY993" t="s">
        <v>183</v>
      </c>
      <c r="CZ993" t="s">
        <v>211</v>
      </c>
      <c r="DA993" t="s">
        <v>264</v>
      </c>
      <c r="DC993" t="s">
        <v>13334</v>
      </c>
      <c r="DM993" t="s">
        <v>198</v>
      </c>
      <c r="DW993" t="s">
        <v>198</v>
      </c>
      <c r="EG993" t="s">
        <v>198</v>
      </c>
      <c r="EQ993" t="s">
        <v>198</v>
      </c>
      <c r="FA993" t="s">
        <v>198</v>
      </c>
      <c r="FK993" t="s">
        <v>198</v>
      </c>
      <c r="FU993" t="s">
        <v>198</v>
      </c>
    </row>
    <row r="994" spans="1:177">
      <c r="A994" s="1" t="str">
        <f>HYPERLINK("http://digipan.lumentumllc.com/apps/getLink/index.php?t=PropLink&amp;p=5245317","PL")</f>
        <v>PL</v>
      </c>
      <c r="B994" s="1" t="str">
        <f>HYPERLINK("http://digipan.lumentumllc.com/apps/getLink/index.php?t=TaxLink&amp;p=5245317","TL")</f>
        <v>TL</v>
      </c>
      <c r="C994" s="1" t="str">
        <f>HYPERLINK("http://digipan.lumentumllc.com/apps/getMap/index.php?p=5245317","Map")</f>
        <v>Map</v>
      </c>
      <c r="E994" t="s">
        <v>177</v>
      </c>
      <c r="F994" t="s">
        <v>178</v>
      </c>
      <c r="L994" t="s">
        <v>13335</v>
      </c>
      <c r="N994" t="s">
        <v>13335</v>
      </c>
      <c r="O994" t="s">
        <v>13335</v>
      </c>
      <c r="P994" t="s">
        <v>13336</v>
      </c>
      <c r="Q994" t="s">
        <v>13335</v>
      </c>
      <c r="V994">
        <v>1143</v>
      </c>
      <c r="W994">
        <v>4</v>
      </c>
      <c r="X994">
        <v>2017</v>
      </c>
      <c r="Y994">
        <v>2018</v>
      </c>
      <c r="Z994">
        <v>518.79999999999995</v>
      </c>
      <c r="AB994" t="s">
        <v>181</v>
      </c>
      <c r="AC994" t="s">
        <v>182</v>
      </c>
      <c r="AD994" t="s">
        <v>183</v>
      </c>
      <c r="AE994">
        <v>1</v>
      </c>
      <c r="AF994">
        <v>6</v>
      </c>
      <c r="AG994" t="s">
        <v>322</v>
      </c>
      <c r="AH994">
        <v>83</v>
      </c>
      <c r="AI994">
        <v>512.63</v>
      </c>
      <c r="AJ994">
        <v>25.63</v>
      </c>
      <c r="AK994">
        <v>538.26</v>
      </c>
      <c r="AL994">
        <v>82862</v>
      </c>
      <c r="AM994">
        <v>42000</v>
      </c>
      <c r="AN994">
        <v>40862</v>
      </c>
      <c r="AO994">
        <v>449</v>
      </c>
      <c r="AP994">
        <v>2016</v>
      </c>
      <c r="AQ994">
        <v>0.63</v>
      </c>
      <c r="AR994">
        <v>0.65</v>
      </c>
      <c r="AS994" t="s">
        <v>13337</v>
      </c>
      <c r="AT994" t="s">
        <v>186</v>
      </c>
      <c r="AU994" t="s">
        <v>177</v>
      </c>
      <c r="AV994" t="s">
        <v>187</v>
      </c>
      <c r="AW994" t="s">
        <v>202</v>
      </c>
      <c r="AX994">
        <v>1</v>
      </c>
      <c r="AY994" t="s">
        <v>188</v>
      </c>
      <c r="AZ994" t="s">
        <v>206</v>
      </c>
      <c r="BA994" t="s">
        <v>355</v>
      </c>
      <c r="BB994" t="s">
        <v>191</v>
      </c>
      <c r="BC994" t="s">
        <v>182</v>
      </c>
      <c r="BD994" t="s">
        <v>182</v>
      </c>
      <c r="BE994" t="s">
        <v>247</v>
      </c>
      <c r="BF994">
        <v>1</v>
      </c>
      <c r="BG994">
        <v>1</v>
      </c>
      <c r="BH994">
        <v>1955</v>
      </c>
      <c r="BI994" t="s">
        <v>13338</v>
      </c>
      <c r="BJ994" t="s">
        <v>194</v>
      </c>
      <c r="BK994" t="s">
        <v>195</v>
      </c>
      <c r="BL994" t="s">
        <v>199</v>
      </c>
      <c r="BM994" t="s">
        <v>451</v>
      </c>
      <c r="BN994" t="s">
        <v>182</v>
      </c>
      <c r="BO994" t="s">
        <v>198</v>
      </c>
      <c r="BP994" t="s">
        <v>198</v>
      </c>
      <c r="BQ994" t="s">
        <v>198</v>
      </c>
      <c r="BR994" t="s">
        <v>198</v>
      </c>
      <c r="BS994" t="s">
        <v>198</v>
      </c>
      <c r="BT994" t="s">
        <v>198</v>
      </c>
      <c r="BU994" t="s">
        <v>182</v>
      </c>
      <c r="BV994" t="s">
        <v>198</v>
      </c>
      <c r="BW994" t="s">
        <v>198</v>
      </c>
      <c r="BX994" t="s">
        <v>199</v>
      </c>
      <c r="BY994" t="s">
        <v>198</v>
      </c>
      <c r="BZ994" t="s">
        <v>199</v>
      </c>
      <c r="CA994" t="s">
        <v>199</v>
      </c>
      <c r="CB994" t="s">
        <v>13339</v>
      </c>
      <c r="CC994" t="s">
        <v>201</v>
      </c>
      <c r="CD994" t="s">
        <v>182</v>
      </c>
      <c r="CE994" t="s">
        <v>13340</v>
      </c>
      <c r="CF994" t="s">
        <v>204</v>
      </c>
      <c r="CG994" t="s">
        <v>177</v>
      </c>
      <c r="CH994" t="s">
        <v>187</v>
      </c>
      <c r="CI994" t="s">
        <v>13341</v>
      </c>
      <c r="CJ994" t="s">
        <v>12896</v>
      </c>
      <c r="CK994" t="s">
        <v>232</v>
      </c>
      <c r="CL994" t="s">
        <v>233</v>
      </c>
      <c r="CM994" t="s">
        <v>13342</v>
      </c>
      <c r="CN994" t="s">
        <v>235</v>
      </c>
      <c r="CO994" t="s">
        <v>183</v>
      </c>
      <c r="CP994" t="s">
        <v>266</v>
      </c>
      <c r="CS994" t="s">
        <v>198</v>
      </c>
      <c r="CT994" t="s">
        <v>6761</v>
      </c>
      <c r="CU994" t="s">
        <v>292</v>
      </c>
      <c r="CV994" t="s">
        <v>293</v>
      </c>
      <c r="CW994" t="s">
        <v>13343</v>
      </c>
      <c r="CX994" t="s">
        <v>235</v>
      </c>
      <c r="CY994" t="s">
        <v>183</v>
      </c>
      <c r="CZ994" t="s">
        <v>211</v>
      </c>
      <c r="DA994" t="s">
        <v>523</v>
      </c>
      <c r="DC994" t="s">
        <v>13344</v>
      </c>
      <c r="DD994" t="s">
        <v>10616</v>
      </c>
      <c r="DE994" t="s">
        <v>273</v>
      </c>
      <c r="DF994" t="s">
        <v>274</v>
      </c>
      <c r="DG994" t="s">
        <v>13345</v>
      </c>
      <c r="DH994" t="s">
        <v>235</v>
      </c>
      <c r="DI994" t="s">
        <v>183</v>
      </c>
      <c r="DJ994" t="s">
        <v>211</v>
      </c>
      <c r="DK994" t="s">
        <v>345</v>
      </c>
      <c r="DM994" t="s">
        <v>3539</v>
      </c>
      <c r="DN994" t="s">
        <v>10961</v>
      </c>
      <c r="DO994" t="s">
        <v>302</v>
      </c>
      <c r="DP994" t="s">
        <v>303</v>
      </c>
      <c r="DQ994" t="s">
        <v>13346</v>
      </c>
      <c r="DR994" t="s">
        <v>235</v>
      </c>
      <c r="DS994" t="s">
        <v>183</v>
      </c>
      <c r="DT994" t="s">
        <v>211</v>
      </c>
      <c r="DU994" t="s">
        <v>345</v>
      </c>
      <c r="DW994" t="s">
        <v>10771</v>
      </c>
      <c r="DX994" t="s">
        <v>12702</v>
      </c>
      <c r="DY994" t="s">
        <v>238</v>
      </c>
      <c r="DZ994" t="s">
        <v>239</v>
      </c>
      <c r="EA994" t="s">
        <v>13347</v>
      </c>
      <c r="EB994" t="s">
        <v>331</v>
      </c>
      <c r="EC994" t="s">
        <v>183</v>
      </c>
      <c r="ED994" t="s">
        <v>211</v>
      </c>
      <c r="EE994" t="s">
        <v>206</v>
      </c>
      <c r="EG994" t="s">
        <v>13348</v>
      </c>
      <c r="EH994" t="s">
        <v>10752</v>
      </c>
      <c r="EI994" t="s">
        <v>346</v>
      </c>
      <c r="EJ994" t="s">
        <v>347</v>
      </c>
      <c r="EK994" t="s">
        <v>13349</v>
      </c>
      <c r="EL994" t="s">
        <v>511</v>
      </c>
      <c r="EM994" t="s">
        <v>183</v>
      </c>
      <c r="EN994" t="s">
        <v>211</v>
      </c>
      <c r="EO994" t="s">
        <v>306</v>
      </c>
      <c r="EQ994" t="s">
        <v>13348</v>
      </c>
      <c r="ER994" t="s">
        <v>1320</v>
      </c>
      <c r="ES994" t="s">
        <v>207</v>
      </c>
      <c r="ET994" t="s">
        <v>208</v>
      </c>
      <c r="EU994" t="s">
        <v>13350</v>
      </c>
      <c r="EV994" t="s">
        <v>688</v>
      </c>
      <c r="EW994" t="s">
        <v>183</v>
      </c>
      <c r="EX994" t="s">
        <v>211</v>
      </c>
      <c r="EY994" t="s">
        <v>298</v>
      </c>
      <c r="FA994" t="s">
        <v>446</v>
      </c>
      <c r="FK994" t="s">
        <v>198</v>
      </c>
      <c r="FU994" t="s">
        <v>198</v>
      </c>
    </row>
    <row r="995" spans="1:177">
      <c r="A995" s="1" t="str">
        <f>HYPERLINK("http://digipan.lumentumllc.com/apps/getLink/index.php?t=PropLink&amp;p=5245450","PL")</f>
        <v>PL</v>
      </c>
      <c r="B995" s="1" t="str">
        <f>HYPERLINK("http://digipan.lumentumllc.com/apps/getLink/index.php?t=TaxLink&amp;p=5245450","TL")</f>
        <v>TL</v>
      </c>
      <c r="C995" s="1" t="str">
        <f>HYPERLINK("http://digipan.lumentumllc.com/apps/getMap/index.php?p=5245450","Map")</f>
        <v>Map</v>
      </c>
      <c r="E995" t="s">
        <v>177</v>
      </c>
      <c r="F995" t="s">
        <v>178</v>
      </c>
      <c r="L995" t="s">
        <v>13351</v>
      </c>
      <c r="N995" t="s">
        <v>13351</v>
      </c>
      <c r="O995" t="s">
        <v>13351</v>
      </c>
      <c r="P995" t="s">
        <v>13352</v>
      </c>
      <c r="Q995" t="s">
        <v>13351</v>
      </c>
      <c r="V995">
        <v>1144</v>
      </c>
      <c r="W995">
        <v>4</v>
      </c>
      <c r="X995">
        <v>2017</v>
      </c>
      <c r="Y995">
        <v>2018</v>
      </c>
      <c r="Z995">
        <v>654.29</v>
      </c>
      <c r="AG995" t="s">
        <v>184</v>
      </c>
      <c r="AH995">
        <v>0</v>
      </c>
      <c r="AK995">
        <v>0</v>
      </c>
      <c r="AL995">
        <v>132300</v>
      </c>
      <c r="AM995">
        <v>30796</v>
      </c>
      <c r="AN995">
        <v>101504</v>
      </c>
      <c r="AO995">
        <v>521</v>
      </c>
      <c r="AP995">
        <v>2016</v>
      </c>
      <c r="AQ995">
        <v>0.49</v>
      </c>
      <c r="AS995" t="s">
        <v>13353</v>
      </c>
      <c r="AT995" t="s">
        <v>186</v>
      </c>
      <c r="AU995" t="s">
        <v>177</v>
      </c>
      <c r="AV995" t="s">
        <v>187</v>
      </c>
      <c r="AW995" t="s">
        <v>182</v>
      </c>
      <c r="AX995">
        <v>50</v>
      </c>
      <c r="AY995" t="s">
        <v>218</v>
      </c>
      <c r="AZ995" t="s">
        <v>589</v>
      </c>
      <c r="BA995" t="s">
        <v>590</v>
      </c>
      <c r="BB995" t="s">
        <v>191</v>
      </c>
      <c r="BC995" t="s">
        <v>182</v>
      </c>
      <c r="BD995" t="s">
        <v>182</v>
      </c>
      <c r="BE995" t="s">
        <v>13354</v>
      </c>
      <c r="BF995">
        <v>0</v>
      </c>
      <c r="BG995">
        <v>0</v>
      </c>
      <c r="BH995">
        <v>0</v>
      </c>
      <c r="BI995" t="s">
        <v>199</v>
      </c>
      <c r="BJ995" t="s">
        <v>248</v>
      </c>
      <c r="BL995" t="s">
        <v>2050</v>
      </c>
      <c r="BM995" t="s">
        <v>679</v>
      </c>
      <c r="BN995" t="s">
        <v>182</v>
      </c>
      <c r="BO995" t="s">
        <v>198</v>
      </c>
      <c r="BP995" t="s">
        <v>198</v>
      </c>
      <c r="BQ995" t="s">
        <v>198</v>
      </c>
      <c r="BR995" t="s">
        <v>198</v>
      </c>
      <c r="BS995" t="s">
        <v>198</v>
      </c>
      <c r="BT995" t="s">
        <v>198</v>
      </c>
      <c r="BU995" t="s">
        <v>182</v>
      </c>
      <c r="BV995" t="s">
        <v>198</v>
      </c>
      <c r="BW995" t="s">
        <v>198</v>
      </c>
      <c r="BX995" t="s">
        <v>199</v>
      </c>
      <c r="BY995" t="s">
        <v>198</v>
      </c>
      <c r="BZ995" t="s">
        <v>199</v>
      </c>
      <c r="CA995" t="s">
        <v>199</v>
      </c>
      <c r="CB995" t="s">
        <v>13355</v>
      </c>
      <c r="CC995" t="s">
        <v>201</v>
      </c>
      <c r="CD995" t="s">
        <v>182</v>
      </c>
      <c r="CE995" t="s">
        <v>13356</v>
      </c>
      <c r="CF995" t="s">
        <v>204</v>
      </c>
      <c r="CG995" t="s">
        <v>177</v>
      </c>
      <c r="CH995" t="s">
        <v>187</v>
      </c>
      <c r="CI995" t="s">
        <v>13357</v>
      </c>
      <c r="CS995" t="s">
        <v>198</v>
      </c>
      <c r="DC995" t="s">
        <v>198</v>
      </c>
      <c r="DM995" t="s">
        <v>198</v>
      </c>
      <c r="DW995" t="s">
        <v>198</v>
      </c>
      <c r="EG995" t="s">
        <v>198</v>
      </c>
      <c r="EQ995" t="s">
        <v>198</v>
      </c>
      <c r="FA995" t="s">
        <v>198</v>
      </c>
      <c r="FK995" t="s">
        <v>198</v>
      </c>
      <c r="FU995" t="s">
        <v>198</v>
      </c>
    </row>
    <row r="996" spans="1:177">
      <c r="A996" s="1" t="str">
        <f>HYPERLINK("http://digipan.lumentumllc.com/apps/getLink/index.php?t=PropLink&amp;p=5245451","PL")</f>
        <v>PL</v>
      </c>
      <c r="B996" s="1" t="str">
        <f>HYPERLINK("http://digipan.lumentumllc.com/apps/getLink/index.php?t=TaxLink&amp;p=5245451","TL")</f>
        <v>TL</v>
      </c>
      <c r="C996" s="1" t="str">
        <f>HYPERLINK("http://digipan.lumentumllc.com/apps/getMap/index.php?p=5245451","Map")</f>
        <v>Map</v>
      </c>
      <c r="E996" t="s">
        <v>177</v>
      </c>
      <c r="F996" t="s">
        <v>178</v>
      </c>
      <c r="L996" t="s">
        <v>13358</v>
      </c>
      <c r="N996" t="s">
        <v>13358</v>
      </c>
      <c r="O996" t="s">
        <v>13358</v>
      </c>
      <c r="P996" t="s">
        <v>13359</v>
      </c>
      <c r="Q996" t="s">
        <v>13358</v>
      </c>
      <c r="V996">
        <v>1145</v>
      </c>
      <c r="W996">
        <v>4</v>
      </c>
      <c r="X996">
        <v>2017</v>
      </c>
      <c r="Y996">
        <v>2018</v>
      </c>
      <c r="Z996">
        <v>573.91999999999996</v>
      </c>
      <c r="AG996" t="s">
        <v>184</v>
      </c>
      <c r="AH996">
        <v>0</v>
      </c>
      <c r="AK996">
        <v>0</v>
      </c>
      <c r="AL996">
        <v>88973</v>
      </c>
      <c r="AM996">
        <v>15750</v>
      </c>
      <c r="AN996">
        <v>73223</v>
      </c>
      <c r="AO996">
        <v>500</v>
      </c>
      <c r="AP996">
        <v>2016</v>
      </c>
      <c r="AQ996">
        <v>0.65</v>
      </c>
      <c r="AS996" t="s">
        <v>13360</v>
      </c>
      <c r="AT996" t="s">
        <v>186</v>
      </c>
      <c r="AU996" t="s">
        <v>177</v>
      </c>
      <c r="AV996" t="s">
        <v>187</v>
      </c>
      <c r="AW996" t="s">
        <v>202</v>
      </c>
      <c r="AX996">
        <v>1</v>
      </c>
      <c r="AY996" t="s">
        <v>188</v>
      </c>
      <c r="AZ996" t="s">
        <v>206</v>
      </c>
      <c r="BA996" t="s">
        <v>355</v>
      </c>
      <c r="BB996" t="s">
        <v>191</v>
      </c>
      <c r="BC996" t="s">
        <v>182</v>
      </c>
      <c r="BD996" t="s">
        <v>182</v>
      </c>
      <c r="BE996" t="s">
        <v>383</v>
      </c>
      <c r="BF996">
        <v>1</v>
      </c>
      <c r="BG996">
        <v>1</v>
      </c>
      <c r="BH996">
        <v>1972</v>
      </c>
      <c r="BI996" t="s">
        <v>13361</v>
      </c>
      <c r="BJ996" t="s">
        <v>194</v>
      </c>
      <c r="BK996" t="s">
        <v>195</v>
      </c>
      <c r="BL996" t="s">
        <v>199</v>
      </c>
      <c r="BM996" t="s">
        <v>1474</v>
      </c>
      <c r="BN996" t="s">
        <v>182</v>
      </c>
      <c r="BO996" t="s">
        <v>198</v>
      </c>
      <c r="BP996" t="s">
        <v>198</v>
      </c>
      <c r="BQ996" t="s">
        <v>198</v>
      </c>
      <c r="BR996" t="s">
        <v>198</v>
      </c>
      <c r="BS996" t="s">
        <v>198</v>
      </c>
      <c r="BT996" t="s">
        <v>198</v>
      </c>
      <c r="BU996" t="s">
        <v>182</v>
      </c>
      <c r="BV996" t="s">
        <v>198</v>
      </c>
      <c r="BW996" t="s">
        <v>198</v>
      </c>
      <c r="BX996" t="s">
        <v>199</v>
      </c>
      <c r="BY996" t="s">
        <v>198</v>
      </c>
      <c r="BZ996" t="s">
        <v>199</v>
      </c>
      <c r="CA996" t="s">
        <v>199</v>
      </c>
      <c r="CB996" t="s">
        <v>13355</v>
      </c>
      <c r="CC996" t="s">
        <v>201</v>
      </c>
      <c r="CD996" t="s">
        <v>182</v>
      </c>
      <c r="CE996" t="s">
        <v>13362</v>
      </c>
      <c r="CF996" t="s">
        <v>204</v>
      </c>
      <c r="CG996" t="s">
        <v>177</v>
      </c>
      <c r="CH996" t="s">
        <v>187</v>
      </c>
      <c r="CI996" t="s">
        <v>13357</v>
      </c>
      <c r="CS996" t="s">
        <v>198</v>
      </c>
      <c r="DC996" t="s">
        <v>198</v>
      </c>
      <c r="DM996" t="s">
        <v>198</v>
      </c>
      <c r="DW996" t="s">
        <v>198</v>
      </c>
      <c r="EG996" t="s">
        <v>198</v>
      </c>
      <c r="EQ996" t="s">
        <v>198</v>
      </c>
      <c r="FA996" t="s">
        <v>198</v>
      </c>
      <c r="FK996" t="s">
        <v>198</v>
      </c>
      <c r="FU996" t="s">
        <v>198</v>
      </c>
    </row>
    <row r="997" spans="1:177">
      <c r="A997" s="1" t="str">
        <f>HYPERLINK("http://digipan.lumentumllc.com/apps/getLink/index.php?t=PropLink&amp;p=5245997","PL")</f>
        <v>PL</v>
      </c>
      <c r="B997" s="1" t="str">
        <f>HYPERLINK("http://digipan.lumentumllc.com/apps/getLink/index.php?t=TaxLink&amp;p=5245997","TL")</f>
        <v>TL</v>
      </c>
      <c r="C997" s="1" t="str">
        <f>HYPERLINK("http://digipan.lumentumllc.com/apps/getMap/index.php?p=5245997","Map")</f>
        <v>Map</v>
      </c>
      <c r="E997" t="s">
        <v>177</v>
      </c>
      <c r="F997" t="s">
        <v>178</v>
      </c>
      <c r="L997" t="s">
        <v>13363</v>
      </c>
      <c r="N997" t="s">
        <v>13363</v>
      </c>
      <c r="O997" t="s">
        <v>13363</v>
      </c>
      <c r="P997" t="s">
        <v>13364</v>
      </c>
      <c r="Q997" t="s">
        <v>13363</v>
      </c>
      <c r="V997">
        <v>1146</v>
      </c>
      <c r="W997">
        <v>4</v>
      </c>
      <c r="X997">
        <v>2017</v>
      </c>
      <c r="Y997">
        <v>2018</v>
      </c>
      <c r="Z997">
        <v>458.15</v>
      </c>
      <c r="AB997" t="s">
        <v>181</v>
      </c>
      <c r="AC997" t="s">
        <v>202</v>
      </c>
      <c r="AD997" t="s">
        <v>183</v>
      </c>
      <c r="AE997">
        <v>4</v>
      </c>
      <c r="AF997">
        <v>3</v>
      </c>
      <c r="AG997" t="s">
        <v>13365</v>
      </c>
      <c r="AH997">
        <v>33</v>
      </c>
      <c r="AI997">
        <v>1787.96</v>
      </c>
      <c r="AJ997">
        <v>344.39</v>
      </c>
      <c r="AK997">
        <v>2132.35</v>
      </c>
      <c r="AL997">
        <v>27161</v>
      </c>
      <c r="AM997">
        <v>15750</v>
      </c>
      <c r="AN997">
        <v>11411</v>
      </c>
      <c r="AO997">
        <v>351</v>
      </c>
      <c r="AP997">
        <v>2016</v>
      </c>
      <c r="AQ997">
        <v>1.69</v>
      </c>
      <c r="AR997">
        <v>7.85</v>
      </c>
      <c r="AS997" t="s">
        <v>13366</v>
      </c>
      <c r="AT997" t="s">
        <v>3210</v>
      </c>
      <c r="AU997" t="s">
        <v>177</v>
      </c>
      <c r="AV997" t="s">
        <v>2334</v>
      </c>
      <c r="AW997" t="s">
        <v>182</v>
      </c>
      <c r="AX997">
        <v>1</v>
      </c>
      <c r="AY997" t="s">
        <v>188</v>
      </c>
      <c r="AZ997" t="s">
        <v>206</v>
      </c>
      <c r="BA997" t="s">
        <v>355</v>
      </c>
      <c r="BB997" t="s">
        <v>191</v>
      </c>
      <c r="BC997" t="s">
        <v>182</v>
      </c>
      <c r="BD997" t="s">
        <v>182</v>
      </c>
      <c r="BE997" t="s">
        <v>383</v>
      </c>
      <c r="BF997">
        <v>1</v>
      </c>
      <c r="BG997">
        <v>1</v>
      </c>
      <c r="BH997">
        <v>1972</v>
      </c>
      <c r="BI997" t="s">
        <v>8633</v>
      </c>
      <c r="BJ997" t="s">
        <v>285</v>
      </c>
      <c r="BK997" t="s">
        <v>195</v>
      </c>
      <c r="BL997" t="s">
        <v>13367</v>
      </c>
      <c r="BM997" t="s">
        <v>302</v>
      </c>
      <c r="BN997" t="s">
        <v>182</v>
      </c>
      <c r="BO997" t="s">
        <v>198</v>
      </c>
      <c r="BP997" t="s">
        <v>198</v>
      </c>
      <c r="BQ997" t="s">
        <v>198</v>
      </c>
      <c r="BR997" t="s">
        <v>198</v>
      </c>
      <c r="BS997" t="s">
        <v>198</v>
      </c>
      <c r="BT997" t="s">
        <v>198</v>
      </c>
      <c r="BU997" t="s">
        <v>182</v>
      </c>
      <c r="BV997" t="s">
        <v>198</v>
      </c>
      <c r="BW997" t="s">
        <v>198</v>
      </c>
      <c r="BX997" t="s">
        <v>199</v>
      </c>
      <c r="BY997" t="s">
        <v>198</v>
      </c>
      <c r="BZ997" t="s">
        <v>199</v>
      </c>
      <c r="CA997" t="s">
        <v>199</v>
      </c>
      <c r="CB997" t="s">
        <v>13368</v>
      </c>
      <c r="CC997" t="s">
        <v>201</v>
      </c>
      <c r="CD997" t="s">
        <v>182</v>
      </c>
      <c r="CE997" t="s">
        <v>13369</v>
      </c>
      <c r="CF997" t="s">
        <v>13370</v>
      </c>
      <c r="CG997" t="s">
        <v>9098</v>
      </c>
      <c r="CH997" t="s">
        <v>13371</v>
      </c>
      <c r="CI997" t="s">
        <v>13372</v>
      </c>
      <c r="CJ997" t="s">
        <v>6517</v>
      </c>
      <c r="CK997" t="s">
        <v>232</v>
      </c>
      <c r="CL997" t="s">
        <v>233</v>
      </c>
      <c r="CM997" t="s">
        <v>13373</v>
      </c>
      <c r="CN997" t="s">
        <v>341</v>
      </c>
      <c r="CO997" t="s">
        <v>183</v>
      </c>
      <c r="CP997" t="s">
        <v>266</v>
      </c>
      <c r="CS997" t="s">
        <v>198</v>
      </c>
      <c r="CT997" t="s">
        <v>9871</v>
      </c>
      <c r="CU997" t="s">
        <v>292</v>
      </c>
      <c r="CV997" t="s">
        <v>293</v>
      </c>
      <c r="CW997" t="s">
        <v>13374</v>
      </c>
      <c r="CX997" t="s">
        <v>482</v>
      </c>
      <c r="CY997" t="s">
        <v>183</v>
      </c>
      <c r="CZ997" t="s">
        <v>266</v>
      </c>
      <c r="DC997" t="s">
        <v>198</v>
      </c>
      <c r="DD997" t="s">
        <v>12410</v>
      </c>
      <c r="DE997" t="s">
        <v>267</v>
      </c>
      <c r="DF997" t="s">
        <v>268</v>
      </c>
      <c r="DG997" t="s">
        <v>13375</v>
      </c>
      <c r="DH997" t="s">
        <v>331</v>
      </c>
      <c r="DI997" t="s">
        <v>183</v>
      </c>
      <c r="DJ997" t="s">
        <v>266</v>
      </c>
      <c r="DM997" t="s">
        <v>198</v>
      </c>
      <c r="DN997" t="s">
        <v>13376</v>
      </c>
      <c r="DO997" t="s">
        <v>302</v>
      </c>
      <c r="DP997" t="s">
        <v>303</v>
      </c>
      <c r="DQ997" t="s">
        <v>13377</v>
      </c>
      <c r="DR997" t="s">
        <v>436</v>
      </c>
      <c r="DS997" t="s">
        <v>183</v>
      </c>
      <c r="DT997" t="s">
        <v>266</v>
      </c>
      <c r="DW997" t="s">
        <v>198</v>
      </c>
      <c r="DX997" t="s">
        <v>11872</v>
      </c>
      <c r="DY997" t="s">
        <v>238</v>
      </c>
      <c r="DZ997" t="s">
        <v>239</v>
      </c>
      <c r="EA997" t="s">
        <v>13378</v>
      </c>
      <c r="EB997" t="s">
        <v>333</v>
      </c>
      <c r="EC997" t="s">
        <v>183</v>
      </c>
      <c r="ED997" t="s">
        <v>211</v>
      </c>
      <c r="EE997" t="s">
        <v>189</v>
      </c>
      <c r="EF997" t="s">
        <v>6042</v>
      </c>
      <c r="EG997" t="s">
        <v>13379</v>
      </c>
      <c r="EH997" t="s">
        <v>13380</v>
      </c>
      <c r="EI997" t="s">
        <v>346</v>
      </c>
      <c r="EJ997" t="s">
        <v>347</v>
      </c>
      <c r="EK997" t="s">
        <v>13381</v>
      </c>
      <c r="EL997" t="s">
        <v>1551</v>
      </c>
      <c r="EM997" t="s">
        <v>183</v>
      </c>
      <c r="EN997" t="s">
        <v>211</v>
      </c>
      <c r="EO997" t="s">
        <v>460</v>
      </c>
      <c r="EP997" t="s">
        <v>6042</v>
      </c>
      <c r="EQ997" t="s">
        <v>13379</v>
      </c>
      <c r="ER997" t="s">
        <v>13199</v>
      </c>
      <c r="ES997" t="s">
        <v>207</v>
      </c>
      <c r="ET997" t="s">
        <v>208</v>
      </c>
      <c r="EU997" t="s">
        <v>13382</v>
      </c>
      <c r="EV997" t="s">
        <v>576</v>
      </c>
      <c r="EW997" t="s">
        <v>183</v>
      </c>
      <c r="EX997" t="s">
        <v>211</v>
      </c>
      <c r="EY997" t="s">
        <v>847</v>
      </c>
      <c r="EZ997" t="s">
        <v>6042</v>
      </c>
      <c r="FA997" t="s">
        <v>13379</v>
      </c>
      <c r="FK997" t="s">
        <v>198</v>
      </c>
      <c r="FU997" t="s">
        <v>198</v>
      </c>
    </row>
    <row r="998" spans="1:177">
      <c r="A998" s="1" t="str">
        <f>HYPERLINK("http://digipan.lumentumllc.com/apps/getLink/index.php?t=PropLink&amp;p=5246167","PL")</f>
        <v>PL</v>
      </c>
      <c r="B998" s="1" t="str">
        <f>HYPERLINK("http://digipan.lumentumllc.com/apps/getLink/index.php?t=TaxLink&amp;p=5246167","TL")</f>
        <v>TL</v>
      </c>
      <c r="C998" s="1" t="str">
        <f>HYPERLINK("http://digipan.lumentumllc.com/apps/getMap/index.php?p=5246167","Map")</f>
        <v>Map</v>
      </c>
      <c r="E998" t="s">
        <v>177</v>
      </c>
      <c r="F998" t="s">
        <v>178</v>
      </c>
      <c r="L998" t="s">
        <v>13383</v>
      </c>
      <c r="N998" t="s">
        <v>13383</v>
      </c>
      <c r="O998" t="s">
        <v>13383</v>
      </c>
      <c r="P998" t="s">
        <v>13384</v>
      </c>
      <c r="Q998" t="s">
        <v>13383</v>
      </c>
      <c r="V998">
        <v>1148</v>
      </c>
      <c r="W998">
        <v>4</v>
      </c>
      <c r="X998">
        <v>2017</v>
      </c>
      <c r="Y998">
        <v>2018</v>
      </c>
      <c r="Z998">
        <v>1579.22</v>
      </c>
      <c r="AB998" t="s">
        <v>181</v>
      </c>
      <c r="AC998" t="s">
        <v>182</v>
      </c>
      <c r="AD998" t="s">
        <v>183</v>
      </c>
      <c r="AE998">
        <v>0</v>
      </c>
      <c r="AF998">
        <v>1</v>
      </c>
      <c r="AG998" t="s">
        <v>821</v>
      </c>
      <c r="AH998">
        <v>100</v>
      </c>
      <c r="AK998">
        <v>0</v>
      </c>
      <c r="AL998">
        <v>94500</v>
      </c>
      <c r="AM998">
        <v>94500</v>
      </c>
      <c r="AN998">
        <v>0</v>
      </c>
      <c r="AO998">
        <v>1363</v>
      </c>
      <c r="AP998">
        <v>2016</v>
      </c>
      <c r="AQ998">
        <v>1.67</v>
      </c>
      <c r="AS998" t="s">
        <v>7314</v>
      </c>
      <c r="AT998" t="s">
        <v>186</v>
      </c>
      <c r="AU998" t="s">
        <v>177</v>
      </c>
      <c r="AV998" t="s">
        <v>187</v>
      </c>
      <c r="AW998" t="s">
        <v>182</v>
      </c>
      <c r="AX998">
        <v>0</v>
      </c>
      <c r="AY998" t="s">
        <v>312</v>
      </c>
      <c r="AZ998" t="s">
        <v>199</v>
      </c>
      <c r="BA998" t="s">
        <v>313</v>
      </c>
      <c r="BB998" t="s">
        <v>191</v>
      </c>
      <c r="BC998" t="s">
        <v>182</v>
      </c>
      <c r="BD998" t="s">
        <v>182</v>
      </c>
      <c r="BE998" t="s">
        <v>2132</v>
      </c>
      <c r="BF998">
        <v>0</v>
      </c>
      <c r="BG998">
        <v>0</v>
      </c>
      <c r="BH998">
        <v>0</v>
      </c>
      <c r="BI998" t="s">
        <v>199</v>
      </c>
      <c r="BJ998" t="s">
        <v>315</v>
      </c>
      <c r="BL998" t="s">
        <v>7671</v>
      </c>
      <c r="BM998" t="s">
        <v>679</v>
      </c>
      <c r="BN998" t="s">
        <v>182</v>
      </c>
      <c r="BO998" t="s">
        <v>198</v>
      </c>
      <c r="BP998" t="s">
        <v>198</v>
      </c>
      <c r="BQ998" t="s">
        <v>198</v>
      </c>
      <c r="BR998" t="s">
        <v>198</v>
      </c>
      <c r="BS998" t="s">
        <v>198</v>
      </c>
      <c r="BT998" t="s">
        <v>198</v>
      </c>
      <c r="BU998" t="s">
        <v>182</v>
      </c>
      <c r="BV998" t="s">
        <v>198</v>
      </c>
      <c r="BW998" t="s">
        <v>198</v>
      </c>
      <c r="BX998" t="s">
        <v>199</v>
      </c>
      <c r="BY998" t="s">
        <v>198</v>
      </c>
      <c r="BZ998" t="s">
        <v>199</v>
      </c>
      <c r="CA998" t="s">
        <v>199</v>
      </c>
      <c r="CB998" t="s">
        <v>13385</v>
      </c>
      <c r="CC998" t="s">
        <v>201</v>
      </c>
      <c r="CD998" t="s">
        <v>202</v>
      </c>
      <c r="CE998" t="s">
        <v>13386</v>
      </c>
      <c r="CF998" t="s">
        <v>204</v>
      </c>
      <c r="CG998" t="s">
        <v>177</v>
      </c>
      <c r="CH998" t="s">
        <v>187</v>
      </c>
      <c r="CI998" t="s">
        <v>13387</v>
      </c>
      <c r="CJ998" t="s">
        <v>12978</v>
      </c>
      <c r="CK998" t="s">
        <v>346</v>
      </c>
      <c r="CL998" t="s">
        <v>347</v>
      </c>
      <c r="CM998" t="s">
        <v>308</v>
      </c>
      <c r="CN998" t="s">
        <v>1491</v>
      </c>
      <c r="CO998" t="s">
        <v>183</v>
      </c>
      <c r="CP998" t="s">
        <v>211</v>
      </c>
      <c r="CQ998" t="s">
        <v>199</v>
      </c>
      <c r="CS998" t="s">
        <v>7198</v>
      </c>
      <c r="DC998" t="s">
        <v>198</v>
      </c>
      <c r="DM998" t="s">
        <v>198</v>
      </c>
      <c r="DW998" t="s">
        <v>198</v>
      </c>
      <c r="EG998" t="s">
        <v>198</v>
      </c>
      <c r="EQ998" t="s">
        <v>198</v>
      </c>
      <c r="FA998" t="s">
        <v>198</v>
      </c>
      <c r="FK998" t="s">
        <v>198</v>
      </c>
      <c r="FU998" t="s">
        <v>198</v>
      </c>
    </row>
    <row r="999" spans="1:177">
      <c r="A999" s="1" t="str">
        <f>HYPERLINK("http://digipan.lumentumllc.com/apps/getLink/index.php?t=PropLink&amp;p=15751721","PL")</f>
        <v>PL</v>
      </c>
      <c r="B999" s="1" t="str">
        <f>HYPERLINK("http://digipan.lumentumllc.com/apps/getLink/index.php?t=TaxLink&amp;p=15751721","TL")</f>
        <v>TL</v>
      </c>
      <c r="C999" s="1" t="str">
        <f>HYPERLINK("http://digipan.lumentumllc.com/apps/getMap/index.php?p=15751721","Map")</f>
        <v>Map</v>
      </c>
      <c r="E999" t="s">
        <v>177</v>
      </c>
      <c r="F999" t="s">
        <v>178</v>
      </c>
      <c r="L999" t="s">
        <v>13388</v>
      </c>
      <c r="N999" t="s">
        <v>13388</v>
      </c>
      <c r="O999" t="s">
        <v>13388</v>
      </c>
      <c r="Q999" t="s">
        <v>13388</v>
      </c>
      <c r="V999">
        <v>1149</v>
      </c>
      <c r="W999">
        <v>4</v>
      </c>
      <c r="X999">
        <v>2017</v>
      </c>
      <c r="Y999">
        <v>2018</v>
      </c>
      <c r="Z999">
        <v>2288.61</v>
      </c>
      <c r="AB999" t="s">
        <v>181</v>
      </c>
      <c r="AC999" t="s">
        <v>182</v>
      </c>
      <c r="AD999" t="s">
        <v>183</v>
      </c>
      <c r="AE999">
        <v>0</v>
      </c>
      <c r="AF999">
        <v>1</v>
      </c>
      <c r="AG999" t="s">
        <v>821</v>
      </c>
      <c r="AH999">
        <v>100</v>
      </c>
      <c r="AK999">
        <v>0</v>
      </c>
      <c r="AL999">
        <v>137828</v>
      </c>
      <c r="AM999">
        <v>137828</v>
      </c>
      <c r="AN999">
        <v>0</v>
      </c>
      <c r="AO999">
        <v>208</v>
      </c>
      <c r="AP999">
        <v>2016</v>
      </c>
      <c r="AQ999">
        <v>1.66</v>
      </c>
      <c r="AS999" t="s">
        <v>13353</v>
      </c>
      <c r="AT999" t="s">
        <v>3747</v>
      </c>
      <c r="AU999" t="s">
        <v>177</v>
      </c>
      <c r="AV999" t="s">
        <v>1030</v>
      </c>
      <c r="AW999" t="s">
        <v>182</v>
      </c>
      <c r="AX999">
        <v>0</v>
      </c>
      <c r="AY999" t="s">
        <v>312</v>
      </c>
      <c r="AZ999" t="s">
        <v>199</v>
      </c>
      <c r="BA999" t="s">
        <v>313</v>
      </c>
      <c r="BB999" t="s">
        <v>191</v>
      </c>
      <c r="BC999" t="s">
        <v>182</v>
      </c>
      <c r="BD999" t="s">
        <v>182</v>
      </c>
      <c r="BE999" t="s">
        <v>13389</v>
      </c>
      <c r="BF999">
        <v>0</v>
      </c>
      <c r="BG999">
        <v>0</v>
      </c>
      <c r="BH999">
        <v>0</v>
      </c>
      <c r="BI999" t="s">
        <v>199</v>
      </c>
      <c r="BJ999" t="s">
        <v>315</v>
      </c>
      <c r="BL999" t="s">
        <v>13390</v>
      </c>
      <c r="BM999" t="s">
        <v>232</v>
      </c>
      <c r="BN999" t="s">
        <v>182</v>
      </c>
      <c r="BO999" t="s">
        <v>198</v>
      </c>
      <c r="BP999" t="s">
        <v>198</v>
      </c>
      <c r="BQ999" t="s">
        <v>198</v>
      </c>
      <c r="BR999" t="s">
        <v>198</v>
      </c>
      <c r="BS999" t="s">
        <v>198</v>
      </c>
      <c r="BT999" t="s">
        <v>198</v>
      </c>
      <c r="BU999" t="s">
        <v>182</v>
      </c>
      <c r="BV999" t="s">
        <v>198</v>
      </c>
      <c r="BW999" t="s">
        <v>198</v>
      </c>
      <c r="BX999" t="s">
        <v>199</v>
      </c>
      <c r="BY999" t="s">
        <v>198</v>
      </c>
      <c r="BZ999" t="s">
        <v>199</v>
      </c>
      <c r="CA999" t="s">
        <v>199</v>
      </c>
      <c r="CB999" t="s">
        <v>13391</v>
      </c>
      <c r="CC999" t="s">
        <v>201</v>
      </c>
      <c r="CD999" t="s">
        <v>202</v>
      </c>
      <c r="CE999" t="s">
        <v>13392</v>
      </c>
      <c r="CF999" t="s">
        <v>413</v>
      </c>
      <c r="CG999" t="s">
        <v>177</v>
      </c>
      <c r="CH999" t="s">
        <v>9966</v>
      </c>
      <c r="CI999" t="s">
        <v>13393</v>
      </c>
      <c r="CJ999" t="s">
        <v>13191</v>
      </c>
      <c r="CK999" t="s">
        <v>232</v>
      </c>
      <c r="CL999" t="s">
        <v>233</v>
      </c>
      <c r="CM999" t="s">
        <v>13394</v>
      </c>
      <c r="CN999" t="s">
        <v>235</v>
      </c>
      <c r="CO999" t="s">
        <v>183</v>
      </c>
      <c r="CP999" t="s">
        <v>211</v>
      </c>
      <c r="CQ999" t="s">
        <v>250</v>
      </c>
      <c r="CS999" t="s">
        <v>13395</v>
      </c>
      <c r="DC999" t="s">
        <v>198</v>
      </c>
      <c r="DM999" t="s">
        <v>198</v>
      </c>
      <c r="DW999" t="s">
        <v>198</v>
      </c>
      <c r="EG999" t="s">
        <v>198</v>
      </c>
      <c r="EQ999" t="s">
        <v>198</v>
      </c>
      <c r="FA999" t="s">
        <v>198</v>
      </c>
      <c r="FK999" t="s">
        <v>198</v>
      </c>
      <c r="FU999" t="s">
        <v>198</v>
      </c>
    </row>
    <row r="1000" spans="1:177">
      <c r="A1000" s="1" t="str">
        <f>HYPERLINK("http://digipan.lumentumllc.com/apps/getLink/index.php?t=PropLink&amp;p=6129156","PL")</f>
        <v>PL</v>
      </c>
      <c r="B1000" s="1" t="str">
        <f>HYPERLINK("http://digipan.lumentumllc.com/apps/getLink/index.php?t=TaxLink&amp;p=6129156","TL")</f>
        <v>TL</v>
      </c>
      <c r="C1000" s="1" t="str">
        <f>HYPERLINK("http://digipan.lumentumllc.com/apps/getMap/index.php?p=6129156","Map")</f>
        <v>Map</v>
      </c>
      <c r="E1000" t="s">
        <v>177</v>
      </c>
      <c r="F1000" t="s">
        <v>178</v>
      </c>
      <c r="L1000" t="s">
        <v>13396</v>
      </c>
      <c r="N1000" t="s">
        <v>13396</v>
      </c>
      <c r="O1000" t="s">
        <v>13396</v>
      </c>
      <c r="P1000" t="s">
        <v>13397</v>
      </c>
      <c r="Q1000" t="s">
        <v>13396</v>
      </c>
      <c r="V1000">
        <v>1150</v>
      </c>
      <c r="W1000">
        <v>4</v>
      </c>
      <c r="X1000">
        <v>2017</v>
      </c>
      <c r="Y1000">
        <v>2018</v>
      </c>
      <c r="Z1000">
        <v>900.33</v>
      </c>
      <c r="AB1000" t="s">
        <v>181</v>
      </c>
      <c r="AC1000" t="s">
        <v>182</v>
      </c>
      <c r="AD1000" t="s">
        <v>183</v>
      </c>
      <c r="AE1000">
        <v>1</v>
      </c>
      <c r="AF1000">
        <v>2</v>
      </c>
      <c r="AG1000" t="s">
        <v>363</v>
      </c>
      <c r="AH1000">
        <v>67</v>
      </c>
      <c r="AI1000">
        <v>729.69</v>
      </c>
      <c r="AJ1000">
        <v>36.479999999999997</v>
      </c>
      <c r="AK1000">
        <v>766.17</v>
      </c>
      <c r="AL1000">
        <v>95286</v>
      </c>
      <c r="AM1000">
        <v>16342</v>
      </c>
      <c r="AN1000">
        <v>78944</v>
      </c>
      <c r="AO1000">
        <v>650</v>
      </c>
      <c r="AP1000">
        <v>2016</v>
      </c>
      <c r="AQ1000">
        <v>0.94</v>
      </c>
      <c r="AR1000">
        <v>0.8</v>
      </c>
      <c r="AS1000" t="s">
        <v>13398</v>
      </c>
      <c r="AT1000" t="s">
        <v>3747</v>
      </c>
      <c r="AU1000" t="s">
        <v>177</v>
      </c>
      <c r="AV1000" t="s">
        <v>1030</v>
      </c>
      <c r="AW1000" t="s">
        <v>182</v>
      </c>
      <c r="AX1000">
        <v>50</v>
      </c>
      <c r="AY1000" t="s">
        <v>218</v>
      </c>
      <c r="AZ1000" t="s">
        <v>589</v>
      </c>
      <c r="BA1000" t="s">
        <v>590</v>
      </c>
      <c r="BB1000" t="s">
        <v>191</v>
      </c>
      <c r="BC1000" t="s">
        <v>182</v>
      </c>
      <c r="BD1000" t="s">
        <v>182</v>
      </c>
      <c r="BE1000" t="s">
        <v>3342</v>
      </c>
      <c r="BF1000">
        <v>1</v>
      </c>
      <c r="BG1000">
        <v>1</v>
      </c>
      <c r="BH1000">
        <v>2001</v>
      </c>
      <c r="BI1000" t="s">
        <v>284</v>
      </c>
      <c r="BJ1000" t="s">
        <v>194</v>
      </c>
      <c r="BK1000" t="s">
        <v>195</v>
      </c>
      <c r="BL1000" t="s">
        <v>13399</v>
      </c>
      <c r="BM1000" t="s">
        <v>679</v>
      </c>
      <c r="BN1000" t="s">
        <v>182</v>
      </c>
      <c r="BO1000" t="s">
        <v>13400</v>
      </c>
      <c r="BP1000" t="s">
        <v>13401</v>
      </c>
      <c r="BQ1000" t="s">
        <v>581</v>
      </c>
      <c r="BR1000" t="s">
        <v>563</v>
      </c>
      <c r="BS1000" t="s">
        <v>198</v>
      </c>
      <c r="BT1000" t="s">
        <v>13402</v>
      </c>
      <c r="BU1000" t="s">
        <v>182</v>
      </c>
      <c r="BV1000" t="s">
        <v>198</v>
      </c>
      <c r="BW1000" t="s">
        <v>198</v>
      </c>
      <c r="BX1000" t="s">
        <v>199</v>
      </c>
      <c r="BY1000" t="s">
        <v>198</v>
      </c>
      <c r="BZ1000" t="s">
        <v>199</v>
      </c>
      <c r="CA1000" t="s">
        <v>199</v>
      </c>
      <c r="CB1000" t="s">
        <v>11238</v>
      </c>
      <c r="CC1000" t="s">
        <v>201</v>
      </c>
      <c r="CD1000" t="s">
        <v>202</v>
      </c>
      <c r="CE1000" t="s">
        <v>2111</v>
      </c>
      <c r="CF1000" t="s">
        <v>1029</v>
      </c>
      <c r="CG1000" t="s">
        <v>177</v>
      </c>
      <c r="CH1000" t="s">
        <v>1030</v>
      </c>
      <c r="CI1000" t="s">
        <v>13403</v>
      </c>
      <c r="CJ1000" t="s">
        <v>6601</v>
      </c>
      <c r="CK1000" t="s">
        <v>232</v>
      </c>
      <c r="CL1000" t="s">
        <v>233</v>
      </c>
      <c r="CM1000" t="s">
        <v>13404</v>
      </c>
      <c r="CN1000" t="s">
        <v>235</v>
      </c>
      <c r="CO1000" t="s">
        <v>183</v>
      </c>
      <c r="CP1000" t="s">
        <v>266</v>
      </c>
      <c r="CS1000" t="s">
        <v>198</v>
      </c>
      <c r="CT1000" t="s">
        <v>6833</v>
      </c>
      <c r="CU1000" t="s">
        <v>292</v>
      </c>
      <c r="CV1000" t="s">
        <v>293</v>
      </c>
      <c r="CW1000" t="s">
        <v>13405</v>
      </c>
      <c r="CX1000" t="s">
        <v>235</v>
      </c>
      <c r="CY1000" t="s">
        <v>183</v>
      </c>
      <c r="CZ1000" t="s">
        <v>211</v>
      </c>
      <c r="DA1000" t="s">
        <v>298</v>
      </c>
      <c r="DC1000" t="s">
        <v>13406</v>
      </c>
      <c r="DD1000" t="s">
        <v>13407</v>
      </c>
      <c r="DE1000" t="s">
        <v>238</v>
      </c>
      <c r="DF1000" t="s">
        <v>239</v>
      </c>
      <c r="DG1000" t="s">
        <v>13408</v>
      </c>
      <c r="DH1000" t="s">
        <v>1341</v>
      </c>
      <c r="DI1000" t="s">
        <v>183</v>
      </c>
      <c r="DJ1000" t="s">
        <v>211</v>
      </c>
      <c r="DK1000" t="s">
        <v>189</v>
      </c>
      <c r="DM1000" t="s">
        <v>11234</v>
      </c>
      <c r="DW1000" t="s">
        <v>198</v>
      </c>
      <c r="EG1000" t="s">
        <v>198</v>
      </c>
      <c r="EQ1000" t="s">
        <v>198</v>
      </c>
      <c r="FA1000" t="s">
        <v>198</v>
      </c>
      <c r="FK1000" t="s">
        <v>198</v>
      </c>
      <c r="FU1000" t="s">
        <v>198</v>
      </c>
    </row>
    <row r="1001" spans="1:177">
      <c r="A1001" s="1" t="str">
        <f>HYPERLINK("http://digipan.lumentumllc.com/apps/getLink/index.php?t=PropLink&amp;p=6594251","PL")</f>
        <v>PL</v>
      </c>
      <c r="B1001" s="1" t="str">
        <f>HYPERLINK("http://digipan.lumentumllc.com/apps/getLink/index.php?t=TaxLink&amp;p=6594251","TL")</f>
        <v>TL</v>
      </c>
      <c r="C1001" s="1" t="str">
        <f>HYPERLINK("http://digipan.lumentumllc.com/apps/getMap/index.php?p=6594251","Map")</f>
        <v>Map</v>
      </c>
      <c r="E1001" t="s">
        <v>177</v>
      </c>
      <c r="F1001" t="s">
        <v>178</v>
      </c>
      <c r="L1001" t="s">
        <v>13409</v>
      </c>
      <c r="N1001" t="s">
        <v>13409</v>
      </c>
      <c r="O1001" t="s">
        <v>13409</v>
      </c>
      <c r="P1001" t="s">
        <v>13410</v>
      </c>
      <c r="Q1001" t="s">
        <v>13409</v>
      </c>
      <c r="V1001">
        <v>1152</v>
      </c>
      <c r="W1001">
        <v>4</v>
      </c>
      <c r="X1001">
        <v>2017</v>
      </c>
      <c r="Y1001">
        <v>2018</v>
      </c>
      <c r="Z1001">
        <v>467</v>
      </c>
      <c r="AB1001" t="s">
        <v>181</v>
      </c>
      <c r="AC1001" t="s">
        <v>182</v>
      </c>
      <c r="AD1001" t="s">
        <v>183</v>
      </c>
      <c r="AE1001">
        <v>1</v>
      </c>
      <c r="AF1001">
        <v>3</v>
      </c>
      <c r="AG1001" t="s">
        <v>257</v>
      </c>
      <c r="AH1001">
        <v>75</v>
      </c>
      <c r="AI1001">
        <v>460.4</v>
      </c>
      <c r="AJ1001">
        <v>23.02</v>
      </c>
      <c r="AK1001">
        <v>483.42</v>
      </c>
      <c r="AL1001">
        <v>70753</v>
      </c>
      <c r="AM1001">
        <v>23625</v>
      </c>
      <c r="AN1001">
        <v>47128</v>
      </c>
      <c r="AO1001">
        <v>401</v>
      </c>
      <c r="AP1001">
        <v>2016</v>
      </c>
      <c r="AQ1001">
        <v>0.66</v>
      </c>
      <c r="AR1001">
        <v>0.68</v>
      </c>
      <c r="AS1001" t="s">
        <v>13411</v>
      </c>
      <c r="AT1001" t="s">
        <v>3747</v>
      </c>
      <c r="AU1001" t="s">
        <v>177</v>
      </c>
      <c r="AV1001" t="s">
        <v>1030</v>
      </c>
      <c r="AW1001" t="s">
        <v>202</v>
      </c>
      <c r="AX1001">
        <v>2</v>
      </c>
      <c r="AY1001" t="s">
        <v>188</v>
      </c>
      <c r="AZ1001" t="s">
        <v>189</v>
      </c>
      <c r="BA1001" t="s">
        <v>190</v>
      </c>
      <c r="BB1001" t="s">
        <v>191</v>
      </c>
      <c r="BC1001" t="s">
        <v>182</v>
      </c>
      <c r="BD1001" t="s">
        <v>182</v>
      </c>
      <c r="BE1001" t="s">
        <v>2589</v>
      </c>
      <c r="BF1001">
        <v>1</v>
      </c>
      <c r="BG1001">
        <v>1</v>
      </c>
      <c r="BH1001">
        <v>2002</v>
      </c>
      <c r="BI1001" t="s">
        <v>1143</v>
      </c>
      <c r="BJ1001" t="s">
        <v>194</v>
      </c>
      <c r="BK1001" t="s">
        <v>195</v>
      </c>
      <c r="BL1001" t="s">
        <v>7087</v>
      </c>
      <c r="BM1001" t="s">
        <v>1041</v>
      </c>
      <c r="BN1001" t="s">
        <v>182</v>
      </c>
      <c r="BO1001" t="s">
        <v>3842</v>
      </c>
      <c r="BP1001" t="s">
        <v>13412</v>
      </c>
      <c r="BS1001" t="s">
        <v>13413</v>
      </c>
      <c r="BT1001" t="s">
        <v>198</v>
      </c>
      <c r="BU1001" t="s">
        <v>182</v>
      </c>
      <c r="BV1001" t="s">
        <v>198</v>
      </c>
      <c r="BW1001" t="s">
        <v>198</v>
      </c>
      <c r="BX1001" t="s">
        <v>199</v>
      </c>
      <c r="BY1001" t="s">
        <v>198</v>
      </c>
      <c r="BZ1001" t="s">
        <v>199</v>
      </c>
      <c r="CA1001" t="s">
        <v>199</v>
      </c>
      <c r="CB1001" t="s">
        <v>13414</v>
      </c>
      <c r="CC1001" t="s">
        <v>201</v>
      </c>
      <c r="CD1001" t="s">
        <v>202</v>
      </c>
      <c r="CE1001" t="s">
        <v>13415</v>
      </c>
      <c r="CF1001" t="s">
        <v>1029</v>
      </c>
      <c r="CG1001" t="s">
        <v>177</v>
      </c>
      <c r="CH1001" t="s">
        <v>1030</v>
      </c>
      <c r="CI1001" t="s">
        <v>13416</v>
      </c>
      <c r="CJ1001" t="s">
        <v>6662</v>
      </c>
      <c r="CK1001" t="s">
        <v>232</v>
      </c>
      <c r="CL1001" t="s">
        <v>233</v>
      </c>
      <c r="CM1001" t="s">
        <v>13417</v>
      </c>
      <c r="CN1001" t="s">
        <v>235</v>
      </c>
      <c r="CO1001" t="s">
        <v>183</v>
      </c>
      <c r="CP1001" t="s">
        <v>266</v>
      </c>
      <c r="CS1001" t="s">
        <v>198</v>
      </c>
      <c r="CT1001" t="s">
        <v>10014</v>
      </c>
      <c r="CU1001" t="s">
        <v>292</v>
      </c>
      <c r="CV1001" t="s">
        <v>293</v>
      </c>
      <c r="CW1001" t="s">
        <v>13418</v>
      </c>
      <c r="CX1001" t="s">
        <v>235</v>
      </c>
      <c r="CY1001" t="s">
        <v>183</v>
      </c>
      <c r="CZ1001" t="s">
        <v>211</v>
      </c>
      <c r="DA1001" t="s">
        <v>329</v>
      </c>
      <c r="DC1001" t="s">
        <v>6215</v>
      </c>
      <c r="DD1001" t="s">
        <v>10112</v>
      </c>
      <c r="DE1001" t="s">
        <v>267</v>
      </c>
      <c r="DF1001" t="s">
        <v>268</v>
      </c>
      <c r="DG1001" t="s">
        <v>13419</v>
      </c>
      <c r="DH1001" t="s">
        <v>235</v>
      </c>
      <c r="DI1001" t="s">
        <v>183</v>
      </c>
      <c r="DJ1001" t="s">
        <v>211</v>
      </c>
      <c r="DK1001" t="s">
        <v>298</v>
      </c>
      <c r="DM1001" t="s">
        <v>6215</v>
      </c>
      <c r="DN1001" t="s">
        <v>12859</v>
      </c>
      <c r="DO1001" t="s">
        <v>273</v>
      </c>
      <c r="DP1001" t="s">
        <v>274</v>
      </c>
      <c r="DQ1001" t="s">
        <v>13420</v>
      </c>
      <c r="DR1001" t="s">
        <v>235</v>
      </c>
      <c r="DS1001" t="s">
        <v>183</v>
      </c>
      <c r="DT1001" t="s">
        <v>211</v>
      </c>
      <c r="DU1001" t="s">
        <v>306</v>
      </c>
      <c r="DW1001" t="s">
        <v>13421</v>
      </c>
      <c r="EG1001" t="s">
        <v>198</v>
      </c>
      <c r="EQ1001" t="s">
        <v>198</v>
      </c>
      <c r="FA1001" t="s">
        <v>198</v>
      </c>
      <c r="FK1001" t="s">
        <v>198</v>
      </c>
      <c r="FU1001" t="s">
        <v>198</v>
      </c>
    </row>
    <row r="1002" spans="1:177">
      <c r="A1002" s="1" t="str">
        <f>HYPERLINK("http://digipan.lumentumllc.com/apps/getLink/index.php?t=PropLink&amp;p=7112486","PL")</f>
        <v>PL</v>
      </c>
      <c r="B1002" s="1" t="str">
        <f>HYPERLINK("http://digipan.lumentumllc.com/apps/getLink/index.php?t=TaxLink&amp;p=7112486","TL")</f>
        <v>TL</v>
      </c>
      <c r="C1002" s="1" t="str">
        <f>HYPERLINK("http://digipan.lumentumllc.com/apps/getMap/index.php?p=7112486","Map")</f>
        <v>Map</v>
      </c>
      <c r="E1002" t="s">
        <v>177</v>
      </c>
      <c r="F1002" t="s">
        <v>178</v>
      </c>
      <c r="L1002" t="s">
        <v>13422</v>
      </c>
      <c r="N1002" t="s">
        <v>13422</v>
      </c>
      <c r="O1002" t="s">
        <v>13422</v>
      </c>
      <c r="P1002" t="s">
        <v>13423</v>
      </c>
      <c r="Q1002" t="s">
        <v>13422</v>
      </c>
      <c r="V1002">
        <v>1153</v>
      </c>
      <c r="W1002">
        <v>4</v>
      </c>
      <c r="X1002">
        <v>2017</v>
      </c>
      <c r="Y1002">
        <v>2018</v>
      </c>
      <c r="Z1002">
        <v>657.82</v>
      </c>
      <c r="AB1002" t="s">
        <v>181</v>
      </c>
      <c r="AC1002" t="s">
        <v>182</v>
      </c>
      <c r="AD1002" t="s">
        <v>183</v>
      </c>
      <c r="AE1002">
        <v>0</v>
      </c>
      <c r="AF1002">
        <v>2</v>
      </c>
      <c r="AG1002" t="s">
        <v>216</v>
      </c>
      <c r="AH1002">
        <v>100</v>
      </c>
      <c r="AK1002">
        <v>0</v>
      </c>
      <c r="AL1002">
        <v>271246</v>
      </c>
      <c r="AM1002">
        <v>38224</v>
      </c>
      <c r="AN1002">
        <v>233022</v>
      </c>
      <c r="AO1002">
        <v>571</v>
      </c>
      <c r="AP1002">
        <v>2016</v>
      </c>
      <c r="AQ1002">
        <v>0.24</v>
      </c>
      <c r="AS1002" t="s">
        <v>13353</v>
      </c>
      <c r="AT1002" t="s">
        <v>3747</v>
      </c>
      <c r="AU1002" t="s">
        <v>177</v>
      </c>
      <c r="AV1002" t="s">
        <v>1030</v>
      </c>
      <c r="AW1002" t="s">
        <v>182</v>
      </c>
      <c r="AX1002">
        <v>54</v>
      </c>
      <c r="AY1002" t="s">
        <v>218</v>
      </c>
      <c r="AZ1002" t="s">
        <v>1209</v>
      </c>
      <c r="BA1002" t="s">
        <v>2089</v>
      </c>
      <c r="BB1002" t="s">
        <v>191</v>
      </c>
      <c r="BC1002" t="s">
        <v>182</v>
      </c>
      <c r="BD1002" t="s">
        <v>1528</v>
      </c>
      <c r="BE1002" t="s">
        <v>12857</v>
      </c>
      <c r="BF1002">
        <v>0</v>
      </c>
      <c r="BG1002">
        <v>0</v>
      </c>
      <c r="BH1002">
        <v>0</v>
      </c>
      <c r="BI1002" t="s">
        <v>199</v>
      </c>
      <c r="BJ1002" t="s">
        <v>315</v>
      </c>
      <c r="BL1002" t="s">
        <v>13424</v>
      </c>
      <c r="BM1002" t="s">
        <v>267</v>
      </c>
      <c r="BN1002" t="s">
        <v>182</v>
      </c>
      <c r="BO1002" t="s">
        <v>13425</v>
      </c>
      <c r="BP1002" t="s">
        <v>13426</v>
      </c>
      <c r="BQ1002" t="s">
        <v>226</v>
      </c>
      <c r="BR1002" t="s">
        <v>227</v>
      </c>
      <c r="BS1002" t="s">
        <v>198</v>
      </c>
      <c r="BT1002" t="s">
        <v>228</v>
      </c>
      <c r="BU1002" t="s">
        <v>182</v>
      </c>
      <c r="BV1002" t="s">
        <v>198</v>
      </c>
      <c r="BW1002" t="s">
        <v>198</v>
      </c>
      <c r="BX1002" t="s">
        <v>199</v>
      </c>
      <c r="BY1002" t="s">
        <v>198</v>
      </c>
      <c r="BZ1002" t="s">
        <v>199</v>
      </c>
      <c r="CA1002" t="s">
        <v>199</v>
      </c>
      <c r="CB1002" t="s">
        <v>11238</v>
      </c>
      <c r="CC1002" t="s">
        <v>201</v>
      </c>
      <c r="CD1002" t="s">
        <v>202</v>
      </c>
      <c r="CE1002" t="s">
        <v>2111</v>
      </c>
      <c r="CF1002" t="s">
        <v>1029</v>
      </c>
      <c r="CG1002" t="s">
        <v>177</v>
      </c>
      <c r="CH1002" t="s">
        <v>1030</v>
      </c>
      <c r="CI1002" t="s">
        <v>13427</v>
      </c>
      <c r="CJ1002" t="s">
        <v>6682</v>
      </c>
      <c r="CK1002" t="s">
        <v>232</v>
      </c>
      <c r="CL1002" t="s">
        <v>233</v>
      </c>
      <c r="CM1002" t="s">
        <v>13428</v>
      </c>
      <c r="CN1002" t="s">
        <v>235</v>
      </c>
      <c r="CO1002" t="s">
        <v>183</v>
      </c>
      <c r="CP1002" t="s">
        <v>211</v>
      </c>
      <c r="CQ1002" t="s">
        <v>199</v>
      </c>
      <c r="CS1002" t="s">
        <v>735</v>
      </c>
      <c r="CT1002" t="s">
        <v>11839</v>
      </c>
      <c r="CU1002" t="s">
        <v>292</v>
      </c>
      <c r="CV1002" t="s">
        <v>293</v>
      </c>
      <c r="CW1002" t="s">
        <v>13429</v>
      </c>
      <c r="CX1002" t="s">
        <v>235</v>
      </c>
      <c r="CY1002" t="s">
        <v>183</v>
      </c>
      <c r="CZ1002" t="s">
        <v>211</v>
      </c>
      <c r="DA1002" t="s">
        <v>296</v>
      </c>
      <c r="DC1002" t="s">
        <v>12085</v>
      </c>
      <c r="DM1002" t="s">
        <v>198</v>
      </c>
      <c r="DW1002" t="s">
        <v>198</v>
      </c>
      <c r="EG1002" t="s">
        <v>198</v>
      </c>
      <c r="EQ1002" t="s">
        <v>198</v>
      </c>
      <c r="FA1002" t="s">
        <v>198</v>
      </c>
      <c r="FK1002" t="s">
        <v>198</v>
      </c>
      <c r="FU1002" t="s">
        <v>198</v>
      </c>
    </row>
    <row r="1003" spans="1:177">
      <c r="A1003" s="1" t="str">
        <f>HYPERLINK("http://digipan.lumentumllc.com/apps/getLink/index.php?t=PropLink&amp;p=5247199","PL")</f>
        <v>PL</v>
      </c>
      <c r="B1003" s="1" t="str">
        <f>HYPERLINK("http://digipan.lumentumllc.com/apps/getLink/index.php?t=TaxLink&amp;p=5247199","TL")</f>
        <v>TL</v>
      </c>
      <c r="C1003" s="1" t="str">
        <f>HYPERLINK("http://digipan.lumentumllc.com/apps/getMap/index.php?p=5247199","Map")</f>
        <v>Map</v>
      </c>
      <c r="E1003" t="s">
        <v>177</v>
      </c>
      <c r="F1003" t="s">
        <v>178</v>
      </c>
      <c r="L1003" t="s">
        <v>13430</v>
      </c>
      <c r="N1003" t="s">
        <v>13430</v>
      </c>
      <c r="O1003" t="s">
        <v>13430</v>
      </c>
      <c r="P1003" t="s">
        <v>13431</v>
      </c>
      <c r="Q1003" t="s">
        <v>13430</v>
      </c>
      <c r="V1003">
        <v>1155</v>
      </c>
      <c r="W1003">
        <v>4</v>
      </c>
      <c r="X1003">
        <v>2017</v>
      </c>
      <c r="Y1003">
        <v>2018</v>
      </c>
      <c r="Z1003">
        <v>2452.66</v>
      </c>
      <c r="AB1003" t="s">
        <v>181</v>
      </c>
      <c r="AC1003" t="s">
        <v>182</v>
      </c>
      <c r="AD1003" t="s">
        <v>183</v>
      </c>
      <c r="AE1003">
        <v>1</v>
      </c>
      <c r="AF1003">
        <v>4</v>
      </c>
      <c r="AG1003" t="s">
        <v>951</v>
      </c>
      <c r="AH1003">
        <v>80</v>
      </c>
      <c r="AI1003">
        <v>2225.23</v>
      </c>
      <c r="AJ1003">
        <v>111.26</v>
      </c>
      <c r="AK1003">
        <v>2336.4899999999998</v>
      </c>
      <c r="AL1003">
        <v>192588</v>
      </c>
      <c r="AM1003">
        <v>17841</v>
      </c>
      <c r="AN1003">
        <v>174747</v>
      </c>
      <c r="AO1003">
        <v>2033</v>
      </c>
      <c r="AP1003">
        <v>2016</v>
      </c>
      <c r="AQ1003">
        <v>1.27</v>
      </c>
      <c r="AR1003">
        <v>1.21</v>
      </c>
      <c r="AS1003" t="s">
        <v>13432</v>
      </c>
      <c r="AT1003" t="s">
        <v>3747</v>
      </c>
      <c r="AU1003" t="s">
        <v>177</v>
      </c>
      <c r="AV1003" t="s">
        <v>1030</v>
      </c>
      <c r="AW1003" t="s">
        <v>182</v>
      </c>
      <c r="AX1003">
        <v>50</v>
      </c>
      <c r="AY1003" t="s">
        <v>218</v>
      </c>
      <c r="AZ1003" t="s">
        <v>589</v>
      </c>
      <c r="BA1003" t="s">
        <v>590</v>
      </c>
      <c r="BB1003" t="s">
        <v>191</v>
      </c>
      <c r="BC1003" t="s">
        <v>182</v>
      </c>
      <c r="BD1003" t="s">
        <v>182</v>
      </c>
      <c r="BE1003" t="s">
        <v>13433</v>
      </c>
      <c r="BF1003">
        <v>1</v>
      </c>
      <c r="BG1003">
        <v>1</v>
      </c>
      <c r="BH1003">
        <v>1990</v>
      </c>
      <c r="BI1003" t="s">
        <v>13434</v>
      </c>
      <c r="BJ1003" t="s">
        <v>194</v>
      </c>
      <c r="BK1003" t="s">
        <v>195</v>
      </c>
      <c r="BL1003" t="s">
        <v>199</v>
      </c>
      <c r="BM1003" t="s">
        <v>325</v>
      </c>
      <c r="BN1003" t="s">
        <v>182</v>
      </c>
      <c r="BO1003" t="s">
        <v>3184</v>
      </c>
      <c r="BP1003" t="s">
        <v>5899</v>
      </c>
      <c r="BR1003" t="s">
        <v>1461</v>
      </c>
      <c r="BS1003" t="s">
        <v>13435</v>
      </c>
      <c r="BT1003" t="s">
        <v>198</v>
      </c>
      <c r="BU1003" t="s">
        <v>182</v>
      </c>
      <c r="BV1003" t="s">
        <v>198</v>
      </c>
      <c r="BW1003" t="s">
        <v>198</v>
      </c>
      <c r="BX1003" t="s">
        <v>199</v>
      </c>
      <c r="BY1003" t="s">
        <v>198</v>
      </c>
      <c r="BZ1003" t="s">
        <v>199</v>
      </c>
      <c r="CA1003" t="s">
        <v>199</v>
      </c>
      <c r="CB1003" t="s">
        <v>13436</v>
      </c>
      <c r="CC1003" t="s">
        <v>1407</v>
      </c>
      <c r="CD1003" t="s">
        <v>202</v>
      </c>
      <c r="CE1003" t="s">
        <v>13437</v>
      </c>
      <c r="CF1003" t="s">
        <v>1029</v>
      </c>
      <c r="CG1003" t="s">
        <v>177</v>
      </c>
      <c r="CH1003" t="s">
        <v>1030</v>
      </c>
      <c r="CI1003" t="s">
        <v>13438</v>
      </c>
      <c r="CJ1003" t="s">
        <v>9922</v>
      </c>
      <c r="CK1003" t="s">
        <v>232</v>
      </c>
      <c r="CL1003" t="s">
        <v>233</v>
      </c>
      <c r="CM1003" t="s">
        <v>13439</v>
      </c>
      <c r="CN1003" t="s">
        <v>235</v>
      </c>
      <c r="CO1003" t="s">
        <v>183</v>
      </c>
      <c r="CP1003" t="s">
        <v>266</v>
      </c>
      <c r="CS1003" t="s">
        <v>198</v>
      </c>
      <c r="CT1003" t="s">
        <v>10026</v>
      </c>
      <c r="CU1003" t="s">
        <v>292</v>
      </c>
      <c r="CV1003" t="s">
        <v>293</v>
      </c>
      <c r="CW1003" t="s">
        <v>13440</v>
      </c>
      <c r="CX1003" t="s">
        <v>235</v>
      </c>
      <c r="CY1003" t="s">
        <v>183</v>
      </c>
      <c r="CZ1003" t="s">
        <v>211</v>
      </c>
      <c r="DA1003" t="s">
        <v>298</v>
      </c>
      <c r="DC1003" t="s">
        <v>1641</v>
      </c>
      <c r="DD1003" t="s">
        <v>13441</v>
      </c>
      <c r="DE1003" t="s">
        <v>273</v>
      </c>
      <c r="DF1003" t="s">
        <v>274</v>
      </c>
      <c r="DG1003" t="s">
        <v>13442</v>
      </c>
      <c r="DH1003" t="s">
        <v>235</v>
      </c>
      <c r="DI1003" t="s">
        <v>183</v>
      </c>
      <c r="DJ1003" t="s">
        <v>211</v>
      </c>
      <c r="DK1003" t="s">
        <v>342</v>
      </c>
      <c r="DM1003" t="s">
        <v>2598</v>
      </c>
      <c r="DN1003" t="s">
        <v>13443</v>
      </c>
      <c r="DO1003" t="s">
        <v>302</v>
      </c>
      <c r="DP1003" t="s">
        <v>303</v>
      </c>
      <c r="DQ1003" t="s">
        <v>13444</v>
      </c>
      <c r="DR1003" t="s">
        <v>235</v>
      </c>
      <c r="DS1003" t="s">
        <v>183</v>
      </c>
      <c r="DT1003" t="s">
        <v>211</v>
      </c>
      <c r="DU1003" t="s">
        <v>345</v>
      </c>
      <c r="DW1003" t="s">
        <v>2598</v>
      </c>
      <c r="DX1003" t="s">
        <v>10834</v>
      </c>
      <c r="DY1003" t="s">
        <v>346</v>
      </c>
      <c r="DZ1003" t="s">
        <v>347</v>
      </c>
      <c r="EA1003" t="s">
        <v>13445</v>
      </c>
      <c r="EB1003" t="s">
        <v>235</v>
      </c>
      <c r="EC1003" t="s">
        <v>183</v>
      </c>
      <c r="ED1003" t="s">
        <v>211</v>
      </c>
      <c r="EE1003" t="s">
        <v>270</v>
      </c>
      <c r="EG1003" t="s">
        <v>4656</v>
      </c>
      <c r="EQ1003" t="s">
        <v>198</v>
      </c>
      <c r="FA1003" t="s">
        <v>198</v>
      </c>
      <c r="FK1003" t="s">
        <v>198</v>
      </c>
      <c r="FU1003" t="s">
        <v>198</v>
      </c>
    </row>
    <row r="1004" spans="1:177">
      <c r="A1004" s="1" t="str">
        <f>HYPERLINK("http://digipan.lumentumllc.com/apps/getLink/index.php?t=PropLink&amp;p=5247241","PL")</f>
        <v>PL</v>
      </c>
      <c r="B1004" s="1" t="str">
        <f>HYPERLINK("http://digipan.lumentumllc.com/apps/getLink/index.php?t=TaxLink&amp;p=5247241","TL")</f>
        <v>TL</v>
      </c>
      <c r="C1004" s="1" t="str">
        <f>HYPERLINK("http://digipan.lumentumllc.com/apps/getMap/index.php?p=5247241","Map")</f>
        <v>Map</v>
      </c>
      <c r="E1004" t="s">
        <v>177</v>
      </c>
      <c r="F1004" t="s">
        <v>178</v>
      </c>
      <c r="L1004" t="s">
        <v>13446</v>
      </c>
      <c r="N1004" t="s">
        <v>13446</v>
      </c>
      <c r="O1004" t="s">
        <v>13446</v>
      </c>
      <c r="P1004" t="s">
        <v>13447</v>
      </c>
      <c r="Q1004" t="s">
        <v>13446</v>
      </c>
      <c r="V1004">
        <v>1156</v>
      </c>
      <c r="W1004">
        <v>4</v>
      </c>
      <c r="X1004">
        <v>2017</v>
      </c>
      <c r="Y1004">
        <v>2018</v>
      </c>
      <c r="Z1004">
        <v>543.64</v>
      </c>
      <c r="AB1004" t="s">
        <v>181</v>
      </c>
      <c r="AC1004" t="s">
        <v>182</v>
      </c>
      <c r="AD1004" t="s">
        <v>183</v>
      </c>
      <c r="AE1004">
        <v>0</v>
      </c>
      <c r="AF1004">
        <v>4</v>
      </c>
      <c r="AG1004" t="s">
        <v>744</v>
      </c>
      <c r="AH1004">
        <v>100</v>
      </c>
      <c r="AK1004">
        <v>0</v>
      </c>
      <c r="AL1004">
        <v>31250</v>
      </c>
      <c r="AM1004">
        <v>31250</v>
      </c>
      <c r="AN1004">
        <v>0</v>
      </c>
      <c r="AO1004">
        <v>298</v>
      </c>
      <c r="AP1004">
        <v>2016</v>
      </c>
      <c r="AQ1004">
        <v>1.74</v>
      </c>
      <c r="AS1004" t="s">
        <v>13448</v>
      </c>
      <c r="AT1004" t="s">
        <v>3747</v>
      </c>
      <c r="AU1004" t="s">
        <v>177</v>
      </c>
      <c r="AV1004" t="s">
        <v>2334</v>
      </c>
      <c r="AW1004" t="s">
        <v>182</v>
      </c>
      <c r="AX1004">
        <v>0</v>
      </c>
      <c r="AY1004" t="s">
        <v>312</v>
      </c>
      <c r="AZ1004" t="s">
        <v>199</v>
      </c>
      <c r="BA1004" t="s">
        <v>313</v>
      </c>
      <c r="BB1004" t="s">
        <v>191</v>
      </c>
      <c r="BC1004" t="s">
        <v>182</v>
      </c>
      <c r="BD1004" t="s">
        <v>182</v>
      </c>
      <c r="BE1004" t="s">
        <v>13449</v>
      </c>
      <c r="BF1004">
        <v>0</v>
      </c>
      <c r="BG1004">
        <v>0</v>
      </c>
      <c r="BH1004">
        <v>0</v>
      </c>
      <c r="BI1004" t="s">
        <v>199</v>
      </c>
      <c r="BJ1004" t="s">
        <v>396</v>
      </c>
      <c r="BL1004" t="s">
        <v>1753</v>
      </c>
      <c r="BM1004" t="s">
        <v>197</v>
      </c>
      <c r="BN1004" t="s">
        <v>182</v>
      </c>
      <c r="BO1004" t="s">
        <v>13450</v>
      </c>
      <c r="BP1004" t="s">
        <v>7461</v>
      </c>
      <c r="BQ1004" t="s">
        <v>800</v>
      </c>
      <c r="BR1004" t="s">
        <v>563</v>
      </c>
      <c r="BS1004" t="s">
        <v>198</v>
      </c>
      <c r="BT1004" t="s">
        <v>13451</v>
      </c>
      <c r="BU1004" t="s">
        <v>182</v>
      </c>
      <c r="BV1004" t="s">
        <v>198</v>
      </c>
      <c r="BW1004" t="s">
        <v>198</v>
      </c>
      <c r="BX1004" t="s">
        <v>199</v>
      </c>
      <c r="BY1004" t="s">
        <v>198</v>
      </c>
      <c r="BZ1004" t="s">
        <v>199</v>
      </c>
      <c r="CA1004" t="s">
        <v>199</v>
      </c>
      <c r="CB1004" t="s">
        <v>13452</v>
      </c>
      <c r="CC1004" t="s">
        <v>201</v>
      </c>
      <c r="CD1004" t="s">
        <v>202</v>
      </c>
      <c r="CE1004" t="s">
        <v>13453</v>
      </c>
      <c r="CF1004" t="s">
        <v>2333</v>
      </c>
      <c r="CG1004" t="s">
        <v>177</v>
      </c>
      <c r="CH1004" t="s">
        <v>2334</v>
      </c>
      <c r="CI1004" t="s">
        <v>4622</v>
      </c>
      <c r="CJ1004" t="s">
        <v>10172</v>
      </c>
      <c r="CK1004" t="s">
        <v>292</v>
      </c>
      <c r="CL1004" t="s">
        <v>293</v>
      </c>
      <c r="CM1004" t="s">
        <v>13454</v>
      </c>
      <c r="CN1004" t="s">
        <v>235</v>
      </c>
      <c r="CO1004" t="s">
        <v>183</v>
      </c>
      <c r="CP1004" t="s">
        <v>211</v>
      </c>
      <c r="CQ1004" t="s">
        <v>189</v>
      </c>
      <c r="CS1004" t="s">
        <v>3081</v>
      </c>
      <c r="CT1004" t="s">
        <v>10387</v>
      </c>
      <c r="CU1004" t="s">
        <v>267</v>
      </c>
      <c r="CV1004" t="s">
        <v>268</v>
      </c>
      <c r="CW1004" t="s">
        <v>13455</v>
      </c>
      <c r="CX1004" t="s">
        <v>331</v>
      </c>
      <c r="CY1004" t="s">
        <v>183</v>
      </c>
      <c r="CZ1004" t="s">
        <v>211</v>
      </c>
      <c r="DA1004" t="s">
        <v>460</v>
      </c>
      <c r="DC1004" t="s">
        <v>3081</v>
      </c>
      <c r="DD1004" t="s">
        <v>13016</v>
      </c>
      <c r="DE1004" t="s">
        <v>273</v>
      </c>
      <c r="DF1004" t="s">
        <v>274</v>
      </c>
      <c r="DG1004" t="s">
        <v>13456</v>
      </c>
      <c r="DH1004" t="s">
        <v>278</v>
      </c>
      <c r="DI1004" t="s">
        <v>183</v>
      </c>
      <c r="DJ1004" t="s">
        <v>211</v>
      </c>
      <c r="DK1004" t="s">
        <v>345</v>
      </c>
      <c r="DM1004" t="s">
        <v>3539</v>
      </c>
      <c r="DN1004" t="s">
        <v>13457</v>
      </c>
      <c r="DO1004" t="s">
        <v>346</v>
      </c>
      <c r="DP1004" t="s">
        <v>347</v>
      </c>
      <c r="DQ1004" t="s">
        <v>13458</v>
      </c>
      <c r="DR1004" t="s">
        <v>1491</v>
      </c>
      <c r="DS1004" t="s">
        <v>183</v>
      </c>
      <c r="DT1004" t="s">
        <v>211</v>
      </c>
      <c r="DU1004" t="s">
        <v>296</v>
      </c>
      <c r="DW1004" t="s">
        <v>13459</v>
      </c>
      <c r="EG1004" t="s">
        <v>198</v>
      </c>
      <c r="EQ1004" t="s">
        <v>198</v>
      </c>
      <c r="FA1004" t="s">
        <v>198</v>
      </c>
      <c r="FK1004" t="s">
        <v>198</v>
      </c>
      <c r="FU1004" t="s">
        <v>198</v>
      </c>
    </row>
    <row r="1005" spans="1:177">
      <c r="A1005" s="1" t="str">
        <f>HYPERLINK("http://digipan.lumentumllc.com/apps/getLink/index.php?t=PropLink&amp;p=6594310","PL")</f>
        <v>PL</v>
      </c>
      <c r="B1005" s="1" t="str">
        <f>HYPERLINK("http://digipan.lumentumllc.com/apps/getLink/index.php?t=TaxLink&amp;p=6594310","TL")</f>
        <v>TL</v>
      </c>
      <c r="C1005" s="1" t="str">
        <f>HYPERLINK("http://digipan.lumentumllc.com/apps/getMap/index.php?p=6594310","Map")</f>
        <v>Map</v>
      </c>
      <c r="E1005" t="s">
        <v>177</v>
      </c>
      <c r="F1005" t="s">
        <v>178</v>
      </c>
      <c r="L1005" t="s">
        <v>13460</v>
      </c>
      <c r="N1005" t="s">
        <v>13460</v>
      </c>
      <c r="O1005" t="s">
        <v>13460</v>
      </c>
      <c r="P1005" t="s">
        <v>13461</v>
      </c>
      <c r="Q1005" t="s">
        <v>13460</v>
      </c>
      <c r="V1005">
        <v>1157</v>
      </c>
      <c r="W1005">
        <v>4</v>
      </c>
      <c r="X1005">
        <v>2017</v>
      </c>
      <c r="Y1005">
        <v>2018</v>
      </c>
      <c r="Z1005">
        <v>398.36</v>
      </c>
      <c r="AB1005" t="s">
        <v>181</v>
      </c>
      <c r="AC1005" t="s">
        <v>182</v>
      </c>
      <c r="AD1005" t="s">
        <v>183</v>
      </c>
      <c r="AE1005">
        <v>0</v>
      </c>
      <c r="AF1005">
        <v>3</v>
      </c>
      <c r="AG1005" t="s">
        <v>381</v>
      </c>
      <c r="AH1005">
        <v>100</v>
      </c>
      <c r="AK1005">
        <v>0</v>
      </c>
      <c r="AL1005">
        <v>25000</v>
      </c>
      <c r="AM1005">
        <v>25000</v>
      </c>
      <c r="AN1005">
        <v>0</v>
      </c>
      <c r="AO1005">
        <v>284</v>
      </c>
      <c r="AP1005">
        <v>2016</v>
      </c>
      <c r="AQ1005">
        <v>1.59</v>
      </c>
      <c r="AS1005" t="s">
        <v>13462</v>
      </c>
      <c r="AT1005" t="s">
        <v>3747</v>
      </c>
      <c r="AU1005" t="s">
        <v>177</v>
      </c>
      <c r="AV1005" t="s">
        <v>1030</v>
      </c>
      <c r="AW1005" t="s">
        <v>182</v>
      </c>
      <c r="AX1005">
        <v>0</v>
      </c>
      <c r="AY1005" t="s">
        <v>312</v>
      </c>
      <c r="AZ1005" t="s">
        <v>199</v>
      </c>
      <c r="BA1005" t="s">
        <v>313</v>
      </c>
      <c r="BB1005" t="s">
        <v>191</v>
      </c>
      <c r="BC1005" t="s">
        <v>182</v>
      </c>
      <c r="BD1005" t="s">
        <v>182</v>
      </c>
      <c r="BE1005" t="s">
        <v>2280</v>
      </c>
      <c r="BF1005">
        <v>0</v>
      </c>
      <c r="BG1005">
        <v>0</v>
      </c>
      <c r="BH1005">
        <v>0</v>
      </c>
      <c r="BI1005" t="s">
        <v>199</v>
      </c>
      <c r="BJ1005" t="s">
        <v>396</v>
      </c>
      <c r="BL1005" t="s">
        <v>13463</v>
      </c>
      <c r="BM1005" t="s">
        <v>197</v>
      </c>
      <c r="BN1005" t="s">
        <v>182</v>
      </c>
      <c r="BO1005" t="s">
        <v>198</v>
      </c>
      <c r="BP1005" t="s">
        <v>198</v>
      </c>
      <c r="BQ1005" t="s">
        <v>198</v>
      </c>
      <c r="BR1005" t="s">
        <v>198</v>
      </c>
      <c r="BS1005" t="s">
        <v>198</v>
      </c>
      <c r="BT1005" t="s">
        <v>198</v>
      </c>
      <c r="BU1005" t="s">
        <v>182</v>
      </c>
      <c r="BV1005" t="s">
        <v>198</v>
      </c>
      <c r="BW1005" t="s">
        <v>198</v>
      </c>
      <c r="BX1005" t="s">
        <v>199</v>
      </c>
      <c r="BY1005" t="s">
        <v>198</v>
      </c>
      <c r="BZ1005" t="s">
        <v>199</v>
      </c>
      <c r="CA1005" t="s">
        <v>199</v>
      </c>
      <c r="CB1005" t="s">
        <v>13464</v>
      </c>
      <c r="CC1005" t="s">
        <v>201</v>
      </c>
      <c r="CD1005" t="s">
        <v>202</v>
      </c>
      <c r="CE1005" t="s">
        <v>13465</v>
      </c>
      <c r="CF1005" t="s">
        <v>1029</v>
      </c>
      <c r="CG1005" t="s">
        <v>177</v>
      </c>
      <c r="CH1005" t="s">
        <v>1030</v>
      </c>
      <c r="CI1005" t="s">
        <v>13466</v>
      </c>
      <c r="CJ1005" t="s">
        <v>10112</v>
      </c>
      <c r="CK1005" t="s">
        <v>292</v>
      </c>
      <c r="CL1005" t="s">
        <v>293</v>
      </c>
      <c r="CM1005" t="s">
        <v>13467</v>
      </c>
      <c r="CN1005" t="s">
        <v>235</v>
      </c>
      <c r="CO1005" t="s">
        <v>183</v>
      </c>
      <c r="CP1005" t="s">
        <v>211</v>
      </c>
      <c r="CQ1005" t="s">
        <v>329</v>
      </c>
      <c r="CS1005" t="s">
        <v>2179</v>
      </c>
      <c r="CT1005" t="s">
        <v>6469</v>
      </c>
      <c r="CU1005" t="s">
        <v>267</v>
      </c>
      <c r="CV1005" t="s">
        <v>268</v>
      </c>
      <c r="CW1005" t="s">
        <v>13468</v>
      </c>
      <c r="CX1005" t="s">
        <v>331</v>
      </c>
      <c r="CY1005" t="s">
        <v>183</v>
      </c>
      <c r="CZ1005" t="s">
        <v>211</v>
      </c>
      <c r="DA1005" t="s">
        <v>493</v>
      </c>
      <c r="DC1005" t="s">
        <v>5356</v>
      </c>
      <c r="DD1005" t="s">
        <v>13376</v>
      </c>
      <c r="DE1005" t="s">
        <v>273</v>
      </c>
      <c r="DF1005" t="s">
        <v>274</v>
      </c>
      <c r="DG1005" t="s">
        <v>9306</v>
      </c>
      <c r="DH1005" t="s">
        <v>278</v>
      </c>
      <c r="DI1005" t="s">
        <v>183</v>
      </c>
      <c r="DJ1005" t="s">
        <v>211</v>
      </c>
      <c r="DK1005" t="s">
        <v>345</v>
      </c>
      <c r="DM1005" t="s">
        <v>3539</v>
      </c>
      <c r="DW1005" t="s">
        <v>198</v>
      </c>
      <c r="EG1005" t="s">
        <v>198</v>
      </c>
      <c r="EQ1005" t="s">
        <v>198</v>
      </c>
      <c r="FA1005" t="s">
        <v>198</v>
      </c>
      <c r="FK1005" t="s">
        <v>198</v>
      </c>
      <c r="FU1005" t="s">
        <v>198</v>
      </c>
    </row>
    <row r="1006" spans="1:177">
      <c r="A1006" s="1" t="str">
        <f>HYPERLINK("http://digipan.lumentumllc.com/apps/getLink/index.php?t=PropLink&amp;p=5247269","PL")</f>
        <v>PL</v>
      </c>
      <c r="B1006" s="1" t="str">
        <f>HYPERLINK("http://digipan.lumentumllc.com/apps/getLink/index.php?t=TaxLink&amp;p=5247269","TL")</f>
        <v>TL</v>
      </c>
      <c r="C1006" s="1" t="str">
        <f>HYPERLINK("http://digipan.lumentumllc.com/apps/getMap/index.php?p=5247269","Map")</f>
        <v>Map</v>
      </c>
      <c r="E1006" t="s">
        <v>177</v>
      </c>
      <c r="F1006" t="s">
        <v>178</v>
      </c>
      <c r="L1006" t="s">
        <v>13469</v>
      </c>
      <c r="N1006" t="s">
        <v>13469</v>
      </c>
      <c r="O1006" t="s">
        <v>13469</v>
      </c>
      <c r="P1006" t="s">
        <v>13470</v>
      </c>
      <c r="Q1006" t="s">
        <v>13469</v>
      </c>
      <c r="V1006">
        <v>1158</v>
      </c>
      <c r="W1006">
        <v>4</v>
      </c>
      <c r="X1006">
        <v>2017</v>
      </c>
      <c r="Y1006">
        <v>2018</v>
      </c>
      <c r="Z1006">
        <v>398.36</v>
      </c>
      <c r="AB1006" t="s">
        <v>181</v>
      </c>
      <c r="AC1006" t="s">
        <v>182</v>
      </c>
      <c r="AD1006" t="s">
        <v>183</v>
      </c>
      <c r="AE1006">
        <v>0</v>
      </c>
      <c r="AF1006">
        <v>4</v>
      </c>
      <c r="AG1006" t="s">
        <v>744</v>
      </c>
      <c r="AH1006">
        <v>100</v>
      </c>
      <c r="AK1006">
        <v>0</v>
      </c>
      <c r="AL1006">
        <v>25000</v>
      </c>
      <c r="AM1006">
        <v>25000</v>
      </c>
      <c r="AN1006">
        <v>0</v>
      </c>
      <c r="AO1006">
        <v>284</v>
      </c>
      <c r="AP1006">
        <v>2016</v>
      </c>
      <c r="AQ1006">
        <v>1.59</v>
      </c>
      <c r="AS1006" t="s">
        <v>13471</v>
      </c>
      <c r="AT1006" t="s">
        <v>3747</v>
      </c>
      <c r="AU1006" t="s">
        <v>177</v>
      </c>
      <c r="AV1006" t="s">
        <v>1030</v>
      </c>
      <c r="AW1006" t="s">
        <v>182</v>
      </c>
      <c r="AX1006">
        <v>0</v>
      </c>
      <c r="AY1006" t="s">
        <v>312</v>
      </c>
      <c r="AZ1006" t="s">
        <v>199</v>
      </c>
      <c r="BA1006" t="s">
        <v>313</v>
      </c>
      <c r="BB1006" t="s">
        <v>191</v>
      </c>
      <c r="BC1006" t="s">
        <v>182</v>
      </c>
      <c r="BD1006" t="s">
        <v>182</v>
      </c>
      <c r="BE1006" t="s">
        <v>1385</v>
      </c>
      <c r="BF1006">
        <v>0</v>
      </c>
      <c r="BG1006">
        <v>0</v>
      </c>
      <c r="BH1006">
        <v>0</v>
      </c>
      <c r="BI1006" t="s">
        <v>199</v>
      </c>
      <c r="BJ1006" t="s">
        <v>248</v>
      </c>
      <c r="BL1006" t="s">
        <v>13463</v>
      </c>
      <c r="BM1006" t="s">
        <v>197</v>
      </c>
      <c r="BN1006" t="s">
        <v>182</v>
      </c>
      <c r="BO1006" t="s">
        <v>198</v>
      </c>
      <c r="BP1006" t="s">
        <v>198</v>
      </c>
      <c r="BQ1006" t="s">
        <v>198</v>
      </c>
      <c r="BR1006" t="s">
        <v>198</v>
      </c>
      <c r="BS1006" t="s">
        <v>198</v>
      </c>
      <c r="BT1006" t="s">
        <v>198</v>
      </c>
      <c r="BU1006" t="s">
        <v>182</v>
      </c>
      <c r="BV1006" t="s">
        <v>198</v>
      </c>
      <c r="BW1006" t="s">
        <v>198</v>
      </c>
      <c r="BX1006" t="s">
        <v>199</v>
      </c>
      <c r="BY1006" t="s">
        <v>198</v>
      </c>
      <c r="BZ1006" t="s">
        <v>199</v>
      </c>
      <c r="CA1006" t="s">
        <v>199</v>
      </c>
      <c r="CB1006" t="s">
        <v>13464</v>
      </c>
      <c r="CC1006" t="s">
        <v>201</v>
      </c>
      <c r="CD1006" t="s">
        <v>202</v>
      </c>
      <c r="CE1006" t="s">
        <v>13465</v>
      </c>
      <c r="CF1006" t="s">
        <v>1029</v>
      </c>
      <c r="CG1006" t="s">
        <v>177</v>
      </c>
      <c r="CH1006" t="s">
        <v>1030</v>
      </c>
      <c r="CI1006" t="s">
        <v>13472</v>
      </c>
      <c r="CJ1006" t="s">
        <v>13473</v>
      </c>
      <c r="CK1006" t="s">
        <v>292</v>
      </c>
      <c r="CL1006" t="s">
        <v>293</v>
      </c>
      <c r="CM1006" t="s">
        <v>13467</v>
      </c>
      <c r="CN1006" t="s">
        <v>235</v>
      </c>
      <c r="CO1006" t="s">
        <v>183</v>
      </c>
      <c r="CP1006" t="s">
        <v>211</v>
      </c>
      <c r="CQ1006" t="s">
        <v>329</v>
      </c>
      <c r="CS1006" t="s">
        <v>2179</v>
      </c>
      <c r="CT1006" t="s">
        <v>12673</v>
      </c>
      <c r="CU1006" t="s">
        <v>267</v>
      </c>
      <c r="CV1006" t="s">
        <v>268</v>
      </c>
      <c r="CW1006" t="s">
        <v>13468</v>
      </c>
      <c r="CX1006" t="s">
        <v>331</v>
      </c>
      <c r="CY1006" t="s">
        <v>183</v>
      </c>
      <c r="CZ1006" t="s">
        <v>211</v>
      </c>
      <c r="DA1006" t="s">
        <v>493</v>
      </c>
      <c r="DC1006" t="s">
        <v>5356</v>
      </c>
      <c r="DD1006" t="s">
        <v>13474</v>
      </c>
      <c r="DE1006" t="s">
        <v>273</v>
      </c>
      <c r="DF1006" t="s">
        <v>274</v>
      </c>
      <c r="DG1006" t="s">
        <v>9306</v>
      </c>
      <c r="DH1006" t="s">
        <v>278</v>
      </c>
      <c r="DI1006" t="s">
        <v>183</v>
      </c>
      <c r="DJ1006" t="s">
        <v>211</v>
      </c>
      <c r="DK1006" t="s">
        <v>345</v>
      </c>
      <c r="DM1006" t="s">
        <v>3539</v>
      </c>
      <c r="DN1006" t="s">
        <v>13008</v>
      </c>
      <c r="DO1006" t="s">
        <v>346</v>
      </c>
      <c r="DP1006" t="s">
        <v>347</v>
      </c>
      <c r="DQ1006" t="s">
        <v>13475</v>
      </c>
      <c r="DR1006" t="s">
        <v>1491</v>
      </c>
      <c r="DS1006" t="s">
        <v>183</v>
      </c>
      <c r="DT1006" t="s">
        <v>211</v>
      </c>
      <c r="DU1006" t="s">
        <v>296</v>
      </c>
      <c r="DW1006" t="s">
        <v>13459</v>
      </c>
      <c r="EG1006" t="s">
        <v>198</v>
      </c>
      <c r="EQ1006" t="s">
        <v>198</v>
      </c>
      <c r="FA1006" t="s">
        <v>198</v>
      </c>
      <c r="FK1006" t="s">
        <v>198</v>
      </c>
      <c r="FU1006" t="s">
        <v>198</v>
      </c>
    </row>
    <row r="1007" spans="1:177">
      <c r="A1007" s="1" t="str">
        <f>HYPERLINK("http://digipan.lumentumllc.com/apps/getLink/index.php?t=PropLink&amp;p=5247282","PL")</f>
        <v>PL</v>
      </c>
      <c r="B1007" s="1" t="str">
        <f>HYPERLINK("http://digipan.lumentumllc.com/apps/getLink/index.php?t=TaxLink&amp;p=5247282","TL")</f>
        <v>TL</v>
      </c>
      <c r="C1007" s="1" t="str">
        <f>HYPERLINK("http://digipan.lumentumllc.com/apps/getMap/index.php?p=5247282","Map")</f>
        <v>Map</v>
      </c>
      <c r="E1007" t="s">
        <v>177</v>
      </c>
      <c r="F1007" t="s">
        <v>178</v>
      </c>
      <c r="L1007" t="s">
        <v>13476</v>
      </c>
      <c r="N1007" t="s">
        <v>13476</v>
      </c>
      <c r="O1007" t="s">
        <v>13476</v>
      </c>
      <c r="P1007" t="s">
        <v>13477</v>
      </c>
      <c r="Q1007" t="s">
        <v>13476</v>
      </c>
      <c r="V1007">
        <v>1160</v>
      </c>
      <c r="W1007">
        <v>4</v>
      </c>
      <c r="X1007">
        <v>2017</v>
      </c>
      <c r="Y1007">
        <v>2018</v>
      </c>
      <c r="Z1007">
        <v>398.36</v>
      </c>
      <c r="AB1007" t="s">
        <v>181</v>
      </c>
      <c r="AC1007" t="s">
        <v>182</v>
      </c>
      <c r="AD1007" t="s">
        <v>183</v>
      </c>
      <c r="AE1007">
        <v>0</v>
      </c>
      <c r="AF1007">
        <v>4</v>
      </c>
      <c r="AG1007" t="s">
        <v>744</v>
      </c>
      <c r="AH1007">
        <v>100</v>
      </c>
      <c r="AK1007">
        <v>0</v>
      </c>
      <c r="AL1007">
        <v>25000</v>
      </c>
      <c r="AM1007">
        <v>25000</v>
      </c>
      <c r="AN1007">
        <v>0</v>
      </c>
      <c r="AO1007">
        <v>284</v>
      </c>
      <c r="AP1007">
        <v>2016</v>
      </c>
      <c r="AQ1007">
        <v>1.59</v>
      </c>
      <c r="AS1007" t="s">
        <v>13478</v>
      </c>
      <c r="AT1007" t="s">
        <v>3747</v>
      </c>
      <c r="AU1007" t="s">
        <v>177</v>
      </c>
      <c r="AV1007" t="s">
        <v>1030</v>
      </c>
      <c r="AW1007" t="s">
        <v>182</v>
      </c>
      <c r="AX1007">
        <v>0</v>
      </c>
      <c r="AY1007" t="s">
        <v>312</v>
      </c>
      <c r="AZ1007" t="s">
        <v>199</v>
      </c>
      <c r="BA1007" t="s">
        <v>313</v>
      </c>
      <c r="BB1007" t="s">
        <v>191</v>
      </c>
      <c r="BC1007" t="s">
        <v>182</v>
      </c>
      <c r="BD1007" t="s">
        <v>182</v>
      </c>
      <c r="BE1007" t="s">
        <v>899</v>
      </c>
      <c r="BF1007">
        <v>0</v>
      </c>
      <c r="BG1007">
        <v>0</v>
      </c>
      <c r="BH1007">
        <v>0</v>
      </c>
      <c r="BI1007" t="s">
        <v>199</v>
      </c>
      <c r="BJ1007" t="s">
        <v>396</v>
      </c>
      <c r="BL1007" t="s">
        <v>13463</v>
      </c>
      <c r="BM1007" t="s">
        <v>197</v>
      </c>
      <c r="BN1007" t="s">
        <v>182</v>
      </c>
      <c r="BO1007" t="s">
        <v>198</v>
      </c>
      <c r="BP1007" t="s">
        <v>198</v>
      </c>
      <c r="BQ1007" t="s">
        <v>198</v>
      </c>
      <c r="BR1007" t="s">
        <v>198</v>
      </c>
      <c r="BS1007" t="s">
        <v>198</v>
      </c>
      <c r="BT1007" t="s">
        <v>198</v>
      </c>
      <c r="BU1007" t="s">
        <v>182</v>
      </c>
      <c r="BV1007" t="s">
        <v>198</v>
      </c>
      <c r="BW1007" t="s">
        <v>198</v>
      </c>
      <c r="BX1007" t="s">
        <v>199</v>
      </c>
      <c r="BY1007" t="s">
        <v>198</v>
      </c>
      <c r="BZ1007" t="s">
        <v>199</v>
      </c>
      <c r="CA1007" t="s">
        <v>199</v>
      </c>
      <c r="CB1007" t="s">
        <v>13464</v>
      </c>
      <c r="CC1007" t="s">
        <v>201</v>
      </c>
      <c r="CD1007" t="s">
        <v>202</v>
      </c>
      <c r="CE1007" t="s">
        <v>13465</v>
      </c>
      <c r="CF1007" t="s">
        <v>1029</v>
      </c>
      <c r="CG1007" t="s">
        <v>177</v>
      </c>
      <c r="CH1007" t="s">
        <v>1030</v>
      </c>
      <c r="CI1007" t="s">
        <v>13479</v>
      </c>
      <c r="CJ1007" t="s">
        <v>9121</v>
      </c>
      <c r="CK1007" t="s">
        <v>292</v>
      </c>
      <c r="CL1007" t="s">
        <v>293</v>
      </c>
      <c r="CM1007" t="s">
        <v>13467</v>
      </c>
      <c r="CN1007" t="s">
        <v>278</v>
      </c>
      <c r="CO1007" t="s">
        <v>183</v>
      </c>
      <c r="CP1007" t="s">
        <v>211</v>
      </c>
      <c r="CQ1007" t="s">
        <v>329</v>
      </c>
      <c r="CS1007" t="s">
        <v>2179</v>
      </c>
      <c r="CT1007" t="s">
        <v>10496</v>
      </c>
      <c r="CU1007" t="s">
        <v>267</v>
      </c>
      <c r="CV1007" t="s">
        <v>268</v>
      </c>
      <c r="CW1007" t="s">
        <v>13468</v>
      </c>
      <c r="CX1007" t="s">
        <v>1551</v>
      </c>
      <c r="CY1007" t="s">
        <v>183</v>
      </c>
      <c r="CZ1007" t="s">
        <v>211</v>
      </c>
      <c r="DA1007" t="s">
        <v>493</v>
      </c>
      <c r="DC1007" t="s">
        <v>5356</v>
      </c>
      <c r="DD1007" t="s">
        <v>13480</v>
      </c>
      <c r="DE1007" t="s">
        <v>273</v>
      </c>
      <c r="DF1007" t="s">
        <v>274</v>
      </c>
      <c r="DG1007" t="s">
        <v>9306</v>
      </c>
      <c r="DH1007" t="s">
        <v>389</v>
      </c>
      <c r="DI1007" t="s">
        <v>183</v>
      </c>
      <c r="DJ1007" t="s">
        <v>211</v>
      </c>
      <c r="DK1007" t="s">
        <v>345</v>
      </c>
      <c r="DM1007" t="s">
        <v>3539</v>
      </c>
      <c r="DN1007" t="s">
        <v>13481</v>
      </c>
      <c r="DO1007" t="s">
        <v>346</v>
      </c>
      <c r="DP1007" t="s">
        <v>347</v>
      </c>
      <c r="DQ1007" t="s">
        <v>13475</v>
      </c>
      <c r="DR1007" t="s">
        <v>1491</v>
      </c>
      <c r="DS1007" t="s">
        <v>183</v>
      </c>
      <c r="DT1007" t="s">
        <v>211</v>
      </c>
      <c r="DU1007" t="s">
        <v>296</v>
      </c>
      <c r="DW1007" t="s">
        <v>13459</v>
      </c>
      <c r="EG1007" t="s">
        <v>198</v>
      </c>
      <c r="EQ1007" t="s">
        <v>198</v>
      </c>
      <c r="FA1007" t="s">
        <v>198</v>
      </c>
      <c r="FK1007" t="s">
        <v>198</v>
      </c>
      <c r="FU1007" t="s">
        <v>198</v>
      </c>
    </row>
    <row r="1008" spans="1:177">
      <c r="A1008" s="1" t="str">
        <f>HYPERLINK("http://digipan.lumentumllc.com/apps/getLink/index.php?t=PropLink&amp;p=5247283","PL")</f>
        <v>PL</v>
      </c>
      <c r="B1008" s="1" t="str">
        <f>HYPERLINK("http://digipan.lumentumllc.com/apps/getLink/index.php?t=TaxLink&amp;p=5247283","TL")</f>
        <v>TL</v>
      </c>
      <c r="C1008" s="1" t="str">
        <f>HYPERLINK("http://digipan.lumentumllc.com/apps/getMap/index.php?p=5247283","Map")</f>
        <v>Map</v>
      </c>
      <c r="E1008" t="s">
        <v>177</v>
      </c>
      <c r="F1008" t="s">
        <v>178</v>
      </c>
      <c r="L1008" t="s">
        <v>13482</v>
      </c>
      <c r="N1008" t="s">
        <v>13482</v>
      </c>
      <c r="O1008" t="s">
        <v>13482</v>
      </c>
      <c r="P1008" t="s">
        <v>13483</v>
      </c>
      <c r="Q1008" t="s">
        <v>13482</v>
      </c>
      <c r="V1008">
        <v>1161</v>
      </c>
      <c r="W1008">
        <v>4</v>
      </c>
      <c r="X1008">
        <v>2017</v>
      </c>
      <c r="Y1008">
        <v>2018</v>
      </c>
      <c r="Z1008">
        <v>398.36</v>
      </c>
      <c r="AB1008" t="s">
        <v>181</v>
      </c>
      <c r="AC1008" t="s">
        <v>182</v>
      </c>
      <c r="AD1008" t="s">
        <v>183</v>
      </c>
      <c r="AE1008">
        <v>0</v>
      </c>
      <c r="AF1008">
        <v>4</v>
      </c>
      <c r="AG1008" t="s">
        <v>744</v>
      </c>
      <c r="AH1008">
        <v>100</v>
      </c>
      <c r="AK1008">
        <v>0</v>
      </c>
      <c r="AL1008">
        <v>25000</v>
      </c>
      <c r="AM1008">
        <v>25000</v>
      </c>
      <c r="AN1008">
        <v>0</v>
      </c>
      <c r="AO1008">
        <v>284</v>
      </c>
      <c r="AP1008">
        <v>2016</v>
      </c>
      <c r="AQ1008">
        <v>1.59</v>
      </c>
      <c r="AS1008" t="s">
        <v>13484</v>
      </c>
      <c r="AT1008" t="s">
        <v>3747</v>
      </c>
      <c r="AU1008" t="s">
        <v>177</v>
      </c>
      <c r="AV1008" t="s">
        <v>1030</v>
      </c>
      <c r="AW1008" t="s">
        <v>182</v>
      </c>
      <c r="AX1008">
        <v>0</v>
      </c>
      <c r="AY1008" t="s">
        <v>312</v>
      </c>
      <c r="AZ1008" t="s">
        <v>199</v>
      </c>
      <c r="BA1008" t="s">
        <v>313</v>
      </c>
      <c r="BB1008" t="s">
        <v>191</v>
      </c>
      <c r="BC1008" t="s">
        <v>182</v>
      </c>
      <c r="BD1008" t="s">
        <v>182</v>
      </c>
      <c r="BE1008" t="s">
        <v>383</v>
      </c>
      <c r="BF1008">
        <v>0</v>
      </c>
      <c r="BG1008">
        <v>0</v>
      </c>
      <c r="BH1008">
        <v>0</v>
      </c>
      <c r="BI1008" t="s">
        <v>199</v>
      </c>
      <c r="BJ1008" t="s">
        <v>315</v>
      </c>
      <c r="BL1008" t="s">
        <v>13463</v>
      </c>
      <c r="BM1008" t="s">
        <v>197</v>
      </c>
      <c r="BN1008" t="s">
        <v>182</v>
      </c>
      <c r="BO1008" t="s">
        <v>198</v>
      </c>
      <c r="BP1008" t="s">
        <v>198</v>
      </c>
      <c r="BQ1008" t="s">
        <v>198</v>
      </c>
      <c r="BR1008" t="s">
        <v>198</v>
      </c>
      <c r="BS1008" t="s">
        <v>198</v>
      </c>
      <c r="BT1008" t="s">
        <v>198</v>
      </c>
      <c r="BU1008" t="s">
        <v>182</v>
      </c>
      <c r="BV1008" t="s">
        <v>198</v>
      </c>
      <c r="BW1008" t="s">
        <v>198</v>
      </c>
      <c r="BX1008" t="s">
        <v>199</v>
      </c>
      <c r="BY1008" t="s">
        <v>198</v>
      </c>
      <c r="BZ1008" t="s">
        <v>199</v>
      </c>
      <c r="CA1008" t="s">
        <v>199</v>
      </c>
      <c r="CB1008" t="s">
        <v>13464</v>
      </c>
      <c r="CC1008" t="s">
        <v>201</v>
      </c>
      <c r="CD1008" t="s">
        <v>202</v>
      </c>
      <c r="CE1008" t="s">
        <v>13465</v>
      </c>
      <c r="CF1008" t="s">
        <v>1029</v>
      </c>
      <c r="CG1008" t="s">
        <v>177</v>
      </c>
      <c r="CH1008" t="s">
        <v>1030</v>
      </c>
      <c r="CI1008" t="s">
        <v>783</v>
      </c>
      <c r="CJ1008" t="s">
        <v>3832</v>
      </c>
      <c r="CK1008" t="s">
        <v>292</v>
      </c>
      <c r="CL1008" t="s">
        <v>293</v>
      </c>
      <c r="CM1008" t="s">
        <v>13467</v>
      </c>
      <c r="CN1008" t="s">
        <v>235</v>
      </c>
      <c r="CO1008" t="s">
        <v>183</v>
      </c>
      <c r="CP1008" t="s">
        <v>211</v>
      </c>
      <c r="CQ1008" t="s">
        <v>329</v>
      </c>
      <c r="CS1008" t="s">
        <v>2179</v>
      </c>
      <c r="CT1008" t="s">
        <v>11696</v>
      </c>
      <c r="CU1008" t="s">
        <v>267</v>
      </c>
      <c r="CV1008" t="s">
        <v>268</v>
      </c>
      <c r="CW1008" t="s">
        <v>13468</v>
      </c>
      <c r="CX1008" t="s">
        <v>331</v>
      </c>
      <c r="CY1008" t="s">
        <v>183</v>
      </c>
      <c r="CZ1008" t="s">
        <v>211</v>
      </c>
      <c r="DA1008" t="s">
        <v>493</v>
      </c>
      <c r="DC1008" t="s">
        <v>5356</v>
      </c>
      <c r="DD1008" t="s">
        <v>13485</v>
      </c>
      <c r="DE1008" t="s">
        <v>273</v>
      </c>
      <c r="DF1008" t="s">
        <v>274</v>
      </c>
      <c r="DG1008" t="s">
        <v>9306</v>
      </c>
      <c r="DH1008" t="s">
        <v>278</v>
      </c>
      <c r="DI1008" t="s">
        <v>183</v>
      </c>
      <c r="DJ1008" t="s">
        <v>211</v>
      </c>
      <c r="DK1008" t="s">
        <v>345</v>
      </c>
      <c r="DM1008" t="s">
        <v>3539</v>
      </c>
      <c r="DN1008" t="s">
        <v>13486</v>
      </c>
      <c r="DO1008" t="s">
        <v>346</v>
      </c>
      <c r="DP1008" t="s">
        <v>347</v>
      </c>
      <c r="DQ1008" t="s">
        <v>13475</v>
      </c>
      <c r="DR1008" t="s">
        <v>1491</v>
      </c>
      <c r="DS1008" t="s">
        <v>183</v>
      </c>
      <c r="DT1008" t="s">
        <v>211</v>
      </c>
      <c r="DU1008" t="s">
        <v>296</v>
      </c>
      <c r="DW1008" t="s">
        <v>13459</v>
      </c>
      <c r="EG1008" t="s">
        <v>198</v>
      </c>
      <c r="EQ1008" t="s">
        <v>198</v>
      </c>
      <c r="FA1008" t="s">
        <v>198</v>
      </c>
      <c r="FK1008" t="s">
        <v>198</v>
      </c>
      <c r="FU1008" t="s">
        <v>198</v>
      </c>
    </row>
    <row r="1009" spans="1:177">
      <c r="A1009" s="1" t="str">
        <f>HYPERLINK("http://digipan.lumentumllc.com/apps/getLink/index.php?t=PropLink&amp;p=5247671","PL")</f>
        <v>PL</v>
      </c>
      <c r="B1009" s="1" t="str">
        <f>HYPERLINK("http://digipan.lumentumllc.com/apps/getLink/index.php?t=TaxLink&amp;p=5247671","TL")</f>
        <v>TL</v>
      </c>
      <c r="C1009" s="1" t="str">
        <f>HYPERLINK("http://digipan.lumentumllc.com/apps/getMap/index.php?p=5247671","Map")</f>
        <v>Map</v>
      </c>
      <c r="E1009" t="s">
        <v>177</v>
      </c>
      <c r="F1009" t="s">
        <v>178</v>
      </c>
      <c r="L1009" t="s">
        <v>13487</v>
      </c>
      <c r="N1009" t="s">
        <v>13487</v>
      </c>
      <c r="O1009" t="s">
        <v>13487</v>
      </c>
      <c r="P1009" t="s">
        <v>13488</v>
      </c>
      <c r="Q1009" t="s">
        <v>13487</v>
      </c>
      <c r="V1009">
        <v>1162</v>
      </c>
      <c r="W1009">
        <v>4</v>
      </c>
      <c r="X1009">
        <v>2017</v>
      </c>
      <c r="Y1009">
        <v>2018</v>
      </c>
      <c r="Z1009">
        <v>286.67</v>
      </c>
      <c r="AB1009" t="s">
        <v>181</v>
      </c>
      <c r="AC1009" t="s">
        <v>182</v>
      </c>
      <c r="AD1009" t="s">
        <v>183</v>
      </c>
      <c r="AE1009">
        <v>1</v>
      </c>
      <c r="AF1009">
        <v>6</v>
      </c>
      <c r="AG1009" t="s">
        <v>322</v>
      </c>
      <c r="AH1009">
        <v>83</v>
      </c>
      <c r="AI1009">
        <v>261.02</v>
      </c>
      <c r="AJ1009">
        <v>22.19</v>
      </c>
      <c r="AK1009">
        <v>283.20999999999998</v>
      </c>
      <c r="AL1009">
        <v>16016</v>
      </c>
      <c r="AM1009">
        <v>3622</v>
      </c>
      <c r="AN1009">
        <v>12394</v>
      </c>
      <c r="AO1009">
        <v>216</v>
      </c>
      <c r="AP1009">
        <v>2016</v>
      </c>
      <c r="AQ1009">
        <v>1.79</v>
      </c>
      <c r="AR1009">
        <v>1.77</v>
      </c>
      <c r="AS1009" t="s">
        <v>13489</v>
      </c>
      <c r="AT1009" t="s">
        <v>3210</v>
      </c>
      <c r="AU1009" t="s">
        <v>177</v>
      </c>
      <c r="AV1009" t="s">
        <v>2334</v>
      </c>
      <c r="AW1009" t="s">
        <v>182</v>
      </c>
      <c r="AX1009">
        <v>1</v>
      </c>
      <c r="AY1009" t="s">
        <v>188</v>
      </c>
      <c r="AZ1009" t="s">
        <v>206</v>
      </c>
      <c r="BA1009" t="s">
        <v>355</v>
      </c>
      <c r="BB1009" t="s">
        <v>191</v>
      </c>
      <c r="BC1009" t="s">
        <v>182</v>
      </c>
      <c r="BD1009" t="s">
        <v>182</v>
      </c>
      <c r="BE1009" t="s">
        <v>3956</v>
      </c>
      <c r="BF1009">
        <v>1</v>
      </c>
      <c r="BG1009">
        <v>1</v>
      </c>
      <c r="BH1009">
        <v>1950</v>
      </c>
      <c r="BI1009" t="s">
        <v>8754</v>
      </c>
      <c r="BJ1009" t="s">
        <v>285</v>
      </c>
      <c r="BK1009" t="s">
        <v>195</v>
      </c>
      <c r="BL1009" t="s">
        <v>199</v>
      </c>
      <c r="BM1009" t="s">
        <v>3644</v>
      </c>
      <c r="BN1009" t="s">
        <v>182</v>
      </c>
      <c r="BO1009" t="s">
        <v>198</v>
      </c>
      <c r="BP1009" t="s">
        <v>198</v>
      </c>
      <c r="BQ1009" t="s">
        <v>198</v>
      </c>
      <c r="BR1009" t="s">
        <v>198</v>
      </c>
      <c r="BS1009" t="s">
        <v>198</v>
      </c>
      <c r="BT1009" t="s">
        <v>198</v>
      </c>
      <c r="BU1009" t="s">
        <v>182</v>
      </c>
      <c r="BV1009" t="s">
        <v>198</v>
      </c>
      <c r="BW1009" t="s">
        <v>198</v>
      </c>
      <c r="BX1009" t="s">
        <v>199</v>
      </c>
      <c r="BY1009" t="s">
        <v>198</v>
      </c>
      <c r="BZ1009" t="s">
        <v>199</v>
      </c>
      <c r="CA1009" t="s">
        <v>199</v>
      </c>
      <c r="CB1009" t="s">
        <v>13490</v>
      </c>
      <c r="CC1009" t="s">
        <v>201</v>
      </c>
      <c r="CD1009" t="s">
        <v>202</v>
      </c>
      <c r="CE1009" t="s">
        <v>13491</v>
      </c>
      <c r="CF1009" t="s">
        <v>2333</v>
      </c>
      <c r="CG1009" t="s">
        <v>177</v>
      </c>
      <c r="CH1009" t="s">
        <v>2334</v>
      </c>
      <c r="CI1009" t="s">
        <v>13492</v>
      </c>
      <c r="CJ1009" t="s">
        <v>3117</v>
      </c>
      <c r="CK1009" t="s">
        <v>232</v>
      </c>
      <c r="CL1009" t="s">
        <v>233</v>
      </c>
      <c r="CM1009" t="s">
        <v>13493</v>
      </c>
      <c r="CN1009" t="s">
        <v>2679</v>
      </c>
      <c r="CO1009" t="s">
        <v>183</v>
      </c>
      <c r="CP1009" t="s">
        <v>266</v>
      </c>
      <c r="CS1009" t="s">
        <v>198</v>
      </c>
      <c r="CT1009" t="s">
        <v>1617</v>
      </c>
      <c r="CU1009" t="s">
        <v>292</v>
      </c>
      <c r="CV1009" t="s">
        <v>293</v>
      </c>
      <c r="CW1009" t="s">
        <v>13494</v>
      </c>
      <c r="CX1009" t="s">
        <v>482</v>
      </c>
      <c r="CY1009" t="s">
        <v>183</v>
      </c>
      <c r="CZ1009" t="s">
        <v>211</v>
      </c>
      <c r="DA1009" t="s">
        <v>298</v>
      </c>
      <c r="DC1009" t="s">
        <v>430</v>
      </c>
      <c r="DD1009" t="s">
        <v>10525</v>
      </c>
      <c r="DE1009" t="s">
        <v>267</v>
      </c>
      <c r="DF1009" t="s">
        <v>268</v>
      </c>
      <c r="DG1009" t="s">
        <v>13495</v>
      </c>
      <c r="DH1009" t="s">
        <v>331</v>
      </c>
      <c r="DI1009" t="s">
        <v>183</v>
      </c>
      <c r="DJ1009" t="s">
        <v>211</v>
      </c>
      <c r="DK1009" t="s">
        <v>298</v>
      </c>
      <c r="DM1009" t="s">
        <v>1611</v>
      </c>
      <c r="DN1009" t="s">
        <v>4364</v>
      </c>
      <c r="DO1009" t="s">
        <v>302</v>
      </c>
      <c r="DP1009" t="s">
        <v>303</v>
      </c>
      <c r="DQ1009" t="s">
        <v>13496</v>
      </c>
      <c r="DR1009" t="s">
        <v>331</v>
      </c>
      <c r="DS1009" t="s">
        <v>183</v>
      </c>
      <c r="DT1009" t="s">
        <v>211</v>
      </c>
      <c r="DU1009" t="s">
        <v>342</v>
      </c>
      <c r="DW1009" t="s">
        <v>6842</v>
      </c>
      <c r="DX1009" t="s">
        <v>13497</v>
      </c>
      <c r="DY1009" t="s">
        <v>238</v>
      </c>
      <c r="DZ1009" t="s">
        <v>239</v>
      </c>
      <c r="EA1009" t="s">
        <v>13498</v>
      </c>
      <c r="EB1009" t="s">
        <v>331</v>
      </c>
      <c r="EC1009" t="s">
        <v>183</v>
      </c>
      <c r="ED1009" t="s">
        <v>211</v>
      </c>
      <c r="EE1009" t="s">
        <v>298</v>
      </c>
      <c r="EG1009" t="s">
        <v>875</v>
      </c>
      <c r="EH1009" t="s">
        <v>13499</v>
      </c>
      <c r="EI1009" t="s">
        <v>346</v>
      </c>
      <c r="EJ1009" t="s">
        <v>347</v>
      </c>
      <c r="EK1009" t="s">
        <v>13500</v>
      </c>
      <c r="EL1009" t="s">
        <v>1491</v>
      </c>
      <c r="EM1009" t="s">
        <v>183</v>
      </c>
      <c r="EN1009" t="s">
        <v>211</v>
      </c>
      <c r="EO1009" t="s">
        <v>768</v>
      </c>
      <c r="EQ1009" t="s">
        <v>13501</v>
      </c>
      <c r="ER1009" t="s">
        <v>13298</v>
      </c>
      <c r="ES1009" t="s">
        <v>207</v>
      </c>
      <c r="ET1009" t="s">
        <v>208</v>
      </c>
      <c r="EU1009" t="s">
        <v>1481</v>
      </c>
      <c r="EV1009" t="s">
        <v>341</v>
      </c>
      <c r="EW1009" t="s">
        <v>183</v>
      </c>
      <c r="EX1009" t="s">
        <v>211</v>
      </c>
      <c r="EY1009" t="s">
        <v>298</v>
      </c>
      <c r="FA1009" t="s">
        <v>474</v>
      </c>
      <c r="FK1009" t="s">
        <v>198</v>
      </c>
      <c r="FU1009" t="s">
        <v>198</v>
      </c>
    </row>
    <row r="1010" spans="1:177">
      <c r="A1010" s="1" t="str">
        <f>HYPERLINK("http://digipan.lumentumllc.com/apps/getLink/index.php?t=PropLink&amp;p=6886834","PL")</f>
        <v>PL</v>
      </c>
      <c r="B1010" s="1" t="str">
        <f>HYPERLINK("http://digipan.lumentumllc.com/apps/getLink/index.php?t=TaxLink&amp;p=6886834","TL")</f>
        <v>TL</v>
      </c>
      <c r="C1010" s="1" t="str">
        <f>HYPERLINK("http://digipan.lumentumllc.com/apps/getMap/index.php?p=6886834","Map")</f>
        <v>Map</v>
      </c>
      <c r="E1010" t="s">
        <v>177</v>
      </c>
      <c r="F1010" t="s">
        <v>178</v>
      </c>
      <c r="L1010" t="s">
        <v>13502</v>
      </c>
      <c r="N1010" t="s">
        <v>13502</v>
      </c>
      <c r="O1010" t="s">
        <v>13502</v>
      </c>
      <c r="P1010" t="s">
        <v>13503</v>
      </c>
      <c r="Q1010" t="s">
        <v>13502</v>
      </c>
      <c r="V1010">
        <v>1163</v>
      </c>
      <c r="W1010">
        <v>4</v>
      </c>
      <c r="X1010">
        <v>2017</v>
      </c>
      <c r="Y1010">
        <v>2018</v>
      </c>
      <c r="Z1010">
        <v>266.32</v>
      </c>
      <c r="AB1010" t="s">
        <v>181</v>
      </c>
      <c r="AC1010" t="s">
        <v>182</v>
      </c>
      <c r="AD1010" t="s">
        <v>183</v>
      </c>
      <c r="AE1010">
        <v>0</v>
      </c>
      <c r="AF1010">
        <v>1</v>
      </c>
      <c r="AG1010" t="s">
        <v>821</v>
      </c>
      <c r="AH1010">
        <v>100</v>
      </c>
      <c r="AK1010">
        <v>0</v>
      </c>
      <c r="AL1010">
        <v>15750</v>
      </c>
      <c r="AM1010">
        <v>15750</v>
      </c>
      <c r="AN1010">
        <v>0</v>
      </c>
      <c r="AO1010">
        <v>184</v>
      </c>
      <c r="AP1010">
        <v>2016</v>
      </c>
      <c r="AQ1010">
        <v>1.69</v>
      </c>
      <c r="AS1010" t="s">
        <v>7314</v>
      </c>
      <c r="AT1010" t="s">
        <v>3210</v>
      </c>
      <c r="AU1010" t="s">
        <v>177</v>
      </c>
      <c r="AV1010" t="s">
        <v>2334</v>
      </c>
      <c r="AW1010" t="s">
        <v>182</v>
      </c>
      <c r="AX1010">
        <v>0</v>
      </c>
      <c r="AY1010" t="s">
        <v>312</v>
      </c>
      <c r="AZ1010" t="s">
        <v>199</v>
      </c>
      <c r="BA1010" t="s">
        <v>313</v>
      </c>
      <c r="BB1010" t="s">
        <v>191</v>
      </c>
      <c r="BC1010" t="s">
        <v>182</v>
      </c>
      <c r="BD1010" t="s">
        <v>182</v>
      </c>
      <c r="BE1010" t="s">
        <v>383</v>
      </c>
      <c r="BF1010">
        <v>0</v>
      </c>
      <c r="BG1010">
        <v>0</v>
      </c>
      <c r="BH1010">
        <v>0</v>
      </c>
      <c r="BI1010" t="s">
        <v>199</v>
      </c>
      <c r="BJ1010" t="s">
        <v>315</v>
      </c>
      <c r="BL1010" t="s">
        <v>199</v>
      </c>
      <c r="BM1010" t="s">
        <v>273</v>
      </c>
      <c r="BN1010" t="s">
        <v>182</v>
      </c>
      <c r="BO1010" t="s">
        <v>198</v>
      </c>
      <c r="BP1010" t="s">
        <v>198</v>
      </c>
      <c r="BQ1010" t="s">
        <v>198</v>
      </c>
      <c r="BR1010" t="s">
        <v>198</v>
      </c>
      <c r="BS1010" t="s">
        <v>198</v>
      </c>
      <c r="BT1010" t="s">
        <v>198</v>
      </c>
      <c r="BU1010" t="s">
        <v>182</v>
      </c>
      <c r="BV1010" t="s">
        <v>198</v>
      </c>
      <c r="BW1010" t="s">
        <v>198</v>
      </c>
      <c r="BX1010" t="s">
        <v>199</v>
      </c>
      <c r="BY1010" t="s">
        <v>198</v>
      </c>
      <c r="BZ1010" t="s">
        <v>199</v>
      </c>
      <c r="CA1010" t="s">
        <v>199</v>
      </c>
      <c r="CB1010" t="s">
        <v>13504</v>
      </c>
      <c r="CC1010" t="s">
        <v>201</v>
      </c>
      <c r="CD1010" t="s">
        <v>182</v>
      </c>
      <c r="CE1010" t="s">
        <v>13505</v>
      </c>
      <c r="CF1010" t="s">
        <v>413</v>
      </c>
      <c r="CG1010" t="s">
        <v>177</v>
      </c>
      <c r="CH1010" t="s">
        <v>6095</v>
      </c>
      <c r="CI1010" t="s">
        <v>13506</v>
      </c>
      <c r="CJ1010" t="s">
        <v>10607</v>
      </c>
      <c r="CK1010" t="s">
        <v>267</v>
      </c>
      <c r="CL1010" t="s">
        <v>268</v>
      </c>
      <c r="CM1010" t="s">
        <v>9491</v>
      </c>
      <c r="CN1010" t="s">
        <v>1164</v>
      </c>
      <c r="CO1010" t="s">
        <v>183</v>
      </c>
      <c r="CP1010" t="s">
        <v>211</v>
      </c>
      <c r="CQ1010" t="s">
        <v>342</v>
      </c>
      <c r="CS1010" t="s">
        <v>9539</v>
      </c>
      <c r="DC1010" t="s">
        <v>198</v>
      </c>
      <c r="DM1010" t="s">
        <v>198</v>
      </c>
      <c r="DW1010" t="s">
        <v>198</v>
      </c>
      <c r="EG1010" t="s">
        <v>198</v>
      </c>
      <c r="EQ1010" t="s">
        <v>198</v>
      </c>
      <c r="FA1010" t="s">
        <v>198</v>
      </c>
      <c r="FK1010" t="s">
        <v>198</v>
      </c>
      <c r="FU1010" t="s">
        <v>198</v>
      </c>
    </row>
    <row r="1011" spans="1:177">
      <c r="A1011" s="1" t="str">
        <f>HYPERLINK("http://digipan.lumentumllc.com/apps/getLink/index.php?t=PropLink&amp;p=5247673","PL")</f>
        <v>PL</v>
      </c>
      <c r="B1011" s="1" t="str">
        <f>HYPERLINK("http://digipan.lumentumllc.com/apps/getLink/index.php?t=TaxLink&amp;p=5247673","TL")</f>
        <v>TL</v>
      </c>
      <c r="C1011" s="1" t="str">
        <f>HYPERLINK("http://digipan.lumentumllc.com/apps/getMap/index.php?p=5247673","Map")</f>
        <v>Map</v>
      </c>
      <c r="E1011" t="s">
        <v>177</v>
      </c>
      <c r="F1011" t="s">
        <v>178</v>
      </c>
      <c r="L1011" t="s">
        <v>13507</v>
      </c>
      <c r="N1011" t="s">
        <v>13507</v>
      </c>
      <c r="O1011" t="s">
        <v>13507</v>
      </c>
      <c r="P1011" t="s">
        <v>13508</v>
      </c>
      <c r="Q1011" t="s">
        <v>13507</v>
      </c>
      <c r="V1011">
        <v>1164</v>
      </c>
      <c r="W1011">
        <v>4</v>
      </c>
      <c r="X1011">
        <v>2017</v>
      </c>
      <c r="Y1011">
        <v>2018</v>
      </c>
      <c r="Z1011">
        <v>266.32</v>
      </c>
      <c r="AB1011" t="s">
        <v>181</v>
      </c>
      <c r="AC1011" t="s">
        <v>182</v>
      </c>
      <c r="AD1011" t="s">
        <v>183</v>
      </c>
      <c r="AE1011">
        <v>0</v>
      </c>
      <c r="AF1011">
        <v>3</v>
      </c>
      <c r="AG1011" t="s">
        <v>381</v>
      </c>
      <c r="AH1011">
        <v>100</v>
      </c>
      <c r="AK1011">
        <v>0</v>
      </c>
      <c r="AL1011">
        <v>15750</v>
      </c>
      <c r="AM1011">
        <v>15750</v>
      </c>
      <c r="AN1011">
        <v>0</v>
      </c>
      <c r="AO1011">
        <v>184</v>
      </c>
      <c r="AP1011">
        <v>2016</v>
      </c>
      <c r="AQ1011">
        <v>1.69</v>
      </c>
      <c r="AS1011" t="s">
        <v>13509</v>
      </c>
      <c r="AT1011" t="s">
        <v>3210</v>
      </c>
      <c r="AU1011" t="s">
        <v>177</v>
      </c>
      <c r="AV1011" t="s">
        <v>2334</v>
      </c>
      <c r="AW1011" t="s">
        <v>182</v>
      </c>
      <c r="AX1011">
        <v>0</v>
      </c>
      <c r="AY1011" t="s">
        <v>312</v>
      </c>
      <c r="AZ1011" t="s">
        <v>199</v>
      </c>
      <c r="BA1011" t="s">
        <v>313</v>
      </c>
      <c r="BB1011" t="s">
        <v>191</v>
      </c>
      <c r="BC1011" t="s">
        <v>182</v>
      </c>
      <c r="BD1011" t="s">
        <v>182</v>
      </c>
      <c r="BE1011" t="s">
        <v>383</v>
      </c>
      <c r="BF1011">
        <v>0</v>
      </c>
      <c r="BG1011">
        <v>0</v>
      </c>
      <c r="BH1011">
        <v>0</v>
      </c>
      <c r="BI1011" t="s">
        <v>199</v>
      </c>
      <c r="BJ1011" t="s">
        <v>315</v>
      </c>
      <c r="BL1011" t="s">
        <v>199</v>
      </c>
      <c r="BM1011" t="s">
        <v>207</v>
      </c>
      <c r="BN1011" t="s">
        <v>182</v>
      </c>
      <c r="BO1011" t="s">
        <v>198</v>
      </c>
      <c r="BP1011" t="s">
        <v>198</v>
      </c>
      <c r="BQ1011" t="s">
        <v>198</v>
      </c>
      <c r="BR1011" t="s">
        <v>198</v>
      </c>
      <c r="BS1011" t="s">
        <v>198</v>
      </c>
      <c r="BT1011" t="s">
        <v>198</v>
      </c>
      <c r="BU1011" t="s">
        <v>182</v>
      </c>
      <c r="BV1011" t="s">
        <v>198</v>
      </c>
      <c r="BW1011" t="s">
        <v>198</v>
      </c>
      <c r="BX1011" t="s">
        <v>199</v>
      </c>
      <c r="BY1011" t="s">
        <v>198</v>
      </c>
      <c r="BZ1011" t="s">
        <v>199</v>
      </c>
      <c r="CA1011" t="s">
        <v>199</v>
      </c>
      <c r="CB1011" t="s">
        <v>13510</v>
      </c>
      <c r="CC1011" t="s">
        <v>201</v>
      </c>
      <c r="CD1011" t="s">
        <v>182</v>
      </c>
      <c r="CE1011" t="s">
        <v>13511</v>
      </c>
      <c r="CF1011" t="s">
        <v>413</v>
      </c>
      <c r="CG1011" t="s">
        <v>177</v>
      </c>
      <c r="CH1011" t="s">
        <v>414</v>
      </c>
      <c r="CI1011" t="s">
        <v>13512</v>
      </c>
      <c r="CJ1011" t="s">
        <v>10129</v>
      </c>
      <c r="CK1011" t="s">
        <v>273</v>
      </c>
      <c r="CL1011" t="s">
        <v>274</v>
      </c>
      <c r="CM1011" t="s">
        <v>8692</v>
      </c>
      <c r="CN1011" t="s">
        <v>387</v>
      </c>
      <c r="CO1011" t="s">
        <v>183</v>
      </c>
      <c r="CP1011" t="s">
        <v>211</v>
      </c>
      <c r="CQ1011" t="s">
        <v>270</v>
      </c>
      <c r="CS1011" t="s">
        <v>692</v>
      </c>
      <c r="CT1011" t="s">
        <v>11185</v>
      </c>
      <c r="CU1011" t="s">
        <v>302</v>
      </c>
      <c r="CV1011" t="s">
        <v>303</v>
      </c>
      <c r="CW1011" t="s">
        <v>10339</v>
      </c>
      <c r="CX1011" t="s">
        <v>440</v>
      </c>
      <c r="CY1011" t="s">
        <v>183</v>
      </c>
      <c r="CZ1011" t="s">
        <v>211</v>
      </c>
      <c r="DA1011" t="s">
        <v>306</v>
      </c>
      <c r="DC1011" t="s">
        <v>13513</v>
      </c>
      <c r="DD1011" t="s">
        <v>13514</v>
      </c>
      <c r="DE1011" t="s">
        <v>346</v>
      </c>
      <c r="DF1011" t="s">
        <v>347</v>
      </c>
      <c r="DG1011" t="s">
        <v>1075</v>
      </c>
      <c r="DH1011" t="s">
        <v>1491</v>
      </c>
      <c r="DI1011" t="s">
        <v>183</v>
      </c>
      <c r="DJ1011" t="s">
        <v>211</v>
      </c>
      <c r="DK1011" t="s">
        <v>329</v>
      </c>
      <c r="DM1011" t="s">
        <v>1381</v>
      </c>
      <c r="DW1011" t="s">
        <v>198</v>
      </c>
      <c r="EG1011" t="s">
        <v>198</v>
      </c>
      <c r="EQ1011" t="s">
        <v>198</v>
      </c>
      <c r="FA1011" t="s">
        <v>198</v>
      </c>
      <c r="FK1011" t="s">
        <v>198</v>
      </c>
      <c r="FU1011" t="s">
        <v>198</v>
      </c>
    </row>
    <row r="1012" spans="1:177">
      <c r="A1012" s="1" t="str">
        <f>HYPERLINK("http://digipan.lumentumllc.com/apps/getLink/index.php?t=PropLink&amp;p=5248459","PL")</f>
        <v>PL</v>
      </c>
      <c r="B1012" s="1" t="str">
        <f>HYPERLINK("http://digipan.lumentumllc.com/apps/getLink/index.php?t=TaxLink&amp;p=5248459","TL")</f>
        <v>TL</v>
      </c>
      <c r="C1012" s="1" t="str">
        <f>HYPERLINK("http://digipan.lumentumllc.com/apps/getMap/index.php?p=5248459","Map")</f>
        <v>Map</v>
      </c>
      <c r="E1012" t="s">
        <v>177</v>
      </c>
      <c r="F1012" t="s">
        <v>178</v>
      </c>
      <c r="L1012" t="s">
        <v>13515</v>
      </c>
      <c r="N1012" t="s">
        <v>13515</v>
      </c>
      <c r="O1012" t="s">
        <v>13515</v>
      </c>
      <c r="P1012" t="s">
        <v>13516</v>
      </c>
      <c r="Q1012" t="s">
        <v>13515</v>
      </c>
      <c r="V1012">
        <v>1165</v>
      </c>
      <c r="W1012">
        <v>4</v>
      </c>
      <c r="X1012">
        <v>2017</v>
      </c>
      <c r="Y1012">
        <v>2018</v>
      </c>
      <c r="Z1012">
        <v>804.32</v>
      </c>
      <c r="AB1012" t="s">
        <v>181</v>
      </c>
      <c r="AC1012" t="s">
        <v>182</v>
      </c>
      <c r="AD1012" t="s">
        <v>183</v>
      </c>
      <c r="AE1012">
        <v>0</v>
      </c>
      <c r="AF1012">
        <v>4</v>
      </c>
      <c r="AG1012" t="s">
        <v>744</v>
      </c>
      <c r="AH1012">
        <v>100</v>
      </c>
      <c r="AK1012">
        <v>0</v>
      </c>
      <c r="AL1012">
        <v>116966</v>
      </c>
      <c r="AM1012">
        <v>47250</v>
      </c>
      <c r="AN1012">
        <v>69716</v>
      </c>
      <c r="AO1012">
        <v>697</v>
      </c>
      <c r="AP1012">
        <v>2016</v>
      </c>
      <c r="AQ1012">
        <v>0.69</v>
      </c>
      <c r="AS1012" t="s">
        <v>13517</v>
      </c>
      <c r="AT1012" t="s">
        <v>3747</v>
      </c>
      <c r="AU1012" t="s">
        <v>177</v>
      </c>
      <c r="AV1012" t="s">
        <v>1030</v>
      </c>
      <c r="AW1012" t="s">
        <v>202</v>
      </c>
      <c r="AX1012">
        <v>2</v>
      </c>
      <c r="AY1012" t="s">
        <v>188</v>
      </c>
      <c r="AZ1012" t="s">
        <v>189</v>
      </c>
      <c r="BA1012" t="s">
        <v>190</v>
      </c>
      <c r="BB1012" t="s">
        <v>191</v>
      </c>
      <c r="BC1012" t="s">
        <v>182</v>
      </c>
      <c r="BD1012" t="s">
        <v>182</v>
      </c>
      <c r="BE1012" t="s">
        <v>2515</v>
      </c>
      <c r="BF1012">
        <v>1</v>
      </c>
      <c r="BG1012">
        <v>1</v>
      </c>
      <c r="BH1012">
        <v>1989</v>
      </c>
      <c r="BI1012" t="s">
        <v>13518</v>
      </c>
      <c r="BJ1012" t="s">
        <v>194</v>
      </c>
      <c r="BK1012" t="s">
        <v>195</v>
      </c>
      <c r="BL1012" t="s">
        <v>199</v>
      </c>
      <c r="BM1012" t="s">
        <v>286</v>
      </c>
      <c r="BN1012" t="s">
        <v>182</v>
      </c>
      <c r="BO1012" t="s">
        <v>13450</v>
      </c>
      <c r="BP1012" t="s">
        <v>13519</v>
      </c>
      <c r="BQ1012" t="s">
        <v>800</v>
      </c>
      <c r="BR1012" t="s">
        <v>582</v>
      </c>
      <c r="BS1012" t="s">
        <v>198</v>
      </c>
      <c r="BT1012" t="s">
        <v>13520</v>
      </c>
      <c r="BU1012" t="s">
        <v>182</v>
      </c>
      <c r="BV1012" t="s">
        <v>198</v>
      </c>
      <c r="BW1012" t="s">
        <v>198</v>
      </c>
      <c r="BX1012" t="s">
        <v>199</v>
      </c>
      <c r="BY1012" t="s">
        <v>198</v>
      </c>
      <c r="BZ1012" t="s">
        <v>199</v>
      </c>
      <c r="CA1012" t="s">
        <v>199</v>
      </c>
      <c r="CB1012" t="s">
        <v>13521</v>
      </c>
      <c r="CC1012" t="s">
        <v>201</v>
      </c>
      <c r="CD1012" t="s">
        <v>202</v>
      </c>
      <c r="CE1012" t="s">
        <v>13522</v>
      </c>
      <c r="CF1012" t="s">
        <v>1029</v>
      </c>
      <c r="CG1012" t="s">
        <v>177</v>
      </c>
      <c r="CH1012" t="s">
        <v>1030</v>
      </c>
      <c r="CI1012" t="s">
        <v>13523</v>
      </c>
      <c r="CJ1012" t="s">
        <v>10387</v>
      </c>
      <c r="CK1012" t="s">
        <v>292</v>
      </c>
      <c r="CL1012" t="s">
        <v>293</v>
      </c>
      <c r="CM1012" t="s">
        <v>13524</v>
      </c>
      <c r="CN1012" t="s">
        <v>235</v>
      </c>
      <c r="CO1012" t="s">
        <v>183</v>
      </c>
      <c r="CP1012" t="s">
        <v>211</v>
      </c>
      <c r="CQ1012" t="s">
        <v>298</v>
      </c>
      <c r="CS1012" t="s">
        <v>1760</v>
      </c>
      <c r="CT1012" t="s">
        <v>13525</v>
      </c>
      <c r="CU1012" t="s">
        <v>273</v>
      </c>
      <c r="CV1012" t="s">
        <v>274</v>
      </c>
      <c r="CW1012" t="s">
        <v>13526</v>
      </c>
      <c r="CX1012" t="s">
        <v>235</v>
      </c>
      <c r="CY1012" t="s">
        <v>183</v>
      </c>
      <c r="CZ1012" t="s">
        <v>211</v>
      </c>
      <c r="DA1012" t="s">
        <v>290</v>
      </c>
      <c r="DC1012" t="s">
        <v>13527</v>
      </c>
      <c r="DD1012" t="s">
        <v>13528</v>
      </c>
      <c r="DE1012" t="s">
        <v>238</v>
      </c>
      <c r="DF1012" t="s">
        <v>239</v>
      </c>
      <c r="DG1012" t="s">
        <v>13529</v>
      </c>
      <c r="DH1012" t="s">
        <v>235</v>
      </c>
      <c r="DI1012" t="s">
        <v>183</v>
      </c>
      <c r="DJ1012" t="s">
        <v>211</v>
      </c>
      <c r="DK1012" t="s">
        <v>212</v>
      </c>
      <c r="DM1012" t="s">
        <v>1378</v>
      </c>
      <c r="DN1012" t="s">
        <v>13530</v>
      </c>
      <c r="DO1012" t="s">
        <v>346</v>
      </c>
      <c r="DP1012" t="s">
        <v>347</v>
      </c>
      <c r="DQ1012" t="s">
        <v>13531</v>
      </c>
      <c r="DR1012" t="s">
        <v>1491</v>
      </c>
      <c r="DS1012" t="s">
        <v>183</v>
      </c>
      <c r="DT1012" t="s">
        <v>211</v>
      </c>
      <c r="DU1012" t="s">
        <v>329</v>
      </c>
      <c r="DW1012" t="s">
        <v>4297</v>
      </c>
      <c r="EG1012" t="s">
        <v>198</v>
      </c>
      <c r="EQ1012" t="s">
        <v>198</v>
      </c>
      <c r="FA1012" t="s">
        <v>198</v>
      </c>
      <c r="FK1012" t="s">
        <v>198</v>
      </c>
      <c r="FU1012" t="s">
        <v>198</v>
      </c>
    </row>
    <row r="1013" spans="1:177">
      <c r="A1013" s="1" t="str">
        <f>HYPERLINK("http://digipan.lumentumllc.com/apps/getLink/index.php?t=PropLink&amp;p=7112611","PL")</f>
        <v>PL</v>
      </c>
      <c r="B1013" s="1" t="str">
        <f>HYPERLINK("http://digipan.lumentumllc.com/apps/getLink/index.php?t=TaxLink&amp;p=7112611","TL")</f>
        <v>TL</v>
      </c>
      <c r="C1013" s="1" t="str">
        <f>HYPERLINK("http://digipan.lumentumllc.com/apps/getMap/index.php?p=7112611","Map")</f>
        <v>Map</v>
      </c>
      <c r="E1013" t="s">
        <v>177</v>
      </c>
      <c r="F1013" t="s">
        <v>178</v>
      </c>
      <c r="L1013" t="s">
        <v>13532</v>
      </c>
      <c r="N1013" t="s">
        <v>13532</v>
      </c>
      <c r="O1013" t="s">
        <v>13532</v>
      </c>
      <c r="P1013" t="s">
        <v>13533</v>
      </c>
      <c r="Q1013" t="s">
        <v>13532</v>
      </c>
      <c r="V1013">
        <v>1166</v>
      </c>
      <c r="W1013">
        <v>4</v>
      </c>
      <c r="X1013">
        <v>2017</v>
      </c>
      <c r="Y1013">
        <v>2018</v>
      </c>
      <c r="Z1013">
        <v>395.76</v>
      </c>
      <c r="AB1013" t="s">
        <v>181</v>
      </c>
      <c r="AC1013" t="s">
        <v>182</v>
      </c>
      <c r="AD1013" t="s">
        <v>183</v>
      </c>
      <c r="AE1013">
        <v>1</v>
      </c>
      <c r="AF1013">
        <v>1</v>
      </c>
      <c r="AG1013" t="s">
        <v>2222</v>
      </c>
      <c r="AH1013">
        <v>50</v>
      </c>
      <c r="AI1013">
        <v>359.04</v>
      </c>
      <c r="AJ1013">
        <v>19.75</v>
      </c>
      <c r="AK1013">
        <v>378.79</v>
      </c>
      <c r="AL1013">
        <v>22500</v>
      </c>
      <c r="AM1013">
        <v>15000</v>
      </c>
      <c r="AN1013">
        <v>7500</v>
      </c>
      <c r="AO1013">
        <v>307</v>
      </c>
      <c r="AP1013">
        <v>2016</v>
      </c>
      <c r="AQ1013">
        <v>1.76</v>
      </c>
      <c r="AR1013">
        <v>1.68</v>
      </c>
      <c r="AS1013" t="s">
        <v>13534</v>
      </c>
      <c r="AT1013" t="s">
        <v>3747</v>
      </c>
      <c r="AU1013" t="s">
        <v>177</v>
      </c>
      <c r="AV1013" t="s">
        <v>1030</v>
      </c>
      <c r="AW1013" t="s">
        <v>182</v>
      </c>
      <c r="AX1013">
        <v>0</v>
      </c>
      <c r="AY1013" t="s">
        <v>312</v>
      </c>
      <c r="AZ1013" t="s">
        <v>199</v>
      </c>
      <c r="BA1013" t="s">
        <v>313</v>
      </c>
      <c r="BB1013" t="s">
        <v>191</v>
      </c>
      <c r="BC1013" t="s">
        <v>182</v>
      </c>
      <c r="BD1013" t="s">
        <v>182</v>
      </c>
      <c r="BE1013" t="s">
        <v>3878</v>
      </c>
      <c r="BF1013">
        <v>0</v>
      </c>
      <c r="BG1013">
        <v>0</v>
      </c>
      <c r="BH1013">
        <v>0</v>
      </c>
      <c r="BI1013" t="s">
        <v>199</v>
      </c>
      <c r="BJ1013" t="s">
        <v>248</v>
      </c>
      <c r="BL1013" t="s">
        <v>980</v>
      </c>
      <c r="BM1013" t="s">
        <v>368</v>
      </c>
      <c r="BN1013" t="s">
        <v>182</v>
      </c>
      <c r="BO1013" t="s">
        <v>13535</v>
      </c>
      <c r="BP1013" t="s">
        <v>956</v>
      </c>
      <c r="BQ1013" t="s">
        <v>603</v>
      </c>
      <c r="BR1013" t="s">
        <v>3108</v>
      </c>
      <c r="BS1013" t="s">
        <v>198</v>
      </c>
      <c r="BT1013" t="s">
        <v>13536</v>
      </c>
      <c r="BU1013" t="s">
        <v>182</v>
      </c>
      <c r="BV1013" t="s">
        <v>198</v>
      </c>
      <c r="BW1013" t="s">
        <v>198</v>
      </c>
      <c r="BX1013" t="s">
        <v>199</v>
      </c>
      <c r="BY1013" t="s">
        <v>198</v>
      </c>
      <c r="BZ1013" t="s">
        <v>199</v>
      </c>
      <c r="CA1013" t="s">
        <v>199</v>
      </c>
      <c r="CB1013" t="s">
        <v>13537</v>
      </c>
      <c r="CC1013" t="s">
        <v>201</v>
      </c>
      <c r="CD1013" t="s">
        <v>182</v>
      </c>
      <c r="CE1013" t="s">
        <v>13538</v>
      </c>
      <c r="CF1013" t="s">
        <v>1029</v>
      </c>
      <c r="CG1013" t="s">
        <v>177</v>
      </c>
      <c r="CH1013" t="s">
        <v>1030</v>
      </c>
      <c r="CI1013" t="s">
        <v>1955</v>
      </c>
      <c r="CJ1013" t="s">
        <v>9871</v>
      </c>
      <c r="CK1013" t="s">
        <v>232</v>
      </c>
      <c r="CL1013" t="s">
        <v>233</v>
      </c>
      <c r="CM1013" t="s">
        <v>10395</v>
      </c>
      <c r="CN1013" t="s">
        <v>1164</v>
      </c>
      <c r="CO1013" t="s">
        <v>183</v>
      </c>
      <c r="CP1013" t="s">
        <v>266</v>
      </c>
      <c r="CS1013" t="s">
        <v>198</v>
      </c>
      <c r="CT1013" t="s">
        <v>10170</v>
      </c>
      <c r="CU1013" t="s">
        <v>292</v>
      </c>
      <c r="CV1013" t="s">
        <v>293</v>
      </c>
      <c r="CW1013" t="s">
        <v>13539</v>
      </c>
      <c r="CX1013" t="s">
        <v>389</v>
      </c>
      <c r="CY1013" t="s">
        <v>183</v>
      </c>
      <c r="CZ1013" t="s">
        <v>211</v>
      </c>
      <c r="DA1013" t="s">
        <v>342</v>
      </c>
      <c r="DC1013" t="s">
        <v>8487</v>
      </c>
      <c r="DM1013" t="s">
        <v>198</v>
      </c>
      <c r="DW1013" t="s">
        <v>198</v>
      </c>
      <c r="EG1013" t="s">
        <v>198</v>
      </c>
      <c r="EQ1013" t="s">
        <v>198</v>
      </c>
      <c r="FA1013" t="s">
        <v>198</v>
      </c>
      <c r="FK1013" t="s">
        <v>198</v>
      </c>
      <c r="FU1013" t="s">
        <v>198</v>
      </c>
    </row>
    <row r="1014" spans="1:177">
      <c r="A1014" s="1" t="str">
        <f>HYPERLINK("http://digipan.lumentumllc.com/apps/getLink/index.php?t=PropLink&amp;p=5248460","PL")</f>
        <v>PL</v>
      </c>
      <c r="B1014" s="1" t="str">
        <f>HYPERLINK("http://digipan.lumentumllc.com/apps/getLink/index.php?t=TaxLink&amp;p=5248460","TL")</f>
        <v>TL</v>
      </c>
      <c r="C1014" s="1" t="str">
        <f>HYPERLINK("http://digipan.lumentumllc.com/apps/getMap/index.php?p=5248460","Map")</f>
        <v>Map</v>
      </c>
      <c r="E1014" t="s">
        <v>177</v>
      </c>
      <c r="F1014" t="s">
        <v>178</v>
      </c>
      <c r="L1014" t="s">
        <v>13540</v>
      </c>
      <c r="N1014" t="s">
        <v>13540</v>
      </c>
      <c r="O1014" t="s">
        <v>13540</v>
      </c>
      <c r="P1014" t="s">
        <v>13541</v>
      </c>
      <c r="Q1014" t="s">
        <v>13540</v>
      </c>
      <c r="V1014">
        <v>1167</v>
      </c>
      <c r="W1014">
        <v>4</v>
      </c>
      <c r="X1014">
        <v>2017</v>
      </c>
      <c r="Y1014">
        <v>2018</v>
      </c>
      <c r="Z1014">
        <v>277.60000000000002</v>
      </c>
      <c r="AB1014" t="s">
        <v>181</v>
      </c>
      <c r="AC1014" t="s">
        <v>182</v>
      </c>
      <c r="AD1014" t="s">
        <v>183</v>
      </c>
      <c r="AE1014">
        <v>2</v>
      </c>
      <c r="AF1014">
        <v>6</v>
      </c>
      <c r="AG1014" t="s">
        <v>794</v>
      </c>
      <c r="AH1014">
        <v>71</v>
      </c>
      <c r="AI1014">
        <v>553.13</v>
      </c>
      <c r="AJ1014">
        <v>114.2</v>
      </c>
      <c r="AK1014">
        <v>667.33</v>
      </c>
      <c r="AL1014">
        <v>15000</v>
      </c>
      <c r="AM1014">
        <v>15000</v>
      </c>
      <c r="AN1014">
        <v>0</v>
      </c>
      <c r="AO1014">
        <v>230</v>
      </c>
      <c r="AP1014">
        <v>2016</v>
      </c>
      <c r="AQ1014">
        <v>1.85</v>
      </c>
      <c r="AR1014">
        <v>4.45</v>
      </c>
      <c r="AS1014" t="s">
        <v>13542</v>
      </c>
      <c r="AT1014" t="s">
        <v>3747</v>
      </c>
      <c r="AU1014" t="s">
        <v>177</v>
      </c>
      <c r="AV1014" t="s">
        <v>1030</v>
      </c>
      <c r="AW1014" t="s">
        <v>182</v>
      </c>
      <c r="AX1014">
        <v>0</v>
      </c>
      <c r="AY1014" t="s">
        <v>312</v>
      </c>
      <c r="AZ1014" t="s">
        <v>199</v>
      </c>
      <c r="BA1014" t="s">
        <v>313</v>
      </c>
      <c r="BB1014" t="s">
        <v>191</v>
      </c>
      <c r="BC1014" t="s">
        <v>182</v>
      </c>
      <c r="BD1014" t="s">
        <v>182</v>
      </c>
      <c r="BE1014" t="s">
        <v>383</v>
      </c>
      <c r="BF1014">
        <v>0</v>
      </c>
      <c r="BG1014">
        <v>0</v>
      </c>
      <c r="BH1014">
        <v>0</v>
      </c>
      <c r="BI1014" t="s">
        <v>199</v>
      </c>
      <c r="BJ1014" t="s">
        <v>248</v>
      </c>
      <c r="BL1014" t="s">
        <v>980</v>
      </c>
      <c r="BM1014" t="s">
        <v>368</v>
      </c>
      <c r="BN1014" t="s">
        <v>182</v>
      </c>
      <c r="BO1014" t="s">
        <v>13543</v>
      </c>
      <c r="BP1014" t="s">
        <v>13544</v>
      </c>
      <c r="BS1014" t="s">
        <v>13545</v>
      </c>
      <c r="BT1014" t="s">
        <v>198</v>
      </c>
      <c r="BU1014" t="s">
        <v>182</v>
      </c>
      <c r="BV1014" t="s">
        <v>198</v>
      </c>
      <c r="BW1014" t="s">
        <v>198</v>
      </c>
      <c r="BX1014" t="s">
        <v>199</v>
      </c>
      <c r="BY1014" t="s">
        <v>198</v>
      </c>
      <c r="BZ1014" t="s">
        <v>199</v>
      </c>
      <c r="CA1014" t="s">
        <v>199</v>
      </c>
      <c r="CB1014" t="s">
        <v>13546</v>
      </c>
      <c r="CC1014" t="s">
        <v>201</v>
      </c>
      <c r="CD1014" t="s">
        <v>182</v>
      </c>
      <c r="CE1014" t="s">
        <v>13538</v>
      </c>
      <c r="CF1014" t="s">
        <v>1029</v>
      </c>
      <c r="CG1014" t="s">
        <v>177</v>
      </c>
      <c r="CH1014" t="s">
        <v>1030</v>
      </c>
      <c r="CI1014" t="s">
        <v>13547</v>
      </c>
      <c r="CJ1014" t="s">
        <v>6793</v>
      </c>
      <c r="CK1014" t="s">
        <v>232</v>
      </c>
      <c r="CL1014" t="s">
        <v>233</v>
      </c>
      <c r="CM1014" t="s">
        <v>13548</v>
      </c>
      <c r="CN1014" t="s">
        <v>341</v>
      </c>
      <c r="CO1014" t="s">
        <v>183</v>
      </c>
      <c r="CP1014" t="s">
        <v>266</v>
      </c>
      <c r="CS1014" t="s">
        <v>198</v>
      </c>
      <c r="CT1014" t="s">
        <v>11678</v>
      </c>
      <c r="CU1014" t="s">
        <v>292</v>
      </c>
      <c r="CV1014" t="s">
        <v>293</v>
      </c>
      <c r="CW1014" t="s">
        <v>11215</v>
      </c>
      <c r="CX1014" t="s">
        <v>389</v>
      </c>
      <c r="CY1014" t="s">
        <v>183</v>
      </c>
      <c r="CZ1014" t="s">
        <v>266</v>
      </c>
      <c r="DC1014" t="s">
        <v>198</v>
      </c>
      <c r="DD1014" t="s">
        <v>13549</v>
      </c>
      <c r="DE1014" t="s">
        <v>267</v>
      </c>
      <c r="DF1014" t="s">
        <v>268</v>
      </c>
      <c r="DG1014" t="s">
        <v>2596</v>
      </c>
      <c r="DH1014" t="s">
        <v>331</v>
      </c>
      <c r="DI1014" t="s">
        <v>183</v>
      </c>
      <c r="DJ1014" t="s">
        <v>211</v>
      </c>
      <c r="DK1014" t="s">
        <v>345</v>
      </c>
      <c r="DM1014" t="s">
        <v>8487</v>
      </c>
      <c r="DN1014" t="s">
        <v>11264</v>
      </c>
      <c r="DO1014" t="s">
        <v>273</v>
      </c>
      <c r="DP1014" t="s">
        <v>274</v>
      </c>
      <c r="DQ1014" t="s">
        <v>4594</v>
      </c>
      <c r="DR1014" t="s">
        <v>440</v>
      </c>
      <c r="DS1014" t="s">
        <v>183</v>
      </c>
      <c r="DT1014" t="s">
        <v>211</v>
      </c>
      <c r="DU1014" t="s">
        <v>345</v>
      </c>
      <c r="DW1014" t="s">
        <v>5967</v>
      </c>
      <c r="DX1014" t="s">
        <v>11318</v>
      </c>
      <c r="DY1014" t="s">
        <v>302</v>
      </c>
      <c r="DZ1014" t="s">
        <v>303</v>
      </c>
      <c r="EA1014" t="s">
        <v>13550</v>
      </c>
      <c r="EB1014" t="s">
        <v>305</v>
      </c>
      <c r="EC1014" t="s">
        <v>183</v>
      </c>
      <c r="ED1014" t="s">
        <v>211</v>
      </c>
      <c r="EE1014" t="s">
        <v>298</v>
      </c>
      <c r="EG1014" t="s">
        <v>8149</v>
      </c>
      <c r="EH1014" t="s">
        <v>13551</v>
      </c>
      <c r="EI1014" t="s">
        <v>238</v>
      </c>
      <c r="EJ1014" t="s">
        <v>239</v>
      </c>
      <c r="EK1014" t="s">
        <v>13552</v>
      </c>
      <c r="EL1014" t="s">
        <v>440</v>
      </c>
      <c r="EM1014" t="s">
        <v>183</v>
      </c>
      <c r="EN1014" t="s">
        <v>211</v>
      </c>
      <c r="EO1014" t="s">
        <v>329</v>
      </c>
      <c r="EQ1014" t="s">
        <v>4631</v>
      </c>
      <c r="ER1014" t="s">
        <v>13553</v>
      </c>
      <c r="ES1014" t="s">
        <v>346</v>
      </c>
      <c r="ET1014" t="s">
        <v>347</v>
      </c>
      <c r="EU1014" t="s">
        <v>13554</v>
      </c>
      <c r="EV1014" t="s">
        <v>1491</v>
      </c>
      <c r="EW1014" t="s">
        <v>183</v>
      </c>
      <c r="EX1014" t="s">
        <v>211</v>
      </c>
      <c r="EY1014" t="s">
        <v>298</v>
      </c>
      <c r="FA1014" t="s">
        <v>4631</v>
      </c>
      <c r="FB1014" t="s">
        <v>10752</v>
      </c>
      <c r="FC1014" t="s">
        <v>207</v>
      </c>
      <c r="FD1014" t="s">
        <v>208</v>
      </c>
      <c r="FE1014" t="s">
        <v>13555</v>
      </c>
      <c r="FF1014" t="s">
        <v>576</v>
      </c>
      <c r="FG1014" t="s">
        <v>183</v>
      </c>
      <c r="FH1014" t="s">
        <v>211</v>
      </c>
      <c r="FI1014" t="s">
        <v>339</v>
      </c>
      <c r="FK1014" t="s">
        <v>13556</v>
      </c>
      <c r="FU1014" t="s">
        <v>198</v>
      </c>
    </row>
    <row r="1015" spans="1:177">
      <c r="A1015" s="1" t="str">
        <f>HYPERLINK("http://digipan.lumentumllc.com/apps/getLink/index.php?t=PropLink&amp;p=5248461","PL")</f>
        <v>PL</v>
      </c>
      <c r="B1015" s="1" t="str">
        <f>HYPERLINK("http://digipan.lumentumllc.com/apps/getLink/index.php?t=TaxLink&amp;p=5248461","TL")</f>
        <v>TL</v>
      </c>
      <c r="C1015" s="1" t="str">
        <f>HYPERLINK("http://digipan.lumentumllc.com/apps/getMap/index.php?p=5248461","Map")</f>
        <v>Map</v>
      </c>
      <c r="E1015" t="s">
        <v>177</v>
      </c>
      <c r="F1015" t="s">
        <v>178</v>
      </c>
      <c r="L1015" t="s">
        <v>13557</v>
      </c>
      <c r="N1015" t="s">
        <v>13557</v>
      </c>
      <c r="O1015" t="s">
        <v>13557</v>
      </c>
      <c r="P1015" t="s">
        <v>13558</v>
      </c>
      <c r="Q1015" t="s">
        <v>13557</v>
      </c>
      <c r="V1015">
        <v>1168</v>
      </c>
      <c r="W1015">
        <v>4</v>
      </c>
      <c r="X1015">
        <v>2017</v>
      </c>
      <c r="Y1015">
        <v>2018</v>
      </c>
      <c r="Z1015">
        <v>410.21</v>
      </c>
      <c r="AG1015" t="s">
        <v>184</v>
      </c>
      <c r="AH1015">
        <v>0</v>
      </c>
      <c r="AK1015">
        <v>0</v>
      </c>
      <c r="AL1015">
        <v>23297</v>
      </c>
      <c r="AM1015">
        <v>15000</v>
      </c>
      <c r="AN1015">
        <v>8297</v>
      </c>
      <c r="AO1015">
        <v>320</v>
      </c>
      <c r="AP1015">
        <v>2016</v>
      </c>
      <c r="AQ1015">
        <v>1.76</v>
      </c>
      <c r="AS1015" t="s">
        <v>13559</v>
      </c>
      <c r="AT1015" t="s">
        <v>3747</v>
      </c>
      <c r="AU1015" t="s">
        <v>177</v>
      </c>
      <c r="AV1015" t="s">
        <v>1030</v>
      </c>
      <c r="AW1015" t="s">
        <v>182</v>
      </c>
      <c r="AX1015">
        <v>0</v>
      </c>
      <c r="AY1015" t="s">
        <v>312</v>
      </c>
      <c r="AZ1015" t="s">
        <v>199</v>
      </c>
      <c r="BA1015" t="s">
        <v>313</v>
      </c>
      <c r="BB1015" t="s">
        <v>191</v>
      </c>
      <c r="BC1015" t="s">
        <v>182</v>
      </c>
      <c r="BD1015" t="s">
        <v>182</v>
      </c>
      <c r="BE1015" t="s">
        <v>899</v>
      </c>
      <c r="BF1015">
        <v>0</v>
      </c>
      <c r="BG1015">
        <v>0</v>
      </c>
      <c r="BH1015">
        <v>0</v>
      </c>
      <c r="BI1015" t="s">
        <v>199</v>
      </c>
      <c r="BJ1015" t="s">
        <v>248</v>
      </c>
      <c r="BL1015" t="s">
        <v>199</v>
      </c>
      <c r="BM1015" t="s">
        <v>1387</v>
      </c>
      <c r="BN1015" t="s">
        <v>182</v>
      </c>
      <c r="BO1015" t="s">
        <v>198</v>
      </c>
      <c r="BP1015" t="s">
        <v>198</v>
      </c>
      <c r="BQ1015" t="s">
        <v>198</v>
      </c>
      <c r="BR1015" t="s">
        <v>198</v>
      </c>
      <c r="BS1015" t="s">
        <v>198</v>
      </c>
      <c r="BT1015" t="s">
        <v>198</v>
      </c>
      <c r="BU1015" t="s">
        <v>182</v>
      </c>
      <c r="BV1015" t="s">
        <v>198</v>
      </c>
      <c r="BW1015" t="s">
        <v>198</v>
      </c>
      <c r="BX1015" t="s">
        <v>199</v>
      </c>
      <c r="BY1015" t="s">
        <v>198</v>
      </c>
      <c r="BZ1015" t="s">
        <v>199</v>
      </c>
      <c r="CA1015" t="s">
        <v>199</v>
      </c>
      <c r="CB1015" t="s">
        <v>13560</v>
      </c>
      <c r="CC1015" t="s">
        <v>201</v>
      </c>
      <c r="CD1015" t="s">
        <v>182</v>
      </c>
      <c r="CE1015" t="s">
        <v>13561</v>
      </c>
      <c r="CF1015" t="s">
        <v>1029</v>
      </c>
      <c r="CG1015" t="s">
        <v>177</v>
      </c>
      <c r="CH1015" t="s">
        <v>1030</v>
      </c>
      <c r="CI1015" t="s">
        <v>13562</v>
      </c>
      <c r="CS1015" t="s">
        <v>198</v>
      </c>
      <c r="DC1015" t="s">
        <v>198</v>
      </c>
      <c r="DM1015" t="s">
        <v>198</v>
      </c>
      <c r="DW1015" t="s">
        <v>198</v>
      </c>
      <c r="EG1015" t="s">
        <v>198</v>
      </c>
      <c r="EQ1015" t="s">
        <v>198</v>
      </c>
      <c r="FA1015" t="s">
        <v>198</v>
      </c>
      <c r="FK1015" t="s">
        <v>198</v>
      </c>
      <c r="FU1015" t="s">
        <v>198</v>
      </c>
    </row>
    <row r="1016" spans="1:177">
      <c r="A1016" s="1" t="str">
        <f>HYPERLINK("http://digipan.lumentumllc.com/apps/getLink/index.php?t=PropLink&amp;p=5248462","PL")</f>
        <v>PL</v>
      </c>
      <c r="B1016" s="1" t="str">
        <f>HYPERLINK("http://digipan.lumentumllc.com/apps/getLink/index.php?t=TaxLink&amp;p=5248462","TL")</f>
        <v>TL</v>
      </c>
      <c r="C1016" s="1" t="str">
        <f>HYPERLINK("http://digipan.lumentumllc.com/apps/getMap/index.php?p=5248462","Map")</f>
        <v>Map</v>
      </c>
      <c r="E1016" t="s">
        <v>177</v>
      </c>
      <c r="F1016" t="s">
        <v>178</v>
      </c>
      <c r="L1016" t="s">
        <v>13563</v>
      </c>
      <c r="N1016" t="s">
        <v>13563</v>
      </c>
      <c r="O1016" t="s">
        <v>13563</v>
      </c>
      <c r="P1016" t="s">
        <v>13564</v>
      </c>
      <c r="Q1016" t="s">
        <v>13563</v>
      </c>
      <c r="V1016">
        <v>1169</v>
      </c>
      <c r="W1016">
        <v>4</v>
      </c>
      <c r="X1016">
        <v>2017</v>
      </c>
      <c r="Y1016">
        <v>2018</v>
      </c>
      <c r="Z1016">
        <v>395.76</v>
      </c>
      <c r="AB1016" t="s">
        <v>181</v>
      </c>
      <c r="AC1016" t="s">
        <v>182</v>
      </c>
      <c r="AD1016" t="s">
        <v>183</v>
      </c>
      <c r="AE1016">
        <v>1</v>
      </c>
      <c r="AF1016">
        <v>7</v>
      </c>
      <c r="AG1016" t="s">
        <v>418</v>
      </c>
      <c r="AH1016">
        <v>86</v>
      </c>
      <c r="AI1016">
        <v>359.04</v>
      </c>
      <c r="AJ1016">
        <v>23.34</v>
      </c>
      <c r="AK1016">
        <v>382.38</v>
      </c>
      <c r="AL1016">
        <v>22500</v>
      </c>
      <c r="AM1016">
        <v>15000</v>
      </c>
      <c r="AN1016">
        <v>7500</v>
      </c>
      <c r="AO1016">
        <v>307</v>
      </c>
      <c r="AP1016">
        <v>2016</v>
      </c>
      <c r="AQ1016">
        <v>1.76</v>
      </c>
      <c r="AR1016">
        <v>1.7</v>
      </c>
      <c r="AS1016" t="s">
        <v>13565</v>
      </c>
      <c r="AT1016" t="s">
        <v>3747</v>
      </c>
      <c r="AU1016" t="s">
        <v>177</v>
      </c>
      <c r="AV1016" t="s">
        <v>1030</v>
      </c>
      <c r="AW1016" t="s">
        <v>182</v>
      </c>
      <c r="AX1016">
        <v>0</v>
      </c>
      <c r="AY1016" t="s">
        <v>312</v>
      </c>
      <c r="AZ1016" t="s">
        <v>199</v>
      </c>
      <c r="BA1016" t="s">
        <v>313</v>
      </c>
      <c r="BB1016" t="s">
        <v>191</v>
      </c>
      <c r="BC1016" t="s">
        <v>182</v>
      </c>
      <c r="BD1016" t="s">
        <v>182</v>
      </c>
      <c r="BE1016" t="s">
        <v>383</v>
      </c>
      <c r="BF1016">
        <v>0</v>
      </c>
      <c r="BG1016">
        <v>0</v>
      </c>
      <c r="BH1016">
        <v>0</v>
      </c>
      <c r="BI1016" t="s">
        <v>199</v>
      </c>
      <c r="BJ1016" t="s">
        <v>248</v>
      </c>
      <c r="BL1016" t="s">
        <v>199</v>
      </c>
      <c r="BM1016" t="s">
        <v>292</v>
      </c>
      <c r="BN1016" t="s">
        <v>182</v>
      </c>
      <c r="BO1016" t="s">
        <v>198</v>
      </c>
      <c r="BP1016" t="s">
        <v>198</v>
      </c>
      <c r="BQ1016" t="s">
        <v>198</v>
      </c>
      <c r="BR1016" t="s">
        <v>198</v>
      </c>
      <c r="BS1016" t="s">
        <v>198</v>
      </c>
      <c r="BT1016" t="s">
        <v>198</v>
      </c>
      <c r="BU1016" t="s">
        <v>182</v>
      </c>
      <c r="BV1016" t="s">
        <v>198</v>
      </c>
      <c r="BW1016" t="s">
        <v>198</v>
      </c>
      <c r="BX1016" t="s">
        <v>199</v>
      </c>
      <c r="BY1016" t="s">
        <v>198</v>
      </c>
      <c r="BZ1016" t="s">
        <v>199</v>
      </c>
      <c r="CA1016" t="s">
        <v>199</v>
      </c>
      <c r="CB1016" t="s">
        <v>13566</v>
      </c>
      <c r="CC1016" t="s">
        <v>201</v>
      </c>
      <c r="CD1016" t="s">
        <v>202</v>
      </c>
      <c r="CE1016" t="s">
        <v>13567</v>
      </c>
      <c r="CF1016" t="s">
        <v>1029</v>
      </c>
      <c r="CG1016" t="s">
        <v>177</v>
      </c>
      <c r="CH1016" t="s">
        <v>1030</v>
      </c>
      <c r="CI1016" t="s">
        <v>4114</v>
      </c>
      <c r="CJ1016" t="s">
        <v>10014</v>
      </c>
      <c r="CK1016" t="s">
        <v>232</v>
      </c>
      <c r="CL1016" t="s">
        <v>233</v>
      </c>
      <c r="CM1016" t="s">
        <v>10395</v>
      </c>
      <c r="CN1016" t="s">
        <v>688</v>
      </c>
      <c r="CO1016" t="s">
        <v>183</v>
      </c>
      <c r="CP1016" t="s">
        <v>266</v>
      </c>
      <c r="CS1016" t="s">
        <v>198</v>
      </c>
      <c r="CT1016" t="s">
        <v>7823</v>
      </c>
      <c r="CU1016" t="s">
        <v>292</v>
      </c>
      <c r="CV1016" t="s">
        <v>293</v>
      </c>
      <c r="CW1016" t="s">
        <v>13539</v>
      </c>
      <c r="CX1016" t="s">
        <v>387</v>
      </c>
      <c r="CY1016" t="s">
        <v>183</v>
      </c>
      <c r="CZ1016" t="s">
        <v>211</v>
      </c>
      <c r="DA1016" t="s">
        <v>345</v>
      </c>
      <c r="DC1016" t="s">
        <v>6312</v>
      </c>
      <c r="DD1016" t="s">
        <v>13568</v>
      </c>
      <c r="DE1016" t="s">
        <v>267</v>
      </c>
      <c r="DF1016" t="s">
        <v>268</v>
      </c>
      <c r="DG1016" t="s">
        <v>2916</v>
      </c>
      <c r="DH1016" t="s">
        <v>331</v>
      </c>
      <c r="DI1016" t="s">
        <v>183</v>
      </c>
      <c r="DJ1016" t="s">
        <v>211</v>
      </c>
      <c r="DK1016" t="s">
        <v>298</v>
      </c>
      <c r="DM1016" t="s">
        <v>2096</v>
      </c>
      <c r="DN1016" t="s">
        <v>11128</v>
      </c>
      <c r="DO1016" t="s">
        <v>273</v>
      </c>
      <c r="DP1016" t="s">
        <v>274</v>
      </c>
      <c r="DQ1016" t="s">
        <v>9306</v>
      </c>
      <c r="DR1016" t="s">
        <v>278</v>
      </c>
      <c r="DS1016" t="s">
        <v>183</v>
      </c>
      <c r="DT1016" t="s">
        <v>211</v>
      </c>
      <c r="DU1016" t="s">
        <v>298</v>
      </c>
      <c r="DW1016" t="s">
        <v>1432</v>
      </c>
      <c r="DX1016" t="s">
        <v>4122</v>
      </c>
      <c r="DY1016" t="s">
        <v>302</v>
      </c>
      <c r="DZ1016" t="s">
        <v>303</v>
      </c>
      <c r="EA1016" t="s">
        <v>9307</v>
      </c>
      <c r="EB1016" t="s">
        <v>247</v>
      </c>
      <c r="EC1016" t="s">
        <v>183</v>
      </c>
      <c r="ED1016" t="s">
        <v>211</v>
      </c>
      <c r="EE1016" t="s">
        <v>298</v>
      </c>
      <c r="EG1016" t="s">
        <v>3499</v>
      </c>
      <c r="EH1016" t="s">
        <v>13569</v>
      </c>
      <c r="EI1016" t="s">
        <v>238</v>
      </c>
      <c r="EJ1016" t="s">
        <v>239</v>
      </c>
      <c r="EK1016" t="s">
        <v>12955</v>
      </c>
      <c r="EL1016" t="s">
        <v>440</v>
      </c>
      <c r="EM1016" t="s">
        <v>183</v>
      </c>
      <c r="EN1016" t="s">
        <v>211</v>
      </c>
      <c r="EO1016" t="s">
        <v>298</v>
      </c>
      <c r="EQ1016" t="s">
        <v>441</v>
      </c>
      <c r="ER1016" t="s">
        <v>11102</v>
      </c>
      <c r="ES1016" t="s">
        <v>346</v>
      </c>
      <c r="ET1016" t="s">
        <v>347</v>
      </c>
      <c r="EU1016" t="s">
        <v>13570</v>
      </c>
      <c r="EV1016" t="s">
        <v>314</v>
      </c>
      <c r="EW1016" t="s">
        <v>183</v>
      </c>
      <c r="EX1016" t="s">
        <v>211</v>
      </c>
      <c r="EY1016" t="s">
        <v>337</v>
      </c>
      <c r="FA1016" t="s">
        <v>1352</v>
      </c>
      <c r="FB1016" t="s">
        <v>10772</v>
      </c>
      <c r="FC1016" t="s">
        <v>207</v>
      </c>
      <c r="FD1016" t="s">
        <v>208</v>
      </c>
      <c r="FE1016" t="s">
        <v>13571</v>
      </c>
      <c r="FF1016" t="s">
        <v>482</v>
      </c>
      <c r="FG1016" t="s">
        <v>183</v>
      </c>
      <c r="FH1016" t="s">
        <v>211</v>
      </c>
      <c r="FI1016" t="s">
        <v>298</v>
      </c>
      <c r="FK1016" t="s">
        <v>446</v>
      </c>
      <c r="FU1016" t="s">
        <v>198</v>
      </c>
    </row>
    <row r="1017" spans="1:177">
      <c r="A1017" s="1" t="str">
        <f>HYPERLINK("http://digipan.lumentumllc.com/apps/getLink/index.php?t=PropLink&amp;p=4638810","PL")</f>
        <v>PL</v>
      </c>
      <c r="B1017" s="1" t="str">
        <f>HYPERLINK("http://digipan.lumentumllc.com/apps/getLink/index.php?t=TaxLink&amp;p=4638810","TL")</f>
        <v>TL</v>
      </c>
      <c r="C1017" s="1" t="str">
        <f>HYPERLINK("http://digipan.lumentumllc.com/apps/getMap/index.php?p=4638810","Map")</f>
        <v>Map</v>
      </c>
      <c r="E1017" t="s">
        <v>177</v>
      </c>
      <c r="F1017" t="s">
        <v>178</v>
      </c>
      <c r="L1017" t="s">
        <v>13572</v>
      </c>
      <c r="N1017" t="s">
        <v>13572</v>
      </c>
      <c r="O1017" t="s">
        <v>13572</v>
      </c>
      <c r="P1017" t="s">
        <v>13573</v>
      </c>
      <c r="Q1017" t="s">
        <v>13572</v>
      </c>
      <c r="V1017">
        <v>1170</v>
      </c>
      <c r="W1017">
        <v>4</v>
      </c>
      <c r="X1017">
        <v>2017</v>
      </c>
      <c r="Y1017">
        <v>2018</v>
      </c>
      <c r="Z1017">
        <v>1513.91</v>
      </c>
      <c r="AB1017" t="s">
        <v>181</v>
      </c>
      <c r="AC1017" t="s">
        <v>182</v>
      </c>
      <c r="AD1017" t="s">
        <v>183</v>
      </c>
      <c r="AE1017">
        <v>0</v>
      </c>
      <c r="AF1017">
        <v>7</v>
      </c>
      <c r="AG1017" t="s">
        <v>528</v>
      </c>
      <c r="AH1017">
        <v>100</v>
      </c>
      <c r="AK1017">
        <v>0</v>
      </c>
      <c r="AL1017">
        <v>141728</v>
      </c>
      <c r="AM1017">
        <v>15000</v>
      </c>
      <c r="AN1017">
        <v>126728</v>
      </c>
      <c r="AO1017">
        <v>1351</v>
      </c>
      <c r="AP1017">
        <v>2016</v>
      </c>
      <c r="AQ1017">
        <v>1.07</v>
      </c>
      <c r="AS1017" t="s">
        <v>13574</v>
      </c>
      <c r="AT1017" t="s">
        <v>3747</v>
      </c>
      <c r="AU1017" t="s">
        <v>177</v>
      </c>
      <c r="AV1017" t="s">
        <v>1030</v>
      </c>
      <c r="AW1017" t="s">
        <v>202</v>
      </c>
      <c r="AX1017">
        <v>1</v>
      </c>
      <c r="AY1017" t="s">
        <v>188</v>
      </c>
      <c r="AZ1017" t="s">
        <v>206</v>
      </c>
      <c r="BA1017" t="s">
        <v>355</v>
      </c>
      <c r="BB1017" t="s">
        <v>191</v>
      </c>
      <c r="BC1017" t="s">
        <v>182</v>
      </c>
      <c r="BD1017" t="s">
        <v>182</v>
      </c>
      <c r="BE1017" t="s">
        <v>383</v>
      </c>
      <c r="BF1017">
        <v>2</v>
      </c>
      <c r="BG1017">
        <v>2</v>
      </c>
      <c r="BH1017">
        <v>2007</v>
      </c>
      <c r="BI1017" t="s">
        <v>13575</v>
      </c>
      <c r="BJ1017" t="s">
        <v>194</v>
      </c>
      <c r="BK1017" t="s">
        <v>195</v>
      </c>
      <c r="BL1017" t="s">
        <v>6692</v>
      </c>
      <c r="BM1017" t="s">
        <v>1825</v>
      </c>
      <c r="BN1017" t="s">
        <v>182</v>
      </c>
      <c r="BO1017" t="s">
        <v>198</v>
      </c>
      <c r="BP1017" t="s">
        <v>198</v>
      </c>
      <c r="BQ1017" t="s">
        <v>198</v>
      </c>
      <c r="BR1017" t="s">
        <v>198</v>
      </c>
      <c r="BS1017" t="s">
        <v>198</v>
      </c>
      <c r="BT1017" t="s">
        <v>198</v>
      </c>
      <c r="BU1017" t="s">
        <v>182</v>
      </c>
      <c r="BV1017" t="s">
        <v>198</v>
      </c>
      <c r="BW1017" t="s">
        <v>198</v>
      </c>
      <c r="BX1017" t="s">
        <v>199</v>
      </c>
      <c r="BY1017" t="s">
        <v>198</v>
      </c>
      <c r="BZ1017" t="s">
        <v>199</v>
      </c>
      <c r="CA1017" t="s">
        <v>199</v>
      </c>
      <c r="CB1017" t="s">
        <v>13576</v>
      </c>
      <c r="CC1017" t="s">
        <v>201</v>
      </c>
      <c r="CD1017" t="s">
        <v>182</v>
      </c>
      <c r="CE1017" t="s">
        <v>13577</v>
      </c>
      <c r="CF1017" t="s">
        <v>1029</v>
      </c>
      <c r="CG1017" t="s">
        <v>177</v>
      </c>
      <c r="CH1017" t="s">
        <v>1030</v>
      </c>
      <c r="CI1017" t="s">
        <v>13578</v>
      </c>
      <c r="CJ1017" t="s">
        <v>11839</v>
      </c>
      <c r="CK1017" t="s">
        <v>232</v>
      </c>
      <c r="CL1017" t="s">
        <v>233</v>
      </c>
      <c r="CM1017" t="s">
        <v>13579</v>
      </c>
      <c r="CN1017" t="s">
        <v>235</v>
      </c>
      <c r="CO1017" t="s">
        <v>183</v>
      </c>
      <c r="CP1017" t="s">
        <v>211</v>
      </c>
      <c r="CQ1017" t="s">
        <v>270</v>
      </c>
      <c r="CS1017" t="s">
        <v>13580</v>
      </c>
      <c r="CT1017" t="s">
        <v>13581</v>
      </c>
      <c r="CU1017" t="s">
        <v>292</v>
      </c>
      <c r="CV1017" t="s">
        <v>293</v>
      </c>
      <c r="CW1017" t="s">
        <v>13582</v>
      </c>
      <c r="CX1017" t="s">
        <v>235</v>
      </c>
      <c r="CY1017" t="s">
        <v>183</v>
      </c>
      <c r="CZ1017" t="s">
        <v>211</v>
      </c>
      <c r="DA1017" t="s">
        <v>270</v>
      </c>
      <c r="DC1017" t="s">
        <v>13583</v>
      </c>
      <c r="DD1017" t="s">
        <v>10717</v>
      </c>
      <c r="DE1017" t="s">
        <v>267</v>
      </c>
      <c r="DF1017" t="s">
        <v>268</v>
      </c>
      <c r="DG1017" t="s">
        <v>13584</v>
      </c>
      <c r="DH1017" t="s">
        <v>235</v>
      </c>
      <c r="DI1017" t="s">
        <v>183</v>
      </c>
      <c r="DJ1017" t="s">
        <v>211</v>
      </c>
      <c r="DK1017" t="s">
        <v>270</v>
      </c>
      <c r="DM1017" t="s">
        <v>544</v>
      </c>
      <c r="DN1017" t="s">
        <v>11148</v>
      </c>
      <c r="DO1017" t="s">
        <v>273</v>
      </c>
      <c r="DP1017" t="s">
        <v>274</v>
      </c>
      <c r="DQ1017" t="s">
        <v>13585</v>
      </c>
      <c r="DR1017" t="s">
        <v>235</v>
      </c>
      <c r="DS1017" t="s">
        <v>183</v>
      </c>
      <c r="DT1017" t="s">
        <v>211</v>
      </c>
      <c r="DU1017" t="s">
        <v>342</v>
      </c>
      <c r="DW1017" t="s">
        <v>2553</v>
      </c>
      <c r="DX1017" t="s">
        <v>7970</v>
      </c>
      <c r="DY1017" t="s">
        <v>302</v>
      </c>
      <c r="DZ1017" t="s">
        <v>303</v>
      </c>
      <c r="EA1017" t="s">
        <v>13586</v>
      </c>
      <c r="EB1017" t="s">
        <v>235</v>
      </c>
      <c r="EC1017" t="s">
        <v>183</v>
      </c>
      <c r="ED1017" t="s">
        <v>211</v>
      </c>
      <c r="EE1017" t="s">
        <v>342</v>
      </c>
      <c r="EG1017" t="s">
        <v>1097</v>
      </c>
      <c r="EH1017" t="s">
        <v>13587</v>
      </c>
      <c r="EI1017" t="s">
        <v>238</v>
      </c>
      <c r="EJ1017" t="s">
        <v>239</v>
      </c>
      <c r="EK1017" t="s">
        <v>13588</v>
      </c>
      <c r="EL1017" t="s">
        <v>235</v>
      </c>
      <c r="EM1017" t="s">
        <v>183</v>
      </c>
      <c r="EN1017" t="s">
        <v>211</v>
      </c>
      <c r="EO1017" t="s">
        <v>342</v>
      </c>
      <c r="EQ1017" t="s">
        <v>5179</v>
      </c>
      <c r="ER1017" t="s">
        <v>12471</v>
      </c>
      <c r="ES1017" t="s">
        <v>207</v>
      </c>
      <c r="ET1017" t="s">
        <v>208</v>
      </c>
      <c r="EU1017" t="s">
        <v>13589</v>
      </c>
      <c r="EV1017" t="s">
        <v>235</v>
      </c>
      <c r="EW1017" t="s">
        <v>183</v>
      </c>
      <c r="EX1017" t="s">
        <v>211</v>
      </c>
      <c r="EY1017" t="s">
        <v>298</v>
      </c>
      <c r="FA1017" t="s">
        <v>474</v>
      </c>
      <c r="FK1017" t="s">
        <v>198</v>
      </c>
      <c r="FU1017" t="s">
        <v>198</v>
      </c>
    </row>
    <row r="1018" spans="1:177">
      <c r="A1018" s="1" t="str">
        <f>HYPERLINK("http://digipan.lumentumllc.com/apps/getLink/index.php?t=PropLink&amp;p=5248464","PL")</f>
        <v>PL</v>
      </c>
      <c r="B1018" s="1" t="str">
        <f>HYPERLINK("http://digipan.lumentumllc.com/apps/getLink/index.php?t=TaxLink&amp;p=5248464","TL")</f>
        <v>TL</v>
      </c>
      <c r="C1018" s="1" t="str">
        <f>HYPERLINK("http://digipan.lumentumllc.com/apps/getMap/index.php?p=5248464","Map")</f>
        <v>Map</v>
      </c>
      <c r="E1018" t="s">
        <v>177</v>
      </c>
      <c r="F1018" t="s">
        <v>178</v>
      </c>
      <c r="L1018" t="s">
        <v>13590</v>
      </c>
      <c r="N1018" t="s">
        <v>13590</v>
      </c>
      <c r="O1018" t="s">
        <v>13590</v>
      </c>
      <c r="P1018" t="s">
        <v>13591</v>
      </c>
      <c r="Q1018" t="s">
        <v>13590</v>
      </c>
      <c r="V1018">
        <v>1171</v>
      </c>
      <c r="W1018">
        <v>4</v>
      </c>
      <c r="X1018">
        <v>2017</v>
      </c>
      <c r="Y1018">
        <v>2018</v>
      </c>
      <c r="Z1018">
        <v>394.39</v>
      </c>
      <c r="AB1018" t="s">
        <v>181</v>
      </c>
      <c r="AC1018" t="s">
        <v>182</v>
      </c>
      <c r="AD1018" t="s">
        <v>183</v>
      </c>
      <c r="AE1018">
        <v>1</v>
      </c>
      <c r="AF1018">
        <v>7</v>
      </c>
      <c r="AG1018" t="s">
        <v>418</v>
      </c>
      <c r="AH1018">
        <v>86</v>
      </c>
      <c r="AI1018">
        <v>425.76</v>
      </c>
      <c r="AJ1018">
        <v>21.29</v>
      </c>
      <c r="AK1018">
        <v>447.05</v>
      </c>
      <c r="AL1018">
        <v>22134</v>
      </c>
      <c r="AM1018">
        <v>15000</v>
      </c>
      <c r="AN1018">
        <v>7134</v>
      </c>
      <c r="AO1018">
        <v>369</v>
      </c>
      <c r="AP1018">
        <v>2016</v>
      </c>
      <c r="AQ1018">
        <v>1.78</v>
      </c>
      <c r="AR1018">
        <v>2.02</v>
      </c>
      <c r="AS1018" t="s">
        <v>13592</v>
      </c>
      <c r="AT1018" t="s">
        <v>3747</v>
      </c>
      <c r="AU1018" t="s">
        <v>177</v>
      </c>
      <c r="AV1018" t="s">
        <v>1030</v>
      </c>
      <c r="AW1018" t="s">
        <v>182</v>
      </c>
      <c r="AX1018">
        <v>2</v>
      </c>
      <c r="AY1018" t="s">
        <v>188</v>
      </c>
      <c r="AZ1018" t="s">
        <v>189</v>
      </c>
      <c r="BA1018" t="s">
        <v>190</v>
      </c>
      <c r="BB1018" t="s">
        <v>191</v>
      </c>
      <c r="BC1018" t="s">
        <v>182</v>
      </c>
      <c r="BD1018" t="s">
        <v>182</v>
      </c>
      <c r="BE1018" t="s">
        <v>383</v>
      </c>
      <c r="BF1018">
        <v>1</v>
      </c>
      <c r="BG1018">
        <v>1</v>
      </c>
      <c r="BH1018">
        <v>1975</v>
      </c>
      <c r="BI1018" t="s">
        <v>13593</v>
      </c>
      <c r="BJ1018" t="s">
        <v>285</v>
      </c>
      <c r="BK1018" t="s">
        <v>195</v>
      </c>
      <c r="BL1018" t="s">
        <v>199</v>
      </c>
      <c r="BM1018" t="s">
        <v>325</v>
      </c>
      <c r="BN1018" t="s">
        <v>182</v>
      </c>
      <c r="BO1018" t="s">
        <v>198</v>
      </c>
      <c r="BP1018" t="s">
        <v>198</v>
      </c>
      <c r="BQ1018" t="s">
        <v>198</v>
      </c>
      <c r="BR1018" t="s">
        <v>198</v>
      </c>
      <c r="BS1018" t="s">
        <v>198</v>
      </c>
      <c r="BT1018" t="s">
        <v>198</v>
      </c>
      <c r="BU1018" t="s">
        <v>182</v>
      </c>
      <c r="BV1018" t="s">
        <v>198</v>
      </c>
      <c r="BW1018" t="s">
        <v>198</v>
      </c>
      <c r="BX1018" t="s">
        <v>199</v>
      </c>
      <c r="BY1018" t="s">
        <v>198</v>
      </c>
      <c r="BZ1018" t="s">
        <v>199</v>
      </c>
      <c r="CA1018" t="s">
        <v>199</v>
      </c>
      <c r="CB1018" t="s">
        <v>13594</v>
      </c>
      <c r="CC1018" t="s">
        <v>201</v>
      </c>
      <c r="CD1018" t="s">
        <v>182</v>
      </c>
      <c r="CE1018" t="s">
        <v>13595</v>
      </c>
      <c r="CF1018" t="s">
        <v>1029</v>
      </c>
      <c r="CG1018" t="s">
        <v>177</v>
      </c>
      <c r="CH1018" t="s">
        <v>1030</v>
      </c>
      <c r="CI1018" t="s">
        <v>13596</v>
      </c>
      <c r="CJ1018" t="s">
        <v>10026</v>
      </c>
      <c r="CK1018" t="s">
        <v>232</v>
      </c>
      <c r="CL1018" t="s">
        <v>233</v>
      </c>
      <c r="CM1018" t="s">
        <v>13597</v>
      </c>
      <c r="CN1018" t="s">
        <v>331</v>
      </c>
      <c r="CO1018" t="s">
        <v>183</v>
      </c>
      <c r="CP1018" t="s">
        <v>266</v>
      </c>
      <c r="CS1018" t="s">
        <v>198</v>
      </c>
      <c r="CT1018" t="s">
        <v>12571</v>
      </c>
      <c r="CU1018" t="s">
        <v>292</v>
      </c>
      <c r="CV1018" t="s">
        <v>293</v>
      </c>
      <c r="CW1018" t="s">
        <v>13598</v>
      </c>
      <c r="CX1018" t="s">
        <v>482</v>
      </c>
      <c r="CY1018" t="s">
        <v>183</v>
      </c>
      <c r="CZ1018" t="s">
        <v>211</v>
      </c>
      <c r="DA1018" t="s">
        <v>298</v>
      </c>
      <c r="DC1018" t="s">
        <v>4023</v>
      </c>
      <c r="DD1018" t="s">
        <v>13441</v>
      </c>
      <c r="DE1018" t="s">
        <v>267</v>
      </c>
      <c r="DF1018" t="s">
        <v>268</v>
      </c>
      <c r="DG1018" t="s">
        <v>13599</v>
      </c>
      <c r="DH1018" t="s">
        <v>511</v>
      </c>
      <c r="DI1018" t="s">
        <v>183</v>
      </c>
      <c r="DJ1018" t="s">
        <v>211</v>
      </c>
      <c r="DK1018" t="s">
        <v>298</v>
      </c>
      <c r="DM1018" t="s">
        <v>2179</v>
      </c>
      <c r="DN1018" t="s">
        <v>11185</v>
      </c>
      <c r="DO1018" t="s">
        <v>273</v>
      </c>
      <c r="DP1018" t="s">
        <v>274</v>
      </c>
      <c r="DQ1018" t="s">
        <v>13600</v>
      </c>
      <c r="DR1018" t="s">
        <v>278</v>
      </c>
      <c r="DS1018" t="s">
        <v>183</v>
      </c>
      <c r="DT1018" t="s">
        <v>211</v>
      </c>
      <c r="DU1018" t="s">
        <v>298</v>
      </c>
      <c r="DW1018" t="s">
        <v>462</v>
      </c>
      <c r="DX1018" t="s">
        <v>11316</v>
      </c>
      <c r="DY1018" t="s">
        <v>302</v>
      </c>
      <c r="DZ1018" t="s">
        <v>303</v>
      </c>
      <c r="EA1018" t="s">
        <v>13601</v>
      </c>
      <c r="EB1018" t="s">
        <v>511</v>
      </c>
      <c r="EC1018" t="s">
        <v>183</v>
      </c>
      <c r="ED1018" t="s">
        <v>211</v>
      </c>
      <c r="EE1018" t="s">
        <v>298</v>
      </c>
      <c r="EG1018" t="s">
        <v>1765</v>
      </c>
      <c r="EH1018" t="s">
        <v>13602</v>
      </c>
      <c r="EI1018" t="s">
        <v>238</v>
      </c>
      <c r="EJ1018" t="s">
        <v>239</v>
      </c>
      <c r="EK1018" t="s">
        <v>13603</v>
      </c>
      <c r="EL1018" t="s">
        <v>247</v>
      </c>
      <c r="EM1018" t="s">
        <v>183</v>
      </c>
      <c r="EN1018" t="s">
        <v>211</v>
      </c>
      <c r="EO1018" t="s">
        <v>298</v>
      </c>
      <c r="EQ1018" t="s">
        <v>546</v>
      </c>
      <c r="ER1018" t="s">
        <v>11146</v>
      </c>
      <c r="ES1018" t="s">
        <v>346</v>
      </c>
      <c r="ET1018" t="s">
        <v>347</v>
      </c>
      <c r="EU1018" t="s">
        <v>13604</v>
      </c>
      <c r="EV1018" t="s">
        <v>1491</v>
      </c>
      <c r="EW1018" t="s">
        <v>183</v>
      </c>
      <c r="EX1018" t="s">
        <v>211</v>
      </c>
      <c r="EY1018" t="s">
        <v>298</v>
      </c>
      <c r="FA1018" t="s">
        <v>1818</v>
      </c>
      <c r="FB1018" t="s">
        <v>13605</v>
      </c>
      <c r="FC1018" t="s">
        <v>207</v>
      </c>
      <c r="FD1018" t="s">
        <v>208</v>
      </c>
      <c r="FE1018" t="s">
        <v>13606</v>
      </c>
      <c r="FF1018" t="s">
        <v>341</v>
      </c>
      <c r="FG1018" t="s">
        <v>183</v>
      </c>
      <c r="FH1018" t="s">
        <v>211</v>
      </c>
      <c r="FI1018" t="s">
        <v>298</v>
      </c>
      <c r="FK1018" t="s">
        <v>7700</v>
      </c>
      <c r="FU1018" t="s">
        <v>198</v>
      </c>
    </row>
    <row r="1019" spans="1:177">
      <c r="A1019" s="1" t="str">
        <f>HYPERLINK("http://digipan.lumentumllc.com/apps/getLink/index.php?t=PropLink&amp;p=15763214","PL")</f>
        <v>PL</v>
      </c>
      <c r="B1019" s="1" t="str">
        <f>HYPERLINK("http://digipan.lumentumllc.com/apps/getLink/index.php?t=TaxLink&amp;p=15763214","TL")</f>
        <v>TL</v>
      </c>
      <c r="C1019" s="1" t="str">
        <f>HYPERLINK("http://digipan.lumentumllc.com/apps/getMap/index.php?p=15763214","Map")</f>
        <v>Map</v>
      </c>
      <c r="E1019" t="s">
        <v>177</v>
      </c>
      <c r="F1019" t="s">
        <v>178</v>
      </c>
      <c r="L1019" t="s">
        <v>13607</v>
      </c>
      <c r="N1019" t="s">
        <v>13607</v>
      </c>
      <c r="O1019" t="s">
        <v>13607</v>
      </c>
      <c r="Q1019" t="s">
        <v>13607</v>
      </c>
      <c r="V1019">
        <v>1172</v>
      </c>
      <c r="W1019">
        <v>4</v>
      </c>
      <c r="X1019">
        <v>2017</v>
      </c>
      <c r="Y1019">
        <v>2018</v>
      </c>
      <c r="Z1019">
        <v>399.25</v>
      </c>
      <c r="AG1019" t="s">
        <v>184</v>
      </c>
      <c r="AH1019">
        <v>0</v>
      </c>
      <c r="AK1019">
        <v>0</v>
      </c>
      <c r="AL1019">
        <v>22701</v>
      </c>
      <c r="AM1019">
        <v>15000</v>
      </c>
      <c r="AN1019">
        <v>7701</v>
      </c>
      <c r="AO1019">
        <v>310</v>
      </c>
      <c r="AP1019">
        <v>2016</v>
      </c>
      <c r="AQ1019">
        <v>1.76</v>
      </c>
      <c r="AS1019" t="s">
        <v>13608</v>
      </c>
      <c r="AT1019" t="s">
        <v>3747</v>
      </c>
      <c r="AU1019" t="s">
        <v>177</v>
      </c>
      <c r="AV1019" t="s">
        <v>1030</v>
      </c>
      <c r="AW1019" t="s">
        <v>182</v>
      </c>
      <c r="AX1019">
        <v>0</v>
      </c>
      <c r="AY1019" t="s">
        <v>312</v>
      </c>
      <c r="AZ1019" t="s">
        <v>199</v>
      </c>
      <c r="BA1019" t="s">
        <v>313</v>
      </c>
      <c r="BB1019" t="s">
        <v>191</v>
      </c>
      <c r="BC1019" t="s">
        <v>182</v>
      </c>
      <c r="BD1019" t="s">
        <v>182</v>
      </c>
      <c r="BE1019" t="s">
        <v>10682</v>
      </c>
      <c r="BF1019">
        <v>1</v>
      </c>
      <c r="BG1019">
        <v>0</v>
      </c>
      <c r="BH1019">
        <v>0</v>
      </c>
      <c r="BI1019" t="s">
        <v>199</v>
      </c>
      <c r="BJ1019" t="s">
        <v>248</v>
      </c>
      <c r="BL1019" t="s">
        <v>199</v>
      </c>
      <c r="BM1019" t="s">
        <v>238</v>
      </c>
      <c r="BN1019" t="s">
        <v>182</v>
      </c>
      <c r="BO1019" t="s">
        <v>198</v>
      </c>
      <c r="BP1019" t="s">
        <v>198</v>
      </c>
      <c r="BQ1019" t="s">
        <v>198</v>
      </c>
      <c r="BR1019" t="s">
        <v>198</v>
      </c>
      <c r="BS1019" t="s">
        <v>198</v>
      </c>
      <c r="BT1019" t="s">
        <v>198</v>
      </c>
      <c r="BU1019" t="s">
        <v>182</v>
      </c>
      <c r="BV1019" t="s">
        <v>198</v>
      </c>
      <c r="BW1019" t="s">
        <v>198</v>
      </c>
      <c r="BX1019" t="s">
        <v>199</v>
      </c>
      <c r="BY1019" t="s">
        <v>198</v>
      </c>
      <c r="BZ1019" t="s">
        <v>199</v>
      </c>
      <c r="CA1019" t="s">
        <v>199</v>
      </c>
      <c r="CB1019" t="s">
        <v>13609</v>
      </c>
      <c r="CC1019" t="s">
        <v>201</v>
      </c>
      <c r="CD1019" t="s">
        <v>182</v>
      </c>
      <c r="CE1019" t="s">
        <v>13610</v>
      </c>
      <c r="CF1019" t="s">
        <v>1029</v>
      </c>
      <c r="CG1019" t="s">
        <v>177</v>
      </c>
      <c r="CH1019" t="s">
        <v>1030</v>
      </c>
      <c r="CI1019" t="s">
        <v>13611</v>
      </c>
      <c r="CS1019" t="s">
        <v>198</v>
      </c>
      <c r="DC1019" t="s">
        <v>198</v>
      </c>
      <c r="DM1019" t="s">
        <v>198</v>
      </c>
      <c r="DW1019" t="s">
        <v>198</v>
      </c>
      <c r="EG1019" t="s">
        <v>198</v>
      </c>
      <c r="EQ1019" t="s">
        <v>198</v>
      </c>
      <c r="FA1019" t="s">
        <v>198</v>
      </c>
      <c r="FK1019" t="s">
        <v>198</v>
      </c>
      <c r="FU1019" t="s">
        <v>198</v>
      </c>
    </row>
    <row r="1020" spans="1:177">
      <c r="A1020" s="1" t="str">
        <f>HYPERLINK("http://digipan.lumentumllc.com/apps/getLink/index.php?t=PropLink&amp;p=5248465","PL")</f>
        <v>PL</v>
      </c>
      <c r="B1020" s="1" t="str">
        <f>HYPERLINK("http://digipan.lumentumllc.com/apps/getLink/index.php?t=TaxLink&amp;p=5248465","TL")</f>
        <v>TL</v>
      </c>
      <c r="C1020" s="1" t="str">
        <f>HYPERLINK("http://digipan.lumentumllc.com/apps/getMap/index.php?p=5248465","Map")</f>
        <v>Map</v>
      </c>
      <c r="E1020" t="s">
        <v>177</v>
      </c>
      <c r="F1020" t="s">
        <v>178</v>
      </c>
      <c r="L1020" t="s">
        <v>13612</v>
      </c>
      <c r="N1020" t="s">
        <v>13612</v>
      </c>
      <c r="O1020" t="s">
        <v>13612</v>
      </c>
      <c r="P1020" t="s">
        <v>13613</v>
      </c>
      <c r="Q1020" t="s">
        <v>13612</v>
      </c>
      <c r="V1020">
        <v>1173</v>
      </c>
      <c r="W1020">
        <v>4</v>
      </c>
      <c r="X1020">
        <v>2017</v>
      </c>
      <c r="Y1020">
        <v>2018</v>
      </c>
      <c r="Z1020">
        <v>365.13</v>
      </c>
      <c r="AB1020" t="s">
        <v>181</v>
      </c>
      <c r="AC1020" t="s">
        <v>182</v>
      </c>
      <c r="AD1020" t="s">
        <v>183</v>
      </c>
      <c r="AE1020">
        <v>1</v>
      </c>
      <c r="AF1020">
        <v>6</v>
      </c>
      <c r="AG1020" t="s">
        <v>322</v>
      </c>
      <c r="AH1020">
        <v>83</v>
      </c>
      <c r="AI1020">
        <v>349.31</v>
      </c>
      <c r="AJ1020">
        <v>17.47</v>
      </c>
      <c r="AK1020">
        <v>366.78</v>
      </c>
      <c r="AL1020">
        <v>51018</v>
      </c>
      <c r="AM1020">
        <v>15000</v>
      </c>
      <c r="AN1020">
        <v>36018</v>
      </c>
      <c r="AO1020">
        <v>298</v>
      </c>
      <c r="AP1020">
        <v>2016</v>
      </c>
      <c r="AQ1020">
        <v>0.72</v>
      </c>
      <c r="AR1020">
        <v>0.72</v>
      </c>
      <c r="AS1020" t="s">
        <v>13614</v>
      </c>
      <c r="AT1020" t="s">
        <v>3747</v>
      </c>
      <c r="AU1020" t="s">
        <v>177</v>
      </c>
      <c r="AV1020" t="s">
        <v>1030</v>
      </c>
      <c r="AW1020" t="s">
        <v>202</v>
      </c>
      <c r="AX1020">
        <v>2</v>
      </c>
      <c r="AY1020" t="s">
        <v>188</v>
      </c>
      <c r="AZ1020" t="s">
        <v>189</v>
      </c>
      <c r="BA1020" t="s">
        <v>190</v>
      </c>
      <c r="BB1020" t="s">
        <v>191</v>
      </c>
      <c r="BC1020" t="s">
        <v>182</v>
      </c>
      <c r="BD1020" t="s">
        <v>182</v>
      </c>
      <c r="BE1020" t="s">
        <v>5843</v>
      </c>
      <c r="BF1020">
        <v>1</v>
      </c>
      <c r="BG1020">
        <v>1</v>
      </c>
      <c r="BH1020">
        <v>1995</v>
      </c>
      <c r="BI1020" t="s">
        <v>1291</v>
      </c>
      <c r="BJ1020" t="s">
        <v>194</v>
      </c>
      <c r="BK1020" t="s">
        <v>195</v>
      </c>
      <c r="BL1020" t="s">
        <v>6226</v>
      </c>
      <c r="BM1020" t="s">
        <v>3957</v>
      </c>
      <c r="BN1020" t="s">
        <v>182</v>
      </c>
      <c r="BO1020" t="s">
        <v>198</v>
      </c>
      <c r="BP1020" t="s">
        <v>198</v>
      </c>
      <c r="BQ1020" t="s">
        <v>198</v>
      </c>
      <c r="BR1020" t="s">
        <v>198</v>
      </c>
      <c r="BS1020" t="s">
        <v>198</v>
      </c>
      <c r="BT1020" t="s">
        <v>198</v>
      </c>
      <c r="BU1020" t="s">
        <v>182</v>
      </c>
      <c r="BV1020" t="s">
        <v>198</v>
      </c>
      <c r="BW1020" t="s">
        <v>198</v>
      </c>
      <c r="BX1020" t="s">
        <v>199</v>
      </c>
      <c r="BY1020" t="s">
        <v>198</v>
      </c>
      <c r="BZ1020" t="s">
        <v>199</v>
      </c>
      <c r="CA1020" t="s">
        <v>199</v>
      </c>
      <c r="CB1020" t="s">
        <v>13615</v>
      </c>
      <c r="CC1020" t="s">
        <v>201</v>
      </c>
      <c r="CD1020" t="s">
        <v>182</v>
      </c>
      <c r="CE1020" t="s">
        <v>13616</v>
      </c>
      <c r="CF1020" t="s">
        <v>1029</v>
      </c>
      <c r="CG1020" t="s">
        <v>177</v>
      </c>
      <c r="CH1020" t="s">
        <v>1030</v>
      </c>
      <c r="CI1020" t="s">
        <v>13617</v>
      </c>
      <c r="CJ1020" t="s">
        <v>6306</v>
      </c>
      <c r="CK1020" t="s">
        <v>232</v>
      </c>
      <c r="CL1020" t="s">
        <v>233</v>
      </c>
      <c r="CM1020" t="s">
        <v>13618</v>
      </c>
      <c r="CN1020" t="s">
        <v>235</v>
      </c>
      <c r="CO1020" t="s">
        <v>183</v>
      </c>
      <c r="CP1020" t="s">
        <v>266</v>
      </c>
      <c r="CS1020" t="s">
        <v>198</v>
      </c>
      <c r="CT1020" t="s">
        <v>11745</v>
      </c>
      <c r="CU1020" t="s">
        <v>267</v>
      </c>
      <c r="CV1020" t="s">
        <v>268</v>
      </c>
      <c r="CW1020" t="s">
        <v>13619</v>
      </c>
      <c r="CX1020" t="s">
        <v>235</v>
      </c>
      <c r="CY1020" t="s">
        <v>183</v>
      </c>
      <c r="CZ1020" t="s">
        <v>211</v>
      </c>
      <c r="DA1020" t="s">
        <v>270</v>
      </c>
      <c r="DC1020" t="s">
        <v>13620</v>
      </c>
      <c r="DD1020" t="s">
        <v>11198</v>
      </c>
      <c r="DE1020" t="s">
        <v>273</v>
      </c>
      <c r="DF1020" t="s">
        <v>274</v>
      </c>
      <c r="DG1020" t="s">
        <v>13621</v>
      </c>
      <c r="DH1020" t="s">
        <v>514</v>
      </c>
      <c r="DI1020" t="s">
        <v>183</v>
      </c>
      <c r="DJ1020" t="s">
        <v>211</v>
      </c>
      <c r="DK1020" t="s">
        <v>298</v>
      </c>
      <c r="DM1020" t="s">
        <v>3408</v>
      </c>
      <c r="DN1020" t="s">
        <v>9185</v>
      </c>
      <c r="DO1020" t="s">
        <v>302</v>
      </c>
      <c r="DP1020" t="s">
        <v>303</v>
      </c>
      <c r="DQ1020" t="s">
        <v>13622</v>
      </c>
      <c r="DR1020" t="s">
        <v>796</v>
      </c>
      <c r="DS1020" t="s">
        <v>183</v>
      </c>
      <c r="DT1020" t="s">
        <v>211</v>
      </c>
      <c r="DU1020" t="s">
        <v>298</v>
      </c>
      <c r="DW1020" t="s">
        <v>464</v>
      </c>
      <c r="DX1020" t="s">
        <v>13623</v>
      </c>
      <c r="DY1020" t="s">
        <v>238</v>
      </c>
      <c r="DZ1020" t="s">
        <v>239</v>
      </c>
      <c r="EA1020" t="s">
        <v>13624</v>
      </c>
      <c r="EB1020" t="s">
        <v>331</v>
      </c>
      <c r="EC1020" t="s">
        <v>183</v>
      </c>
      <c r="ED1020" t="s">
        <v>211</v>
      </c>
      <c r="EE1020" t="s">
        <v>298</v>
      </c>
      <c r="EG1020" t="s">
        <v>1815</v>
      </c>
      <c r="EH1020" t="s">
        <v>11183</v>
      </c>
      <c r="EI1020" t="s">
        <v>346</v>
      </c>
      <c r="EJ1020" t="s">
        <v>347</v>
      </c>
      <c r="EK1020" t="s">
        <v>13625</v>
      </c>
      <c r="EL1020" t="s">
        <v>1491</v>
      </c>
      <c r="EM1020" t="s">
        <v>183</v>
      </c>
      <c r="EN1020" t="s">
        <v>211</v>
      </c>
      <c r="EO1020" t="s">
        <v>298</v>
      </c>
      <c r="EQ1020" t="s">
        <v>1100</v>
      </c>
      <c r="ER1020" t="s">
        <v>12978</v>
      </c>
      <c r="ES1020" t="s">
        <v>207</v>
      </c>
      <c r="ET1020" t="s">
        <v>208</v>
      </c>
      <c r="EU1020" t="s">
        <v>13626</v>
      </c>
      <c r="EV1020" t="s">
        <v>482</v>
      </c>
      <c r="EW1020" t="s">
        <v>183</v>
      </c>
      <c r="EX1020" t="s">
        <v>211</v>
      </c>
      <c r="EY1020" t="s">
        <v>298</v>
      </c>
      <c r="FA1020" t="s">
        <v>446</v>
      </c>
      <c r="FK1020" t="s">
        <v>198</v>
      </c>
      <c r="FU1020" t="s">
        <v>198</v>
      </c>
    </row>
    <row r="1021" spans="1:177">
      <c r="A1021" s="1" t="str">
        <f>HYPERLINK("http://digipan.lumentumllc.com/apps/getLink/index.php?t=PropLink&amp;p=5248466","PL")</f>
        <v>PL</v>
      </c>
      <c r="B1021" s="1" t="str">
        <f>HYPERLINK("http://digipan.lumentumllc.com/apps/getLink/index.php?t=TaxLink&amp;p=5248466","TL")</f>
        <v>TL</v>
      </c>
      <c r="C1021" s="1" t="str">
        <f>HYPERLINK("http://digipan.lumentumllc.com/apps/getMap/index.php?p=5248466","Map")</f>
        <v>Map</v>
      </c>
      <c r="E1021" t="s">
        <v>177</v>
      </c>
      <c r="F1021" t="s">
        <v>178</v>
      </c>
      <c r="L1021" t="s">
        <v>13627</v>
      </c>
      <c r="N1021" t="s">
        <v>13627</v>
      </c>
      <c r="O1021" t="s">
        <v>13627</v>
      </c>
      <c r="P1021" t="s">
        <v>13628</v>
      </c>
      <c r="Q1021" t="s">
        <v>13627</v>
      </c>
      <c r="V1021">
        <v>1174</v>
      </c>
      <c r="W1021">
        <v>4</v>
      </c>
      <c r="X1021">
        <v>2017</v>
      </c>
      <c r="Y1021">
        <v>2018</v>
      </c>
      <c r="Z1021">
        <v>768.04</v>
      </c>
      <c r="AB1021" t="s">
        <v>181</v>
      </c>
      <c r="AC1021" t="s">
        <v>182</v>
      </c>
      <c r="AD1021" t="s">
        <v>183</v>
      </c>
      <c r="AE1021">
        <v>1</v>
      </c>
      <c r="AF1021">
        <v>7</v>
      </c>
      <c r="AG1021" t="s">
        <v>418</v>
      </c>
      <c r="AH1021">
        <v>86</v>
      </c>
      <c r="AI1021">
        <v>779.16</v>
      </c>
      <c r="AJ1021">
        <v>38.96</v>
      </c>
      <c r="AK1021">
        <v>818.12</v>
      </c>
      <c r="AL1021">
        <v>56195</v>
      </c>
      <c r="AM1021">
        <v>15000</v>
      </c>
      <c r="AN1021">
        <v>41195</v>
      </c>
      <c r="AO1021">
        <v>695</v>
      </c>
      <c r="AP1021">
        <v>2016</v>
      </c>
      <c r="AQ1021">
        <v>1.37</v>
      </c>
      <c r="AR1021">
        <v>1.46</v>
      </c>
      <c r="AS1021" t="s">
        <v>13629</v>
      </c>
      <c r="AT1021" t="s">
        <v>3747</v>
      </c>
      <c r="AU1021" t="s">
        <v>177</v>
      </c>
      <c r="AV1021" t="s">
        <v>1030</v>
      </c>
      <c r="AW1021" t="s">
        <v>202</v>
      </c>
      <c r="AX1021">
        <v>1</v>
      </c>
      <c r="AY1021" t="s">
        <v>188</v>
      </c>
      <c r="AZ1021" t="s">
        <v>206</v>
      </c>
      <c r="BA1021" t="s">
        <v>355</v>
      </c>
      <c r="BB1021" t="s">
        <v>191</v>
      </c>
      <c r="BC1021" t="s">
        <v>182</v>
      </c>
      <c r="BD1021" t="s">
        <v>182</v>
      </c>
      <c r="BE1021" t="s">
        <v>4272</v>
      </c>
      <c r="BF1021">
        <v>1</v>
      </c>
      <c r="BG1021">
        <v>1</v>
      </c>
      <c r="BH1021">
        <v>1987</v>
      </c>
      <c r="BI1021" t="s">
        <v>12687</v>
      </c>
      <c r="BJ1021" t="s">
        <v>285</v>
      </c>
      <c r="BK1021" t="s">
        <v>195</v>
      </c>
      <c r="BL1021" t="s">
        <v>11990</v>
      </c>
      <c r="BM1021" t="s">
        <v>4554</v>
      </c>
      <c r="BN1021" t="s">
        <v>182</v>
      </c>
      <c r="BO1021" t="s">
        <v>198</v>
      </c>
      <c r="BP1021" t="s">
        <v>198</v>
      </c>
      <c r="BQ1021" t="s">
        <v>198</v>
      </c>
      <c r="BR1021" t="s">
        <v>198</v>
      </c>
      <c r="BS1021" t="s">
        <v>198</v>
      </c>
      <c r="BT1021" t="s">
        <v>198</v>
      </c>
      <c r="BU1021" t="s">
        <v>182</v>
      </c>
      <c r="BV1021" t="s">
        <v>198</v>
      </c>
      <c r="BW1021" t="s">
        <v>198</v>
      </c>
      <c r="BX1021" t="s">
        <v>199</v>
      </c>
      <c r="BY1021" t="s">
        <v>198</v>
      </c>
      <c r="BZ1021" t="s">
        <v>199</v>
      </c>
      <c r="CA1021" t="s">
        <v>199</v>
      </c>
      <c r="CB1021" t="s">
        <v>13630</v>
      </c>
      <c r="CC1021" t="s">
        <v>201</v>
      </c>
      <c r="CD1021" t="s">
        <v>202</v>
      </c>
      <c r="CE1021" t="s">
        <v>13631</v>
      </c>
      <c r="CF1021" t="s">
        <v>1029</v>
      </c>
      <c r="CG1021" t="s">
        <v>177</v>
      </c>
      <c r="CH1021" t="s">
        <v>1030</v>
      </c>
      <c r="CI1021" t="s">
        <v>13632</v>
      </c>
      <c r="CJ1021" t="s">
        <v>12288</v>
      </c>
      <c r="CK1021" t="s">
        <v>232</v>
      </c>
      <c r="CL1021" t="s">
        <v>233</v>
      </c>
      <c r="CM1021" t="s">
        <v>13633</v>
      </c>
      <c r="CN1021" t="s">
        <v>235</v>
      </c>
      <c r="CO1021" t="s">
        <v>183</v>
      </c>
      <c r="CP1021" t="s">
        <v>266</v>
      </c>
      <c r="CS1021" t="s">
        <v>198</v>
      </c>
      <c r="CT1021" t="s">
        <v>1002</v>
      </c>
      <c r="CU1021" t="s">
        <v>292</v>
      </c>
      <c r="CV1021" t="s">
        <v>293</v>
      </c>
      <c r="CW1021" t="s">
        <v>13634</v>
      </c>
      <c r="CX1021" t="s">
        <v>235</v>
      </c>
      <c r="CY1021" t="s">
        <v>183</v>
      </c>
      <c r="CZ1021" t="s">
        <v>211</v>
      </c>
      <c r="DA1021" t="s">
        <v>345</v>
      </c>
      <c r="DC1021" t="s">
        <v>11641</v>
      </c>
      <c r="DD1021" t="s">
        <v>12923</v>
      </c>
      <c r="DE1021" t="s">
        <v>267</v>
      </c>
      <c r="DF1021" t="s">
        <v>268</v>
      </c>
      <c r="DG1021" t="s">
        <v>13635</v>
      </c>
      <c r="DH1021" t="s">
        <v>235</v>
      </c>
      <c r="DI1021" t="s">
        <v>183</v>
      </c>
      <c r="DJ1021" t="s">
        <v>211</v>
      </c>
      <c r="DK1021" t="s">
        <v>298</v>
      </c>
      <c r="DM1021" t="s">
        <v>2096</v>
      </c>
      <c r="DN1021" t="s">
        <v>2674</v>
      </c>
      <c r="DO1021" t="s">
        <v>273</v>
      </c>
      <c r="DP1021" t="s">
        <v>274</v>
      </c>
      <c r="DQ1021" t="s">
        <v>13636</v>
      </c>
      <c r="DR1021" t="s">
        <v>514</v>
      </c>
      <c r="DS1021" t="s">
        <v>183</v>
      </c>
      <c r="DT1021" t="s">
        <v>211</v>
      </c>
      <c r="DU1021" t="s">
        <v>298</v>
      </c>
      <c r="DW1021" t="s">
        <v>1432</v>
      </c>
      <c r="DX1021" t="s">
        <v>11402</v>
      </c>
      <c r="DY1021" t="s">
        <v>302</v>
      </c>
      <c r="DZ1021" t="s">
        <v>303</v>
      </c>
      <c r="EA1021" t="s">
        <v>13637</v>
      </c>
      <c r="EB1021" t="s">
        <v>235</v>
      </c>
      <c r="EC1021" t="s">
        <v>183</v>
      </c>
      <c r="ED1021" t="s">
        <v>211</v>
      </c>
      <c r="EE1021" t="s">
        <v>298</v>
      </c>
      <c r="EG1021" t="s">
        <v>3499</v>
      </c>
      <c r="EH1021" t="s">
        <v>5993</v>
      </c>
      <c r="EI1021" t="s">
        <v>238</v>
      </c>
      <c r="EJ1021" t="s">
        <v>239</v>
      </c>
      <c r="EK1021" t="s">
        <v>13638</v>
      </c>
      <c r="EL1021" t="s">
        <v>331</v>
      </c>
      <c r="EM1021" t="s">
        <v>183</v>
      </c>
      <c r="EN1021" t="s">
        <v>211</v>
      </c>
      <c r="EO1021" t="s">
        <v>298</v>
      </c>
      <c r="EQ1021" t="s">
        <v>441</v>
      </c>
      <c r="ER1021" t="s">
        <v>10283</v>
      </c>
      <c r="ES1021" t="s">
        <v>346</v>
      </c>
      <c r="ET1021" t="s">
        <v>347</v>
      </c>
      <c r="EU1021" t="s">
        <v>13639</v>
      </c>
      <c r="EV1021" t="s">
        <v>1491</v>
      </c>
      <c r="EW1021" t="s">
        <v>183</v>
      </c>
      <c r="EX1021" t="s">
        <v>211</v>
      </c>
      <c r="EY1021" t="s">
        <v>337</v>
      </c>
      <c r="FA1021" t="s">
        <v>1352</v>
      </c>
      <c r="FB1021" t="s">
        <v>13640</v>
      </c>
      <c r="FC1021" t="s">
        <v>207</v>
      </c>
      <c r="FD1021" t="s">
        <v>208</v>
      </c>
      <c r="FE1021" t="s">
        <v>13641</v>
      </c>
      <c r="FF1021" t="s">
        <v>1966</v>
      </c>
      <c r="FG1021" t="s">
        <v>183</v>
      </c>
      <c r="FH1021" t="s">
        <v>211</v>
      </c>
      <c r="FI1021" t="s">
        <v>298</v>
      </c>
      <c r="FK1021" t="s">
        <v>8974</v>
      </c>
      <c r="FU1021" t="s">
        <v>198</v>
      </c>
    </row>
    <row r="1022" spans="1:177">
      <c r="A1022" s="1" t="str">
        <f>HYPERLINK("http://digipan.lumentumllc.com/apps/getLink/index.php?t=PropLink&amp;p=5248468","PL")</f>
        <v>PL</v>
      </c>
      <c r="B1022" s="1" t="str">
        <f>HYPERLINK("http://digipan.lumentumllc.com/apps/getLink/index.php?t=TaxLink&amp;p=5248468","TL")</f>
        <v>TL</v>
      </c>
      <c r="C1022" s="1" t="str">
        <f>HYPERLINK("http://digipan.lumentumllc.com/apps/getMap/index.php?p=5248468","Map")</f>
        <v>Map</v>
      </c>
      <c r="E1022" t="s">
        <v>177</v>
      </c>
      <c r="F1022" t="s">
        <v>178</v>
      </c>
      <c r="L1022" t="s">
        <v>13642</v>
      </c>
      <c r="N1022" t="s">
        <v>13642</v>
      </c>
      <c r="O1022" t="s">
        <v>13642</v>
      </c>
      <c r="P1022" t="s">
        <v>13643</v>
      </c>
      <c r="Q1022" t="s">
        <v>13642</v>
      </c>
      <c r="V1022">
        <v>1175</v>
      </c>
      <c r="W1022">
        <v>4</v>
      </c>
      <c r="X1022">
        <v>2017</v>
      </c>
      <c r="Y1022">
        <v>2018</v>
      </c>
      <c r="Z1022">
        <v>508.78</v>
      </c>
      <c r="AB1022" t="s">
        <v>181</v>
      </c>
      <c r="AC1022" t="s">
        <v>182</v>
      </c>
      <c r="AD1022" t="s">
        <v>183</v>
      </c>
      <c r="AE1022">
        <v>0</v>
      </c>
      <c r="AF1022">
        <v>7</v>
      </c>
      <c r="AG1022" t="s">
        <v>528</v>
      </c>
      <c r="AH1022">
        <v>100</v>
      </c>
      <c r="AK1022">
        <v>0</v>
      </c>
      <c r="AL1022">
        <v>29121</v>
      </c>
      <c r="AM1022">
        <v>15000</v>
      </c>
      <c r="AN1022">
        <v>14121</v>
      </c>
      <c r="AO1022">
        <v>447</v>
      </c>
      <c r="AP1022">
        <v>2016</v>
      </c>
      <c r="AQ1022">
        <v>1.75</v>
      </c>
      <c r="AS1022" t="s">
        <v>13644</v>
      </c>
      <c r="AT1022" t="s">
        <v>3747</v>
      </c>
      <c r="AU1022" t="s">
        <v>177</v>
      </c>
      <c r="AV1022" t="s">
        <v>1030</v>
      </c>
      <c r="AW1022" t="s">
        <v>182</v>
      </c>
      <c r="AX1022">
        <v>2</v>
      </c>
      <c r="AY1022" t="s">
        <v>188</v>
      </c>
      <c r="AZ1022" t="s">
        <v>189</v>
      </c>
      <c r="BA1022" t="s">
        <v>190</v>
      </c>
      <c r="BB1022" t="s">
        <v>191</v>
      </c>
      <c r="BC1022" t="s">
        <v>182</v>
      </c>
      <c r="BD1022" t="s">
        <v>182</v>
      </c>
      <c r="BE1022" t="s">
        <v>13645</v>
      </c>
      <c r="BF1022">
        <v>1</v>
      </c>
      <c r="BG1022">
        <v>1</v>
      </c>
      <c r="BH1022">
        <v>1974</v>
      </c>
      <c r="BI1022" t="s">
        <v>5424</v>
      </c>
      <c r="BJ1022" t="s">
        <v>194</v>
      </c>
      <c r="BK1022" t="s">
        <v>195</v>
      </c>
      <c r="BL1022" t="s">
        <v>1753</v>
      </c>
      <c r="BM1022" t="s">
        <v>267</v>
      </c>
      <c r="BN1022" t="s">
        <v>182</v>
      </c>
      <c r="BO1022" t="s">
        <v>3842</v>
      </c>
      <c r="BP1022" t="s">
        <v>13646</v>
      </c>
      <c r="BS1022" t="s">
        <v>4321</v>
      </c>
      <c r="BT1022" t="s">
        <v>198</v>
      </c>
      <c r="BU1022" t="s">
        <v>182</v>
      </c>
      <c r="BV1022" t="s">
        <v>198</v>
      </c>
      <c r="BW1022" t="s">
        <v>198</v>
      </c>
      <c r="BX1022" t="s">
        <v>199</v>
      </c>
      <c r="BY1022" t="s">
        <v>198</v>
      </c>
      <c r="BZ1022" t="s">
        <v>199</v>
      </c>
      <c r="CA1022" t="s">
        <v>199</v>
      </c>
      <c r="CB1022" t="s">
        <v>13647</v>
      </c>
      <c r="CC1022" t="s">
        <v>201</v>
      </c>
      <c r="CD1022" t="s">
        <v>182</v>
      </c>
      <c r="CE1022" t="s">
        <v>13648</v>
      </c>
      <c r="CF1022" t="s">
        <v>1029</v>
      </c>
      <c r="CG1022" t="s">
        <v>177</v>
      </c>
      <c r="CH1022" t="s">
        <v>1030</v>
      </c>
      <c r="CI1022" t="s">
        <v>8913</v>
      </c>
      <c r="CJ1022" t="s">
        <v>12656</v>
      </c>
      <c r="CK1022" t="s">
        <v>232</v>
      </c>
      <c r="CL1022" t="s">
        <v>233</v>
      </c>
      <c r="CM1022" t="s">
        <v>13649</v>
      </c>
      <c r="CN1022" t="s">
        <v>235</v>
      </c>
      <c r="CO1022" t="s">
        <v>183</v>
      </c>
      <c r="CP1022" t="s">
        <v>211</v>
      </c>
      <c r="CQ1022" t="s">
        <v>329</v>
      </c>
      <c r="CS1022" t="s">
        <v>1066</v>
      </c>
      <c r="CT1022" t="s">
        <v>10276</v>
      </c>
      <c r="CU1022" t="s">
        <v>292</v>
      </c>
      <c r="CV1022" t="s">
        <v>293</v>
      </c>
      <c r="CW1022" t="s">
        <v>13650</v>
      </c>
      <c r="CX1022" t="s">
        <v>482</v>
      </c>
      <c r="CY1022" t="s">
        <v>183</v>
      </c>
      <c r="CZ1022" t="s">
        <v>211</v>
      </c>
      <c r="DA1022" t="s">
        <v>460</v>
      </c>
      <c r="DC1022" t="s">
        <v>13651</v>
      </c>
      <c r="DD1022" t="s">
        <v>13652</v>
      </c>
      <c r="DE1022" t="s">
        <v>267</v>
      </c>
      <c r="DF1022" t="s">
        <v>268</v>
      </c>
      <c r="DG1022" t="s">
        <v>13653</v>
      </c>
      <c r="DH1022" t="s">
        <v>235</v>
      </c>
      <c r="DI1022" t="s">
        <v>183</v>
      </c>
      <c r="DJ1022" t="s">
        <v>211</v>
      </c>
      <c r="DK1022" t="s">
        <v>329</v>
      </c>
      <c r="DM1022" t="s">
        <v>5907</v>
      </c>
      <c r="DN1022" t="s">
        <v>11428</v>
      </c>
      <c r="DO1022" t="s">
        <v>302</v>
      </c>
      <c r="DP1022" t="s">
        <v>303</v>
      </c>
      <c r="DQ1022" t="s">
        <v>13654</v>
      </c>
      <c r="DR1022" t="s">
        <v>305</v>
      </c>
      <c r="DS1022" t="s">
        <v>183</v>
      </c>
      <c r="DT1022" t="s">
        <v>211</v>
      </c>
      <c r="DU1022" t="s">
        <v>290</v>
      </c>
      <c r="DW1022" t="s">
        <v>13655</v>
      </c>
      <c r="DX1022" t="s">
        <v>13656</v>
      </c>
      <c r="DY1022" t="s">
        <v>238</v>
      </c>
      <c r="DZ1022" t="s">
        <v>239</v>
      </c>
      <c r="EA1022" t="s">
        <v>13657</v>
      </c>
      <c r="EB1022" t="s">
        <v>247</v>
      </c>
      <c r="EC1022" t="s">
        <v>183</v>
      </c>
      <c r="ED1022" t="s">
        <v>211</v>
      </c>
      <c r="EE1022" t="s">
        <v>523</v>
      </c>
      <c r="EG1022" t="s">
        <v>13655</v>
      </c>
      <c r="EH1022" t="s">
        <v>6645</v>
      </c>
      <c r="EI1022" t="s">
        <v>346</v>
      </c>
      <c r="EJ1022" t="s">
        <v>347</v>
      </c>
      <c r="EK1022" t="s">
        <v>13658</v>
      </c>
      <c r="EL1022" t="s">
        <v>1491</v>
      </c>
      <c r="EM1022" t="s">
        <v>183</v>
      </c>
      <c r="EN1022" t="s">
        <v>211</v>
      </c>
      <c r="EO1022" t="s">
        <v>808</v>
      </c>
      <c r="EQ1022" t="s">
        <v>3280</v>
      </c>
      <c r="ER1022" t="s">
        <v>4694</v>
      </c>
      <c r="ES1022" t="s">
        <v>207</v>
      </c>
      <c r="ET1022" t="s">
        <v>208</v>
      </c>
      <c r="EU1022" t="s">
        <v>13659</v>
      </c>
      <c r="EV1022" t="s">
        <v>7482</v>
      </c>
      <c r="EW1022" t="s">
        <v>183</v>
      </c>
      <c r="EX1022" t="s">
        <v>211</v>
      </c>
      <c r="EY1022" t="s">
        <v>199</v>
      </c>
      <c r="FA1022" t="s">
        <v>5223</v>
      </c>
      <c r="FK1022" t="s">
        <v>198</v>
      </c>
      <c r="FU1022" t="s">
        <v>198</v>
      </c>
    </row>
    <row r="1023" spans="1:177">
      <c r="A1023" s="1" t="str">
        <f>HYPERLINK("http://digipan.lumentumllc.com/apps/getLink/index.php?t=PropLink&amp;p=15763233","PL")</f>
        <v>PL</v>
      </c>
      <c r="B1023" s="1" t="str">
        <f>HYPERLINK("http://digipan.lumentumllc.com/apps/getLink/index.php?t=TaxLink&amp;p=15763233","TL")</f>
        <v>TL</v>
      </c>
      <c r="C1023" s="1" t="str">
        <f>HYPERLINK("http://digipan.lumentumllc.com/apps/getMap/index.php?p=15763233","Map")</f>
        <v>Map</v>
      </c>
      <c r="E1023" t="s">
        <v>177</v>
      </c>
      <c r="F1023" t="s">
        <v>178</v>
      </c>
      <c r="L1023" t="s">
        <v>13660</v>
      </c>
      <c r="N1023" t="s">
        <v>13660</v>
      </c>
      <c r="O1023" t="s">
        <v>13660</v>
      </c>
      <c r="Q1023" t="s">
        <v>13660</v>
      </c>
      <c r="V1023">
        <v>1176</v>
      </c>
      <c r="W1023">
        <v>4</v>
      </c>
      <c r="X1023">
        <v>2017</v>
      </c>
      <c r="Y1023">
        <v>2018</v>
      </c>
      <c r="Z1023">
        <v>813.2</v>
      </c>
      <c r="AB1023" t="s">
        <v>181</v>
      </c>
      <c r="AC1023" t="s">
        <v>182</v>
      </c>
      <c r="AD1023" t="s">
        <v>183</v>
      </c>
      <c r="AE1023">
        <v>1</v>
      </c>
      <c r="AF1023">
        <v>0</v>
      </c>
      <c r="AG1023" t="s">
        <v>1200</v>
      </c>
      <c r="AH1023">
        <v>0</v>
      </c>
      <c r="AI1023">
        <v>736.37</v>
      </c>
      <c r="AJ1023">
        <v>36.82</v>
      </c>
      <c r="AK1023">
        <v>773.19</v>
      </c>
      <c r="AL1023">
        <v>48638</v>
      </c>
      <c r="AM1023">
        <v>15000</v>
      </c>
      <c r="AN1023">
        <v>33638</v>
      </c>
      <c r="AO1023">
        <v>656</v>
      </c>
      <c r="AP1023">
        <v>2016</v>
      </c>
      <c r="AQ1023">
        <v>1.67</v>
      </c>
      <c r="AR1023">
        <v>1.59</v>
      </c>
      <c r="AS1023" t="s">
        <v>13661</v>
      </c>
      <c r="AT1023" t="s">
        <v>3747</v>
      </c>
      <c r="AU1023" t="s">
        <v>177</v>
      </c>
      <c r="AV1023" t="s">
        <v>1030</v>
      </c>
      <c r="AW1023" t="s">
        <v>182</v>
      </c>
      <c r="AX1023">
        <v>2</v>
      </c>
      <c r="AY1023" t="s">
        <v>188</v>
      </c>
      <c r="AZ1023" t="s">
        <v>189</v>
      </c>
      <c r="BA1023" t="s">
        <v>190</v>
      </c>
      <c r="BB1023" t="s">
        <v>191</v>
      </c>
      <c r="BC1023" t="s">
        <v>182</v>
      </c>
      <c r="BD1023" t="s">
        <v>182</v>
      </c>
      <c r="BE1023" t="s">
        <v>7246</v>
      </c>
      <c r="BF1023">
        <v>1</v>
      </c>
      <c r="BG1023">
        <v>1</v>
      </c>
      <c r="BH1023">
        <v>1998</v>
      </c>
      <c r="BI1023" t="s">
        <v>1291</v>
      </c>
      <c r="BJ1023" t="s">
        <v>194</v>
      </c>
      <c r="BK1023" t="s">
        <v>195</v>
      </c>
      <c r="BL1023" t="s">
        <v>199</v>
      </c>
      <c r="BM1023" t="s">
        <v>302</v>
      </c>
      <c r="BN1023" t="s">
        <v>182</v>
      </c>
      <c r="BO1023" t="s">
        <v>198</v>
      </c>
      <c r="BP1023" t="s">
        <v>198</v>
      </c>
      <c r="BQ1023" t="s">
        <v>198</v>
      </c>
      <c r="BR1023" t="s">
        <v>198</v>
      </c>
      <c r="BS1023" t="s">
        <v>198</v>
      </c>
      <c r="BT1023" t="s">
        <v>198</v>
      </c>
      <c r="BU1023" t="s">
        <v>182</v>
      </c>
      <c r="BV1023" t="s">
        <v>198</v>
      </c>
      <c r="BW1023" t="s">
        <v>198</v>
      </c>
      <c r="BX1023" t="s">
        <v>199</v>
      </c>
      <c r="BY1023" t="s">
        <v>198</v>
      </c>
      <c r="BZ1023" t="s">
        <v>199</v>
      </c>
      <c r="CA1023" t="s">
        <v>199</v>
      </c>
      <c r="CB1023" t="s">
        <v>13662</v>
      </c>
      <c r="CC1023" t="s">
        <v>201</v>
      </c>
      <c r="CD1023" t="s">
        <v>202</v>
      </c>
      <c r="CE1023" t="s">
        <v>13661</v>
      </c>
      <c r="CF1023" t="s">
        <v>1029</v>
      </c>
      <c r="CG1023" t="s">
        <v>177</v>
      </c>
      <c r="CH1023" t="s">
        <v>1030</v>
      </c>
      <c r="CI1023" t="s">
        <v>13663</v>
      </c>
      <c r="CJ1023" t="s">
        <v>10114</v>
      </c>
      <c r="CK1023" t="s">
        <v>232</v>
      </c>
      <c r="CL1023" t="s">
        <v>233</v>
      </c>
      <c r="CM1023" t="s">
        <v>13664</v>
      </c>
      <c r="CN1023" t="s">
        <v>235</v>
      </c>
      <c r="CO1023" t="s">
        <v>183</v>
      </c>
      <c r="CP1023" t="s">
        <v>266</v>
      </c>
      <c r="CS1023" t="s">
        <v>198</v>
      </c>
      <c r="DC1023" t="s">
        <v>198</v>
      </c>
      <c r="DM1023" t="s">
        <v>198</v>
      </c>
      <c r="DW1023" t="s">
        <v>198</v>
      </c>
      <c r="EG1023" t="s">
        <v>198</v>
      </c>
      <c r="EQ1023" t="s">
        <v>198</v>
      </c>
      <c r="FA1023" t="s">
        <v>198</v>
      </c>
      <c r="FK1023" t="s">
        <v>198</v>
      </c>
      <c r="FU1023" t="s">
        <v>198</v>
      </c>
    </row>
    <row r="1024" spans="1:177">
      <c r="A1024" s="1" t="str">
        <f>HYPERLINK("http://digipan.lumentumllc.com/apps/getLink/index.php?t=PropLink&amp;p=5248473","PL")</f>
        <v>PL</v>
      </c>
      <c r="B1024" s="1" t="str">
        <f>HYPERLINK("http://digipan.lumentumllc.com/apps/getLink/index.php?t=TaxLink&amp;p=5248473","TL")</f>
        <v>TL</v>
      </c>
      <c r="C1024" s="1" t="str">
        <f>HYPERLINK("http://digipan.lumentumllc.com/apps/getMap/index.php?p=5248473","Map")</f>
        <v>Map</v>
      </c>
      <c r="E1024" t="s">
        <v>177</v>
      </c>
      <c r="F1024" t="s">
        <v>178</v>
      </c>
      <c r="L1024" t="s">
        <v>13665</v>
      </c>
      <c r="N1024" t="s">
        <v>13665</v>
      </c>
      <c r="O1024" t="s">
        <v>13665</v>
      </c>
      <c r="P1024" t="s">
        <v>13666</v>
      </c>
      <c r="Q1024" t="s">
        <v>13665</v>
      </c>
      <c r="V1024">
        <v>1177</v>
      </c>
      <c r="W1024">
        <v>4</v>
      </c>
      <c r="X1024">
        <v>2017</v>
      </c>
      <c r="Y1024">
        <v>2018</v>
      </c>
      <c r="Z1024">
        <v>1118.21</v>
      </c>
      <c r="AB1024" t="s">
        <v>181</v>
      </c>
      <c r="AC1024" t="s">
        <v>202</v>
      </c>
      <c r="AD1024" t="s">
        <v>183</v>
      </c>
      <c r="AE1024">
        <v>0</v>
      </c>
      <c r="AF1024">
        <v>7</v>
      </c>
      <c r="AG1024" t="s">
        <v>1059</v>
      </c>
      <c r="AH1024">
        <v>100</v>
      </c>
      <c r="AK1024">
        <v>0</v>
      </c>
      <c r="AL1024">
        <v>66344</v>
      </c>
      <c r="AM1024">
        <v>15000</v>
      </c>
      <c r="AN1024">
        <v>51344</v>
      </c>
      <c r="AO1024">
        <v>990</v>
      </c>
      <c r="AP1024">
        <v>2016</v>
      </c>
      <c r="AQ1024">
        <v>1.69</v>
      </c>
      <c r="AS1024" t="s">
        <v>13667</v>
      </c>
      <c r="AT1024" t="s">
        <v>3747</v>
      </c>
      <c r="AU1024" t="s">
        <v>177</v>
      </c>
      <c r="AV1024" t="s">
        <v>1030</v>
      </c>
      <c r="AW1024" t="s">
        <v>182</v>
      </c>
      <c r="AX1024">
        <v>2</v>
      </c>
      <c r="AY1024" t="s">
        <v>188</v>
      </c>
      <c r="AZ1024" t="s">
        <v>189</v>
      </c>
      <c r="BA1024" t="s">
        <v>190</v>
      </c>
      <c r="BB1024" t="s">
        <v>191</v>
      </c>
      <c r="BC1024" t="s">
        <v>182</v>
      </c>
      <c r="BD1024" t="s">
        <v>182</v>
      </c>
      <c r="BE1024" t="s">
        <v>13668</v>
      </c>
      <c r="BF1024">
        <v>1</v>
      </c>
      <c r="BG1024">
        <v>1</v>
      </c>
      <c r="BH1024">
        <v>2010</v>
      </c>
      <c r="BI1024" t="s">
        <v>1271</v>
      </c>
      <c r="BJ1024" t="s">
        <v>194</v>
      </c>
      <c r="BK1024" t="s">
        <v>195</v>
      </c>
      <c r="BL1024" t="s">
        <v>1225</v>
      </c>
      <c r="BM1024" t="s">
        <v>346</v>
      </c>
      <c r="BN1024" t="s">
        <v>182</v>
      </c>
      <c r="BO1024" t="s">
        <v>13669</v>
      </c>
      <c r="BP1024" t="s">
        <v>13670</v>
      </c>
      <c r="BS1024" t="s">
        <v>2637</v>
      </c>
      <c r="BT1024" t="s">
        <v>198</v>
      </c>
      <c r="BU1024" t="s">
        <v>182</v>
      </c>
      <c r="BV1024" t="s">
        <v>198</v>
      </c>
      <c r="BW1024" t="s">
        <v>198</v>
      </c>
      <c r="BX1024" t="s">
        <v>199</v>
      </c>
      <c r="BY1024" t="s">
        <v>198</v>
      </c>
      <c r="BZ1024" t="s">
        <v>199</v>
      </c>
      <c r="CA1024" t="s">
        <v>199</v>
      </c>
      <c r="CB1024" t="s">
        <v>13671</v>
      </c>
      <c r="CC1024" t="s">
        <v>201</v>
      </c>
      <c r="CD1024" t="s">
        <v>182</v>
      </c>
      <c r="CE1024" t="s">
        <v>13672</v>
      </c>
      <c r="CF1024" t="s">
        <v>1029</v>
      </c>
      <c r="CG1024" t="s">
        <v>177</v>
      </c>
      <c r="CH1024" t="s">
        <v>1030</v>
      </c>
      <c r="CI1024" t="s">
        <v>13673</v>
      </c>
      <c r="CJ1024" t="s">
        <v>5844</v>
      </c>
      <c r="CK1024" t="s">
        <v>232</v>
      </c>
      <c r="CL1024" t="s">
        <v>233</v>
      </c>
      <c r="CM1024" t="s">
        <v>13674</v>
      </c>
      <c r="CN1024" t="s">
        <v>235</v>
      </c>
      <c r="CO1024" t="s">
        <v>183</v>
      </c>
      <c r="CP1024" t="s">
        <v>211</v>
      </c>
      <c r="CQ1024" t="s">
        <v>199</v>
      </c>
      <c r="CR1024" t="s">
        <v>271</v>
      </c>
      <c r="CS1024" t="s">
        <v>735</v>
      </c>
      <c r="CT1024" t="s">
        <v>10347</v>
      </c>
      <c r="CU1024" t="s">
        <v>292</v>
      </c>
      <c r="CV1024" t="s">
        <v>293</v>
      </c>
      <c r="CW1024" t="s">
        <v>13675</v>
      </c>
      <c r="CX1024" t="s">
        <v>235</v>
      </c>
      <c r="CY1024" t="s">
        <v>183</v>
      </c>
      <c r="CZ1024" t="s">
        <v>211</v>
      </c>
      <c r="DA1024" t="s">
        <v>427</v>
      </c>
      <c r="DB1024" t="s">
        <v>271</v>
      </c>
      <c r="DC1024" t="s">
        <v>735</v>
      </c>
      <c r="DD1024" t="s">
        <v>12952</v>
      </c>
      <c r="DE1024" t="s">
        <v>267</v>
      </c>
      <c r="DF1024" t="s">
        <v>268</v>
      </c>
      <c r="DG1024" t="s">
        <v>13676</v>
      </c>
      <c r="DH1024" t="s">
        <v>235</v>
      </c>
      <c r="DI1024" t="s">
        <v>183</v>
      </c>
      <c r="DJ1024" t="s">
        <v>211</v>
      </c>
      <c r="DL1024" t="s">
        <v>271</v>
      </c>
      <c r="DM1024" t="s">
        <v>198</v>
      </c>
      <c r="DN1024" t="s">
        <v>6995</v>
      </c>
      <c r="DO1024" t="s">
        <v>273</v>
      </c>
      <c r="DP1024" t="s">
        <v>274</v>
      </c>
      <c r="DQ1024" t="s">
        <v>13677</v>
      </c>
      <c r="DR1024" t="s">
        <v>235</v>
      </c>
      <c r="DS1024" t="s">
        <v>183</v>
      </c>
      <c r="DT1024" t="s">
        <v>211</v>
      </c>
      <c r="DU1024" t="s">
        <v>337</v>
      </c>
      <c r="DW1024" t="s">
        <v>544</v>
      </c>
      <c r="DX1024" t="s">
        <v>11389</v>
      </c>
      <c r="DY1024" t="s">
        <v>302</v>
      </c>
      <c r="DZ1024" t="s">
        <v>303</v>
      </c>
      <c r="EA1024" t="s">
        <v>13678</v>
      </c>
      <c r="EB1024" t="s">
        <v>796</v>
      </c>
      <c r="EC1024" t="s">
        <v>183</v>
      </c>
      <c r="ED1024" t="s">
        <v>211</v>
      </c>
      <c r="EE1024" t="s">
        <v>337</v>
      </c>
      <c r="EG1024" t="s">
        <v>1486</v>
      </c>
      <c r="EH1024" t="s">
        <v>13679</v>
      </c>
      <c r="EI1024" t="s">
        <v>238</v>
      </c>
      <c r="EJ1024" t="s">
        <v>239</v>
      </c>
      <c r="EK1024" t="s">
        <v>13680</v>
      </c>
      <c r="EL1024" t="s">
        <v>247</v>
      </c>
      <c r="EM1024" t="s">
        <v>183</v>
      </c>
      <c r="EN1024" t="s">
        <v>211</v>
      </c>
      <c r="EO1024" t="s">
        <v>306</v>
      </c>
      <c r="EQ1024" t="s">
        <v>13681</v>
      </c>
      <c r="ER1024" t="s">
        <v>11262</v>
      </c>
      <c r="ES1024" t="s">
        <v>346</v>
      </c>
      <c r="ET1024" t="s">
        <v>347</v>
      </c>
      <c r="EU1024" t="s">
        <v>13682</v>
      </c>
      <c r="EV1024" t="s">
        <v>1491</v>
      </c>
      <c r="EW1024" t="s">
        <v>183</v>
      </c>
      <c r="EX1024" t="s">
        <v>211</v>
      </c>
      <c r="EY1024" t="s">
        <v>523</v>
      </c>
      <c r="FA1024" t="s">
        <v>13683</v>
      </c>
      <c r="FK1024" t="s">
        <v>198</v>
      </c>
      <c r="FU1024" t="s">
        <v>198</v>
      </c>
    </row>
    <row r="1025" spans="1:177">
      <c r="A1025" s="1" t="str">
        <f>HYPERLINK("http://digipan.lumentumllc.com/apps/getLink/index.php?t=PropLink&amp;p=15763238","PL")</f>
        <v>PL</v>
      </c>
      <c r="B1025" s="1" t="str">
        <f>HYPERLINK("http://digipan.lumentumllc.com/apps/getLink/index.php?t=TaxLink&amp;p=15763238","TL")</f>
        <v>TL</v>
      </c>
      <c r="C1025" s="1" t="str">
        <f>HYPERLINK("http://digipan.lumentumllc.com/apps/getMap/index.php?p=15763238","Map")</f>
        <v>Map</v>
      </c>
      <c r="E1025" t="s">
        <v>177</v>
      </c>
      <c r="F1025" t="s">
        <v>178</v>
      </c>
      <c r="L1025" t="s">
        <v>13684</v>
      </c>
      <c r="N1025" t="s">
        <v>13684</v>
      </c>
      <c r="O1025" t="s">
        <v>13684</v>
      </c>
      <c r="Q1025" t="s">
        <v>13684</v>
      </c>
      <c r="V1025">
        <v>1178</v>
      </c>
      <c r="W1025">
        <v>4</v>
      </c>
      <c r="X1025">
        <v>2017</v>
      </c>
      <c r="Y1025">
        <v>2018</v>
      </c>
      <c r="Z1025">
        <v>992.88</v>
      </c>
      <c r="AB1025" t="s">
        <v>181</v>
      </c>
      <c r="AC1025" t="s">
        <v>182</v>
      </c>
      <c r="AD1025" t="s">
        <v>183</v>
      </c>
      <c r="AE1025">
        <v>1</v>
      </c>
      <c r="AF1025">
        <v>0</v>
      </c>
      <c r="AG1025" t="s">
        <v>1200</v>
      </c>
      <c r="AH1025">
        <v>0</v>
      </c>
      <c r="AI1025">
        <v>970.75</v>
      </c>
      <c r="AJ1025">
        <v>48.54</v>
      </c>
      <c r="AK1025">
        <v>1019.29</v>
      </c>
      <c r="AL1025">
        <v>99141</v>
      </c>
      <c r="AM1025">
        <v>15000</v>
      </c>
      <c r="AN1025">
        <v>84141</v>
      </c>
      <c r="AO1025">
        <v>873</v>
      </c>
      <c r="AP1025">
        <v>2016</v>
      </c>
      <c r="AQ1025">
        <v>1</v>
      </c>
      <c r="AR1025">
        <v>1.03</v>
      </c>
      <c r="AS1025" t="s">
        <v>13685</v>
      </c>
      <c r="AT1025" t="s">
        <v>3747</v>
      </c>
      <c r="AU1025" t="s">
        <v>177</v>
      </c>
      <c r="AV1025" t="s">
        <v>1030</v>
      </c>
      <c r="AW1025" t="s">
        <v>202</v>
      </c>
      <c r="AX1025">
        <v>2</v>
      </c>
      <c r="AY1025" t="s">
        <v>188</v>
      </c>
      <c r="AZ1025" t="s">
        <v>189</v>
      </c>
      <c r="BA1025" t="s">
        <v>190</v>
      </c>
      <c r="BB1025" t="s">
        <v>191</v>
      </c>
      <c r="BC1025" t="s">
        <v>182</v>
      </c>
      <c r="BD1025" t="s">
        <v>182</v>
      </c>
      <c r="BE1025" t="s">
        <v>4175</v>
      </c>
      <c r="BF1025">
        <v>1</v>
      </c>
      <c r="BG1025">
        <v>1</v>
      </c>
      <c r="BH1025">
        <v>2015</v>
      </c>
      <c r="BI1025" t="s">
        <v>11916</v>
      </c>
      <c r="BJ1025" t="s">
        <v>396</v>
      </c>
      <c r="BK1025" t="s">
        <v>195</v>
      </c>
      <c r="BL1025" t="s">
        <v>199</v>
      </c>
      <c r="BM1025" t="s">
        <v>292</v>
      </c>
      <c r="BN1025" t="s">
        <v>182</v>
      </c>
      <c r="BO1025" t="s">
        <v>198</v>
      </c>
      <c r="BP1025" t="s">
        <v>198</v>
      </c>
      <c r="BQ1025" t="s">
        <v>198</v>
      </c>
      <c r="BR1025" t="s">
        <v>198</v>
      </c>
      <c r="BS1025" t="s">
        <v>198</v>
      </c>
      <c r="BT1025" t="s">
        <v>198</v>
      </c>
      <c r="BU1025" t="s">
        <v>182</v>
      </c>
      <c r="BV1025" t="s">
        <v>198</v>
      </c>
      <c r="BW1025" t="s">
        <v>198</v>
      </c>
      <c r="BX1025" t="s">
        <v>199</v>
      </c>
      <c r="BY1025" t="s">
        <v>198</v>
      </c>
      <c r="BZ1025" t="s">
        <v>199</v>
      </c>
      <c r="CA1025" t="s">
        <v>199</v>
      </c>
      <c r="CB1025" t="s">
        <v>13686</v>
      </c>
      <c r="CC1025" t="s">
        <v>201</v>
      </c>
      <c r="CD1025" t="s">
        <v>182</v>
      </c>
      <c r="CE1025" t="s">
        <v>13687</v>
      </c>
      <c r="CF1025" t="s">
        <v>1029</v>
      </c>
      <c r="CG1025" t="s">
        <v>177</v>
      </c>
      <c r="CH1025" t="s">
        <v>1030</v>
      </c>
      <c r="CI1025" t="s">
        <v>13688</v>
      </c>
      <c r="CJ1025" t="s">
        <v>12671</v>
      </c>
      <c r="CK1025" t="s">
        <v>232</v>
      </c>
      <c r="CL1025" t="s">
        <v>233</v>
      </c>
      <c r="CM1025" t="s">
        <v>13689</v>
      </c>
      <c r="CN1025" t="s">
        <v>235</v>
      </c>
      <c r="CO1025" t="s">
        <v>183</v>
      </c>
      <c r="CP1025" t="s">
        <v>266</v>
      </c>
      <c r="CS1025" t="s">
        <v>198</v>
      </c>
      <c r="DC1025" t="s">
        <v>198</v>
      </c>
      <c r="DM1025" t="s">
        <v>198</v>
      </c>
      <c r="DW1025" t="s">
        <v>198</v>
      </c>
      <c r="EG1025" t="s">
        <v>198</v>
      </c>
      <c r="EQ1025" t="s">
        <v>198</v>
      </c>
      <c r="FA1025" t="s">
        <v>198</v>
      </c>
      <c r="FK1025" t="s">
        <v>198</v>
      </c>
      <c r="FU1025" t="s">
        <v>198</v>
      </c>
    </row>
    <row r="1026" spans="1:177">
      <c r="A1026" s="1" t="str">
        <f>HYPERLINK("http://digipan.lumentumllc.com/apps/getLink/index.php?t=PropLink&amp;p=5246243","PL")</f>
        <v>PL</v>
      </c>
      <c r="B1026" s="1" t="str">
        <f>HYPERLINK("http://digipan.lumentumllc.com/apps/getLink/index.php?t=TaxLink&amp;p=5246243","TL")</f>
        <v>TL</v>
      </c>
      <c r="C1026" s="1" t="str">
        <f>HYPERLINK("http://digipan.lumentumllc.com/apps/getMap/index.php?p=5246243","Map")</f>
        <v>Map</v>
      </c>
      <c r="E1026" t="s">
        <v>177</v>
      </c>
      <c r="F1026" t="s">
        <v>178</v>
      </c>
      <c r="L1026" t="s">
        <v>13690</v>
      </c>
      <c r="N1026" t="s">
        <v>13690</v>
      </c>
      <c r="O1026" t="s">
        <v>13690</v>
      </c>
      <c r="P1026" t="s">
        <v>13691</v>
      </c>
      <c r="Q1026" t="s">
        <v>13690</v>
      </c>
      <c r="V1026">
        <v>1179</v>
      </c>
      <c r="W1026">
        <v>4</v>
      </c>
      <c r="X1026">
        <v>2017</v>
      </c>
      <c r="Y1026">
        <v>2018</v>
      </c>
      <c r="Z1026">
        <v>1063.1500000000001</v>
      </c>
      <c r="AB1026" t="s">
        <v>181</v>
      </c>
      <c r="AC1026" t="s">
        <v>182</v>
      </c>
      <c r="AD1026" t="s">
        <v>183</v>
      </c>
      <c r="AE1026">
        <v>0</v>
      </c>
      <c r="AF1026">
        <v>4</v>
      </c>
      <c r="AG1026" t="s">
        <v>744</v>
      </c>
      <c r="AH1026">
        <v>100</v>
      </c>
      <c r="AK1026">
        <v>0</v>
      </c>
      <c r="AL1026">
        <v>98181</v>
      </c>
      <c r="AM1026">
        <v>66150</v>
      </c>
      <c r="AN1026">
        <v>32031</v>
      </c>
      <c r="AO1026">
        <v>887</v>
      </c>
      <c r="AP1026">
        <v>2016</v>
      </c>
      <c r="AQ1026">
        <v>1.08</v>
      </c>
      <c r="AS1026" t="s">
        <v>13692</v>
      </c>
      <c r="AT1026" t="s">
        <v>186</v>
      </c>
      <c r="AU1026" t="s">
        <v>177</v>
      </c>
      <c r="AV1026" t="s">
        <v>187</v>
      </c>
      <c r="AW1026" t="s">
        <v>202</v>
      </c>
      <c r="AX1026">
        <v>1</v>
      </c>
      <c r="AY1026" t="s">
        <v>188</v>
      </c>
      <c r="AZ1026" t="s">
        <v>206</v>
      </c>
      <c r="BA1026" t="s">
        <v>355</v>
      </c>
      <c r="BB1026" t="s">
        <v>191</v>
      </c>
      <c r="BC1026" t="s">
        <v>182</v>
      </c>
      <c r="BD1026" t="s">
        <v>182</v>
      </c>
      <c r="BE1026" t="s">
        <v>1296</v>
      </c>
      <c r="BF1026">
        <v>2</v>
      </c>
      <c r="BG1026">
        <v>2</v>
      </c>
      <c r="BH1026">
        <v>1971</v>
      </c>
      <c r="BI1026" t="s">
        <v>13693</v>
      </c>
      <c r="BJ1026" t="s">
        <v>315</v>
      </c>
      <c r="BK1026" t="s">
        <v>195</v>
      </c>
      <c r="BL1026" t="s">
        <v>199</v>
      </c>
      <c r="BM1026" t="s">
        <v>1311</v>
      </c>
      <c r="BN1026" t="s">
        <v>182</v>
      </c>
      <c r="BO1026" t="s">
        <v>13694</v>
      </c>
      <c r="BP1026" t="s">
        <v>2542</v>
      </c>
      <c r="BS1026" t="s">
        <v>13695</v>
      </c>
      <c r="BT1026" t="s">
        <v>198</v>
      </c>
      <c r="BU1026" t="s">
        <v>182</v>
      </c>
      <c r="BV1026" t="s">
        <v>198</v>
      </c>
      <c r="BW1026" t="s">
        <v>198</v>
      </c>
      <c r="BX1026" t="s">
        <v>199</v>
      </c>
      <c r="BY1026" t="s">
        <v>198</v>
      </c>
      <c r="BZ1026" t="s">
        <v>199</v>
      </c>
      <c r="CA1026" t="s">
        <v>199</v>
      </c>
      <c r="CB1026" t="s">
        <v>13696</v>
      </c>
      <c r="CC1026" t="s">
        <v>201</v>
      </c>
      <c r="CD1026" t="s">
        <v>202</v>
      </c>
      <c r="CE1026" t="s">
        <v>13697</v>
      </c>
      <c r="CF1026" t="s">
        <v>204</v>
      </c>
      <c r="CG1026" t="s">
        <v>177</v>
      </c>
      <c r="CH1026" t="s">
        <v>187</v>
      </c>
      <c r="CI1026" t="s">
        <v>4495</v>
      </c>
      <c r="CJ1026" t="s">
        <v>10012</v>
      </c>
      <c r="CK1026" t="s">
        <v>232</v>
      </c>
      <c r="CL1026" t="s">
        <v>233</v>
      </c>
      <c r="CM1026" t="s">
        <v>13698</v>
      </c>
      <c r="CN1026" t="s">
        <v>235</v>
      </c>
      <c r="CO1026" t="s">
        <v>183</v>
      </c>
      <c r="CP1026" t="s">
        <v>211</v>
      </c>
      <c r="CQ1026" t="s">
        <v>206</v>
      </c>
      <c r="CS1026" t="s">
        <v>13699</v>
      </c>
      <c r="CT1026" t="s">
        <v>10498</v>
      </c>
      <c r="CU1026" t="s">
        <v>292</v>
      </c>
      <c r="CV1026" t="s">
        <v>293</v>
      </c>
      <c r="CW1026" t="s">
        <v>13700</v>
      </c>
      <c r="CX1026" t="s">
        <v>235</v>
      </c>
      <c r="CY1026" t="s">
        <v>183</v>
      </c>
      <c r="CZ1026" t="s">
        <v>211</v>
      </c>
      <c r="DA1026" t="s">
        <v>199</v>
      </c>
      <c r="DC1026" t="s">
        <v>3992</v>
      </c>
      <c r="DD1026" t="s">
        <v>12968</v>
      </c>
      <c r="DE1026" t="s">
        <v>267</v>
      </c>
      <c r="DF1026" t="s">
        <v>268</v>
      </c>
      <c r="DG1026" t="s">
        <v>13701</v>
      </c>
      <c r="DH1026" t="s">
        <v>235</v>
      </c>
      <c r="DI1026" t="s">
        <v>183</v>
      </c>
      <c r="DJ1026" t="s">
        <v>211</v>
      </c>
      <c r="DK1026" t="s">
        <v>206</v>
      </c>
      <c r="DM1026" t="s">
        <v>1731</v>
      </c>
      <c r="DN1026" t="s">
        <v>4122</v>
      </c>
      <c r="DO1026" t="s">
        <v>273</v>
      </c>
      <c r="DP1026" t="s">
        <v>274</v>
      </c>
      <c r="DQ1026" t="s">
        <v>13702</v>
      </c>
      <c r="DR1026" t="s">
        <v>235</v>
      </c>
      <c r="DS1026" t="s">
        <v>183</v>
      </c>
      <c r="DT1026" t="s">
        <v>211</v>
      </c>
      <c r="DU1026" t="s">
        <v>264</v>
      </c>
      <c r="DW1026" t="s">
        <v>11313</v>
      </c>
      <c r="EG1026" t="s">
        <v>198</v>
      </c>
      <c r="EQ1026" t="s">
        <v>198</v>
      </c>
      <c r="FA1026" t="s">
        <v>198</v>
      </c>
      <c r="FK1026" t="s">
        <v>198</v>
      </c>
      <c r="FU1026" t="s">
        <v>198</v>
      </c>
    </row>
    <row r="1027" spans="1:177">
      <c r="A1027" s="1" t="str">
        <f>HYPERLINK("http://digipan.lumentumllc.com/apps/getLink/index.php?t=PropLink&amp;p=5246244","PL")</f>
        <v>PL</v>
      </c>
      <c r="B1027" s="1" t="str">
        <f>HYPERLINK("http://digipan.lumentumllc.com/apps/getLink/index.php?t=TaxLink&amp;p=5246244","TL")</f>
        <v>TL</v>
      </c>
      <c r="C1027" s="1" t="str">
        <f>HYPERLINK("http://digipan.lumentumllc.com/apps/getMap/index.php?p=5246244","Map")</f>
        <v>Map</v>
      </c>
      <c r="E1027" t="s">
        <v>177</v>
      </c>
      <c r="F1027" t="s">
        <v>178</v>
      </c>
      <c r="L1027" t="s">
        <v>13703</v>
      </c>
      <c r="N1027" t="s">
        <v>13703</v>
      </c>
      <c r="O1027" t="s">
        <v>13703</v>
      </c>
      <c r="P1027" t="s">
        <v>13704</v>
      </c>
      <c r="Q1027" t="s">
        <v>13703</v>
      </c>
      <c r="V1027">
        <v>1180</v>
      </c>
      <c r="W1027">
        <v>4</v>
      </c>
      <c r="X1027">
        <v>2017</v>
      </c>
      <c r="Y1027">
        <v>2018</v>
      </c>
      <c r="Z1027">
        <v>970.61</v>
      </c>
      <c r="AB1027" t="s">
        <v>181</v>
      </c>
      <c r="AC1027" t="s">
        <v>182</v>
      </c>
      <c r="AD1027" t="s">
        <v>183</v>
      </c>
      <c r="AE1027">
        <v>1</v>
      </c>
      <c r="AF1027">
        <v>7</v>
      </c>
      <c r="AG1027" t="s">
        <v>418</v>
      </c>
      <c r="AH1027">
        <v>86</v>
      </c>
      <c r="AI1027">
        <v>862.99</v>
      </c>
      <c r="AJ1027">
        <v>43.15</v>
      </c>
      <c r="AK1027">
        <v>906.14</v>
      </c>
      <c r="AL1027">
        <v>59835</v>
      </c>
      <c r="AM1027">
        <v>37800</v>
      </c>
      <c r="AN1027">
        <v>22035</v>
      </c>
      <c r="AO1027">
        <v>773</v>
      </c>
      <c r="AP1027">
        <v>2016</v>
      </c>
      <c r="AQ1027">
        <v>1.62</v>
      </c>
      <c r="AR1027">
        <v>1.51</v>
      </c>
      <c r="AS1027" t="s">
        <v>13705</v>
      </c>
      <c r="AT1027" t="s">
        <v>186</v>
      </c>
      <c r="AU1027" t="s">
        <v>177</v>
      </c>
      <c r="AV1027" t="s">
        <v>187</v>
      </c>
      <c r="AW1027" t="s">
        <v>182</v>
      </c>
      <c r="AX1027">
        <v>2</v>
      </c>
      <c r="AY1027" t="s">
        <v>188</v>
      </c>
      <c r="AZ1027" t="s">
        <v>189</v>
      </c>
      <c r="BA1027" t="s">
        <v>190</v>
      </c>
      <c r="BB1027" t="s">
        <v>191</v>
      </c>
      <c r="BC1027" t="s">
        <v>182</v>
      </c>
      <c r="BD1027" t="s">
        <v>182</v>
      </c>
      <c r="BE1027" t="s">
        <v>305</v>
      </c>
      <c r="BF1027">
        <v>1</v>
      </c>
      <c r="BG1027">
        <v>1</v>
      </c>
      <c r="BH1027">
        <v>1987</v>
      </c>
      <c r="BI1027" t="s">
        <v>2880</v>
      </c>
      <c r="BJ1027" t="s">
        <v>194</v>
      </c>
      <c r="BK1027" t="s">
        <v>195</v>
      </c>
      <c r="BL1027" t="s">
        <v>199</v>
      </c>
      <c r="BM1027" t="s">
        <v>325</v>
      </c>
      <c r="BN1027" t="s">
        <v>182</v>
      </c>
      <c r="BO1027" t="s">
        <v>198</v>
      </c>
      <c r="BP1027" t="s">
        <v>198</v>
      </c>
      <c r="BQ1027" t="s">
        <v>198</v>
      </c>
      <c r="BR1027" t="s">
        <v>198</v>
      </c>
      <c r="BS1027" t="s">
        <v>198</v>
      </c>
      <c r="BT1027" t="s">
        <v>198</v>
      </c>
      <c r="BU1027" t="s">
        <v>182</v>
      </c>
      <c r="BV1027" t="s">
        <v>198</v>
      </c>
      <c r="BW1027" t="s">
        <v>198</v>
      </c>
      <c r="BX1027" t="s">
        <v>199</v>
      </c>
      <c r="BY1027" t="s">
        <v>198</v>
      </c>
      <c r="BZ1027" t="s">
        <v>199</v>
      </c>
      <c r="CA1027" t="s">
        <v>199</v>
      </c>
      <c r="CB1027" t="s">
        <v>13706</v>
      </c>
      <c r="CC1027" t="s">
        <v>201</v>
      </c>
      <c r="CD1027" t="s">
        <v>182</v>
      </c>
      <c r="CE1027" t="s">
        <v>13707</v>
      </c>
      <c r="CF1027" t="s">
        <v>204</v>
      </c>
      <c r="CG1027" t="s">
        <v>177</v>
      </c>
      <c r="CH1027" t="s">
        <v>187</v>
      </c>
      <c r="CI1027" t="s">
        <v>2147</v>
      </c>
      <c r="CJ1027" t="s">
        <v>12702</v>
      </c>
      <c r="CK1027" t="s">
        <v>232</v>
      </c>
      <c r="CL1027" t="s">
        <v>233</v>
      </c>
      <c r="CM1027" t="s">
        <v>13708</v>
      </c>
      <c r="CN1027" t="s">
        <v>235</v>
      </c>
      <c r="CO1027" t="s">
        <v>183</v>
      </c>
      <c r="CP1027" t="s">
        <v>266</v>
      </c>
      <c r="CS1027" t="s">
        <v>198</v>
      </c>
      <c r="CT1027" t="s">
        <v>6197</v>
      </c>
      <c r="CU1027" t="s">
        <v>292</v>
      </c>
      <c r="CV1027" t="s">
        <v>293</v>
      </c>
      <c r="CW1027" t="s">
        <v>13709</v>
      </c>
      <c r="CX1027" t="s">
        <v>235</v>
      </c>
      <c r="CY1027" t="s">
        <v>183</v>
      </c>
      <c r="CZ1027" t="s">
        <v>211</v>
      </c>
      <c r="DA1027" t="s">
        <v>345</v>
      </c>
      <c r="DC1027" t="s">
        <v>6851</v>
      </c>
      <c r="DD1027" t="s">
        <v>12998</v>
      </c>
      <c r="DE1027" t="s">
        <v>267</v>
      </c>
      <c r="DF1027" t="s">
        <v>268</v>
      </c>
      <c r="DG1027" t="s">
        <v>13710</v>
      </c>
      <c r="DH1027" t="s">
        <v>235</v>
      </c>
      <c r="DI1027" t="s">
        <v>183</v>
      </c>
      <c r="DJ1027" t="s">
        <v>211</v>
      </c>
      <c r="DK1027" t="s">
        <v>345</v>
      </c>
      <c r="DM1027" t="s">
        <v>2917</v>
      </c>
      <c r="DN1027" t="s">
        <v>7970</v>
      </c>
      <c r="DO1027" t="s">
        <v>273</v>
      </c>
      <c r="DP1027" t="s">
        <v>274</v>
      </c>
      <c r="DQ1027" t="s">
        <v>13711</v>
      </c>
      <c r="DR1027" t="s">
        <v>235</v>
      </c>
      <c r="DS1027" t="s">
        <v>183</v>
      </c>
      <c r="DT1027" t="s">
        <v>211</v>
      </c>
      <c r="DU1027" t="s">
        <v>345</v>
      </c>
      <c r="DW1027" t="s">
        <v>13712</v>
      </c>
      <c r="DX1027" t="s">
        <v>13713</v>
      </c>
      <c r="DY1027" t="s">
        <v>302</v>
      </c>
      <c r="DZ1027" t="s">
        <v>303</v>
      </c>
      <c r="EA1027" t="s">
        <v>13714</v>
      </c>
      <c r="EB1027" t="s">
        <v>235</v>
      </c>
      <c r="EC1027" t="s">
        <v>183</v>
      </c>
      <c r="ED1027" t="s">
        <v>211</v>
      </c>
      <c r="EE1027" t="s">
        <v>345</v>
      </c>
      <c r="EG1027" t="s">
        <v>11932</v>
      </c>
      <c r="EH1027" t="s">
        <v>13715</v>
      </c>
      <c r="EI1027" t="s">
        <v>238</v>
      </c>
      <c r="EJ1027" t="s">
        <v>239</v>
      </c>
      <c r="EK1027" t="s">
        <v>13716</v>
      </c>
      <c r="EL1027" t="s">
        <v>440</v>
      </c>
      <c r="EM1027" t="s">
        <v>183</v>
      </c>
      <c r="EN1027" t="s">
        <v>211</v>
      </c>
      <c r="EO1027" t="s">
        <v>298</v>
      </c>
      <c r="EQ1027" t="s">
        <v>520</v>
      </c>
      <c r="ER1027" t="s">
        <v>11273</v>
      </c>
      <c r="ES1027" t="s">
        <v>346</v>
      </c>
      <c r="ET1027" t="s">
        <v>347</v>
      </c>
      <c r="EU1027" t="s">
        <v>13717</v>
      </c>
      <c r="EV1027" t="s">
        <v>1491</v>
      </c>
      <c r="EW1027" t="s">
        <v>183</v>
      </c>
      <c r="EX1027" t="s">
        <v>211</v>
      </c>
      <c r="EY1027" t="s">
        <v>298</v>
      </c>
      <c r="FA1027" t="s">
        <v>470</v>
      </c>
      <c r="FB1027" t="s">
        <v>10812</v>
      </c>
      <c r="FC1027" t="s">
        <v>207</v>
      </c>
      <c r="FD1027" t="s">
        <v>208</v>
      </c>
      <c r="FE1027" t="s">
        <v>13718</v>
      </c>
      <c r="FF1027" t="s">
        <v>341</v>
      </c>
      <c r="FG1027" t="s">
        <v>183</v>
      </c>
      <c r="FH1027" t="s">
        <v>211</v>
      </c>
      <c r="FI1027" t="s">
        <v>342</v>
      </c>
      <c r="FK1027" t="s">
        <v>13719</v>
      </c>
      <c r="FU1027" t="s">
        <v>198</v>
      </c>
    </row>
    <row r="1028" spans="1:177">
      <c r="A1028" s="1" t="str">
        <f>HYPERLINK("http://digipan.lumentumllc.com/apps/getLink/index.php?t=PropLink&amp;p=4637727","PL")</f>
        <v>PL</v>
      </c>
      <c r="B1028" s="1" t="str">
        <f>HYPERLINK("http://digipan.lumentumllc.com/apps/getLink/index.php?t=TaxLink&amp;p=4637727","TL")</f>
        <v>TL</v>
      </c>
      <c r="C1028" s="1" t="str">
        <f>HYPERLINK("http://digipan.lumentumllc.com/apps/getMap/index.php?p=4637727","Map")</f>
        <v>Map</v>
      </c>
      <c r="E1028" t="s">
        <v>177</v>
      </c>
      <c r="F1028" t="s">
        <v>178</v>
      </c>
      <c r="L1028" t="s">
        <v>13720</v>
      </c>
      <c r="N1028" t="s">
        <v>13720</v>
      </c>
      <c r="O1028" t="s">
        <v>13720</v>
      </c>
      <c r="P1028" t="s">
        <v>13721</v>
      </c>
      <c r="Q1028" t="s">
        <v>13720</v>
      </c>
      <c r="V1028">
        <v>1181</v>
      </c>
      <c r="W1028">
        <v>4</v>
      </c>
      <c r="X1028">
        <v>2017</v>
      </c>
      <c r="Y1028">
        <v>2018</v>
      </c>
      <c r="Z1028">
        <v>564.6</v>
      </c>
      <c r="AB1028" t="s">
        <v>181</v>
      </c>
      <c r="AC1028" t="s">
        <v>182</v>
      </c>
      <c r="AD1028" t="s">
        <v>183</v>
      </c>
      <c r="AE1028">
        <v>1</v>
      </c>
      <c r="AF1028">
        <v>5</v>
      </c>
      <c r="AG1028" t="s">
        <v>951</v>
      </c>
      <c r="AH1028">
        <v>80</v>
      </c>
      <c r="AI1028">
        <v>534.78</v>
      </c>
      <c r="AJ1028">
        <v>26.74</v>
      </c>
      <c r="AK1028">
        <v>561.52</v>
      </c>
      <c r="AL1028">
        <v>58307</v>
      </c>
      <c r="AM1028">
        <v>37548</v>
      </c>
      <c r="AN1028">
        <v>20759</v>
      </c>
      <c r="AO1028">
        <v>470</v>
      </c>
      <c r="AP1028">
        <v>2016</v>
      </c>
      <c r="AQ1028">
        <v>0.97</v>
      </c>
      <c r="AR1028">
        <v>0.96</v>
      </c>
      <c r="AS1028" t="s">
        <v>13722</v>
      </c>
      <c r="AT1028" t="s">
        <v>186</v>
      </c>
      <c r="AU1028" t="s">
        <v>177</v>
      </c>
      <c r="AV1028" t="s">
        <v>187</v>
      </c>
      <c r="AW1028" t="s">
        <v>202</v>
      </c>
      <c r="AX1028">
        <v>2</v>
      </c>
      <c r="AY1028" t="s">
        <v>188</v>
      </c>
      <c r="AZ1028" t="s">
        <v>189</v>
      </c>
      <c r="BA1028" t="s">
        <v>190</v>
      </c>
      <c r="BB1028" t="s">
        <v>191</v>
      </c>
      <c r="BC1028" t="s">
        <v>182</v>
      </c>
      <c r="BD1028" t="s">
        <v>182</v>
      </c>
      <c r="BE1028" t="s">
        <v>13723</v>
      </c>
      <c r="BF1028">
        <v>1</v>
      </c>
      <c r="BG1028">
        <v>1</v>
      </c>
      <c r="BH1028">
        <v>1984</v>
      </c>
      <c r="BI1028" t="s">
        <v>13724</v>
      </c>
      <c r="BJ1028" t="s">
        <v>194</v>
      </c>
      <c r="BK1028" t="s">
        <v>195</v>
      </c>
      <c r="BL1028" t="s">
        <v>199</v>
      </c>
      <c r="BM1028" t="s">
        <v>267</v>
      </c>
      <c r="BN1028" t="s">
        <v>182</v>
      </c>
      <c r="BO1028" t="s">
        <v>198</v>
      </c>
      <c r="BP1028" t="s">
        <v>198</v>
      </c>
      <c r="BQ1028" t="s">
        <v>198</v>
      </c>
      <c r="BR1028" t="s">
        <v>198</v>
      </c>
      <c r="BS1028" t="s">
        <v>198</v>
      </c>
      <c r="BT1028" t="s">
        <v>198</v>
      </c>
      <c r="BU1028" t="s">
        <v>182</v>
      </c>
      <c r="BV1028" t="s">
        <v>198</v>
      </c>
      <c r="BW1028" t="s">
        <v>198</v>
      </c>
      <c r="BX1028" t="s">
        <v>199</v>
      </c>
      <c r="BY1028" t="s">
        <v>198</v>
      </c>
      <c r="BZ1028" t="s">
        <v>199</v>
      </c>
      <c r="CA1028" t="s">
        <v>199</v>
      </c>
      <c r="CB1028" t="s">
        <v>13725</v>
      </c>
      <c r="CC1028" t="s">
        <v>201</v>
      </c>
      <c r="CD1028" t="s">
        <v>202</v>
      </c>
      <c r="CE1028" t="s">
        <v>13726</v>
      </c>
      <c r="CF1028" t="s">
        <v>204</v>
      </c>
      <c r="CG1028" t="s">
        <v>177</v>
      </c>
      <c r="CH1028" t="s">
        <v>187</v>
      </c>
      <c r="CI1028" t="s">
        <v>13727</v>
      </c>
      <c r="CJ1028" t="s">
        <v>10172</v>
      </c>
      <c r="CK1028" t="s">
        <v>232</v>
      </c>
      <c r="CL1028" t="s">
        <v>233</v>
      </c>
      <c r="CM1028" t="s">
        <v>13728</v>
      </c>
      <c r="CN1028" t="s">
        <v>235</v>
      </c>
      <c r="CO1028" t="s">
        <v>183</v>
      </c>
      <c r="CP1028" t="s">
        <v>266</v>
      </c>
      <c r="CS1028" t="s">
        <v>198</v>
      </c>
      <c r="CT1028" t="s">
        <v>10431</v>
      </c>
      <c r="CU1028" t="s">
        <v>292</v>
      </c>
      <c r="CV1028" t="s">
        <v>293</v>
      </c>
      <c r="CW1028" t="s">
        <v>13729</v>
      </c>
      <c r="CX1028" t="s">
        <v>235</v>
      </c>
      <c r="CY1028" t="s">
        <v>183</v>
      </c>
      <c r="CZ1028" t="s">
        <v>211</v>
      </c>
      <c r="DA1028" t="s">
        <v>189</v>
      </c>
      <c r="DC1028" t="s">
        <v>13730</v>
      </c>
      <c r="DD1028" t="s">
        <v>13016</v>
      </c>
      <c r="DE1028" t="s">
        <v>267</v>
      </c>
      <c r="DF1028" t="s">
        <v>268</v>
      </c>
      <c r="DG1028" t="s">
        <v>13731</v>
      </c>
      <c r="DH1028" t="s">
        <v>235</v>
      </c>
      <c r="DI1028" t="s">
        <v>183</v>
      </c>
      <c r="DJ1028" t="s">
        <v>211</v>
      </c>
      <c r="DK1028" t="s">
        <v>342</v>
      </c>
      <c r="DM1028" t="s">
        <v>5967</v>
      </c>
      <c r="DN1028" t="s">
        <v>11358</v>
      </c>
      <c r="DO1028" t="s">
        <v>273</v>
      </c>
      <c r="DP1028" t="s">
        <v>274</v>
      </c>
      <c r="DQ1028" t="s">
        <v>13732</v>
      </c>
      <c r="DR1028" t="s">
        <v>514</v>
      </c>
      <c r="DS1028" t="s">
        <v>183</v>
      </c>
      <c r="DT1028" t="s">
        <v>211</v>
      </c>
      <c r="DU1028" t="s">
        <v>345</v>
      </c>
      <c r="DW1028" t="s">
        <v>5967</v>
      </c>
      <c r="DX1028" t="s">
        <v>13733</v>
      </c>
      <c r="DY1028" t="s">
        <v>302</v>
      </c>
      <c r="DZ1028" t="s">
        <v>303</v>
      </c>
      <c r="EA1028" t="s">
        <v>13734</v>
      </c>
      <c r="EB1028" t="s">
        <v>235</v>
      </c>
      <c r="EC1028" t="s">
        <v>183</v>
      </c>
      <c r="ED1028" t="s">
        <v>211</v>
      </c>
      <c r="EE1028" t="s">
        <v>298</v>
      </c>
      <c r="EG1028" t="s">
        <v>8657</v>
      </c>
      <c r="EH1028" t="s">
        <v>10823</v>
      </c>
      <c r="EI1028" t="s">
        <v>207</v>
      </c>
      <c r="EJ1028" t="s">
        <v>208</v>
      </c>
      <c r="EK1028" t="s">
        <v>13735</v>
      </c>
      <c r="EL1028" t="s">
        <v>341</v>
      </c>
      <c r="EM1028" t="s">
        <v>183</v>
      </c>
      <c r="EN1028" t="s">
        <v>211</v>
      </c>
      <c r="EO1028" t="s">
        <v>298</v>
      </c>
      <c r="EQ1028" t="s">
        <v>8974</v>
      </c>
      <c r="FA1028" t="s">
        <v>198</v>
      </c>
      <c r="FK1028" t="s">
        <v>198</v>
      </c>
      <c r="FU1028" t="s">
        <v>198</v>
      </c>
    </row>
    <row r="1029" spans="1:177">
      <c r="A1029" s="1" t="str">
        <f>HYPERLINK("http://digipan.lumentumllc.com/apps/getLink/index.php?t=PropLink&amp;p=5246325","PL")</f>
        <v>PL</v>
      </c>
      <c r="B1029" s="1" t="str">
        <f>HYPERLINK("http://digipan.lumentumllc.com/apps/getLink/index.php?t=TaxLink&amp;p=5246325","TL")</f>
        <v>TL</v>
      </c>
      <c r="C1029" s="1" t="str">
        <f>HYPERLINK("http://digipan.lumentumllc.com/apps/getMap/index.php?p=5246325","Map")</f>
        <v>Map</v>
      </c>
      <c r="E1029" t="s">
        <v>177</v>
      </c>
      <c r="F1029" t="s">
        <v>178</v>
      </c>
      <c r="L1029" t="s">
        <v>13736</v>
      </c>
      <c r="N1029" t="s">
        <v>13736</v>
      </c>
      <c r="O1029" t="s">
        <v>13736</v>
      </c>
      <c r="P1029" t="s">
        <v>13737</v>
      </c>
      <c r="Q1029" t="s">
        <v>13736</v>
      </c>
      <c r="V1029">
        <v>1182</v>
      </c>
      <c r="W1029">
        <v>4</v>
      </c>
      <c r="X1029">
        <v>2017</v>
      </c>
      <c r="Y1029">
        <v>2018</v>
      </c>
      <c r="Z1029">
        <v>1087.5999999999999</v>
      </c>
      <c r="AB1029" t="s">
        <v>181</v>
      </c>
      <c r="AC1029" t="s">
        <v>182</v>
      </c>
      <c r="AD1029" t="s">
        <v>1037</v>
      </c>
      <c r="AE1029">
        <v>0</v>
      </c>
      <c r="AF1029">
        <v>3</v>
      </c>
      <c r="AG1029" t="s">
        <v>381</v>
      </c>
      <c r="AH1029">
        <v>100</v>
      </c>
      <c r="AK1029">
        <v>0</v>
      </c>
      <c r="AL1029">
        <v>64474</v>
      </c>
      <c r="AM1029">
        <v>58275</v>
      </c>
      <c r="AN1029">
        <v>6199</v>
      </c>
      <c r="AO1029">
        <v>943</v>
      </c>
      <c r="AP1029">
        <v>2016</v>
      </c>
      <c r="AQ1029">
        <v>1.69</v>
      </c>
      <c r="AS1029" t="s">
        <v>13738</v>
      </c>
      <c r="AT1029" t="s">
        <v>186</v>
      </c>
      <c r="AU1029" t="s">
        <v>177</v>
      </c>
      <c r="AV1029" t="s">
        <v>187</v>
      </c>
      <c r="AW1029" t="s">
        <v>182</v>
      </c>
      <c r="AX1029">
        <v>2</v>
      </c>
      <c r="AY1029" t="s">
        <v>188</v>
      </c>
      <c r="AZ1029" t="s">
        <v>189</v>
      </c>
      <c r="BA1029" t="s">
        <v>190</v>
      </c>
      <c r="BB1029" t="s">
        <v>191</v>
      </c>
      <c r="BC1029" t="s">
        <v>182</v>
      </c>
      <c r="BD1029" t="s">
        <v>182</v>
      </c>
      <c r="BE1029" t="s">
        <v>7482</v>
      </c>
      <c r="BF1029">
        <v>1</v>
      </c>
      <c r="BG1029">
        <v>1</v>
      </c>
      <c r="BH1029">
        <v>1972</v>
      </c>
      <c r="BI1029" t="s">
        <v>10136</v>
      </c>
      <c r="BJ1029" t="s">
        <v>194</v>
      </c>
      <c r="BK1029" t="s">
        <v>195</v>
      </c>
      <c r="BL1029" t="s">
        <v>199</v>
      </c>
      <c r="BM1029" t="s">
        <v>292</v>
      </c>
      <c r="BN1029" t="s">
        <v>182</v>
      </c>
      <c r="BO1029" t="s">
        <v>2328</v>
      </c>
      <c r="BP1029" t="s">
        <v>13739</v>
      </c>
      <c r="BS1029" t="s">
        <v>13740</v>
      </c>
      <c r="BT1029" t="s">
        <v>198</v>
      </c>
      <c r="BU1029" t="s">
        <v>182</v>
      </c>
      <c r="BV1029" t="s">
        <v>198</v>
      </c>
      <c r="BW1029" t="s">
        <v>198</v>
      </c>
      <c r="BX1029" t="s">
        <v>199</v>
      </c>
      <c r="BY1029" t="s">
        <v>198</v>
      </c>
      <c r="BZ1029" t="s">
        <v>199</v>
      </c>
      <c r="CA1029" t="s">
        <v>199</v>
      </c>
      <c r="CB1029" t="s">
        <v>13741</v>
      </c>
      <c r="CC1029" t="s">
        <v>201</v>
      </c>
      <c r="CD1029" t="s">
        <v>202</v>
      </c>
      <c r="CE1029" t="s">
        <v>13742</v>
      </c>
      <c r="CF1029" t="s">
        <v>10632</v>
      </c>
      <c r="CG1029" t="s">
        <v>177</v>
      </c>
      <c r="CH1029" t="s">
        <v>13743</v>
      </c>
      <c r="CI1029" t="s">
        <v>13744</v>
      </c>
      <c r="CJ1029" t="s">
        <v>6469</v>
      </c>
      <c r="CK1029" t="s">
        <v>292</v>
      </c>
      <c r="CL1029" t="s">
        <v>293</v>
      </c>
      <c r="CM1029" t="s">
        <v>13745</v>
      </c>
      <c r="CN1029" t="s">
        <v>235</v>
      </c>
      <c r="CO1029" t="s">
        <v>183</v>
      </c>
      <c r="CP1029" t="s">
        <v>211</v>
      </c>
      <c r="CQ1029" t="s">
        <v>199</v>
      </c>
      <c r="CS1029" t="s">
        <v>13746</v>
      </c>
      <c r="CT1029" t="s">
        <v>13747</v>
      </c>
      <c r="CU1029" t="s">
        <v>238</v>
      </c>
      <c r="CV1029" t="s">
        <v>239</v>
      </c>
      <c r="CW1029" t="s">
        <v>13748</v>
      </c>
      <c r="CX1029" t="s">
        <v>482</v>
      </c>
      <c r="CY1029" t="s">
        <v>5</v>
      </c>
      <c r="CZ1029" t="s">
        <v>211</v>
      </c>
      <c r="DA1029" t="s">
        <v>342</v>
      </c>
      <c r="DC1029" t="s">
        <v>8421</v>
      </c>
      <c r="DD1029" t="s">
        <v>11284</v>
      </c>
      <c r="DE1029" t="s">
        <v>346</v>
      </c>
      <c r="DF1029" t="s">
        <v>347</v>
      </c>
      <c r="DG1029" t="s">
        <v>13749</v>
      </c>
      <c r="DH1029" t="s">
        <v>1491</v>
      </c>
      <c r="DI1029" t="s">
        <v>183</v>
      </c>
      <c r="DJ1029" t="s">
        <v>211</v>
      </c>
      <c r="DK1029" t="s">
        <v>296</v>
      </c>
      <c r="DM1029" t="s">
        <v>13222</v>
      </c>
      <c r="DW1029" t="s">
        <v>198</v>
      </c>
      <c r="EG1029" t="s">
        <v>198</v>
      </c>
      <c r="EQ1029" t="s">
        <v>198</v>
      </c>
      <c r="FA1029" t="s">
        <v>198</v>
      </c>
      <c r="FK1029" t="s">
        <v>198</v>
      </c>
      <c r="FU1029" t="s">
        <v>198</v>
      </c>
    </row>
    <row r="1030" spans="1:177">
      <c r="A1030" s="1" t="str">
        <f>HYPERLINK("http://digipan.lumentumllc.com/apps/getLink/index.php?t=PropLink&amp;p=15748065","PL")</f>
        <v>PL</v>
      </c>
      <c r="B1030" s="1" t="str">
        <f>HYPERLINK("http://digipan.lumentumllc.com/apps/getLink/index.php?t=TaxLink&amp;p=15748065","TL")</f>
        <v>TL</v>
      </c>
      <c r="C1030" s="1" t="str">
        <f>HYPERLINK("http://digipan.lumentumllc.com/apps/getMap/index.php?p=15748065","Map")</f>
        <v>Map</v>
      </c>
      <c r="E1030" t="s">
        <v>177</v>
      </c>
      <c r="F1030" t="s">
        <v>178</v>
      </c>
      <c r="L1030" t="s">
        <v>13750</v>
      </c>
      <c r="N1030" t="s">
        <v>13750</v>
      </c>
      <c r="O1030" t="s">
        <v>13750</v>
      </c>
      <c r="Q1030" t="s">
        <v>13750</v>
      </c>
      <c r="V1030">
        <v>1183</v>
      </c>
      <c r="W1030">
        <v>4</v>
      </c>
      <c r="X1030">
        <v>2017</v>
      </c>
      <c r="Y1030">
        <v>2018</v>
      </c>
      <c r="Z1030">
        <v>449.75</v>
      </c>
      <c r="AB1030" t="s">
        <v>181</v>
      </c>
      <c r="AC1030" t="s">
        <v>182</v>
      </c>
      <c r="AD1030" t="s">
        <v>183</v>
      </c>
      <c r="AE1030">
        <v>0</v>
      </c>
      <c r="AF1030">
        <v>1</v>
      </c>
      <c r="AG1030" t="s">
        <v>821</v>
      </c>
      <c r="AH1030">
        <v>100</v>
      </c>
      <c r="AK1030">
        <v>0</v>
      </c>
      <c r="AL1030">
        <v>25515</v>
      </c>
      <c r="AM1030">
        <v>25515</v>
      </c>
      <c r="AN1030">
        <v>0</v>
      </c>
      <c r="AO1030">
        <v>298</v>
      </c>
      <c r="AP1030">
        <v>2016</v>
      </c>
      <c r="AQ1030">
        <v>1.76</v>
      </c>
      <c r="AS1030" t="s">
        <v>5593</v>
      </c>
      <c r="AT1030" t="s">
        <v>186</v>
      </c>
      <c r="AU1030" t="s">
        <v>177</v>
      </c>
      <c r="AV1030" t="s">
        <v>187</v>
      </c>
      <c r="AW1030" t="s">
        <v>182</v>
      </c>
      <c r="AX1030">
        <v>0</v>
      </c>
      <c r="AY1030" t="s">
        <v>312</v>
      </c>
      <c r="AZ1030" t="s">
        <v>199</v>
      </c>
      <c r="BA1030" t="s">
        <v>313</v>
      </c>
      <c r="BB1030" t="s">
        <v>191</v>
      </c>
      <c r="BC1030" t="s">
        <v>182</v>
      </c>
      <c r="BD1030" t="s">
        <v>182</v>
      </c>
      <c r="BE1030" t="s">
        <v>2291</v>
      </c>
      <c r="BF1030">
        <v>0</v>
      </c>
      <c r="BG1030">
        <v>0</v>
      </c>
      <c r="BH1030">
        <v>0</v>
      </c>
      <c r="BI1030" t="s">
        <v>199</v>
      </c>
      <c r="BJ1030" t="s">
        <v>248</v>
      </c>
      <c r="BL1030" t="s">
        <v>199</v>
      </c>
      <c r="BM1030" t="s">
        <v>232</v>
      </c>
      <c r="BN1030" t="s">
        <v>182</v>
      </c>
      <c r="BO1030" t="s">
        <v>198</v>
      </c>
      <c r="BP1030" t="s">
        <v>198</v>
      </c>
      <c r="BQ1030" t="s">
        <v>198</v>
      </c>
      <c r="BR1030" t="s">
        <v>198</v>
      </c>
      <c r="BS1030" t="s">
        <v>198</v>
      </c>
      <c r="BT1030" t="s">
        <v>198</v>
      </c>
      <c r="BU1030" t="s">
        <v>182</v>
      </c>
      <c r="BV1030" t="s">
        <v>198</v>
      </c>
      <c r="BW1030" t="s">
        <v>198</v>
      </c>
      <c r="BX1030" t="s">
        <v>199</v>
      </c>
      <c r="BY1030" t="s">
        <v>198</v>
      </c>
      <c r="BZ1030" t="s">
        <v>199</v>
      </c>
      <c r="CA1030" t="s">
        <v>199</v>
      </c>
      <c r="CB1030" t="s">
        <v>13751</v>
      </c>
      <c r="CC1030" t="s">
        <v>201</v>
      </c>
      <c r="CD1030" t="s">
        <v>202</v>
      </c>
      <c r="CE1030" t="s">
        <v>13752</v>
      </c>
      <c r="CF1030" t="s">
        <v>204</v>
      </c>
      <c r="CG1030" t="s">
        <v>177</v>
      </c>
      <c r="CH1030" t="s">
        <v>187</v>
      </c>
      <c r="CI1030" t="s">
        <v>13753</v>
      </c>
      <c r="CJ1030" t="s">
        <v>10023</v>
      </c>
      <c r="CK1030" t="s">
        <v>232</v>
      </c>
      <c r="CL1030" t="s">
        <v>233</v>
      </c>
      <c r="CM1030" t="s">
        <v>13754</v>
      </c>
      <c r="CN1030" t="s">
        <v>247</v>
      </c>
      <c r="CO1030" t="s">
        <v>183</v>
      </c>
      <c r="CP1030" t="s">
        <v>211</v>
      </c>
      <c r="CQ1030" t="s">
        <v>339</v>
      </c>
      <c r="CS1030" t="s">
        <v>1525</v>
      </c>
      <c r="DC1030" t="s">
        <v>198</v>
      </c>
      <c r="DM1030" t="s">
        <v>198</v>
      </c>
      <c r="DW1030" t="s">
        <v>198</v>
      </c>
      <c r="EG1030" t="s">
        <v>198</v>
      </c>
      <c r="EQ1030" t="s">
        <v>198</v>
      </c>
      <c r="FA1030" t="s">
        <v>198</v>
      </c>
      <c r="FK1030" t="s">
        <v>198</v>
      </c>
      <c r="FU1030" t="s">
        <v>198</v>
      </c>
    </row>
    <row r="1031" spans="1:177">
      <c r="A1031" s="1" t="str">
        <f>HYPERLINK("http://digipan.lumentumllc.com/apps/getLink/index.php?t=PropLink&amp;p=5246329","PL")</f>
        <v>PL</v>
      </c>
      <c r="B1031" s="1" t="str">
        <f>HYPERLINK("http://digipan.lumentumllc.com/apps/getLink/index.php?t=TaxLink&amp;p=5246329","TL")</f>
        <v>TL</v>
      </c>
      <c r="C1031" s="1" t="str">
        <f>HYPERLINK("http://digipan.lumentumllc.com/apps/getMap/index.php?p=5246329","Map")</f>
        <v>Map</v>
      </c>
      <c r="E1031" t="s">
        <v>177</v>
      </c>
      <c r="F1031" t="s">
        <v>178</v>
      </c>
      <c r="L1031" t="s">
        <v>13755</v>
      </c>
      <c r="N1031" t="s">
        <v>13755</v>
      </c>
      <c r="O1031" t="s">
        <v>13755</v>
      </c>
      <c r="P1031" t="s">
        <v>13756</v>
      </c>
      <c r="Q1031" t="s">
        <v>13755</v>
      </c>
      <c r="V1031">
        <v>1185</v>
      </c>
      <c r="W1031">
        <v>4</v>
      </c>
      <c r="X1031">
        <v>2017</v>
      </c>
      <c r="Y1031">
        <v>2018</v>
      </c>
      <c r="Z1031">
        <v>266.32</v>
      </c>
      <c r="AB1031" t="s">
        <v>181</v>
      </c>
      <c r="AC1031" t="s">
        <v>182</v>
      </c>
      <c r="AD1031" t="s">
        <v>183</v>
      </c>
      <c r="AE1031">
        <v>0</v>
      </c>
      <c r="AF1031">
        <v>7</v>
      </c>
      <c r="AG1031" t="s">
        <v>528</v>
      </c>
      <c r="AH1031">
        <v>100</v>
      </c>
      <c r="AK1031">
        <v>0</v>
      </c>
      <c r="AL1031">
        <v>15750</v>
      </c>
      <c r="AM1031">
        <v>15750</v>
      </c>
      <c r="AN1031">
        <v>0</v>
      </c>
      <c r="AO1031">
        <v>184</v>
      </c>
      <c r="AP1031">
        <v>2016</v>
      </c>
      <c r="AQ1031">
        <v>1.69</v>
      </c>
      <c r="AS1031" t="s">
        <v>5593</v>
      </c>
      <c r="AT1031" t="s">
        <v>186</v>
      </c>
      <c r="AU1031" t="s">
        <v>177</v>
      </c>
      <c r="AV1031" t="s">
        <v>187</v>
      </c>
      <c r="AW1031" t="s">
        <v>182</v>
      </c>
      <c r="AX1031">
        <v>0</v>
      </c>
      <c r="AY1031" t="s">
        <v>312</v>
      </c>
      <c r="AZ1031" t="s">
        <v>199</v>
      </c>
      <c r="BA1031" t="s">
        <v>313</v>
      </c>
      <c r="BB1031" t="s">
        <v>191</v>
      </c>
      <c r="BC1031" t="s">
        <v>182</v>
      </c>
      <c r="BD1031" t="s">
        <v>182</v>
      </c>
      <c r="BE1031" t="s">
        <v>383</v>
      </c>
      <c r="BF1031">
        <v>0</v>
      </c>
      <c r="BG1031">
        <v>0</v>
      </c>
      <c r="BH1031">
        <v>0</v>
      </c>
      <c r="BI1031" t="s">
        <v>199</v>
      </c>
      <c r="BJ1031" t="s">
        <v>248</v>
      </c>
      <c r="BL1031" t="s">
        <v>199</v>
      </c>
      <c r="BM1031" t="s">
        <v>451</v>
      </c>
      <c r="BN1031" t="s">
        <v>182</v>
      </c>
      <c r="BO1031" t="s">
        <v>198</v>
      </c>
      <c r="BP1031" t="s">
        <v>198</v>
      </c>
      <c r="BQ1031" t="s">
        <v>198</v>
      </c>
      <c r="BR1031" t="s">
        <v>198</v>
      </c>
      <c r="BS1031" t="s">
        <v>198</v>
      </c>
      <c r="BT1031" t="s">
        <v>198</v>
      </c>
      <c r="BU1031" t="s">
        <v>182</v>
      </c>
      <c r="BV1031" t="s">
        <v>198</v>
      </c>
      <c r="BW1031" t="s">
        <v>198</v>
      </c>
      <c r="BX1031" t="s">
        <v>199</v>
      </c>
      <c r="BY1031" t="s">
        <v>198</v>
      </c>
      <c r="BZ1031" t="s">
        <v>199</v>
      </c>
      <c r="CA1031" t="s">
        <v>199</v>
      </c>
      <c r="CB1031" t="s">
        <v>13757</v>
      </c>
      <c r="CC1031" t="s">
        <v>201</v>
      </c>
      <c r="CD1031" t="s">
        <v>182</v>
      </c>
      <c r="CE1031" t="s">
        <v>13758</v>
      </c>
      <c r="CF1031" t="s">
        <v>204</v>
      </c>
      <c r="CG1031" t="s">
        <v>177</v>
      </c>
      <c r="CH1031" t="s">
        <v>187</v>
      </c>
      <c r="CI1031" t="s">
        <v>13753</v>
      </c>
      <c r="CJ1031" t="s">
        <v>12410</v>
      </c>
      <c r="CK1031" t="s">
        <v>232</v>
      </c>
      <c r="CL1031" t="s">
        <v>233</v>
      </c>
      <c r="CM1031" t="s">
        <v>1195</v>
      </c>
      <c r="CN1031" t="s">
        <v>2679</v>
      </c>
      <c r="CO1031" t="s">
        <v>183</v>
      </c>
      <c r="CP1031" t="s">
        <v>211</v>
      </c>
      <c r="CQ1031" t="s">
        <v>339</v>
      </c>
      <c r="CS1031" t="s">
        <v>1525</v>
      </c>
      <c r="CT1031" t="s">
        <v>12687</v>
      </c>
      <c r="CU1031" t="s">
        <v>292</v>
      </c>
      <c r="CV1031" t="s">
        <v>293</v>
      </c>
      <c r="CW1031" t="s">
        <v>9490</v>
      </c>
      <c r="CX1031" t="s">
        <v>387</v>
      </c>
      <c r="CY1031" t="s">
        <v>183</v>
      </c>
      <c r="CZ1031" t="s">
        <v>211</v>
      </c>
      <c r="DA1031" t="s">
        <v>199</v>
      </c>
      <c r="DC1031" t="s">
        <v>13759</v>
      </c>
      <c r="DD1031" t="s">
        <v>13027</v>
      </c>
      <c r="DE1031" t="s">
        <v>267</v>
      </c>
      <c r="DF1031" t="s">
        <v>268</v>
      </c>
      <c r="DG1031" t="s">
        <v>13760</v>
      </c>
      <c r="DH1031" t="s">
        <v>331</v>
      </c>
      <c r="DI1031" t="s">
        <v>183</v>
      </c>
      <c r="DJ1031" t="s">
        <v>211</v>
      </c>
      <c r="DK1031" t="s">
        <v>427</v>
      </c>
      <c r="DM1031" t="s">
        <v>13759</v>
      </c>
      <c r="DN1031" t="s">
        <v>9185</v>
      </c>
      <c r="DO1031" t="s">
        <v>273</v>
      </c>
      <c r="DP1031" t="s">
        <v>274</v>
      </c>
      <c r="DQ1031" t="s">
        <v>1179</v>
      </c>
      <c r="DR1031" t="s">
        <v>440</v>
      </c>
      <c r="DS1031" t="s">
        <v>183</v>
      </c>
      <c r="DT1031" t="s">
        <v>211</v>
      </c>
      <c r="DU1031" t="s">
        <v>212</v>
      </c>
      <c r="DW1031" t="s">
        <v>4967</v>
      </c>
      <c r="DX1031" t="s">
        <v>11467</v>
      </c>
      <c r="DY1031" t="s">
        <v>302</v>
      </c>
      <c r="DZ1031" t="s">
        <v>303</v>
      </c>
      <c r="EA1031" t="s">
        <v>10339</v>
      </c>
      <c r="EB1031" t="s">
        <v>440</v>
      </c>
      <c r="EC1031" t="s">
        <v>183</v>
      </c>
      <c r="ED1031" t="s">
        <v>211</v>
      </c>
      <c r="EE1031" t="s">
        <v>460</v>
      </c>
      <c r="EG1031" t="s">
        <v>13761</v>
      </c>
      <c r="EH1031" t="s">
        <v>11304</v>
      </c>
      <c r="EI1031" t="s">
        <v>346</v>
      </c>
      <c r="EJ1031" t="s">
        <v>347</v>
      </c>
      <c r="EK1031" t="s">
        <v>1075</v>
      </c>
      <c r="EL1031" t="s">
        <v>1491</v>
      </c>
      <c r="EM1031" t="s">
        <v>183</v>
      </c>
      <c r="EN1031" t="s">
        <v>211</v>
      </c>
      <c r="EO1031" t="s">
        <v>270</v>
      </c>
      <c r="EQ1031" t="s">
        <v>9603</v>
      </c>
      <c r="ER1031" t="s">
        <v>13762</v>
      </c>
      <c r="ES1031" t="s">
        <v>207</v>
      </c>
      <c r="ET1031" t="s">
        <v>208</v>
      </c>
      <c r="EU1031" t="s">
        <v>2955</v>
      </c>
      <c r="EV1031" t="s">
        <v>576</v>
      </c>
      <c r="EW1031" t="s">
        <v>183</v>
      </c>
      <c r="EX1031" t="s">
        <v>211</v>
      </c>
      <c r="EY1031" t="s">
        <v>345</v>
      </c>
      <c r="FA1031" t="s">
        <v>349</v>
      </c>
      <c r="FK1031" t="s">
        <v>198</v>
      </c>
      <c r="FU1031" t="s">
        <v>198</v>
      </c>
    </row>
    <row r="1032" spans="1:177">
      <c r="A1032" s="1" t="str">
        <f>HYPERLINK("http://digipan.lumentumllc.com/apps/getLink/index.php?t=PropLink&amp;p=15748066","PL")</f>
        <v>PL</v>
      </c>
      <c r="B1032" s="1" t="str">
        <f>HYPERLINK("http://digipan.lumentumllc.com/apps/getLink/index.php?t=TaxLink&amp;p=15748066","TL")</f>
        <v>TL</v>
      </c>
      <c r="C1032" s="1" t="str">
        <f>HYPERLINK("http://digipan.lumentumllc.com/apps/getMap/index.php?p=15748066","Map")</f>
        <v>Map</v>
      </c>
      <c r="E1032" t="s">
        <v>177</v>
      </c>
      <c r="F1032" t="s">
        <v>178</v>
      </c>
      <c r="L1032" t="s">
        <v>13763</v>
      </c>
      <c r="N1032" t="s">
        <v>13763</v>
      </c>
      <c r="O1032" t="s">
        <v>13763</v>
      </c>
      <c r="Q1032" t="s">
        <v>13763</v>
      </c>
      <c r="V1032">
        <v>1186</v>
      </c>
      <c r="W1032">
        <v>4</v>
      </c>
      <c r="X1032">
        <v>2017</v>
      </c>
      <c r="Y1032">
        <v>2018</v>
      </c>
      <c r="Z1032">
        <v>289.86</v>
      </c>
      <c r="AB1032" t="s">
        <v>181</v>
      </c>
      <c r="AC1032" t="s">
        <v>182</v>
      </c>
      <c r="AD1032" t="s">
        <v>183</v>
      </c>
      <c r="AE1032">
        <v>0</v>
      </c>
      <c r="AF1032">
        <v>1</v>
      </c>
      <c r="AG1032" t="s">
        <v>821</v>
      </c>
      <c r="AH1032">
        <v>100</v>
      </c>
      <c r="AK1032">
        <v>0</v>
      </c>
      <c r="AL1032">
        <v>15750</v>
      </c>
      <c r="AM1032">
        <v>15750</v>
      </c>
      <c r="AN1032">
        <v>0</v>
      </c>
      <c r="AO1032">
        <v>184</v>
      </c>
      <c r="AP1032">
        <v>2016</v>
      </c>
      <c r="AQ1032">
        <v>1.84</v>
      </c>
      <c r="AS1032" t="s">
        <v>5593</v>
      </c>
      <c r="AT1032" t="s">
        <v>186</v>
      </c>
      <c r="AU1032" t="s">
        <v>177</v>
      </c>
      <c r="AV1032" t="s">
        <v>187</v>
      </c>
      <c r="AW1032" t="s">
        <v>182</v>
      </c>
      <c r="AX1032">
        <v>0</v>
      </c>
      <c r="AY1032" t="s">
        <v>312</v>
      </c>
      <c r="AZ1032" t="s">
        <v>199</v>
      </c>
      <c r="BA1032" t="s">
        <v>313</v>
      </c>
      <c r="BB1032" t="s">
        <v>191</v>
      </c>
      <c r="BC1032" t="s">
        <v>182</v>
      </c>
      <c r="BD1032" t="s">
        <v>182</v>
      </c>
      <c r="BE1032" t="s">
        <v>383</v>
      </c>
      <c r="BF1032">
        <v>0</v>
      </c>
      <c r="BG1032">
        <v>0</v>
      </c>
      <c r="BH1032">
        <v>0</v>
      </c>
      <c r="BI1032" t="s">
        <v>199</v>
      </c>
      <c r="BJ1032" t="s">
        <v>315</v>
      </c>
      <c r="BL1032" t="s">
        <v>199</v>
      </c>
      <c r="BM1032" t="s">
        <v>1598</v>
      </c>
      <c r="BN1032" t="s">
        <v>182</v>
      </c>
      <c r="BO1032" t="s">
        <v>198</v>
      </c>
      <c r="BP1032" t="s">
        <v>198</v>
      </c>
      <c r="BQ1032" t="s">
        <v>198</v>
      </c>
      <c r="BR1032" t="s">
        <v>198</v>
      </c>
      <c r="BS1032" t="s">
        <v>198</v>
      </c>
      <c r="BT1032" t="s">
        <v>198</v>
      </c>
      <c r="BU1032" t="s">
        <v>182</v>
      </c>
      <c r="BV1032" t="s">
        <v>198</v>
      </c>
      <c r="BW1032" t="s">
        <v>198</v>
      </c>
      <c r="BX1032" t="s">
        <v>199</v>
      </c>
      <c r="BY1032" t="s">
        <v>198</v>
      </c>
      <c r="BZ1032" t="s">
        <v>199</v>
      </c>
      <c r="CA1032" t="s">
        <v>199</v>
      </c>
      <c r="CB1032" t="s">
        <v>13751</v>
      </c>
      <c r="CC1032" t="s">
        <v>201</v>
      </c>
      <c r="CD1032" t="s">
        <v>202</v>
      </c>
      <c r="CE1032" t="s">
        <v>13752</v>
      </c>
      <c r="CF1032" t="s">
        <v>204</v>
      </c>
      <c r="CG1032" t="s">
        <v>177</v>
      </c>
      <c r="CH1032" t="s">
        <v>187</v>
      </c>
      <c r="CI1032" t="s">
        <v>13764</v>
      </c>
      <c r="CJ1032" t="s">
        <v>10098</v>
      </c>
      <c r="CK1032" t="s">
        <v>232</v>
      </c>
      <c r="CL1032" t="s">
        <v>233</v>
      </c>
      <c r="CM1032" t="s">
        <v>1195</v>
      </c>
      <c r="CN1032" t="s">
        <v>2679</v>
      </c>
      <c r="CO1032" t="s">
        <v>183</v>
      </c>
      <c r="CP1032" t="s">
        <v>211</v>
      </c>
      <c r="CQ1032" t="s">
        <v>339</v>
      </c>
      <c r="CS1032" t="s">
        <v>1525</v>
      </c>
      <c r="DC1032" t="s">
        <v>198</v>
      </c>
      <c r="DM1032" t="s">
        <v>198</v>
      </c>
      <c r="DW1032" t="s">
        <v>198</v>
      </c>
      <c r="EG1032" t="s">
        <v>198</v>
      </c>
      <c r="EQ1032" t="s">
        <v>198</v>
      </c>
      <c r="FA1032" t="s">
        <v>198</v>
      </c>
      <c r="FK1032" t="s">
        <v>198</v>
      </c>
      <c r="FU1032" t="s">
        <v>198</v>
      </c>
    </row>
    <row r="1033" spans="1:177">
      <c r="A1033" s="1" t="str">
        <f>HYPERLINK("http://digipan.lumentumllc.com/apps/getLink/index.php?t=PropLink&amp;p=15748294","PL")</f>
        <v>PL</v>
      </c>
      <c r="B1033" s="1" t="str">
        <f>HYPERLINK("http://digipan.lumentumllc.com/apps/getLink/index.php?t=TaxLink&amp;p=15748294","TL")</f>
        <v>TL</v>
      </c>
      <c r="C1033" s="1" t="str">
        <f>HYPERLINK("http://digipan.lumentumllc.com/apps/getMap/index.php?p=15748294","Map")</f>
        <v>Map</v>
      </c>
      <c r="E1033" t="s">
        <v>177</v>
      </c>
      <c r="F1033" t="s">
        <v>178</v>
      </c>
      <c r="L1033" t="s">
        <v>13765</v>
      </c>
      <c r="N1033" t="s">
        <v>13765</v>
      </c>
      <c r="O1033" t="s">
        <v>13765</v>
      </c>
      <c r="Q1033" t="s">
        <v>13765</v>
      </c>
      <c r="V1033">
        <v>1187</v>
      </c>
      <c r="W1033">
        <v>4</v>
      </c>
      <c r="X1033">
        <v>2017</v>
      </c>
      <c r="Y1033">
        <v>2018</v>
      </c>
      <c r="Z1033">
        <v>515.79</v>
      </c>
      <c r="AB1033" t="s">
        <v>181</v>
      </c>
      <c r="AC1033" t="s">
        <v>182</v>
      </c>
      <c r="AD1033" t="s">
        <v>183</v>
      </c>
      <c r="AE1033">
        <v>1</v>
      </c>
      <c r="AF1033">
        <v>0</v>
      </c>
      <c r="AG1033" t="s">
        <v>1200</v>
      </c>
      <c r="AH1033">
        <v>0</v>
      </c>
      <c r="AI1033">
        <v>424.68</v>
      </c>
      <c r="AJ1033">
        <v>21.23</v>
      </c>
      <c r="AK1033">
        <v>445.91</v>
      </c>
      <c r="AL1033">
        <v>33690</v>
      </c>
      <c r="AM1033">
        <v>21420</v>
      </c>
      <c r="AN1033">
        <v>12270</v>
      </c>
      <c r="AO1033">
        <v>368</v>
      </c>
      <c r="AP1033">
        <v>2016</v>
      </c>
      <c r="AQ1033">
        <v>1.53</v>
      </c>
      <c r="AR1033">
        <v>1.32</v>
      </c>
      <c r="AS1033" t="s">
        <v>13766</v>
      </c>
      <c r="AT1033" t="s">
        <v>186</v>
      </c>
      <c r="AU1033" t="s">
        <v>177</v>
      </c>
      <c r="AV1033" t="s">
        <v>187</v>
      </c>
      <c r="AW1033" t="s">
        <v>182</v>
      </c>
      <c r="AX1033">
        <v>2</v>
      </c>
      <c r="AY1033" t="s">
        <v>188</v>
      </c>
      <c r="AZ1033" t="s">
        <v>189</v>
      </c>
      <c r="BA1033" t="s">
        <v>190</v>
      </c>
      <c r="BB1033" t="s">
        <v>191</v>
      </c>
      <c r="BC1033" t="s">
        <v>182</v>
      </c>
      <c r="BD1033" t="s">
        <v>182</v>
      </c>
      <c r="BE1033" t="s">
        <v>5030</v>
      </c>
      <c r="BF1033">
        <v>1</v>
      </c>
      <c r="BG1033">
        <v>1</v>
      </c>
      <c r="BH1033">
        <v>1993</v>
      </c>
      <c r="BI1033" t="s">
        <v>7272</v>
      </c>
      <c r="BJ1033" t="s">
        <v>194</v>
      </c>
      <c r="BK1033" t="s">
        <v>195</v>
      </c>
      <c r="BL1033" t="s">
        <v>13767</v>
      </c>
      <c r="BM1033" t="s">
        <v>533</v>
      </c>
      <c r="BN1033" t="s">
        <v>182</v>
      </c>
      <c r="BO1033" t="s">
        <v>13768</v>
      </c>
      <c r="BP1033" t="s">
        <v>13769</v>
      </c>
      <c r="BQ1033" t="s">
        <v>581</v>
      </c>
      <c r="BR1033" t="s">
        <v>1897</v>
      </c>
      <c r="BS1033" t="s">
        <v>198</v>
      </c>
      <c r="BT1033" t="s">
        <v>2882</v>
      </c>
      <c r="BU1033" t="s">
        <v>182</v>
      </c>
      <c r="BV1033" t="s">
        <v>198</v>
      </c>
      <c r="BW1033" t="s">
        <v>198</v>
      </c>
      <c r="BX1033" t="s">
        <v>199</v>
      </c>
      <c r="BY1033" t="s">
        <v>198</v>
      </c>
      <c r="BZ1033" t="s">
        <v>199</v>
      </c>
      <c r="CA1033" t="s">
        <v>199</v>
      </c>
      <c r="CB1033" t="s">
        <v>13770</v>
      </c>
      <c r="CC1033" t="s">
        <v>201</v>
      </c>
      <c r="CD1033" t="s">
        <v>182</v>
      </c>
      <c r="CE1033" t="s">
        <v>13771</v>
      </c>
      <c r="CF1033" t="s">
        <v>413</v>
      </c>
      <c r="CG1033" t="s">
        <v>177</v>
      </c>
      <c r="CH1033" t="s">
        <v>7465</v>
      </c>
      <c r="CI1033" t="s">
        <v>13772</v>
      </c>
      <c r="CJ1033" t="s">
        <v>6532</v>
      </c>
      <c r="CK1033" t="s">
        <v>232</v>
      </c>
      <c r="CL1033" t="s">
        <v>233</v>
      </c>
      <c r="CM1033" t="s">
        <v>13773</v>
      </c>
      <c r="CN1033" t="s">
        <v>331</v>
      </c>
      <c r="CO1033" t="s">
        <v>183</v>
      </c>
      <c r="CP1033" t="s">
        <v>266</v>
      </c>
      <c r="CS1033" t="s">
        <v>198</v>
      </c>
      <c r="DC1033" t="s">
        <v>198</v>
      </c>
      <c r="DM1033" t="s">
        <v>198</v>
      </c>
      <c r="DW1033" t="s">
        <v>198</v>
      </c>
      <c r="EG1033" t="s">
        <v>198</v>
      </c>
      <c r="EQ1033" t="s">
        <v>198</v>
      </c>
      <c r="FA1033" t="s">
        <v>198</v>
      </c>
      <c r="FK1033" t="s">
        <v>198</v>
      </c>
      <c r="FU1033" t="s">
        <v>198</v>
      </c>
    </row>
    <row r="1034" spans="1:177">
      <c r="A1034" s="1" t="str">
        <f>HYPERLINK("http://digipan.lumentumllc.com/apps/getLink/index.php?t=PropLink&amp;p=5246348","PL")</f>
        <v>PL</v>
      </c>
      <c r="B1034" s="1" t="str">
        <f>HYPERLINK("http://digipan.lumentumllc.com/apps/getLink/index.php?t=TaxLink&amp;p=5246348","TL")</f>
        <v>TL</v>
      </c>
      <c r="C1034" s="1" t="str">
        <f>HYPERLINK("http://digipan.lumentumllc.com/apps/getMap/index.php?p=5246348","Map")</f>
        <v>Map</v>
      </c>
      <c r="E1034" t="s">
        <v>177</v>
      </c>
      <c r="F1034" t="s">
        <v>178</v>
      </c>
      <c r="L1034" t="s">
        <v>13774</v>
      </c>
      <c r="N1034" t="s">
        <v>13774</v>
      </c>
      <c r="O1034" t="s">
        <v>13774</v>
      </c>
      <c r="P1034" t="s">
        <v>13775</v>
      </c>
      <c r="Q1034" t="s">
        <v>13774</v>
      </c>
      <c r="V1034">
        <v>1188</v>
      </c>
      <c r="W1034">
        <v>4</v>
      </c>
      <c r="X1034">
        <v>2017</v>
      </c>
      <c r="Y1034">
        <v>2018</v>
      </c>
      <c r="Z1034">
        <v>1582.15</v>
      </c>
      <c r="AB1034" t="s">
        <v>181</v>
      </c>
      <c r="AC1034" t="s">
        <v>182</v>
      </c>
      <c r="AD1034" t="s">
        <v>1037</v>
      </c>
      <c r="AE1034">
        <v>1</v>
      </c>
      <c r="AF1034">
        <v>7</v>
      </c>
      <c r="AG1034" t="s">
        <v>418</v>
      </c>
      <c r="AH1034">
        <v>86</v>
      </c>
      <c r="AI1034">
        <v>1528.59</v>
      </c>
      <c r="AJ1034">
        <v>76.430000000000007</v>
      </c>
      <c r="AK1034">
        <v>1605.02</v>
      </c>
      <c r="AL1034">
        <v>94679</v>
      </c>
      <c r="AM1034">
        <v>63315</v>
      </c>
      <c r="AN1034">
        <v>31364</v>
      </c>
      <c r="AO1034">
        <v>1388</v>
      </c>
      <c r="AP1034">
        <v>2016</v>
      </c>
      <c r="AQ1034">
        <v>1.67</v>
      </c>
      <c r="AR1034">
        <v>1.7</v>
      </c>
      <c r="AS1034" t="s">
        <v>13776</v>
      </c>
      <c r="AT1034" t="s">
        <v>186</v>
      </c>
      <c r="AU1034" t="s">
        <v>177</v>
      </c>
      <c r="AV1034" t="s">
        <v>187</v>
      </c>
      <c r="AW1034" t="s">
        <v>182</v>
      </c>
      <c r="AX1034">
        <v>1</v>
      </c>
      <c r="AY1034" t="s">
        <v>188</v>
      </c>
      <c r="AZ1034" t="s">
        <v>206</v>
      </c>
      <c r="BA1034" t="s">
        <v>355</v>
      </c>
      <c r="BB1034" t="s">
        <v>191</v>
      </c>
      <c r="BC1034" t="s">
        <v>182</v>
      </c>
      <c r="BD1034" t="s">
        <v>182</v>
      </c>
      <c r="BE1034" t="s">
        <v>13777</v>
      </c>
      <c r="BF1034">
        <v>1</v>
      </c>
      <c r="BG1034">
        <v>1</v>
      </c>
      <c r="BH1034">
        <v>1944</v>
      </c>
      <c r="BI1034" t="s">
        <v>4987</v>
      </c>
      <c r="BJ1034" t="s">
        <v>194</v>
      </c>
      <c r="BK1034" t="s">
        <v>195</v>
      </c>
      <c r="BL1034" t="s">
        <v>199</v>
      </c>
      <c r="BM1034" t="s">
        <v>1779</v>
      </c>
      <c r="BN1034" t="s">
        <v>182</v>
      </c>
      <c r="BO1034" t="s">
        <v>198</v>
      </c>
      <c r="BP1034" t="s">
        <v>198</v>
      </c>
      <c r="BQ1034" t="s">
        <v>198</v>
      </c>
      <c r="BR1034" t="s">
        <v>198</v>
      </c>
      <c r="BS1034" t="s">
        <v>198</v>
      </c>
      <c r="BT1034" t="s">
        <v>198</v>
      </c>
      <c r="BU1034" t="s">
        <v>182</v>
      </c>
      <c r="BV1034" t="s">
        <v>198</v>
      </c>
      <c r="BW1034" t="s">
        <v>198</v>
      </c>
      <c r="BX1034" t="s">
        <v>199</v>
      </c>
      <c r="BY1034" t="s">
        <v>198</v>
      </c>
      <c r="BZ1034" t="s">
        <v>199</v>
      </c>
      <c r="CA1034" t="s">
        <v>199</v>
      </c>
      <c r="CB1034" t="s">
        <v>13778</v>
      </c>
      <c r="CC1034" t="s">
        <v>201</v>
      </c>
      <c r="CD1034" t="s">
        <v>202</v>
      </c>
      <c r="CE1034" t="s">
        <v>13776</v>
      </c>
      <c r="CF1034" t="s">
        <v>204</v>
      </c>
      <c r="CG1034" t="s">
        <v>177</v>
      </c>
      <c r="CH1034" t="s">
        <v>187</v>
      </c>
      <c r="CI1034" t="s">
        <v>13779</v>
      </c>
      <c r="CJ1034" t="s">
        <v>10112</v>
      </c>
      <c r="CK1034" t="s">
        <v>232</v>
      </c>
      <c r="CL1034" t="s">
        <v>233</v>
      </c>
      <c r="CM1034" t="s">
        <v>13780</v>
      </c>
      <c r="CN1034" t="s">
        <v>235</v>
      </c>
      <c r="CO1034" t="s">
        <v>183</v>
      </c>
      <c r="CP1034" t="s">
        <v>266</v>
      </c>
      <c r="CS1034" t="s">
        <v>198</v>
      </c>
      <c r="CT1034" t="s">
        <v>12718</v>
      </c>
      <c r="CU1034" t="s">
        <v>292</v>
      </c>
      <c r="CV1034" t="s">
        <v>293</v>
      </c>
      <c r="CW1034" t="s">
        <v>13781</v>
      </c>
      <c r="CX1034" t="s">
        <v>235</v>
      </c>
      <c r="CY1034" t="s">
        <v>183</v>
      </c>
      <c r="CZ1034" t="s">
        <v>211</v>
      </c>
      <c r="DA1034" t="s">
        <v>212</v>
      </c>
      <c r="DC1034" t="s">
        <v>6243</v>
      </c>
      <c r="DD1034" t="s">
        <v>7593</v>
      </c>
      <c r="DE1034" t="s">
        <v>267</v>
      </c>
      <c r="DF1034" t="s">
        <v>268</v>
      </c>
      <c r="DG1034" t="s">
        <v>13782</v>
      </c>
      <c r="DH1034" t="s">
        <v>235</v>
      </c>
      <c r="DI1034" t="s">
        <v>183</v>
      </c>
      <c r="DJ1034" t="s">
        <v>211</v>
      </c>
      <c r="DK1034" t="s">
        <v>270</v>
      </c>
      <c r="DM1034" t="s">
        <v>2550</v>
      </c>
      <c r="DN1034" t="s">
        <v>11402</v>
      </c>
      <c r="DO1034" t="s">
        <v>273</v>
      </c>
      <c r="DP1034" t="s">
        <v>274</v>
      </c>
      <c r="DQ1034" t="s">
        <v>13783</v>
      </c>
      <c r="DR1034" t="s">
        <v>235</v>
      </c>
      <c r="DS1034" t="s">
        <v>183</v>
      </c>
      <c r="DT1034" t="s">
        <v>211</v>
      </c>
      <c r="DU1034" t="s">
        <v>298</v>
      </c>
      <c r="DW1034" t="s">
        <v>1069</v>
      </c>
      <c r="DX1034" t="s">
        <v>9308</v>
      </c>
      <c r="DY1034" t="s">
        <v>302</v>
      </c>
      <c r="DZ1034" t="s">
        <v>303</v>
      </c>
      <c r="EA1034" t="s">
        <v>13784</v>
      </c>
      <c r="EB1034" t="s">
        <v>331</v>
      </c>
      <c r="EC1034" t="s">
        <v>183</v>
      </c>
      <c r="ED1034" t="s">
        <v>211</v>
      </c>
      <c r="EE1034" t="s">
        <v>298</v>
      </c>
      <c r="EG1034" t="s">
        <v>464</v>
      </c>
      <c r="EH1034" t="s">
        <v>13785</v>
      </c>
      <c r="EI1034" t="s">
        <v>238</v>
      </c>
      <c r="EJ1034" t="s">
        <v>239</v>
      </c>
      <c r="EK1034" t="s">
        <v>13786</v>
      </c>
      <c r="EL1034" t="s">
        <v>482</v>
      </c>
      <c r="EM1034" t="s">
        <v>5</v>
      </c>
      <c r="EN1034" t="s">
        <v>211</v>
      </c>
      <c r="EO1034" t="s">
        <v>345</v>
      </c>
      <c r="EQ1034" t="s">
        <v>2753</v>
      </c>
      <c r="ER1034" t="s">
        <v>1893</v>
      </c>
      <c r="ES1034" t="s">
        <v>346</v>
      </c>
      <c r="ET1034" t="s">
        <v>347</v>
      </c>
      <c r="EU1034" t="s">
        <v>13787</v>
      </c>
      <c r="EV1034" t="s">
        <v>1491</v>
      </c>
      <c r="EW1034" t="s">
        <v>183</v>
      </c>
      <c r="EX1034" t="s">
        <v>211</v>
      </c>
      <c r="EY1034" t="s">
        <v>444</v>
      </c>
      <c r="FA1034" t="s">
        <v>13788</v>
      </c>
      <c r="FB1034" t="s">
        <v>13789</v>
      </c>
      <c r="FC1034" t="s">
        <v>207</v>
      </c>
      <c r="FD1034" t="s">
        <v>208</v>
      </c>
      <c r="FE1034" t="s">
        <v>13790</v>
      </c>
      <c r="FF1034" t="s">
        <v>576</v>
      </c>
      <c r="FG1034" t="s">
        <v>183</v>
      </c>
      <c r="FH1034" t="s">
        <v>211</v>
      </c>
      <c r="FI1034" t="s">
        <v>460</v>
      </c>
      <c r="FK1034" t="s">
        <v>13791</v>
      </c>
      <c r="FU1034" t="s">
        <v>198</v>
      </c>
    </row>
    <row r="1035" spans="1:177">
      <c r="A1035" s="1" t="str">
        <f>HYPERLINK("http://digipan.lumentumllc.com/apps/getLink/index.php?t=PropLink&amp;p=15748325","PL")</f>
        <v>PL</v>
      </c>
      <c r="B1035" s="1" t="str">
        <f>HYPERLINK("http://digipan.lumentumllc.com/apps/getLink/index.php?t=TaxLink&amp;p=15748325","TL")</f>
        <v>TL</v>
      </c>
      <c r="C1035" s="1" t="str">
        <f>HYPERLINK("http://digipan.lumentumllc.com/apps/getMap/index.php?p=15748325","Map")</f>
        <v>Map</v>
      </c>
      <c r="E1035" t="s">
        <v>177</v>
      </c>
      <c r="F1035" t="s">
        <v>178</v>
      </c>
      <c r="L1035" t="s">
        <v>13792</v>
      </c>
      <c r="N1035" t="s">
        <v>13792</v>
      </c>
      <c r="O1035" t="s">
        <v>13792</v>
      </c>
      <c r="Q1035" t="s">
        <v>13792</v>
      </c>
      <c r="V1035">
        <v>1189</v>
      </c>
      <c r="W1035">
        <v>4</v>
      </c>
      <c r="X1035">
        <v>2017</v>
      </c>
      <c r="Y1035">
        <v>2018</v>
      </c>
      <c r="Z1035">
        <v>1150.02</v>
      </c>
      <c r="AG1035" t="s">
        <v>184</v>
      </c>
      <c r="AH1035">
        <v>0</v>
      </c>
      <c r="AK1035">
        <v>0</v>
      </c>
      <c r="AL1035">
        <v>150614</v>
      </c>
      <c r="AM1035">
        <v>37800</v>
      </c>
      <c r="AN1035">
        <v>112814</v>
      </c>
      <c r="AO1035">
        <v>0</v>
      </c>
      <c r="AP1035">
        <v>0</v>
      </c>
      <c r="AQ1035">
        <v>0.76</v>
      </c>
      <c r="AS1035" t="s">
        <v>13793</v>
      </c>
      <c r="AT1035" t="s">
        <v>186</v>
      </c>
      <c r="AU1035" t="s">
        <v>177</v>
      </c>
      <c r="AV1035" t="s">
        <v>187</v>
      </c>
      <c r="AW1035" t="s">
        <v>202</v>
      </c>
      <c r="AX1035">
        <v>1</v>
      </c>
      <c r="AY1035" t="s">
        <v>188</v>
      </c>
      <c r="AZ1035" t="s">
        <v>206</v>
      </c>
      <c r="BA1035" t="s">
        <v>355</v>
      </c>
      <c r="BB1035" t="s">
        <v>191</v>
      </c>
      <c r="BC1035" t="s">
        <v>182</v>
      </c>
      <c r="BD1035" t="s">
        <v>182</v>
      </c>
      <c r="BE1035" t="s">
        <v>278</v>
      </c>
      <c r="BF1035">
        <v>1</v>
      </c>
      <c r="BG1035">
        <v>1</v>
      </c>
      <c r="BH1035">
        <v>2007</v>
      </c>
      <c r="BI1035" t="s">
        <v>13794</v>
      </c>
      <c r="BJ1035" t="s">
        <v>194</v>
      </c>
      <c r="BK1035" t="s">
        <v>195</v>
      </c>
      <c r="BL1035" t="s">
        <v>13795</v>
      </c>
      <c r="BM1035" t="s">
        <v>2604</v>
      </c>
      <c r="BN1035" t="s">
        <v>182</v>
      </c>
      <c r="BO1035" t="s">
        <v>198</v>
      </c>
      <c r="BP1035" t="s">
        <v>198</v>
      </c>
      <c r="BQ1035" t="s">
        <v>198</v>
      </c>
      <c r="BR1035" t="s">
        <v>198</v>
      </c>
      <c r="BS1035" t="s">
        <v>198</v>
      </c>
      <c r="BT1035" t="s">
        <v>198</v>
      </c>
      <c r="BU1035" t="s">
        <v>182</v>
      </c>
      <c r="BV1035" t="s">
        <v>198</v>
      </c>
      <c r="BW1035" t="s">
        <v>198</v>
      </c>
      <c r="BX1035" t="s">
        <v>199</v>
      </c>
      <c r="BY1035" t="s">
        <v>198</v>
      </c>
      <c r="BZ1035" t="s">
        <v>199</v>
      </c>
      <c r="CA1035" t="s">
        <v>199</v>
      </c>
      <c r="CB1035" t="s">
        <v>13796</v>
      </c>
      <c r="CC1035" t="s">
        <v>201</v>
      </c>
      <c r="CD1035" t="s">
        <v>202</v>
      </c>
      <c r="CE1035" t="s">
        <v>13797</v>
      </c>
      <c r="CF1035" t="s">
        <v>204</v>
      </c>
      <c r="CG1035" t="s">
        <v>177</v>
      </c>
      <c r="CH1035" t="s">
        <v>187</v>
      </c>
      <c r="CI1035" t="s">
        <v>13798</v>
      </c>
      <c r="CS1035" t="s">
        <v>198</v>
      </c>
      <c r="DC1035" t="s">
        <v>198</v>
      </c>
      <c r="DM1035" t="s">
        <v>198</v>
      </c>
      <c r="DW1035" t="s">
        <v>198</v>
      </c>
      <c r="EG1035" t="s">
        <v>198</v>
      </c>
      <c r="EQ1035" t="s">
        <v>198</v>
      </c>
      <c r="FA1035" t="s">
        <v>198</v>
      </c>
      <c r="FK1035" t="s">
        <v>198</v>
      </c>
      <c r="FU1035" t="s">
        <v>198</v>
      </c>
    </row>
    <row r="1036" spans="1:177">
      <c r="A1036" s="1" t="str">
        <f>HYPERLINK("http://digipan.lumentumllc.com/apps/getLink/index.php?t=PropLink&amp;p=5246350","PL")</f>
        <v>PL</v>
      </c>
      <c r="B1036" s="1" t="str">
        <f>HYPERLINK("http://digipan.lumentumllc.com/apps/getLink/index.php?t=TaxLink&amp;p=5246350","TL")</f>
        <v>TL</v>
      </c>
      <c r="C1036" s="1" t="str">
        <f>HYPERLINK("http://digipan.lumentumllc.com/apps/getMap/index.php?p=5246350","Map")</f>
        <v>Map</v>
      </c>
      <c r="E1036" t="s">
        <v>177</v>
      </c>
      <c r="F1036" t="s">
        <v>178</v>
      </c>
      <c r="L1036" t="s">
        <v>13799</v>
      </c>
      <c r="N1036" t="s">
        <v>13799</v>
      </c>
      <c r="O1036" t="s">
        <v>13799</v>
      </c>
      <c r="P1036" t="s">
        <v>13800</v>
      </c>
      <c r="Q1036" t="s">
        <v>13799</v>
      </c>
      <c r="V1036">
        <v>1190</v>
      </c>
      <c r="W1036">
        <v>4</v>
      </c>
      <c r="X1036">
        <v>2017</v>
      </c>
      <c r="Y1036">
        <v>2018</v>
      </c>
      <c r="Z1036">
        <v>360.65</v>
      </c>
      <c r="AB1036" t="s">
        <v>181</v>
      </c>
      <c r="AC1036" t="s">
        <v>182</v>
      </c>
      <c r="AD1036" t="s">
        <v>183</v>
      </c>
      <c r="AE1036">
        <v>2</v>
      </c>
      <c r="AF1036">
        <v>5</v>
      </c>
      <c r="AG1036" t="s">
        <v>282</v>
      </c>
      <c r="AH1036">
        <v>67</v>
      </c>
      <c r="AI1036">
        <v>687.24</v>
      </c>
      <c r="AJ1036">
        <v>34.36</v>
      </c>
      <c r="AK1036">
        <v>721.6</v>
      </c>
      <c r="AL1036">
        <v>49505</v>
      </c>
      <c r="AM1036">
        <v>28056</v>
      </c>
      <c r="AN1036">
        <v>21449</v>
      </c>
      <c r="AO1036">
        <v>294</v>
      </c>
      <c r="AP1036">
        <v>2016</v>
      </c>
      <c r="AQ1036">
        <v>0.73</v>
      </c>
      <c r="AR1036">
        <v>1.46</v>
      </c>
      <c r="AS1036" t="s">
        <v>13801</v>
      </c>
      <c r="AT1036" t="s">
        <v>186</v>
      </c>
      <c r="AU1036" t="s">
        <v>177</v>
      </c>
      <c r="AV1036" t="s">
        <v>187</v>
      </c>
      <c r="AW1036" t="s">
        <v>202</v>
      </c>
      <c r="AX1036">
        <v>2</v>
      </c>
      <c r="AY1036" t="s">
        <v>188</v>
      </c>
      <c r="AZ1036" t="s">
        <v>189</v>
      </c>
      <c r="BA1036" t="s">
        <v>190</v>
      </c>
      <c r="BB1036" t="s">
        <v>191</v>
      </c>
      <c r="BC1036" t="s">
        <v>182</v>
      </c>
      <c r="BD1036" t="s">
        <v>182</v>
      </c>
      <c r="BE1036" t="s">
        <v>1079</v>
      </c>
      <c r="BF1036">
        <v>1</v>
      </c>
      <c r="BG1036">
        <v>1</v>
      </c>
      <c r="BH1036">
        <v>1972</v>
      </c>
      <c r="BI1036" t="s">
        <v>13802</v>
      </c>
      <c r="BJ1036" t="s">
        <v>194</v>
      </c>
      <c r="BK1036" t="s">
        <v>195</v>
      </c>
      <c r="BL1036" t="s">
        <v>578</v>
      </c>
      <c r="BM1036" t="s">
        <v>679</v>
      </c>
      <c r="BN1036" t="s">
        <v>182</v>
      </c>
      <c r="BO1036" t="s">
        <v>13803</v>
      </c>
      <c r="BP1036" t="s">
        <v>5459</v>
      </c>
      <c r="BQ1036" t="s">
        <v>226</v>
      </c>
      <c r="BR1036" t="s">
        <v>227</v>
      </c>
      <c r="BS1036" t="s">
        <v>198</v>
      </c>
      <c r="BT1036" t="s">
        <v>13804</v>
      </c>
      <c r="BU1036" t="s">
        <v>182</v>
      </c>
      <c r="BV1036" t="s">
        <v>198</v>
      </c>
      <c r="BW1036" t="s">
        <v>198</v>
      </c>
      <c r="BX1036" t="s">
        <v>199</v>
      </c>
      <c r="BY1036" t="s">
        <v>198</v>
      </c>
      <c r="BZ1036" t="s">
        <v>199</v>
      </c>
      <c r="CA1036" t="s">
        <v>199</v>
      </c>
      <c r="CB1036" t="s">
        <v>13805</v>
      </c>
      <c r="CC1036" t="s">
        <v>201</v>
      </c>
      <c r="CD1036" t="s">
        <v>182</v>
      </c>
      <c r="CE1036" t="s">
        <v>13806</v>
      </c>
      <c r="CF1036" t="s">
        <v>204</v>
      </c>
      <c r="CG1036" t="s">
        <v>177</v>
      </c>
      <c r="CH1036" t="s">
        <v>187</v>
      </c>
      <c r="CI1036" t="s">
        <v>13807</v>
      </c>
      <c r="CJ1036" t="s">
        <v>10141</v>
      </c>
      <c r="CK1036" t="s">
        <v>232</v>
      </c>
      <c r="CL1036" t="s">
        <v>233</v>
      </c>
      <c r="CM1036" t="s">
        <v>13808</v>
      </c>
      <c r="CN1036" t="s">
        <v>235</v>
      </c>
      <c r="CO1036" t="s">
        <v>183</v>
      </c>
      <c r="CP1036" t="s">
        <v>266</v>
      </c>
      <c r="CS1036" t="s">
        <v>198</v>
      </c>
      <c r="CT1036" t="s">
        <v>13194</v>
      </c>
      <c r="CU1036" t="s">
        <v>292</v>
      </c>
      <c r="CV1036" t="s">
        <v>293</v>
      </c>
      <c r="CW1036" t="s">
        <v>13809</v>
      </c>
      <c r="CX1036" t="s">
        <v>235</v>
      </c>
      <c r="CY1036" t="s">
        <v>183</v>
      </c>
      <c r="CZ1036" t="s">
        <v>266</v>
      </c>
      <c r="DC1036" t="s">
        <v>198</v>
      </c>
      <c r="DD1036" t="s">
        <v>10814</v>
      </c>
      <c r="DE1036" t="s">
        <v>267</v>
      </c>
      <c r="DF1036" t="s">
        <v>268</v>
      </c>
      <c r="DG1036" t="s">
        <v>13810</v>
      </c>
      <c r="DH1036" t="s">
        <v>235</v>
      </c>
      <c r="DI1036" t="s">
        <v>183</v>
      </c>
      <c r="DJ1036" t="s">
        <v>211</v>
      </c>
      <c r="DK1036" t="s">
        <v>298</v>
      </c>
      <c r="DM1036" t="s">
        <v>2670</v>
      </c>
      <c r="DN1036" t="s">
        <v>11428</v>
      </c>
      <c r="DO1036" t="s">
        <v>273</v>
      </c>
      <c r="DP1036" t="s">
        <v>274</v>
      </c>
      <c r="DQ1036" t="s">
        <v>13811</v>
      </c>
      <c r="DR1036" t="s">
        <v>235</v>
      </c>
      <c r="DS1036" t="s">
        <v>183</v>
      </c>
      <c r="DT1036" t="s">
        <v>211</v>
      </c>
      <c r="DU1036" t="s">
        <v>298</v>
      </c>
      <c r="DW1036" t="s">
        <v>9411</v>
      </c>
      <c r="DX1036" t="s">
        <v>13812</v>
      </c>
      <c r="DY1036" t="s">
        <v>238</v>
      </c>
      <c r="DZ1036" t="s">
        <v>239</v>
      </c>
      <c r="EA1036" t="s">
        <v>13813</v>
      </c>
      <c r="EB1036" t="s">
        <v>278</v>
      </c>
      <c r="EC1036" t="s">
        <v>183</v>
      </c>
      <c r="ED1036" t="s">
        <v>211</v>
      </c>
      <c r="EE1036" t="s">
        <v>212</v>
      </c>
      <c r="EG1036" t="s">
        <v>13814</v>
      </c>
      <c r="EH1036" t="s">
        <v>2716</v>
      </c>
      <c r="EI1036" t="s">
        <v>346</v>
      </c>
      <c r="EJ1036" t="s">
        <v>347</v>
      </c>
      <c r="EK1036" t="s">
        <v>13815</v>
      </c>
      <c r="EL1036" t="s">
        <v>1491</v>
      </c>
      <c r="EM1036" t="s">
        <v>183</v>
      </c>
      <c r="EN1036" t="s">
        <v>211</v>
      </c>
      <c r="EO1036" t="s">
        <v>334</v>
      </c>
      <c r="EQ1036" t="s">
        <v>13814</v>
      </c>
      <c r="ER1036" t="s">
        <v>10648</v>
      </c>
      <c r="ES1036" t="s">
        <v>207</v>
      </c>
      <c r="ET1036" t="s">
        <v>208</v>
      </c>
      <c r="EU1036" t="s">
        <v>13816</v>
      </c>
      <c r="EV1036" t="s">
        <v>341</v>
      </c>
      <c r="EW1036" t="s">
        <v>183</v>
      </c>
      <c r="EX1036" t="s">
        <v>211</v>
      </c>
      <c r="EY1036" t="s">
        <v>345</v>
      </c>
      <c r="FA1036" t="s">
        <v>7861</v>
      </c>
      <c r="FK1036" t="s">
        <v>198</v>
      </c>
      <c r="FU1036" t="s">
        <v>198</v>
      </c>
    </row>
    <row r="1037" spans="1:177">
      <c r="A1037" s="1" t="str">
        <f>HYPERLINK("http://digipan.lumentumllc.com/apps/getLink/index.php?t=PropLink&amp;p=7112436","PL")</f>
        <v>PL</v>
      </c>
      <c r="B1037" s="1" t="str">
        <f>HYPERLINK("http://digipan.lumentumllc.com/apps/getLink/index.php?t=TaxLink&amp;p=7112436","TL")</f>
        <v>TL</v>
      </c>
      <c r="C1037" s="1" t="str">
        <f>HYPERLINK("http://digipan.lumentumllc.com/apps/getMap/index.php?p=7112436","Map")</f>
        <v>Map</v>
      </c>
      <c r="E1037" t="s">
        <v>177</v>
      </c>
      <c r="F1037" t="s">
        <v>178</v>
      </c>
      <c r="L1037" t="s">
        <v>13817</v>
      </c>
      <c r="N1037" t="s">
        <v>13817</v>
      </c>
      <c r="O1037" t="s">
        <v>13817</v>
      </c>
      <c r="P1037" t="s">
        <v>13818</v>
      </c>
      <c r="Q1037" t="s">
        <v>13817</v>
      </c>
      <c r="V1037">
        <v>1191</v>
      </c>
      <c r="W1037">
        <v>4</v>
      </c>
      <c r="X1037">
        <v>2017</v>
      </c>
      <c r="Y1037">
        <v>2018</v>
      </c>
      <c r="Z1037">
        <v>443.29</v>
      </c>
      <c r="AB1037" t="s">
        <v>181</v>
      </c>
      <c r="AC1037" t="s">
        <v>182</v>
      </c>
      <c r="AD1037" t="s">
        <v>183</v>
      </c>
      <c r="AE1037">
        <v>0</v>
      </c>
      <c r="AF1037">
        <v>1</v>
      </c>
      <c r="AG1037" t="s">
        <v>821</v>
      </c>
      <c r="AH1037">
        <v>100</v>
      </c>
      <c r="AK1037">
        <v>0</v>
      </c>
      <c r="AL1037">
        <v>52776</v>
      </c>
      <c r="AM1037">
        <v>35784</v>
      </c>
      <c r="AN1037">
        <v>16992</v>
      </c>
      <c r="AO1037">
        <v>772</v>
      </c>
      <c r="AP1037">
        <v>2016</v>
      </c>
      <c r="AQ1037">
        <v>0.84</v>
      </c>
      <c r="AS1037" t="s">
        <v>13819</v>
      </c>
      <c r="AT1037" t="s">
        <v>186</v>
      </c>
      <c r="AU1037" t="s">
        <v>177</v>
      </c>
      <c r="AV1037" t="s">
        <v>187</v>
      </c>
      <c r="AW1037" t="s">
        <v>202</v>
      </c>
      <c r="AX1037">
        <v>2</v>
      </c>
      <c r="AY1037" t="s">
        <v>188</v>
      </c>
      <c r="AZ1037" t="s">
        <v>189</v>
      </c>
      <c r="BA1037" t="s">
        <v>190</v>
      </c>
      <c r="BB1037" t="s">
        <v>191</v>
      </c>
      <c r="BC1037" t="s">
        <v>182</v>
      </c>
      <c r="BD1037" t="s">
        <v>182</v>
      </c>
      <c r="BE1037" t="s">
        <v>8576</v>
      </c>
      <c r="BF1037">
        <v>1</v>
      </c>
      <c r="BG1037">
        <v>1</v>
      </c>
      <c r="BH1037">
        <v>1984</v>
      </c>
      <c r="BI1037" t="s">
        <v>13713</v>
      </c>
      <c r="BJ1037" t="s">
        <v>194</v>
      </c>
      <c r="BK1037" t="s">
        <v>195</v>
      </c>
      <c r="BL1037" t="s">
        <v>9709</v>
      </c>
      <c r="BM1037" t="s">
        <v>292</v>
      </c>
      <c r="BN1037" t="s">
        <v>182</v>
      </c>
      <c r="BO1037" t="s">
        <v>11419</v>
      </c>
      <c r="BP1037" t="s">
        <v>13820</v>
      </c>
      <c r="BQ1037" t="s">
        <v>562</v>
      </c>
      <c r="BS1037" t="s">
        <v>198</v>
      </c>
      <c r="BT1037" t="s">
        <v>13821</v>
      </c>
      <c r="BU1037" t="s">
        <v>182</v>
      </c>
      <c r="BV1037" t="s">
        <v>198</v>
      </c>
      <c r="BW1037" t="s">
        <v>198</v>
      </c>
      <c r="BX1037" t="s">
        <v>199</v>
      </c>
      <c r="BY1037" t="s">
        <v>198</v>
      </c>
      <c r="BZ1037" t="s">
        <v>199</v>
      </c>
      <c r="CA1037" t="s">
        <v>199</v>
      </c>
      <c r="CB1037" t="s">
        <v>13822</v>
      </c>
      <c r="CC1037" t="s">
        <v>201</v>
      </c>
      <c r="CD1037" t="s">
        <v>182</v>
      </c>
      <c r="CE1037" t="s">
        <v>13823</v>
      </c>
      <c r="CF1037" t="s">
        <v>204</v>
      </c>
      <c r="CG1037" t="s">
        <v>177</v>
      </c>
      <c r="CH1037" t="s">
        <v>187</v>
      </c>
      <c r="CI1037" t="s">
        <v>13824</v>
      </c>
      <c r="CJ1037" t="s">
        <v>13215</v>
      </c>
      <c r="CK1037" t="s">
        <v>292</v>
      </c>
      <c r="CL1037" t="s">
        <v>293</v>
      </c>
      <c r="CM1037" t="s">
        <v>13825</v>
      </c>
      <c r="CN1037" t="s">
        <v>235</v>
      </c>
      <c r="CO1037" t="s">
        <v>183</v>
      </c>
      <c r="CP1037" t="s">
        <v>211</v>
      </c>
      <c r="CQ1037" t="s">
        <v>270</v>
      </c>
      <c r="CS1037" t="s">
        <v>13826</v>
      </c>
      <c r="DC1037" t="s">
        <v>198</v>
      </c>
      <c r="DM1037" t="s">
        <v>198</v>
      </c>
      <c r="DW1037" t="s">
        <v>198</v>
      </c>
      <c r="EG1037" t="s">
        <v>198</v>
      </c>
      <c r="EQ1037" t="s">
        <v>198</v>
      </c>
      <c r="FA1037" t="s">
        <v>198</v>
      </c>
      <c r="FK1037" t="s">
        <v>198</v>
      </c>
      <c r="FU1037" t="s">
        <v>198</v>
      </c>
    </row>
    <row r="1038" spans="1:177">
      <c r="A1038" s="1" t="str">
        <f>HYPERLINK("http://digipan.lumentumllc.com/apps/getLink/index.php?t=PropLink&amp;p=5246372","PL")</f>
        <v>PL</v>
      </c>
      <c r="B1038" s="1" t="str">
        <f>HYPERLINK("http://digipan.lumentumllc.com/apps/getLink/index.php?t=TaxLink&amp;p=5246372","TL")</f>
        <v>TL</v>
      </c>
      <c r="C1038" s="1" t="str">
        <f>HYPERLINK("http://digipan.lumentumllc.com/apps/getMap/index.php?p=5246372","Map")</f>
        <v>Map</v>
      </c>
      <c r="E1038" t="s">
        <v>177</v>
      </c>
      <c r="F1038" t="s">
        <v>178</v>
      </c>
      <c r="L1038" t="s">
        <v>13827</v>
      </c>
      <c r="N1038" t="s">
        <v>13827</v>
      </c>
      <c r="O1038" t="s">
        <v>13827</v>
      </c>
      <c r="P1038" t="s">
        <v>13828</v>
      </c>
      <c r="Q1038" t="s">
        <v>13827</v>
      </c>
      <c r="V1038">
        <v>1192</v>
      </c>
      <c r="W1038">
        <v>4</v>
      </c>
      <c r="X1038">
        <v>2017</v>
      </c>
      <c r="Y1038">
        <v>2018</v>
      </c>
      <c r="Z1038">
        <v>539.07000000000005</v>
      </c>
      <c r="AB1038" t="s">
        <v>181</v>
      </c>
      <c r="AC1038" t="s">
        <v>182</v>
      </c>
      <c r="AD1038" t="s">
        <v>183</v>
      </c>
      <c r="AE1038">
        <v>1</v>
      </c>
      <c r="AF1038">
        <v>4</v>
      </c>
      <c r="AG1038" t="s">
        <v>951</v>
      </c>
      <c r="AH1038">
        <v>80</v>
      </c>
      <c r="AI1038">
        <v>533.08000000000004</v>
      </c>
      <c r="AJ1038">
        <v>26.65</v>
      </c>
      <c r="AK1038">
        <v>559.73</v>
      </c>
      <c r="AL1038">
        <v>74661</v>
      </c>
      <c r="AM1038">
        <v>18963</v>
      </c>
      <c r="AN1038">
        <v>55698</v>
      </c>
      <c r="AO1038">
        <v>468</v>
      </c>
      <c r="AP1038">
        <v>2016</v>
      </c>
      <c r="AQ1038">
        <v>0.72</v>
      </c>
      <c r="AR1038">
        <v>0.75</v>
      </c>
      <c r="AS1038" t="s">
        <v>13829</v>
      </c>
      <c r="AT1038" t="s">
        <v>186</v>
      </c>
      <c r="AU1038" t="s">
        <v>177</v>
      </c>
      <c r="AV1038" t="s">
        <v>187</v>
      </c>
      <c r="AW1038" t="s">
        <v>202</v>
      </c>
      <c r="AX1038">
        <v>2</v>
      </c>
      <c r="AY1038" t="s">
        <v>188</v>
      </c>
      <c r="AZ1038" t="s">
        <v>189</v>
      </c>
      <c r="BA1038" t="s">
        <v>190</v>
      </c>
      <c r="BB1038" t="s">
        <v>191</v>
      </c>
      <c r="BC1038" t="s">
        <v>182</v>
      </c>
      <c r="BD1038" t="s">
        <v>182</v>
      </c>
      <c r="BE1038" t="s">
        <v>1359</v>
      </c>
      <c r="BF1038">
        <v>1</v>
      </c>
      <c r="BG1038">
        <v>1</v>
      </c>
      <c r="BH1038">
        <v>1998</v>
      </c>
      <c r="BI1038" t="s">
        <v>8761</v>
      </c>
      <c r="BJ1038" t="s">
        <v>194</v>
      </c>
      <c r="BK1038" t="s">
        <v>195</v>
      </c>
      <c r="BL1038" t="s">
        <v>9344</v>
      </c>
      <c r="BM1038" t="s">
        <v>559</v>
      </c>
      <c r="BN1038" t="s">
        <v>182</v>
      </c>
      <c r="BO1038" t="s">
        <v>13830</v>
      </c>
      <c r="BP1038" t="s">
        <v>3045</v>
      </c>
      <c r="BQ1038" t="s">
        <v>904</v>
      </c>
      <c r="BR1038" t="s">
        <v>643</v>
      </c>
      <c r="BS1038" t="s">
        <v>198</v>
      </c>
      <c r="BT1038" t="s">
        <v>13831</v>
      </c>
      <c r="BU1038" t="s">
        <v>182</v>
      </c>
      <c r="BV1038" t="s">
        <v>198</v>
      </c>
      <c r="BW1038" t="s">
        <v>198</v>
      </c>
      <c r="BX1038" t="s">
        <v>199</v>
      </c>
      <c r="BY1038" t="s">
        <v>198</v>
      </c>
      <c r="BZ1038" t="s">
        <v>199</v>
      </c>
      <c r="CA1038" t="s">
        <v>199</v>
      </c>
      <c r="CB1038" t="s">
        <v>13832</v>
      </c>
      <c r="CC1038" t="s">
        <v>201</v>
      </c>
      <c r="CD1038" t="s">
        <v>182</v>
      </c>
      <c r="CE1038" t="s">
        <v>13833</v>
      </c>
      <c r="CF1038" t="s">
        <v>204</v>
      </c>
      <c r="CG1038" t="s">
        <v>177</v>
      </c>
      <c r="CH1038" t="s">
        <v>187</v>
      </c>
      <c r="CI1038" t="s">
        <v>13834</v>
      </c>
      <c r="CJ1038" t="s">
        <v>9121</v>
      </c>
      <c r="CK1038" t="s">
        <v>232</v>
      </c>
      <c r="CL1038" t="s">
        <v>233</v>
      </c>
      <c r="CM1038" t="s">
        <v>13835</v>
      </c>
      <c r="CN1038" t="s">
        <v>235</v>
      </c>
      <c r="CO1038" t="s">
        <v>183</v>
      </c>
      <c r="CP1038" t="s">
        <v>266</v>
      </c>
      <c r="CS1038" t="s">
        <v>198</v>
      </c>
      <c r="CT1038" t="s">
        <v>12731</v>
      </c>
      <c r="CU1038" t="s">
        <v>292</v>
      </c>
      <c r="CV1038" t="s">
        <v>293</v>
      </c>
      <c r="CW1038" t="s">
        <v>13836</v>
      </c>
      <c r="CX1038" t="s">
        <v>235</v>
      </c>
      <c r="CY1038" t="s">
        <v>183</v>
      </c>
      <c r="CZ1038" t="s">
        <v>211</v>
      </c>
      <c r="DA1038" t="s">
        <v>298</v>
      </c>
      <c r="DC1038" t="s">
        <v>430</v>
      </c>
      <c r="DD1038" t="s">
        <v>6691</v>
      </c>
      <c r="DE1038" t="s">
        <v>267</v>
      </c>
      <c r="DF1038" t="s">
        <v>268</v>
      </c>
      <c r="DG1038" t="s">
        <v>13837</v>
      </c>
      <c r="DH1038" t="s">
        <v>235</v>
      </c>
      <c r="DI1038" t="s">
        <v>183</v>
      </c>
      <c r="DJ1038" t="s">
        <v>211</v>
      </c>
      <c r="DK1038" t="s">
        <v>523</v>
      </c>
      <c r="DM1038" t="s">
        <v>4890</v>
      </c>
      <c r="DN1038" t="s">
        <v>13838</v>
      </c>
      <c r="DO1038" t="s">
        <v>273</v>
      </c>
      <c r="DP1038" t="s">
        <v>274</v>
      </c>
      <c r="DQ1038" t="s">
        <v>13839</v>
      </c>
      <c r="DR1038" t="s">
        <v>235</v>
      </c>
      <c r="DS1038" t="s">
        <v>183</v>
      </c>
      <c r="DT1038" t="s">
        <v>211</v>
      </c>
      <c r="DU1038" t="s">
        <v>345</v>
      </c>
      <c r="DW1038" t="s">
        <v>7476</v>
      </c>
      <c r="DX1038" t="s">
        <v>13840</v>
      </c>
      <c r="DY1038" t="s">
        <v>302</v>
      </c>
      <c r="DZ1038" t="s">
        <v>303</v>
      </c>
      <c r="EA1038" t="s">
        <v>13841</v>
      </c>
      <c r="EB1038" t="s">
        <v>235</v>
      </c>
      <c r="EC1038" t="s">
        <v>183</v>
      </c>
      <c r="ED1038" t="s">
        <v>211</v>
      </c>
      <c r="EE1038" t="s">
        <v>270</v>
      </c>
      <c r="EG1038" t="s">
        <v>13842</v>
      </c>
      <c r="EQ1038" t="s">
        <v>198</v>
      </c>
      <c r="FA1038" t="s">
        <v>198</v>
      </c>
      <c r="FK1038" t="s">
        <v>198</v>
      </c>
      <c r="FU1038" t="s">
        <v>198</v>
      </c>
    </row>
    <row r="1039" spans="1:177">
      <c r="A1039" s="1" t="str">
        <f>HYPERLINK("http://digipan.lumentumllc.com/apps/getLink/index.php?t=PropLink&amp;p=7112439","PL")</f>
        <v>PL</v>
      </c>
      <c r="B1039" s="1" t="str">
        <f>HYPERLINK("http://digipan.lumentumllc.com/apps/getLink/index.php?t=TaxLink&amp;p=7112439","TL")</f>
        <v>TL</v>
      </c>
      <c r="C1039" s="1" t="str">
        <f>HYPERLINK("http://digipan.lumentumllc.com/apps/getMap/index.php?p=7112439","Map")</f>
        <v>Map</v>
      </c>
      <c r="E1039" t="s">
        <v>177</v>
      </c>
      <c r="F1039" t="s">
        <v>178</v>
      </c>
      <c r="L1039" t="s">
        <v>13843</v>
      </c>
      <c r="N1039" t="s">
        <v>13843</v>
      </c>
      <c r="O1039" t="s">
        <v>13843</v>
      </c>
      <c r="P1039" t="s">
        <v>13844</v>
      </c>
      <c r="Q1039" t="s">
        <v>13843</v>
      </c>
      <c r="V1039">
        <v>1193</v>
      </c>
      <c r="W1039">
        <v>4</v>
      </c>
      <c r="X1039">
        <v>2017</v>
      </c>
      <c r="Y1039">
        <v>2018</v>
      </c>
      <c r="Z1039">
        <v>732.44</v>
      </c>
      <c r="AB1039" t="s">
        <v>181</v>
      </c>
      <c r="AC1039" t="s">
        <v>182</v>
      </c>
      <c r="AD1039" t="s">
        <v>183</v>
      </c>
      <c r="AE1039">
        <v>1</v>
      </c>
      <c r="AF1039">
        <v>1</v>
      </c>
      <c r="AG1039" t="s">
        <v>2222</v>
      </c>
      <c r="AH1039">
        <v>50</v>
      </c>
      <c r="AI1039">
        <v>760.02</v>
      </c>
      <c r="AJ1039">
        <v>38</v>
      </c>
      <c r="AK1039">
        <v>798.02</v>
      </c>
      <c r="AL1039">
        <v>42782</v>
      </c>
      <c r="AM1039">
        <v>27216</v>
      </c>
      <c r="AN1039">
        <v>15566</v>
      </c>
      <c r="AO1039">
        <v>678</v>
      </c>
      <c r="AP1039">
        <v>2016</v>
      </c>
      <c r="AQ1039">
        <v>1.71</v>
      </c>
      <c r="AR1039">
        <v>1.87</v>
      </c>
      <c r="AS1039" t="s">
        <v>13845</v>
      </c>
      <c r="AT1039" t="s">
        <v>186</v>
      </c>
      <c r="AU1039" t="s">
        <v>177</v>
      </c>
      <c r="AV1039" t="s">
        <v>187</v>
      </c>
      <c r="AW1039" t="s">
        <v>182</v>
      </c>
      <c r="AX1039">
        <v>2</v>
      </c>
      <c r="AY1039" t="s">
        <v>188</v>
      </c>
      <c r="AZ1039" t="s">
        <v>189</v>
      </c>
      <c r="BA1039" t="s">
        <v>190</v>
      </c>
      <c r="BB1039" t="s">
        <v>191</v>
      </c>
      <c r="BC1039" t="s">
        <v>182</v>
      </c>
      <c r="BD1039" t="s">
        <v>182</v>
      </c>
      <c r="BE1039" t="s">
        <v>12329</v>
      </c>
      <c r="BF1039">
        <v>1</v>
      </c>
      <c r="BG1039">
        <v>1</v>
      </c>
      <c r="BH1039">
        <v>1980</v>
      </c>
      <c r="BI1039" t="s">
        <v>6503</v>
      </c>
      <c r="BJ1039" t="s">
        <v>194</v>
      </c>
      <c r="BK1039" t="s">
        <v>195</v>
      </c>
      <c r="BL1039" t="s">
        <v>2395</v>
      </c>
      <c r="BM1039" t="s">
        <v>2351</v>
      </c>
      <c r="BN1039" t="s">
        <v>182</v>
      </c>
      <c r="BO1039" t="s">
        <v>198</v>
      </c>
      <c r="BP1039" t="s">
        <v>198</v>
      </c>
      <c r="BQ1039" t="s">
        <v>198</v>
      </c>
      <c r="BR1039" t="s">
        <v>198</v>
      </c>
      <c r="BS1039" t="s">
        <v>198</v>
      </c>
      <c r="BT1039" t="s">
        <v>198</v>
      </c>
      <c r="BU1039" t="s">
        <v>182</v>
      </c>
      <c r="BV1039" t="s">
        <v>198</v>
      </c>
      <c r="BW1039" t="s">
        <v>198</v>
      </c>
      <c r="BX1039" t="s">
        <v>199</v>
      </c>
      <c r="BY1039" t="s">
        <v>198</v>
      </c>
      <c r="BZ1039" t="s">
        <v>199</v>
      </c>
      <c r="CA1039" t="s">
        <v>199</v>
      </c>
      <c r="CB1039" t="s">
        <v>13846</v>
      </c>
      <c r="CC1039" t="s">
        <v>201</v>
      </c>
      <c r="CD1039" t="s">
        <v>202</v>
      </c>
      <c r="CE1039" t="s">
        <v>13847</v>
      </c>
      <c r="CF1039" t="s">
        <v>204</v>
      </c>
      <c r="CG1039" t="s">
        <v>177</v>
      </c>
      <c r="CH1039" t="s">
        <v>187</v>
      </c>
      <c r="CI1039" t="s">
        <v>13848</v>
      </c>
      <c r="CJ1039" t="s">
        <v>3832</v>
      </c>
      <c r="CK1039" t="s">
        <v>232</v>
      </c>
      <c r="CL1039" t="s">
        <v>233</v>
      </c>
      <c r="CM1039" t="s">
        <v>13849</v>
      </c>
      <c r="CN1039" t="s">
        <v>235</v>
      </c>
      <c r="CO1039" t="s">
        <v>183</v>
      </c>
      <c r="CP1039" t="s">
        <v>266</v>
      </c>
      <c r="CS1039" t="s">
        <v>198</v>
      </c>
      <c r="CT1039" t="s">
        <v>13263</v>
      </c>
      <c r="CU1039" t="s">
        <v>292</v>
      </c>
      <c r="CV1039" t="s">
        <v>293</v>
      </c>
      <c r="CW1039" t="s">
        <v>13850</v>
      </c>
      <c r="CX1039" t="s">
        <v>235</v>
      </c>
      <c r="CY1039" t="s">
        <v>183</v>
      </c>
      <c r="CZ1039" t="s">
        <v>211</v>
      </c>
      <c r="DA1039" t="s">
        <v>444</v>
      </c>
      <c r="DC1039" t="s">
        <v>5312</v>
      </c>
      <c r="DM1039" t="s">
        <v>198</v>
      </c>
      <c r="DW1039" t="s">
        <v>198</v>
      </c>
      <c r="EG1039" t="s">
        <v>198</v>
      </c>
      <c r="EQ1039" t="s">
        <v>198</v>
      </c>
      <c r="FA1039" t="s">
        <v>198</v>
      </c>
      <c r="FK1039" t="s">
        <v>198</v>
      </c>
      <c r="FU1039" t="s">
        <v>198</v>
      </c>
    </row>
    <row r="1040" spans="1:177">
      <c r="A1040" s="1" t="str">
        <f>HYPERLINK("http://digipan.lumentumllc.com/apps/getLink/index.php?t=PropLink&amp;p=15750988","PL")</f>
        <v>PL</v>
      </c>
      <c r="B1040" s="1" t="str">
        <f>HYPERLINK("http://digipan.lumentumllc.com/apps/getLink/index.php?t=TaxLink&amp;p=15750988","TL")</f>
        <v>TL</v>
      </c>
      <c r="C1040" s="1" t="str">
        <f>HYPERLINK("http://digipan.lumentumllc.com/apps/getMap/index.php?p=15750988","Map")</f>
        <v>Map</v>
      </c>
      <c r="E1040" t="s">
        <v>177</v>
      </c>
      <c r="F1040" t="s">
        <v>178</v>
      </c>
      <c r="L1040" t="s">
        <v>13851</v>
      </c>
      <c r="N1040" t="s">
        <v>13851</v>
      </c>
      <c r="O1040" t="s">
        <v>13851</v>
      </c>
      <c r="Q1040" t="s">
        <v>13851</v>
      </c>
      <c r="V1040">
        <v>1194</v>
      </c>
      <c r="W1040">
        <v>4</v>
      </c>
      <c r="X1040">
        <v>2017</v>
      </c>
      <c r="Y1040">
        <v>2018</v>
      </c>
      <c r="Z1040">
        <v>1021.7</v>
      </c>
      <c r="AG1040" t="s">
        <v>184</v>
      </c>
      <c r="AH1040">
        <v>0</v>
      </c>
      <c r="AK1040">
        <v>0</v>
      </c>
      <c r="AL1040">
        <v>60449</v>
      </c>
      <c r="AM1040">
        <v>25200</v>
      </c>
      <c r="AN1040">
        <v>35249</v>
      </c>
      <c r="AO1040">
        <v>0</v>
      </c>
      <c r="AP1040">
        <v>0</v>
      </c>
      <c r="AQ1040">
        <v>1.69</v>
      </c>
      <c r="AS1040" t="s">
        <v>13852</v>
      </c>
      <c r="AT1040" t="s">
        <v>186</v>
      </c>
      <c r="AU1040" t="s">
        <v>177</v>
      </c>
      <c r="AV1040" t="s">
        <v>187</v>
      </c>
      <c r="AW1040" t="s">
        <v>182</v>
      </c>
      <c r="AX1040">
        <v>2</v>
      </c>
      <c r="AY1040" t="s">
        <v>188</v>
      </c>
      <c r="AZ1040" t="s">
        <v>189</v>
      </c>
      <c r="BA1040" t="s">
        <v>190</v>
      </c>
      <c r="BB1040" t="s">
        <v>191</v>
      </c>
      <c r="BC1040" t="s">
        <v>182</v>
      </c>
      <c r="BD1040" t="s">
        <v>182</v>
      </c>
      <c r="BE1040" t="s">
        <v>365</v>
      </c>
      <c r="BF1040">
        <v>1</v>
      </c>
      <c r="BG1040">
        <v>1</v>
      </c>
      <c r="BH1040">
        <v>1989</v>
      </c>
      <c r="BI1040" t="s">
        <v>13853</v>
      </c>
      <c r="BJ1040" t="s">
        <v>194</v>
      </c>
      <c r="BK1040" t="s">
        <v>195</v>
      </c>
      <c r="BL1040" t="s">
        <v>1720</v>
      </c>
      <c r="BM1040" t="s">
        <v>325</v>
      </c>
      <c r="BN1040" t="s">
        <v>182</v>
      </c>
      <c r="BO1040" t="s">
        <v>5326</v>
      </c>
      <c r="BP1040" t="s">
        <v>13854</v>
      </c>
      <c r="BQ1040" t="s">
        <v>1285</v>
      </c>
      <c r="BR1040" t="s">
        <v>1300</v>
      </c>
      <c r="BS1040" t="s">
        <v>198</v>
      </c>
      <c r="BT1040" t="s">
        <v>13855</v>
      </c>
      <c r="BU1040" t="s">
        <v>182</v>
      </c>
      <c r="BV1040" t="s">
        <v>198</v>
      </c>
      <c r="BW1040" t="s">
        <v>198</v>
      </c>
      <c r="BX1040" t="s">
        <v>199</v>
      </c>
      <c r="BY1040" t="s">
        <v>198</v>
      </c>
      <c r="BZ1040" t="s">
        <v>199</v>
      </c>
      <c r="CA1040" t="s">
        <v>199</v>
      </c>
      <c r="CB1040" t="s">
        <v>13856</v>
      </c>
      <c r="CC1040" t="s">
        <v>201</v>
      </c>
      <c r="CD1040" t="s">
        <v>182</v>
      </c>
      <c r="CE1040" t="s">
        <v>13857</v>
      </c>
      <c r="CF1040" t="s">
        <v>2333</v>
      </c>
      <c r="CG1040" t="s">
        <v>177</v>
      </c>
      <c r="CH1040" t="s">
        <v>2334</v>
      </c>
      <c r="CI1040" t="s">
        <v>2147</v>
      </c>
      <c r="CS1040" t="s">
        <v>198</v>
      </c>
      <c r="DC1040" t="s">
        <v>198</v>
      </c>
      <c r="DM1040" t="s">
        <v>198</v>
      </c>
      <c r="DW1040" t="s">
        <v>198</v>
      </c>
      <c r="EG1040" t="s">
        <v>198</v>
      </c>
      <c r="EQ1040" t="s">
        <v>198</v>
      </c>
      <c r="FA1040" t="s">
        <v>198</v>
      </c>
      <c r="FK1040" t="s">
        <v>198</v>
      </c>
      <c r="FU1040" t="s">
        <v>198</v>
      </c>
    </row>
    <row r="1041" spans="1:177">
      <c r="A1041" s="1" t="str">
        <f>HYPERLINK("http://digipan.lumentumllc.com/apps/getLink/index.php?t=PropLink&amp;p=7112473","PL")</f>
        <v>PL</v>
      </c>
      <c r="B1041" s="1" t="str">
        <f>HYPERLINK("http://digipan.lumentumllc.com/apps/getLink/index.php?t=TaxLink&amp;p=7112473","TL")</f>
        <v>TL</v>
      </c>
      <c r="C1041" s="1" t="str">
        <f>HYPERLINK("http://digipan.lumentumllc.com/apps/getMap/index.php?p=7112473","Map")</f>
        <v>Map</v>
      </c>
      <c r="E1041" t="s">
        <v>177</v>
      </c>
      <c r="F1041" t="s">
        <v>178</v>
      </c>
      <c r="L1041" t="s">
        <v>13858</v>
      </c>
      <c r="N1041" t="s">
        <v>13858</v>
      </c>
      <c r="O1041" t="s">
        <v>13858</v>
      </c>
      <c r="P1041" t="s">
        <v>13859</v>
      </c>
      <c r="Q1041" t="s">
        <v>13858</v>
      </c>
      <c r="V1041">
        <v>1195</v>
      </c>
      <c r="W1041">
        <v>4</v>
      </c>
      <c r="X1041">
        <v>2017</v>
      </c>
      <c r="Y1041">
        <v>2018</v>
      </c>
      <c r="Z1041">
        <v>444.38</v>
      </c>
      <c r="AB1041" t="s">
        <v>181</v>
      </c>
      <c r="AC1041" t="s">
        <v>182</v>
      </c>
      <c r="AD1041" t="s">
        <v>183</v>
      </c>
      <c r="AE1041">
        <v>3</v>
      </c>
      <c r="AF1041">
        <v>0</v>
      </c>
      <c r="AG1041" t="s">
        <v>6413</v>
      </c>
      <c r="AH1041">
        <v>0</v>
      </c>
      <c r="AI1041">
        <v>1065.3</v>
      </c>
      <c r="AJ1041">
        <v>213.47</v>
      </c>
      <c r="AK1041">
        <v>1278.77</v>
      </c>
      <c r="AL1041">
        <v>27720</v>
      </c>
      <c r="AM1041">
        <v>27720</v>
      </c>
      <c r="AN1041">
        <v>0</v>
      </c>
      <c r="AO1041">
        <v>324</v>
      </c>
      <c r="AP1041">
        <v>2016</v>
      </c>
      <c r="AQ1041">
        <v>1.6</v>
      </c>
      <c r="AR1041">
        <v>4.6100000000000003</v>
      </c>
      <c r="AS1041" t="s">
        <v>13860</v>
      </c>
      <c r="AT1041" t="s">
        <v>186</v>
      </c>
      <c r="AU1041" t="s">
        <v>177</v>
      </c>
      <c r="AV1041" t="s">
        <v>187</v>
      </c>
      <c r="AW1041" t="s">
        <v>182</v>
      </c>
      <c r="AX1041">
        <v>0</v>
      </c>
      <c r="AY1041" t="s">
        <v>312</v>
      </c>
      <c r="AZ1041" t="s">
        <v>199</v>
      </c>
      <c r="BA1041" t="s">
        <v>313</v>
      </c>
      <c r="BB1041" t="s">
        <v>191</v>
      </c>
      <c r="BC1041" t="s">
        <v>182</v>
      </c>
      <c r="BD1041" t="s">
        <v>182</v>
      </c>
      <c r="BE1041" t="s">
        <v>9148</v>
      </c>
      <c r="BF1041">
        <v>0</v>
      </c>
      <c r="BG1041">
        <v>0</v>
      </c>
      <c r="BH1041">
        <v>0</v>
      </c>
      <c r="BI1041" t="s">
        <v>199</v>
      </c>
      <c r="BJ1041" t="s">
        <v>315</v>
      </c>
      <c r="BL1041" t="s">
        <v>199</v>
      </c>
      <c r="BM1041" t="s">
        <v>292</v>
      </c>
      <c r="BN1041" t="s">
        <v>182</v>
      </c>
      <c r="BO1041" t="s">
        <v>198</v>
      </c>
      <c r="BP1041" t="s">
        <v>198</v>
      </c>
      <c r="BQ1041" t="s">
        <v>198</v>
      </c>
      <c r="BR1041" t="s">
        <v>198</v>
      </c>
      <c r="BS1041" t="s">
        <v>198</v>
      </c>
      <c r="BT1041" t="s">
        <v>198</v>
      </c>
      <c r="BU1041" t="s">
        <v>182</v>
      </c>
      <c r="BV1041" t="s">
        <v>198</v>
      </c>
      <c r="BW1041" t="s">
        <v>198</v>
      </c>
      <c r="BX1041" t="s">
        <v>199</v>
      </c>
      <c r="BY1041" t="s">
        <v>198</v>
      </c>
      <c r="BZ1041" t="s">
        <v>199</v>
      </c>
      <c r="CA1041" t="s">
        <v>199</v>
      </c>
      <c r="CB1041" t="s">
        <v>13861</v>
      </c>
      <c r="CC1041" t="s">
        <v>201</v>
      </c>
      <c r="CD1041" t="s">
        <v>182</v>
      </c>
      <c r="CE1041" t="s">
        <v>13862</v>
      </c>
      <c r="CF1041" t="s">
        <v>204</v>
      </c>
      <c r="CG1041" t="s">
        <v>177</v>
      </c>
      <c r="CH1041" t="s">
        <v>187</v>
      </c>
      <c r="CI1041" t="s">
        <v>13863</v>
      </c>
      <c r="CJ1041" t="s">
        <v>1617</v>
      </c>
      <c r="CK1041" t="s">
        <v>232</v>
      </c>
      <c r="CL1041" t="s">
        <v>233</v>
      </c>
      <c r="CM1041" t="s">
        <v>13864</v>
      </c>
      <c r="CN1041" t="s">
        <v>341</v>
      </c>
      <c r="CO1041" t="s">
        <v>183</v>
      </c>
      <c r="CP1041" t="s">
        <v>266</v>
      </c>
      <c r="CS1041" t="s">
        <v>198</v>
      </c>
      <c r="CT1041" t="s">
        <v>11696</v>
      </c>
      <c r="CU1041" t="s">
        <v>292</v>
      </c>
      <c r="CV1041" t="s">
        <v>293</v>
      </c>
      <c r="CW1041" t="s">
        <v>13865</v>
      </c>
      <c r="CX1041" t="s">
        <v>387</v>
      </c>
      <c r="CY1041" t="s">
        <v>183</v>
      </c>
      <c r="CZ1041" t="s">
        <v>266</v>
      </c>
      <c r="DC1041" t="s">
        <v>198</v>
      </c>
      <c r="DD1041" t="s">
        <v>9270</v>
      </c>
      <c r="DE1041" t="s">
        <v>267</v>
      </c>
      <c r="DF1041" t="s">
        <v>268</v>
      </c>
      <c r="DG1041" t="s">
        <v>13866</v>
      </c>
      <c r="DH1041" t="s">
        <v>1491</v>
      </c>
      <c r="DI1041" t="s">
        <v>183</v>
      </c>
      <c r="DJ1041" t="s">
        <v>266</v>
      </c>
      <c r="DM1041" t="s">
        <v>198</v>
      </c>
      <c r="DW1041" t="s">
        <v>198</v>
      </c>
      <c r="EG1041" t="s">
        <v>198</v>
      </c>
      <c r="EQ1041" t="s">
        <v>198</v>
      </c>
      <c r="FA1041" t="s">
        <v>198</v>
      </c>
      <c r="FK1041" t="s">
        <v>198</v>
      </c>
      <c r="FU1041" t="s">
        <v>198</v>
      </c>
    </row>
    <row r="1042" spans="1:177">
      <c r="A1042" s="1" t="str">
        <f>HYPERLINK("http://digipan.lumentumllc.com/apps/getLink/index.php?t=PropLink&amp;p=15752770","PL")</f>
        <v>PL</v>
      </c>
      <c r="B1042" s="1" t="str">
        <f>HYPERLINK("http://digipan.lumentumllc.com/apps/getLink/index.php?t=TaxLink&amp;p=15752770","TL")</f>
        <v>TL</v>
      </c>
      <c r="C1042" s="1" t="str">
        <f>HYPERLINK("http://digipan.lumentumllc.com/apps/getMap/index.php?p=15752770","Map")</f>
        <v>Map</v>
      </c>
      <c r="E1042" t="s">
        <v>177</v>
      </c>
      <c r="F1042" t="s">
        <v>178</v>
      </c>
      <c r="L1042" t="s">
        <v>13867</v>
      </c>
      <c r="N1042" t="s">
        <v>13867</v>
      </c>
      <c r="O1042" t="s">
        <v>13867</v>
      </c>
      <c r="Q1042" t="s">
        <v>13867</v>
      </c>
      <c r="V1042">
        <v>1196</v>
      </c>
      <c r="W1042">
        <v>4</v>
      </c>
      <c r="X1042">
        <v>2017</v>
      </c>
      <c r="Y1042">
        <v>2018</v>
      </c>
      <c r="Z1042">
        <v>133.91999999999999</v>
      </c>
      <c r="AB1042" t="s">
        <v>181</v>
      </c>
      <c r="AC1042" t="s">
        <v>182</v>
      </c>
      <c r="AD1042" t="s">
        <v>183</v>
      </c>
      <c r="AE1042">
        <v>1</v>
      </c>
      <c r="AF1042">
        <v>0</v>
      </c>
      <c r="AG1042" t="s">
        <v>1200</v>
      </c>
      <c r="AH1042">
        <v>0</v>
      </c>
      <c r="AI1042">
        <v>117.84</v>
      </c>
      <c r="AJ1042">
        <v>10.02</v>
      </c>
      <c r="AK1042">
        <v>127.86</v>
      </c>
      <c r="AL1042">
        <v>71386</v>
      </c>
      <c r="AM1042">
        <v>5441</v>
      </c>
      <c r="AN1042">
        <v>65945</v>
      </c>
      <c r="AO1042">
        <v>84</v>
      </c>
      <c r="AP1042">
        <v>2016</v>
      </c>
      <c r="AQ1042">
        <v>0.19</v>
      </c>
      <c r="AR1042">
        <v>0.18</v>
      </c>
      <c r="AS1042" t="s">
        <v>13868</v>
      </c>
      <c r="AT1042" t="s">
        <v>186</v>
      </c>
      <c r="AU1042" t="s">
        <v>177</v>
      </c>
      <c r="AV1042" t="s">
        <v>187</v>
      </c>
      <c r="AW1042" t="s">
        <v>182</v>
      </c>
      <c r="AX1042">
        <v>55</v>
      </c>
      <c r="AY1042" t="s">
        <v>218</v>
      </c>
      <c r="AZ1042" t="s">
        <v>1682</v>
      </c>
      <c r="BA1042" t="s">
        <v>1683</v>
      </c>
      <c r="BB1042" t="s">
        <v>191</v>
      </c>
      <c r="BC1042" t="s">
        <v>182</v>
      </c>
      <c r="BD1042" t="s">
        <v>182</v>
      </c>
      <c r="BE1042" t="s">
        <v>13869</v>
      </c>
      <c r="BF1042">
        <v>0</v>
      </c>
      <c r="BG1042">
        <v>0</v>
      </c>
      <c r="BH1042">
        <v>0</v>
      </c>
      <c r="BI1042" t="s">
        <v>199</v>
      </c>
      <c r="BJ1042" t="s">
        <v>248</v>
      </c>
      <c r="BL1042" t="s">
        <v>2050</v>
      </c>
      <c r="BM1042" t="s">
        <v>451</v>
      </c>
      <c r="BN1042" t="s">
        <v>182</v>
      </c>
      <c r="BO1042" t="s">
        <v>198</v>
      </c>
      <c r="BP1042" t="s">
        <v>198</v>
      </c>
      <c r="BQ1042" t="s">
        <v>198</v>
      </c>
      <c r="BR1042" t="s">
        <v>198</v>
      </c>
      <c r="BS1042" t="s">
        <v>198</v>
      </c>
      <c r="BT1042" t="s">
        <v>198</v>
      </c>
      <c r="BU1042" t="s">
        <v>182</v>
      </c>
      <c r="BV1042" t="s">
        <v>198</v>
      </c>
      <c r="BW1042" t="s">
        <v>198</v>
      </c>
      <c r="BX1042" t="s">
        <v>199</v>
      </c>
      <c r="BY1042" t="s">
        <v>198</v>
      </c>
      <c r="BZ1042" t="s">
        <v>199</v>
      </c>
      <c r="CA1042" t="s">
        <v>199</v>
      </c>
      <c r="CB1042" t="s">
        <v>13870</v>
      </c>
      <c r="CC1042" t="s">
        <v>201</v>
      </c>
      <c r="CD1042" t="s">
        <v>182</v>
      </c>
      <c r="CE1042" t="s">
        <v>13871</v>
      </c>
      <c r="CF1042" t="s">
        <v>204</v>
      </c>
      <c r="CG1042" t="s">
        <v>177</v>
      </c>
      <c r="CH1042" t="s">
        <v>187</v>
      </c>
      <c r="CI1042" t="s">
        <v>13872</v>
      </c>
      <c r="CJ1042" t="s">
        <v>10387</v>
      </c>
      <c r="CK1042" t="s">
        <v>232</v>
      </c>
      <c r="CL1042" t="s">
        <v>233</v>
      </c>
      <c r="CM1042" t="s">
        <v>13873</v>
      </c>
      <c r="CN1042" t="s">
        <v>2679</v>
      </c>
      <c r="CO1042" t="s">
        <v>183</v>
      </c>
      <c r="CP1042" t="s">
        <v>266</v>
      </c>
      <c r="CS1042" t="s">
        <v>198</v>
      </c>
      <c r="DC1042" t="s">
        <v>198</v>
      </c>
      <c r="DM1042" t="s">
        <v>198</v>
      </c>
      <c r="DW1042" t="s">
        <v>198</v>
      </c>
      <c r="EG1042" t="s">
        <v>198</v>
      </c>
      <c r="EQ1042" t="s">
        <v>198</v>
      </c>
      <c r="FA1042" t="s">
        <v>198</v>
      </c>
      <c r="FK1042" t="s">
        <v>198</v>
      </c>
      <c r="FU1042" t="s">
        <v>198</v>
      </c>
    </row>
    <row r="1043" spans="1:177">
      <c r="A1043" s="1" t="str">
        <f>HYPERLINK("http://digipan.lumentumllc.com/apps/getLink/index.php?t=PropLink&amp;p=15753805","PL")</f>
        <v>PL</v>
      </c>
      <c r="B1043" s="1" t="str">
        <f>HYPERLINK("http://digipan.lumentumllc.com/apps/getLink/index.php?t=TaxLink&amp;p=15753805","TL")</f>
        <v>TL</v>
      </c>
      <c r="C1043" s="1" t="str">
        <f>HYPERLINK("http://digipan.lumentumllc.com/apps/getMap/index.php?p=15753805","Map")</f>
        <v>Map</v>
      </c>
      <c r="E1043" t="s">
        <v>177</v>
      </c>
      <c r="F1043" t="s">
        <v>178</v>
      </c>
      <c r="L1043" t="s">
        <v>13874</v>
      </c>
      <c r="N1043" t="s">
        <v>13874</v>
      </c>
      <c r="O1043" t="s">
        <v>13874</v>
      </c>
      <c r="Q1043" t="s">
        <v>13874</v>
      </c>
      <c r="V1043">
        <v>1197</v>
      </c>
      <c r="W1043">
        <v>4</v>
      </c>
      <c r="X1043">
        <v>2017</v>
      </c>
      <c r="Y1043">
        <v>2018</v>
      </c>
      <c r="Z1043">
        <v>219.36</v>
      </c>
      <c r="AG1043" t="s">
        <v>184</v>
      </c>
      <c r="AH1043">
        <v>0</v>
      </c>
      <c r="AK1043">
        <v>0</v>
      </c>
      <c r="AL1043">
        <v>27573</v>
      </c>
      <c r="AM1043">
        <v>407</v>
      </c>
      <c r="AN1043">
        <v>27166</v>
      </c>
      <c r="AO1043">
        <v>361</v>
      </c>
      <c r="AP1043">
        <v>2016</v>
      </c>
      <c r="AQ1043">
        <v>0.8</v>
      </c>
      <c r="AS1043" t="s">
        <v>13875</v>
      </c>
      <c r="AT1043" t="s">
        <v>186</v>
      </c>
      <c r="AU1043" t="s">
        <v>177</v>
      </c>
      <c r="AV1043" t="s">
        <v>187</v>
      </c>
      <c r="AW1043" t="s">
        <v>182</v>
      </c>
      <c r="AX1043">
        <v>50</v>
      </c>
      <c r="AY1043" t="s">
        <v>218</v>
      </c>
      <c r="AZ1043" t="s">
        <v>589</v>
      </c>
      <c r="BA1043" t="s">
        <v>590</v>
      </c>
      <c r="BB1043" t="s">
        <v>191</v>
      </c>
      <c r="BC1043" t="s">
        <v>182</v>
      </c>
      <c r="BD1043" t="s">
        <v>182</v>
      </c>
      <c r="BE1043" t="s">
        <v>7258</v>
      </c>
      <c r="BF1043">
        <v>1</v>
      </c>
      <c r="BG1043">
        <v>1</v>
      </c>
      <c r="BH1043">
        <v>1998</v>
      </c>
      <c r="BI1043" t="s">
        <v>12072</v>
      </c>
      <c r="BJ1043" t="s">
        <v>194</v>
      </c>
      <c r="BL1043" t="s">
        <v>2075</v>
      </c>
      <c r="BM1043" t="s">
        <v>232</v>
      </c>
      <c r="BN1043" t="s">
        <v>182</v>
      </c>
      <c r="BO1043" t="s">
        <v>198</v>
      </c>
      <c r="BP1043" t="s">
        <v>198</v>
      </c>
      <c r="BQ1043" t="s">
        <v>198</v>
      </c>
      <c r="BR1043" t="s">
        <v>198</v>
      </c>
      <c r="BS1043" t="s">
        <v>198</v>
      </c>
      <c r="BT1043" t="s">
        <v>198</v>
      </c>
      <c r="BU1043" t="s">
        <v>182</v>
      </c>
      <c r="BV1043" t="s">
        <v>198</v>
      </c>
      <c r="BW1043" t="s">
        <v>198</v>
      </c>
      <c r="BX1043" t="s">
        <v>199</v>
      </c>
      <c r="BY1043" t="s">
        <v>198</v>
      </c>
      <c r="BZ1043" t="s">
        <v>199</v>
      </c>
      <c r="CA1043" t="s">
        <v>199</v>
      </c>
      <c r="CB1043" t="s">
        <v>13876</v>
      </c>
      <c r="CC1043" t="s">
        <v>201</v>
      </c>
      <c r="CD1043" t="s">
        <v>202</v>
      </c>
      <c r="CE1043" t="s">
        <v>4576</v>
      </c>
      <c r="CF1043" t="s">
        <v>425</v>
      </c>
      <c r="CG1043" t="s">
        <v>177</v>
      </c>
      <c r="CH1043" t="s">
        <v>421</v>
      </c>
      <c r="CI1043" t="s">
        <v>13877</v>
      </c>
      <c r="CS1043" t="s">
        <v>198</v>
      </c>
      <c r="DC1043" t="s">
        <v>198</v>
      </c>
      <c r="DM1043" t="s">
        <v>198</v>
      </c>
      <c r="DW1043" t="s">
        <v>198</v>
      </c>
      <c r="EG1043" t="s">
        <v>198</v>
      </c>
      <c r="EQ1043" t="s">
        <v>198</v>
      </c>
      <c r="FA1043" t="s">
        <v>198</v>
      </c>
      <c r="FK1043" t="s">
        <v>198</v>
      </c>
      <c r="FU1043" t="s">
        <v>198</v>
      </c>
    </row>
    <row r="1044" spans="1:177">
      <c r="A1044" s="1" t="str">
        <f>HYPERLINK("http://digipan.lumentumllc.com/apps/getLink/index.php?t=PropLink&amp;p=15753806","PL")</f>
        <v>PL</v>
      </c>
      <c r="B1044" s="1" t="str">
        <f>HYPERLINK("http://digipan.lumentumllc.com/apps/getLink/index.php?t=TaxLink&amp;p=15753806","TL")</f>
        <v>TL</v>
      </c>
      <c r="C1044" s="1" t="str">
        <f>HYPERLINK("http://digipan.lumentumllc.com/apps/getMap/index.php?p=15753806","Map")</f>
        <v>Map</v>
      </c>
      <c r="E1044" t="s">
        <v>177</v>
      </c>
      <c r="F1044" t="s">
        <v>178</v>
      </c>
      <c r="L1044" t="s">
        <v>13878</v>
      </c>
      <c r="N1044" t="s">
        <v>13878</v>
      </c>
      <c r="O1044" t="s">
        <v>13878</v>
      </c>
      <c r="Q1044" t="s">
        <v>13878</v>
      </c>
      <c r="V1044">
        <v>1198</v>
      </c>
      <c r="W1044">
        <v>4</v>
      </c>
      <c r="X1044">
        <v>2017</v>
      </c>
      <c r="Y1044">
        <v>2018</v>
      </c>
      <c r="Z1044">
        <v>276.57</v>
      </c>
      <c r="AG1044" t="s">
        <v>184</v>
      </c>
      <c r="AH1044">
        <v>0</v>
      </c>
      <c r="AK1044">
        <v>0</v>
      </c>
      <c r="AL1044">
        <v>125779</v>
      </c>
      <c r="AM1044">
        <v>14937</v>
      </c>
      <c r="AN1044">
        <v>110842</v>
      </c>
      <c r="AO1044">
        <v>180</v>
      </c>
      <c r="AP1044">
        <v>2016</v>
      </c>
      <c r="AQ1044">
        <v>0.22</v>
      </c>
      <c r="AS1044" t="s">
        <v>13875</v>
      </c>
      <c r="AT1044" t="s">
        <v>186</v>
      </c>
      <c r="AU1044" t="s">
        <v>177</v>
      </c>
      <c r="AV1044" t="s">
        <v>187</v>
      </c>
      <c r="AW1044" t="s">
        <v>182</v>
      </c>
      <c r="AX1044">
        <v>55</v>
      </c>
      <c r="AY1044" t="s">
        <v>218</v>
      </c>
      <c r="AZ1044" t="s">
        <v>1682</v>
      </c>
      <c r="BA1044" t="s">
        <v>1683</v>
      </c>
      <c r="BB1044" t="s">
        <v>191</v>
      </c>
      <c r="BC1044" t="s">
        <v>182</v>
      </c>
      <c r="BD1044" t="s">
        <v>182</v>
      </c>
      <c r="BE1044" t="s">
        <v>13879</v>
      </c>
      <c r="BF1044">
        <v>0</v>
      </c>
      <c r="BG1044">
        <v>0</v>
      </c>
      <c r="BH1044">
        <v>0</v>
      </c>
      <c r="BI1044" t="s">
        <v>199</v>
      </c>
      <c r="BJ1044" t="s">
        <v>315</v>
      </c>
      <c r="BL1044" t="s">
        <v>2075</v>
      </c>
      <c r="BM1044" t="s">
        <v>232</v>
      </c>
      <c r="BN1044" t="s">
        <v>182</v>
      </c>
      <c r="BO1044" t="s">
        <v>13880</v>
      </c>
      <c r="BP1044" t="s">
        <v>1696</v>
      </c>
      <c r="BQ1044" t="s">
        <v>226</v>
      </c>
      <c r="BR1044" t="s">
        <v>227</v>
      </c>
      <c r="BS1044" t="s">
        <v>198</v>
      </c>
      <c r="BT1044" t="s">
        <v>13881</v>
      </c>
      <c r="BU1044" t="s">
        <v>182</v>
      </c>
      <c r="BV1044" t="s">
        <v>198</v>
      </c>
      <c r="BW1044" t="s">
        <v>198</v>
      </c>
      <c r="BX1044" t="s">
        <v>199</v>
      </c>
      <c r="BY1044" t="s">
        <v>198</v>
      </c>
      <c r="BZ1044" t="s">
        <v>199</v>
      </c>
      <c r="CA1044" t="s">
        <v>199</v>
      </c>
      <c r="CB1044" t="s">
        <v>13876</v>
      </c>
      <c r="CC1044" t="s">
        <v>201</v>
      </c>
      <c r="CD1044" t="s">
        <v>202</v>
      </c>
      <c r="CE1044" t="s">
        <v>4576</v>
      </c>
      <c r="CF1044" t="s">
        <v>425</v>
      </c>
      <c r="CG1044" t="s">
        <v>177</v>
      </c>
      <c r="CH1044" t="s">
        <v>421</v>
      </c>
      <c r="CI1044" t="s">
        <v>13882</v>
      </c>
      <c r="CS1044" t="s">
        <v>198</v>
      </c>
      <c r="DC1044" t="s">
        <v>198</v>
      </c>
      <c r="DM1044" t="s">
        <v>198</v>
      </c>
      <c r="DW1044" t="s">
        <v>198</v>
      </c>
      <c r="EG1044" t="s">
        <v>198</v>
      </c>
      <c r="EQ1044" t="s">
        <v>198</v>
      </c>
      <c r="FA1044" t="s">
        <v>198</v>
      </c>
      <c r="FK1044" t="s">
        <v>198</v>
      </c>
      <c r="FU1044" t="s">
        <v>198</v>
      </c>
    </row>
    <row r="1045" spans="1:177">
      <c r="A1045" s="1" t="str">
        <f>HYPERLINK("http://digipan.lumentumllc.com/apps/getLink/index.php?t=PropLink&amp;p=5247213","PL")</f>
        <v>PL</v>
      </c>
      <c r="B1045" s="1" t="str">
        <f>HYPERLINK("http://digipan.lumentumllc.com/apps/getLink/index.php?t=TaxLink&amp;p=5247213","TL")</f>
        <v>TL</v>
      </c>
      <c r="C1045" s="1" t="str">
        <f>HYPERLINK("http://digipan.lumentumllc.com/apps/getMap/index.php?p=5247213","Map")</f>
        <v>Map</v>
      </c>
      <c r="E1045" t="s">
        <v>177</v>
      </c>
      <c r="F1045" t="s">
        <v>178</v>
      </c>
      <c r="L1045" t="s">
        <v>13883</v>
      </c>
      <c r="N1045" t="s">
        <v>13883</v>
      </c>
      <c r="O1045" t="s">
        <v>13883</v>
      </c>
      <c r="P1045" t="s">
        <v>13884</v>
      </c>
      <c r="Q1045" t="s">
        <v>13883</v>
      </c>
      <c r="V1045">
        <v>1200</v>
      </c>
      <c r="W1045">
        <v>4</v>
      </c>
      <c r="X1045">
        <v>2017</v>
      </c>
      <c r="Y1045">
        <v>2018</v>
      </c>
      <c r="Z1045">
        <v>914.22</v>
      </c>
      <c r="AB1045" t="s">
        <v>181</v>
      </c>
      <c r="AC1045" t="s">
        <v>182</v>
      </c>
      <c r="AD1045" t="s">
        <v>183</v>
      </c>
      <c r="AE1045">
        <v>0</v>
      </c>
      <c r="AF1045">
        <v>6</v>
      </c>
      <c r="AG1045" t="s">
        <v>3266</v>
      </c>
      <c r="AH1045">
        <v>100</v>
      </c>
      <c r="AK1045">
        <v>0</v>
      </c>
      <c r="AL1045">
        <v>255647</v>
      </c>
      <c r="AM1045">
        <v>53884</v>
      </c>
      <c r="AN1045">
        <v>201763</v>
      </c>
      <c r="AO1045">
        <v>743</v>
      </c>
      <c r="AP1045">
        <v>2016</v>
      </c>
      <c r="AQ1045">
        <v>0.36</v>
      </c>
      <c r="AS1045" t="s">
        <v>13885</v>
      </c>
      <c r="AT1045" t="s">
        <v>186</v>
      </c>
      <c r="AU1045" t="s">
        <v>177</v>
      </c>
      <c r="AV1045" t="s">
        <v>187</v>
      </c>
      <c r="AW1045" t="s">
        <v>182</v>
      </c>
      <c r="AX1045">
        <v>55</v>
      </c>
      <c r="AY1045" t="s">
        <v>218</v>
      </c>
      <c r="AZ1045" t="s">
        <v>1682</v>
      </c>
      <c r="BA1045" t="s">
        <v>1683</v>
      </c>
      <c r="BB1045" t="s">
        <v>191</v>
      </c>
      <c r="BC1045" t="s">
        <v>182</v>
      </c>
      <c r="BD1045" t="s">
        <v>182</v>
      </c>
      <c r="BE1045" t="s">
        <v>13886</v>
      </c>
      <c r="BF1045">
        <v>0</v>
      </c>
      <c r="BG1045">
        <v>0</v>
      </c>
      <c r="BH1045">
        <v>0</v>
      </c>
      <c r="BI1045" t="s">
        <v>199</v>
      </c>
      <c r="BJ1045" t="s">
        <v>248</v>
      </c>
      <c r="BL1045" t="s">
        <v>13887</v>
      </c>
      <c r="BM1045" t="s">
        <v>325</v>
      </c>
      <c r="BN1045" t="s">
        <v>182</v>
      </c>
      <c r="BO1045" t="s">
        <v>198</v>
      </c>
      <c r="BP1045" t="s">
        <v>198</v>
      </c>
      <c r="BQ1045" t="s">
        <v>198</v>
      </c>
      <c r="BR1045" t="s">
        <v>198</v>
      </c>
      <c r="BS1045" t="s">
        <v>198</v>
      </c>
      <c r="BT1045" t="s">
        <v>198</v>
      </c>
      <c r="BU1045" t="s">
        <v>182</v>
      </c>
      <c r="BV1045" t="s">
        <v>198</v>
      </c>
      <c r="BW1045" t="s">
        <v>198</v>
      </c>
      <c r="BX1045" t="s">
        <v>199</v>
      </c>
      <c r="BY1045" t="s">
        <v>198</v>
      </c>
      <c r="BZ1045" t="s">
        <v>199</v>
      </c>
      <c r="CA1045" t="s">
        <v>199</v>
      </c>
      <c r="CB1045" t="s">
        <v>13888</v>
      </c>
      <c r="CC1045" t="s">
        <v>201</v>
      </c>
      <c r="CD1045" t="s">
        <v>182</v>
      </c>
      <c r="CE1045" t="s">
        <v>13889</v>
      </c>
      <c r="CF1045" t="s">
        <v>204</v>
      </c>
      <c r="CG1045" t="s">
        <v>177</v>
      </c>
      <c r="CH1045" t="s">
        <v>187</v>
      </c>
      <c r="CI1045" t="s">
        <v>13890</v>
      </c>
      <c r="CJ1045" t="s">
        <v>10525</v>
      </c>
      <c r="CK1045" t="s">
        <v>292</v>
      </c>
      <c r="CL1045" t="s">
        <v>293</v>
      </c>
      <c r="CM1045" t="s">
        <v>13891</v>
      </c>
      <c r="CN1045" t="s">
        <v>235</v>
      </c>
      <c r="CO1045" t="s">
        <v>183</v>
      </c>
      <c r="CP1045" t="s">
        <v>211</v>
      </c>
      <c r="CQ1045" t="s">
        <v>290</v>
      </c>
      <c r="CS1045" t="s">
        <v>4890</v>
      </c>
      <c r="CT1045" t="s">
        <v>13181</v>
      </c>
      <c r="CU1045" t="s">
        <v>267</v>
      </c>
      <c r="CV1045" t="s">
        <v>268</v>
      </c>
      <c r="CW1045" t="s">
        <v>13892</v>
      </c>
      <c r="CX1045" t="s">
        <v>838</v>
      </c>
      <c r="CY1045" t="s">
        <v>183</v>
      </c>
      <c r="CZ1045" t="s">
        <v>211</v>
      </c>
      <c r="DA1045" t="s">
        <v>523</v>
      </c>
      <c r="DC1045" t="s">
        <v>4890</v>
      </c>
      <c r="DD1045" t="s">
        <v>11465</v>
      </c>
      <c r="DE1045" t="s">
        <v>273</v>
      </c>
      <c r="DF1045" t="s">
        <v>274</v>
      </c>
      <c r="DG1045" t="s">
        <v>13893</v>
      </c>
      <c r="DH1045" t="s">
        <v>278</v>
      </c>
      <c r="DI1045" t="s">
        <v>183</v>
      </c>
      <c r="DJ1045" t="s">
        <v>211</v>
      </c>
      <c r="DK1045" t="s">
        <v>460</v>
      </c>
      <c r="DM1045" t="s">
        <v>13894</v>
      </c>
      <c r="DN1045" t="s">
        <v>13895</v>
      </c>
      <c r="DO1045" t="s">
        <v>238</v>
      </c>
      <c r="DP1045" t="s">
        <v>239</v>
      </c>
      <c r="DQ1045" t="s">
        <v>13896</v>
      </c>
      <c r="DR1045" t="s">
        <v>1966</v>
      </c>
      <c r="DS1045" t="s">
        <v>183</v>
      </c>
      <c r="DT1045" t="s">
        <v>211</v>
      </c>
      <c r="DU1045" t="s">
        <v>9675</v>
      </c>
      <c r="DW1045" t="s">
        <v>13894</v>
      </c>
      <c r="DX1045" t="s">
        <v>8072</v>
      </c>
      <c r="DY1045" t="s">
        <v>346</v>
      </c>
      <c r="DZ1045" t="s">
        <v>347</v>
      </c>
      <c r="EA1045" t="s">
        <v>13897</v>
      </c>
      <c r="EB1045" t="s">
        <v>688</v>
      </c>
      <c r="EC1045" t="s">
        <v>183</v>
      </c>
      <c r="ED1045" t="s">
        <v>211</v>
      </c>
      <c r="EE1045" t="s">
        <v>298</v>
      </c>
      <c r="EG1045" t="s">
        <v>2756</v>
      </c>
      <c r="EH1045" t="s">
        <v>13898</v>
      </c>
      <c r="EI1045" t="s">
        <v>207</v>
      </c>
      <c r="EJ1045" t="s">
        <v>208</v>
      </c>
      <c r="EK1045" t="s">
        <v>13899</v>
      </c>
      <c r="EL1045" t="s">
        <v>341</v>
      </c>
      <c r="EM1045" t="s">
        <v>183</v>
      </c>
      <c r="EN1045" t="s">
        <v>211</v>
      </c>
      <c r="EO1045" t="s">
        <v>525</v>
      </c>
      <c r="EQ1045" t="s">
        <v>470</v>
      </c>
      <c r="FA1045" t="s">
        <v>198</v>
      </c>
      <c r="FK1045" t="s">
        <v>198</v>
      </c>
      <c r="FU1045" t="s">
        <v>198</v>
      </c>
    </row>
    <row r="1046" spans="1:177">
      <c r="A1046" s="1" t="str">
        <f>HYPERLINK("http://digipan.lumentumllc.com/apps/getLink/index.php?t=PropLink&amp;p=6462016","PL")</f>
        <v>PL</v>
      </c>
      <c r="B1046" s="1" t="str">
        <f>HYPERLINK("http://digipan.lumentumllc.com/apps/getLink/index.php?t=TaxLink&amp;p=6462016","TL")</f>
        <v>TL</v>
      </c>
      <c r="C1046" s="1" t="str">
        <f>HYPERLINK("http://digipan.lumentumllc.com/apps/getMap/index.php?p=6462016","Map")</f>
        <v>Map</v>
      </c>
      <c r="E1046" t="s">
        <v>177</v>
      </c>
      <c r="F1046" t="s">
        <v>178</v>
      </c>
      <c r="L1046" t="s">
        <v>13900</v>
      </c>
      <c r="N1046" t="s">
        <v>13900</v>
      </c>
      <c r="O1046" t="s">
        <v>13900</v>
      </c>
      <c r="P1046" t="s">
        <v>13901</v>
      </c>
      <c r="Q1046" t="s">
        <v>13900</v>
      </c>
      <c r="V1046">
        <v>1201</v>
      </c>
      <c r="W1046">
        <v>4</v>
      </c>
      <c r="X1046">
        <v>2017</v>
      </c>
      <c r="Y1046">
        <v>2018</v>
      </c>
      <c r="Z1046">
        <v>560.22</v>
      </c>
      <c r="AB1046" t="s">
        <v>181</v>
      </c>
      <c r="AC1046" t="s">
        <v>202</v>
      </c>
      <c r="AD1046" t="s">
        <v>183</v>
      </c>
      <c r="AE1046">
        <v>0</v>
      </c>
      <c r="AF1046">
        <v>4</v>
      </c>
      <c r="AG1046" t="s">
        <v>381</v>
      </c>
      <c r="AH1046">
        <v>100</v>
      </c>
      <c r="AK1046">
        <v>0</v>
      </c>
      <c r="AL1046">
        <v>34613</v>
      </c>
      <c r="AM1046">
        <v>15750</v>
      </c>
      <c r="AN1046">
        <v>18863</v>
      </c>
      <c r="AO1046">
        <v>425</v>
      </c>
      <c r="AP1046">
        <v>2016</v>
      </c>
      <c r="AQ1046">
        <v>1.62</v>
      </c>
      <c r="AS1046" t="s">
        <v>13902</v>
      </c>
      <c r="AT1046" t="s">
        <v>186</v>
      </c>
      <c r="AU1046" t="s">
        <v>177</v>
      </c>
      <c r="AV1046" t="s">
        <v>187</v>
      </c>
      <c r="AW1046" t="s">
        <v>182</v>
      </c>
      <c r="AX1046">
        <v>2</v>
      </c>
      <c r="AY1046" t="s">
        <v>188</v>
      </c>
      <c r="AZ1046" t="s">
        <v>189</v>
      </c>
      <c r="BA1046" t="s">
        <v>190</v>
      </c>
      <c r="BB1046" t="s">
        <v>191</v>
      </c>
      <c r="BC1046" t="s">
        <v>182</v>
      </c>
      <c r="BD1046" t="s">
        <v>182</v>
      </c>
      <c r="BE1046" t="s">
        <v>383</v>
      </c>
      <c r="BF1046">
        <v>1</v>
      </c>
      <c r="BG1046">
        <v>1</v>
      </c>
      <c r="BH1046">
        <v>1995</v>
      </c>
      <c r="BI1046" t="s">
        <v>2209</v>
      </c>
      <c r="BJ1046" t="s">
        <v>194</v>
      </c>
      <c r="BK1046" t="s">
        <v>195</v>
      </c>
      <c r="BL1046" t="s">
        <v>1310</v>
      </c>
      <c r="BM1046" t="s">
        <v>325</v>
      </c>
      <c r="BN1046" t="s">
        <v>182</v>
      </c>
      <c r="BO1046" t="s">
        <v>13903</v>
      </c>
      <c r="BP1046" t="s">
        <v>13904</v>
      </c>
      <c r="BS1046" t="s">
        <v>13905</v>
      </c>
      <c r="BT1046" t="s">
        <v>198</v>
      </c>
      <c r="BU1046" t="s">
        <v>182</v>
      </c>
      <c r="BV1046" t="s">
        <v>198</v>
      </c>
      <c r="BW1046" t="s">
        <v>198</v>
      </c>
      <c r="BX1046" t="s">
        <v>199</v>
      </c>
      <c r="BY1046" t="s">
        <v>198</v>
      </c>
      <c r="BZ1046" t="s">
        <v>199</v>
      </c>
      <c r="CA1046" t="s">
        <v>199</v>
      </c>
      <c r="CB1046" t="s">
        <v>13906</v>
      </c>
      <c r="CC1046" t="s">
        <v>201</v>
      </c>
      <c r="CD1046" t="s">
        <v>182</v>
      </c>
      <c r="CE1046" t="s">
        <v>13907</v>
      </c>
      <c r="CF1046" t="s">
        <v>204</v>
      </c>
      <c r="CG1046" t="s">
        <v>177</v>
      </c>
      <c r="CH1046" t="s">
        <v>187</v>
      </c>
      <c r="CI1046" t="s">
        <v>9661</v>
      </c>
      <c r="CJ1046" t="s">
        <v>10607</v>
      </c>
      <c r="CK1046" t="s">
        <v>292</v>
      </c>
      <c r="CL1046" t="s">
        <v>293</v>
      </c>
      <c r="CM1046" t="s">
        <v>13908</v>
      </c>
      <c r="CN1046" t="s">
        <v>333</v>
      </c>
      <c r="CO1046" t="s">
        <v>183</v>
      </c>
      <c r="CP1046" t="s">
        <v>211</v>
      </c>
      <c r="CQ1046" t="s">
        <v>427</v>
      </c>
      <c r="CR1046" t="s">
        <v>271</v>
      </c>
      <c r="CS1046" t="s">
        <v>10036</v>
      </c>
      <c r="CT1046" t="s">
        <v>10877</v>
      </c>
      <c r="CU1046" t="s">
        <v>267</v>
      </c>
      <c r="CV1046" t="s">
        <v>268</v>
      </c>
      <c r="CW1046" t="s">
        <v>13909</v>
      </c>
      <c r="CX1046" t="s">
        <v>235</v>
      </c>
      <c r="CY1046" t="s">
        <v>183</v>
      </c>
      <c r="CZ1046" t="s">
        <v>211</v>
      </c>
      <c r="DB1046" t="s">
        <v>271</v>
      </c>
      <c r="DC1046" t="s">
        <v>198</v>
      </c>
      <c r="DD1046" t="s">
        <v>11467</v>
      </c>
      <c r="DE1046" t="s">
        <v>273</v>
      </c>
      <c r="DF1046" t="s">
        <v>274</v>
      </c>
      <c r="DG1046" t="s">
        <v>13910</v>
      </c>
      <c r="DH1046" t="s">
        <v>235</v>
      </c>
      <c r="DI1046" t="s">
        <v>183</v>
      </c>
      <c r="DJ1046" t="s">
        <v>211</v>
      </c>
      <c r="DK1046" t="s">
        <v>339</v>
      </c>
      <c r="DM1046" t="s">
        <v>9669</v>
      </c>
      <c r="DN1046" t="s">
        <v>13457</v>
      </c>
      <c r="DO1046" t="s">
        <v>207</v>
      </c>
      <c r="DP1046" t="s">
        <v>208</v>
      </c>
      <c r="DQ1046" t="s">
        <v>13911</v>
      </c>
      <c r="DR1046" t="s">
        <v>247</v>
      </c>
      <c r="DS1046" t="s">
        <v>183</v>
      </c>
      <c r="DT1046" t="s">
        <v>211</v>
      </c>
      <c r="DU1046" t="s">
        <v>199</v>
      </c>
      <c r="DW1046" t="s">
        <v>5223</v>
      </c>
      <c r="EG1046" t="s">
        <v>198</v>
      </c>
      <c r="EQ1046" t="s">
        <v>198</v>
      </c>
      <c r="FA1046" t="s">
        <v>198</v>
      </c>
      <c r="FK1046" t="s">
        <v>198</v>
      </c>
      <c r="FU1046" t="s">
        <v>198</v>
      </c>
    </row>
    <row r="1047" spans="1:177">
      <c r="A1047" s="1" t="str">
        <f>HYPERLINK("http://digipan.lumentumllc.com/apps/getLink/index.php?t=PropLink&amp;p=6129238","PL")</f>
        <v>PL</v>
      </c>
      <c r="B1047" s="1" t="str">
        <f>HYPERLINK("http://digipan.lumentumllc.com/apps/getLink/index.php?t=TaxLink&amp;p=6129238","TL")</f>
        <v>TL</v>
      </c>
      <c r="C1047" s="1" t="str">
        <f>HYPERLINK("http://digipan.lumentumllc.com/apps/getMap/index.php?p=6129238","Map")</f>
        <v>Map</v>
      </c>
      <c r="E1047" t="s">
        <v>177</v>
      </c>
      <c r="F1047" t="s">
        <v>178</v>
      </c>
      <c r="L1047" t="s">
        <v>13912</v>
      </c>
      <c r="N1047" t="s">
        <v>13912</v>
      </c>
      <c r="O1047" t="s">
        <v>13912</v>
      </c>
      <c r="P1047" t="s">
        <v>13913</v>
      </c>
      <c r="Q1047" t="s">
        <v>13912</v>
      </c>
      <c r="V1047">
        <v>1203</v>
      </c>
      <c r="W1047">
        <v>4</v>
      </c>
      <c r="X1047">
        <v>2017</v>
      </c>
      <c r="Y1047">
        <v>2018</v>
      </c>
      <c r="Z1047">
        <v>266.32</v>
      </c>
      <c r="AB1047" t="s">
        <v>181</v>
      </c>
      <c r="AC1047" t="s">
        <v>182</v>
      </c>
      <c r="AD1047" t="s">
        <v>1037</v>
      </c>
      <c r="AE1047">
        <v>6</v>
      </c>
      <c r="AF1047">
        <v>0</v>
      </c>
      <c r="AG1047" t="s">
        <v>3955</v>
      </c>
      <c r="AH1047">
        <v>0</v>
      </c>
      <c r="AI1047">
        <v>1390.51</v>
      </c>
      <c r="AJ1047">
        <v>570.63</v>
      </c>
      <c r="AK1047">
        <v>1961.14</v>
      </c>
      <c r="AL1047">
        <v>15750</v>
      </c>
      <c r="AM1047">
        <v>15750</v>
      </c>
      <c r="AN1047">
        <v>0</v>
      </c>
      <c r="AO1047">
        <v>184</v>
      </c>
      <c r="AP1047">
        <v>2016</v>
      </c>
      <c r="AQ1047">
        <v>1.69</v>
      </c>
      <c r="AR1047">
        <v>12.45</v>
      </c>
      <c r="AS1047" t="s">
        <v>13914</v>
      </c>
      <c r="AT1047" t="s">
        <v>186</v>
      </c>
      <c r="AU1047" t="s">
        <v>177</v>
      </c>
      <c r="AV1047" t="s">
        <v>187</v>
      </c>
      <c r="AW1047" t="s">
        <v>182</v>
      </c>
      <c r="AX1047">
        <v>0</v>
      </c>
      <c r="AY1047" t="s">
        <v>312</v>
      </c>
      <c r="AZ1047" t="s">
        <v>199</v>
      </c>
      <c r="BA1047" t="s">
        <v>313</v>
      </c>
      <c r="BB1047" t="s">
        <v>191</v>
      </c>
      <c r="BC1047" t="s">
        <v>182</v>
      </c>
      <c r="BD1047" t="s">
        <v>182</v>
      </c>
      <c r="BE1047" t="s">
        <v>7685</v>
      </c>
      <c r="BF1047">
        <v>0</v>
      </c>
      <c r="BG1047">
        <v>0</v>
      </c>
      <c r="BH1047">
        <v>0</v>
      </c>
      <c r="BI1047" t="s">
        <v>199</v>
      </c>
      <c r="BJ1047" t="s">
        <v>248</v>
      </c>
      <c r="BL1047" t="s">
        <v>8387</v>
      </c>
      <c r="BM1047" t="s">
        <v>325</v>
      </c>
      <c r="BN1047" t="s">
        <v>182</v>
      </c>
      <c r="BO1047" t="s">
        <v>2316</v>
      </c>
      <c r="BP1047" t="s">
        <v>13915</v>
      </c>
      <c r="BQ1047" t="s">
        <v>581</v>
      </c>
      <c r="BR1047" t="s">
        <v>563</v>
      </c>
      <c r="BS1047" t="s">
        <v>198</v>
      </c>
      <c r="BT1047" t="s">
        <v>13916</v>
      </c>
      <c r="BU1047" t="s">
        <v>182</v>
      </c>
      <c r="BV1047" t="s">
        <v>198</v>
      </c>
      <c r="BW1047" t="s">
        <v>198</v>
      </c>
      <c r="BX1047" t="s">
        <v>199</v>
      </c>
      <c r="BY1047" t="s">
        <v>198</v>
      </c>
      <c r="BZ1047" t="s">
        <v>199</v>
      </c>
      <c r="CA1047" t="s">
        <v>199</v>
      </c>
      <c r="CB1047" t="s">
        <v>13917</v>
      </c>
      <c r="CC1047" t="s">
        <v>201</v>
      </c>
      <c r="CD1047" t="s">
        <v>202</v>
      </c>
      <c r="CE1047" t="s">
        <v>13918</v>
      </c>
      <c r="CF1047" t="s">
        <v>204</v>
      </c>
      <c r="CG1047" t="s">
        <v>177</v>
      </c>
      <c r="CH1047" t="s">
        <v>187</v>
      </c>
      <c r="CI1047" t="s">
        <v>13919</v>
      </c>
      <c r="CJ1047" t="s">
        <v>11678</v>
      </c>
      <c r="CK1047" t="s">
        <v>232</v>
      </c>
      <c r="CL1047" t="s">
        <v>233</v>
      </c>
      <c r="CM1047" t="s">
        <v>1195</v>
      </c>
      <c r="CN1047" t="s">
        <v>482</v>
      </c>
      <c r="CO1047" t="s">
        <v>183</v>
      </c>
      <c r="CP1047" t="s">
        <v>266</v>
      </c>
      <c r="CS1047" t="s">
        <v>198</v>
      </c>
      <c r="CT1047" t="s">
        <v>13320</v>
      </c>
      <c r="CU1047" t="s">
        <v>292</v>
      </c>
      <c r="CV1047" t="s">
        <v>293</v>
      </c>
      <c r="CW1047" t="s">
        <v>13920</v>
      </c>
      <c r="CX1047" t="s">
        <v>482</v>
      </c>
      <c r="CY1047" t="s">
        <v>5</v>
      </c>
      <c r="CZ1047" t="s">
        <v>266</v>
      </c>
      <c r="DC1047" t="s">
        <v>198</v>
      </c>
      <c r="DD1047" t="s">
        <v>10942</v>
      </c>
      <c r="DE1047" t="s">
        <v>267</v>
      </c>
      <c r="DF1047" t="s">
        <v>268</v>
      </c>
      <c r="DG1047" t="s">
        <v>13921</v>
      </c>
      <c r="DH1047" t="s">
        <v>400</v>
      </c>
      <c r="DI1047" t="s">
        <v>183</v>
      </c>
      <c r="DJ1047" t="s">
        <v>266</v>
      </c>
      <c r="DM1047" t="s">
        <v>198</v>
      </c>
      <c r="DN1047" t="s">
        <v>11509</v>
      </c>
      <c r="DO1047" t="s">
        <v>273</v>
      </c>
      <c r="DP1047" t="s">
        <v>274</v>
      </c>
      <c r="DQ1047" t="s">
        <v>13922</v>
      </c>
      <c r="DR1047" t="s">
        <v>440</v>
      </c>
      <c r="DS1047" t="s">
        <v>183</v>
      </c>
      <c r="DT1047" t="s">
        <v>266</v>
      </c>
      <c r="DW1047" t="s">
        <v>198</v>
      </c>
      <c r="DX1047" t="s">
        <v>13923</v>
      </c>
      <c r="DY1047" t="s">
        <v>302</v>
      </c>
      <c r="DZ1047" t="s">
        <v>303</v>
      </c>
      <c r="EA1047" t="s">
        <v>12046</v>
      </c>
      <c r="EB1047" t="s">
        <v>278</v>
      </c>
      <c r="EC1047" t="s">
        <v>183</v>
      </c>
      <c r="ED1047" t="s">
        <v>266</v>
      </c>
      <c r="EG1047" t="s">
        <v>198</v>
      </c>
      <c r="EH1047" t="s">
        <v>13924</v>
      </c>
      <c r="EI1047" t="s">
        <v>238</v>
      </c>
      <c r="EJ1047" t="s">
        <v>239</v>
      </c>
      <c r="EK1047" t="s">
        <v>11127</v>
      </c>
      <c r="EL1047" t="s">
        <v>400</v>
      </c>
      <c r="EM1047" t="s">
        <v>183</v>
      </c>
      <c r="EN1047" t="s">
        <v>266</v>
      </c>
      <c r="EQ1047" t="s">
        <v>198</v>
      </c>
      <c r="FA1047" t="s">
        <v>198</v>
      </c>
      <c r="FK1047" t="s">
        <v>198</v>
      </c>
      <c r="FU1047" t="s">
        <v>198</v>
      </c>
    </row>
    <row r="1048" spans="1:177">
      <c r="A1048" s="1" t="str">
        <f>HYPERLINK("http://digipan.lumentumllc.com/apps/getLink/index.php?t=PropLink&amp;p=5247292","PL")</f>
        <v>PL</v>
      </c>
      <c r="B1048" s="1" t="str">
        <f>HYPERLINK("http://digipan.lumentumllc.com/apps/getLink/index.php?t=TaxLink&amp;p=5247292","TL")</f>
        <v>TL</v>
      </c>
      <c r="C1048" s="1" t="str">
        <f>HYPERLINK("http://digipan.lumentumllc.com/apps/getMap/index.php?p=5247292","Map")</f>
        <v>Map</v>
      </c>
      <c r="E1048" t="s">
        <v>177</v>
      </c>
      <c r="F1048" t="s">
        <v>178</v>
      </c>
      <c r="L1048" t="s">
        <v>13925</v>
      </c>
      <c r="N1048" t="s">
        <v>13925</v>
      </c>
      <c r="O1048" t="s">
        <v>13925</v>
      </c>
      <c r="P1048" t="s">
        <v>13926</v>
      </c>
      <c r="Q1048" t="s">
        <v>13925</v>
      </c>
      <c r="V1048">
        <v>1205</v>
      </c>
      <c r="W1048">
        <v>4</v>
      </c>
      <c r="X1048">
        <v>2017</v>
      </c>
      <c r="Y1048">
        <v>2018</v>
      </c>
      <c r="Z1048">
        <v>444.6</v>
      </c>
      <c r="AB1048" t="s">
        <v>181</v>
      </c>
      <c r="AC1048" t="s">
        <v>182</v>
      </c>
      <c r="AD1048" t="s">
        <v>183</v>
      </c>
      <c r="AE1048">
        <v>1</v>
      </c>
      <c r="AF1048">
        <v>6</v>
      </c>
      <c r="AG1048" t="s">
        <v>418</v>
      </c>
      <c r="AH1048">
        <v>86</v>
      </c>
      <c r="AI1048">
        <v>425.44</v>
      </c>
      <c r="AJ1048">
        <v>27.65</v>
      </c>
      <c r="AK1048">
        <v>453.09</v>
      </c>
      <c r="AL1048">
        <v>25200</v>
      </c>
      <c r="AM1048">
        <v>25200</v>
      </c>
      <c r="AN1048">
        <v>0</v>
      </c>
      <c r="AO1048">
        <v>368</v>
      </c>
      <c r="AP1048">
        <v>2016</v>
      </c>
      <c r="AQ1048">
        <v>1.76</v>
      </c>
      <c r="AR1048">
        <v>1.8</v>
      </c>
      <c r="AS1048" t="s">
        <v>13885</v>
      </c>
      <c r="AT1048" t="s">
        <v>186</v>
      </c>
      <c r="AU1048" t="s">
        <v>177</v>
      </c>
      <c r="AV1048" t="s">
        <v>187</v>
      </c>
      <c r="AW1048" t="s">
        <v>182</v>
      </c>
      <c r="AX1048">
        <v>0</v>
      </c>
      <c r="AY1048" t="s">
        <v>312</v>
      </c>
      <c r="AZ1048" t="s">
        <v>199</v>
      </c>
      <c r="BA1048" t="s">
        <v>313</v>
      </c>
      <c r="BB1048" t="s">
        <v>191</v>
      </c>
      <c r="BC1048" t="s">
        <v>182</v>
      </c>
      <c r="BD1048" t="s">
        <v>182</v>
      </c>
      <c r="BE1048" t="s">
        <v>247</v>
      </c>
      <c r="BF1048">
        <v>0</v>
      </c>
      <c r="BG1048">
        <v>0</v>
      </c>
      <c r="BH1048">
        <v>0</v>
      </c>
      <c r="BI1048" t="s">
        <v>199</v>
      </c>
      <c r="BJ1048" t="s">
        <v>248</v>
      </c>
      <c r="BL1048" t="s">
        <v>199</v>
      </c>
      <c r="BM1048" t="s">
        <v>410</v>
      </c>
      <c r="BN1048" t="s">
        <v>182</v>
      </c>
      <c r="BO1048" t="s">
        <v>13927</v>
      </c>
      <c r="BP1048" t="s">
        <v>13928</v>
      </c>
      <c r="BQ1048" t="s">
        <v>581</v>
      </c>
      <c r="BR1048" t="s">
        <v>643</v>
      </c>
      <c r="BS1048" t="s">
        <v>198</v>
      </c>
      <c r="BT1048" t="s">
        <v>11422</v>
      </c>
      <c r="BU1048" t="s">
        <v>182</v>
      </c>
      <c r="BV1048" t="s">
        <v>198</v>
      </c>
      <c r="BW1048" t="s">
        <v>198</v>
      </c>
      <c r="BX1048" t="s">
        <v>199</v>
      </c>
      <c r="BY1048" t="s">
        <v>198</v>
      </c>
      <c r="BZ1048" t="s">
        <v>199</v>
      </c>
      <c r="CA1048" t="s">
        <v>199</v>
      </c>
      <c r="CB1048" t="s">
        <v>13929</v>
      </c>
      <c r="CC1048" t="s">
        <v>201</v>
      </c>
      <c r="CD1048" t="s">
        <v>202</v>
      </c>
      <c r="CE1048" t="s">
        <v>13930</v>
      </c>
      <c r="CF1048" t="s">
        <v>204</v>
      </c>
      <c r="CG1048" t="s">
        <v>177</v>
      </c>
      <c r="CH1048" t="s">
        <v>187</v>
      </c>
      <c r="CI1048" t="s">
        <v>7078</v>
      </c>
      <c r="CJ1048" t="s">
        <v>7823</v>
      </c>
      <c r="CK1048" t="s">
        <v>232</v>
      </c>
      <c r="CL1048" t="s">
        <v>233</v>
      </c>
      <c r="CM1048" t="s">
        <v>2876</v>
      </c>
      <c r="CN1048" t="s">
        <v>688</v>
      </c>
      <c r="CO1048" t="s">
        <v>183</v>
      </c>
      <c r="CP1048" t="s">
        <v>266</v>
      </c>
      <c r="CS1048" t="s">
        <v>198</v>
      </c>
      <c r="CT1048" t="s">
        <v>10616</v>
      </c>
      <c r="CU1048" t="s">
        <v>292</v>
      </c>
      <c r="CV1048" t="s">
        <v>293</v>
      </c>
      <c r="CW1048" t="s">
        <v>13931</v>
      </c>
      <c r="CX1048" t="s">
        <v>278</v>
      </c>
      <c r="CY1048" t="s">
        <v>183</v>
      </c>
      <c r="CZ1048" t="s">
        <v>211</v>
      </c>
      <c r="DA1048" t="s">
        <v>298</v>
      </c>
      <c r="DC1048" t="s">
        <v>457</v>
      </c>
      <c r="DD1048" t="s">
        <v>13249</v>
      </c>
      <c r="DE1048" t="s">
        <v>267</v>
      </c>
      <c r="DF1048" t="s">
        <v>268</v>
      </c>
      <c r="DG1048" t="s">
        <v>13932</v>
      </c>
      <c r="DH1048" t="s">
        <v>484</v>
      </c>
      <c r="DI1048" t="s">
        <v>183</v>
      </c>
      <c r="DJ1048" t="s">
        <v>211</v>
      </c>
      <c r="DK1048" t="s">
        <v>298</v>
      </c>
      <c r="DM1048" t="s">
        <v>2096</v>
      </c>
      <c r="DN1048" t="s">
        <v>13933</v>
      </c>
      <c r="DO1048" t="s">
        <v>273</v>
      </c>
      <c r="DP1048" t="s">
        <v>274</v>
      </c>
      <c r="DQ1048" t="s">
        <v>13934</v>
      </c>
      <c r="DR1048" t="s">
        <v>402</v>
      </c>
      <c r="DS1048" t="s">
        <v>183</v>
      </c>
      <c r="DT1048" t="s">
        <v>211</v>
      </c>
      <c r="DU1048" t="s">
        <v>298</v>
      </c>
      <c r="DW1048" t="s">
        <v>462</v>
      </c>
      <c r="DX1048" t="s">
        <v>7864</v>
      </c>
      <c r="DY1048" t="s">
        <v>302</v>
      </c>
      <c r="DZ1048" t="s">
        <v>303</v>
      </c>
      <c r="EA1048" t="s">
        <v>10339</v>
      </c>
      <c r="EB1048" t="s">
        <v>440</v>
      </c>
      <c r="EC1048" t="s">
        <v>183</v>
      </c>
      <c r="ED1048" t="s">
        <v>211</v>
      </c>
      <c r="EE1048" t="s">
        <v>298</v>
      </c>
      <c r="EG1048" t="s">
        <v>1131</v>
      </c>
      <c r="EH1048" t="s">
        <v>5650</v>
      </c>
      <c r="EI1048" t="s">
        <v>238</v>
      </c>
      <c r="EJ1048" t="s">
        <v>239</v>
      </c>
      <c r="EK1048" t="s">
        <v>4598</v>
      </c>
      <c r="EL1048" t="s">
        <v>278</v>
      </c>
      <c r="EM1048" t="s">
        <v>183</v>
      </c>
      <c r="EN1048" t="s">
        <v>211</v>
      </c>
      <c r="EO1048" t="s">
        <v>298</v>
      </c>
      <c r="EQ1048" t="s">
        <v>467</v>
      </c>
      <c r="ER1048" t="s">
        <v>13935</v>
      </c>
      <c r="ES1048" t="s">
        <v>346</v>
      </c>
      <c r="ET1048" t="s">
        <v>347</v>
      </c>
      <c r="EU1048" t="s">
        <v>1075</v>
      </c>
      <c r="EV1048" t="s">
        <v>1491</v>
      </c>
      <c r="EW1048" t="s">
        <v>183</v>
      </c>
      <c r="EX1048" t="s">
        <v>211</v>
      </c>
      <c r="EY1048" t="s">
        <v>298</v>
      </c>
      <c r="FA1048" t="s">
        <v>878</v>
      </c>
      <c r="FK1048" t="s">
        <v>198</v>
      </c>
      <c r="FU1048" t="s">
        <v>198</v>
      </c>
    </row>
    <row r="1049" spans="1:177">
      <c r="A1049" s="1" t="str">
        <f>HYPERLINK("http://digipan.lumentumllc.com/apps/getLink/index.php?t=PropLink&amp;p=5247293","PL")</f>
        <v>PL</v>
      </c>
      <c r="B1049" s="1" t="str">
        <f>HYPERLINK("http://digipan.lumentumllc.com/apps/getLink/index.php?t=TaxLink&amp;p=5247293","TL")</f>
        <v>TL</v>
      </c>
      <c r="C1049" s="1" t="str">
        <f>HYPERLINK("http://digipan.lumentumllc.com/apps/getMap/index.php?p=5247293","Map")</f>
        <v>Map</v>
      </c>
      <c r="E1049" t="s">
        <v>177</v>
      </c>
      <c r="F1049" t="s">
        <v>178</v>
      </c>
      <c r="L1049" t="s">
        <v>13936</v>
      </c>
      <c r="N1049" t="s">
        <v>13936</v>
      </c>
      <c r="O1049" t="s">
        <v>13936</v>
      </c>
      <c r="P1049" t="s">
        <v>13937</v>
      </c>
      <c r="Q1049" t="s">
        <v>13936</v>
      </c>
      <c r="V1049">
        <v>1206</v>
      </c>
      <c r="W1049">
        <v>4</v>
      </c>
      <c r="X1049">
        <v>2017</v>
      </c>
      <c r="Y1049">
        <v>2018</v>
      </c>
      <c r="Z1049">
        <v>807.71</v>
      </c>
      <c r="AB1049" t="s">
        <v>181</v>
      </c>
      <c r="AC1049" t="s">
        <v>182</v>
      </c>
      <c r="AD1049" t="s">
        <v>183</v>
      </c>
      <c r="AE1049">
        <v>3</v>
      </c>
      <c r="AF1049">
        <v>3</v>
      </c>
      <c r="AG1049" t="s">
        <v>7276</v>
      </c>
      <c r="AH1049">
        <v>40</v>
      </c>
      <c r="AI1049">
        <v>2371.1</v>
      </c>
      <c r="AJ1049">
        <v>118.56</v>
      </c>
      <c r="AK1049">
        <v>2489.66</v>
      </c>
      <c r="AL1049">
        <v>126020</v>
      </c>
      <c r="AM1049">
        <v>78487</v>
      </c>
      <c r="AN1049">
        <v>47533</v>
      </c>
      <c r="AO1049">
        <v>703</v>
      </c>
      <c r="AP1049">
        <v>2016</v>
      </c>
      <c r="AQ1049">
        <v>0.64</v>
      </c>
      <c r="AR1049">
        <v>1.98</v>
      </c>
      <c r="AS1049" t="s">
        <v>13938</v>
      </c>
      <c r="AT1049" t="s">
        <v>186</v>
      </c>
      <c r="AU1049" t="s">
        <v>177</v>
      </c>
      <c r="AV1049" t="s">
        <v>187</v>
      </c>
      <c r="AW1049" t="s">
        <v>202</v>
      </c>
      <c r="AX1049">
        <v>2</v>
      </c>
      <c r="AY1049" t="s">
        <v>188</v>
      </c>
      <c r="AZ1049" t="s">
        <v>189</v>
      </c>
      <c r="BA1049" t="s">
        <v>190</v>
      </c>
      <c r="BB1049" t="s">
        <v>191</v>
      </c>
      <c r="BC1049" t="s">
        <v>182</v>
      </c>
      <c r="BD1049" t="s">
        <v>182</v>
      </c>
      <c r="BE1049" t="s">
        <v>13939</v>
      </c>
      <c r="BF1049">
        <v>1</v>
      </c>
      <c r="BG1049">
        <v>1</v>
      </c>
      <c r="BH1049">
        <v>2004</v>
      </c>
      <c r="BI1049" t="s">
        <v>5282</v>
      </c>
      <c r="BJ1049" t="s">
        <v>194</v>
      </c>
      <c r="BK1049" t="s">
        <v>195</v>
      </c>
      <c r="BL1049" t="s">
        <v>13887</v>
      </c>
      <c r="BM1049" t="s">
        <v>325</v>
      </c>
      <c r="BN1049" t="s">
        <v>182</v>
      </c>
      <c r="BO1049" t="s">
        <v>198</v>
      </c>
      <c r="BP1049" t="s">
        <v>198</v>
      </c>
      <c r="BQ1049" t="s">
        <v>198</v>
      </c>
      <c r="BR1049" t="s">
        <v>198</v>
      </c>
      <c r="BS1049" t="s">
        <v>198</v>
      </c>
      <c r="BT1049" t="s">
        <v>198</v>
      </c>
      <c r="BU1049" t="s">
        <v>182</v>
      </c>
      <c r="BV1049" t="s">
        <v>198</v>
      </c>
      <c r="BW1049" t="s">
        <v>198</v>
      </c>
      <c r="BX1049" t="s">
        <v>199</v>
      </c>
      <c r="BY1049" t="s">
        <v>198</v>
      </c>
      <c r="BZ1049" t="s">
        <v>199</v>
      </c>
      <c r="CA1049" t="s">
        <v>199</v>
      </c>
      <c r="CB1049" t="s">
        <v>13888</v>
      </c>
      <c r="CC1049" t="s">
        <v>201</v>
      </c>
      <c r="CD1049" t="s">
        <v>182</v>
      </c>
      <c r="CE1049" t="s">
        <v>13889</v>
      </c>
      <c r="CF1049" t="s">
        <v>204</v>
      </c>
      <c r="CG1049" t="s">
        <v>177</v>
      </c>
      <c r="CH1049" t="s">
        <v>187</v>
      </c>
      <c r="CI1049" t="s">
        <v>7078</v>
      </c>
      <c r="CJ1049" t="s">
        <v>13581</v>
      </c>
      <c r="CK1049" t="s">
        <v>232</v>
      </c>
      <c r="CL1049" t="s">
        <v>233</v>
      </c>
      <c r="CM1049" t="s">
        <v>13940</v>
      </c>
      <c r="CN1049" t="s">
        <v>235</v>
      </c>
      <c r="CO1049" t="s">
        <v>183</v>
      </c>
      <c r="CP1049" t="s">
        <v>266</v>
      </c>
      <c r="CS1049" t="s">
        <v>198</v>
      </c>
      <c r="CT1049" t="s">
        <v>12850</v>
      </c>
      <c r="CU1049" t="s">
        <v>292</v>
      </c>
      <c r="CV1049" t="s">
        <v>293</v>
      </c>
      <c r="CW1049" t="s">
        <v>13941</v>
      </c>
      <c r="CX1049" t="s">
        <v>235</v>
      </c>
      <c r="CY1049" t="s">
        <v>183</v>
      </c>
      <c r="CZ1049" t="s">
        <v>266</v>
      </c>
      <c r="DC1049" t="s">
        <v>198</v>
      </c>
      <c r="DD1049" t="s">
        <v>4941</v>
      </c>
      <c r="DE1049" t="s">
        <v>267</v>
      </c>
      <c r="DF1049" t="s">
        <v>268</v>
      </c>
      <c r="DG1049" t="s">
        <v>13942</v>
      </c>
      <c r="DH1049" t="s">
        <v>235</v>
      </c>
      <c r="DI1049" t="s">
        <v>183</v>
      </c>
      <c r="DJ1049" t="s">
        <v>266</v>
      </c>
      <c r="DM1049" t="s">
        <v>198</v>
      </c>
      <c r="DN1049" t="s">
        <v>13943</v>
      </c>
      <c r="DO1049" t="s">
        <v>238</v>
      </c>
      <c r="DP1049" t="s">
        <v>239</v>
      </c>
      <c r="DQ1049" t="s">
        <v>13944</v>
      </c>
      <c r="DR1049" t="s">
        <v>278</v>
      </c>
      <c r="DS1049" t="s">
        <v>183</v>
      </c>
      <c r="DT1049" t="s">
        <v>211</v>
      </c>
      <c r="DU1049" t="s">
        <v>523</v>
      </c>
      <c r="DW1049" t="s">
        <v>13945</v>
      </c>
      <c r="DX1049" t="s">
        <v>13946</v>
      </c>
      <c r="DY1049" t="s">
        <v>346</v>
      </c>
      <c r="DZ1049" t="s">
        <v>347</v>
      </c>
      <c r="EA1049" t="s">
        <v>13947</v>
      </c>
      <c r="EB1049" t="s">
        <v>1491</v>
      </c>
      <c r="EC1049" t="s">
        <v>183</v>
      </c>
      <c r="ED1049" t="s">
        <v>211</v>
      </c>
      <c r="EE1049" t="s">
        <v>298</v>
      </c>
      <c r="EG1049" t="s">
        <v>2756</v>
      </c>
      <c r="EH1049" t="s">
        <v>13948</v>
      </c>
      <c r="EI1049" t="s">
        <v>207</v>
      </c>
      <c r="EJ1049" t="s">
        <v>208</v>
      </c>
      <c r="EK1049" t="s">
        <v>13949</v>
      </c>
      <c r="EL1049" t="s">
        <v>469</v>
      </c>
      <c r="EM1049" t="s">
        <v>183</v>
      </c>
      <c r="EN1049" t="s">
        <v>211</v>
      </c>
      <c r="EO1049" t="s">
        <v>525</v>
      </c>
      <c r="EQ1049" t="s">
        <v>2756</v>
      </c>
      <c r="FA1049" t="s">
        <v>198</v>
      </c>
      <c r="FK1049" t="s">
        <v>198</v>
      </c>
      <c r="FU1049" t="s">
        <v>198</v>
      </c>
    </row>
    <row r="1050" spans="1:177">
      <c r="A1050" s="1" t="str">
        <f>HYPERLINK("http://digipan.lumentumllc.com/apps/getLink/index.php?t=PropLink&amp;p=5247295","PL")</f>
        <v>PL</v>
      </c>
      <c r="B1050" s="1" t="str">
        <f>HYPERLINK("http://digipan.lumentumllc.com/apps/getLink/index.php?t=TaxLink&amp;p=5247295","TL")</f>
        <v>TL</v>
      </c>
      <c r="C1050" s="1" t="str">
        <f>HYPERLINK("http://digipan.lumentumllc.com/apps/getMap/index.php?p=5247295","Map")</f>
        <v>Map</v>
      </c>
      <c r="E1050" t="s">
        <v>177</v>
      </c>
      <c r="F1050" t="s">
        <v>178</v>
      </c>
      <c r="L1050" t="s">
        <v>13950</v>
      </c>
      <c r="N1050" t="s">
        <v>13950</v>
      </c>
      <c r="O1050" t="s">
        <v>13950</v>
      </c>
      <c r="P1050" t="s">
        <v>13951</v>
      </c>
      <c r="Q1050" t="s">
        <v>13950</v>
      </c>
      <c r="V1050">
        <v>1207</v>
      </c>
      <c r="W1050">
        <v>4</v>
      </c>
      <c r="X1050">
        <v>2017</v>
      </c>
      <c r="Y1050">
        <v>2018</v>
      </c>
      <c r="Z1050">
        <v>1793.44</v>
      </c>
      <c r="AB1050" t="s">
        <v>181</v>
      </c>
      <c r="AC1050" t="s">
        <v>182</v>
      </c>
      <c r="AD1050" t="s">
        <v>183</v>
      </c>
      <c r="AE1050">
        <v>1</v>
      </c>
      <c r="AF1050">
        <v>3</v>
      </c>
      <c r="AG1050" t="s">
        <v>257</v>
      </c>
      <c r="AH1050">
        <v>75</v>
      </c>
      <c r="AI1050">
        <v>1687.41</v>
      </c>
      <c r="AJ1050">
        <v>84.37</v>
      </c>
      <c r="AK1050">
        <v>1771.78</v>
      </c>
      <c r="AL1050">
        <v>107585</v>
      </c>
      <c r="AM1050">
        <v>15750</v>
      </c>
      <c r="AN1050">
        <v>91835</v>
      </c>
      <c r="AO1050">
        <v>1535</v>
      </c>
      <c r="AP1050">
        <v>2016</v>
      </c>
      <c r="AQ1050">
        <v>1.67</v>
      </c>
      <c r="AR1050">
        <v>1.65</v>
      </c>
      <c r="AS1050" t="s">
        <v>13952</v>
      </c>
      <c r="AT1050" t="s">
        <v>186</v>
      </c>
      <c r="AU1050" t="s">
        <v>177</v>
      </c>
      <c r="AV1050" t="s">
        <v>187</v>
      </c>
      <c r="AW1050" t="s">
        <v>182</v>
      </c>
      <c r="AX1050">
        <v>1</v>
      </c>
      <c r="AY1050" t="s">
        <v>188</v>
      </c>
      <c r="AZ1050" t="s">
        <v>206</v>
      </c>
      <c r="BA1050" t="s">
        <v>355</v>
      </c>
      <c r="BB1050" t="s">
        <v>191</v>
      </c>
      <c r="BC1050" t="s">
        <v>182</v>
      </c>
      <c r="BD1050" t="s">
        <v>182</v>
      </c>
      <c r="BE1050" t="s">
        <v>383</v>
      </c>
      <c r="BF1050">
        <v>1</v>
      </c>
      <c r="BG1050">
        <v>1</v>
      </c>
      <c r="BH1050">
        <v>1992</v>
      </c>
      <c r="BI1050" t="s">
        <v>13953</v>
      </c>
      <c r="BJ1050" t="s">
        <v>194</v>
      </c>
      <c r="BK1050" t="s">
        <v>195</v>
      </c>
      <c r="BL1050" t="s">
        <v>13954</v>
      </c>
      <c r="BM1050" t="s">
        <v>267</v>
      </c>
      <c r="BN1050" t="s">
        <v>182</v>
      </c>
      <c r="BO1050" t="s">
        <v>13955</v>
      </c>
      <c r="BP1050" t="s">
        <v>13956</v>
      </c>
      <c r="BS1050" t="s">
        <v>13957</v>
      </c>
      <c r="BT1050" t="s">
        <v>198</v>
      </c>
      <c r="BU1050" t="s">
        <v>182</v>
      </c>
      <c r="BV1050" t="s">
        <v>198</v>
      </c>
      <c r="BW1050" t="s">
        <v>198</v>
      </c>
      <c r="BX1050" t="s">
        <v>199</v>
      </c>
      <c r="BY1050" t="s">
        <v>198</v>
      </c>
      <c r="BZ1050" t="s">
        <v>199</v>
      </c>
      <c r="CA1050" t="s">
        <v>199</v>
      </c>
      <c r="CB1050" t="s">
        <v>13958</v>
      </c>
      <c r="CC1050" t="s">
        <v>201</v>
      </c>
      <c r="CD1050" t="s">
        <v>182</v>
      </c>
      <c r="CE1050" t="s">
        <v>13959</v>
      </c>
      <c r="CF1050" t="s">
        <v>204</v>
      </c>
      <c r="CG1050" t="s">
        <v>177</v>
      </c>
      <c r="CH1050" t="s">
        <v>187</v>
      </c>
      <c r="CI1050" t="s">
        <v>5475</v>
      </c>
      <c r="CJ1050" t="s">
        <v>12881</v>
      </c>
      <c r="CK1050" t="s">
        <v>232</v>
      </c>
      <c r="CL1050" t="s">
        <v>233</v>
      </c>
      <c r="CM1050" t="s">
        <v>13960</v>
      </c>
      <c r="CN1050" t="s">
        <v>235</v>
      </c>
      <c r="CO1050" t="s">
        <v>183</v>
      </c>
      <c r="CP1050" t="s">
        <v>266</v>
      </c>
      <c r="CS1050" t="s">
        <v>198</v>
      </c>
      <c r="CT1050" t="s">
        <v>12859</v>
      </c>
      <c r="CU1050" t="s">
        <v>292</v>
      </c>
      <c r="CV1050" t="s">
        <v>293</v>
      </c>
      <c r="CW1050" t="s">
        <v>13961</v>
      </c>
      <c r="CX1050" t="s">
        <v>235</v>
      </c>
      <c r="CY1050" t="s">
        <v>183</v>
      </c>
      <c r="CZ1050" t="s">
        <v>211</v>
      </c>
      <c r="DA1050" t="s">
        <v>298</v>
      </c>
      <c r="DC1050" t="s">
        <v>5771</v>
      </c>
      <c r="DD1050" t="s">
        <v>10924</v>
      </c>
      <c r="DE1050" t="s">
        <v>267</v>
      </c>
      <c r="DF1050" t="s">
        <v>268</v>
      </c>
      <c r="DG1050" t="s">
        <v>13962</v>
      </c>
      <c r="DH1050" t="s">
        <v>235</v>
      </c>
      <c r="DI1050" t="s">
        <v>183</v>
      </c>
      <c r="DJ1050" t="s">
        <v>211</v>
      </c>
      <c r="DK1050" t="s">
        <v>329</v>
      </c>
      <c r="DM1050" t="s">
        <v>1811</v>
      </c>
      <c r="DN1050" t="s">
        <v>13963</v>
      </c>
      <c r="DO1050" t="s">
        <v>346</v>
      </c>
      <c r="DP1050" t="s">
        <v>347</v>
      </c>
      <c r="DQ1050" t="s">
        <v>13964</v>
      </c>
      <c r="DR1050" t="s">
        <v>235</v>
      </c>
      <c r="DS1050" t="s">
        <v>183</v>
      </c>
      <c r="DT1050" t="s">
        <v>211</v>
      </c>
      <c r="DU1050" t="s">
        <v>189</v>
      </c>
      <c r="DW1050" t="s">
        <v>13965</v>
      </c>
      <c r="EG1050" t="s">
        <v>198</v>
      </c>
      <c r="EQ1050" t="s">
        <v>198</v>
      </c>
      <c r="FA1050" t="s">
        <v>198</v>
      </c>
      <c r="FK1050" t="s">
        <v>198</v>
      </c>
      <c r="FU1050" t="s">
        <v>198</v>
      </c>
    </row>
    <row r="1051" spans="1:177">
      <c r="A1051" s="1" t="str">
        <f>HYPERLINK("http://digipan.lumentumllc.com/apps/getLink/index.php?t=PropLink&amp;p=4638212","PL")</f>
        <v>PL</v>
      </c>
      <c r="B1051" s="1" t="str">
        <f>HYPERLINK("http://digipan.lumentumllc.com/apps/getLink/index.php?t=TaxLink&amp;p=4638212","TL")</f>
        <v>TL</v>
      </c>
      <c r="C1051" s="1" t="str">
        <f>HYPERLINK("http://digipan.lumentumllc.com/apps/getMap/index.php?p=4638212","Map")</f>
        <v>Map</v>
      </c>
      <c r="E1051" t="s">
        <v>177</v>
      </c>
      <c r="F1051" t="s">
        <v>178</v>
      </c>
      <c r="L1051" t="s">
        <v>13966</v>
      </c>
      <c r="N1051" t="s">
        <v>13966</v>
      </c>
      <c r="O1051" t="s">
        <v>13966</v>
      </c>
      <c r="P1051" t="s">
        <v>13967</v>
      </c>
      <c r="Q1051" t="s">
        <v>13966</v>
      </c>
      <c r="V1051">
        <v>1208</v>
      </c>
      <c r="W1051">
        <v>4</v>
      </c>
      <c r="X1051">
        <v>2017</v>
      </c>
      <c r="Y1051">
        <v>2018</v>
      </c>
      <c r="Z1051">
        <v>988.15</v>
      </c>
      <c r="AG1051" t="s">
        <v>184</v>
      </c>
      <c r="AH1051">
        <v>0</v>
      </c>
      <c r="AK1051">
        <v>0</v>
      </c>
      <c r="AL1051">
        <v>58400</v>
      </c>
      <c r="AM1051">
        <v>15750</v>
      </c>
      <c r="AN1051">
        <v>42650</v>
      </c>
      <c r="AO1051">
        <v>808</v>
      </c>
      <c r="AP1051">
        <v>2016</v>
      </c>
      <c r="AQ1051">
        <v>1.69</v>
      </c>
      <c r="AS1051" t="s">
        <v>13968</v>
      </c>
      <c r="AT1051" t="s">
        <v>186</v>
      </c>
      <c r="AU1051" t="s">
        <v>177</v>
      </c>
      <c r="AV1051" t="s">
        <v>187</v>
      </c>
      <c r="AW1051" t="s">
        <v>182</v>
      </c>
      <c r="AX1051">
        <v>1</v>
      </c>
      <c r="AY1051" t="s">
        <v>188</v>
      </c>
      <c r="AZ1051" t="s">
        <v>206</v>
      </c>
      <c r="BA1051" t="s">
        <v>355</v>
      </c>
      <c r="BB1051" t="s">
        <v>191</v>
      </c>
      <c r="BC1051" t="s">
        <v>182</v>
      </c>
      <c r="BD1051" t="s">
        <v>182</v>
      </c>
      <c r="BE1051" t="s">
        <v>383</v>
      </c>
      <c r="BF1051">
        <v>1</v>
      </c>
      <c r="BG1051">
        <v>1</v>
      </c>
      <c r="BH1051">
        <v>1993</v>
      </c>
      <c r="BI1051" t="s">
        <v>6349</v>
      </c>
      <c r="BJ1051" t="s">
        <v>285</v>
      </c>
      <c r="BK1051" t="s">
        <v>195</v>
      </c>
      <c r="BL1051" t="s">
        <v>2395</v>
      </c>
      <c r="BM1051" t="s">
        <v>232</v>
      </c>
      <c r="BN1051" t="s">
        <v>182</v>
      </c>
      <c r="BO1051" t="s">
        <v>198</v>
      </c>
      <c r="BP1051" t="s">
        <v>198</v>
      </c>
      <c r="BQ1051" t="s">
        <v>198</v>
      </c>
      <c r="BR1051" t="s">
        <v>198</v>
      </c>
      <c r="BS1051" t="s">
        <v>198</v>
      </c>
      <c r="BT1051" t="s">
        <v>198</v>
      </c>
      <c r="BU1051" t="s">
        <v>182</v>
      </c>
      <c r="BV1051" t="s">
        <v>198</v>
      </c>
      <c r="BW1051" t="s">
        <v>198</v>
      </c>
      <c r="BX1051" t="s">
        <v>199</v>
      </c>
      <c r="BY1051" t="s">
        <v>198</v>
      </c>
      <c r="BZ1051" t="s">
        <v>199</v>
      </c>
      <c r="CA1051" t="s">
        <v>199</v>
      </c>
      <c r="CB1051" t="s">
        <v>13969</v>
      </c>
      <c r="CC1051" t="s">
        <v>201</v>
      </c>
      <c r="CD1051" t="s">
        <v>202</v>
      </c>
      <c r="CE1051" t="s">
        <v>13970</v>
      </c>
      <c r="CF1051" t="s">
        <v>204</v>
      </c>
      <c r="CG1051" t="s">
        <v>177</v>
      </c>
      <c r="CH1051" t="s">
        <v>187</v>
      </c>
      <c r="CI1051" t="s">
        <v>13971</v>
      </c>
      <c r="CS1051" t="s">
        <v>198</v>
      </c>
      <c r="DC1051" t="s">
        <v>198</v>
      </c>
      <c r="DM1051" t="s">
        <v>198</v>
      </c>
      <c r="DW1051" t="s">
        <v>198</v>
      </c>
      <c r="EG1051" t="s">
        <v>198</v>
      </c>
      <c r="EQ1051" t="s">
        <v>198</v>
      </c>
      <c r="FA1051" t="s">
        <v>198</v>
      </c>
      <c r="FK1051" t="s">
        <v>198</v>
      </c>
      <c r="FU1051" t="s">
        <v>198</v>
      </c>
    </row>
    <row r="1052" spans="1:177">
      <c r="A1052" s="1" t="str">
        <f>HYPERLINK("http://digipan.lumentumllc.com/apps/getLink/index.php?t=PropLink&amp;p=5247301","PL")</f>
        <v>PL</v>
      </c>
      <c r="B1052" s="1" t="str">
        <f>HYPERLINK("http://digipan.lumentumllc.com/apps/getLink/index.php?t=TaxLink&amp;p=5247301","TL")</f>
        <v>TL</v>
      </c>
      <c r="C1052" s="1" t="str">
        <f>HYPERLINK("http://digipan.lumentumllc.com/apps/getMap/index.php?p=5247301","Map")</f>
        <v>Map</v>
      </c>
      <c r="E1052" t="s">
        <v>177</v>
      </c>
      <c r="F1052" t="s">
        <v>178</v>
      </c>
      <c r="L1052" t="s">
        <v>13972</v>
      </c>
      <c r="N1052" t="s">
        <v>13972</v>
      </c>
      <c r="O1052" t="s">
        <v>13972</v>
      </c>
      <c r="P1052" t="s">
        <v>13973</v>
      </c>
      <c r="Q1052" t="s">
        <v>13972</v>
      </c>
      <c r="V1052">
        <v>1209</v>
      </c>
      <c r="W1052">
        <v>4</v>
      </c>
      <c r="X1052">
        <v>2017</v>
      </c>
      <c r="Y1052">
        <v>2018</v>
      </c>
      <c r="Z1052">
        <v>1069.94</v>
      </c>
      <c r="AB1052" t="s">
        <v>181</v>
      </c>
      <c r="AC1052" t="s">
        <v>182</v>
      </c>
      <c r="AD1052" t="s">
        <v>1037</v>
      </c>
      <c r="AE1052">
        <v>0</v>
      </c>
      <c r="AF1052">
        <v>4</v>
      </c>
      <c r="AG1052" t="s">
        <v>744</v>
      </c>
      <c r="AH1052">
        <v>100</v>
      </c>
      <c r="AK1052">
        <v>0</v>
      </c>
      <c r="AL1052">
        <v>64503</v>
      </c>
      <c r="AM1052">
        <v>50085</v>
      </c>
      <c r="AN1052">
        <v>14418</v>
      </c>
      <c r="AO1052">
        <v>873</v>
      </c>
      <c r="AP1052">
        <v>2016</v>
      </c>
      <c r="AQ1052">
        <v>1.66</v>
      </c>
      <c r="AS1052" t="s">
        <v>13974</v>
      </c>
      <c r="AT1052" t="s">
        <v>186</v>
      </c>
      <c r="AU1052" t="s">
        <v>177</v>
      </c>
      <c r="AV1052" t="s">
        <v>187</v>
      </c>
      <c r="AW1052" t="s">
        <v>182</v>
      </c>
      <c r="AX1052">
        <v>2</v>
      </c>
      <c r="AY1052" t="s">
        <v>188</v>
      </c>
      <c r="AZ1052" t="s">
        <v>189</v>
      </c>
      <c r="BA1052" t="s">
        <v>190</v>
      </c>
      <c r="BB1052" t="s">
        <v>191</v>
      </c>
      <c r="BC1052" t="s">
        <v>182</v>
      </c>
      <c r="BD1052" t="s">
        <v>182</v>
      </c>
      <c r="BE1052" t="s">
        <v>13975</v>
      </c>
      <c r="BF1052">
        <v>1</v>
      </c>
      <c r="BG1052">
        <v>1</v>
      </c>
      <c r="BH1052">
        <v>1987</v>
      </c>
      <c r="BI1052" t="s">
        <v>11264</v>
      </c>
      <c r="BJ1052" t="s">
        <v>194</v>
      </c>
      <c r="BK1052" t="s">
        <v>195</v>
      </c>
      <c r="BL1052" t="s">
        <v>199</v>
      </c>
      <c r="BM1052" t="s">
        <v>930</v>
      </c>
      <c r="BN1052" t="s">
        <v>182</v>
      </c>
      <c r="BO1052" t="s">
        <v>198</v>
      </c>
      <c r="BP1052" t="s">
        <v>198</v>
      </c>
      <c r="BQ1052" t="s">
        <v>198</v>
      </c>
      <c r="BR1052" t="s">
        <v>198</v>
      </c>
      <c r="BS1052" t="s">
        <v>198</v>
      </c>
      <c r="BT1052" t="s">
        <v>198</v>
      </c>
      <c r="BU1052" t="s">
        <v>182</v>
      </c>
      <c r="BV1052" t="s">
        <v>198</v>
      </c>
      <c r="BW1052" t="s">
        <v>198</v>
      </c>
      <c r="BX1052" t="s">
        <v>199</v>
      </c>
      <c r="BY1052" t="s">
        <v>198</v>
      </c>
      <c r="BZ1052" t="s">
        <v>199</v>
      </c>
      <c r="CA1052" t="s">
        <v>199</v>
      </c>
      <c r="CB1052" t="s">
        <v>13976</v>
      </c>
      <c r="CC1052" t="s">
        <v>201</v>
      </c>
      <c r="CD1052" t="s">
        <v>202</v>
      </c>
      <c r="CE1052" t="s">
        <v>13977</v>
      </c>
      <c r="CF1052" t="s">
        <v>204</v>
      </c>
      <c r="CG1052" t="s">
        <v>177</v>
      </c>
      <c r="CH1052" t="s">
        <v>187</v>
      </c>
      <c r="CI1052" t="s">
        <v>13978</v>
      </c>
      <c r="CJ1052" t="s">
        <v>10231</v>
      </c>
      <c r="CK1052" t="s">
        <v>232</v>
      </c>
      <c r="CL1052" t="s">
        <v>233</v>
      </c>
      <c r="CM1052" t="s">
        <v>13979</v>
      </c>
      <c r="CN1052" t="s">
        <v>235</v>
      </c>
      <c r="CO1052" t="s">
        <v>183</v>
      </c>
      <c r="CP1052" t="s">
        <v>211</v>
      </c>
      <c r="CQ1052" t="s">
        <v>199</v>
      </c>
      <c r="CS1052" t="s">
        <v>2149</v>
      </c>
      <c r="CT1052" t="s">
        <v>13980</v>
      </c>
      <c r="CU1052" t="s">
        <v>273</v>
      </c>
      <c r="CV1052" t="s">
        <v>274</v>
      </c>
      <c r="CW1052" t="s">
        <v>13981</v>
      </c>
      <c r="CX1052" t="s">
        <v>482</v>
      </c>
      <c r="CY1052" t="s">
        <v>5</v>
      </c>
      <c r="CZ1052" t="s">
        <v>211</v>
      </c>
      <c r="DA1052" t="s">
        <v>290</v>
      </c>
      <c r="DC1052" t="s">
        <v>13982</v>
      </c>
      <c r="DD1052" t="s">
        <v>13983</v>
      </c>
      <c r="DE1052" t="s">
        <v>302</v>
      </c>
      <c r="DF1052" t="s">
        <v>303</v>
      </c>
      <c r="DG1052" t="s">
        <v>13984</v>
      </c>
      <c r="DH1052" t="s">
        <v>482</v>
      </c>
      <c r="DI1052" t="s">
        <v>5</v>
      </c>
      <c r="DJ1052" t="s">
        <v>211</v>
      </c>
      <c r="DK1052" t="s">
        <v>212</v>
      </c>
      <c r="DM1052" t="s">
        <v>13985</v>
      </c>
      <c r="DN1052" t="s">
        <v>13986</v>
      </c>
      <c r="DO1052" t="s">
        <v>346</v>
      </c>
      <c r="DP1052" t="s">
        <v>347</v>
      </c>
      <c r="DQ1052" t="s">
        <v>13987</v>
      </c>
      <c r="DR1052" t="s">
        <v>482</v>
      </c>
      <c r="DS1052" t="s">
        <v>5</v>
      </c>
      <c r="DT1052" t="s">
        <v>211</v>
      </c>
      <c r="DU1052" t="s">
        <v>329</v>
      </c>
      <c r="DW1052" t="s">
        <v>11169</v>
      </c>
      <c r="EG1052" t="s">
        <v>198</v>
      </c>
      <c r="EQ1052" t="s">
        <v>198</v>
      </c>
      <c r="FA1052" t="s">
        <v>198</v>
      </c>
      <c r="FK1052" t="s">
        <v>198</v>
      </c>
      <c r="FU1052" t="s">
        <v>198</v>
      </c>
    </row>
    <row r="1053" spans="1:177">
      <c r="A1053" s="1" t="str">
        <f>HYPERLINK("http://digipan.lumentumllc.com/apps/getLink/index.php?t=PropLink&amp;p=6129240","PL")</f>
        <v>PL</v>
      </c>
      <c r="B1053" s="1" t="str">
        <f>HYPERLINK("http://digipan.lumentumllc.com/apps/getLink/index.php?t=TaxLink&amp;p=6129240","TL")</f>
        <v>TL</v>
      </c>
      <c r="C1053" s="1" t="str">
        <f>HYPERLINK("http://digipan.lumentumllc.com/apps/getMap/index.php?p=6129240","Map")</f>
        <v>Map</v>
      </c>
      <c r="E1053" t="s">
        <v>177</v>
      </c>
      <c r="F1053" t="s">
        <v>178</v>
      </c>
      <c r="L1053" t="s">
        <v>13988</v>
      </c>
      <c r="N1053" t="s">
        <v>13988</v>
      </c>
      <c r="O1053" t="s">
        <v>13988</v>
      </c>
      <c r="P1053" t="s">
        <v>13989</v>
      </c>
      <c r="Q1053" t="s">
        <v>13988</v>
      </c>
      <c r="V1053">
        <v>1210</v>
      </c>
      <c r="W1053">
        <v>4</v>
      </c>
      <c r="X1053">
        <v>2017</v>
      </c>
      <c r="Y1053">
        <v>2018</v>
      </c>
      <c r="Z1053">
        <v>852.02</v>
      </c>
      <c r="AG1053" t="s">
        <v>184</v>
      </c>
      <c r="AH1053">
        <v>0</v>
      </c>
      <c r="AK1053">
        <v>0</v>
      </c>
      <c r="AL1053">
        <v>50085</v>
      </c>
      <c r="AM1053">
        <v>50085</v>
      </c>
      <c r="AN1053">
        <v>0</v>
      </c>
      <c r="AO1053">
        <v>732</v>
      </c>
      <c r="AP1053">
        <v>2016</v>
      </c>
      <c r="AQ1053">
        <v>1.7</v>
      </c>
      <c r="AS1053" t="s">
        <v>13990</v>
      </c>
      <c r="AT1053" t="s">
        <v>186</v>
      </c>
      <c r="AU1053" t="s">
        <v>177</v>
      </c>
      <c r="AV1053" t="s">
        <v>187</v>
      </c>
      <c r="AW1053" t="s">
        <v>182</v>
      </c>
      <c r="AX1053">
        <v>0</v>
      </c>
      <c r="AY1053" t="s">
        <v>312</v>
      </c>
      <c r="AZ1053" t="s">
        <v>199</v>
      </c>
      <c r="BA1053" t="s">
        <v>313</v>
      </c>
      <c r="BB1053" t="s">
        <v>191</v>
      </c>
      <c r="BC1053" t="s">
        <v>182</v>
      </c>
      <c r="BD1053" t="s">
        <v>182</v>
      </c>
      <c r="BE1053" t="s">
        <v>13975</v>
      </c>
      <c r="BF1053">
        <v>0</v>
      </c>
      <c r="BG1053">
        <v>0</v>
      </c>
      <c r="BH1053">
        <v>0</v>
      </c>
      <c r="BI1053" t="s">
        <v>199</v>
      </c>
      <c r="BJ1053" t="s">
        <v>315</v>
      </c>
      <c r="BL1053" t="s">
        <v>199</v>
      </c>
      <c r="BM1053" t="s">
        <v>1003</v>
      </c>
      <c r="BN1053" t="s">
        <v>182</v>
      </c>
      <c r="BO1053" t="s">
        <v>198</v>
      </c>
      <c r="BP1053" t="s">
        <v>198</v>
      </c>
      <c r="BQ1053" t="s">
        <v>198</v>
      </c>
      <c r="BR1053" t="s">
        <v>198</v>
      </c>
      <c r="BS1053" t="s">
        <v>198</v>
      </c>
      <c r="BT1053" t="s">
        <v>198</v>
      </c>
      <c r="BU1053" t="s">
        <v>182</v>
      </c>
      <c r="BV1053" t="s">
        <v>198</v>
      </c>
      <c r="BW1053" t="s">
        <v>198</v>
      </c>
      <c r="BX1053" t="s">
        <v>199</v>
      </c>
      <c r="BY1053" t="s">
        <v>198</v>
      </c>
      <c r="BZ1053" t="s">
        <v>199</v>
      </c>
      <c r="CA1053" t="s">
        <v>199</v>
      </c>
      <c r="CB1053" t="s">
        <v>13991</v>
      </c>
      <c r="CC1053" t="s">
        <v>1407</v>
      </c>
      <c r="CD1053" t="s">
        <v>202</v>
      </c>
      <c r="CE1053" t="s">
        <v>13992</v>
      </c>
      <c r="CF1053" t="s">
        <v>13993</v>
      </c>
      <c r="CG1053" t="s">
        <v>9009</v>
      </c>
      <c r="CH1053" t="s">
        <v>13994</v>
      </c>
      <c r="CI1053" t="s">
        <v>13995</v>
      </c>
      <c r="CS1053" t="s">
        <v>198</v>
      </c>
      <c r="DC1053" t="s">
        <v>198</v>
      </c>
      <c r="DM1053" t="s">
        <v>198</v>
      </c>
      <c r="DW1053" t="s">
        <v>198</v>
      </c>
      <c r="EG1053" t="s">
        <v>198</v>
      </c>
      <c r="EQ1053" t="s">
        <v>198</v>
      </c>
      <c r="FA1053" t="s">
        <v>198</v>
      </c>
      <c r="FK1053" t="s">
        <v>198</v>
      </c>
      <c r="FU1053" t="s">
        <v>198</v>
      </c>
    </row>
    <row r="1054" spans="1:177">
      <c r="A1054" s="1" t="str">
        <f>HYPERLINK("http://digipan.lumentumllc.com/apps/getLink/index.php?t=PropLink&amp;p=7112515","PL")</f>
        <v>PL</v>
      </c>
      <c r="B1054" s="1" t="str">
        <f>HYPERLINK("http://digipan.lumentumllc.com/apps/getLink/index.php?t=TaxLink&amp;p=7112515","TL")</f>
        <v>TL</v>
      </c>
      <c r="C1054" s="1" t="str">
        <f>HYPERLINK("http://digipan.lumentumllc.com/apps/getMap/index.php?p=7112515","Map")</f>
        <v>Map</v>
      </c>
      <c r="E1054" t="s">
        <v>177</v>
      </c>
      <c r="F1054" t="s">
        <v>178</v>
      </c>
      <c r="L1054" t="s">
        <v>13996</v>
      </c>
      <c r="N1054" t="s">
        <v>13996</v>
      </c>
      <c r="O1054" t="s">
        <v>13996</v>
      </c>
      <c r="P1054" t="s">
        <v>13997</v>
      </c>
      <c r="Q1054" t="s">
        <v>13996</v>
      </c>
      <c r="V1054">
        <v>1211</v>
      </c>
      <c r="W1054">
        <v>4</v>
      </c>
      <c r="X1054">
        <v>2017</v>
      </c>
      <c r="Y1054">
        <v>2018</v>
      </c>
      <c r="Z1054">
        <v>92.92</v>
      </c>
      <c r="AB1054" t="s">
        <v>181</v>
      </c>
      <c r="AC1054" t="s">
        <v>182</v>
      </c>
      <c r="AD1054" t="s">
        <v>183</v>
      </c>
      <c r="AE1054">
        <v>2</v>
      </c>
      <c r="AF1054">
        <v>0</v>
      </c>
      <c r="AG1054" t="s">
        <v>1737</v>
      </c>
      <c r="AH1054">
        <v>0</v>
      </c>
      <c r="AI1054">
        <v>161.25</v>
      </c>
      <c r="AJ1054">
        <v>42.49</v>
      </c>
      <c r="AK1054">
        <v>203.74</v>
      </c>
      <c r="AL1054">
        <v>4095</v>
      </c>
      <c r="AM1054">
        <v>4095</v>
      </c>
      <c r="AN1054">
        <v>0</v>
      </c>
      <c r="AO1054">
        <v>48</v>
      </c>
      <c r="AP1054">
        <v>2016</v>
      </c>
      <c r="AQ1054">
        <v>2.27</v>
      </c>
      <c r="AR1054">
        <v>4.9800000000000004</v>
      </c>
      <c r="AS1054" t="s">
        <v>13990</v>
      </c>
      <c r="AT1054" t="s">
        <v>186</v>
      </c>
      <c r="AU1054" t="s">
        <v>177</v>
      </c>
      <c r="AV1054" t="s">
        <v>187</v>
      </c>
      <c r="AW1054" t="s">
        <v>182</v>
      </c>
      <c r="AX1054">
        <v>0</v>
      </c>
      <c r="AY1054" t="s">
        <v>312</v>
      </c>
      <c r="AZ1054" t="s">
        <v>199</v>
      </c>
      <c r="BA1054" t="s">
        <v>313</v>
      </c>
      <c r="BB1054" t="s">
        <v>191</v>
      </c>
      <c r="BC1054" t="s">
        <v>182</v>
      </c>
      <c r="BD1054" t="s">
        <v>182</v>
      </c>
      <c r="BE1054" t="s">
        <v>6008</v>
      </c>
      <c r="BF1054">
        <v>0</v>
      </c>
      <c r="BG1054">
        <v>0</v>
      </c>
      <c r="BH1054">
        <v>0</v>
      </c>
      <c r="BI1054" t="s">
        <v>199</v>
      </c>
      <c r="BJ1054" t="s">
        <v>315</v>
      </c>
      <c r="BL1054" t="s">
        <v>2762</v>
      </c>
      <c r="BM1054" t="s">
        <v>286</v>
      </c>
      <c r="BN1054" t="s">
        <v>182</v>
      </c>
      <c r="BO1054" t="s">
        <v>198</v>
      </c>
      <c r="BP1054" t="s">
        <v>198</v>
      </c>
      <c r="BQ1054" t="s">
        <v>198</v>
      </c>
      <c r="BR1054" t="s">
        <v>198</v>
      </c>
      <c r="BS1054" t="s">
        <v>198</v>
      </c>
      <c r="BT1054" t="s">
        <v>198</v>
      </c>
      <c r="BU1054" t="s">
        <v>182</v>
      </c>
      <c r="BV1054" t="s">
        <v>198</v>
      </c>
      <c r="BW1054" t="s">
        <v>198</v>
      </c>
      <c r="BX1054" t="s">
        <v>199</v>
      </c>
      <c r="BY1054" t="s">
        <v>198</v>
      </c>
      <c r="BZ1054" t="s">
        <v>199</v>
      </c>
      <c r="CA1054" t="s">
        <v>199</v>
      </c>
      <c r="CB1054" t="s">
        <v>10997</v>
      </c>
      <c r="CC1054" t="s">
        <v>201</v>
      </c>
      <c r="CD1054" t="s">
        <v>182</v>
      </c>
      <c r="CE1054" t="s">
        <v>10998</v>
      </c>
      <c r="CF1054" t="s">
        <v>5331</v>
      </c>
      <c r="CG1054" t="s">
        <v>177</v>
      </c>
      <c r="CH1054" t="s">
        <v>371</v>
      </c>
      <c r="CI1054" t="s">
        <v>13998</v>
      </c>
      <c r="CJ1054" t="s">
        <v>12571</v>
      </c>
      <c r="CK1054" t="s">
        <v>232</v>
      </c>
      <c r="CL1054" t="s">
        <v>233</v>
      </c>
      <c r="CM1054" t="s">
        <v>13999</v>
      </c>
      <c r="CN1054" t="s">
        <v>1074</v>
      </c>
      <c r="CO1054" t="s">
        <v>183</v>
      </c>
      <c r="CP1054" t="s">
        <v>266</v>
      </c>
      <c r="CS1054" t="s">
        <v>198</v>
      </c>
      <c r="CT1054" t="s">
        <v>14000</v>
      </c>
      <c r="CU1054" t="s">
        <v>292</v>
      </c>
      <c r="CV1054" t="s">
        <v>293</v>
      </c>
      <c r="CW1054" t="s">
        <v>14001</v>
      </c>
      <c r="CX1054" t="s">
        <v>482</v>
      </c>
      <c r="CY1054" t="s">
        <v>183</v>
      </c>
      <c r="CZ1054" t="s">
        <v>266</v>
      </c>
      <c r="DC1054" t="s">
        <v>198</v>
      </c>
      <c r="DM1054" t="s">
        <v>198</v>
      </c>
      <c r="DW1054" t="s">
        <v>198</v>
      </c>
      <c r="EG1054" t="s">
        <v>198</v>
      </c>
      <c r="EQ1054" t="s">
        <v>198</v>
      </c>
      <c r="FA1054" t="s">
        <v>198</v>
      </c>
      <c r="FK1054" t="s">
        <v>198</v>
      </c>
      <c r="FU1054" t="s">
        <v>198</v>
      </c>
    </row>
    <row r="1055" spans="1:177">
      <c r="A1055" s="1" t="str">
        <f>HYPERLINK("http://digipan.lumentumllc.com/apps/getLink/index.php?t=PropLink&amp;p=15757567","PL")</f>
        <v>PL</v>
      </c>
      <c r="B1055" s="1" t="str">
        <f>HYPERLINK("http://digipan.lumentumllc.com/apps/getLink/index.php?t=TaxLink&amp;p=15757567","TL")</f>
        <v>TL</v>
      </c>
      <c r="C1055" s="1" t="str">
        <f>HYPERLINK("http://digipan.lumentumllc.com/apps/getMap/index.php?p=15757567","Map")</f>
        <v>Map</v>
      </c>
      <c r="E1055" t="s">
        <v>177</v>
      </c>
      <c r="F1055" t="s">
        <v>178</v>
      </c>
      <c r="L1055" t="s">
        <v>14002</v>
      </c>
      <c r="N1055" t="s">
        <v>14002</v>
      </c>
      <c r="O1055" t="s">
        <v>14002</v>
      </c>
      <c r="Q1055" t="s">
        <v>14002</v>
      </c>
      <c r="V1055">
        <v>1212</v>
      </c>
      <c r="W1055">
        <v>4</v>
      </c>
      <c r="X1055">
        <v>2017</v>
      </c>
      <c r="Y1055">
        <v>2018</v>
      </c>
      <c r="Z1055">
        <v>1142.9000000000001</v>
      </c>
      <c r="AB1055" t="s">
        <v>181</v>
      </c>
      <c r="AC1055" t="s">
        <v>182</v>
      </c>
      <c r="AD1055" t="s">
        <v>183</v>
      </c>
      <c r="AE1055">
        <v>1</v>
      </c>
      <c r="AF1055">
        <v>0</v>
      </c>
      <c r="AG1055" t="s">
        <v>1200</v>
      </c>
      <c r="AH1055">
        <v>0</v>
      </c>
      <c r="AI1055">
        <v>1099.82</v>
      </c>
      <c r="AJ1055">
        <v>54.99</v>
      </c>
      <c r="AK1055">
        <v>1154.81</v>
      </c>
      <c r="AL1055">
        <v>67851</v>
      </c>
      <c r="AM1055">
        <v>67851</v>
      </c>
      <c r="AN1055">
        <v>0</v>
      </c>
      <c r="AO1055">
        <v>992</v>
      </c>
      <c r="AP1055">
        <v>2016</v>
      </c>
      <c r="AQ1055">
        <v>1.68</v>
      </c>
      <c r="AR1055">
        <v>1.7</v>
      </c>
      <c r="AS1055" t="s">
        <v>13860</v>
      </c>
      <c r="AT1055" t="s">
        <v>186</v>
      </c>
      <c r="AU1055" t="s">
        <v>177</v>
      </c>
      <c r="AV1055" t="s">
        <v>187</v>
      </c>
      <c r="AW1055" t="s">
        <v>182</v>
      </c>
      <c r="AX1055">
        <v>0</v>
      </c>
      <c r="AY1055" t="s">
        <v>312</v>
      </c>
      <c r="AZ1055" t="s">
        <v>199</v>
      </c>
      <c r="BA1055" t="s">
        <v>313</v>
      </c>
      <c r="BB1055" t="s">
        <v>191</v>
      </c>
      <c r="BC1055" t="s">
        <v>182</v>
      </c>
      <c r="BD1055" t="s">
        <v>182</v>
      </c>
      <c r="BE1055" t="s">
        <v>14003</v>
      </c>
      <c r="BF1055">
        <v>0</v>
      </c>
      <c r="BG1055">
        <v>0</v>
      </c>
      <c r="BH1055">
        <v>0</v>
      </c>
      <c r="BI1055" t="s">
        <v>199</v>
      </c>
      <c r="BJ1055" t="s">
        <v>315</v>
      </c>
      <c r="BL1055" t="s">
        <v>199</v>
      </c>
      <c r="BM1055" t="s">
        <v>4724</v>
      </c>
      <c r="BN1055" t="s">
        <v>182</v>
      </c>
      <c r="BO1055" t="s">
        <v>198</v>
      </c>
      <c r="BP1055" t="s">
        <v>198</v>
      </c>
      <c r="BQ1055" t="s">
        <v>198</v>
      </c>
      <c r="BR1055" t="s">
        <v>198</v>
      </c>
      <c r="BS1055" t="s">
        <v>198</v>
      </c>
      <c r="BT1055" t="s">
        <v>198</v>
      </c>
      <c r="BU1055" t="s">
        <v>182</v>
      </c>
      <c r="BV1055" t="s">
        <v>198</v>
      </c>
      <c r="BW1055" t="s">
        <v>198</v>
      </c>
      <c r="BX1055" t="s">
        <v>199</v>
      </c>
      <c r="BY1055" t="s">
        <v>198</v>
      </c>
      <c r="BZ1055" t="s">
        <v>199</v>
      </c>
      <c r="CA1055" t="s">
        <v>199</v>
      </c>
      <c r="CB1055" t="s">
        <v>14004</v>
      </c>
      <c r="CC1055" t="s">
        <v>201</v>
      </c>
      <c r="CD1055" t="s">
        <v>182</v>
      </c>
      <c r="CE1055" t="s">
        <v>14005</v>
      </c>
      <c r="CF1055" t="s">
        <v>413</v>
      </c>
      <c r="CG1055" t="s">
        <v>177</v>
      </c>
      <c r="CH1055" t="s">
        <v>5741</v>
      </c>
      <c r="CI1055" t="s">
        <v>14006</v>
      </c>
      <c r="CJ1055" t="s">
        <v>1002</v>
      </c>
      <c r="CK1055" t="s">
        <v>232</v>
      </c>
      <c r="CL1055" t="s">
        <v>233</v>
      </c>
      <c r="CM1055" t="s">
        <v>14007</v>
      </c>
      <c r="CN1055" t="s">
        <v>235</v>
      </c>
      <c r="CO1055" t="s">
        <v>183</v>
      </c>
      <c r="CP1055" t="s">
        <v>266</v>
      </c>
      <c r="CS1055" t="s">
        <v>198</v>
      </c>
      <c r="DC1055" t="s">
        <v>198</v>
      </c>
      <c r="DM1055" t="s">
        <v>198</v>
      </c>
      <c r="DW1055" t="s">
        <v>198</v>
      </c>
      <c r="EG1055" t="s">
        <v>198</v>
      </c>
      <c r="EQ1055" t="s">
        <v>198</v>
      </c>
      <c r="FA1055" t="s">
        <v>198</v>
      </c>
      <c r="FK1055" t="s">
        <v>198</v>
      </c>
      <c r="FU1055" t="s">
        <v>198</v>
      </c>
    </row>
    <row r="1056" spans="1:177">
      <c r="A1056" s="1" t="str">
        <f>HYPERLINK("http://digipan.lumentumllc.com/apps/getLink/index.php?t=PropLink&amp;p=5248259","PL")</f>
        <v>PL</v>
      </c>
      <c r="B1056" s="1" t="str">
        <f>HYPERLINK("http://digipan.lumentumllc.com/apps/getLink/index.php?t=TaxLink&amp;p=5248259","TL")</f>
        <v>TL</v>
      </c>
      <c r="C1056" s="1" t="str">
        <f>HYPERLINK("http://digipan.lumentumllc.com/apps/getMap/index.php?p=5248259","Map")</f>
        <v>Map</v>
      </c>
      <c r="E1056" t="s">
        <v>177</v>
      </c>
      <c r="F1056" t="s">
        <v>178</v>
      </c>
      <c r="L1056" t="s">
        <v>14008</v>
      </c>
      <c r="N1056" t="s">
        <v>14008</v>
      </c>
      <c r="O1056" t="s">
        <v>14008</v>
      </c>
      <c r="P1056" t="s">
        <v>14009</v>
      </c>
      <c r="Q1056" t="s">
        <v>14008</v>
      </c>
      <c r="V1056">
        <v>1213</v>
      </c>
      <c r="W1056">
        <v>4</v>
      </c>
      <c r="X1056">
        <v>2017</v>
      </c>
      <c r="Y1056">
        <v>2018</v>
      </c>
      <c r="Z1056">
        <v>590.91999999999996</v>
      </c>
      <c r="AB1056" t="s">
        <v>181</v>
      </c>
      <c r="AC1056" t="s">
        <v>182</v>
      </c>
      <c r="AD1056" t="s">
        <v>183</v>
      </c>
      <c r="AE1056">
        <v>2</v>
      </c>
      <c r="AF1056">
        <v>5</v>
      </c>
      <c r="AG1056" t="s">
        <v>282</v>
      </c>
      <c r="AH1056">
        <v>67</v>
      </c>
      <c r="AI1056">
        <v>1077.3699999999999</v>
      </c>
      <c r="AJ1056">
        <v>186.74</v>
      </c>
      <c r="AK1056">
        <v>1264.1099999999999</v>
      </c>
      <c r="AL1056">
        <v>34755</v>
      </c>
      <c r="AM1056">
        <v>26880</v>
      </c>
      <c r="AN1056">
        <v>7875</v>
      </c>
      <c r="AO1056">
        <v>470</v>
      </c>
      <c r="AP1056">
        <v>2016</v>
      </c>
      <c r="AQ1056">
        <v>1.7</v>
      </c>
      <c r="AR1056">
        <v>3.64</v>
      </c>
      <c r="AS1056" t="s">
        <v>14010</v>
      </c>
      <c r="AT1056" t="s">
        <v>186</v>
      </c>
      <c r="AU1056" t="s">
        <v>177</v>
      </c>
      <c r="AV1056" t="s">
        <v>187</v>
      </c>
      <c r="AW1056" t="s">
        <v>182</v>
      </c>
      <c r="AX1056">
        <v>0</v>
      </c>
      <c r="AY1056" t="s">
        <v>312</v>
      </c>
      <c r="AZ1056" t="s">
        <v>199</v>
      </c>
      <c r="BA1056" t="s">
        <v>313</v>
      </c>
      <c r="BB1056" t="s">
        <v>191</v>
      </c>
      <c r="BC1056" t="s">
        <v>182</v>
      </c>
      <c r="BD1056" t="s">
        <v>182</v>
      </c>
      <c r="BE1056" t="s">
        <v>5665</v>
      </c>
      <c r="BF1056">
        <v>1</v>
      </c>
      <c r="BG1056">
        <v>0</v>
      </c>
      <c r="BH1056">
        <v>0</v>
      </c>
      <c r="BI1056" t="s">
        <v>199</v>
      </c>
      <c r="BJ1056" t="s">
        <v>248</v>
      </c>
      <c r="BL1056" t="s">
        <v>4647</v>
      </c>
      <c r="BM1056" t="s">
        <v>2540</v>
      </c>
      <c r="BN1056" t="s">
        <v>182</v>
      </c>
      <c r="BO1056" t="s">
        <v>198</v>
      </c>
      <c r="BP1056" t="s">
        <v>198</v>
      </c>
      <c r="BQ1056" t="s">
        <v>198</v>
      </c>
      <c r="BR1056" t="s">
        <v>198</v>
      </c>
      <c r="BS1056" t="s">
        <v>198</v>
      </c>
      <c r="BT1056" t="s">
        <v>198</v>
      </c>
      <c r="BU1056" t="s">
        <v>182</v>
      </c>
      <c r="BV1056" t="s">
        <v>198</v>
      </c>
      <c r="BW1056" t="s">
        <v>198</v>
      </c>
      <c r="BX1056" t="s">
        <v>199</v>
      </c>
      <c r="BY1056" t="s">
        <v>198</v>
      </c>
      <c r="BZ1056" t="s">
        <v>199</v>
      </c>
      <c r="CA1056" t="s">
        <v>199</v>
      </c>
      <c r="CB1056" t="s">
        <v>14011</v>
      </c>
      <c r="CC1056" t="s">
        <v>201</v>
      </c>
      <c r="CD1056" t="s">
        <v>202</v>
      </c>
      <c r="CE1056" t="s">
        <v>14012</v>
      </c>
      <c r="CF1056" t="s">
        <v>204</v>
      </c>
      <c r="CG1056" t="s">
        <v>177</v>
      </c>
      <c r="CH1056" t="s">
        <v>187</v>
      </c>
      <c r="CI1056" t="s">
        <v>14013</v>
      </c>
      <c r="CJ1056" t="s">
        <v>12937</v>
      </c>
      <c r="CK1056" t="s">
        <v>232</v>
      </c>
      <c r="CL1056" t="s">
        <v>233</v>
      </c>
      <c r="CM1056" t="s">
        <v>14014</v>
      </c>
      <c r="CN1056" t="s">
        <v>331</v>
      </c>
      <c r="CO1056" t="s">
        <v>183</v>
      </c>
      <c r="CP1056" t="s">
        <v>266</v>
      </c>
      <c r="CS1056" t="s">
        <v>198</v>
      </c>
      <c r="CT1056" t="s">
        <v>13549</v>
      </c>
      <c r="CU1056" t="s">
        <v>292</v>
      </c>
      <c r="CV1056" t="s">
        <v>293</v>
      </c>
      <c r="CW1056" t="s">
        <v>14015</v>
      </c>
      <c r="CX1056" t="s">
        <v>333</v>
      </c>
      <c r="CY1056" t="s">
        <v>183</v>
      </c>
      <c r="CZ1056" t="s">
        <v>266</v>
      </c>
      <c r="DC1056" t="s">
        <v>198</v>
      </c>
      <c r="DD1056" t="s">
        <v>10940</v>
      </c>
      <c r="DE1056" t="s">
        <v>267</v>
      </c>
      <c r="DF1056" t="s">
        <v>268</v>
      </c>
      <c r="DG1056" t="s">
        <v>14016</v>
      </c>
      <c r="DH1056" t="s">
        <v>331</v>
      </c>
      <c r="DI1056" t="s">
        <v>183</v>
      </c>
      <c r="DJ1056" t="s">
        <v>211</v>
      </c>
      <c r="DK1056" t="s">
        <v>865</v>
      </c>
      <c r="DM1056" t="s">
        <v>7659</v>
      </c>
      <c r="DN1056" t="s">
        <v>14017</v>
      </c>
      <c r="DO1056" t="s">
        <v>302</v>
      </c>
      <c r="DP1056" t="s">
        <v>303</v>
      </c>
      <c r="DQ1056" t="s">
        <v>14018</v>
      </c>
      <c r="DR1056" t="s">
        <v>838</v>
      </c>
      <c r="DS1056" t="s">
        <v>183</v>
      </c>
      <c r="DT1056" t="s">
        <v>211</v>
      </c>
      <c r="DU1056" t="s">
        <v>339</v>
      </c>
      <c r="DW1056" t="s">
        <v>14019</v>
      </c>
      <c r="DX1056" t="s">
        <v>14020</v>
      </c>
      <c r="DY1056" t="s">
        <v>238</v>
      </c>
      <c r="DZ1056" t="s">
        <v>303</v>
      </c>
      <c r="EA1056" t="s">
        <v>14021</v>
      </c>
      <c r="EB1056" t="s">
        <v>1341</v>
      </c>
      <c r="EC1056" t="s">
        <v>183</v>
      </c>
      <c r="ED1056" t="s">
        <v>211</v>
      </c>
      <c r="EE1056" t="s">
        <v>339</v>
      </c>
      <c r="EG1056" t="s">
        <v>14019</v>
      </c>
      <c r="EH1056" t="s">
        <v>14022</v>
      </c>
      <c r="EI1056" t="s">
        <v>346</v>
      </c>
      <c r="EJ1056" t="s">
        <v>347</v>
      </c>
      <c r="EK1056" t="s">
        <v>14023</v>
      </c>
      <c r="EL1056" t="s">
        <v>1491</v>
      </c>
      <c r="EM1056" t="s">
        <v>183</v>
      </c>
      <c r="EN1056" t="s">
        <v>211</v>
      </c>
      <c r="EO1056" t="s">
        <v>966</v>
      </c>
      <c r="EQ1056" t="s">
        <v>14019</v>
      </c>
      <c r="ER1056" t="s">
        <v>3333</v>
      </c>
      <c r="ES1056" t="s">
        <v>207</v>
      </c>
      <c r="ET1056" t="s">
        <v>208</v>
      </c>
      <c r="EU1056" t="s">
        <v>14024</v>
      </c>
      <c r="EV1056" t="s">
        <v>341</v>
      </c>
      <c r="EW1056" t="s">
        <v>183</v>
      </c>
      <c r="EX1056" t="s">
        <v>211</v>
      </c>
      <c r="EY1056" t="s">
        <v>865</v>
      </c>
      <c r="FA1056" t="s">
        <v>4517</v>
      </c>
      <c r="FK1056" t="s">
        <v>198</v>
      </c>
      <c r="FU1056" t="s">
        <v>198</v>
      </c>
    </row>
    <row r="1057" spans="1:177">
      <c r="A1057" s="1" t="str">
        <f>HYPERLINK("http://digipan.lumentumllc.com/apps/getLink/index.php?t=PropLink&amp;p=5248260","PL")</f>
        <v>PL</v>
      </c>
      <c r="B1057" s="1" t="str">
        <f>HYPERLINK("http://digipan.lumentumllc.com/apps/getLink/index.php?t=TaxLink&amp;p=5248260","TL")</f>
        <v>TL</v>
      </c>
      <c r="C1057" s="1" t="str">
        <f>HYPERLINK("http://digipan.lumentumllc.com/apps/getMap/index.php?p=5248260","Map")</f>
        <v>Map</v>
      </c>
      <c r="E1057" t="s">
        <v>177</v>
      </c>
      <c r="F1057" t="s">
        <v>178</v>
      </c>
      <c r="L1057" t="s">
        <v>14025</v>
      </c>
      <c r="N1057" t="s">
        <v>14025</v>
      </c>
      <c r="O1057" t="s">
        <v>14025</v>
      </c>
      <c r="P1057" t="s">
        <v>14026</v>
      </c>
      <c r="Q1057" t="s">
        <v>14025</v>
      </c>
      <c r="V1057">
        <v>1214</v>
      </c>
      <c r="W1057">
        <v>4</v>
      </c>
      <c r="X1057">
        <v>2017</v>
      </c>
      <c r="Y1057">
        <v>2018</v>
      </c>
      <c r="Z1057">
        <v>740.62</v>
      </c>
      <c r="AB1057" t="s">
        <v>181</v>
      </c>
      <c r="AC1057" t="s">
        <v>182</v>
      </c>
      <c r="AD1057" t="s">
        <v>183</v>
      </c>
      <c r="AE1057">
        <v>1</v>
      </c>
      <c r="AF1057">
        <v>7</v>
      </c>
      <c r="AG1057" t="s">
        <v>418</v>
      </c>
      <c r="AH1057">
        <v>86</v>
      </c>
      <c r="AI1057">
        <v>711.33</v>
      </c>
      <c r="AJ1057">
        <v>35.57</v>
      </c>
      <c r="AK1057">
        <v>746.9</v>
      </c>
      <c r="AL1057">
        <v>43281</v>
      </c>
      <c r="AM1057">
        <v>43281</v>
      </c>
      <c r="AN1057">
        <v>0</v>
      </c>
      <c r="AO1057">
        <v>633</v>
      </c>
      <c r="AP1057">
        <v>2016</v>
      </c>
      <c r="AQ1057">
        <v>1.71</v>
      </c>
      <c r="AR1057">
        <v>1.73</v>
      </c>
      <c r="AS1057" t="s">
        <v>13353</v>
      </c>
      <c r="AT1057" t="s">
        <v>186</v>
      </c>
      <c r="AU1057" t="s">
        <v>177</v>
      </c>
      <c r="AV1057" t="s">
        <v>187</v>
      </c>
      <c r="AW1057" t="s">
        <v>182</v>
      </c>
      <c r="AX1057">
        <v>0</v>
      </c>
      <c r="AY1057" t="s">
        <v>312</v>
      </c>
      <c r="AZ1057" t="s">
        <v>199</v>
      </c>
      <c r="BA1057" t="s">
        <v>313</v>
      </c>
      <c r="BB1057" t="s">
        <v>191</v>
      </c>
      <c r="BC1057" t="s">
        <v>182</v>
      </c>
      <c r="BD1057" t="s">
        <v>182</v>
      </c>
      <c r="BE1057" t="s">
        <v>7490</v>
      </c>
      <c r="BF1057">
        <v>0</v>
      </c>
      <c r="BG1057">
        <v>0</v>
      </c>
      <c r="BH1057">
        <v>0</v>
      </c>
      <c r="BI1057" t="s">
        <v>199</v>
      </c>
      <c r="BJ1057" t="s">
        <v>248</v>
      </c>
      <c r="BL1057" t="s">
        <v>199</v>
      </c>
      <c r="BM1057" t="s">
        <v>1387</v>
      </c>
      <c r="BN1057" t="s">
        <v>182</v>
      </c>
      <c r="BO1057" t="s">
        <v>1668</v>
      </c>
      <c r="BP1057" t="s">
        <v>14027</v>
      </c>
      <c r="BS1057" t="s">
        <v>14028</v>
      </c>
      <c r="BT1057" t="s">
        <v>198</v>
      </c>
      <c r="BU1057" t="s">
        <v>182</v>
      </c>
      <c r="BV1057" t="s">
        <v>198</v>
      </c>
      <c r="BW1057" t="s">
        <v>198</v>
      </c>
      <c r="BX1057" t="s">
        <v>199</v>
      </c>
      <c r="BY1057" t="s">
        <v>198</v>
      </c>
      <c r="BZ1057" t="s">
        <v>199</v>
      </c>
      <c r="CA1057" t="s">
        <v>199</v>
      </c>
      <c r="CB1057" t="s">
        <v>14029</v>
      </c>
      <c r="CC1057" t="s">
        <v>201</v>
      </c>
      <c r="CD1057" t="s">
        <v>182</v>
      </c>
      <c r="CE1057" t="s">
        <v>14030</v>
      </c>
      <c r="CF1057" t="s">
        <v>204</v>
      </c>
      <c r="CG1057" t="s">
        <v>177</v>
      </c>
      <c r="CH1057" t="s">
        <v>187</v>
      </c>
      <c r="CI1057" t="s">
        <v>14031</v>
      </c>
      <c r="CJ1057" t="s">
        <v>12586</v>
      </c>
      <c r="CK1057" t="s">
        <v>232</v>
      </c>
      <c r="CL1057" t="s">
        <v>233</v>
      </c>
      <c r="CM1057" t="s">
        <v>14032</v>
      </c>
      <c r="CN1057" t="s">
        <v>331</v>
      </c>
      <c r="CO1057" t="s">
        <v>183</v>
      </c>
      <c r="CP1057" t="s">
        <v>266</v>
      </c>
      <c r="CS1057" t="s">
        <v>198</v>
      </c>
      <c r="CT1057" t="s">
        <v>13568</v>
      </c>
      <c r="CU1057" t="s">
        <v>292</v>
      </c>
      <c r="CV1057" t="s">
        <v>293</v>
      </c>
      <c r="CW1057" t="s">
        <v>14033</v>
      </c>
      <c r="CX1057" t="s">
        <v>331</v>
      </c>
      <c r="CY1057" t="s">
        <v>183</v>
      </c>
      <c r="CZ1057" t="s">
        <v>211</v>
      </c>
      <c r="DA1057" t="s">
        <v>298</v>
      </c>
      <c r="DC1057" t="s">
        <v>3495</v>
      </c>
      <c r="DD1057" t="s">
        <v>13294</v>
      </c>
      <c r="DE1057" t="s">
        <v>267</v>
      </c>
      <c r="DF1057" t="s">
        <v>268</v>
      </c>
      <c r="DG1057" t="s">
        <v>14034</v>
      </c>
      <c r="DH1057" t="s">
        <v>331</v>
      </c>
      <c r="DI1057" t="s">
        <v>183</v>
      </c>
      <c r="DJ1057" t="s">
        <v>211</v>
      </c>
      <c r="DK1057" t="s">
        <v>298</v>
      </c>
      <c r="DM1057" t="s">
        <v>459</v>
      </c>
      <c r="DN1057" t="s">
        <v>13923</v>
      </c>
      <c r="DO1057" t="s">
        <v>273</v>
      </c>
      <c r="DP1057" t="s">
        <v>274</v>
      </c>
      <c r="DQ1057" t="s">
        <v>14035</v>
      </c>
      <c r="DR1057" t="s">
        <v>278</v>
      </c>
      <c r="DS1057" t="s">
        <v>183</v>
      </c>
      <c r="DT1057" t="s">
        <v>211</v>
      </c>
      <c r="DU1057" t="s">
        <v>633</v>
      </c>
      <c r="DW1057" t="s">
        <v>14036</v>
      </c>
      <c r="DX1057" t="s">
        <v>9232</v>
      </c>
      <c r="DY1057" t="s">
        <v>302</v>
      </c>
      <c r="DZ1057" t="s">
        <v>303</v>
      </c>
      <c r="EA1057" t="s">
        <v>14037</v>
      </c>
      <c r="EB1057" t="s">
        <v>235</v>
      </c>
      <c r="EC1057" t="s">
        <v>183</v>
      </c>
      <c r="ED1057" t="s">
        <v>211</v>
      </c>
      <c r="EE1057" t="s">
        <v>298</v>
      </c>
      <c r="EG1057" t="s">
        <v>464</v>
      </c>
      <c r="EH1057" t="s">
        <v>14038</v>
      </c>
      <c r="EI1057" t="s">
        <v>238</v>
      </c>
      <c r="EJ1057" t="s">
        <v>239</v>
      </c>
      <c r="EK1057" t="s">
        <v>14039</v>
      </c>
      <c r="EL1057" t="s">
        <v>440</v>
      </c>
      <c r="EM1057" t="s">
        <v>183</v>
      </c>
      <c r="EN1057" t="s">
        <v>211</v>
      </c>
      <c r="EO1057" t="s">
        <v>298</v>
      </c>
      <c r="EQ1057" t="s">
        <v>441</v>
      </c>
      <c r="ER1057" t="s">
        <v>11340</v>
      </c>
      <c r="ES1057" t="s">
        <v>346</v>
      </c>
      <c r="ET1057" t="s">
        <v>347</v>
      </c>
      <c r="EU1057" t="s">
        <v>14040</v>
      </c>
      <c r="EV1057" t="s">
        <v>1491</v>
      </c>
      <c r="EW1057" t="s">
        <v>183</v>
      </c>
      <c r="EX1057" t="s">
        <v>211</v>
      </c>
      <c r="EY1057" t="s">
        <v>298</v>
      </c>
      <c r="FA1057" t="s">
        <v>1818</v>
      </c>
      <c r="FB1057" t="s">
        <v>517</v>
      </c>
      <c r="FC1057" t="s">
        <v>207</v>
      </c>
      <c r="FD1057" t="s">
        <v>208</v>
      </c>
      <c r="FE1057" t="s">
        <v>14041</v>
      </c>
      <c r="FF1057" t="s">
        <v>341</v>
      </c>
      <c r="FG1057" t="s">
        <v>183</v>
      </c>
      <c r="FH1057" t="s">
        <v>211</v>
      </c>
      <c r="FI1057" t="s">
        <v>523</v>
      </c>
      <c r="FK1057" t="s">
        <v>14042</v>
      </c>
      <c r="FU1057" t="s">
        <v>198</v>
      </c>
    </row>
    <row r="1058" spans="1:177">
      <c r="A1058" s="1" t="str">
        <f>HYPERLINK("http://digipan.lumentumllc.com/apps/getLink/index.php?t=PropLink&amp;p=5248262","PL")</f>
        <v>PL</v>
      </c>
      <c r="B1058" s="1" t="str">
        <f>HYPERLINK("http://digipan.lumentumllc.com/apps/getLink/index.php?t=TaxLink&amp;p=5248262","TL")</f>
        <v>TL</v>
      </c>
      <c r="C1058" s="1" t="str">
        <f>HYPERLINK("http://digipan.lumentumllc.com/apps/getMap/index.php?p=5248262","Map")</f>
        <v>Map</v>
      </c>
      <c r="E1058" t="s">
        <v>177</v>
      </c>
      <c r="F1058" t="s">
        <v>178</v>
      </c>
      <c r="L1058" t="s">
        <v>14043</v>
      </c>
      <c r="N1058" t="s">
        <v>14043</v>
      </c>
      <c r="O1058" t="s">
        <v>14043</v>
      </c>
      <c r="P1058" t="s">
        <v>14044</v>
      </c>
      <c r="Q1058" t="s">
        <v>14043</v>
      </c>
      <c r="V1058">
        <v>1215</v>
      </c>
      <c r="W1058">
        <v>4</v>
      </c>
      <c r="X1058">
        <v>2017</v>
      </c>
      <c r="Y1058">
        <v>2018</v>
      </c>
      <c r="Z1058">
        <v>522.98</v>
      </c>
      <c r="AB1058" t="s">
        <v>181</v>
      </c>
      <c r="AC1058" t="s">
        <v>182</v>
      </c>
      <c r="AD1058" t="s">
        <v>183</v>
      </c>
      <c r="AE1058">
        <v>1</v>
      </c>
      <c r="AF1058">
        <v>5</v>
      </c>
      <c r="AG1058" t="s">
        <v>322</v>
      </c>
      <c r="AH1058">
        <v>83</v>
      </c>
      <c r="AI1058">
        <v>501.15</v>
      </c>
      <c r="AJ1058">
        <v>25.06</v>
      </c>
      <c r="AK1058">
        <v>526.21</v>
      </c>
      <c r="AL1058">
        <v>29988</v>
      </c>
      <c r="AM1058">
        <v>29988</v>
      </c>
      <c r="AN1058">
        <v>0</v>
      </c>
      <c r="AO1058">
        <v>438</v>
      </c>
      <c r="AP1058">
        <v>2016</v>
      </c>
      <c r="AQ1058">
        <v>1.74</v>
      </c>
      <c r="AR1058">
        <v>1.75</v>
      </c>
      <c r="AS1058" t="s">
        <v>14045</v>
      </c>
      <c r="AT1058" t="s">
        <v>186</v>
      </c>
      <c r="AU1058" t="s">
        <v>177</v>
      </c>
      <c r="AV1058" t="s">
        <v>187</v>
      </c>
      <c r="AW1058" t="s">
        <v>182</v>
      </c>
      <c r="AX1058">
        <v>0</v>
      </c>
      <c r="AY1058" t="s">
        <v>312</v>
      </c>
      <c r="AZ1058" t="s">
        <v>199</v>
      </c>
      <c r="BA1058" t="s">
        <v>313</v>
      </c>
      <c r="BB1058" t="s">
        <v>191</v>
      </c>
      <c r="BC1058" t="s">
        <v>182</v>
      </c>
      <c r="BD1058" t="s">
        <v>182</v>
      </c>
      <c r="BE1058" t="s">
        <v>3629</v>
      </c>
      <c r="BF1058">
        <v>0</v>
      </c>
      <c r="BG1058">
        <v>0</v>
      </c>
      <c r="BH1058">
        <v>0</v>
      </c>
      <c r="BI1058" t="s">
        <v>199</v>
      </c>
      <c r="BJ1058" t="s">
        <v>248</v>
      </c>
      <c r="BL1058" t="s">
        <v>199</v>
      </c>
      <c r="BM1058" t="s">
        <v>325</v>
      </c>
      <c r="BN1058" t="s">
        <v>182</v>
      </c>
      <c r="BO1058" t="s">
        <v>198</v>
      </c>
      <c r="BP1058" t="s">
        <v>198</v>
      </c>
      <c r="BQ1058" t="s">
        <v>198</v>
      </c>
      <c r="BR1058" t="s">
        <v>198</v>
      </c>
      <c r="BS1058" t="s">
        <v>198</v>
      </c>
      <c r="BT1058" t="s">
        <v>198</v>
      </c>
      <c r="BU1058" t="s">
        <v>182</v>
      </c>
      <c r="BV1058" t="s">
        <v>198</v>
      </c>
      <c r="BW1058" t="s">
        <v>198</v>
      </c>
      <c r="BX1058" t="s">
        <v>199</v>
      </c>
      <c r="BY1058" t="s">
        <v>198</v>
      </c>
      <c r="BZ1058" t="s">
        <v>199</v>
      </c>
      <c r="CA1058" t="s">
        <v>199</v>
      </c>
      <c r="CB1058" t="s">
        <v>14046</v>
      </c>
      <c r="CC1058" t="s">
        <v>201</v>
      </c>
      <c r="CD1058" t="s">
        <v>182</v>
      </c>
      <c r="CE1058" t="s">
        <v>14047</v>
      </c>
      <c r="CF1058" t="s">
        <v>204</v>
      </c>
      <c r="CG1058" t="s">
        <v>177</v>
      </c>
      <c r="CH1058" t="s">
        <v>187</v>
      </c>
      <c r="CI1058" t="s">
        <v>14048</v>
      </c>
      <c r="CJ1058" t="s">
        <v>10276</v>
      </c>
      <c r="CK1058" t="s">
        <v>232</v>
      </c>
      <c r="CL1058" t="s">
        <v>233</v>
      </c>
      <c r="CM1058" t="s">
        <v>14049</v>
      </c>
      <c r="CN1058" t="s">
        <v>331</v>
      </c>
      <c r="CO1058" t="s">
        <v>183</v>
      </c>
      <c r="CP1058" t="s">
        <v>266</v>
      </c>
      <c r="CS1058" t="s">
        <v>198</v>
      </c>
      <c r="CT1058" t="s">
        <v>10717</v>
      </c>
      <c r="CU1058" t="s">
        <v>292</v>
      </c>
      <c r="CV1058" t="s">
        <v>293</v>
      </c>
      <c r="CW1058" t="s">
        <v>14050</v>
      </c>
      <c r="CX1058" t="s">
        <v>331</v>
      </c>
      <c r="CY1058" t="s">
        <v>183</v>
      </c>
      <c r="CZ1058" t="s">
        <v>211</v>
      </c>
      <c r="DA1058" t="s">
        <v>345</v>
      </c>
      <c r="DC1058" t="s">
        <v>8184</v>
      </c>
      <c r="DD1058" t="s">
        <v>13306</v>
      </c>
      <c r="DE1058" t="s">
        <v>267</v>
      </c>
      <c r="DF1058" t="s">
        <v>268</v>
      </c>
      <c r="DG1058" t="s">
        <v>14051</v>
      </c>
      <c r="DH1058" t="s">
        <v>1966</v>
      </c>
      <c r="DI1058" t="s">
        <v>183</v>
      </c>
      <c r="DJ1058" t="s">
        <v>211</v>
      </c>
      <c r="DK1058" t="s">
        <v>523</v>
      </c>
      <c r="DM1058" t="s">
        <v>14052</v>
      </c>
      <c r="DN1058" t="s">
        <v>7864</v>
      </c>
      <c r="DO1058" t="s">
        <v>273</v>
      </c>
      <c r="DP1058" t="s">
        <v>274</v>
      </c>
      <c r="DQ1058" t="s">
        <v>14053</v>
      </c>
      <c r="DR1058" t="s">
        <v>235</v>
      </c>
      <c r="DS1058" t="s">
        <v>183</v>
      </c>
      <c r="DT1058" t="s">
        <v>211</v>
      </c>
      <c r="DU1058" t="s">
        <v>298</v>
      </c>
      <c r="DW1058" t="s">
        <v>462</v>
      </c>
      <c r="DX1058" t="s">
        <v>14054</v>
      </c>
      <c r="DY1058" t="s">
        <v>238</v>
      </c>
      <c r="DZ1058" t="s">
        <v>239</v>
      </c>
      <c r="EA1058" t="s">
        <v>5317</v>
      </c>
      <c r="EB1058" t="s">
        <v>278</v>
      </c>
      <c r="EC1058" t="s">
        <v>183</v>
      </c>
      <c r="ED1058" t="s">
        <v>211</v>
      </c>
      <c r="EE1058" t="s">
        <v>206</v>
      </c>
      <c r="EG1058" t="s">
        <v>14055</v>
      </c>
      <c r="EH1058" t="s">
        <v>13802</v>
      </c>
      <c r="EI1058" t="s">
        <v>346</v>
      </c>
      <c r="EJ1058" t="s">
        <v>347</v>
      </c>
      <c r="EK1058" t="s">
        <v>14056</v>
      </c>
      <c r="EL1058" t="s">
        <v>1491</v>
      </c>
      <c r="EM1058" t="s">
        <v>183</v>
      </c>
      <c r="EN1058" t="s">
        <v>211</v>
      </c>
      <c r="EO1058" t="s">
        <v>199</v>
      </c>
      <c r="EQ1058" t="s">
        <v>14057</v>
      </c>
      <c r="FA1058" t="s">
        <v>198</v>
      </c>
      <c r="FK1058" t="s">
        <v>198</v>
      </c>
      <c r="FU1058" t="s">
        <v>198</v>
      </c>
    </row>
    <row r="1059" spans="1:177">
      <c r="A1059" s="1" t="str">
        <f>HYPERLINK("http://digipan.lumentumllc.com/apps/getLink/index.php?t=PropLink&amp;p=5248263","PL")</f>
        <v>PL</v>
      </c>
      <c r="B1059" s="1" t="str">
        <f>HYPERLINK("http://digipan.lumentumllc.com/apps/getLink/index.php?t=TaxLink&amp;p=5248263","TL")</f>
        <v>TL</v>
      </c>
      <c r="C1059" s="1" t="str">
        <f>HYPERLINK("http://digipan.lumentumllc.com/apps/getMap/index.php?p=5248263","Map")</f>
        <v>Map</v>
      </c>
      <c r="E1059" t="s">
        <v>177</v>
      </c>
      <c r="F1059" t="s">
        <v>178</v>
      </c>
      <c r="L1059" t="s">
        <v>14058</v>
      </c>
      <c r="N1059" t="s">
        <v>14058</v>
      </c>
      <c r="O1059" t="s">
        <v>14058</v>
      </c>
      <c r="P1059" t="s">
        <v>14059</v>
      </c>
      <c r="Q1059" t="s">
        <v>14058</v>
      </c>
      <c r="V1059">
        <v>1216</v>
      </c>
      <c r="W1059">
        <v>4</v>
      </c>
      <c r="X1059">
        <v>2017</v>
      </c>
      <c r="Y1059">
        <v>2018</v>
      </c>
      <c r="Z1059">
        <v>444.6</v>
      </c>
      <c r="AB1059" t="s">
        <v>181</v>
      </c>
      <c r="AC1059" t="s">
        <v>182</v>
      </c>
      <c r="AD1059" t="s">
        <v>183</v>
      </c>
      <c r="AE1059">
        <v>1</v>
      </c>
      <c r="AF1059">
        <v>5</v>
      </c>
      <c r="AG1059" t="s">
        <v>322</v>
      </c>
      <c r="AH1059">
        <v>83</v>
      </c>
      <c r="AI1059">
        <v>425.44</v>
      </c>
      <c r="AJ1059">
        <v>27.65</v>
      </c>
      <c r="AK1059">
        <v>453.09</v>
      </c>
      <c r="AL1059">
        <v>25200</v>
      </c>
      <c r="AM1059">
        <v>25200</v>
      </c>
      <c r="AN1059">
        <v>0</v>
      </c>
      <c r="AO1059">
        <v>368</v>
      </c>
      <c r="AP1059">
        <v>2016</v>
      </c>
      <c r="AQ1059">
        <v>1.76</v>
      </c>
      <c r="AR1059">
        <v>1.8</v>
      </c>
      <c r="AS1059" t="s">
        <v>14060</v>
      </c>
      <c r="AT1059" t="s">
        <v>186</v>
      </c>
      <c r="AU1059" t="s">
        <v>177</v>
      </c>
      <c r="AV1059" t="s">
        <v>187</v>
      </c>
      <c r="AW1059" t="s">
        <v>182</v>
      </c>
      <c r="AX1059">
        <v>0</v>
      </c>
      <c r="AY1059" t="s">
        <v>312</v>
      </c>
      <c r="AZ1059" t="s">
        <v>199</v>
      </c>
      <c r="BA1059" t="s">
        <v>313</v>
      </c>
      <c r="BB1059" t="s">
        <v>191</v>
      </c>
      <c r="BC1059" t="s">
        <v>182</v>
      </c>
      <c r="BD1059" t="s">
        <v>182</v>
      </c>
      <c r="BE1059" t="s">
        <v>796</v>
      </c>
      <c r="BF1059">
        <v>0</v>
      </c>
      <c r="BG1059">
        <v>0</v>
      </c>
      <c r="BH1059">
        <v>0</v>
      </c>
      <c r="BI1059" t="s">
        <v>199</v>
      </c>
      <c r="BJ1059" t="s">
        <v>396</v>
      </c>
      <c r="BL1059" t="s">
        <v>199</v>
      </c>
      <c r="BM1059" t="s">
        <v>273</v>
      </c>
      <c r="BN1059" t="s">
        <v>182</v>
      </c>
      <c r="BO1059" t="s">
        <v>198</v>
      </c>
      <c r="BP1059" t="s">
        <v>198</v>
      </c>
      <c r="BQ1059" t="s">
        <v>198</v>
      </c>
      <c r="BR1059" t="s">
        <v>198</v>
      </c>
      <c r="BS1059" t="s">
        <v>198</v>
      </c>
      <c r="BT1059" t="s">
        <v>198</v>
      </c>
      <c r="BU1059" t="s">
        <v>182</v>
      </c>
      <c r="BV1059" t="s">
        <v>198</v>
      </c>
      <c r="BW1059" t="s">
        <v>198</v>
      </c>
      <c r="BX1059" t="s">
        <v>199</v>
      </c>
      <c r="BY1059" t="s">
        <v>198</v>
      </c>
      <c r="BZ1059" t="s">
        <v>199</v>
      </c>
      <c r="CA1059" t="s">
        <v>199</v>
      </c>
      <c r="CB1059" t="s">
        <v>14061</v>
      </c>
      <c r="CC1059" t="s">
        <v>201</v>
      </c>
      <c r="CD1059" t="s">
        <v>182</v>
      </c>
      <c r="CE1059" t="s">
        <v>14062</v>
      </c>
      <c r="CF1059" t="s">
        <v>204</v>
      </c>
      <c r="CG1059" t="s">
        <v>177</v>
      </c>
      <c r="CH1059" t="s">
        <v>187</v>
      </c>
      <c r="CI1059" t="s">
        <v>14063</v>
      </c>
      <c r="CJ1059" t="s">
        <v>10307</v>
      </c>
      <c r="CK1059" t="s">
        <v>232</v>
      </c>
      <c r="CL1059" t="s">
        <v>233</v>
      </c>
      <c r="CM1059" t="s">
        <v>2876</v>
      </c>
      <c r="CN1059" t="s">
        <v>688</v>
      </c>
      <c r="CO1059" t="s">
        <v>183</v>
      </c>
      <c r="CP1059" t="s">
        <v>266</v>
      </c>
      <c r="CS1059" t="s">
        <v>198</v>
      </c>
      <c r="CT1059" t="s">
        <v>14064</v>
      </c>
      <c r="CU1059" t="s">
        <v>292</v>
      </c>
      <c r="CV1059" t="s">
        <v>293</v>
      </c>
      <c r="CW1059" t="s">
        <v>13931</v>
      </c>
      <c r="CX1059" t="s">
        <v>278</v>
      </c>
      <c r="CY1059" t="s">
        <v>183</v>
      </c>
      <c r="CZ1059" t="s">
        <v>211</v>
      </c>
      <c r="DA1059" t="s">
        <v>345</v>
      </c>
      <c r="DC1059" t="s">
        <v>8184</v>
      </c>
      <c r="DD1059" t="s">
        <v>11016</v>
      </c>
      <c r="DE1059" t="s">
        <v>267</v>
      </c>
      <c r="DF1059" t="s">
        <v>268</v>
      </c>
      <c r="DG1059" t="s">
        <v>13932</v>
      </c>
      <c r="DH1059" t="s">
        <v>484</v>
      </c>
      <c r="DI1059" t="s">
        <v>183</v>
      </c>
      <c r="DJ1059" t="s">
        <v>211</v>
      </c>
      <c r="DK1059" t="s">
        <v>523</v>
      </c>
      <c r="DM1059" t="s">
        <v>14052</v>
      </c>
      <c r="DN1059" t="s">
        <v>11075</v>
      </c>
      <c r="DO1059" t="s">
        <v>273</v>
      </c>
      <c r="DP1059" t="s">
        <v>274</v>
      </c>
      <c r="DQ1059" t="s">
        <v>14065</v>
      </c>
      <c r="DR1059" t="s">
        <v>3395</v>
      </c>
      <c r="DS1059" t="s">
        <v>183</v>
      </c>
      <c r="DT1059" t="s">
        <v>211</v>
      </c>
      <c r="DU1059" t="s">
        <v>298</v>
      </c>
      <c r="DW1059" t="s">
        <v>462</v>
      </c>
      <c r="DX1059" t="s">
        <v>14066</v>
      </c>
      <c r="DY1059" t="s">
        <v>238</v>
      </c>
      <c r="DZ1059" t="s">
        <v>239</v>
      </c>
      <c r="EA1059" t="s">
        <v>8191</v>
      </c>
      <c r="EB1059" t="s">
        <v>440</v>
      </c>
      <c r="EC1059" t="s">
        <v>183</v>
      </c>
      <c r="ED1059" t="s">
        <v>211</v>
      </c>
      <c r="EE1059" t="s">
        <v>206</v>
      </c>
      <c r="EG1059" t="s">
        <v>14055</v>
      </c>
      <c r="EH1059" t="s">
        <v>14067</v>
      </c>
      <c r="EI1059" t="s">
        <v>346</v>
      </c>
      <c r="EJ1059" t="s">
        <v>347</v>
      </c>
      <c r="EK1059" t="s">
        <v>9086</v>
      </c>
      <c r="EL1059" t="s">
        <v>1491</v>
      </c>
      <c r="EM1059" t="s">
        <v>183</v>
      </c>
      <c r="EN1059" t="s">
        <v>211</v>
      </c>
      <c r="EO1059" t="s">
        <v>199</v>
      </c>
      <c r="EQ1059" t="s">
        <v>14057</v>
      </c>
      <c r="FA1059" t="s">
        <v>198</v>
      </c>
      <c r="FK1059" t="s">
        <v>198</v>
      </c>
      <c r="FU1059" t="s">
        <v>198</v>
      </c>
    </row>
    <row r="1060" spans="1:177">
      <c r="A1060" s="1" t="str">
        <f>HYPERLINK("http://digipan.lumentumllc.com/apps/getLink/index.php?t=PropLink&amp;p=5248265","PL")</f>
        <v>PL</v>
      </c>
      <c r="B1060" s="1" t="str">
        <f>HYPERLINK("http://digipan.lumentumllc.com/apps/getLink/index.php?t=TaxLink&amp;p=5248265","TL")</f>
        <v>TL</v>
      </c>
      <c r="C1060" s="1" t="str">
        <f>HYPERLINK("http://digipan.lumentumllc.com/apps/getMap/index.php?p=5248265","Map")</f>
        <v>Map</v>
      </c>
      <c r="E1060" t="s">
        <v>177</v>
      </c>
      <c r="F1060" t="s">
        <v>178</v>
      </c>
      <c r="L1060" t="s">
        <v>14068</v>
      </c>
      <c r="N1060" t="s">
        <v>14068</v>
      </c>
      <c r="O1060" t="s">
        <v>14068</v>
      </c>
      <c r="P1060" t="s">
        <v>14069</v>
      </c>
      <c r="Q1060" t="s">
        <v>14068</v>
      </c>
      <c r="V1060">
        <v>1217</v>
      </c>
      <c r="W1060">
        <v>4</v>
      </c>
      <c r="X1060">
        <v>2017</v>
      </c>
      <c r="Y1060">
        <v>2018</v>
      </c>
      <c r="Z1060">
        <v>446.82</v>
      </c>
      <c r="AB1060" t="s">
        <v>181</v>
      </c>
      <c r="AC1060" t="s">
        <v>182</v>
      </c>
      <c r="AD1060" t="s">
        <v>183</v>
      </c>
      <c r="AE1060">
        <v>0</v>
      </c>
      <c r="AF1060">
        <v>8</v>
      </c>
      <c r="AG1060" t="s">
        <v>1059</v>
      </c>
      <c r="AH1060">
        <v>100</v>
      </c>
      <c r="AK1060">
        <v>0</v>
      </c>
      <c r="AL1060">
        <v>26576</v>
      </c>
      <c r="AM1060">
        <v>19845</v>
      </c>
      <c r="AN1060">
        <v>6731</v>
      </c>
      <c r="AO1060">
        <v>340</v>
      </c>
      <c r="AP1060">
        <v>2016</v>
      </c>
      <c r="AQ1060">
        <v>1.68</v>
      </c>
      <c r="AS1060" t="s">
        <v>14070</v>
      </c>
      <c r="AT1060" t="s">
        <v>186</v>
      </c>
      <c r="AU1060" t="s">
        <v>177</v>
      </c>
      <c r="AV1060" t="s">
        <v>187</v>
      </c>
      <c r="AW1060" t="s">
        <v>182</v>
      </c>
      <c r="AX1060">
        <v>2</v>
      </c>
      <c r="AY1060" t="s">
        <v>188</v>
      </c>
      <c r="AZ1060" t="s">
        <v>189</v>
      </c>
      <c r="BA1060" t="s">
        <v>190</v>
      </c>
      <c r="BB1060" t="s">
        <v>191</v>
      </c>
      <c r="BC1060" t="s">
        <v>182</v>
      </c>
      <c r="BD1060" t="s">
        <v>182</v>
      </c>
      <c r="BE1060" t="s">
        <v>1844</v>
      </c>
      <c r="BF1060">
        <v>1</v>
      </c>
      <c r="BG1060">
        <v>1</v>
      </c>
      <c r="BH1060">
        <v>1985</v>
      </c>
      <c r="BI1060" t="s">
        <v>193</v>
      </c>
      <c r="BJ1060" t="s">
        <v>194</v>
      </c>
      <c r="BK1060" t="s">
        <v>195</v>
      </c>
      <c r="BL1060" t="s">
        <v>199</v>
      </c>
      <c r="BM1060" t="s">
        <v>267</v>
      </c>
      <c r="BN1060" t="s">
        <v>182</v>
      </c>
      <c r="BO1060" t="s">
        <v>198</v>
      </c>
      <c r="BP1060" t="s">
        <v>198</v>
      </c>
      <c r="BQ1060" t="s">
        <v>198</v>
      </c>
      <c r="BR1060" t="s">
        <v>198</v>
      </c>
      <c r="BS1060" t="s">
        <v>198</v>
      </c>
      <c r="BT1060" t="s">
        <v>198</v>
      </c>
      <c r="BU1060" t="s">
        <v>182</v>
      </c>
      <c r="BV1060" t="s">
        <v>198</v>
      </c>
      <c r="BW1060" t="s">
        <v>198</v>
      </c>
      <c r="BX1060" t="s">
        <v>199</v>
      </c>
      <c r="BY1060" t="s">
        <v>198</v>
      </c>
      <c r="BZ1060" t="s">
        <v>199</v>
      </c>
      <c r="CA1060" t="s">
        <v>199</v>
      </c>
      <c r="CB1060" t="s">
        <v>14071</v>
      </c>
      <c r="CC1060" t="s">
        <v>201</v>
      </c>
      <c r="CD1060" t="s">
        <v>182</v>
      </c>
      <c r="CE1060" t="s">
        <v>14030</v>
      </c>
      <c r="CF1060" t="s">
        <v>204</v>
      </c>
      <c r="CG1060" t="s">
        <v>177</v>
      </c>
      <c r="CH1060" t="s">
        <v>187</v>
      </c>
      <c r="CI1060" t="s">
        <v>14072</v>
      </c>
      <c r="CJ1060" t="s">
        <v>12986</v>
      </c>
      <c r="CK1060" t="s">
        <v>232</v>
      </c>
      <c r="CL1060" t="s">
        <v>233</v>
      </c>
      <c r="CM1060" t="s">
        <v>14073</v>
      </c>
      <c r="CN1060" t="s">
        <v>331</v>
      </c>
      <c r="CO1060" t="s">
        <v>183</v>
      </c>
      <c r="CP1060" t="s">
        <v>211</v>
      </c>
      <c r="CQ1060" t="s">
        <v>329</v>
      </c>
      <c r="CS1060" t="s">
        <v>3495</v>
      </c>
      <c r="CT1060" t="s">
        <v>13441</v>
      </c>
      <c r="CU1060" t="s">
        <v>292</v>
      </c>
      <c r="CV1060" t="s">
        <v>293</v>
      </c>
      <c r="CW1060" t="s">
        <v>14074</v>
      </c>
      <c r="CX1060" t="s">
        <v>278</v>
      </c>
      <c r="CY1060" t="s">
        <v>183</v>
      </c>
      <c r="CZ1060" t="s">
        <v>211</v>
      </c>
      <c r="DA1060" t="s">
        <v>298</v>
      </c>
      <c r="DC1060" t="s">
        <v>3495</v>
      </c>
      <c r="DD1060" t="s">
        <v>10961</v>
      </c>
      <c r="DE1060" t="s">
        <v>267</v>
      </c>
      <c r="DF1060" t="s">
        <v>268</v>
      </c>
      <c r="DG1060" t="s">
        <v>14075</v>
      </c>
      <c r="DH1060" t="s">
        <v>927</v>
      </c>
      <c r="DI1060" t="s">
        <v>183</v>
      </c>
      <c r="DJ1060" t="s">
        <v>211</v>
      </c>
      <c r="DK1060" t="s">
        <v>298</v>
      </c>
      <c r="DM1060" t="s">
        <v>459</v>
      </c>
      <c r="DN1060" t="s">
        <v>11628</v>
      </c>
      <c r="DO1060" t="s">
        <v>273</v>
      </c>
      <c r="DP1060" t="s">
        <v>274</v>
      </c>
      <c r="DQ1060" t="s">
        <v>14076</v>
      </c>
      <c r="DR1060" t="s">
        <v>278</v>
      </c>
      <c r="DS1060" t="s">
        <v>183</v>
      </c>
      <c r="DT1060" t="s">
        <v>211</v>
      </c>
      <c r="DU1060" t="s">
        <v>250</v>
      </c>
      <c r="DW1060" t="s">
        <v>14077</v>
      </c>
      <c r="DX1060" t="s">
        <v>14078</v>
      </c>
      <c r="DY1060" t="s">
        <v>302</v>
      </c>
      <c r="DZ1060" t="s">
        <v>303</v>
      </c>
      <c r="EA1060" t="s">
        <v>14079</v>
      </c>
      <c r="EB1060" t="s">
        <v>235</v>
      </c>
      <c r="EC1060" t="s">
        <v>183</v>
      </c>
      <c r="ED1060" t="s">
        <v>211</v>
      </c>
      <c r="EE1060" t="s">
        <v>487</v>
      </c>
      <c r="EG1060" t="s">
        <v>14077</v>
      </c>
      <c r="EH1060" t="s">
        <v>14080</v>
      </c>
      <c r="EI1060" t="s">
        <v>238</v>
      </c>
      <c r="EJ1060" t="s">
        <v>239</v>
      </c>
      <c r="EK1060" t="s">
        <v>14081</v>
      </c>
      <c r="EL1060" t="s">
        <v>440</v>
      </c>
      <c r="EM1060" t="s">
        <v>183</v>
      </c>
      <c r="EN1060" t="s">
        <v>211</v>
      </c>
      <c r="EO1060" t="s">
        <v>329</v>
      </c>
      <c r="EQ1060" t="s">
        <v>14082</v>
      </c>
      <c r="ER1060" t="s">
        <v>6846</v>
      </c>
      <c r="ES1060" t="s">
        <v>346</v>
      </c>
      <c r="ET1060" t="s">
        <v>347</v>
      </c>
      <c r="EU1060" t="s">
        <v>14083</v>
      </c>
      <c r="EV1060" t="s">
        <v>469</v>
      </c>
      <c r="EW1060" t="s">
        <v>183</v>
      </c>
      <c r="EX1060" t="s">
        <v>211</v>
      </c>
      <c r="EY1060" t="s">
        <v>298</v>
      </c>
      <c r="FA1060" t="s">
        <v>14082</v>
      </c>
      <c r="FB1060" t="s">
        <v>2615</v>
      </c>
      <c r="FC1060" t="s">
        <v>207</v>
      </c>
      <c r="FD1060" t="s">
        <v>208</v>
      </c>
      <c r="FE1060" t="s">
        <v>14084</v>
      </c>
      <c r="FF1060" t="s">
        <v>576</v>
      </c>
      <c r="FG1060" t="s">
        <v>183</v>
      </c>
      <c r="FH1060" t="s">
        <v>211</v>
      </c>
      <c r="FI1060" t="s">
        <v>298</v>
      </c>
      <c r="FK1060" t="s">
        <v>14085</v>
      </c>
      <c r="FU1060" t="s">
        <v>198</v>
      </c>
    </row>
    <row r="1061" spans="1:177">
      <c r="A1061" s="1" t="str">
        <f>HYPERLINK("http://digipan.lumentumllc.com/apps/getLink/index.php?t=PropLink&amp;p=41030467","PL")</f>
        <v>PL</v>
      </c>
      <c r="B1061" s="1" t="str">
        <f>HYPERLINK("http://digipan.lumentumllc.com/apps/getLink/index.php?t=TaxLink&amp;p=41030467","TL")</f>
        <v>TL</v>
      </c>
      <c r="C1061" s="1" t="str">
        <f>HYPERLINK("","")</f>
        <v/>
      </c>
      <c r="E1061" t="s">
        <v>177</v>
      </c>
      <c r="F1061" t="s">
        <v>178</v>
      </c>
      <c r="L1061" t="s">
        <v>14086</v>
      </c>
      <c r="N1061" t="s">
        <v>14086</v>
      </c>
      <c r="O1061" t="s">
        <v>14086</v>
      </c>
      <c r="Q1061" t="s">
        <v>14086</v>
      </c>
      <c r="V1061">
        <v>1220</v>
      </c>
      <c r="W1061">
        <v>4</v>
      </c>
      <c r="X1061">
        <v>2017</v>
      </c>
      <c r="Y1061">
        <v>2018</v>
      </c>
      <c r="Z1061">
        <v>135.88</v>
      </c>
      <c r="AG1061" t="s">
        <v>184</v>
      </c>
      <c r="AH1061">
        <v>0</v>
      </c>
      <c r="AK1061">
        <v>0</v>
      </c>
      <c r="AL1061">
        <v>30978</v>
      </c>
      <c r="AM1061">
        <v>567</v>
      </c>
      <c r="AN1061">
        <v>30411</v>
      </c>
      <c r="AQ1061">
        <v>0.44</v>
      </c>
      <c r="AS1061" t="s">
        <v>14087</v>
      </c>
      <c r="AT1061" t="s">
        <v>186</v>
      </c>
      <c r="AU1061" t="s">
        <v>177</v>
      </c>
      <c r="AV1061" t="s">
        <v>187</v>
      </c>
      <c r="AW1061" t="s">
        <v>182</v>
      </c>
      <c r="AX1061">
        <v>59</v>
      </c>
      <c r="AY1061" t="s">
        <v>218</v>
      </c>
      <c r="AZ1061" t="s">
        <v>1275</v>
      </c>
      <c r="BA1061" t="s">
        <v>1508</v>
      </c>
      <c r="BB1061" t="s">
        <v>191</v>
      </c>
      <c r="BC1061" t="s">
        <v>202</v>
      </c>
      <c r="BD1061" t="s">
        <v>182</v>
      </c>
      <c r="BE1061" t="s">
        <v>365</v>
      </c>
      <c r="BF1061">
        <v>1</v>
      </c>
      <c r="BG1061">
        <v>1</v>
      </c>
      <c r="BH1061">
        <v>1975</v>
      </c>
      <c r="BI1061" t="s">
        <v>4222</v>
      </c>
      <c r="BJ1061" t="s">
        <v>194</v>
      </c>
      <c r="BK1061" t="s">
        <v>195</v>
      </c>
      <c r="BL1061" t="s">
        <v>592</v>
      </c>
      <c r="BM1061" t="s">
        <v>197</v>
      </c>
      <c r="BN1061" t="s">
        <v>182</v>
      </c>
      <c r="BO1061" t="s">
        <v>198</v>
      </c>
      <c r="BP1061" t="s">
        <v>198</v>
      </c>
      <c r="BQ1061" t="s">
        <v>198</v>
      </c>
      <c r="BR1061" t="s">
        <v>198</v>
      </c>
      <c r="BS1061" t="s">
        <v>198</v>
      </c>
      <c r="BT1061" t="s">
        <v>198</v>
      </c>
      <c r="BU1061" t="s">
        <v>182</v>
      </c>
      <c r="BV1061" t="s">
        <v>198</v>
      </c>
      <c r="BW1061" t="s">
        <v>198</v>
      </c>
      <c r="BX1061" t="s">
        <v>199</v>
      </c>
      <c r="BY1061" t="s">
        <v>198</v>
      </c>
      <c r="CB1061" t="s">
        <v>14088</v>
      </c>
      <c r="CC1061" t="s">
        <v>201</v>
      </c>
      <c r="CD1061" t="s">
        <v>182</v>
      </c>
      <c r="CE1061" t="s">
        <v>14089</v>
      </c>
      <c r="CF1061" t="s">
        <v>204</v>
      </c>
      <c r="CG1061" t="s">
        <v>177</v>
      </c>
      <c r="CH1061" t="s">
        <v>187</v>
      </c>
      <c r="CI1061" t="s">
        <v>14090</v>
      </c>
      <c r="CS1061" t="s">
        <v>198</v>
      </c>
      <c r="DC1061" t="s">
        <v>198</v>
      </c>
      <c r="DM1061" t="s">
        <v>198</v>
      </c>
      <c r="DW1061" t="s">
        <v>198</v>
      </c>
      <c r="EG1061" t="s">
        <v>198</v>
      </c>
      <c r="EQ1061" t="s">
        <v>198</v>
      </c>
      <c r="FA1061" t="s">
        <v>198</v>
      </c>
      <c r="FK1061" t="s">
        <v>198</v>
      </c>
      <c r="FU1061" t="s">
        <v>198</v>
      </c>
    </row>
    <row r="1062" spans="1:177">
      <c r="A1062" s="1" t="str">
        <f>HYPERLINK("http://digipan.lumentumllc.com/apps/getLink/index.php?t=PropLink&amp;p=5244836","PL")</f>
        <v>PL</v>
      </c>
      <c r="B1062" s="1" t="str">
        <f>HYPERLINK("http://digipan.lumentumllc.com/apps/getLink/index.php?t=TaxLink&amp;p=5244836","TL")</f>
        <v>TL</v>
      </c>
      <c r="C1062" s="1" t="str">
        <f>HYPERLINK("http://digipan.lumentumllc.com/apps/getMap/index.php?p=5244836","Map")</f>
        <v>Map</v>
      </c>
      <c r="E1062" t="s">
        <v>177</v>
      </c>
      <c r="F1062" t="s">
        <v>178</v>
      </c>
      <c r="L1062" t="s">
        <v>14091</v>
      </c>
      <c r="N1062" t="s">
        <v>14091</v>
      </c>
      <c r="O1062" t="s">
        <v>14091</v>
      </c>
      <c r="P1062" t="s">
        <v>14092</v>
      </c>
      <c r="Q1062" t="s">
        <v>14091</v>
      </c>
      <c r="V1062">
        <v>1224</v>
      </c>
      <c r="W1062">
        <v>4</v>
      </c>
      <c r="X1062">
        <v>2017</v>
      </c>
      <c r="Y1062">
        <v>2018</v>
      </c>
      <c r="Z1062">
        <v>3914.75</v>
      </c>
      <c r="AB1062" t="s">
        <v>181</v>
      </c>
      <c r="AC1062" t="s">
        <v>182</v>
      </c>
      <c r="AD1062" t="s">
        <v>183</v>
      </c>
      <c r="AE1062">
        <v>1</v>
      </c>
      <c r="AF1062">
        <v>6</v>
      </c>
      <c r="AG1062" t="s">
        <v>418</v>
      </c>
      <c r="AH1062">
        <v>86</v>
      </c>
      <c r="AI1062">
        <v>3964.16</v>
      </c>
      <c r="AJ1062">
        <v>198.21</v>
      </c>
      <c r="AK1062">
        <v>4162.37</v>
      </c>
      <c r="AL1062">
        <v>237150</v>
      </c>
      <c r="AM1062">
        <v>237150</v>
      </c>
      <c r="AN1062">
        <v>0</v>
      </c>
      <c r="AO1062">
        <v>3640</v>
      </c>
      <c r="AP1062">
        <v>2016</v>
      </c>
      <c r="AQ1062">
        <v>1.65</v>
      </c>
      <c r="AR1062">
        <v>1.76</v>
      </c>
      <c r="AS1062" t="s">
        <v>10628</v>
      </c>
      <c r="AT1062" t="s">
        <v>3210</v>
      </c>
      <c r="AU1062" t="s">
        <v>177</v>
      </c>
      <c r="AV1062" t="s">
        <v>2334</v>
      </c>
      <c r="AW1062" t="s">
        <v>182</v>
      </c>
      <c r="AX1062">
        <v>10</v>
      </c>
      <c r="AY1062" t="s">
        <v>3211</v>
      </c>
      <c r="AZ1062" t="s">
        <v>270</v>
      </c>
      <c r="BA1062" t="s">
        <v>3212</v>
      </c>
      <c r="BB1062" t="s">
        <v>191</v>
      </c>
      <c r="BC1062" t="s">
        <v>182</v>
      </c>
      <c r="BD1062" t="s">
        <v>182</v>
      </c>
      <c r="BE1062" t="s">
        <v>14093</v>
      </c>
      <c r="BF1062">
        <v>0</v>
      </c>
      <c r="BG1062">
        <v>0</v>
      </c>
      <c r="BH1062">
        <v>0</v>
      </c>
      <c r="BI1062" t="s">
        <v>199</v>
      </c>
      <c r="BJ1062" t="s">
        <v>315</v>
      </c>
      <c r="BL1062" t="s">
        <v>199</v>
      </c>
      <c r="BM1062" t="s">
        <v>559</v>
      </c>
      <c r="BN1062" t="s">
        <v>182</v>
      </c>
      <c r="BO1062" t="s">
        <v>198</v>
      </c>
      <c r="BP1062" t="s">
        <v>198</v>
      </c>
      <c r="BQ1062" t="s">
        <v>198</v>
      </c>
      <c r="BR1062" t="s">
        <v>198</v>
      </c>
      <c r="BS1062" t="s">
        <v>198</v>
      </c>
      <c r="BT1062" t="s">
        <v>198</v>
      </c>
      <c r="BU1062" t="s">
        <v>182</v>
      </c>
      <c r="BV1062" t="s">
        <v>198</v>
      </c>
      <c r="BW1062" t="s">
        <v>198</v>
      </c>
      <c r="BX1062" t="s">
        <v>199</v>
      </c>
      <c r="BY1062" t="s">
        <v>198</v>
      </c>
      <c r="BZ1062" t="s">
        <v>199</v>
      </c>
      <c r="CA1062" t="s">
        <v>199</v>
      </c>
      <c r="CB1062" t="s">
        <v>14094</v>
      </c>
      <c r="CC1062" t="s">
        <v>201</v>
      </c>
      <c r="CD1062" t="s">
        <v>202</v>
      </c>
      <c r="CE1062" t="s">
        <v>14095</v>
      </c>
      <c r="CF1062" t="s">
        <v>14096</v>
      </c>
      <c r="CG1062" t="s">
        <v>5598</v>
      </c>
      <c r="CH1062" t="s">
        <v>14097</v>
      </c>
      <c r="CI1062" t="s">
        <v>14098</v>
      </c>
      <c r="CJ1062" t="s">
        <v>10498</v>
      </c>
      <c r="CK1062" t="s">
        <v>232</v>
      </c>
      <c r="CL1062" t="s">
        <v>233</v>
      </c>
      <c r="CM1062" t="s">
        <v>14099</v>
      </c>
      <c r="CN1062" t="s">
        <v>235</v>
      </c>
      <c r="CO1062" t="s">
        <v>183</v>
      </c>
      <c r="CP1062" t="s">
        <v>266</v>
      </c>
      <c r="CS1062" t="s">
        <v>198</v>
      </c>
      <c r="CT1062" t="s">
        <v>12952</v>
      </c>
      <c r="CU1062" t="s">
        <v>292</v>
      </c>
      <c r="CV1062" t="s">
        <v>293</v>
      </c>
      <c r="CW1062" t="s">
        <v>14100</v>
      </c>
      <c r="CX1062" t="s">
        <v>331</v>
      </c>
      <c r="CY1062" t="s">
        <v>183</v>
      </c>
      <c r="CZ1062" t="s">
        <v>211</v>
      </c>
      <c r="DA1062" t="s">
        <v>298</v>
      </c>
      <c r="DC1062" t="s">
        <v>4023</v>
      </c>
      <c r="DD1062" t="s">
        <v>10993</v>
      </c>
      <c r="DE1062" t="s">
        <v>267</v>
      </c>
      <c r="DF1062" t="s">
        <v>268</v>
      </c>
      <c r="DG1062" t="s">
        <v>14101</v>
      </c>
      <c r="DH1062" t="s">
        <v>331</v>
      </c>
      <c r="DI1062" t="s">
        <v>183</v>
      </c>
      <c r="DJ1062" t="s">
        <v>211</v>
      </c>
      <c r="DK1062" t="s">
        <v>345</v>
      </c>
      <c r="DM1062" t="s">
        <v>8487</v>
      </c>
      <c r="DN1062" t="s">
        <v>14017</v>
      </c>
      <c r="DO1062" t="s">
        <v>273</v>
      </c>
      <c r="DP1062" t="s">
        <v>274</v>
      </c>
      <c r="DQ1062" t="s">
        <v>14102</v>
      </c>
      <c r="DR1062" t="s">
        <v>796</v>
      </c>
      <c r="DS1062" t="s">
        <v>183</v>
      </c>
      <c r="DT1062" t="s">
        <v>211</v>
      </c>
      <c r="DU1062" t="s">
        <v>345</v>
      </c>
      <c r="DW1062" t="s">
        <v>1613</v>
      </c>
      <c r="DX1062" t="s">
        <v>3870</v>
      </c>
      <c r="DY1062" t="s">
        <v>302</v>
      </c>
      <c r="DZ1062" t="s">
        <v>303</v>
      </c>
      <c r="EA1062" t="s">
        <v>14103</v>
      </c>
      <c r="EB1062" t="s">
        <v>235</v>
      </c>
      <c r="EC1062" t="s">
        <v>183</v>
      </c>
      <c r="ED1062" t="s">
        <v>211</v>
      </c>
      <c r="EE1062" t="s">
        <v>298</v>
      </c>
      <c r="EG1062" t="s">
        <v>437</v>
      </c>
      <c r="EH1062" t="s">
        <v>5488</v>
      </c>
      <c r="EI1062" t="s">
        <v>238</v>
      </c>
      <c r="EJ1062" t="s">
        <v>239</v>
      </c>
      <c r="EK1062" t="s">
        <v>14104</v>
      </c>
      <c r="EL1062" t="s">
        <v>440</v>
      </c>
      <c r="EM1062" t="s">
        <v>183</v>
      </c>
      <c r="EN1062" t="s">
        <v>211</v>
      </c>
      <c r="EO1062" t="s">
        <v>298</v>
      </c>
      <c r="EQ1062" t="s">
        <v>9167</v>
      </c>
      <c r="ER1062" t="s">
        <v>5941</v>
      </c>
      <c r="ES1062" t="s">
        <v>346</v>
      </c>
      <c r="ET1062" t="s">
        <v>347</v>
      </c>
      <c r="EU1062" t="s">
        <v>14105</v>
      </c>
      <c r="EV1062" t="s">
        <v>1491</v>
      </c>
      <c r="EW1062" t="s">
        <v>183</v>
      </c>
      <c r="EX1062" t="s">
        <v>211</v>
      </c>
      <c r="EY1062" t="s">
        <v>298</v>
      </c>
      <c r="FA1062" t="s">
        <v>470</v>
      </c>
      <c r="FK1062" t="s">
        <v>198</v>
      </c>
      <c r="FU1062" t="s">
        <v>198</v>
      </c>
    </row>
    <row r="1063" spans="1:177">
      <c r="A1063" s="1" t="str">
        <f>HYPERLINK("http://digipan.lumentumllc.com/apps/getLink/index.php?t=PropLink&amp;p=15738967","PL")</f>
        <v>PL</v>
      </c>
      <c r="B1063" s="1" t="str">
        <f>HYPERLINK("http://digipan.lumentumllc.com/apps/getLink/index.php?t=TaxLink&amp;p=15738967","TL")</f>
        <v>TL</v>
      </c>
      <c r="C1063" s="1" t="str">
        <f>HYPERLINK("http://digipan.lumentumllc.com/apps/getMap/index.php?p=15738967","Map")</f>
        <v>Map</v>
      </c>
      <c r="E1063" t="s">
        <v>177</v>
      </c>
      <c r="F1063" t="s">
        <v>178</v>
      </c>
      <c r="L1063" t="s">
        <v>14106</v>
      </c>
      <c r="N1063" t="s">
        <v>14106</v>
      </c>
      <c r="O1063" t="s">
        <v>14106</v>
      </c>
      <c r="Q1063" t="s">
        <v>14106</v>
      </c>
      <c r="V1063">
        <v>1225</v>
      </c>
      <c r="W1063">
        <v>4</v>
      </c>
      <c r="X1063">
        <v>2017</v>
      </c>
      <c r="Y1063">
        <v>2018</v>
      </c>
      <c r="Z1063">
        <v>552.91</v>
      </c>
      <c r="AG1063" t="s">
        <v>184</v>
      </c>
      <c r="AH1063">
        <v>0</v>
      </c>
      <c r="AK1063">
        <v>0</v>
      </c>
      <c r="AL1063">
        <v>31815</v>
      </c>
      <c r="AM1063">
        <v>27090</v>
      </c>
      <c r="AN1063">
        <v>4725</v>
      </c>
      <c r="AO1063">
        <v>450</v>
      </c>
      <c r="AP1063">
        <v>2016</v>
      </c>
      <c r="AQ1063">
        <v>1.74</v>
      </c>
      <c r="AS1063" t="s">
        <v>14107</v>
      </c>
      <c r="AT1063" t="s">
        <v>3210</v>
      </c>
      <c r="AU1063" t="s">
        <v>177</v>
      </c>
      <c r="AV1063" t="s">
        <v>2334</v>
      </c>
      <c r="AW1063" t="s">
        <v>182</v>
      </c>
      <c r="AX1063">
        <v>0</v>
      </c>
      <c r="AY1063" t="s">
        <v>312</v>
      </c>
      <c r="AZ1063" t="s">
        <v>199</v>
      </c>
      <c r="BA1063" t="s">
        <v>313</v>
      </c>
      <c r="BB1063" t="s">
        <v>191</v>
      </c>
      <c r="BC1063" t="s">
        <v>182</v>
      </c>
      <c r="BD1063" t="s">
        <v>182</v>
      </c>
      <c r="BE1063" t="s">
        <v>12180</v>
      </c>
      <c r="BF1063">
        <v>0</v>
      </c>
      <c r="BG1063">
        <v>0</v>
      </c>
      <c r="BH1063">
        <v>0</v>
      </c>
      <c r="BI1063" t="s">
        <v>199</v>
      </c>
      <c r="BJ1063" t="s">
        <v>248</v>
      </c>
      <c r="BL1063" t="s">
        <v>938</v>
      </c>
      <c r="BM1063" t="s">
        <v>292</v>
      </c>
      <c r="BN1063" t="s">
        <v>182</v>
      </c>
      <c r="BO1063" t="s">
        <v>14108</v>
      </c>
      <c r="BP1063" t="s">
        <v>14109</v>
      </c>
      <c r="BQ1063" t="s">
        <v>800</v>
      </c>
      <c r="BR1063" t="s">
        <v>563</v>
      </c>
      <c r="BS1063" t="s">
        <v>198</v>
      </c>
      <c r="BT1063" t="s">
        <v>14110</v>
      </c>
      <c r="BU1063" t="s">
        <v>182</v>
      </c>
      <c r="BV1063" t="s">
        <v>198</v>
      </c>
      <c r="BW1063" t="s">
        <v>198</v>
      </c>
      <c r="BX1063" t="s">
        <v>199</v>
      </c>
      <c r="BY1063" t="s">
        <v>198</v>
      </c>
      <c r="BZ1063" t="s">
        <v>199</v>
      </c>
      <c r="CA1063" t="s">
        <v>199</v>
      </c>
      <c r="CB1063" t="s">
        <v>14111</v>
      </c>
      <c r="CC1063" t="s">
        <v>201</v>
      </c>
      <c r="CD1063" t="s">
        <v>182</v>
      </c>
      <c r="CE1063" t="s">
        <v>14112</v>
      </c>
      <c r="CF1063" t="s">
        <v>2333</v>
      </c>
      <c r="CG1063" t="s">
        <v>177</v>
      </c>
      <c r="CH1063" t="s">
        <v>2334</v>
      </c>
      <c r="CI1063" t="s">
        <v>14113</v>
      </c>
      <c r="CS1063" t="s">
        <v>198</v>
      </c>
      <c r="DC1063" t="s">
        <v>198</v>
      </c>
      <c r="DM1063" t="s">
        <v>198</v>
      </c>
      <c r="DW1063" t="s">
        <v>198</v>
      </c>
      <c r="EG1063" t="s">
        <v>198</v>
      </c>
      <c r="EQ1063" t="s">
        <v>198</v>
      </c>
      <c r="FA1063" t="s">
        <v>198</v>
      </c>
      <c r="FK1063" t="s">
        <v>198</v>
      </c>
      <c r="FU1063" t="s">
        <v>198</v>
      </c>
    </row>
    <row r="1064" spans="1:177">
      <c r="A1064" s="1" t="str">
        <f>HYPERLINK("http://digipan.lumentumllc.com/apps/getLink/index.php?t=PropLink&amp;p=5244900","PL")</f>
        <v>PL</v>
      </c>
      <c r="B1064" s="1" t="str">
        <f>HYPERLINK("http://digipan.lumentumllc.com/apps/getLink/index.php?t=TaxLink&amp;p=5244900","TL")</f>
        <v>TL</v>
      </c>
      <c r="C1064" s="1" t="str">
        <f>HYPERLINK("http://digipan.lumentumllc.com/apps/getMap/index.php?p=5244900","Map")</f>
        <v>Map</v>
      </c>
      <c r="E1064" t="s">
        <v>177</v>
      </c>
      <c r="F1064" t="s">
        <v>178</v>
      </c>
      <c r="L1064" t="s">
        <v>14114</v>
      </c>
      <c r="N1064" t="s">
        <v>14114</v>
      </c>
      <c r="O1064" t="s">
        <v>14114</v>
      </c>
      <c r="P1064" t="s">
        <v>14115</v>
      </c>
      <c r="Q1064" t="s">
        <v>14114</v>
      </c>
      <c r="V1064">
        <v>1226</v>
      </c>
      <c r="W1064">
        <v>4</v>
      </c>
      <c r="X1064">
        <v>2017</v>
      </c>
      <c r="Y1064">
        <v>2018</v>
      </c>
      <c r="Z1064">
        <v>1096.78</v>
      </c>
      <c r="AB1064" t="s">
        <v>181</v>
      </c>
      <c r="AC1064" t="s">
        <v>182</v>
      </c>
      <c r="AD1064" t="s">
        <v>183</v>
      </c>
      <c r="AE1064">
        <v>1</v>
      </c>
      <c r="AF1064">
        <v>3</v>
      </c>
      <c r="AG1064" t="s">
        <v>257</v>
      </c>
      <c r="AH1064">
        <v>75</v>
      </c>
      <c r="AI1064">
        <v>937.75</v>
      </c>
      <c r="AJ1064">
        <v>46.89</v>
      </c>
      <c r="AK1064">
        <v>984.64</v>
      </c>
      <c r="AL1064">
        <v>71106</v>
      </c>
      <c r="AM1064">
        <v>28192</v>
      </c>
      <c r="AN1064">
        <v>42914</v>
      </c>
      <c r="AO1064">
        <v>842</v>
      </c>
      <c r="AP1064">
        <v>2016</v>
      </c>
      <c r="AQ1064">
        <v>1.54</v>
      </c>
      <c r="AR1064">
        <v>1.38</v>
      </c>
      <c r="AS1064" t="s">
        <v>14116</v>
      </c>
      <c r="AT1064" t="s">
        <v>3210</v>
      </c>
      <c r="AU1064" t="s">
        <v>177</v>
      </c>
      <c r="AV1064" t="s">
        <v>2334</v>
      </c>
      <c r="AW1064" t="s">
        <v>182</v>
      </c>
      <c r="AX1064">
        <v>2</v>
      </c>
      <c r="AY1064" t="s">
        <v>188</v>
      </c>
      <c r="AZ1064" t="s">
        <v>189</v>
      </c>
      <c r="BA1064" t="s">
        <v>190</v>
      </c>
      <c r="BB1064" t="s">
        <v>191</v>
      </c>
      <c r="BC1064" t="s">
        <v>182</v>
      </c>
      <c r="BD1064" t="s">
        <v>182</v>
      </c>
      <c r="BE1064" t="s">
        <v>6375</v>
      </c>
      <c r="BF1064">
        <v>1</v>
      </c>
      <c r="BG1064">
        <v>1</v>
      </c>
      <c r="BH1064">
        <v>1998</v>
      </c>
      <c r="BI1064" t="s">
        <v>450</v>
      </c>
      <c r="BJ1064" t="s">
        <v>194</v>
      </c>
      <c r="BK1064" t="s">
        <v>195</v>
      </c>
      <c r="BL1064" t="s">
        <v>199</v>
      </c>
      <c r="BM1064" t="s">
        <v>679</v>
      </c>
      <c r="BN1064" t="s">
        <v>182</v>
      </c>
      <c r="BO1064" t="s">
        <v>198</v>
      </c>
      <c r="BP1064" t="s">
        <v>198</v>
      </c>
      <c r="BQ1064" t="s">
        <v>198</v>
      </c>
      <c r="BR1064" t="s">
        <v>198</v>
      </c>
      <c r="BS1064" t="s">
        <v>198</v>
      </c>
      <c r="BT1064" t="s">
        <v>198</v>
      </c>
      <c r="BU1064" t="s">
        <v>182</v>
      </c>
      <c r="BV1064" t="s">
        <v>198</v>
      </c>
      <c r="BW1064" t="s">
        <v>198</v>
      </c>
      <c r="BX1064" t="s">
        <v>199</v>
      </c>
      <c r="BY1064" t="s">
        <v>198</v>
      </c>
      <c r="BZ1064" t="s">
        <v>199</v>
      </c>
      <c r="CA1064" t="s">
        <v>199</v>
      </c>
      <c r="CB1064" t="s">
        <v>14117</v>
      </c>
      <c r="CC1064" t="s">
        <v>201</v>
      </c>
      <c r="CD1064" t="s">
        <v>182</v>
      </c>
      <c r="CE1064" t="s">
        <v>14118</v>
      </c>
      <c r="CF1064" t="s">
        <v>2333</v>
      </c>
      <c r="CG1064" t="s">
        <v>177</v>
      </c>
      <c r="CH1064" t="s">
        <v>2334</v>
      </c>
      <c r="CI1064" t="s">
        <v>14119</v>
      </c>
      <c r="CJ1064" t="s">
        <v>6197</v>
      </c>
      <c r="CK1064" t="s">
        <v>232</v>
      </c>
      <c r="CL1064" t="s">
        <v>233</v>
      </c>
      <c r="CM1064" t="s">
        <v>14120</v>
      </c>
      <c r="CN1064" t="s">
        <v>235</v>
      </c>
      <c r="CO1064" t="s">
        <v>183</v>
      </c>
      <c r="CP1064" t="s">
        <v>266</v>
      </c>
      <c r="CS1064" t="s">
        <v>198</v>
      </c>
      <c r="CT1064" t="s">
        <v>12998</v>
      </c>
      <c r="CU1064" t="s">
        <v>292</v>
      </c>
      <c r="CV1064" t="s">
        <v>293</v>
      </c>
      <c r="CW1064" t="s">
        <v>14121</v>
      </c>
      <c r="CX1064" t="s">
        <v>235</v>
      </c>
      <c r="CY1064" t="s">
        <v>183</v>
      </c>
      <c r="CZ1064" t="s">
        <v>211</v>
      </c>
      <c r="DA1064" t="s">
        <v>199</v>
      </c>
      <c r="DC1064" t="s">
        <v>14036</v>
      </c>
      <c r="DD1064" t="s">
        <v>7993</v>
      </c>
      <c r="DE1064" t="s">
        <v>267</v>
      </c>
      <c r="DF1064" t="s">
        <v>268</v>
      </c>
      <c r="DG1064" t="s">
        <v>14122</v>
      </c>
      <c r="DH1064" t="s">
        <v>235</v>
      </c>
      <c r="DI1064" t="s">
        <v>183</v>
      </c>
      <c r="DJ1064" t="s">
        <v>211</v>
      </c>
      <c r="DK1064" t="s">
        <v>427</v>
      </c>
      <c r="DM1064" t="s">
        <v>1483</v>
      </c>
      <c r="DN1064" t="s">
        <v>14123</v>
      </c>
      <c r="DO1064" t="s">
        <v>273</v>
      </c>
      <c r="DP1064" t="s">
        <v>274</v>
      </c>
      <c r="DQ1064" t="s">
        <v>14124</v>
      </c>
      <c r="DR1064" t="s">
        <v>235</v>
      </c>
      <c r="DS1064" t="s">
        <v>183</v>
      </c>
      <c r="DT1064" t="s">
        <v>211</v>
      </c>
      <c r="DU1064" t="s">
        <v>342</v>
      </c>
      <c r="DW1064" t="s">
        <v>14125</v>
      </c>
      <c r="EG1064" t="s">
        <v>198</v>
      </c>
      <c r="EQ1064" t="s">
        <v>198</v>
      </c>
      <c r="FA1064" t="s">
        <v>198</v>
      </c>
      <c r="FK1064" t="s">
        <v>198</v>
      </c>
      <c r="FU1064" t="s">
        <v>198</v>
      </c>
    </row>
    <row r="1065" spans="1:177">
      <c r="A1065" s="1" t="str">
        <f>HYPERLINK("http://digipan.lumentumllc.com/apps/getLink/index.php?t=PropLink&amp;p=5244952","PL")</f>
        <v>PL</v>
      </c>
      <c r="B1065" s="1" t="str">
        <f>HYPERLINK("http://digipan.lumentumllc.com/apps/getLink/index.php?t=TaxLink&amp;p=5244952","TL")</f>
        <v>TL</v>
      </c>
      <c r="C1065" s="1" t="str">
        <f>HYPERLINK("http://digipan.lumentumllc.com/apps/getMap/index.php?p=5244952","Map")</f>
        <v>Map</v>
      </c>
      <c r="E1065" t="s">
        <v>177</v>
      </c>
      <c r="F1065" t="s">
        <v>178</v>
      </c>
      <c r="L1065" t="s">
        <v>14126</v>
      </c>
      <c r="N1065" t="s">
        <v>14126</v>
      </c>
      <c r="O1065" t="s">
        <v>14126</v>
      </c>
      <c r="P1065" t="s">
        <v>14127</v>
      </c>
      <c r="Q1065" t="s">
        <v>14126</v>
      </c>
      <c r="V1065">
        <v>1227</v>
      </c>
      <c r="W1065">
        <v>4</v>
      </c>
      <c r="X1065">
        <v>2017</v>
      </c>
      <c r="Y1065">
        <v>2018</v>
      </c>
      <c r="Z1065">
        <v>493.57</v>
      </c>
      <c r="AB1065" t="s">
        <v>181</v>
      </c>
      <c r="AC1065" t="s">
        <v>182</v>
      </c>
      <c r="AD1065" t="s">
        <v>1037</v>
      </c>
      <c r="AE1065">
        <v>1</v>
      </c>
      <c r="AF1065">
        <v>4</v>
      </c>
      <c r="AG1065" t="s">
        <v>257</v>
      </c>
      <c r="AH1065">
        <v>75</v>
      </c>
      <c r="AI1065">
        <v>353.26</v>
      </c>
      <c r="AJ1065">
        <v>17.66</v>
      </c>
      <c r="AK1065">
        <v>370.92</v>
      </c>
      <c r="AL1065">
        <v>86645</v>
      </c>
      <c r="AM1065">
        <v>18408</v>
      </c>
      <c r="AN1065">
        <v>68237</v>
      </c>
      <c r="AO1065">
        <v>302</v>
      </c>
      <c r="AP1065">
        <v>2016</v>
      </c>
      <c r="AQ1065">
        <v>0.56999999999999995</v>
      </c>
      <c r="AR1065">
        <v>0.43</v>
      </c>
      <c r="AS1065" t="s">
        <v>14128</v>
      </c>
      <c r="AT1065" t="s">
        <v>3210</v>
      </c>
      <c r="AU1065" t="s">
        <v>177</v>
      </c>
      <c r="AV1065" t="s">
        <v>2334</v>
      </c>
      <c r="AW1065" t="s">
        <v>182</v>
      </c>
      <c r="AX1065">
        <v>50</v>
      </c>
      <c r="AY1065" t="s">
        <v>218</v>
      </c>
      <c r="AZ1065" t="s">
        <v>589</v>
      </c>
      <c r="BA1065" t="s">
        <v>590</v>
      </c>
      <c r="BB1065" t="s">
        <v>191</v>
      </c>
      <c r="BC1065" t="s">
        <v>182</v>
      </c>
      <c r="BD1065" t="s">
        <v>182</v>
      </c>
      <c r="BE1065" t="s">
        <v>14129</v>
      </c>
      <c r="BF1065">
        <v>1</v>
      </c>
      <c r="BG1065">
        <v>1</v>
      </c>
      <c r="BH1065">
        <v>1993</v>
      </c>
      <c r="BI1065" t="s">
        <v>6138</v>
      </c>
      <c r="BJ1065" t="s">
        <v>194</v>
      </c>
      <c r="BK1065" t="s">
        <v>195</v>
      </c>
      <c r="BL1065" t="s">
        <v>841</v>
      </c>
      <c r="BM1065" t="s">
        <v>1311</v>
      </c>
      <c r="BN1065" t="s">
        <v>182</v>
      </c>
      <c r="BO1065" t="s">
        <v>198</v>
      </c>
      <c r="BP1065" t="s">
        <v>198</v>
      </c>
      <c r="BQ1065" t="s">
        <v>198</v>
      </c>
      <c r="BR1065" t="s">
        <v>198</v>
      </c>
      <c r="BS1065" t="s">
        <v>198</v>
      </c>
      <c r="BT1065" t="s">
        <v>198</v>
      </c>
      <c r="BU1065" t="s">
        <v>182</v>
      </c>
      <c r="BV1065" t="s">
        <v>198</v>
      </c>
      <c r="BW1065" t="s">
        <v>198</v>
      </c>
      <c r="BX1065" t="s">
        <v>199</v>
      </c>
      <c r="BY1065" t="s">
        <v>198</v>
      </c>
      <c r="BZ1065" t="s">
        <v>199</v>
      </c>
      <c r="CA1065" t="s">
        <v>199</v>
      </c>
      <c r="CB1065" t="s">
        <v>14130</v>
      </c>
      <c r="CC1065" t="s">
        <v>201</v>
      </c>
      <c r="CD1065" t="s">
        <v>182</v>
      </c>
      <c r="CE1065" t="s">
        <v>14131</v>
      </c>
      <c r="CF1065" t="s">
        <v>2333</v>
      </c>
      <c r="CG1065" t="s">
        <v>177</v>
      </c>
      <c r="CH1065" t="s">
        <v>2334</v>
      </c>
      <c r="CI1065" t="s">
        <v>14132</v>
      </c>
      <c r="CJ1065" t="s">
        <v>10431</v>
      </c>
      <c r="CK1065" t="s">
        <v>232</v>
      </c>
      <c r="CL1065" t="s">
        <v>233</v>
      </c>
      <c r="CM1065" t="s">
        <v>14133</v>
      </c>
      <c r="CN1065" t="s">
        <v>235</v>
      </c>
      <c r="CO1065" t="s">
        <v>183</v>
      </c>
      <c r="CP1065" t="s">
        <v>266</v>
      </c>
      <c r="CS1065" t="s">
        <v>198</v>
      </c>
      <c r="CT1065" t="s">
        <v>13016</v>
      </c>
      <c r="CU1065" t="s">
        <v>292</v>
      </c>
      <c r="CV1065" t="s">
        <v>293</v>
      </c>
      <c r="CW1065" t="s">
        <v>14134</v>
      </c>
      <c r="CX1065" t="s">
        <v>235</v>
      </c>
      <c r="CY1065" t="s">
        <v>183</v>
      </c>
      <c r="CZ1065" t="s">
        <v>211</v>
      </c>
      <c r="DA1065" t="s">
        <v>427</v>
      </c>
      <c r="DC1065" t="s">
        <v>5064</v>
      </c>
      <c r="DD1065" t="s">
        <v>14135</v>
      </c>
      <c r="DE1065" t="s">
        <v>302</v>
      </c>
      <c r="DF1065" t="s">
        <v>303</v>
      </c>
      <c r="DG1065" t="s">
        <v>14136</v>
      </c>
      <c r="DH1065" t="s">
        <v>482</v>
      </c>
      <c r="DI1065" t="s">
        <v>5</v>
      </c>
      <c r="DJ1065" t="s">
        <v>211</v>
      </c>
      <c r="DK1065" t="s">
        <v>298</v>
      </c>
      <c r="DM1065" t="s">
        <v>1765</v>
      </c>
      <c r="DN1065" t="s">
        <v>11370</v>
      </c>
      <c r="DO1065" t="s">
        <v>346</v>
      </c>
      <c r="DP1065" t="s">
        <v>347</v>
      </c>
      <c r="DQ1065" t="s">
        <v>14137</v>
      </c>
      <c r="DR1065" t="s">
        <v>1491</v>
      </c>
      <c r="DS1065" t="s">
        <v>183</v>
      </c>
      <c r="DT1065" t="s">
        <v>211</v>
      </c>
      <c r="DU1065" t="s">
        <v>329</v>
      </c>
      <c r="DW1065" t="s">
        <v>5492</v>
      </c>
      <c r="DX1065" t="s">
        <v>10875</v>
      </c>
      <c r="DY1065" t="s">
        <v>207</v>
      </c>
      <c r="DZ1065" t="s">
        <v>208</v>
      </c>
      <c r="EA1065" t="s">
        <v>14138</v>
      </c>
      <c r="EB1065" t="s">
        <v>833</v>
      </c>
      <c r="EC1065" t="s">
        <v>183</v>
      </c>
      <c r="ED1065" t="s">
        <v>211</v>
      </c>
      <c r="EE1065" t="s">
        <v>298</v>
      </c>
      <c r="EG1065" t="s">
        <v>5492</v>
      </c>
      <c r="EQ1065" t="s">
        <v>198</v>
      </c>
      <c r="FA1065" t="s">
        <v>198</v>
      </c>
      <c r="FK1065" t="s">
        <v>198</v>
      </c>
      <c r="FU1065" t="s">
        <v>198</v>
      </c>
    </row>
    <row r="1066" spans="1:177">
      <c r="A1066" s="1" t="str">
        <f>HYPERLINK("http://digipan.lumentumllc.com/apps/getLink/index.php?t=PropLink&amp;p=5244953","PL")</f>
        <v>PL</v>
      </c>
      <c r="B1066" s="1" t="str">
        <f>HYPERLINK("http://digipan.lumentumllc.com/apps/getLink/index.php?t=TaxLink&amp;p=5244953","TL")</f>
        <v>TL</v>
      </c>
      <c r="C1066" s="1" t="str">
        <f>HYPERLINK("http://digipan.lumentumllc.com/apps/getMap/index.php?p=5244953","Map")</f>
        <v>Map</v>
      </c>
      <c r="E1066" t="s">
        <v>177</v>
      </c>
      <c r="F1066" t="s">
        <v>178</v>
      </c>
      <c r="L1066" t="s">
        <v>14139</v>
      </c>
      <c r="N1066" t="s">
        <v>14139</v>
      </c>
      <c r="O1066" t="s">
        <v>14139</v>
      </c>
      <c r="P1066" t="s">
        <v>14140</v>
      </c>
      <c r="Q1066" t="s">
        <v>14139</v>
      </c>
      <c r="V1066">
        <v>1228</v>
      </c>
      <c r="W1066">
        <v>4</v>
      </c>
      <c r="X1066">
        <v>2017</v>
      </c>
      <c r="Y1066">
        <v>2018</v>
      </c>
      <c r="Z1066">
        <v>307.75</v>
      </c>
      <c r="AB1066" t="s">
        <v>181</v>
      </c>
      <c r="AC1066" t="s">
        <v>182</v>
      </c>
      <c r="AD1066" t="s">
        <v>183</v>
      </c>
      <c r="AE1066">
        <v>0</v>
      </c>
      <c r="AF1066">
        <v>5</v>
      </c>
      <c r="AG1066" t="s">
        <v>744</v>
      </c>
      <c r="AH1066">
        <v>100</v>
      </c>
      <c r="AK1066">
        <v>0</v>
      </c>
      <c r="AL1066">
        <v>60215</v>
      </c>
      <c r="AM1066">
        <v>15750</v>
      </c>
      <c r="AN1066">
        <v>44465</v>
      </c>
      <c r="AO1066">
        <v>245</v>
      </c>
      <c r="AP1066">
        <v>2016</v>
      </c>
      <c r="AQ1066">
        <v>0.51</v>
      </c>
      <c r="AS1066" t="s">
        <v>14141</v>
      </c>
      <c r="AT1066" t="s">
        <v>3210</v>
      </c>
      <c r="AU1066" t="s">
        <v>177</v>
      </c>
      <c r="AV1066" t="s">
        <v>2334</v>
      </c>
      <c r="AW1066" t="s">
        <v>202</v>
      </c>
      <c r="AX1066">
        <v>2</v>
      </c>
      <c r="AY1066" t="s">
        <v>188</v>
      </c>
      <c r="AZ1066" t="s">
        <v>189</v>
      </c>
      <c r="BA1066" t="s">
        <v>190</v>
      </c>
      <c r="BB1066" t="s">
        <v>191</v>
      </c>
      <c r="BC1066" t="s">
        <v>182</v>
      </c>
      <c r="BD1066" t="s">
        <v>182</v>
      </c>
      <c r="BE1066" t="s">
        <v>383</v>
      </c>
      <c r="BF1066">
        <v>1</v>
      </c>
      <c r="BG1066">
        <v>1</v>
      </c>
      <c r="BH1066">
        <v>1994</v>
      </c>
      <c r="BI1066" t="s">
        <v>7552</v>
      </c>
      <c r="BJ1066" t="s">
        <v>194</v>
      </c>
      <c r="BK1066" t="s">
        <v>195</v>
      </c>
      <c r="BL1066" t="s">
        <v>199</v>
      </c>
      <c r="BM1066" t="s">
        <v>2351</v>
      </c>
      <c r="BN1066" t="s">
        <v>182</v>
      </c>
      <c r="BO1066" t="s">
        <v>14142</v>
      </c>
      <c r="BP1066" t="s">
        <v>14143</v>
      </c>
      <c r="BQ1066" t="s">
        <v>2227</v>
      </c>
      <c r="BR1066" t="s">
        <v>563</v>
      </c>
      <c r="BS1066" t="s">
        <v>198</v>
      </c>
      <c r="BT1066" t="s">
        <v>14144</v>
      </c>
      <c r="BU1066" t="s">
        <v>182</v>
      </c>
      <c r="BV1066" t="s">
        <v>198</v>
      </c>
      <c r="BW1066" t="s">
        <v>198</v>
      </c>
      <c r="BX1066" t="s">
        <v>199</v>
      </c>
      <c r="BY1066" t="s">
        <v>198</v>
      </c>
      <c r="BZ1066" t="s">
        <v>199</v>
      </c>
      <c r="CA1066" t="s">
        <v>199</v>
      </c>
      <c r="CB1066" t="s">
        <v>14145</v>
      </c>
      <c r="CC1066" t="s">
        <v>201</v>
      </c>
      <c r="CD1066" t="s">
        <v>182</v>
      </c>
      <c r="CE1066" t="s">
        <v>14146</v>
      </c>
      <c r="CF1066" t="s">
        <v>2333</v>
      </c>
      <c r="CG1066" t="s">
        <v>177</v>
      </c>
      <c r="CH1066" t="s">
        <v>3178</v>
      </c>
      <c r="CI1066" t="s">
        <v>14147</v>
      </c>
      <c r="CJ1066" t="s">
        <v>13103</v>
      </c>
      <c r="CK1066" t="s">
        <v>232</v>
      </c>
      <c r="CL1066" t="s">
        <v>233</v>
      </c>
      <c r="CM1066" t="s">
        <v>14148</v>
      </c>
      <c r="CN1066" t="s">
        <v>235</v>
      </c>
      <c r="CO1066" t="s">
        <v>183</v>
      </c>
      <c r="CP1066" t="s">
        <v>211</v>
      </c>
      <c r="CQ1066" t="s">
        <v>206</v>
      </c>
      <c r="CS1066" t="s">
        <v>8846</v>
      </c>
      <c r="CT1066" t="s">
        <v>14078</v>
      </c>
      <c r="CU1066" t="s">
        <v>273</v>
      </c>
      <c r="CV1066" t="s">
        <v>274</v>
      </c>
      <c r="CW1066" t="s">
        <v>14149</v>
      </c>
      <c r="CX1066" t="s">
        <v>235</v>
      </c>
      <c r="CY1066" t="s">
        <v>183</v>
      </c>
      <c r="CZ1066" t="s">
        <v>211</v>
      </c>
      <c r="DA1066" t="s">
        <v>189</v>
      </c>
      <c r="DC1066" t="s">
        <v>14150</v>
      </c>
      <c r="DD1066" t="s">
        <v>4256</v>
      </c>
      <c r="DE1066" t="s">
        <v>302</v>
      </c>
      <c r="DF1066" t="s">
        <v>303</v>
      </c>
      <c r="DG1066" t="s">
        <v>14151</v>
      </c>
      <c r="DH1066" t="s">
        <v>235</v>
      </c>
      <c r="DI1066" t="s">
        <v>183</v>
      </c>
      <c r="DJ1066" t="s">
        <v>211</v>
      </c>
      <c r="DK1066" t="s">
        <v>460</v>
      </c>
      <c r="DM1066" t="s">
        <v>14150</v>
      </c>
      <c r="DN1066" t="s">
        <v>13724</v>
      </c>
      <c r="DO1066" t="s">
        <v>346</v>
      </c>
      <c r="DP1066" t="s">
        <v>347</v>
      </c>
      <c r="DQ1066" t="s">
        <v>14152</v>
      </c>
      <c r="DR1066" t="s">
        <v>1491</v>
      </c>
      <c r="DS1066" t="s">
        <v>183</v>
      </c>
      <c r="DT1066" t="s">
        <v>211</v>
      </c>
      <c r="DU1066" t="s">
        <v>189</v>
      </c>
      <c r="DW1066" t="s">
        <v>4358</v>
      </c>
      <c r="DX1066" t="s">
        <v>10889</v>
      </c>
      <c r="DY1066" t="s">
        <v>207</v>
      </c>
      <c r="DZ1066" t="s">
        <v>208</v>
      </c>
      <c r="EA1066" t="s">
        <v>14153</v>
      </c>
      <c r="EB1066" t="s">
        <v>1966</v>
      </c>
      <c r="EC1066" t="s">
        <v>183</v>
      </c>
      <c r="ED1066" t="s">
        <v>211</v>
      </c>
      <c r="EE1066" t="s">
        <v>460</v>
      </c>
      <c r="EG1066" t="s">
        <v>4358</v>
      </c>
      <c r="EQ1066" t="s">
        <v>198</v>
      </c>
      <c r="FA1066" t="s">
        <v>198</v>
      </c>
      <c r="FK1066" t="s">
        <v>198</v>
      </c>
      <c r="FU1066" t="s">
        <v>198</v>
      </c>
    </row>
    <row r="1067" spans="1:177">
      <c r="A1067" s="1" t="str">
        <f>HYPERLINK("http://digipan.lumentumllc.com/apps/getLink/index.php?t=PropLink&amp;p=6128828","PL")</f>
        <v>PL</v>
      </c>
      <c r="B1067" s="1" t="str">
        <f>HYPERLINK("http://digipan.lumentumllc.com/apps/getLink/index.php?t=TaxLink&amp;p=6128828","TL")</f>
        <v>TL</v>
      </c>
      <c r="C1067" s="1" t="str">
        <f>HYPERLINK("http://digipan.lumentumllc.com/apps/getMap/index.php?p=6128828","Map")</f>
        <v>Map</v>
      </c>
      <c r="E1067" t="s">
        <v>177</v>
      </c>
      <c r="F1067" t="s">
        <v>178</v>
      </c>
      <c r="L1067" t="s">
        <v>14154</v>
      </c>
      <c r="N1067" t="s">
        <v>14154</v>
      </c>
      <c r="O1067" t="s">
        <v>14154</v>
      </c>
      <c r="P1067" t="s">
        <v>14155</v>
      </c>
      <c r="Q1067" t="s">
        <v>14154</v>
      </c>
      <c r="V1067">
        <v>1230</v>
      </c>
      <c r="W1067">
        <v>4</v>
      </c>
      <c r="X1067">
        <v>2017</v>
      </c>
      <c r="Y1067">
        <v>2018</v>
      </c>
      <c r="Z1067">
        <v>301.23</v>
      </c>
      <c r="AB1067" t="s">
        <v>181</v>
      </c>
      <c r="AC1067" t="s">
        <v>182</v>
      </c>
      <c r="AD1067" t="s">
        <v>183</v>
      </c>
      <c r="AE1067">
        <v>3</v>
      </c>
      <c r="AF1067">
        <v>3</v>
      </c>
      <c r="AG1067" t="s">
        <v>3859</v>
      </c>
      <c r="AH1067">
        <v>50</v>
      </c>
      <c r="AI1067">
        <v>730.78</v>
      </c>
      <c r="AJ1067">
        <v>206.6</v>
      </c>
      <c r="AK1067">
        <v>937.38</v>
      </c>
      <c r="AL1067">
        <v>18112</v>
      </c>
      <c r="AM1067">
        <v>18112</v>
      </c>
      <c r="AN1067">
        <v>0</v>
      </c>
      <c r="AO1067">
        <v>212</v>
      </c>
      <c r="AP1067">
        <v>2016</v>
      </c>
      <c r="AQ1067">
        <v>1.66</v>
      </c>
      <c r="AR1067">
        <v>5.18</v>
      </c>
      <c r="AS1067" t="s">
        <v>14156</v>
      </c>
      <c r="AT1067" t="s">
        <v>3210</v>
      </c>
      <c r="AU1067" t="s">
        <v>177</v>
      </c>
      <c r="AV1067" t="s">
        <v>2334</v>
      </c>
      <c r="AW1067" t="s">
        <v>182</v>
      </c>
      <c r="AX1067">
        <v>0</v>
      </c>
      <c r="AY1067" t="s">
        <v>312</v>
      </c>
      <c r="AZ1067" t="s">
        <v>199</v>
      </c>
      <c r="BA1067" t="s">
        <v>313</v>
      </c>
      <c r="BB1067" t="s">
        <v>191</v>
      </c>
      <c r="BC1067" t="s">
        <v>182</v>
      </c>
      <c r="BD1067" t="s">
        <v>182</v>
      </c>
      <c r="BE1067" t="s">
        <v>882</v>
      </c>
      <c r="BF1067">
        <v>0</v>
      </c>
      <c r="BG1067">
        <v>0</v>
      </c>
      <c r="BH1067">
        <v>0</v>
      </c>
      <c r="BI1067" t="s">
        <v>199</v>
      </c>
      <c r="BJ1067" t="s">
        <v>315</v>
      </c>
      <c r="BL1067" t="s">
        <v>199</v>
      </c>
      <c r="BM1067" t="s">
        <v>1041</v>
      </c>
      <c r="BN1067" t="s">
        <v>182</v>
      </c>
      <c r="BO1067" t="s">
        <v>198</v>
      </c>
      <c r="BP1067" t="s">
        <v>198</v>
      </c>
      <c r="BQ1067" t="s">
        <v>198</v>
      </c>
      <c r="BR1067" t="s">
        <v>198</v>
      </c>
      <c r="BS1067" t="s">
        <v>198</v>
      </c>
      <c r="BT1067" t="s">
        <v>198</v>
      </c>
      <c r="BU1067" t="s">
        <v>182</v>
      </c>
      <c r="BV1067" t="s">
        <v>198</v>
      </c>
      <c r="BW1067" t="s">
        <v>198</v>
      </c>
      <c r="BX1067" t="s">
        <v>199</v>
      </c>
      <c r="BY1067" t="s">
        <v>198</v>
      </c>
      <c r="BZ1067" t="s">
        <v>199</v>
      </c>
      <c r="CA1067" t="s">
        <v>199</v>
      </c>
      <c r="CB1067" t="s">
        <v>14157</v>
      </c>
      <c r="CC1067" t="s">
        <v>201</v>
      </c>
      <c r="CD1067" t="s">
        <v>202</v>
      </c>
      <c r="CE1067" t="s">
        <v>14158</v>
      </c>
      <c r="CF1067" t="s">
        <v>2333</v>
      </c>
      <c r="CG1067" t="s">
        <v>177</v>
      </c>
      <c r="CH1067" t="s">
        <v>3178</v>
      </c>
      <c r="CI1067" t="s">
        <v>14159</v>
      </c>
      <c r="CJ1067" t="s">
        <v>6469</v>
      </c>
      <c r="CK1067" t="s">
        <v>232</v>
      </c>
      <c r="CL1067" t="s">
        <v>233</v>
      </c>
      <c r="CM1067" t="s">
        <v>14160</v>
      </c>
      <c r="CN1067" t="s">
        <v>341</v>
      </c>
      <c r="CO1067" t="s">
        <v>183</v>
      </c>
      <c r="CP1067" t="s">
        <v>266</v>
      </c>
      <c r="CS1067" t="s">
        <v>198</v>
      </c>
      <c r="CT1067" t="s">
        <v>13027</v>
      </c>
      <c r="CU1067" t="s">
        <v>292</v>
      </c>
      <c r="CV1067" t="s">
        <v>293</v>
      </c>
      <c r="CW1067" t="s">
        <v>14161</v>
      </c>
      <c r="CX1067" t="s">
        <v>387</v>
      </c>
      <c r="CY1067" t="s">
        <v>183</v>
      </c>
      <c r="CZ1067" t="s">
        <v>266</v>
      </c>
      <c r="DC1067" t="s">
        <v>198</v>
      </c>
      <c r="DD1067" t="s">
        <v>11030</v>
      </c>
      <c r="DE1067" t="s">
        <v>267</v>
      </c>
      <c r="DF1067" t="s">
        <v>268</v>
      </c>
      <c r="DG1067" t="s">
        <v>14162</v>
      </c>
      <c r="DH1067" t="s">
        <v>400</v>
      </c>
      <c r="DI1067" t="s">
        <v>183</v>
      </c>
      <c r="DJ1067" t="s">
        <v>266</v>
      </c>
      <c r="DM1067" t="s">
        <v>198</v>
      </c>
      <c r="DN1067" t="s">
        <v>3824</v>
      </c>
      <c r="DO1067" t="s">
        <v>273</v>
      </c>
      <c r="DP1067" t="s">
        <v>274</v>
      </c>
      <c r="DQ1067" t="s">
        <v>2947</v>
      </c>
      <c r="DR1067" t="s">
        <v>341</v>
      </c>
      <c r="DS1067" t="s">
        <v>183</v>
      </c>
      <c r="DT1067" t="s">
        <v>211</v>
      </c>
      <c r="DU1067" t="s">
        <v>345</v>
      </c>
      <c r="DW1067" t="s">
        <v>1258</v>
      </c>
      <c r="DX1067" t="s">
        <v>14163</v>
      </c>
      <c r="DY1067" t="s">
        <v>302</v>
      </c>
      <c r="DZ1067" t="s">
        <v>303</v>
      </c>
      <c r="EA1067" t="s">
        <v>14164</v>
      </c>
      <c r="EB1067" t="s">
        <v>278</v>
      </c>
      <c r="EC1067" t="s">
        <v>183</v>
      </c>
      <c r="ED1067" t="s">
        <v>211</v>
      </c>
      <c r="EE1067" t="s">
        <v>298</v>
      </c>
      <c r="EG1067" t="s">
        <v>2359</v>
      </c>
      <c r="EH1067" t="s">
        <v>6861</v>
      </c>
      <c r="EI1067" t="s">
        <v>238</v>
      </c>
      <c r="EJ1067" t="s">
        <v>239</v>
      </c>
      <c r="EK1067" t="s">
        <v>14165</v>
      </c>
      <c r="EL1067" t="s">
        <v>391</v>
      </c>
      <c r="EM1067" t="s">
        <v>183</v>
      </c>
      <c r="EN1067" t="s">
        <v>211</v>
      </c>
      <c r="EO1067" t="s">
        <v>345</v>
      </c>
      <c r="EQ1067" t="s">
        <v>2753</v>
      </c>
      <c r="FA1067" t="s">
        <v>198</v>
      </c>
      <c r="FK1067" t="s">
        <v>198</v>
      </c>
      <c r="FU1067" t="s">
        <v>198</v>
      </c>
    </row>
    <row r="1068" spans="1:177">
      <c r="A1068" s="1" t="str">
        <f>HYPERLINK("http://digipan.lumentumllc.com/apps/getLink/index.php?t=PropLink&amp;p=5245067","PL")</f>
        <v>PL</v>
      </c>
      <c r="B1068" s="1" t="str">
        <f>HYPERLINK("http://digipan.lumentumllc.com/apps/getLink/index.php?t=TaxLink&amp;p=5245067","TL")</f>
        <v>TL</v>
      </c>
      <c r="C1068" s="1" t="str">
        <f>HYPERLINK("http://digipan.lumentumllc.com/apps/getMap/index.php?p=5245067","Map")</f>
        <v>Map</v>
      </c>
      <c r="E1068" t="s">
        <v>177</v>
      </c>
      <c r="F1068" t="s">
        <v>178</v>
      </c>
      <c r="L1068" t="s">
        <v>14166</v>
      </c>
      <c r="N1068" t="s">
        <v>14166</v>
      </c>
      <c r="O1068" t="s">
        <v>14166</v>
      </c>
      <c r="P1068" t="s">
        <v>14167</v>
      </c>
      <c r="Q1068" t="s">
        <v>14166</v>
      </c>
      <c r="V1068">
        <v>1231</v>
      </c>
      <c r="W1068">
        <v>4</v>
      </c>
      <c r="X1068">
        <v>2017</v>
      </c>
      <c r="Y1068">
        <v>2018</v>
      </c>
      <c r="Z1068">
        <v>196.03</v>
      </c>
      <c r="AB1068" t="s">
        <v>181</v>
      </c>
      <c r="AC1068" t="s">
        <v>182</v>
      </c>
      <c r="AD1068" t="s">
        <v>183</v>
      </c>
      <c r="AE1068">
        <v>0</v>
      </c>
      <c r="AF1068">
        <v>2</v>
      </c>
      <c r="AG1068" t="s">
        <v>216</v>
      </c>
      <c r="AH1068">
        <v>100</v>
      </c>
      <c r="AK1068">
        <v>0</v>
      </c>
      <c r="AL1068">
        <v>11025</v>
      </c>
      <c r="AM1068">
        <v>11025</v>
      </c>
      <c r="AN1068">
        <v>0</v>
      </c>
      <c r="AO1068">
        <v>129</v>
      </c>
      <c r="AP1068">
        <v>2016</v>
      </c>
      <c r="AQ1068">
        <v>1.78</v>
      </c>
      <c r="AS1068" t="s">
        <v>14168</v>
      </c>
      <c r="AT1068" t="s">
        <v>3747</v>
      </c>
      <c r="AU1068" t="s">
        <v>177</v>
      </c>
      <c r="AV1068" t="s">
        <v>1030</v>
      </c>
      <c r="AW1068" t="s">
        <v>182</v>
      </c>
      <c r="AX1068">
        <v>0</v>
      </c>
      <c r="AY1068" t="s">
        <v>312</v>
      </c>
      <c r="AZ1068" t="s">
        <v>199</v>
      </c>
      <c r="BA1068" t="s">
        <v>313</v>
      </c>
      <c r="BB1068" t="s">
        <v>191</v>
      </c>
      <c r="BC1068" t="s">
        <v>182</v>
      </c>
      <c r="BD1068" t="s">
        <v>182</v>
      </c>
      <c r="BE1068" t="s">
        <v>5649</v>
      </c>
      <c r="BF1068">
        <v>0</v>
      </c>
      <c r="BG1068">
        <v>0</v>
      </c>
      <c r="BH1068">
        <v>0</v>
      </c>
      <c r="BI1068" t="s">
        <v>199</v>
      </c>
      <c r="BJ1068" t="s">
        <v>248</v>
      </c>
      <c r="BL1068" t="s">
        <v>199</v>
      </c>
      <c r="BM1068" t="s">
        <v>368</v>
      </c>
      <c r="BN1068" t="s">
        <v>182</v>
      </c>
      <c r="BO1068" t="s">
        <v>14169</v>
      </c>
      <c r="BP1068" t="s">
        <v>14170</v>
      </c>
      <c r="BR1068" t="s">
        <v>2318</v>
      </c>
      <c r="BS1068" t="s">
        <v>14171</v>
      </c>
      <c r="BT1068" t="s">
        <v>198</v>
      </c>
      <c r="BU1068" t="s">
        <v>182</v>
      </c>
      <c r="BV1068" t="s">
        <v>198</v>
      </c>
      <c r="BW1068" t="s">
        <v>198</v>
      </c>
      <c r="BX1068" t="s">
        <v>199</v>
      </c>
      <c r="BY1068" t="s">
        <v>198</v>
      </c>
      <c r="BZ1068" t="s">
        <v>199</v>
      </c>
      <c r="CA1068" t="s">
        <v>199</v>
      </c>
      <c r="CB1068" t="s">
        <v>14172</v>
      </c>
      <c r="CC1068" t="s">
        <v>201</v>
      </c>
      <c r="CD1068" t="s">
        <v>182</v>
      </c>
      <c r="CE1068" t="s">
        <v>14173</v>
      </c>
      <c r="CF1068" t="s">
        <v>1029</v>
      </c>
      <c r="CG1068" t="s">
        <v>177</v>
      </c>
      <c r="CH1068" t="s">
        <v>1030</v>
      </c>
      <c r="CI1068" t="s">
        <v>14174</v>
      </c>
      <c r="CJ1068" t="s">
        <v>7593</v>
      </c>
      <c r="CK1068" t="s">
        <v>292</v>
      </c>
      <c r="CL1068" t="s">
        <v>293</v>
      </c>
      <c r="CM1068" t="s">
        <v>14175</v>
      </c>
      <c r="CN1068" t="s">
        <v>519</v>
      </c>
      <c r="CO1068" t="s">
        <v>183</v>
      </c>
      <c r="CP1068" t="s">
        <v>211</v>
      </c>
      <c r="CQ1068" t="s">
        <v>290</v>
      </c>
      <c r="CS1068" t="s">
        <v>14176</v>
      </c>
      <c r="CT1068" t="s">
        <v>14177</v>
      </c>
      <c r="CU1068" t="s">
        <v>346</v>
      </c>
      <c r="CV1068" t="s">
        <v>347</v>
      </c>
      <c r="CW1068" t="s">
        <v>14178</v>
      </c>
      <c r="CX1068" t="s">
        <v>1491</v>
      </c>
      <c r="CY1068" t="s">
        <v>183</v>
      </c>
      <c r="CZ1068" t="s">
        <v>211</v>
      </c>
      <c r="DA1068" t="s">
        <v>270</v>
      </c>
      <c r="DC1068" t="s">
        <v>14179</v>
      </c>
      <c r="DM1068" t="s">
        <v>198</v>
      </c>
      <c r="DW1068" t="s">
        <v>198</v>
      </c>
      <c r="EG1068" t="s">
        <v>198</v>
      </c>
      <c r="EQ1068" t="s">
        <v>198</v>
      </c>
      <c r="FA1068" t="s">
        <v>198</v>
      </c>
      <c r="FK1068" t="s">
        <v>198</v>
      </c>
      <c r="FU1068" t="s">
        <v>198</v>
      </c>
    </row>
    <row r="1069" spans="1:177">
      <c r="A1069" s="1" t="str">
        <f>HYPERLINK("http://digipan.lumentumllc.com/apps/getLink/index.php?t=PropLink&amp;p=5245068","PL")</f>
        <v>PL</v>
      </c>
      <c r="B1069" s="1" t="str">
        <f>HYPERLINK("http://digipan.lumentumllc.com/apps/getLink/index.php?t=TaxLink&amp;p=5245068","TL")</f>
        <v>TL</v>
      </c>
      <c r="C1069" s="1" t="str">
        <f>HYPERLINK("http://digipan.lumentumllc.com/apps/getMap/index.php?p=5245068","Map")</f>
        <v>Map</v>
      </c>
      <c r="E1069" t="s">
        <v>177</v>
      </c>
      <c r="F1069" t="s">
        <v>178</v>
      </c>
      <c r="L1069" t="s">
        <v>14180</v>
      </c>
      <c r="N1069" t="s">
        <v>14180</v>
      </c>
      <c r="O1069" t="s">
        <v>14180</v>
      </c>
      <c r="P1069" t="s">
        <v>14181</v>
      </c>
      <c r="Q1069" t="s">
        <v>14180</v>
      </c>
      <c r="V1069">
        <v>1232</v>
      </c>
      <c r="W1069">
        <v>4</v>
      </c>
      <c r="X1069">
        <v>2017</v>
      </c>
      <c r="Y1069">
        <v>2018</v>
      </c>
      <c r="Z1069">
        <v>751.61</v>
      </c>
      <c r="AB1069" t="s">
        <v>181</v>
      </c>
      <c r="AC1069" t="s">
        <v>202</v>
      </c>
      <c r="AD1069" t="s">
        <v>183</v>
      </c>
      <c r="AE1069">
        <v>1</v>
      </c>
      <c r="AF1069">
        <v>6</v>
      </c>
      <c r="AG1069" t="s">
        <v>322</v>
      </c>
      <c r="AH1069">
        <v>83</v>
      </c>
      <c r="AI1069">
        <v>631.83000000000004</v>
      </c>
      <c r="AJ1069">
        <v>31.59</v>
      </c>
      <c r="AK1069">
        <v>663.42</v>
      </c>
      <c r="AL1069">
        <v>48971</v>
      </c>
      <c r="AM1069">
        <v>15750</v>
      </c>
      <c r="AN1069">
        <v>33221</v>
      </c>
      <c r="AO1069">
        <v>559</v>
      </c>
      <c r="AP1069">
        <v>2016</v>
      </c>
      <c r="AQ1069">
        <v>1.53</v>
      </c>
      <c r="AR1069">
        <v>1.35</v>
      </c>
      <c r="AS1069" t="s">
        <v>14182</v>
      </c>
      <c r="AT1069" t="s">
        <v>3747</v>
      </c>
      <c r="AU1069" t="s">
        <v>177</v>
      </c>
      <c r="AV1069" t="s">
        <v>1030</v>
      </c>
      <c r="AW1069" t="s">
        <v>182</v>
      </c>
      <c r="AX1069">
        <v>2</v>
      </c>
      <c r="AY1069" t="s">
        <v>188</v>
      </c>
      <c r="AZ1069" t="s">
        <v>189</v>
      </c>
      <c r="BA1069" t="s">
        <v>190</v>
      </c>
      <c r="BB1069" t="s">
        <v>191</v>
      </c>
      <c r="BC1069" t="s">
        <v>182</v>
      </c>
      <c r="BD1069" t="s">
        <v>182</v>
      </c>
      <c r="BE1069" t="s">
        <v>383</v>
      </c>
      <c r="BF1069">
        <v>1</v>
      </c>
      <c r="BG1069">
        <v>1</v>
      </c>
      <c r="BH1069">
        <v>1997</v>
      </c>
      <c r="BI1069" t="s">
        <v>1271</v>
      </c>
      <c r="BJ1069" t="s">
        <v>194</v>
      </c>
      <c r="BK1069" t="s">
        <v>195</v>
      </c>
      <c r="BL1069" t="s">
        <v>199</v>
      </c>
      <c r="BM1069" t="s">
        <v>1041</v>
      </c>
      <c r="BN1069" t="s">
        <v>182</v>
      </c>
      <c r="BO1069" t="s">
        <v>1204</v>
      </c>
      <c r="BP1069" t="s">
        <v>14183</v>
      </c>
      <c r="BQ1069" t="s">
        <v>800</v>
      </c>
      <c r="BR1069" t="s">
        <v>563</v>
      </c>
      <c r="BS1069" t="s">
        <v>198</v>
      </c>
      <c r="BT1069" t="s">
        <v>14184</v>
      </c>
      <c r="BU1069" t="s">
        <v>182</v>
      </c>
      <c r="BV1069" t="s">
        <v>198</v>
      </c>
      <c r="BW1069" t="s">
        <v>198</v>
      </c>
      <c r="BX1069" t="s">
        <v>199</v>
      </c>
      <c r="BY1069" t="s">
        <v>198</v>
      </c>
      <c r="BZ1069" t="s">
        <v>199</v>
      </c>
      <c r="CA1069" t="s">
        <v>199</v>
      </c>
      <c r="CB1069" t="s">
        <v>14185</v>
      </c>
      <c r="CC1069" t="s">
        <v>201</v>
      </c>
      <c r="CD1069" t="s">
        <v>182</v>
      </c>
      <c r="CE1069" t="s">
        <v>14186</v>
      </c>
      <c r="CF1069" t="s">
        <v>1029</v>
      </c>
      <c r="CG1069" t="s">
        <v>177</v>
      </c>
      <c r="CH1069" t="s">
        <v>1030</v>
      </c>
      <c r="CI1069" t="s">
        <v>14187</v>
      </c>
      <c r="CJ1069" t="s">
        <v>12673</v>
      </c>
      <c r="CK1069" t="s">
        <v>232</v>
      </c>
      <c r="CL1069" t="s">
        <v>233</v>
      </c>
      <c r="CM1069" t="s">
        <v>14188</v>
      </c>
      <c r="CN1069" t="s">
        <v>235</v>
      </c>
      <c r="CO1069" t="s">
        <v>183</v>
      </c>
      <c r="CP1069" t="s">
        <v>266</v>
      </c>
      <c r="CS1069" t="s">
        <v>198</v>
      </c>
      <c r="CT1069" t="s">
        <v>11167</v>
      </c>
      <c r="CU1069" t="s">
        <v>267</v>
      </c>
      <c r="CV1069" t="s">
        <v>268</v>
      </c>
      <c r="CW1069" t="s">
        <v>14189</v>
      </c>
      <c r="CX1069" t="s">
        <v>482</v>
      </c>
      <c r="CY1069" t="s">
        <v>183</v>
      </c>
      <c r="CZ1069" t="s">
        <v>211</v>
      </c>
      <c r="DB1069" t="s">
        <v>271</v>
      </c>
      <c r="DC1069" t="s">
        <v>198</v>
      </c>
      <c r="DD1069" t="s">
        <v>14190</v>
      </c>
      <c r="DE1069" t="s">
        <v>273</v>
      </c>
      <c r="DF1069" t="s">
        <v>274</v>
      </c>
      <c r="DG1069" t="s">
        <v>14191</v>
      </c>
      <c r="DH1069" t="s">
        <v>482</v>
      </c>
      <c r="DI1069" t="s">
        <v>183</v>
      </c>
      <c r="DJ1069" t="s">
        <v>211</v>
      </c>
      <c r="DL1069" t="s">
        <v>271</v>
      </c>
      <c r="DM1069" t="s">
        <v>198</v>
      </c>
      <c r="DN1069" t="s">
        <v>14192</v>
      </c>
      <c r="DO1069" t="s">
        <v>302</v>
      </c>
      <c r="DP1069" t="s">
        <v>303</v>
      </c>
      <c r="DQ1069" t="s">
        <v>14193</v>
      </c>
      <c r="DR1069" t="s">
        <v>511</v>
      </c>
      <c r="DS1069" t="s">
        <v>183</v>
      </c>
      <c r="DT1069" t="s">
        <v>211</v>
      </c>
      <c r="DV1069" t="s">
        <v>271</v>
      </c>
      <c r="DW1069" t="s">
        <v>198</v>
      </c>
      <c r="DX1069" t="s">
        <v>7858</v>
      </c>
      <c r="DY1069" t="s">
        <v>238</v>
      </c>
      <c r="DZ1069" t="s">
        <v>239</v>
      </c>
      <c r="EA1069" t="s">
        <v>14194</v>
      </c>
      <c r="EB1069" t="s">
        <v>6250</v>
      </c>
      <c r="EC1069" t="s">
        <v>183</v>
      </c>
      <c r="ED1069" t="s">
        <v>211</v>
      </c>
      <c r="EF1069" t="s">
        <v>271</v>
      </c>
      <c r="EG1069" t="s">
        <v>198</v>
      </c>
      <c r="EH1069" t="s">
        <v>14195</v>
      </c>
      <c r="EI1069" t="s">
        <v>346</v>
      </c>
      <c r="EJ1069" t="s">
        <v>347</v>
      </c>
      <c r="EK1069" t="s">
        <v>14196</v>
      </c>
      <c r="EL1069" t="s">
        <v>1491</v>
      </c>
      <c r="EM1069" t="s">
        <v>183</v>
      </c>
      <c r="EN1069" t="s">
        <v>211</v>
      </c>
      <c r="EO1069" t="s">
        <v>1185</v>
      </c>
      <c r="EP1069" t="s">
        <v>271</v>
      </c>
      <c r="EQ1069" t="s">
        <v>14197</v>
      </c>
      <c r="ER1069" t="s">
        <v>14198</v>
      </c>
      <c r="ES1069" t="s">
        <v>207</v>
      </c>
      <c r="ET1069" t="s">
        <v>208</v>
      </c>
      <c r="EU1069" t="s">
        <v>14199</v>
      </c>
      <c r="EV1069" t="s">
        <v>1966</v>
      </c>
      <c r="EW1069" t="s">
        <v>183</v>
      </c>
      <c r="EX1069" t="s">
        <v>211</v>
      </c>
      <c r="EY1069" t="s">
        <v>1336</v>
      </c>
      <c r="EZ1069" t="s">
        <v>271</v>
      </c>
      <c r="FA1069" t="s">
        <v>14197</v>
      </c>
      <c r="FK1069" t="s">
        <v>198</v>
      </c>
      <c r="FU1069" t="s">
        <v>198</v>
      </c>
    </row>
    <row r="1070" spans="1:177">
      <c r="A1070" s="1" t="str">
        <f>HYPERLINK("http://digipan.lumentumllc.com/apps/getLink/index.php?t=PropLink&amp;p=5245069","PL")</f>
        <v>PL</v>
      </c>
      <c r="B1070" s="1" t="str">
        <f>HYPERLINK("http://digipan.lumentumllc.com/apps/getLink/index.php?t=TaxLink&amp;p=5245069","TL")</f>
        <v>TL</v>
      </c>
      <c r="C1070" s="1" t="str">
        <f>HYPERLINK("http://digipan.lumentumllc.com/apps/getMap/index.php?p=5245069","Map")</f>
        <v>Map</v>
      </c>
      <c r="E1070" t="s">
        <v>177</v>
      </c>
      <c r="F1070" t="s">
        <v>178</v>
      </c>
      <c r="L1070" t="s">
        <v>14200</v>
      </c>
      <c r="N1070" t="s">
        <v>14200</v>
      </c>
      <c r="O1070" t="s">
        <v>14200</v>
      </c>
      <c r="P1070" t="s">
        <v>14201</v>
      </c>
      <c r="Q1070" t="s">
        <v>14200</v>
      </c>
      <c r="V1070">
        <v>1233</v>
      </c>
      <c r="W1070">
        <v>4</v>
      </c>
      <c r="X1070">
        <v>2017</v>
      </c>
      <c r="Y1070">
        <v>2018</v>
      </c>
      <c r="Z1070">
        <v>210.08</v>
      </c>
      <c r="AB1070" t="s">
        <v>181</v>
      </c>
      <c r="AC1070" t="s">
        <v>182</v>
      </c>
      <c r="AD1070" t="s">
        <v>183</v>
      </c>
      <c r="AE1070">
        <v>0</v>
      </c>
      <c r="AF1070">
        <v>2</v>
      </c>
      <c r="AG1070" t="s">
        <v>216</v>
      </c>
      <c r="AH1070">
        <v>100</v>
      </c>
      <c r="AK1070">
        <v>0</v>
      </c>
      <c r="AL1070">
        <v>11970</v>
      </c>
      <c r="AM1070">
        <v>11970</v>
      </c>
      <c r="AN1070">
        <v>0</v>
      </c>
      <c r="AO1070">
        <v>140</v>
      </c>
      <c r="AP1070">
        <v>2016</v>
      </c>
      <c r="AQ1070">
        <v>1.76</v>
      </c>
      <c r="AS1070" t="s">
        <v>14168</v>
      </c>
      <c r="AT1070" t="s">
        <v>3747</v>
      </c>
      <c r="AU1070" t="s">
        <v>177</v>
      </c>
      <c r="AV1070" t="s">
        <v>1030</v>
      </c>
      <c r="AW1070" t="s">
        <v>182</v>
      </c>
      <c r="AX1070">
        <v>0</v>
      </c>
      <c r="AY1070" t="s">
        <v>312</v>
      </c>
      <c r="AZ1070" t="s">
        <v>199</v>
      </c>
      <c r="BA1070" t="s">
        <v>313</v>
      </c>
      <c r="BB1070" t="s">
        <v>191</v>
      </c>
      <c r="BC1070" t="s">
        <v>182</v>
      </c>
      <c r="BD1070" t="s">
        <v>182</v>
      </c>
      <c r="BE1070" t="s">
        <v>11774</v>
      </c>
      <c r="BF1070">
        <v>0</v>
      </c>
      <c r="BG1070">
        <v>0</v>
      </c>
      <c r="BH1070">
        <v>0</v>
      </c>
      <c r="BI1070" t="s">
        <v>199</v>
      </c>
      <c r="BJ1070" t="s">
        <v>248</v>
      </c>
      <c r="BL1070" t="s">
        <v>944</v>
      </c>
      <c r="BM1070" t="s">
        <v>1474</v>
      </c>
      <c r="BN1070" t="s">
        <v>182</v>
      </c>
      <c r="BO1070" t="s">
        <v>198</v>
      </c>
      <c r="BP1070" t="s">
        <v>198</v>
      </c>
      <c r="BQ1070" t="s">
        <v>198</v>
      </c>
      <c r="BR1070" t="s">
        <v>198</v>
      </c>
      <c r="BS1070" t="s">
        <v>198</v>
      </c>
      <c r="BT1070" t="s">
        <v>198</v>
      </c>
      <c r="BU1070" t="s">
        <v>182</v>
      </c>
      <c r="BV1070" t="s">
        <v>198</v>
      </c>
      <c r="BW1070" t="s">
        <v>198</v>
      </c>
      <c r="BX1070" t="s">
        <v>199</v>
      </c>
      <c r="BY1070" t="s">
        <v>198</v>
      </c>
      <c r="BZ1070" t="s">
        <v>199</v>
      </c>
      <c r="CA1070" t="s">
        <v>199</v>
      </c>
      <c r="CB1070" t="s">
        <v>14172</v>
      </c>
      <c r="CC1070" t="s">
        <v>201</v>
      </c>
      <c r="CD1070" t="s">
        <v>182</v>
      </c>
      <c r="CE1070" t="s">
        <v>14173</v>
      </c>
      <c r="CF1070" t="s">
        <v>1029</v>
      </c>
      <c r="CG1070" t="s">
        <v>177</v>
      </c>
      <c r="CH1070" t="s">
        <v>1030</v>
      </c>
      <c r="CI1070" t="s">
        <v>14202</v>
      </c>
      <c r="CJ1070" t="s">
        <v>5782</v>
      </c>
      <c r="CK1070" t="s">
        <v>292</v>
      </c>
      <c r="CL1070" t="s">
        <v>293</v>
      </c>
      <c r="CM1070" t="s">
        <v>14203</v>
      </c>
      <c r="CN1070" t="s">
        <v>519</v>
      </c>
      <c r="CO1070" t="s">
        <v>183</v>
      </c>
      <c r="CP1070" t="s">
        <v>211</v>
      </c>
      <c r="CQ1070" t="s">
        <v>290</v>
      </c>
      <c r="CS1070" t="s">
        <v>14176</v>
      </c>
      <c r="CT1070" t="s">
        <v>14204</v>
      </c>
      <c r="CU1070" t="s">
        <v>346</v>
      </c>
      <c r="CV1070" t="s">
        <v>347</v>
      </c>
      <c r="CW1070" t="s">
        <v>14205</v>
      </c>
      <c r="CX1070" t="s">
        <v>1491</v>
      </c>
      <c r="CY1070" t="s">
        <v>183</v>
      </c>
      <c r="CZ1070" t="s">
        <v>211</v>
      </c>
      <c r="DA1070" t="s">
        <v>270</v>
      </c>
      <c r="DC1070" t="s">
        <v>14179</v>
      </c>
      <c r="DM1070" t="s">
        <v>198</v>
      </c>
      <c r="DW1070" t="s">
        <v>198</v>
      </c>
      <c r="EG1070" t="s">
        <v>198</v>
      </c>
      <c r="EQ1070" t="s">
        <v>198</v>
      </c>
      <c r="FA1070" t="s">
        <v>198</v>
      </c>
      <c r="FK1070" t="s">
        <v>198</v>
      </c>
      <c r="FU1070" t="s">
        <v>198</v>
      </c>
    </row>
    <row r="1071" spans="1:177">
      <c r="A1071" s="1" t="str">
        <f>HYPERLINK("http://digipan.lumentumllc.com/apps/getLink/index.php?t=PropLink&amp;p=15741119","PL")</f>
        <v>PL</v>
      </c>
      <c r="B1071" s="1" t="str">
        <f>HYPERLINK("http://digipan.lumentumllc.com/apps/getLink/index.php?t=TaxLink&amp;p=15741119","TL")</f>
        <v>TL</v>
      </c>
      <c r="C1071" s="1" t="str">
        <f>HYPERLINK("http://digipan.lumentumllc.com/apps/getMap/index.php?p=15741119","Map")</f>
        <v>Map</v>
      </c>
      <c r="E1071" t="s">
        <v>177</v>
      </c>
      <c r="F1071" t="s">
        <v>178</v>
      </c>
      <c r="L1071" t="s">
        <v>14206</v>
      </c>
      <c r="N1071" t="s">
        <v>14206</v>
      </c>
      <c r="O1071" t="s">
        <v>14206</v>
      </c>
      <c r="Q1071" t="s">
        <v>14206</v>
      </c>
      <c r="V1071">
        <v>1234</v>
      </c>
      <c r="W1071">
        <v>4</v>
      </c>
      <c r="X1071">
        <v>2017</v>
      </c>
      <c r="Y1071">
        <v>2018</v>
      </c>
      <c r="Z1071">
        <v>571.33000000000004</v>
      </c>
      <c r="AG1071" t="s">
        <v>184</v>
      </c>
      <c r="AH1071">
        <v>0</v>
      </c>
      <c r="AK1071">
        <v>0</v>
      </c>
      <c r="AL1071">
        <v>35000</v>
      </c>
      <c r="AM1071">
        <v>35000</v>
      </c>
      <c r="AN1071">
        <v>0</v>
      </c>
      <c r="AO1071">
        <v>438</v>
      </c>
      <c r="AP1071">
        <v>2016</v>
      </c>
      <c r="AQ1071">
        <v>1.63</v>
      </c>
      <c r="AS1071" t="s">
        <v>14207</v>
      </c>
      <c r="AT1071" t="s">
        <v>3747</v>
      </c>
      <c r="AU1071" t="s">
        <v>177</v>
      </c>
      <c r="AV1071" t="s">
        <v>1030</v>
      </c>
      <c r="AW1071" t="s">
        <v>182</v>
      </c>
      <c r="AX1071">
        <v>0</v>
      </c>
      <c r="AY1071" t="s">
        <v>312</v>
      </c>
      <c r="AZ1071" t="s">
        <v>199</v>
      </c>
      <c r="BA1071" t="s">
        <v>313</v>
      </c>
      <c r="BB1071" t="s">
        <v>191</v>
      </c>
      <c r="BC1071" t="s">
        <v>182</v>
      </c>
      <c r="BD1071" t="s">
        <v>182</v>
      </c>
      <c r="BE1071" t="s">
        <v>383</v>
      </c>
      <c r="BF1071">
        <v>0</v>
      </c>
      <c r="BG1071">
        <v>0</v>
      </c>
      <c r="BH1071">
        <v>0</v>
      </c>
      <c r="BI1071" t="s">
        <v>199</v>
      </c>
      <c r="BJ1071" t="s">
        <v>396</v>
      </c>
      <c r="BL1071" t="s">
        <v>14208</v>
      </c>
      <c r="BM1071" t="s">
        <v>197</v>
      </c>
      <c r="BN1071" t="s">
        <v>182</v>
      </c>
      <c r="BO1071" t="s">
        <v>14209</v>
      </c>
      <c r="BP1071" t="s">
        <v>14210</v>
      </c>
      <c r="BQ1071" t="s">
        <v>603</v>
      </c>
      <c r="BR1071" t="s">
        <v>563</v>
      </c>
      <c r="BS1071" t="s">
        <v>198</v>
      </c>
      <c r="BT1071" t="s">
        <v>228</v>
      </c>
      <c r="BU1071" t="s">
        <v>182</v>
      </c>
      <c r="BV1071" t="s">
        <v>198</v>
      </c>
      <c r="BW1071" t="s">
        <v>198</v>
      </c>
      <c r="BX1071" t="s">
        <v>199</v>
      </c>
      <c r="BY1071" t="s">
        <v>198</v>
      </c>
      <c r="BZ1071" t="s">
        <v>199</v>
      </c>
      <c r="CA1071" t="s">
        <v>199</v>
      </c>
      <c r="CB1071" t="s">
        <v>14211</v>
      </c>
      <c r="CC1071" t="s">
        <v>201</v>
      </c>
      <c r="CD1071" t="s">
        <v>202</v>
      </c>
      <c r="CE1071" t="s">
        <v>14212</v>
      </c>
      <c r="CF1071" t="s">
        <v>1029</v>
      </c>
      <c r="CG1071" t="s">
        <v>177</v>
      </c>
      <c r="CH1071" t="s">
        <v>1030</v>
      </c>
      <c r="CI1071" t="s">
        <v>1955</v>
      </c>
      <c r="CS1071" t="s">
        <v>198</v>
      </c>
      <c r="DC1071" t="s">
        <v>198</v>
      </c>
      <c r="DM1071" t="s">
        <v>198</v>
      </c>
      <c r="DW1071" t="s">
        <v>198</v>
      </c>
      <c r="EG1071" t="s">
        <v>198</v>
      </c>
      <c r="EQ1071" t="s">
        <v>198</v>
      </c>
      <c r="FA1071" t="s">
        <v>198</v>
      </c>
      <c r="FK1071" t="s">
        <v>198</v>
      </c>
      <c r="FU1071" t="s">
        <v>198</v>
      </c>
    </row>
    <row r="1072" spans="1:177">
      <c r="A1072" s="1" t="str">
        <f>HYPERLINK("http://digipan.lumentumllc.com/apps/getLink/index.php?t=PropLink&amp;p=15741120","PL")</f>
        <v>PL</v>
      </c>
      <c r="B1072" s="1" t="str">
        <f>HYPERLINK("http://digipan.lumentumllc.com/apps/getLink/index.php?t=TaxLink&amp;p=15741120","TL")</f>
        <v>TL</v>
      </c>
      <c r="C1072" s="1" t="str">
        <f>HYPERLINK("http://digipan.lumentumllc.com/apps/getMap/index.php?p=15741120","Map")</f>
        <v>Map</v>
      </c>
      <c r="E1072" t="s">
        <v>177</v>
      </c>
      <c r="F1072" t="s">
        <v>178</v>
      </c>
      <c r="L1072" t="s">
        <v>14213</v>
      </c>
      <c r="N1072" t="s">
        <v>14213</v>
      </c>
      <c r="O1072" t="s">
        <v>14213</v>
      </c>
      <c r="Q1072" t="s">
        <v>14213</v>
      </c>
      <c r="V1072">
        <v>1235</v>
      </c>
      <c r="W1072">
        <v>4</v>
      </c>
      <c r="X1072">
        <v>2017</v>
      </c>
      <c r="Y1072">
        <v>2018</v>
      </c>
      <c r="Z1072">
        <v>571.33000000000004</v>
      </c>
      <c r="AG1072" t="s">
        <v>184</v>
      </c>
      <c r="AH1072">
        <v>0</v>
      </c>
      <c r="AK1072">
        <v>0</v>
      </c>
      <c r="AL1072">
        <v>35000</v>
      </c>
      <c r="AM1072">
        <v>35000</v>
      </c>
      <c r="AN1072">
        <v>0</v>
      </c>
      <c r="AO1072">
        <v>438</v>
      </c>
      <c r="AP1072">
        <v>2016</v>
      </c>
      <c r="AQ1072">
        <v>1.63</v>
      </c>
      <c r="AS1072" t="s">
        <v>14214</v>
      </c>
      <c r="AT1072" t="s">
        <v>3747</v>
      </c>
      <c r="AU1072" t="s">
        <v>177</v>
      </c>
      <c r="AV1072" t="s">
        <v>1030</v>
      </c>
      <c r="AW1072" t="s">
        <v>182</v>
      </c>
      <c r="AX1072">
        <v>0</v>
      </c>
      <c r="AY1072" t="s">
        <v>312</v>
      </c>
      <c r="AZ1072" t="s">
        <v>199</v>
      </c>
      <c r="BA1072" t="s">
        <v>313</v>
      </c>
      <c r="BB1072" t="s">
        <v>191</v>
      </c>
      <c r="BC1072" t="s">
        <v>182</v>
      </c>
      <c r="BD1072" t="s">
        <v>182</v>
      </c>
      <c r="BE1072" t="s">
        <v>383</v>
      </c>
      <c r="BF1072">
        <v>0</v>
      </c>
      <c r="BG1072">
        <v>0</v>
      </c>
      <c r="BH1072">
        <v>0</v>
      </c>
      <c r="BI1072" t="s">
        <v>199</v>
      </c>
      <c r="BJ1072" t="s">
        <v>396</v>
      </c>
      <c r="BL1072" t="s">
        <v>14208</v>
      </c>
      <c r="BM1072" t="s">
        <v>197</v>
      </c>
      <c r="BN1072" t="s">
        <v>182</v>
      </c>
      <c r="BO1072" t="s">
        <v>14209</v>
      </c>
      <c r="BP1072" t="s">
        <v>14210</v>
      </c>
      <c r="BQ1072" t="s">
        <v>603</v>
      </c>
      <c r="BR1072" t="s">
        <v>563</v>
      </c>
      <c r="BS1072" t="s">
        <v>198</v>
      </c>
      <c r="BT1072" t="s">
        <v>228</v>
      </c>
      <c r="BU1072" t="s">
        <v>182</v>
      </c>
      <c r="BV1072" t="s">
        <v>198</v>
      </c>
      <c r="BW1072" t="s">
        <v>198</v>
      </c>
      <c r="BX1072" t="s">
        <v>199</v>
      </c>
      <c r="BY1072" t="s">
        <v>198</v>
      </c>
      <c r="BZ1072" t="s">
        <v>199</v>
      </c>
      <c r="CA1072" t="s">
        <v>199</v>
      </c>
      <c r="CB1072" t="s">
        <v>14211</v>
      </c>
      <c r="CC1072" t="s">
        <v>201</v>
      </c>
      <c r="CD1072" t="s">
        <v>202</v>
      </c>
      <c r="CE1072" t="s">
        <v>14212</v>
      </c>
      <c r="CF1072" t="s">
        <v>1029</v>
      </c>
      <c r="CG1072" t="s">
        <v>177</v>
      </c>
      <c r="CH1072" t="s">
        <v>1030</v>
      </c>
      <c r="CI1072" t="s">
        <v>1972</v>
      </c>
      <c r="CS1072" t="s">
        <v>198</v>
      </c>
      <c r="DC1072" t="s">
        <v>198</v>
      </c>
      <c r="DM1072" t="s">
        <v>198</v>
      </c>
      <c r="DW1072" t="s">
        <v>198</v>
      </c>
      <c r="EG1072" t="s">
        <v>198</v>
      </c>
      <c r="EQ1072" t="s">
        <v>198</v>
      </c>
      <c r="FA1072" t="s">
        <v>198</v>
      </c>
      <c r="FK1072" t="s">
        <v>198</v>
      </c>
      <c r="FU1072" t="s">
        <v>198</v>
      </c>
    </row>
    <row r="1073" spans="1:177">
      <c r="A1073" s="1" t="str">
        <f>HYPERLINK("http://digipan.lumentumllc.com/apps/getLink/index.php?t=PropLink&amp;p=15741121","PL")</f>
        <v>PL</v>
      </c>
      <c r="B1073" s="1" t="str">
        <f>HYPERLINK("http://digipan.lumentumllc.com/apps/getLink/index.php?t=TaxLink&amp;p=15741121","TL")</f>
        <v>TL</v>
      </c>
      <c r="C1073" s="1" t="str">
        <f>HYPERLINK("http://digipan.lumentumllc.com/apps/getMap/index.php?p=15741121","Map")</f>
        <v>Map</v>
      </c>
      <c r="E1073" t="s">
        <v>177</v>
      </c>
      <c r="F1073" t="s">
        <v>178</v>
      </c>
      <c r="L1073" t="s">
        <v>14215</v>
      </c>
      <c r="N1073" t="s">
        <v>14215</v>
      </c>
      <c r="O1073" t="s">
        <v>14215</v>
      </c>
      <c r="Q1073" t="s">
        <v>14215</v>
      </c>
      <c r="V1073">
        <v>1236</v>
      </c>
      <c r="W1073">
        <v>4</v>
      </c>
      <c r="X1073">
        <v>2017</v>
      </c>
      <c r="Y1073">
        <v>2018</v>
      </c>
      <c r="Z1073">
        <v>571.33000000000004</v>
      </c>
      <c r="AG1073" t="s">
        <v>184</v>
      </c>
      <c r="AH1073">
        <v>0</v>
      </c>
      <c r="AK1073">
        <v>0</v>
      </c>
      <c r="AL1073">
        <v>35000</v>
      </c>
      <c r="AM1073">
        <v>35000</v>
      </c>
      <c r="AN1073">
        <v>0</v>
      </c>
      <c r="AO1073">
        <v>438</v>
      </c>
      <c r="AP1073">
        <v>2016</v>
      </c>
      <c r="AQ1073">
        <v>1.63</v>
      </c>
      <c r="AS1073" t="s">
        <v>14216</v>
      </c>
      <c r="AT1073" t="s">
        <v>3747</v>
      </c>
      <c r="AU1073" t="s">
        <v>177</v>
      </c>
      <c r="AV1073" t="s">
        <v>1030</v>
      </c>
      <c r="AW1073" t="s">
        <v>182</v>
      </c>
      <c r="AX1073">
        <v>0</v>
      </c>
      <c r="AY1073" t="s">
        <v>312</v>
      </c>
      <c r="AZ1073" t="s">
        <v>199</v>
      </c>
      <c r="BA1073" t="s">
        <v>313</v>
      </c>
      <c r="BB1073" t="s">
        <v>191</v>
      </c>
      <c r="BC1073" t="s">
        <v>182</v>
      </c>
      <c r="BD1073" t="s">
        <v>182</v>
      </c>
      <c r="BE1073" t="s">
        <v>383</v>
      </c>
      <c r="BF1073">
        <v>0</v>
      </c>
      <c r="BG1073">
        <v>0</v>
      </c>
      <c r="BH1073">
        <v>0</v>
      </c>
      <c r="BI1073" t="s">
        <v>199</v>
      </c>
      <c r="BJ1073" t="s">
        <v>396</v>
      </c>
      <c r="BL1073" t="s">
        <v>14208</v>
      </c>
      <c r="BM1073" t="s">
        <v>197</v>
      </c>
      <c r="BN1073" t="s">
        <v>182</v>
      </c>
      <c r="BO1073" t="s">
        <v>14209</v>
      </c>
      <c r="BP1073" t="s">
        <v>14210</v>
      </c>
      <c r="BQ1073" t="s">
        <v>603</v>
      </c>
      <c r="BR1073" t="s">
        <v>563</v>
      </c>
      <c r="BS1073" t="s">
        <v>198</v>
      </c>
      <c r="BT1073" t="s">
        <v>228</v>
      </c>
      <c r="BU1073" t="s">
        <v>182</v>
      </c>
      <c r="BV1073" t="s">
        <v>198</v>
      </c>
      <c r="BW1073" t="s">
        <v>198</v>
      </c>
      <c r="BX1073" t="s">
        <v>199</v>
      </c>
      <c r="BY1073" t="s">
        <v>198</v>
      </c>
      <c r="BZ1073" t="s">
        <v>199</v>
      </c>
      <c r="CA1073" t="s">
        <v>199</v>
      </c>
      <c r="CB1073" t="s">
        <v>14211</v>
      </c>
      <c r="CC1073" t="s">
        <v>201</v>
      </c>
      <c r="CD1073" t="s">
        <v>202</v>
      </c>
      <c r="CE1073" t="s">
        <v>14212</v>
      </c>
      <c r="CF1073" t="s">
        <v>1029</v>
      </c>
      <c r="CG1073" t="s">
        <v>177</v>
      </c>
      <c r="CH1073" t="s">
        <v>1030</v>
      </c>
      <c r="CI1073" t="s">
        <v>610</v>
      </c>
      <c r="CS1073" t="s">
        <v>198</v>
      </c>
      <c r="DC1073" t="s">
        <v>198</v>
      </c>
      <c r="DM1073" t="s">
        <v>198</v>
      </c>
      <c r="DW1073" t="s">
        <v>198</v>
      </c>
      <c r="EG1073" t="s">
        <v>198</v>
      </c>
      <c r="EQ1073" t="s">
        <v>198</v>
      </c>
      <c r="FA1073" t="s">
        <v>198</v>
      </c>
      <c r="FK1073" t="s">
        <v>198</v>
      </c>
      <c r="FU1073" t="s">
        <v>198</v>
      </c>
    </row>
    <row r="1074" spans="1:177">
      <c r="A1074" s="1" t="str">
        <f>HYPERLINK("http://digipan.lumentumllc.com/apps/getLink/index.php?t=PropLink&amp;p=15741122","PL")</f>
        <v>PL</v>
      </c>
      <c r="B1074" s="1" t="str">
        <f>HYPERLINK("http://digipan.lumentumllc.com/apps/getLink/index.php?t=TaxLink&amp;p=15741122","TL")</f>
        <v>TL</v>
      </c>
      <c r="C1074" s="1" t="str">
        <f>HYPERLINK("http://digipan.lumentumllc.com/apps/getMap/index.php?p=15741122","Map")</f>
        <v>Map</v>
      </c>
      <c r="E1074" t="s">
        <v>177</v>
      </c>
      <c r="F1074" t="s">
        <v>178</v>
      </c>
      <c r="L1074" t="s">
        <v>14217</v>
      </c>
      <c r="N1074" t="s">
        <v>14217</v>
      </c>
      <c r="O1074" t="s">
        <v>14217</v>
      </c>
      <c r="Q1074" t="s">
        <v>14217</v>
      </c>
      <c r="V1074">
        <v>1237</v>
      </c>
      <c r="W1074">
        <v>4</v>
      </c>
      <c r="X1074">
        <v>2017</v>
      </c>
      <c r="Y1074">
        <v>2018</v>
      </c>
      <c r="Z1074">
        <v>571.33000000000004</v>
      </c>
      <c r="AG1074" t="s">
        <v>184</v>
      </c>
      <c r="AH1074">
        <v>0</v>
      </c>
      <c r="AK1074">
        <v>0</v>
      </c>
      <c r="AL1074">
        <v>35000</v>
      </c>
      <c r="AM1074">
        <v>35000</v>
      </c>
      <c r="AN1074">
        <v>0</v>
      </c>
      <c r="AO1074">
        <v>438</v>
      </c>
      <c r="AP1074">
        <v>2016</v>
      </c>
      <c r="AQ1074">
        <v>1.63</v>
      </c>
      <c r="AS1074" t="s">
        <v>14218</v>
      </c>
      <c r="AT1074" t="s">
        <v>3747</v>
      </c>
      <c r="AU1074" t="s">
        <v>177</v>
      </c>
      <c r="AV1074" t="s">
        <v>1030</v>
      </c>
      <c r="AW1074" t="s">
        <v>182</v>
      </c>
      <c r="AX1074">
        <v>0</v>
      </c>
      <c r="AY1074" t="s">
        <v>312</v>
      </c>
      <c r="AZ1074" t="s">
        <v>199</v>
      </c>
      <c r="BA1074" t="s">
        <v>313</v>
      </c>
      <c r="BB1074" t="s">
        <v>191</v>
      </c>
      <c r="BC1074" t="s">
        <v>182</v>
      </c>
      <c r="BD1074" t="s">
        <v>182</v>
      </c>
      <c r="BE1074" t="s">
        <v>899</v>
      </c>
      <c r="BF1074">
        <v>0</v>
      </c>
      <c r="BG1074">
        <v>0</v>
      </c>
      <c r="BH1074">
        <v>0</v>
      </c>
      <c r="BI1074" t="s">
        <v>199</v>
      </c>
      <c r="BJ1074" t="s">
        <v>396</v>
      </c>
      <c r="BL1074" t="s">
        <v>14219</v>
      </c>
      <c r="BM1074" t="s">
        <v>533</v>
      </c>
      <c r="BN1074" t="s">
        <v>182</v>
      </c>
      <c r="BO1074" t="s">
        <v>14209</v>
      </c>
      <c r="BP1074" t="s">
        <v>14210</v>
      </c>
      <c r="BQ1074" t="s">
        <v>603</v>
      </c>
      <c r="BR1074" t="s">
        <v>563</v>
      </c>
      <c r="BS1074" t="s">
        <v>198</v>
      </c>
      <c r="BT1074" t="s">
        <v>228</v>
      </c>
      <c r="BU1074" t="s">
        <v>182</v>
      </c>
      <c r="BV1074" t="s">
        <v>198</v>
      </c>
      <c r="BW1074" t="s">
        <v>198</v>
      </c>
      <c r="BX1074" t="s">
        <v>199</v>
      </c>
      <c r="BY1074" t="s">
        <v>198</v>
      </c>
      <c r="BZ1074" t="s">
        <v>199</v>
      </c>
      <c r="CA1074" t="s">
        <v>199</v>
      </c>
      <c r="CB1074" t="s">
        <v>14211</v>
      </c>
      <c r="CC1074" t="s">
        <v>201</v>
      </c>
      <c r="CD1074" t="s">
        <v>202</v>
      </c>
      <c r="CE1074" t="s">
        <v>14212</v>
      </c>
      <c r="CF1074" t="s">
        <v>1029</v>
      </c>
      <c r="CG1074" t="s">
        <v>177</v>
      </c>
      <c r="CH1074" t="s">
        <v>1030</v>
      </c>
      <c r="CI1074" t="s">
        <v>629</v>
      </c>
      <c r="CS1074" t="s">
        <v>198</v>
      </c>
      <c r="DC1074" t="s">
        <v>198</v>
      </c>
      <c r="DM1074" t="s">
        <v>198</v>
      </c>
      <c r="DW1074" t="s">
        <v>198</v>
      </c>
      <c r="EG1074" t="s">
        <v>198</v>
      </c>
      <c r="EQ1074" t="s">
        <v>198</v>
      </c>
      <c r="FA1074" t="s">
        <v>198</v>
      </c>
      <c r="FK1074" t="s">
        <v>198</v>
      </c>
      <c r="FU1074" t="s">
        <v>198</v>
      </c>
    </row>
    <row r="1075" spans="1:177">
      <c r="A1075" s="1" t="str">
        <f>HYPERLINK("http://digipan.lumentumllc.com/apps/getLink/index.php?t=PropLink&amp;p=6128889","PL")</f>
        <v>PL</v>
      </c>
      <c r="B1075" s="1" t="str">
        <f>HYPERLINK("http://digipan.lumentumllc.com/apps/getLink/index.php?t=TaxLink&amp;p=6128889","TL")</f>
        <v>TL</v>
      </c>
      <c r="C1075" s="1" t="str">
        <f>HYPERLINK("http://digipan.lumentumllc.com/apps/getMap/index.php?p=6128889","Map")</f>
        <v>Map</v>
      </c>
      <c r="E1075" t="s">
        <v>177</v>
      </c>
      <c r="F1075" t="s">
        <v>178</v>
      </c>
      <c r="L1075" t="s">
        <v>14220</v>
      </c>
      <c r="N1075" t="s">
        <v>14220</v>
      </c>
      <c r="O1075" t="s">
        <v>14220</v>
      </c>
      <c r="P1075" t="s">
        <v>14221</v>
      </c>
      <c r="Q1075" t="s">
        <v>14220</v>
      </c>
      <c r="V1075">
        <v>1238</v>
      </c>
      <c r="W1075">
        <v>4</v>
      </c>
      <c r="X1075">
        <v>2017</v>
      </c>
      <c r="Y1075">
        <v>2018</v>
      </c>
      <c r="Z1075">
        <v>706.28</v>
      </c>
      <c r="AB1075" t="s">
        <v>181</v>
      </c>
      <c r="AC1075" t="s">
        <v>182</v>
      </c>
      <c r="AD1075" t="s">
        <v>183</v>
      </c>
      <c r="AE1075">
        <v>0</v>
      </c>
      <c r="AF1075">
        <v>8</v>
      </c>
      <c r="AG1075" t="s">
        <v>14222</v>
      </c>
      <c r="AH1075">
        <v>100</v>
      </c>
      <c r="AK1075">
        <v>0</v>
      </c>
      <c r="AL1075">
        <v>43972</v>
      </c>
      <c r="AM1075">
        <v>15750</v>
      </c>
      <c r="AN1075">
        <v>28222</v>
      </c>
      <c r="AO1075">
        <v>545</v>
      </c>
      <c r="AP1075">
        <v>2016</v>
      </c>
      <c r="AQ1075">
        <v>1.61</v>
      </c>
      <c r="AS1075" t="s">
        <v>14223</v>
      </c>
      <c r="AT1075" t="s">
        <v>3747</v>
      </c>
      <c r="AU1075" t="s">
        <v>177</v>
      </c>
      <c r="AV1075" t="s">
        <v>1030</v>
      </c>
      <c r="AW1075" t="s">
        <v>182</v>
      </c>
      <c r="AX1075">
        <v>2</v>
      </c>
      <c r="AY1075" t="s">
        <v>188</v>
      </c>
      <c r="AZ1075" t="s">
        <v>189</v>
      </c>
      <c r="BA1075" t="s">
        <v>190</v>
      </c>
      <c r="BB1075" t="s">
        <v>191</v>
      </c>
      <c r="BC1075" t="s">
        <v>182</v>
      </c>
      <c r="BD1075" t="s">
        <v>182</v>
      </c>
      <c r="BE1075" t="s">
        <v>383</v>
      </c>
      <c r="BF1075">
        <v>1</v>
      </c>
      <c r="BG1075">
        <v>1</v>
      </c>
      <c r="BH1075">
        <v>1995</v>
      </c>
      <c r="BI1075" t="s">
        <v>1530</v>
      </c>
      <c r="BJ1075" t="s">
        <v>194</v>
      </c>
      <c r="BK1075" t="s">
        <v>195</v>
      </c>
      <c r="BL1075" t="s">
        <v>6692</v>
      </c>
      <c r="BM1075" t="s">
        <v>273</v>
      </c>
      <c r="BN1075" t="s">
        <v>182</v>
      </c>
      <c r="BO1075" t="s">
        <v>198</v>
      </c>
      <c r="BP1075" t="s">
        <v>198</v>
      </c>
      <c r="BQ1075" t="s">
        <v>198</v>
      </c>
      <c r="BR1075" t="s">
        <v>198</v>
      </c>
      <c r="BS1075" t="s">
        <v>198</v>
      </c>
      <c r="BT1075" t="s">
        <v>198</v>
      </c>
      <c r="BU1075" t="s">
        <v>182</v>
      </c>
      <c r="BV1075" t="s">
        <v>198</v>
      </c>
      <c r="BW1075" t="s">
        <v>198</v>
      </c>
      <c r="BX1075" t="s">
        <v>199</v>
      </c>
      <c r="BY1075" t="s">
        <v>198</v>
      </c>
      <c r="BZ1075" t="s">
        <v>199</v>
      </c>
      <c r="CA1075" t="s">
        <v>199</v>
      </c>
      <c r="CB1075" t="s">
        <v>14224</v>
      </c>
      <c r="CC1075" t="s">
        <v>201</v>
      </c>
      <c r="CD1075" t="s">
        <v>182</v>
      </c>
      <c r="CE1075" t="s">
        <v>14225</v>
      </c>
      <c r="CF1075" t="s">
        <v>1029</v>
      </c>
      <c r="CG1075" t="s">
        <v>177</v>
      </c>
      <c r="CH1075" t="s">
        <v>1030</v>
      </c>
      <c r="CI1075" t="s">
        <v>7121</v>
      </c>
      <c r="CJ1075" t="s">
        <v>12687</v>
      </c>
      <c r="CK1075" t="s">
        <v>232</v>
      </c>
      <c r="CL1075" t="s">
        <v>233</v>
      </c>
      <c r="CM1075" t="s">
        <v>14226</v>
      </c>
      <c r="CN1075" t="s">
        <v>235</v>
      </c>
      <c r="CO1075" t="s">
        <v>183</v>
      </c>
      <c r="CP1075" t="s">
        <v>211</v>
      </c>
      <c r="CQ1075" t="s">
        <v>342</v>
      </c>
      <c r="CS1075" t="s">
        <v>11641</v>
      </c>
      <c r="CT1075" t="s">
        <v>11200</v>
      </c>
      <c r="CU1075" t="s">
        <v>267</v>
      </c>
      <c r="CV1075" t="s">
        <v>268</v>
      </c>
      <c r="CW1075" t="s">
        <v>14227</v>
      </c>
      <c r="CX1075" t="s">
        <v>235</v>
      </c>
      <c r="CY1075" t="s">
        <v>183</v>
      </c>
      <c r="CZ1075" t="s">
        <v>211</v>
      </c>
      <c r="DA1075" t="s">
        <v>329</v>
      </c>
      <c r="DC1075" t="s">
        <v>3727</v>
      </c>
      <c r="DD1075" t="s">
        <v>260</v>
      </c>
      <c r="DE1075" t="s">
        <v>273</v>
      </c>
      <c r="DF1075" t="s">
        <v>274</v>
      </c>
      <c r="DG1075" t="s">
        <v>14228</v>
      </c>
      <c r="DH1075" t="s">
        <v>235</v>
      </c>
      <c r="DI1075" t="s">
        <v>183</v>
      </c>
      <c r="DJ1075" t="s">
        <v>211</v>
      </c>
      <c r="DK1075" t="s">
        <v>298</v>
      </c>
      <c r="DM1075" t="s">
        <v>2749</v>
      </c>
      <c r="DN1075" t="s">
        <v>14229</v>
      </c>
      <c r="DO1075" t="s">
        <v>302</v>
      </c>
      <c r="DP1075" t="s">
        <v>303</v>
      </c>
      <c r="DQ1075" t="s">
        <v>14230</v>
      </c>
      <c r="DR1075" t="s">
        <v>511</v>
      </c>
      <c r="DS1075" t="s">
        <v>183</v>
      </c>
      <c r="DT1075" t="s">
        <v>211</v>
      </c>
      <c r="DU1075" t="s">
        <v>206</v>
      </c>
      <c r="DW1075" t="s">
        <v>12765</v>
      </c>
      <c r="DX1075" t="s">
        <v>6018</v>
      </c>
      <c r="DY1075" t="s">
        <v>238</v>
      </c>
      <c r="DZ1075" t="s">
        <v>239</v>
      </c>
      <c r="EA1075" t="s">
        <v>14231</v>
      </c>
      <c r="EB1075" t="s">
        <v>295</v>
      </c>
      <c r="EC1075" t="s">
        <v>183</v>
      </c>
      <c r="ED1075" t="s">
        <v>211</v>
      </c>
      <c r="EE1075" t="s">
        <v>306</v>
      </c>
      <c r="EG1075" t="s">
        <v>12765</v>
      </c>
      <c r="EH1075" t="s">
        <v>14232</v>
      </c>
      <c r="EI1075" t="s">
        <v>346</v>
      </c>
      <c r="EJ1075" t="s">
        <v>239</v>
      </c>
      <c r="EK1075" t="s">
        <v>14233</v>
      </c>
      <c r="EL1075" t="s">
        <v>440</v>
      </c>
      <c r="EM1075" t="s">
        <v>183</v>
      </c>
      <c r="EN1075" t="s">
        <v>211</v>
      </c>
      <c r="EO1075" t="s">
        <v>306</v>
      </c>
      <c r="EQ1075" t="s">
        <v>12765</v>
      </c>
      <c r="ER1075" t="s">
        <v>14234</v>
      </c>
      <c r="ES1075" t="s">
        <v>207</v>
      </c>
      <c r="ET1075" t="s">
        <v>239</v>
      </c>
      <c r="EU1075" t="s">
        <v>14235</v>
      </c>
      <c r="EV1075" t="s">
        <v>278</v>
      </c>
      <c r="EW1075" t="s">
        <v>183</v>
      </c>
      <c r="EX1075" t="s">
        <v>211</v>
      </c>
      <c r="EY1075" t="s">
        <v>306</v>
      </c>
      <c r="FA1075" t="s">
        <v>12765</v>
      </c>
      <c r="FB1075" t="s">
        <v>14236</v>
      </c>
      <c r="FC1075" t="s">
        <v>679</v>
      </c>
      <c r="FD1075" t="s">
        <v>239</v>
      </c>
      <c r="FE1075" t="s">
        <v>14237</v>
      </c>
      <c r="FF1075" t="s">
        <v>440</v>
      </c>
      <c r="FG1075" t="s">
        <v>183</v>
      </c>
      <c r="FH1075" t="s">
        <v>211</v>
      </c>
      <c r="FI1075" t="s">
        <v>306</v>
      </c>
      <c r="FK1075" t="s">
        <v>12765</v>
      </c>
      <c r="FU1075" t="s">
        <v>198</v>
      </c>
    </row>
    <row r="1076" spans="1:177">
      <c r="A1076" s="1" t="str">
        <f>HYPERLINK("http://digipan.lumentumllc.com/apps/getLink/index.php?t=PropLink&amp;p=5245699","PL")</f>
        <v>PL</v>
      </c>
      <c r="B1076" s="1" t="str">
        <f>HYPERLINK("http://digipan.lumentumllc.com/apps/getLink/index.php?t=TaxLink&amp;p=5245699","TL")</f>
        <v>TL</v>
      </c>
      <c r="C1076" s="1" t="str">
        <f>HYPERLINK("http://digipan.lumentumllc.com/apps/getMap/index.php?p=5245699","Map")</f>
        <v>Map</v>
      </c>
      <c r="E1076" t="s">
        <v>177</v>
      </c>
      <c r="F1076" t="s">
        <v>178</v>
      </c>
      <c r="L1076" t="s">
        <v>14238</v>
      </c>
      <c r="N1076" t="s">
        <v>14238</v>
      </c>
      <c r="O1076" t="s">
        <v>14238</v>
      </c>
      <c r="P1076" t="s">
        <v>14239</v>
      </c>
      <c r="Q1076" t="s">
        <v>14238</v>
      </c>
      <c r="V1076">
        <v>1239</v>
      </c>
      <c r="W1076">
        <v>4</v>
      </c>
      <c r="X1076">
        <v>2017</v>
      </c>
      <c r="Y1076">
        <v>2018</v>
      </c>
      <c r="Z1076">
        <v>2418.9</v>
      </c>
      <c r="AB1076" t="s">
        <v>181</v>
      </c>
      <c r="AC1076" t="s">
        <v>182</v>
      </c>
      <c r="AD1076" t="s">
        <v>183</v>
      </c>
      <c r="AE1076">
        <v>0</v>
      </c>
      <c r="AF1076">
        <v>2</v>
      </c>
      <c r="AG1076" t="s">
        <v>821</v>
      </c>
      <c r="AH1076">
        <v>100</v>
      </c>
      <c r="AK1076">
        <v>0</v>
      </c>
      <c r="AL1076">
        <v>25000</v>
      </c>
      <c r="AM1076">
        <v>25000</v>
      </c>
      <c r="AN1076">
        <v>0</v>
      </c>
      <c r="AO1076">
        <v>2193</v>
      </c>
      <c r="AP1076">
        <v>2016</v>
      </c>
      <c r="AQ1076">
        <v>9.68</v>
      </c>
      <c r="AS1076" t="s">
        <v>14240</v>
      </c>
      <c r="AT1076" t="s">
        <v>3210</v>
      </c>
      <c r="AU1076" t="s">
        <v>177</v>
      </c>
      <c r="AV1076" t="s">
        <v>2334</v>
      </c>
      <c r="AW1076" t="s">
        <v>182</v>
      </c>
      <c r="AX1076">
        <v>0</v>
      </c>
      <c r="AY1076" t="s">
        <v>312</v>
      </c>
      <c r="AZ1076" t="s">
        <v>199</v>
      </c>
      <c r="BA1076" t="s">
        <v>313</v>
      </c>
      <c r="BB1076" t="s">
        <v>191</v>
      </c>
      <c r="BC1076" t="s">
        <v>182</v>
      </c>
      <c r="BD1076" t="s">
        <v>182</v>
      </c>
      <c r="BE1076" t="s">
        <v>12565</v>
      </c>
      <c r="BF1076">
        <v>0</v>
      </c>
      <c r="BG1076">
        <v>0</v>
      </c>
      <c r="BH1076">
        <v>0</v>
      </c>
      <c r="BI1076" t="s">
        <v>199</v>
      </c>
      <c r="BJ1076" t="s">
        <v>248</v>
      </c>
      <c r="BL1076" t="s">
        <v>14241</v>
      </c>
      <c r="BM1076" t="s">
        <v>197</v>
      </c>
      <c r="BN1076" t="s">
        <v>182</v>
      </c>
      <c r="BO1076" t="s">
        <v>14242</v>
      </c>
      <c r="BP1076" t="s">
        <v>14243</v>
      </c>
      <c r="BQ1076" t="s">
        <v>562</v>
      </c>
      <c r="BR1076" t="s">
        <v>4682</v>
      </c>
      <c r="BS1076" t="s">
        <v>198</v>
      </c>
      <c r="BT1076" t="s">
        <v>14244</v>
      </c>
      <c r="BU1076" t="s">
        <v>202</v>
      </c>
      <c r="BV1076" t="s">
        <v>14245</v>
      </c>
      <c r="BW1076" t="s">
        <v>14246</v>
      </c>
      <c r="BX1076" t="s">
        <v>14247</v>
      </c>
      <c r="BY1076" t="s">
        <v>14248</v>
      </c>
      <c r="BZ1076" t="s">
        <v>199</v>
      </c>
      <c r="CA1076" t="s">
        <v>199</v>
      </c>
      <c r="CB1076" t="s">
        <v>14249</v>
      </c>
      <c r="CC1076" t="s">
        <v>201</v>
      </c>
      <c r="CD1076" t="s">
        <v>202</v>
      </c>
      <c r="CE1076" t="s">
        <v>14250</v>
      </c>
      <c r="CF1076" t="s">
        <v>2333</v>
      </c>
      <c r="CG1076" t="s">
        <v>177</v>
      </c>
      <c r="CH1076" t="s">
        <v>2334</v>
      </c>
      <c r="CI1076" t="s">
        <v>14251</v>
      </c>
      <c r="CJ1076" t="s">
        <v>2443</v>
      </c>
      <c r="CK1076" t="s">
        <v>346</v>
      </c>
      <c r="CL1076" t="s">
        <v>347</v>
      </c>
      <c r="CM1076" t="s">
        <v>14252</v>
      </c>
      <c r="CN1076" t="s">
        <v>2499</v>
      </c>
      <c r="CO1076" t="s">
        <v>183</v>
      </c>
      <c r="CP1076" t="s">
        <v>211</v>
      </c>
      <c r="CQ1076" t="s">
        <v>206</v>
      </c>
      <c r="CS1076" t="s">
        <v>14253</v>
      </c>
      <c r="CT1076" t="s">
        <v>14254</v>
      </c>
      <c r="CU1076" t="s">
        <v>207</v>
      </c>
      <c r="CV1076" t="s">
        <v>208</v>
      </c>
      <c r="CW1076" t="s">
        <v>14255</v>
      </c>
      <c r="CX1076" t="s">
        <v>408</v>
      </c>
      <c r="CY1076" t="s">
        <v>183</v>
      </c>
      <c r="CZ1076" t="s">
        <v>211</v>
      </c>
      <c r="DA1076" t="s">
        <v>306</v>
      </c>
      <c r="DC1076" t="s">
        <v>14253</v>
      </c>
      <c r="DM1076" t="s">
        <v>198</v>
      </c>
      <c r="DW1076" t="s">
        <v>198</v>
      </c>
      <c r="EG1076" t="s">
        <v>198</v>
      </c>
      <c r="EQ1076" t="s">
        <v>198</v>
      </c>
      <c r="FA1076" t="s">
        <v>198</v>
      </c>
      <c r="FK1076" t="s">
        <v>198</v>
      </c>
      <c r="FU1076" t="s">
        <v>198</v>
      </c>
    </row>
    <row r="1077" spans="1:177">
      <c r="A1077" s="1" t="str">
        <f>HYPERLINK("http://digipan.lumentumllc.com/apps/getLink/index.php?t=PropLink&amp;p=6461811","PL")</f>
        <v>PL</v>
      </c>
      <c r="B1077" s="1" t="str">
        <f>HYPERLINK("http://digipan.lumentumllc.com/apps/getLink/index.php?t=TaxLink&amp;p=6461811","TL")</f>
        <v>TL</v>
      </c>
      <c r="C1077" s="1" t="str">
        <f>HYPERLINK("http://digipan.lumentumllc.com/apps/getMap/index.php?p=6461811","Map")</f>
        <v>Map</v>
      </c>
      <c r="E1077" t="s">
        <v>177</v>
      </c>
      <c r="F1077" t="s">
        <v>178</v>
      </c>
      <c r="L1077" t="s">
        <v>14256</v>
      </c>
      <c r="N1077" t="s">
        <v>14256</v>
      </c>
      <c r="O1077" t="s">
        <v>14256</v>
      </c>
      <c r="P1077" t="s">
        <v>14257</v>
      </c>
      <c r="Q1077" t="s">
        <v>14256</v>
      </c>
      <c r="V1077">
        <v>1240</v>
      </c>
      <c r="W1077">
        <v>4</v>
      </c>
      <c r="X1077">
        <v>2017</v>
      </c>
      <c r="Y1077">
        <v>2018</v>
      </c>
      <c r="Z1077">
        <v>1278.9000000000001</v>
      </c>
      <c r="AG1077" t="s">
        <v>184</v>
      </c>
      <c r="AH1077">
        <v>0</v>
      </c>
      <c r="AK1077">
        <v>0</v>
      </c>
      <c r="AL1077">
        <v>160013</v>
      </c>
      <c r="AM1077">
        <v>26250</v>
      </c>
      <c r="AN1077">
        <v>133763</v>
      </c>
      <c r="AO1077">
        <v>1510</v>
      </c>
      <c r="AP1077">
        <v>2016</v>
      </c>
      <c r="AQ1077">
        <v>0.8</v>
      </c>
      <c r="AS1077" t="s">
        <v>14258</v>
      </c>
      <c r="AT1077" t="s">
        <v>3210</v>
      </c>
      <c r="AU1077" t="s">
        <v>177</v>
      </c>
      <c r="AV1077" t="s">
        <v>2334</v>
      </c>
      <c r="AW1077" t="s">
        <v>202</v>
      </c>
      <c r="AX1077">
        <v>1</v>
      </c>
      <c r="AY1077" t="s">
        <v>188</v>
      </c>
      <c r="AZ1077" t="s">
        <v>206</v>
      </c>
      <c r="BA1077" t="s">
        <v>355</v>
      </c>
      <c r="BB1077" t="s">
        <v>191</v>
      </c>
      <c r="BC1077" t="s">
        <v>182</v>
      </c>
      <c r="BD1077" t="s">
        <v>182</v>
      </c>
      <c r="BE1077" t="s">
        <v>6180</v>
      </c>
      <c r="BF1077">
        <v>1</v>
      </c>
      <c r="BG1077">
        <v>1</v>
      </c>
      <c r="BH1077">
        <v>2006</v>
      </c>
      <c r="BI1077" t="s">
        <v>14259</v>
      </c>
      <c r="BJ1077" t="s">
        <v>194</v>
      </c>
      <c r="BK1077" t="s">
        <v>195</v>
      </c>
      <c r="BL1077" t="s">
        <v>14260</v>
      </c>
      <c r="BM1077" t="s">
        <v>559</v>
      </c>
      <c r="BN1077" t="s">
        <v>182</v>
      </c>
      <c r="BO1077" t="s">
        <v>14261</v>
      </c>
      <c r="BP1077" t="s">
        <v>14262</v>
      </c>
      <c r="BQ1077" t="s">
        <v>581</v>
      </c>
      <c r="BR1077" t="s">
        <v>563</v>
      </c>
      <c r="BS1077" t="s">
        <v>14263</v>
      </c>
      <c r="BT1077" t="s">
        <v>8998</v>
      </c>
      <c r="BU1077" t="s">
        <v>182</v>
      </c>
      <c r="BV1077" t="s">
        <v>198</v>
      </c>
      <c r="BW1077" t="s">
        <v>198</v>
      </c>
      <c r="BX1077" t="s">
        <v>199</v>
      </c>
      <c r="BY1077" t="s">
        <v>198</v>
      </c>
      <c r="BZ1077" t="s">
        <v>199</v>
      </c>
      <c r="CA1077" t="s">
        <v>199</v>
      </c>
      <c r="CB1077" t="s">
        <v>14264</v>
      </c>
      <c r="CC1077" t="s">
        <v>201</v>
      </c>
      <c r="CD1077" t="s">
        <v>182</v>
      </c>
      <c r="CE1077" t="s">
        <v>14265</v>
      </c>
      <c r="CF1077" t="s">
        <v>2333</v>
      </c>
      <c r="CG1077" t="s">
        <v>177</v>
      </c>
      <c r="CH1077" t="s">
        <v>2334</v>
      </c>
      <c r="CI1077" t="s">
        <v>14266</v>
      </c>
      <c r="CS1077" t="s">
        <v>198</v>
      </c>
      <c r="DC1077" t="s">
        <v>198</v>
      </c>
      <c r="DM1077" t="s">
        <v>198</v>
      </c>
      <c r="DW1077" t="s">
        <v>198</v>
      </c>
      <c r="EG1077" t="s">
        <v>198</v>
      </c>
      <c r="EQ1077" t="s">
        <v>198</v>
      </c>
      <c r="FA1077" t="s">
        <v>198</v>
      </c>
      <c r="FK1077" t="s">
        <v>198</v>
      </c>
      <c r="FU1077" t="s">
        <v>198</v>
      </c>
    </row>
    <row r="1078" spans="1:177">
      <c r="A1078" s="1" t="str">
        <f>HYPERLINK("http://digipan.lumentumllc.com/apps/getLink/index.php?t=PropLink&amp;p=15745811","PL")</f>
        <v>PL</v>
      </c>
      <c r="B1078" s="1" t="str">
        <f>HYPERLINK("http://digipan.lumentumllc.com/apps/getLink/index.php?t=TaxLink&amp;p=15745811","TL")</f>
        <v>TL</v>
      </c>
      <c r="C1078" s="1" t="str">
        <f>HYPERLINK("http://digipan.lumentumllc.com/apps/getMap/index.php?p=15745811","Map")</f>
        <v>Map</v>
      </c>
      <c r="E1078" t="s">
        <v>177</v>
      </c>
      <c r="F1078" t="s">
        <v>178</v>
      </c>
      <c r="L1078" t="s">
        <v>14267</v>
      </c>
      <c r="N1078" t="s">
        <v>14267</v>
      </c>
      <c r="O1078" t="s">
        <v>14267</v>
      </c>
      <c r="Q1078" t="s">
        <v>14267</v>
      </c>
      <c r="V1078">
        <v>1242</v>
      </c>
      <c r="W1078">
        <v>4</v>
      </c>
      <c r="X1078">
        <v>2017</v>
      </c>
      <c r="Y1078">
        <v>2018</v>
      </c>
      <c r="Z1078">
        <v>1749.5</v>
      </c>
      <c r="AG1078" t="s">
        <v>184</v>
      </c>
      <c r="AH1078">
        <v>0</v>
      </c>
      <c r="AK1078">
        <v>0</v>
      </c>
      <c r="AL1078">
        <v>104900</v>
      </c>
      <c r="AM1078">
        <v>15750</v>
      </c>
      <c r="AN1078">
        <v>89150</v>
      </c>
      <c r="AO1078">
        <v>1499</v>
      </c>
      <c r="AP1078">
        <v>2016</v>
      </c>
      <c r="AQ1078">
        <v>1.67</v>
      </c>
      <c r="AS1078" t="s">
        <v>14268</v>
      </c>
      <c r="AT1078" t="s">
        <v>3210</v>
      </c>
      <c r="AU1078" t="s">
        <v>177</v>
      </c>
      <c r="AV1078" t="s">
        <v>2334</v>
      </c>
      <c r="AW1078" t="s">
        <v>182</v>
      </c>
      <c r="AX1078">
        <v>1</v>
      </c>
      <c r="AY1078" t="s">
        <v>188</v>
      </c>
      <c r="AZ1078" t="s">
        <v>206</v>
      </c>
      <c r="BA1078" t="s">
        <v>355</v>
      </c>
      <c r="BB1078" t="s">
        <v>191</v>
      </c>
      <c r="BC1078" t="s">
        <v>182</v>
      </c>
      <c r="BD1078" t="s">
        <v>182</v>
      </c>
      <c r="BE1078" t="s">
        <v>383</v>
      </c>
      <c r="BF1078">
        <v>1</v>
      </c>
      <c r="BG1078">
        <v>1</v>
      </c>
      <c r="BH1078">
        <v>1987</v>
      </c>
      <c r="BI1078" t="s">
        <v>6558</v>
      </c>
      <c r="BJ1078" t="s">
        <v>194</v>
      </c>
      <c r="BK1078" t="s">
        <v>195</v>
      </c>
      <c r="BL1078" t="s">
        <v>14269</v>
      </c>
      <c r="BM1078" t="s">
        <v>197</v>
      </c>
      <c r="BN1078" t="s">
        <v>182</v>
      </c>
      <c r="BO1078" t="s">
        <v>14270</v>
      </c>
      <c r="BP1078" t="s">
        <v>14271</v>
      </c>
      <c r="BQ1078" t="s">
        <v>562</v>
      </c>
      <c r="BR1078" t="s">
        <v>2318</v>
      </c>
      <c r="BS1078" t="s">
        <v>198</v>
      </c>
      <c r="BT1078" t="s">
        <v>801</v>
      </c>
      <c r="BU1078" t="s">
        <v>182</v>
      </c>
      <c r="BV1078" t="s">
        <v>198</v>
      </c>
      <c r="BW1078" t="s">
        <v>198</v>
      </c>
      <c r="BX1078" t="s">
        <v>199</v>
      </c>
      <c r="BY1078" t="s">
        <v>198</v>
      </c>
      <c r="BZ1078" t="s">
        <v>199</v>
      </c>
      <c r="CA1078" t="s">
        <v>199</v>
      </c>
      <c r="CB1078" t="s">
        <v>14272</v>
      </c>
      <c r="CC1078" t="s">
        <v>201</v>
      </c>
      <c r="CD1078" t="s">
        <v>202</v>
      </c>
      <c r="CE1078" t="s">
        <v>14273</v>
      </c>
      <c r="CF1078" t="s">
        <v>2333</v>
      </c>
      <c r="CG1078" t="s">
        <v>177</v>
      </c>
      <c r="CH1078" t="s">
        <v>2334</v>
      </c>
      <c r="CI1078" t="s">
        <v>14274</v>
      </c>
      <c r="CS1078" t="s">
        <v>198</v>
      </c>
      <c r="DC1078" t="s">
        <v>198</v>
      </c>
      <c r="DM1078" t="s">
        <v>198</v>
      </c>
      <c r="DW1078" t="s">
        <v>198</v>
      </c>
      <c r="EG1078" t="s">
        <v>198</v>
      </c>
      <c r="EQ1078" t="s">
        <v>198</v>
      </c>
      <c r="FA1078" t="s">
        <v>198</v>
      </c>
      <c r="FK1078" t="s">
        <v>198</v>
      </c>
      <c r="FU1078" t="s">
        <v>198</v>
      </c>
    </row>
    <row r="1079" spans="1:177">
      <c r="A1079" s="1" t="str">
        <f>HYPERLINK("http://digipan.lumentumllc.com/apps/getLink/index.php?t=PropLink&amp;p=6128980","PL")</f>
        <v>PL</v>
      </c>
      <c r="B1079" s="1" t="str">
        <f>HYPERLINK("http://digipan.lumentumllc.com/apps/getLink/index.php?t=TaxLink&amp;p=6128980","TL")</f>
        <v>TL</v>
      </c>
      <c r="C1079" s="1" t="str">
        <f>HYPERLINK("http://digipan.lumentumllc.com/apps/getMap/index.php?p=6128980","Map")</f>
        <v>Map</v>
      </c>
      <c r="E1079" t="s">
        <v>177</v>
      </c>
      <c r="F1079" t="s">
        <v>178</v>
      </c>
      <c r="L1079" t="s">
        <v>14275</v>
      </c>
      <c r="N1079" t="s">
        <v>14275</v>
      </c>
      <c r="O1079" t="s">
        <v>14275</v>
      </c>
      <c r="P1079" t="s">
        <v>14276</v>
      </c>
      <c r="Q1079" t="s">
        <v>14275</v>
      </c>
      <c r="V1079">
        <v>1244</v>
      </c>
      <c r="W1079">
        <v>4</v>
      </c>
      <c r="X1079">
        <v>2017</v>
      </c>
      <c r="Y1079">
        <v>2018</v>
      </c>
      <c r="Z1079">
        <v>281.33999999999997</v>
      </c>
      <c r="AB1079" t="s">
        <v>181</v>
      </c>
      <c r="AC1079" t="s">
        <v>182</v>
      </c>
      <c r="AD1079" t="s">
        <v>183</v>
      </c>
      <c r="AE1079">
        <v>0</v>
      </c>
      <c r="AF1079">
        <v>1</v>
      </c>
      <c r="AG1079" t="s">
        <v>821</v>
      </c>
      <c r="AH1079">
        <v>100</v>
      </c>
      <c r="AK1079">
        <v>0</v>
      </c>
      <c r="AL1079">
        <v>54824</v>
      </c>
      <c r="AM1079">
        <v>15750</v>
      </c>
      <c r="AN1079">
        <v>39074</v>
      </c>
      <c r="AO1079">
        <v>220</v>
      </c>
      <c r="AP1079">
        <v>2016</v>
      </c>
      <c r="AQ1079">
        <v>0.51</v>
      </c>
      <c r="AS1079" t="s">
        <v>14277</v>
      </c>
      <c r="AT1079" t="s">
        <v>3210</v>
      </c>
      <c r="AU1079" t="s">
        <v>177</v>
      </c>
      <c r="AV1079" t="s">
        <v>2334</v>
      </c>
      <c r="AW1079" t="s">
        <v>202</v>
      </c>
      <c r="AX1079">
        <v>2</v>
      </c>
      <c r="AY1079" t="s">
        <v>188</v>
      </c>
      <c r="AZ1079" t="s">
        <v>189</v>
      </c>
      <c r="BA1079" t="s">
        <v>190</v>
      </c>
      <c r="BB1079" t="s">
        <v>191</v>
      </c>
      <c r="BC1079" t="s">
        <v>182</v>
      </c>
      <c r="BD1079" t="s">
        <v>182</v>
      </c>
      <c r="BE1079" t="s">
        <v>14278</v>
      </c>
      <c r="BF1079">
        <v>1</v>
      </c>
      <c r="BG1079">
        <v>1</v>
      </c>
      <c r="BH1079">
        <v>1992</v>
      </c>
      <c r="BI1079" t="s">
        <v>5316</v>
      </c>
      <c r="BJ1079" t="s">
        <v>194</v>
      </c>
      <c r="BK1079" t="s">
        <v>195</v>
      </c>
      <c r="BL1079" t="s">
        <v>199</v>
      </c>
      <c r="BM1079" t="s">
        <v>945</v>
      </c>
      <c r="BN1079" t="s">
        <v>182</v>
      </c>
      <c r="BO1079" t="s">
        <v>14279</v>
      </c>
      <c r="BP1079" t="s">
        <v>9861</v>
      </c>
      <c r="BS1079" t="s">
        <v>14280</v>
      </c>
      <c r="BT1079" t="s">
        <v>198</v>
      </c>
      <c r="BU1079" t="s">
        <v>182</v>
      </c>
      <c r="BV1079" t="s">
        <v>198</v>
      </c>
      <c r="BW1079" t="s">
        <v>198</v>
      </c>
      <c r="BX1079" t="s">
        <v>199</v>
      </c>
      <c r="BY1079" t="s">
        <v>198</v>
      </c>
      <c r="BZ1079" t="s">
        <v>199</v>
      </c>
      <c r="CA1079" t="s">
        <v>199</v>
      </c>
      <c r="CB1079" t="s">
        <v>14281</v>
      </c>
      <c r="CC1079" t="s">
        <v>201</v>
      </c>
      <c r="CD1079" t="s">
        <v>182</v>
      </c>
      <c r="CE1079" t="s">
        <v>14282</v>
      </c>
      <c r="CF1079" t="s">
        <v>2333</v>
      </c>
      <c r="CG1079" t="s">
        <v>177</v>
      </c>
      <c r="CH1079" t="s">
        <v>2334</v>
      </c>
      <c r="CI1079" t="s">
        <v>14283</v>
      </c>
      <c r="CJ1079" t="s">
        <v>5095</v>
      </c>
      <c r="CK1079" t="s">
        <v>302</v>
      </c>
      <c r="CL1079" t="s">
        <v>303</v>
      </c>
      <c r="CM1079" t="s">
        <v>14284</v>
      </c>
      <c r="CN1079" t="s">
        <v>235</v>
      </c>
      <c r="CO1079" t="s">
        <v>183</v>
      </c>
      <c r="CP1079" t="s">
        <v>211</v>
      </c>
      <c r="CQ1079" t="s">
        <v>199</v>
      </c>
      <c r="CS1079" t="s">
        <v>14285</v>
      </c>
      <c r="DC1079" t="s">
        <v>198</v>
      </c>
      <c r="DM1079" t="s">
        <v>198</v>
      </c>
      <c r="DW1079" t="s">
        <v>198</v>
      </c>
      <c r="EG1079" t="s">
        <v>198</v>
      </c>
      <c r="EQ1079" t="s">
        <v>198</v>
      </c>
      <c r="FA1079" t="s">
        <v>198</v>
      </c>
      <c r="FK1079" t="s">
        <v>198</v>
      </c>
      <c r="FU1079" t="s">
        <v>198</v>
      </c>
    </row>
    <row r="1080" spans="1:177">
      <c r="A1080" s="1" t="str">
        <f>HYPERLINK("http://digipan.lumentumllc.com/apps/getLink/index.php?t=PropLink&amp;p=15746083","PL")</f>
        <v>PL</v>
      </c>
      <c r="B1080" s="1" t="str">
        <f>HYPERLINK("http://digipan.lumentumllc.com/apps/getLink/index.php?t=TaxLink&amp;p=15746083","TL")</f>
        <v>TL</v>
      </c>
      <c r="C1080" s="1" t="str">
        <f>HYPERLINK("http://digipan.lumentumllc.com/apps/getMap/index.php?p=15746083","Map")</f>
        <v>Map</v>
      </c>
      <c r="E1080" t="s">
        <v>177</v>
      </c>
      <c r="F1080" t="s">
        <v>178</v>
      </c>
      <c r="L1080" t="s">
        <v>14286</v>
      </c>
      <c r="N1080" t="s">
        <v>14286</v>
      </c>
      <c r="O1080" t="s">
        <v>14286</v>
      </c>
      <c r="Q1080" t="s">
        <v>14286</v>
      </c>
      <c r="V1080">
        <v>1245</v>
      </c>
      <c r="W1080">
        <v>4</v>
      </c>
      <c r="X1080">
        <v>2017</v>
      </c>
      <c r="Y1080">
        <v>2018</v>
      </c>
      <c r="Z1080">
        <v>473.46</v>
      </c>
      <c r="AB1080" t="s">
        <v>181</v>
      </c>
      <c r="AC1080" t="s">
        <v>182</v>
      </c>
      <c r="AD1080" t="s">
        <v>183</v>
      </c>
      <c r="AE1080">
        <v>1</v>
      </c>
      <c r="AF1080">
        <v>0</v>
      </c>
      <c r="AG1080" t="s">
        <v>1200</v>
      </c>
      <c r="AH1080">
        <v>0</v>
      </c>
      <c r="AI1080">
        <v>453.34</v>
      </c>
      <c r="AJ1080">
        <v>22.67</v>
      </c>
      <c r="AK1080">
        <v>476.01</v>
      </c>
      <c r="AL1080">
        <v>26964</v>
      </c>
      <c r="AM1080">
        <v>26964</v>
      </c>
      <c r="AN1080">
        <v>0</v>
      </c>
      <c r="AO1080">
        <v>394</v>
      </c>
      <c r="AP1080">
        <v>2016</v>
      </c>
      <c r="AQ1080">
        <v>1.76</v>
      </c>
      <c r="AR1080">
        <v>1.77</v>
      </c>
      <c r="AS1080" t="s">
        <v>14287</v>
      </c>
      <c r="AT1080" t="s">
        <v>3210</v>
      </c>
      <c r="AU1080" t="s">
        <v>177</v>
      </c>
      <c r="AV1080" t="s">
        <v>2334</v>
      </c>
      <c r="AW1080" t="s">
        <v>182</v>
      </c>
      <c r="AX1080">
        <v>0</v>
      </c>
      <c r="AY1080" t="s">
        <v>312</v>
      </c>
      <c r="AZ1080" t="s">
        <v>199</v>
      </c>
      <c r="BA1080" t="s">
        <v>313</v>
      </c>
      <c r="BB1080" t="s">
        <v>191</v>
      </c>
      <c r="BC1080" t="s">
        <v>182</v>
      </c>
      <c r="BD1080" t="s">
        <v>182</v>
      </c>
      <c r="BE1080" t="s">
        <v>7743</v>
      </c>
      <c r="BF1080">
        <v>0</v>
      </c>
      <c r="BG1080">
        <v>0</v>
      </c>
      <c r="BH1080">
        <v>0</v>
      </c>
      <c r="BI1080" t="s">
        <v>199</v>
      </c>
      <c r="BJ1080" t="s">
        <v>248</v>
      </c>
      <c r="BL1080" t="s">
        <v>199</v>
      </c>
      <c r="BM1080" t="s">
        <v>346</v>
      </c>
      <c r="BN1080" t="s">
        <v>182</v>
      </c>
      <c r="BO1080" t="s">
        <v>198</v>
      </c>
      <c r="BP1080" t="s">
        <v>198</v>
      </c>
      <c r="BQ1080" t="s">
        <v>198</v>
      </c>
      <c r="BR1080" t="s">
        <v>198</v>
      </c>
      <c r="BS1080" t="s">
        <v>198</v>
      </c>
      <c r="BT1080" t="s">
        <v>198</v>
      </c>
      <c r="BU1080" t="s">
        <v>182</v>
      </c>
      <c r="BV1080" t="s">
        <v>198</v>
      </c>
      <c r="BW1080" t="s">
        <v>198</v>
      </c>
      <c r="BX1080" t="s">
        <v>199</v>
      </c>
      <c r="BY1080" t="s">
        <v>198</v>
      </c>
      <c r="BZ1080" t="s">
        <v>199</v>
      </c>
      <c r="CA1080" t="s">
        <v>199</v>
      </c>
      <c r="CB1080" t="s">
        <v>14288</v>
      </c>
      <c r="CC1080" t="s">
        <v>201</v>
      </c>
      <c r="CD1080" t="s">
        <v>182</v>
      </c>
      <c r="CE1080" t="s">
        <v>14289</v>
      </c>
      <c r="CF1080" t="s">
        <v>2333</v>
      </c>
      <c r="CG1080" t="s">
        <v>177</v>
      </c>
      <c r="CH1080" t="s">
        <v>2334</v>
      </c>
      <c r="CI1080" t="s">
        <v>14283</v>
      </c>
      <c r="CJ1080" t="s">
        <v>10616</v>
      </c>
      <c r="CK1080" t="s">
        <v>232</v>
      </c>
      <c r="CL1080" t="s">
        <v>233</v>
      </c>
      <c r="CM1080" t="s">
        <v>14290</v>
      </c>
      <c r="CN1080" t="s">
        <v>235</v>
      </c>
      <c r="CO1080" t="s">
        <v>183</v>
      </c>
      <c r="CP1080" t="s">
        <v>266</v>
      </c>
      <c r="CS1080" t="s">
        <v>198</v>
      </c>
      <c r="DC1080" t="s">
        <v>198</v>
      </c>
      <c r="DM1080" t="s">
        <v>198</v>
      </c>
      <c r="DW1080" t="s">
        <v>198</v>
      </c>
      <c r="EG1080" t="s">
        <v>198</v>
      </c>
      <c r="EQ1080" t="s">
        <v>198</v>
      </c>
      <c r="FA1080" t="s">
        <v>198</v>
      </c>
      <c r="FK1080" t="s">
        <v>198</v>
      </c>
      <c r="FU1080" t="s">
        <v>198</v>
      </c>
    </row>
    <row r="1081" spans="1:177">
      <c r="A1081" s="1" t="str">
        <f>HYPERLINK("http://digipan.lumentumllc.com/apps/getLink/index.php?t=PropLink&amp;p=6128981","PL")</f>
        <v>PL</v>
      </c>
      <c r="B1081" s="1" t="str">
        <f>HYPERLINK("http://digipan.lumentumllc.com/apps/getLink/index.php?t=TaxLink&amp;p=6128981","TL")</f>
        <v>TL</v>
      </c>
      <c r="C1081" s="1" t="str">
        <f>HYPERLINK("http://digipan.lumentumllc.com/apps/getMap/index.php?p=6128981","Map")</f>
        <v>Map</v>
      </c>
      <c r="E1081" t="s">
        <v>177</v>
      </c>
      <c r="F1081" t="s">
        <v>178</v>
      </c>
      <c r="L1081" t="s">
        <v>14291</v>
      </c>
      <c r="N1081" t="s">
        <v>14291</v>
      </c>
      <c r="O1081" t="s">
        <v>14291</v>
      </c>
      <c r="P1081" t="s">
        <v>14292</v>
      </c>
      <c r="Q1081" t="s">
        <v>14291</v>
      </c>
      <c r="V1081">
        <v>1246</v>
      </c>
      <c r="W1081">
        <v>4</v>
      </c>
      <c r="X1081">
        <v>2017</v>
      </c>
      <c r="Y1081">
        <v>2018</v>
      </c>
      <c r="Z1081">
        <v>473.46</v>
      </c>
      <c r="AB1081" t="s">
        <v>181</v>
      </c>
      <c r="AC1081" t="s">
        <v>182</v>
      </c>
      <c r="AD1081" t="s">
        <v>183</v>
      </c>
      <c r="AE1081">
        <v>0</v>
      </c>
      <c r="AF1081">
        <v>5</v>
      </c>
      <c r="AG1081" t="s">
        <v>3266</v>
      </c>
      <c r="AH1081">
        <v>100</v>
      </c>
      <c r="AK1081">
        <v>0</v>
      </c>
      <c r="AL1081">
        <v>26964</v>
      </c>
      <c r="AM1081">
        <v>26964</v>
      </c>
      <c r="AN1081">
        <v>0</v>
      </c>
      <c r="AO1081">
        <v>394</v>
      </c>
      <c r="AP1081">
        <v>2016</v>
      </c>
      <c r="AQ1081">
        <v>1.76</v>
      </c>
      <c r="AS1081" t="s">
        <v>14287</v>
      </c>
      <c r="AT1081" t="s">
        <v>3210</v>
      </c>
      <c r="AU1081" t="s">
        <v>177</v>
      </c>
      <c r="AV1081" t="s">
        <v>2334</v>
      </c>
      <c r="AW1081" t="s">
        <v>182</v>
      </c>
      <c r="AX1081">
        <v>0</v>
      </c>
      <c r="AY1081" t="s">
        <v>312</v>
      </c>
      <c r="AZ1081" t="s">
        <v>199</v>
      </c>
      <c r="BA1081" t="s">
        <v>313</v>
      </c>
      <c r="BB1081" t="s">
        <v>191</v>
      </c>
      <c r="BC1081" t="s">
        <v>182</v>
      </c>
      <c r="BD1081" t="s">
        <v>182</v>
      </c>
      <c r="BE1081" t="s">
        <v>7743</v>
      </c>
      <c r="BF1081">
        <v>0</v>
      </c>
      <c r="BG1081">
        <v>0</v>
      </c>
      <c r="BH1081">
        <v>0</v>
      </c>
      <c r="BI1081" t="s">
        <v>199</v>
      </c>
      <c r="BJ1081" t="s">
        <v>248</v>
      </c>
      <c r="BL1081" t="s">
        <v>199</v>
      </c>
      <c r="BM1081" t="s">
        <v>346</v>
      </c>
      <c r="BN1081" t="s">
        <v>182</v>
      </c>
      <c r="BO1081" t="s">
        <v>198</v>
      </c>
      <c r="BP1081" t="s">
        <v>198</v>
      </c>
      <c r="BQ1081" t="s">
        <v>198</v>
      </c>
      <c r="BR1081" t="s">
        <v>198</v>
      </c>
      <c r="BS1081" t="s">
        <v>198</v>
      </c>
      <c r="BT1081" t="s">
        <v>198</v>
      </c>
      <c r="BU1081" t="s">
        <v>182</v>
      </c>
      <c r="BV1081" t="s">
        <v>198</v>
      </c>
      <c r="BW1081" t="s">
        <v>198</v>
      </c>
      <c r="BX1081" t="s">
        <v>199</v>
      </c>
      <c r="BY1081" t="s">
        <v>198</v>
      </c>
      <c r="BZ1081" t="s">
        <v>199</v>
      </c>
      <c r="CA1081" t="s">
        <v>199</v>
      </c>
      <c r="CB1081" t="s">
        <v>14281</v>
      </c>
      <c r="CC1081" t="s">
        <v>201</v>
      </c>
      <c r="CD1081" t="s">
        <v>182</v>
      </c>
      <c r="CE1081" t="s">
        <v>14282</v>
      </c>
      <c r="CF1081" t="s">
        <v>2333</v>
      </c>
      <c r="CG1081" t="s">
        <v>177</v>
      </c>
      <c r="CH1081" t="s">
        <v>2334</v>
      </c>
      <c r="CI1081" t="s">
        <v>14283</v>
      </c>
      <c r="CJ1081" t="s">
        <v>12850</v>
      </c>
      <c r="CK1081" t="s">
        <v>232</v>
      </c>
      <c r="CL1081" t="s">
        <v>233</v>
      </c>
      <c r="CM1081" t="s">
        <v>14290</v>
      </c>
      <c r="CN1081" t="s">
        <v>235</v>
      </c>
      <c r="CO1081" t="s">
        <v>183</v>
      </c>
      <c r="CP1081" t="s">
        <v>211</v>
      </c>
      <c r="CQ1081" t="s">
        <v>264</v>
      </c>
      <c r="CS1081" t="s">
        <v>990</v>
      </c>
      <c r="CT1081" t="s">
        <v>11198</v>
      </c>
      <c r="CU1081" t="s">
        <v>267</v>
      </c>
      <c r="CV1081" t="s">
        <v>268</v>
      </c>
      <c r="CW1081" t="s">
        <v>14293</v>
      </c>
      <c r="CX1081" t="s">
        <v>235</v>
      </c>
      <c r="CY1081" t="s">
        <v>183</v>
      </c>
      <c r="CZ1081" t="s">
        <v>211</v>
      </c>
      <c r="DA1081" t="s">
        <v>206</v>
      </c>
      <c r="DC1081" t="s">
        <v>1010</v>
      </c>
      <c r="DD1081" t="s">
        <v>438</v>
      </c>
      <c r="DE1081" t="s">
        <v>273</v>
      </c>
      <c r="DF1081" t="s">
        <v>274</v>
      </c>
      <c r="DG1081" t="s">
        <v>14294</v>
      </c>
      <c r="DH1081" t="s">
        <v>235</v>
      </c>
      <c r="DI1081" t="s">
        <v>183</v>
      </c>
      <c r="DJ1081" t="s">
        <v>211</v>
      </c>
      <c r="DK1081" t="s">
        <v>339</v>
      </c>
      <c r="DM1081" t="s">
        <v>6188</v>
      </c>
      <c r="DN1081" t="s">
        <v>14295</v>
      </c>
      <c r="DO1081" t="s">
        <v>302</v>
      </c>
      <c r="DP1081" t="s">
        <v>303</v>
      </c>
      <c r="DQ1081" t="s">
        <v>14296</v>
      </c>
      <c r="DR1081" t="s">
        <v>235</v>
      </c>
      <c r="DS1081" t="s">
        <v>183</v>
      </c>
      <c r="DT1081" t="s">
        <v>211</v>
      </c>
      <c r="DU1081" t="s">
        <v>250</v>
      </c>
      <c r="DW1081" t="s">
        <v>14297</v>
      </c>
      <c r="DX1081" t="s">
        <v>14298</v>
      </c>
      <c r="DY1081" t="s">
        <v>238</v>
      </c>
      <c r="DZ1081" t="s">
        <v>239</v>
      </c>
      <c r="EA1081" t="s">
        <v>14299</v>
      </c>
      <c r="EB1081" t="s">
        <v>247</v>
      </c>
      <c r="EC1081" t="s">
        <v>183</v>
      </c>
      <c r="ED1081" t="s">
        <v>211</v>
      </c>
      <c r="EE1081" t="s">
        <v>250</v>
      </c>
      <c r="EG1081" t="s">
        <v>14300</v>
      </c>
      <c r="EQ1081" t="s">
        <v>198</v>
      </c>
      <c r="FA1081" t="s">
        <v>198</v>
      </c>
      <c r="FK1081" t="s">
        <v>198</v>
      </c>
      <c r="FU1081" t="s">
        <v>198</v>
      </c>
    </row>
    <row r="1082" spans="1:177">
      <c r="A1082" s="1" t="str">
        <f>HYPERLINK("http://digipan.lumentumllc.com/apps/getLink/index.php?t=PropLink&amp;p=6594176","PL")</f>
        <v>PL</v>
      </c>
      <c r="B1082" s="1" t="str">
        <f>HYPERLINK("http://digipan.lumentumllc.com/apps/getLink/index.php?t=TaxLink&amp;p=6594176","TL")</f>
        <v>TL</v>
      </c>
      <c r="C1082" s="1" t="str">
        <f>HYPERLINK("http://digipan.lumentumllc.com/apps/getMap/index.php?p=6594176","Map")</f>
        <v>Map</v>
      </c>
      <c r="E1082" t="s">
        <v>177</v>
      </c>
      <c r="F1082" t="s">
        <v>178</v>
      </c>
      <c r="L1082" t="s">
        <v>14301</v>
      </c>
      <c r="N1082" t="s">
        <v>14301</v>
      </c>
      <c r="O1082" t="s">
        <v>14301</v>
      </c>
      <c r="P1082" t="s">
        <v>14302</v>
      </c>
      <c r="Q1082" t="s">
        <v>14301</v>
      </c>
      <c r="V1082">
        <v>1247</v>
      </c>
      <c r="W1082">
        <v>4</v>
      </c>
      <c r="X1082">
        <v>2017</v>
      </c>
      <c r="Y1082">
        <v>2018</v>
      </c>
      <c r="Z1082">
        <v>2233.19</v>
      </c>
      <c r="AB1082" t="s">
        <v>181</v>
      </c>
      <c r="AC1082" t="s">
        <v>182</v>
      </c>
      <c r="AD1082" t="s">
        <v>183</v>
      </c>
      <c r="AE1082">
        <v>1</v>
      </c>
      <c r="AF1082">
        <v>2</v>
      </c>
      <c r="AG1082" t="s">
        <v>363</v>
      </c>
      <c r="AH1082">
        <v>67</v>
      </c>
      <c r="AI1082">
        <v>2133.59</v>
      </c>
      <c r="AJ1082">
        <v>106.68</v>
      </c>
      <c r="AK1082">
        <v>2240.27</v>
      </c>
      <c r="AL1082">
        <v>134444</v>
      </c>
      <c r="AM1082">
        <v>74812</v>
      </c>
      <c r="AN1082">
        <v>59632</v>
      </c>
      <c r="AO1082">
        <v>1948</v>
      </c>
      <c r="AP1082">
        <v>2016</v>
      </c>
      <c r="AQ1082">
        <v>1.66</v>
      </c>
      <c r="AR1082">
        <v>1.67</v>
      </c>
      <c r="AS1082" t="s">
        <v>14303</v>
      </c>
      <c r="AT1082" t="s">
        <v>3210</v>
      </c>
      <c r="AU1082" t="s">
        <v>177</v>
      </c>
      <c r="AV1082" t="s">
        <v>2334</v>
      </c>
      <c r="AW1082" t="s">
        <v>182</v>
      </c>
      <c r="AX1082">
        <v>2</v>
      </c>
      <c r="AY1082" t="s">
        <v>188</v>
      </c>
      <c r="AZ1082" t="s">
        <v>189</v>
      </c>
      <c r="BA1082" t="s">
        <v>190</v>
      </c>
      <c r="BB1082" t="s">
        <v>191</v>
      </c>
      <c r="BC1082" t="s">
        <v>182</v>
      </c>
      <c r="BD1082" t="s">
        <v>182</v>
      </c>
      <c r="BE1082" t="s">
        <v>14304</v>
      </c>
      <c r="BF1082">
        <v>1</v>
      </c>
      <c r="BG1082">
        <v>1</v>
      </c>
      <c r="BH1082">
        <v>2006</v>
      </c>
      <c r="BI1082" t="s">
        <v>14305</v>
      </c>
      <c r="BJ1082" t="s">
        <v>194</v>
      </c>
      <c r="BK1082" t="s">
        <v>195</v>
      </c>
      <c r="BL1082" t="s">
        <v>14306</v>
      </c>
      <c r="BM1082" t="s">
        <v>273</v>
      </c>
      <c r="BN1082" t="s">
        <v>182</v>
      </c>
      <c r="BO1082" t="s">
        <v>198</v>
      </c>
      <c r="BP1082" t="s">
        <v>198</v>
      </c>
      <c r="BQ1082" t="s">
        <v>198</v>
      </c>
      <c r="BR1082" t="s">
        <v>198</v>
      </c>
      <c r="BS1082" t="s">
        <v>198</v>
      </c>
      <c r="BT1082" t="s">
        <v>198</v>
      </c>
      <c r="BU1082" t="s">
        <v>182</v>
      </c>
      <c r="BV1082" t="s">
        <v>198</v>
      </c>
      <c r="BW1082" t="s">
        <v>198</v>
      </c>
      <c r="BX1082" t="s">
        <v>199</v>
      </c>
      <c r="BY1082" t="s">
        <v>198</v>
      </c>
      <c r="BZ1082" t="s">
        <v>199</v>
      </c>
      <c r="CA1082" t="s">
        <v>199</v>
      </c>
      <c r="CB1082" t="s">
        <v>14307</v>
      </c>
      <c r="CC1082" t="s">
        <v>201</v>
      </c>
      <c r="CD1082" t="s">
        <v>182</v>
      </c>
      <c r="CE1082" t="s">
        <v>14308</v>
      </c>
      <c r="CF1082" t="s">
        <v>2333</v>
      </c>
      <c r="CG1082" t="s">
        <v>177</v>
      </c>
      <c r="CH1082" t="s">
        <v>2334</v>
      </c>
      <c r="CI1082" t="s">
        <v>14309</v>
      </c>
      <c r="CJ1082" t="s">
        <v>12867</v>
      </c>
      <c r="CK1082" t="s">
        <v>232</v>
      </c>
      <c r="CL1082" t="s">
        <v>233</v>
      </c>
      <c r="CM1082" t="s">
        <v>14310</v>
      </c>
      <c r="CN1082" t="s">
        <v>235</v>
      </c>
      <c r="CO1082" t="s">
        <v>183</v>
      </c>
      <c r="CP1082" t="s">
        <v>266</v>
      </c>
      <c r="CS1082" t="s">
        <v>198</v>
      </c>
      <c r="CT1082" t="s">
        <v>2674</v>
      </c>
      <c r="CU1082" t="s">
        <v>267</v>
      </c>
      <c r="CV1082" t="s">
        <v>268</v>
      </c>
      <c r="CW1082" t="s">
        <v>14311</v>
      </c>
      <c r="CX1082" t="s">
        <v>511</v>
      </c>
      <c r="CY1082" t="s">
        <v>183</v>
      </c>
      <c r="CZ1082" t="s">
        <v>211</v>
      </c>
      <c r="DA1082" t="s">
        <v>339</v>
      </c>
      <c r="DC1082" t="s">
        <v>9183</v>
      </c>
      <c r="DD1082" t="s">
        <v>490</v>
      </c>
      <c r="DE1082" t="s">
        <v>273</v>
      </c>
      <c r="DF1082" t="s">
        <v>274</v>
      </c>
      <c r="DG1082" t="s">
        <v>14312</v>
      </c>
      <c r="DH1082" t="s">
        <v>235</v>
      </c>
      <c r="DI1082" t="s">
        <v>183</v>
      </c>
      <c r="DJ1082" t="s">
        <v>211</v>
      </c>
      <c r="DK1082" t="s">
        <v>487</v>
      </c>
      <c r="DM1082" t="s">
        <v>14313</v>
      </c>
      <c r="DW1082" t="s">
        <v>198</v>
      </c>
      <c r="EG1082" t="s">
        <v>198</v>
      </c>
      <c r="EQ1082" t="s">
        <v>198</v>
      </c>
      <c r="FA1082" t="s">
        <v>198</v>
      </c>
      <c r="FK1082" t="s">
        <v>198</v>
      </c>
      <c r="FU1082" t="s">
        <v>198</v>
      </c>
    </row>
    <row r="1083" spans="1:177">
      <c r="A1083" s="1" t="str">
        <f>HYPERLINK("http://digipan.lumentumllc.com/apps/getLink/index.php?t=PropLink&amp;p=15746107","PL")</f>
        <v>PL</v>
      </c>
      <c r="B1083" s="1" t="str">
        <f>HYPERLINK("http://digipan.lumentumllc.com/apps/getLink/index.php?t=TaxLink&amp;p=15746107","TL")</f>
        <v>TL</v>
      </c>
      <c r="C1083" s="1" t="str">
        <f>HYPERLINK("http://digipan.lumentumllc.com/apps/getMap/index.php?p=15746107","Map")</f>
        <v>Map</v>
      </c>
      <c r="E1083" t="s">
        <v>177</v>
      </c>
      <c r="F1083" t="s">
        <v>178</v>
      </c>
      <c r="L1083" t="s">
        <v>14314</v>
      </c>
      <c r="N1083" t="s">
        <v>14314</v>
      </c>
      <c r="O1083" t="s">
        <v>14314</v>
      </c>
      <c r="Q1083" t="s">
        <v>14314</v>
      </c>
      <c r="V1083">
        <v>1248</v>
      </c>
      <c r="W1083">
        <v>4</v>
      </c>
      <c r="X1083">
        <v>2017</v>
      </c>
      <c r="Y1083">
        <v>2018</v>
      </c>
      <c r="Z1083">
        <v>804.67</v>
      </c>
      <c r="AG1083" t="s">
        <v>184</v>
      </c>
      <c r="AH1083">
        <v>0</v>
      </c>
      <c r="AK1083">
        <v>0</v>
      </c>
      <c r="AL1083">
        <v>47193</v>
      </c>
      <c r="AM1083">
        <v>13387</v>
      </c>
      <c r="AN1083">
        <v>33806</v>
      </c>
      <c r="AO1083">
        <v>694</v>
      </c>
      <c r="AP1083">
        <v>2016</v>
      </c>
      <c r="AQ1083">
        <v>1.71</v>
      </c>
      <c r="AS1083" t="s">
        <v>14315</v>
      </c>
      <c r="AT1083" t="s">
        <v>3210</v>
      </c>
      <c r="AU1083" t="s">
        <v>177</v>
      </c>
      <c r="AV1083" t="s">
        <v>2334</v>
      </c>
      <c r="AW1083" t="s">
        <v>182</v>
      </c>
      <c r="AX1083">
        <v>1</v>
      </c>
      <c r="AY1083" t="s">
        <v>188</v>
      </c>
      <c r="AZ1083" t="s">
        <v>206</v>
      </c>
      <c r="BA1083" t="s">
        <v>355</v>
      </c>
      <c r="BB1083" t="s">
        <v>191</v>
      </c>
      <c r="BC1083" t="s">
        <v>182</v>
      </c>
      <c r="BD1083" t="s">
        <v>182</v>
      </c>
      <c r="BE1083" t="s">
        <v>7188</v>
      </c>
      <c r="BF1083">
        <v>1</v>
      </c>
      <c r="BG1083">
        <v>1</v>
      </c>
      <c r="BH1083">
        <v>1974</v>
      </c>
      <c r="BI1083" t="s">
        <v>10026</v>
      </c>
      <c r="BJ1083" t="s">
        <v>285</v>
      </c>
      <c r="BK1083" t="s">
        <v>195</v>
      </c>
      <c r="BL1083" t="s">
        <v>4009</v>
      </c>
      <c r="BM1083" t="s">
        <v>197</v>
      </c>
      <c r="BN1083" t="s">
        <v>182</v>
      </c>
      <c r="BO1083" t="s">
        <v>198</v>
      </c>
      <c r="BP1083" t="s">
        <v>198</v>
      </c>
      <c r="BQ1083" t="s">
        <v>198</v>
      </c>
      <c r="BR1083" t="s">
        <v>198</v>
      </c>
      <c r="BS1083" t="s">
        <v>198</v>
      </c>
      <c r="BT1083" t="s">
        <v>198</v>
      </c>
      <c r="BU1083" t="s">
        <v>182</v>
      </c>
      <c r="BV1083" t="s">
        <v>198</v>
      </c>
      <c r="BW1083" t="s">
        <v>198</v>
      </c>
      <c r="BX1083" t="s">
        <v>199</v>
      </c>
      <c r="BY1083" t="s">
        <v>198</v>
      </c>
      <c r="BZ1083" t="s">
        <v>199</v>
      </c>
      <c r="CA1083" t="s">
        <v>199</v>
      </c>
      <c r="CB1083" t="s">
        <v>14316</v>
      </c>
      <c r="CC1083" t="s">
        <v>201</v>
      </c>
      <c r="CD1083" t="s">
        <v>202</v>
      </c>
      <c r="CE1083" t="s">
        <v>14317</v>
      </c>
      <c r="CF1083" t="s">
        <v>5331</v>
      </c>
      <c r="CG1083" t="s">
        <v>177</v>
      </c>
      <c r="CH1083" t="s">
        <v>371</v>
      </c>
      <c r="CI1083" t="s">
        <v>8241</v>
      </c>
      <c r="CS1083" t="s">
        <v>198</v>
      </c>
      <c r="DC1083" t="s">
        <v>198</v>
      </c>
      <c r="DM1083" t="s">
        <v>198</v>
      </c>
      <c r="DW1083" t="s">
        <v>198</v>
      </c>
      <c r="EG1083" t="s">
        <v>198</v>
      </c>
      <c r="EQ1083" t="s">
        <v>198</v>
      </c>
      <c r="FA1083" t="s">
        <v>198</v>
      </c>
      <c r="FK1083" t="s">
        <v>198</v>
      </c>
      <c r="FU1083" t="s">
        <v>198</v>
      </c>
    </row>
    <row r="1084" spans="1:177">
      <c r="A1084" s="1" t="str">
        <f>HYPERLINK("http://digipan.lumentumllc.com/apps/getLink/index.php?t=PropLink&amp;p=5246054","PL")</f>
        <v>PL</v>
      </c>
      <c r="B1084" s="1" t="str">
        <f>HYPERLINK("http://digipan.lumentumllc.com/apps/getLink/index.php?t=TaxLink&amp;p=5246054","TL")</f>
        <v>TL</v>
      </c>
      <c r="C1084" s="1" t="str">
        <f>HYPERLINK("http://digipan.lumentumllc.com/apps/getMap/index.php?p=5246054","Map")</f>
        <v>Map</v>
      </c>
      <c r="E1084" t="s">
        <v>177</v>
      </c>
      <c r="F1084" t="s">
        <v>178</v>
      </c>
      <c r="L1084" t="s">
        <v>14318</v>
      </c>
      <c r="N1084" t="s">
        <v>14318</v>
      </c>
      <c r="O1084" t="s">
        <v>14318</v>
      </c>
      <c r="P1084" t="s">
        <v>14319</v>
      </c>
      <c r="Q1084" t="s">
        <v>14318</v>
      </c>
      <c r="V1084">
        <v>1249</v>
      </c>
      <c r="W1084">
        <v>4</v>
      </c>
      <c r="X1084">
        <v>2017</v>
      </c>
      <c r="Y1084">
        <v>2018</v>
      </c>
      <c r="Z1084">
        <v>515.57000000000005</v>
      </c>
      <c r="AB1084" t="s">
        <v>181</v>
      </c>
      <c r="AC1084" t="s">
        <v>182</v>
      </c>
      <c r="AD1084" t="s">
        <v>183</v>
      </c>
      <c r="AE1084">
        <v>0</v>
      </c>
      <c r="AF1084">
        <v>1</v>
      </c>
      <c r="AG1084" t="s">
        <v>821</v>
      </c>
      <c r="AH1084">
        <v>100</v>
      </c>
      <c r="AK1084">
        <v>0</v>
      </c>
      <c r="AL1084">
        <v>67265</v>
      </c>
      <c r="AM1084">
        <v>15750</v>
      </c>
      <c r="AN1084">
        <v>51515</v>
      </c>
      <c r="AO1084">
        <v>446</v>
      </c>
      <c r="AP1084">
        <v>2016</v>
      </c>
      <c r="AQ1084">
        <v>0.77</v>
      </c>
      <c r="AS1084" t="s">
        <v>14320</v>
      </c>
      <c r="AT1084" t="s">
        <v>3210</v>
      </c>
      <c r="AU1084" t="s">
        <v>177</v>
      </c>
      <c r="AV1084" t="s">
        <v>2334</v>
      </c>
      <c r="AW1084" t="s">
        <v>202</v>
      </c>
      <c r="AX1084">
        <v>2</v>
      </c>
      <c r="AY1084" t="s">
        <v>188</v>
      </c>
      <c r="AZ1084" t="s">
        <v>189</v>
      </c>
      <c r="BA1084" t="s">
        <v>190</v>
      </c>
      <c r="BB1084" t="s">
        <v>191</v>
      </c>
      <c r="BC1084" t="s">
        <v>182</v>
      </c>
      <c r="BD1084" t="s">
        <v>182</v>
      </c>
      <c r="BE1084" t="s">
        <v>235</v>
      </c>
      <c r="BF1084">
        <v>1</v>
      </c>
      <c r="BG1084">
        <v>1</v>
      </c>
      <c r="BH1084">
        <v>2004</v>
      </c>
      <c r="BI1084" t="s">
        <v>14321</v>
      </c>
      <c r="BJ1084" t="s">
        <v>194</v>
      </c>
      <c r="BK1084" t="s">
        <v>195</v>
      </c>
      <c r="BL1084" t="s">
        <v>1332</v>
      </c>
      <c r="BM1084" t="s">
        <v>1332</v>
      </c>
      <c r="BN1084" t="s">
        <v>182</v>
      </c>
      <c r="BO1084" t="s">
        <v>198</v>
      </c>
      <c r="BP1084" t="s">
        <v>198</v>
      </c>
      <c r="BQ1084" t="s">
        <v>198</v>
      </c>
      <c r="BR1084" t="s">
        <v>198</v>
      </c>
      <c r="BS1084" t="s">
        <v>198</v>
      </c>
      <c r="BT1084" t="s">
        <v>198</v>
      </c>
      <c r="BU1084" t="s">
        <v>182</v>
      </c>
      <c r="BV1084" t="s">
        <v>198</v>
      </c>
      <c r="BW1084" t="s">
        <v>198</v>
      </c>
      <c r="BX1084" t="s">
        <v>199</v>
      </c>
      <c r="BY1084" t="s">
        <v>198</v>
      </c>
      <c r="BZ1084" t="s">
        <v>199</v>
      </c>
      <c r="CA1084" t="s">
        <v>199</v>
      </c>
      <c r="CB1084" t="s">
        <v>14322</v>
      </c>
      <c r="CC1084" t="s">
        <v>201</v>
      </c>
      <c r="CD1084" t="s">
        <v>182</v>
      </c>
      <c r="CE1084" t="s">
        <v>14323</v>
      </c>
      <c r="CF1084" t="s">
        <v>2333</v>
      </c>
      <c r="CG1084" t="s">
        <v>177</v>
      </c>
      <c r="CH1084" t="s">
        <v>2334</v>
      </c>
      <c r="CI1084" t="s">
        <v>14324</v>
      </c>
      <c r="CJ1084" t="s">
        <v>11872</v>
      </c>
      <c r="CK1084" t="s">
        <v>302</v>
      </c>
      <c r="CL1084" t="s">
        <v>303</v>
      </c>
      <c r="CM1084" t="s">
        <v>14325</v>
      </c>
      <c r="CN1084" t="s">
        <v>235</v>
      </c>
      <c r="CO1084" t="s">
        <v>183</v>
      </c>
      <c r="CP1084" t="s">
        <v>211</v>
      </c>
      <c r="CQ1084" t="s">
        <v>199</v>
      </c>
      <c r="CS1084" t="s">
        <v>5257</v>
      </c>
      <c r="DC1084" t="s">
        <v>198</v>
      </c>
      <c r="DM1084" t="s">
        <v>198</v>
      </c>
      <c r="DW1084" t="s">
        <v>198</v>
      </c>
      <c r="EG1084" t="s">
        <v>198</v>
      </c>
      <c r="EQ1084" t="s">
        <v>198</v>
      </c>
      <c r="FA1084" t="s">
        <v>198</v>
      </c>
      <c r="FK1084" t="s">
        <v>198</v>
      </c>
      <c r="FU1084" t="s">
        <v>198</v>
      </c>
    </row>
    <row r="1085" spans="1:177">
      <c r="A1085" s="1" t="str">
        <f>HYPERLINK("http://digipan.lumentumllc.com/apps/getLink/index.php?t=PropLink&amp;p=5244846","PL")</f>
        <v>PL</v>
      </c>
      <c r="B1085" s="1" t="str">
        <f>HYPERLINK("http://digipan.lumentumllc.com/apps/getLink/index.php?t=TaxLink&amp;p=5244846","TL")</f>
        <v>TL</v>
      </c>
      <c r="C1085" s="1" t="str">
        <f>HYPERLINK("http://digipan.lumentumllc.com/apps/getMap/index.php?p=5244846","Map")</f>
        <v>Map</v>
      </c>
      <c r="E1085" t="s">
        <v>177</v>
      </c>
      <c r="F1085" t="s">
        <v>178</v>
      </c>
      <c r="L1085" t="s">
        <v>14326</v>
      </c>
      <c r="N1085" t="s">
        <v>14326</v>
      </c>
      <c r="O1085" t="s">
        <v>14326</v>
      </c>
      <c r="P1085" t="s">
        <v>14327</v>
      </c>
      <c r="Q1085" t="s">
        <v>14326</v>
      </c>
      <c r="V1085">
        <v>1250</v>
      </c>
      <c r="W1085">
        <v>4</v>
      </c>
      <c r="X1085">
        <v>2017</v>
      </c>
      <c r="Y1085">
        <v>2018</v>
      </c>
      <c r="Z1085">
        <v>894.14</v>
      </c>
      <c r="AB1085" t="s">
        <v>181</v>
      </c>
      <c r="AC1085" t="s">
        <v>182</v>
      </c>
      <c r="AD1085" t="s">
        <v>183</v>
      </c>
      <c r="AE1085">
        <v>1</v>
      </c>
      <c r="AF1085">
        <v>6</v>
      </c>
      <c r="AG1085" t="s">
        <v>418</v>
      </c>
      <c r="AH1085">
        <v>86</v>
      </c>
      <c r="AI1085">
        <v>872.23</v>
      </c>
      <c r="AJ1085">
        <v>85.04</v>
      </c>
      <c r="AK1085">
        <v>957.27</v>
      </c>
      <c r="AL1085">
        <v>251209</v>
      </c>
      <c r="AM1085">
        <v>41790</v>
      </c>
      <c r="AN1085">
        <v>209419</v>
      </c>
      <c r="AO1085">
        <v>782</v>
      </c>
      <c r="AP1085">
        <v>2016</v>
      </c>
      <c r="AQ1085">
        <v>0.36</v>
      </c>
      <c r="AR1085">
        <v>0.38</v>
      </c>
      <c r="AS1085" t="s">
        <v>14328</v>
      </c>
      <c r="AT1085" t="s">
        <v>3210</v>
      </c>
      <c r="AU1085" t="s">
        <v>177</v>
      </c>
      <c r="AV1085" t="s">
        <v>2334</v>
      </c>
      <c r="AW1085" t="s">
        <v>182</v>
      </c>
      <c r="AX1085">
        <v>56</v>
      </c>
      <c r="AY1085" t="s">
        <v>218</v>
      </c>
      <c r="AZ1085" t="s">
        <v>219</v>
      </c>
      <c r="BA1085" t="s">
        <v>220</v>
      </c>
      <c r="BB1085" t="s">
        <v>191</v>
      </c>
      <c r="BC1085" t="s">
        <v>182</v>
      </c>
      <c r="BD1085" t="s">
        <v>182</v>
      </c>
      <c r="BE1085" t="s">
        <v>14329</v>
      </c>
      <c r="BF1085">
        <v>0</v>
      </c>
      <c r="BG1085">
        <v>0</v>
      </c>
      <c r="BH1085">
        <v>0</v>
      </c>
      <c r="BI1085" t="s">
        <v>199</v>
      </c>
      <c r="BJ1085" t="s">
        <v>315</v>
      </c>
      <c r="BL1085" t="s">
        <v>199</v>
      </c>
      <c r="BM1085" t="s">
        <v>207</v>
      </c>
      <c r="BN1085" t="s">
        <v>182</v>
      </c>
      <c r="BO1085" t="s">
        <v>14330</v>
      </c>
      <c r="BP1085" t="s">
        <v>8860</v>
      </c>
      <c r="BS1085" t="s">
        <v>14331</v>
      </c>
      <c r="BT1085" t="s">
        <v>198</v>
      </c>
      <c r="BU1085" t="s">
        <v>182</v>
      </c>
      <c r="BV1085" t="s">
        <v>198</v>
      </c>
      <c r="BW1085" t="s">
        <v>198</v>
      </c>
      <c r="BX1085" t="s">
        <v>199</v>
      </c>
      <c r="BY1085" t="s">
        <v>198</v>
      </c>
      <c r="BZ1085" t="s">
        <v>199</v>
      </c>
      <c r="CA1085" t="s">
        <v>199</v>
      </c>
      <c r="CB1085" t="s">
        <v>14332</v>
      </c>
      <c r="CC1085" t="s">
        <v>201</v>
      </c>
      <c r="CD1085" t="s">
        <v>202</v>
      </c>
      <c r="CE1085" t="s">
        <v>14333</v>
      </c>
      <c r="CF1085" t="s">
        <v>14334</v>
      </c>
      <c r="CG1085" t="s">
        <v>1602</v>
      </c>
      <c r="CH1085" t="s">
        <v>14335</v>
      </c>
      <c r="CI1085" t="s">
        <v>14336</v>
      </c>
      <c r="CJ1085" t="s">
        <v>14064</v>
      </c>
      <c r="CK1085" t="s">
        <v>232</v>
      </c>
      <c r="CL1085" t="s">
        <v>233</v>
      </c>
      <c r="CM1085" t="s">
        <v>14337</v>
      </c>
      <c r="CN1085" t="s">
        <v>341</v>
      </c>
      <c r="CO1085" t="s">
        <v>183</v>
      </c>
      <c r="CP1085" t="s">
        <v>266</v>
      </c>
      <c r="CS1085" t="s">
        <v>198</v>
      </c>
      <c r="CT1085" t="s">
        <v>4941</v>
      </c>
      <c r="CU1085" t="s">
        <v>292</v>
      </c>
      <c r="CV1085" t="s">
        <v>293</v>
      </c>
      <c r="CW1085" t="s">
        <v>14338</v>
      </c>
      <c r="CX1085" t="s">
        <v>235</v>
      </c>
      <c r="CY1085" t="s">
        <v>183</v>
      </c>
      <c r="CZ1085" t="s">
        <v>211</v>
      </c>
      <c r="DA1085" t="s">
        <v>298</v>
      </c>
      <c r="DC1085" t="s">
        <v>8314</v>
      </c>
      <c r="DD1085" t="s">
        <v>4122</v>
      </c>
      <c r="DE1085" t="s">
        <v>267</v>
      </c>
      <c r="DF1085" t="s">
        <v>268</v>
      </c>
      <c r="DG1085" t="s">
        <v>14339</v>
      </c>
      <c r="DH1085" t="s">
        <v>331</v>
      </c>
      <c r="DI1085" t="s">
        <v>183</v>
      </c>
      <c r="DJ1085" t="s">
        <v>211</v>
      </c>
      <c r="DK1085" t="s">
        <v>525</v>
      </c>
      <c r="DM1085" t="s">
        <v>8314</v>
      </c>
      <c r="DN1085" t="s">
        <v>5095</v>
      </c>
      <c r="DO1085" t="s">
        <v>273</v>
      </c>
      <c r="DP1085" t="s">
        <v>274</v>
      </c>
      <c r="DQ1085" t="s">
        <v>14340</v>
      </c>
      <c r="DR1085" t="s">
        <v>278</v>
      </c>
      <c r="DS1085" t="s">
        <v>183</v>
      </c>
      <c r="DT1085" t="s">
        <v>211</v>
      </c>
      <c r="DU1085" t="s">
        <v>1064</v>
      </c>
      <c r="DW1085" t="s">
        <v>8314</v>
      </c>
      <c r="DX1085" t="s">
        <v>14341</v>
      </c>
      <c r="DY1085" t="s">
        <v>302</v>
      </c>
      <c r="DZ1085" t="s">
        <v>303</v>
      </c>
      <c r="EA1085" t="s">
        <v>14342</v>
      </c>
      <c r="EB1085" t="s">
        <v>235</v>
      </c>
      <c r="EC1085" t="s">
        <v>183</v>
      </c>
      <c r="ED1085" t="s">
        <v>211</v>
      </c>
      <c r="EE1085" t="s">
        <v>298</v>
      </c>
      <c r="EG1085" t="s">
        <v>2184</v>
      </c>
      <c r="EH1085" t="s">
        <v>5702</v>
      </c>
      <c r="EI1085" t="s">
        <v>238</v>
      </c>
      <c r="EJ1085" t="s">
        <v>239</v>
      </c>
      <c r="EK1085" t="s">
        <v>14343</v>
      </c>
      <c r="EL1085" t="s">
        <v>247</v>
      </c>
      <c r="EM1085" t="s">
        <v>183</v>
      </c>
      <c r="EN1085" t="s">
        <v>211</v>
      </c>
      <c r="EO1085" t="s">
        <v>493</v>
      </c>
      <c r="EQ1085" t="s">
        <v>9621</v>
      </c>
      <c r="ER1085" t="s">
        <v>14344</v>
      </c>
      <c r="ES1085" t="s">
        <v>346</v>
      </c>
      <c r="ET1085" t="s">
        <v>347</v>
      </c>
      <c r="EU1085" t="s">
        <v>14345</v>
      </c>
      <c r="EV1085" t="s">
        <v>688</v>
      </c>
      <c r="EW1085" t="s">
        <v>183</v>
      </c>
      <c r="EX1085" t="s">
        <v>211</v>
      </c>
      <c r="EY1085" t="s">
        <v>298</v>
      </c>
      <c r="FA1085" t="s">
        <v>1100</v>
      </c>
      <c r="FK1085" t="s">
        <v>198</v>
      </c>
      <c r="FU1085" t="s">
        <v>198</v>
      </c>
    </row>
    <row r="1086" spans="1:177">
      <c r="A1086" s="1" t="str">
        <f>HYPERLINK("http://digipan.lumentumllc.com/apps/getLink/index.php?t=PropLink&amp;p=5244847","PL")</f>
        <v>PL</v>
      </c>
      <c r="B1086" s="1" t="str">
        <f>HYPERLINK("http://digipan.lumentumllc.com/apps/getLink/index.php?t=TaxLink&amp;p=5244847","TL")</f>
        <v>TL</v>
      </c>
      <c r="C1086" s="1" t="str">
        <f>HYPERLINK("http://digipan.lumentumllc.com/apps/getMap/index.php?p=5244847","Map")</f>
        <v>Map</v>
      </c>
      <c r="E1086" t="s">
        <v>177</v>
      </c>
      <c r="F1086" t="s">
        <v>178</v>
      </c>
      <c r="L1086" t="s">
        <v>14346</v>
      </c>
      <c r="N1086" t="s">
        <v>14346</v>
      </c>
      <c r="O1086" t="s">
        <v>14346</v>
      </c>
      <c r="P1086" t="s">
        <v>14347</v>
      </c>
      <c r="Q1086" t="s">
        <v>14346</v>
      </c>
      <c r="V1086">
        <v>1251</v>
      </c>
      <c r="W1086">
        <v>4</v>
      </c>
      <c r="X1086">
        <v>2017</v>
      </c>
      <c r="Y1086">
        <v>2018</v>
      </c>
      <c r="Z1086">
        <v>847.07</v>
      </c>
      <c r="AB1086" t="s">
        <v>181</v>
      </c>
      <c r="AC1086" t="s">
        <v>182</v>
      </c>
      <c r="AD1086" t="s">
        <v>183</v>
      </c>
      <c r="AE1086">
        <v>1</v>
      </c>
      <c r="AF1086">
        <v>7</v>
      </c>
      <c r="AG1086" t="s">
        <v>418</v>
      </c>
      <c r="AH1086">
        <v>86</v>
      </c>
      <c r="AI1086">
        <v>833.96</v>
      </c>
      <c r="AJ1086">
        <v>45.87</v>
      </c>
      <c r="AK1086">
        <v>879.83</v>
      </c>
      <c r="AL1086">
        <v>49783</v>
      </c>
      <c r="AM1086">
        <v>18000</v>
      </c>
      <c r="AN1086">
        <v>31783</v>
      </c>
      <c r="AO1086">
        <v>746</v>
      </c>
      <c r="AP1086">
        <v>2016</v>
      </c>
      <c r="AQ1086">
        <v>1.7</v>
      </c>
      <c r="AR1086">
        <v>1.77</v>
      </c>
      <c r="AS1086" t="s">
        <v>14348</v>
      </c>
      <c r="AT1086" t="s">
        <v>3210</v>
      </c>
      <c r="AU1086" t="s">
        <v>177</v>
      </c>
      <c r="AV1086" t="s">
        <v>2334</v>
      </c>
      <c r="AW1086" t="s">
        <v>182</v>
      </c>
      <c r="AX1086">
        <v>0</v>
      </c>
      <c r="AY1086" t="s">
        <v>312</v>
      </c>
      <c r="AZ1086" t="s">
        <v>199</v>
      </c>
      <c r="BA1086" t="s">
        <v>313</v>
      </c>
      <c r="BB1086" t="s">
        <v>191</v>
      </c>
      <c r="BC1086" t="s">
        <v>182</v>
      </c>
      <c r="BD1086" t="s">
        <v>182</v>
      </c>
      <c r="BE1086" t="s">
        <v>383</v>
      </c>
      <c r="BF1086">
        <v>1</v>
      </c>
      <c r="BG1086">
        <v>0</v>
      </c>
      <c r="BH1086">
        <v>0</v>
      </c>
      <c r="BI1086" t="s">
        <v>199</v>
      </c>
      <c r="BJ1086" t="s">
        <v>248</v>
      </c>
      <c r="BL1086" t="s">
        <v>199</v>
      </c>
      <c r="BM1086" t="s">
        <v>207</v>
      </c>
      <c r="BN1086" t="s">
        <v>182</v>
      </c>
      <c r="BO1086" t="s">
        <v>198</v>
      </c>
      <c r="BP1086" t="s">
        <v>198</v>
      </c>
      <c r="BQ1086" t="s">
        <v>198</v>
      </c>
      <c r="BR1086" t="s">
        <v>198</v>
      </c>
      <c r="BS1086" t="s">
        <v>198</v>
      </c>
      <c r="BT1086" t="s">
        <v>198</v>
      </c>
      <c r="BU1086" t="s">
        <v>182</v>
      </c>
      <c r="BV1086" t="s">
        <v>198</v>
      </c>
      <c r="BW1086" t="s">
        <v>198</v>
      </c>
      <c r="BX1086" t="s">
        <v>199</v>
      </c>
      <c r="BY1086" t="s">
        <v>198</v>
      </c>
      <c r="BZ1086" t="s">
        <v>199</v>
      </c>
      <c r="CA1086" t="s">
        <v>199</v>
      </c>
      <c r="CB1086" t="s">
        <v>14332</v>
      </c>
      <c r="CC1086" t="s">
        <v>201</v>
      </c>
      <c r="CD1086" t="s">
        <v>202</v>
      </c>
      <c r="CE1086" t="s">
        <v>14333</v>
      </c>
      <c r="CF1086" t="s">
        <v>14334</v>
      </c>
      <c r="CG1086" t="s">
        <v>1602</v>
      </c>
      <c r="CH1086" t="s">
        <v>14335</v>
      </c>
      <c r="CI1086" t="s">
        <v>14349</v>
      </c>
      <c r="CJ1086" t="s">
        <v>13441</v>
      </c>
      <c r="CK1086" t="s">
        <v>232</v>
      </c>
      <c r="CL1086" t="s">
        <v>233</v>
      </c>
      <c r="CM1086" t="s">
        <v>14350</v>
      </c>
      <c r="CN1086" t="s">
        <v>1164</v>
      </c>
      <c r="CO1086" t="s">
        <v>183</v>
      </c>
      <c r="CP1086" t="s">
        <v>266</v>
      </c>
      <c r="CS1086" t="s">
        <v>198</v>
      </c>
      <c r="CT1086" t="s">
        <v>13265</v>
      </c>
      <c r="CU1086" t="s">
        <v>292</v>
      </c>
      <c r="CV1086" t="s">
        <v>293</v>
      </c>
      <c r="CW1086" t="s">
        <v>14351</v>
      </c>
      <c r="CX1086" t="s">
        <v>331</v>
      </c>
      <c r="CY1086" t="s">
        <v>183</v>
      </c>
      <c r="CZ1086" t="s">
        <v>211</v>
      </c>
      <c r="DA1086" t="s">
        <v>298</v>
      </c>
      <c r="DC1086" t="s">
        <v>8314</v>
      </c>
      <c r="DD1086" t="s">
        <v>7970</v>
      </c>
      <c r="DE1086" t="s">
        <v>267</v>
      </c>
      <c r="DF1086" t="s">
        <v>268</v>
      </c>
      <c r="DG1086" t="s">
        <v>14352</v>
      </c>
      <c r="DH1086" t="s">
        <v>1966</v>
      </c>
      <c r="DI1086" t="s">
        <v>183</v>
      </c>
      <c r="DJ1086" t="s">
        <v>211</v>
      </c>
      <c r="DK1086" t="s">
        <v>525</v>
      </c>
      <c r="DM1086" t="s">
        <v>8314</v>
      </c>
      <c r="DN1086" t="s">
        <v>14295</v>
      </c>
      <c r="DO1086" t="s">
        <v>273</v>
      </c>
      <c r="DP1086" t="s">
        <v>274</v>
      </c>
      <c r="DQ1086" t="s">
        <v>14353</v>
      </c>
      <c r="DR1086" t="s">
        <v>1676</v>
      </c>
      <c r="DS1086" t="s">
        <v>183</v>
      </c>
      <c r="DT1086" t="s">
        <v>211</v>
      </c>
      <c r="DU1086" t="s">
        <v>298</v>
      </c>
      <c r="DW1086" t="s">
        <v>5907</v>
      </c>
      <c r="DX1086" t="s">
        <v>11936</v>
      </c>
      <c r="DY1086" t="s">
        <v>302</v>
      </c>
      <c r="DZ1086" t="s">
        <v>303</v>
      </c>
      <c r="EA1086" t="s">
        <v>14354</v>
      </c>
      <c r="EB1086" t="s">
        <v>235</v>
      </c>
      <c r="EC1086" t="s">
        <v>183</v>
      </c>
      <c r="ED1086" t="s">
        <v>211</v>
      </c>
      <c r="EE1086" t="s">
        <v>298</v>
      </c>
      <c r="EG1086" t="s">
        <v>2184</v>
      </c>
      <c r="EH1086" t="s">
        <v>5715</v>
      </c>
      <c r="EI1086" t="s">
        <v>238</v>
      </c>
      <c r="EJ1086" t="s">
        <v>239</v>
      </c>
      <c r="EK1086" t="s">
        <v>14355</v>
      </c>
      <c r="EL1086" t="s">
        <v>391</v>
      </c>
      <c r="EM1086" t="s">
        <v>183</v>
      </c>
      <c r="EN1086" t="s">
        <v>211</v>
      </c>
      <c r="EO1086" t="s">
        <v>493</v>
      </c>
      <c r="EQ1086" t="s">
        <v>9621</v>
      </c>
      <c r="ER1086" t="s">
        <v>14356</v>
      </c>
      <c r="ES1086" t="s">
        <v>346</v>
      </c>
      <c r="ET1086" t="s">
        <v>347</v>
      </c>
      <c r="EU1086" t="s">
        <v>14357</v>
      </c>
      <c r="EV1086" t="s">
        <v>1491</v>
      </c>
      <c r="EW1086" t="s">
        <v>183</v>
      </c>
      <c r="EX1086" t="s">
        <v>211</v>
      </c>
      <c r="EY1086" t="s">
        <v>298</v>
      </c>
      <c r="FA1086" t="s">
        <v>1100</v>
      </c>
      <c r="FB1086" t="s">
        <v>14358</v>
      </c>
      <c r="FC1086" t="s">
        <v>207</v>
      </c>
      <c r="FD1086" t="s">
        <v>208</v>
      </c>
      <c r="FE1086" t="s">
        <v>14359</v>
      </c>
      <c r="FF1086" t="s">
        <v>1966</v>
      </c>
      <c r="FG1086" t="s">
        <v>183</v>
      </c>
      <c r="FH1086" t="s">
        <v>211</v>
      </c>
      <c r="FI1086" t="s">
        <v>264</v>
      </c>
      <c r="FK1086" t="s">
        <v>14360</v>
      </c>
      <c r="FU1086" t="s">
        <v>198</v>
      </c>
    </row>
    <row r="1087" spans="1:177">
      <c r="A1087" s="1" t="str">
        <f>HYPERLINK("http://digipan.lumentumllc.com/apps/getLink/index.php?t=PropLink&amp;p=5244848","PL")</f>
        <v>PL</v>
      </c>
      <c r="B1087" s="1" t="str">
        <f>HYPERLINK("http://digipan.lumentumllc.com/apps/getLink/index.php?t=TaxLink&amp;p=5244848","TL")</f>
        <v>TL</v>
      </c>
      <c r="C1087" s="1" t="str">
        <f>HYPERLINK("http://digipan.lumentumllc.com/apps/getMap/index.php?p=5244848","Map")</f>
        <v>Map</v>
      </c>
      <c r="E1087" t="s">
        <v>177</v>
      </c>
      <c r="F1087" t="s">
        <v>178</v>
      </c>
      <c r="L1087" t="s">
        <v>14361</v>
      </c>
      <c r="N1087" t="s">
        <v>14361</v>
      </c>
      <c r="O1087" t="s">
        <v>14361</v>
      </c>
      <c r="P1087" t="s">
        <v>14362</v>
      </c>
      <c r="Q1087" t="s">
        <v>14361</v>
      </c>
      <c r="V1087">
        <v>1252</v>
      </c>
      <c r="W1087">
        <v>4</v>
      </c>
      <c r="X1087">
        <v>2017</v>
      </c>
      <c r="Y1087">
        <v>2018</v>
      </c>
      <c r="Z1087">
        <v>525.89</v>
      </c>
      <c r="AB1087" t="s">
        <v>181</v>
      </c>
      <c r="AC1087" t="s">
        <v>182</v>
      </c>
      <c r="AD1087" t="s">
        <v>183</v>
      </c>
      <c r="AE1087">
        <v>1</v>
      </c>
      <c r="AF1087">
        <v>6</v>
      </c>
      <c r="AG1087" t="s">
        <v>418</v>
      </c>
      <c r="AH1087">
        <v>86</v>
      </c>
      <c r="AI1087">
        <v>487.16</v>
      </c>
      <c r="AJ1087">
        <v>43.84</v>
      </c>
      <c r="AK1087">
        <v>531</v>
      </c>
      <c r="AL1087">
        <v>30165</v>
      </c>
      <c r="AM1087">
        <v>18000</v>
      </c>
      <c r="AN1087">
        <v>12165</v>
      </c>
      <c r="AO1087">
        <v>425</v>
      </c>
      <c r="AP1087">
        <v>2016</v>
      </c>
      <c r="AQ1087">
        <v>1.74</v>
      </c>
      <c r="AR1087">
        <v>1.76</v>
      </c>
      <c r="AS1087" t="s">
        <v>14363</v>
      </c>
      <c r="AT1087" t="s">
        <v>3210</v>
      </c>
      <c r="AU1087" t="s">
        <v>177</v>
      </c>
      <c r="AV1087" t="s">
        <v>2334</v>
      </c>
      <c r="AW1087" t="s">
        <v>182</v>
      </c>
      <c r="AX1087">
        <v>0</v>
      </c>
      <c r="AY1087" t="s">
        <v>312</v>
      </c>
      <c r="AZ1087" t="s">
        <v>199</v>
      </c>
      <c r="BA1087" t="s">
        <v>313</v>
      </c>
      <c r="BB1087" t="s">
        <v>191</v>
      </c>
      <c r="BC1087" t="s">
        <v>182</v>
      </c>
      <c r="BD1087" t="s">
        <v>182</v>
      </c>
      <c r="BE1087" t="s">
        <v>383</v>
      </c>
      <c r="BF1087">
        <v>1</v>
      </c>
      <c r="BG1087">
        <v>0</v>
      </c>
      <c r="BH1087">
        <v>0</v>
      </c>
      <c r="BI1087" t="s">
        <v>199</v>
      </c>
      <c r="BJ1087" t="s">
        <v>248</v>
      </c>
      <c r="BL1087" t="s">
        <v>199</v>
      </c>
      <c r="BM1087" t="s">
        <v>207</v>
      </c>
      <c r="BN1087" t="s">
        <v>182</v>
      </c>
      <c r="BO1087" t="s">
        <v>198</v>
      </c>
      <c r="BP1087" t="s">
        <v>198</v>
      </c>
      <c r="BQ1087" t="s">
        <v>198</v>
      </c>
      <c r="BR1087" t="s">
        <v>198</v>
      </c>
      <c r="BS1087" t="s">
        <v>198</v>
      </c>
      <c r="BT1087" t="s">
        <v>198</v>
      </c>
      <c r="BU1087" t="s">
        <v>182</v>
      </c>
      <c r="BV1087" t="s">
        <v>198</v>
      </c>
      <c r="BW1087" t="s">
        <v>198</v>
      </c>
      <c r="BX1087" t="s">
        <v>199</v>
      </c>
      <c r="BY1087" t="s">
        <v>198</v>
      </c>
      <c r="BZ1087" t="s">
        <v>199</v>
      </c>
      <c r="CA1087" t="s">
        <v>199</v>
      </c>
      <c r="CB1087" t="s">
        <v>14332</v>
      </c>
      <c r="CC1087" t="s">
        <v>201</v>
      </c>
      <c r="CD1087" t="s">
        <v>202</v>
      </c>
      <c r="CE1087" t="s">
        <v>14333</v>
      </c>
      <c r="CF1087" t="s">
        <v>14334</v>
      </c>
      <c r="CG1087" t="s">
        <v>1602</v>
      </c>
      <c r="CH1087" t="s">
        <v>14335</v>
      </c>
      <c r="CI1087" t="s">
        <v>14364</v>
      </c>
      <c r="CJ1087" t="s">
        <v>11745</v>
      </c>
      <c r="CK1087" t="s">
        <v>232</v>
      </c>
      <c r="CL1087" t="s">
        <v>233</v>
      </c>
      <c r="CM1087" t="s">
        <v>14365</v>
      </c>
      <c r="CN1087" t="s">
        <v>1966</v>
      </c>
      <c r="CO1087" t="s">
        <v>183</v>
      </c>
      <c r="CP1087" t="s">
        <v>266</v>
      </c>
      <c r="CS1087" t="s">
        <v>198</v>
      </c>
      <c r="CT1087" t="s">
        <v>10924</v>
      </c>
      <c r="CU1087" t="s">
        <v>292</v>
      </c>
      <c r="CV1087" t="s">
        <v>293</v>
      </c>
      <c r="CW1087" t="s">
        <v>14366</v>
      </c>
      <c r="CX1087" t="s">
        <v>333</v>
      </c>
      <c r="CY1087" t="s">
        <v>183</v>
      </c>
      <c r="CZ1087" t="s">
        <v>211</v>
      </c>
      <c r="DA1087" t="s">
        <v>298</v>
      </c>
      <c r="DC1087" t="s">
        <v>8314</v>
      </c>
      <c r="DD1087" t="s">
        <v>11358</v>
      </c>
      <c r="DE1087" t="s">
        <v>267</v>
      </c>
      <c r="DF1087" t="s">
        <v>268</v>
      </c>
      <c r="DG1087" t="s">
        <v>14367</v>
      </c>
      <c r="DH1087" t="s">
        <v>1966</v>
      </c>
      <c r="DI1087" t="s">
        <v>183</v>
      </c>
      <c r="DJ1087" t="s">
        <v>211</v>
      </c>
      <c r="DK1087" t="s">
        <v>525</v>
      </c>
      <c r="DM1087" t="s">
        <v>8314</v>
      </c>
      <c r="DN1087" t="s">
        <v>5114</v>
      </c>
      <c r="DO1087" t="s">
        <v>273</v>
      </c>
      <c r="DP1087" t="s">
        <v>274</v>
      </c>
      <c r="DQ1087" t="s">
        <v>14368</v>
      </c>
      <c r="DR1087" t="s">
        <v>402</v>
      </c>
      <c r="DS1087" t="s">
        <v>183</v>
      </c>
      <c r="DT1087" t="s">
        <v>211</v>
      </c>
      <c r="DU1087" t="s">
        <v>298</v>
      </c>
      <c r="DW1087" t="s">
        <v>5907</v>
      </c>
      <c r="DX1087" t="s">
        <v>14369</v>
      </c>
      <c r="DY1087" t="s">
        <v>302</v>
      </c>
      <c r="DZ1087" t="s">
        <v>303</v>
      </c>
      <c r="EA1087" t="s">
        <v>14370</v>
      </c>
      <c r="EB1087" t="s">
        <v>838</v>
      </c>
      <c r="EC1087" t="s">
        <v>183</v>
      </c>
      <c r="ED1087" t="s">
        <v>211</v>
      </c>
      <c r="EE1087" t="s">
        <v>298</v>
      </c>
      <c r="EG1087" t="s">
        <v>2184</v>
      </c>
      <c r="EH1087" t="s">
        <v>8865</v>
      </c>
      <c r="EI1087" t="s">
        <v>238</v>
      </c>
      <c r="EJ1087" t="s">
        <v>239</v>
      </c>
      <c r="EK1087" t="s">
        <v>14371</v>
      </c>
      <c r="EL1087" t="s">
        <v>391</v>
      </c>
      <c r="EM1087" t="s">
        <v>183</v>
      </c>
      <c r="EN1087" t="s">
        <v>211</v>
      </c>
      <c r="EO1087" t="s">
        <v>493</v>
      </c>
      <c r="EQ1087" t="s">
        <v>9621</v>
      </c>
      <c r="ER1087" t="s">
        <v>6235</v>
      </c>
      <c r="ES1087" t="s">
        <v>346</v>
      </c>
      <c r="ET1087" t="s">
        <v>347</v>
      </c>
      <c r="EU1087" t="s">
        <v>14372</v>
      </c>
      <c r="EV1087" t="s">
        <v>1491</v>
      </c>
      <c r="EW1087" t="s">
        <v>183</v>
      </c>
      <c r="EX1087" t="s">
        <v>211</v>
      </c>
      <c r="EY1087" t="s">
        <v>298</v>
      </c>
      <c r="FA1087" t="s">
        <v>1100</v>
      </c>
      <c r="FK1087" t="s">
        <v>198</v>
      </c>
      <c r="FU1087" t="s">
        <v>198</v>
      </c>
    </row>
    <row r="1088" spans="1:177">
      <c r="A1088" s="1" t="str">
        <f>HYPERLINK("http://digipan.lumentumllc.com/apps/getLink/index.php?t=PropLink&amp;p=6128782","PL")</f>
        <v>PL</v>
      </c>
      <c r="B1088" s="1" t="str">
        <f>HYPERLINK("http://digipan.lumentumllc.com/apps/getLink/index.php?t=TaxLink&amp;p=6128782","TL")</f>
        <v>TL</v>
      </c>
      <c r="C1088" s="1" t="str">
        <f>HYPERLINK("http://digipan.lumentumllc.com/apps/getMap/index.php?p=6128782","Map")</f>
        <v>Map</v>
      </c>
      <c r="E1088" t="s">
        <v>177</v>
      </c>
      <c r="F1088" t="s">
        <v>178</v>
      </c>
      <c r="L1088" t="s">
        <v>14373</v>
      </c>
      <c r="N1088" t="s">
        <v>14373</v>
      </c>
      <c r="O1088" t="s">
        <v>14373</v>
      </c>
      <c r="P1088" t="s">
        <v>14374</v>
      </c>
      <c r="Q1088" t="s">
        <v>14373</v>
      </c>
      <c r="V1088">
        <v>1253</v>
      </c>
      <c r="W1088">
        <v>4</v>
      </c>
      <c r="X1088">
        <v>2017</v>
      </c>
      <c r="Y1088">
        <v>2018</v>
      </c>
      <c r="Z1088">
        <v>1508.49</v>
      </c>
      <c r="AB1088" t="s">
        <v>181</v>
      </c>
      <c r="AC1088" t="s">
        <v>182</v>
      </c>
      <c r="AD1088" t="s">
        <v>183</v>
      </c>
      <c r="AE1088">
        <v>1</v>
      </c>
      <c r="AF1088">
        <v>5</v>
      </c>
      <c r="AG1088" t="s">
        <v>322</v>
      </c>
      <c r="AH1088">
        <v>83</v>
      </c>
      <c r="AI1088">
        <v>1524.18</v>
      </c>
      <c r="AJ1088">
        <v>76.209999999999994</v>
      </c>
      <c r="AK1088">
        <v>1600.39</v>
      </c>
      <c r="AL1088">
        <v>90180</v>
      </c>
      <c r="AM1088">
        <v>90180</v>
      </c>
      <c r="AN1088">
        <v>0</v>
      </c>
      <c r="AO1088">
        <v>1384</v>
      </c>
      <c r="AP1088">
        <v>2016</v>
      </c>
      <c r="AQ1088">
        <v>1.67</v>
      </c>
      <c r="AR1088">
        <v>1.77</v>
      </c>
      <c r="AS1088" t="s">
        <v>14328</v>
      </c>
      <c r="AT1088" t="s">
        <v>3210</v>
      </c>
      <c r="AU1088" t="s">
        <v>177</v>
      </c>
      <c r="AV1088" t="s">
        <v>2334</v>
      </c>
      <c r="AW1088" t="s">
        <v>182</v>
      </c>
      <c r="AX1088">
        <v>0</v>
      </c>
      <c r="AY1088" t="s">
        <v>312</v>
      </c>
      <c r="AZ1088" t="s">
        <v>199</v>
      </c>
      <c r="BA1088" t="s">
        <v>313</v>
      </c>
      <c r="BB1088" t="s">
        <v>191</v>
      </c>
      <c r="BC1088" t="s">
        <v>182</v>
      </c>
      <c r="BD1088" t="s">
        <v>182</v>
      </c>
      <c r="BE1088" t="s">
        <v>14375</v>
      </c>
      <c r="BF1088">
        <v>0</v>
      </c>
      <c r="BG1088">
        <v>0</v>
      </c>
      <c r="BH1088">
        <v>0</v>
      </c>
      <c r="BI1088" t="s">
        <v>199</v>
      </c>
      <c r="BJ1088" t="s">
        <v>315</v>
      </c>
      <c r="BL1088" t="s">
        <v>14376</v>
      </c>
      <c r="BM1088" t="s">
        <v>273</v>
      </c>
      <c r="BN1088" t="s">
        <v>182</v>
      </c>
      <c r="BO1088" t="s">
        <v>198</v>
      </c>
      <c r="BP1088" t="s">
        <v>198</v>
      </c>
      <c r="BQ1088" t="s">
        <v>198</v>
      </c>
      <c r="BR1088" t="s">
        <v>198</v>
      </c>
      <c r="BS1088" t="s">
        <v>198</v>
      </c>
      <c r="BT1088" t="s">
        <v>198</v>
      </c>
      <c r="BU1088" t="s">
        <v>182</v>
      </c>
      <c r="BV1088" t="s">
        <v>198</v>
      </c>
      <c r="BW1088" t="s">
        <v>198</v>
      </c>
      <c r="BX1088" t="s">
        <v>199</v>
      </c>
      <c r="BY1088" t="s">
        <v>198</v>
      </c>
      <c r="BZ1088" t="s">
        <v>199</v>
      </c>
      <c r="CA1088" t="s">
        <v>199</v>
      </c>
      <c r="CB1088" t="s">
        <v>14377</v>
      </c>
      <c r="CC1088" t="s">
        <v>201</v>
      </c>
      <c r="CD1088" t="s">
        <v>202</v>
      </c>
      <c r="CE1088" t="s">
        <v>14378</v>
      </c>
      <c r="CF1088" t="s">
        <v>14334</v>
      </c>
      <c r="CG1088" t="s">
        <v>1602</v>
      </c>
      <c r="CH1088" t="s">
        <v>14335</v>
      </c>
      <c r="CI1088" t="s">
        <v>14379</v>
      </c>
      <c r="CJ1088" t="s">
        <v>12923</v>
      </c>
      <c r="CK1088" t="s">
        <v>232</v>
      </c>
      <c r="CL1088" t="s">
        <v>233</v>
      </c>
      <c r="CM1088" t="s">
        <v>14380</v>
      </c>
      <c r="CN1088" t="s">
        <v>235</v>
      </c>
      <c r="CO1088" t="s">
        <v>183</v>
      </c>
      <c r="CP1088" t="s">
        <v>266</v>
      </c>
      <c r="CS1088" t="s">
        <v>198</v>
      </c>
      <c r="CT1088" t="s">
        <v>13278</v>
      </c>
      <c r="CU1088" t="s">
        <v>292</v>
      </c>
      <c r="CV1088" t="s">
        <v>293</v>
      </c>
      <c r="CW1088" t="s">
        <v>14381</v>
      </c>
      <c r="CX1088" t="s">
        <v>235</v>
      </c>
      <c r="CY1088" t="s">
        <v>183</v>
      </c>
      <c r="CZ1088" t="s">
        <v>211</v>
      </c>
      <c r="DA1088" t="s">
        <v>298</v>
      </c>
      <c r="DC1088" t="s">
        <v>8314</v>
      </c>
      <c r="DD1088" t="s">
        <v>11316</v>
      </c>
      <c r="DE1088" t="s">
        <v>267</v>
      </c>
      <c r="DF1088" t="s">
        <v>268</v>
      </c>
      <c r="DG1088" t="s">
        <v>14382</v>
      </c>
      <c r="DH1088" t="s">
        <v>331</v>
      </c>
      <c r="DI1088" t="s">
        <v>183</v>
      </c>
      <c r="DJ1088" t="s">
        <v>211</v>
      </c>
      <c r="DK1088" t="s">
        <v>298</v>
      </c>
      <c r="DM1088" t="s">
        <v>7011</v>
      </c>
      <c r="DN1088" t="s">
        <v>11782</v>
      </c>
      <c r="DO1088" t="s">
        <v>273</v>
      </c>
      <c r="DP1088" t="s">
        <v>274</v>
      </c>
      <c r="DQ1088" t="s">
        <v>14383</v>
      </c>
      <c r="DR1088" t="s">
        <v>482</v>
      </c>
      <c r="DS1088" t="s">
        <v>183</v>
      </c>
      <c r="DT1088" t="s">
        <v>211</v>
      </c>
      <c r="DU1088" t="s">
        <v>298</v>
      </c>
      <c r="DW1088" t="s">
        <v>5907</v>
      </c>
      <c r="DX1088" t="s">
        <v>499</v>
      </c>
      <c r="DY1088" t="s">
        <v>302</v>
      </c>
      <c r="DZ1088" t="s">
        <v>303</v>
      </c>
      <c r="EA1088" t="s">
        <v>14384</v>
      </c>
      <c r="EB1088" t="s">
        <v>331</v>
      </c>
      <c r="EC1088" t="s">
        <v>183</v>
      </c>
      <c r="ED1088" t="s">
        <v>211</v>
      </c>
      <c r="EE1088" t="s">
        <v>339</v>
      </c>
      <c r="EG1088" t="s">
        <v>9621</v>
      </c>
      <c r="EH1088" t="s">
        <v>5622</v>
      </c>
      <c r="EI1088" t="s">
        <v>238</v>
      </c>
      <c r="EJ1088" t="s">
        <v>239</v>
      </c>
      <c r="EK1088" t="s">
        <v>14385</v>
      </c>
      <c r="EL1088" t="s">
        <v>6250</v>
      </c>
      <c r="EM1088" t="s">
        <v>183</v>
      </c>
      <c r="EN1088" t="s">
        <v>211</v>
      </c>
      <c r="EO1088" t="s">
        <v>189</v>
      </c>
      <c r="EQ1088" t="s">
        <v>9245</v>
      </c>
      <c r="FA1088" t="s">
        <v>198</v>
      </c>
      <c r="FK1088" t="s">
        <v>198</v>
      </c>
      <c r="FU1088" t="s">
        <v>198</v>
      </c>
    </row>
    <row r="1089" spans="1:177">
      <c r="A1089" s="1" t="str">
        <f>HYPERLINK("http://digipan.lumentumllc.com/apps/getLink/index.php?t=PropLink&amp;p=6128810","PL")</f>
        <v>PL</v>
      </c>
      <c r="B1089" s="1" t="str">
        <f>HYPERLINK("http://digipan.lumentumllc.com/apps/getLink/index.php?t=TaxLink&amp;p=6128810","TL")</f>
        <v>TL</v>
      </c>
      <c r="C1089" s="1" t="str">
        <f>HYPERLINK("http://digipan.lumentumllc.com/apps/getMap/index.php?p=6128810","Map")</f>
        <v>Map</v>
      </c>
      <c r="E1089" t="s">
        <v>177</v>
      </c>
      <c r="F1089" t="s">
        <v>178</v>
      </c>
      <c r="L1089" t="s">
        <v>14386</v>
      </c>
      <c r="N1089" t="s">
        <v>14386</v>
      </c>
      <c r="O1089" t="s">
        <v>14386</v>
      </c>
      <c r="P1089" t="s">
        <v>14387</v>
      </c>
      <c r="Q1089" t="s">
        <v>14386</v>
      </c>
      <c r="V1089">
        <v>1254</v>
      </c>
      <c r="W1089">
        <v>4</v>
      </c>
      <c r="X1089">
        <v>2017</v>
      </c>
      <c r="Y1089">
        <v>2018</v>
      </c>
      <c r="Z1089">
        <v>41.01</v>
      </c>
      <c r="AB1089" t="s">
        <v>181</v>
      </c>
      <c r="AC1089" t="s">
        <v>182</v>
      </c>
      <c r="AD1089" t="s">
        <v>183</v>
      </c>
      <c r="AE1089">
        <v>1</v>
      </c>
      <c r="AF1089">
        <v>0</v>
      </c>
      <c r="AG1089" t="s">
        <v>1200</v>
      </c>
      <c r="AH1089">
        <v>0</v>
      </c>
      <c r="AI1089">
        <v>38.08</v>
      </c>
      <c r="AJ1089">
        <v>13.71</v>
      </c>
      <c r="AK1089">
        <v>51.79</v>
      </c>
      <c r="AL1089">
        <v>550</v>
      </c>
      <c r="AM1089">
        <v>550</v>
      </c>
      <c r="AN1089">
        <v>0</v>
      </c>
      <c r="AO1089">
        <v>8</v>
      </c>
      <c r="AP1089">
        <v>2016</v>
      </c>
      <c r="AQ1089">
        <v>7.46</v>
      </c>
      <c r="AR1089">
        <v>9.42</v>
      </c>
      <c r="AS1089" t="s">
        <v>14388</v>
      </c>
      <c r="AT1089" t="s">
        <v>3210</v>
      </c>
      <c r="AU1089" t="s">
        <v>177</v>
      </c>
      <c r="AV1089" t="s">
        <v>2334</v>
      </c>
      <c r="AW1089" t="s">
        <v>182</v>
      </c>
      <c r="AX1089">
        <v>40</v>
      </c>
      <c r="AY1089" t="s">
        <v>7171</v>
      </c>
      <c r="AZ1089" t="s">
        <v>988</v>
      </c>
      <c r="BA1089" t="s">
        <v>7172</v>
      </c>
      <c r="BB1089" t="s">
        <v>191</v>
      </c>
      <c r="BC1089" t="s">
        <v>182</v>
      </c>
      <c r="BD1089" t="s">
        <v>182</v>
      </c>
      <c r="BE1089" t="s">
        <v>3930</v>
      </c>
      <c r="BF1089">
        <v>0</v>
      </c>
      <c r="BG1089">
        <v>0</v>
      </c>
      <c r="BH1089">
        <v>0</v>
      </c>
      <c r="BI1089" t="s">
        <v>199</v>
      </c>
      <c r="BJ1089" t="s">
        <v>315</v>
      </c>
      <c r="BL1089" t="s">
        <v>14389</v>
      </c>
      <c r="BM1089" t="s">
        <v>679</v>
      </c>
      <c r="BN1089" t="s">
        <v>182</v>
      </c>
      <c r="BO1089" t="s">
        <v>198</v>
      </c>
      <c r="BP1089" t="s">
        <v>198</v>
      </c>
      <c r="BQ1089" t="s">
        <v>198</v>
      </c>
      <c r="BR1089" t="s">
        <v>198</v>
      </c>
      <c r="BS1089" t="s">
        <v>198</v>
      </c>
      <c r="BT1089" t="s">
        <v>198</v>
      </c>
      <c r="BU1089" t="s">
        <v>182</v>
      </c>
      <c r="BV1089" t="s">
        <v>198</v>
      </c>
      <c r="BW1089" t="s">
        <v>198</v>
      </c>
      <c r="BX1089" t="s">
        <v>199</v>
      </c>
      <c r="BY1089" t="s">
        <v>198</v>
      </c>
      <c r="BZ1089" t="s">
        <v>199</v>
      </c>
      <c r="CA1089" t="s">
        <v>199</v>
      </c>
      <c r="CB1089" t="s">
        <v>14390</v>
      </c>
      <c r="CC1089" t="s">
        <v>201</v>
      </c>
      <c r="CD1089" t="s">
        <v>182</v>
      </c>
      <c r="CE1089" t="s">
        <v>14391</v>
      </c>
      <c r="CF1089" t="s">
        <v>5331</v>
      </c>
      <c r="CG1089" t="s">
        <v>177</v>
      </c>
      <c r="CH1089" t="s">
        <v>371</v>
      </c>
      <c r="CI1089" t="s">
        <v>14392</v>
      </c>
      <c r="CJ1089" t="s">
        <v>13294</v>
      </c>
      <c r="CK1089" t="s">
        <v>292</v>
      </c>
      <c r="CL1089" t="s">
        <v>293</v>
      </c>
      <c r="CM1089" t="s">
        <v>9585</v>
      </c>
      <c r="CN1089" t="s">
        <v>482</v>
      </c>
      <c r="CO1089" t="s">
        <v>183</v>
      </c>
      <c r="CP1089" t="s">
        <v>266</v>
      </c>
      <c r="CS1089" t="s">
        <v>198</v>
      </c>
      <c r="DC1089" t="s">
        <v>198</v>
      </c>
      <c r="DM1089" t="s">
        <v>198</v>
      </c>
      <c r="DW1089" t="s">
        <v>198</v>
      </c>
      <c r="EG1089" t="s">
        <v>198</v>
      </c>
      <c r="EQ1089" t="s">
        <v>198</v>
      </c>
      <c r="FA1089" t="s">
        <v>198</v>
      </c>
      <c r="FK1089" t="s">
        <v>198</v>
      </c>
      <c r="FU1089" t="s">
        <v>198</v>
      </c>
    </row>
    <row r="1090" spans="1:177">
      <c r="A1090" s="1" t="str">
        <f>HYPERLINK("http://digipan.lumentumllc.com/apps/getLink/index.php?t=PropLink&amp;p=5244904","PL")</f>
        <v>PL</v>
      </c>
      <c r="B1090" s="1" t="str">
        <f>HYPERLINK("http://digipan.lumentumllc.com/apps/getLink/index.php?t=TaxLink&amp;p=5244904","TL")</f>
        <v>TL</v>
      </c>
      <c r="C1090" s="1" t="str">
        <f>HYPERLINK("http://digipan.lumentumllc.com/apps/getMap/index.php?p=5244904","Map")</f>
        <v>Map</v>
      </c>
      <c r="E1090" t="s">
        <v>177</v>
      </c>
      <c r="F1090" t="s">
        <v>178</v>
      </c>
      <c r="L1090" t="s">
        <v>14393</v>
      </c>
      <c r="N1090" t="s">
        <v>14393</v>
      </c>
      <c r="O1090" t="s">
        <v>14393</v>
      </c>
      <c r="P1090" t="s">
        <v>14394</v>
      </c>
      <c r="Q1090" t="s">
        <v>14393</v>
      </c>
      <c r="V1090">
        <v>1255</v>
      </c>
      <c r="W1090">
        <v>4</v>
      </c>
      <c r="X1090">
        <v>2017</v>
      </c>
      <c r="Y1090">
        <v>2018</v>
      </c>
      <c r="Z1090">
        <v>59.86</v>
      </c>
      <c r="AB1090" t="s">
        <v>181</v>
      </c>
      <c r="AC1090" t="s">
        <v>182</v>
      </c>
      <c r="AD1090" t="s">
        <v>1037</v>
      </c>
      <c r="AE1090">
        <v>1</v>
      </c>
      <c r="AF1090">
        <v>5</v>
      </c>
      <c r="AG1090" t="s">
        <v>322</v>
      </c>
      <c r="AH1090">
        <v>83</v>
      </c>
      <c r="AI1090">
        <v>53.29</v>
      </c>
      <c r="AJ1090">
        <v>2.66</v>
      </c>
      <c r="AK1090">
        <v>55.95</v>
      </c>
      <c r="AL1090">
        <v>46960</v>
      </c>
      <c r="AM1090">
        <v>1702</v>
      </c>
      <c r="AN1090">
        <v>45258</v>
      </c>
      <c r="AO1090">
        <v>24</v>
      </c>
      <c r="AP1090">
        <v>2016</v>
      </c>
      <c r="AQ1090">
        <v>0.13</v>
      </c>
      <c r="AR1090">
        <v>0.12</v>
      </c>
      <c r="AS1090" t="s">
        <v>14328</v>
      </c>
      <c r="AT1090" t="s">
        <v>3210</v>
      </c>
      <c r="AU1090" t="s">
        <v>177</v>
      </c>
      <c r="AV1090" t="s">
        <v>2334</v>
      </c>
      <c r="AW1090" t="s">
        <v>182</v>
      </c>
      <c r="AX1090">
        <v>56</v>
      </c>
      <c r="AY1090" t="s">
        <v>218</v>
      </c>
      <c r="AZ1090" t="s">
        <v>219</v>
      </c>
      <c r="BA1090" t="s">
        <v>220</v>
      </c>
      <c r="BB1090" t="s">
        <v>191</v>
      </c>
      <c r="BC1090" t="s">
        <v>182</v>
      </c>
      <c r="BD1090" t="s">
        <v>182</v>
      </c>
      <c r="BE1090" t="s">
        <v>14395</v>
      </c>
      <c r="BF1090">
        <v>0</v>
      </c>
      <c r="BG1090">
        <v>0</v>
      </c>
      <c r="BH1090">
        <v>0</v>
      </c>
      <c r="BI1090" t="s">
        <v>199</v>
      </c>
      <c r="BJ1090" t="s">
        <v>315</v>
      </c>
      <c r="BL1090" t="s">
        <v>8160</v>
      </c>
      <c r="BM1090" t="s">
        <v>679</v>
      </c>
      <c r="BN1090" t="s">
        <v>182</v>
      </c>
      <c r="BO1090" t="s">
        <v>14396</v>
      </c>
      <c r="BP1090" t="s">
        <v>14397</v>
      </c>
      <c r="BS1090" t="s">
        <v>14398</v>
      </c>
      <c r="BT1090" t="s">
        <v>198</v>
      </c>
      <c r="BU1090" t="s">
        <v>182</v>
      </c>
      <c r="BV1090" t="s">
        <v>198</v>
      </c>
      <c r="BW1090" t="s">
        <v>198</v>
      </c>
      <c r="BX1090" t="s">
        <v>199</v>
      </c>
      <c r="BY1090" t="s">
        <v>198</v>
      </c>
      <c r="BZ1090" t="s">
        <v>199</v>
      </c>
      <c r="CA1090" t="s">
        <v>199</v>
      </c>
      <c r="CB1090" t="s">
        <v>14332</v>
      </c>
      <c r="CC1090" t="s">
        <v>201</v>
      </c>
      <c r="CD1090" t="s">
        <v>202</v>
      </c>
      <c r="CE1090" t="s">
        <v>14333</v>
      </c>
      <c r="CF1090" t="s">
        <v>14334</v>
      </c>
      <c r="CG1090" t="s">
        <v>1602</v>
      </c>
      <c r="CH1090" t="s">
        <v>14335</v>
      </c>
      <c r="CI1090" t="s">
        <v>14336</v>
      </c>
      <c r="CJ1090" t="s">
        <v>10714</v>
      </c>
      <c r="CK1090" t="s">
        <v>232</v>
      </c>
      <c r="CL1090" t="s">
        <v>233</v>
      </c>
      <c r="CM1090" t="s">
        <v>14399</v>
      </c>
      <c r="CN1090" t="s">
        <v>235</v>
      </c>
      <c r="CO1090" t="s">
        <v>183</v>
      </c>
      <c r="CP1090" t="s">
        <v>266</v>
      </c>
      <c r="CS1090" t="s">
        <v>198</v>
      </c>
      <c r="CT1090" t="s">
        <v>11414</v>
      </c>
      <c r="CU1090" t="s">
        <v>267</v>
      </c>
      <c r="CV1090" t="s">
        <v>268</v>
      </c>
      <c r="CW1090" t="s">
        <v>14400</v>
      </c>
      <c r="CX1090" t="s">
        <v>482</v>
      </c>
      <c r="CY1090" t="s">
        <v>5</v>
      </c>
      <c r="CZ1090" t="s">
        <v>211</v>
      </c>
      <c r="DA1090" t="s">
        <v>329</v>
      </c>
      <c r="DC1090" t="s">
        <v>5907</v>
      </c>
      <c r="DD1090" t="s">
        <v>11833</v>
      </c>
      <c r="DE1090" t="s">
        <v>273</v>
      </c>
      <c r="DF1090" t="s">
        <v>274</v>
      </c>
      <c r="DG1090" t="s">
        <v>14401</v>
      </c>
      <c r="DH1090" t="s">
        <v>482</v>
      </c>
      <c r="DI1090" t="s">
        <v>183</v>
      </c>
      <c r="DJ1090" t="s">
        <v>211</v>
      </c>
      <c r="DK1090" t="s">
        <v>298</v>
      </c>
      <c r="DM1090" t="s">
        <v>5907</v>
      </c>
      <c r="DN1090" t="s">
        <v>5137</v>
      </c>
      <c r="DO1090" t="s">
        <v>302</v>
      </c>
      <c r="DP1090" t="s">
        <v>303</v>
      </c>
      <c r="DQ1090" t="s">
        <v>14402</v>
      </c>
      <c r="DR1090" t="s">
        <v>1491</v>
      </c>
      <c r="DS1090" t="s">
        <v>183</v>
      </c>
      <c r="DT1090" t="s">
        <v>211</v>
      </c>
      <c r="DU1090" t="s">
        <v>298</v>
      </c>
      <c r="DW1090" t="s">
        <v>2184</v>
      </c>
      <c r="DX1090" t="s">
        <v>6546</v>
      </c>
      <c r="DY1090" t="s">
        <v>238</v>
      </c>
      <c r="DZ1090" t="s">
        <v>239</v>
      </c>
      <c r="EA1090" t="s">
        <v>6812</v>
      </c>
      <c r="EB1090" t="s">
        <v>1056</v>
      </c>
      <c r="EC1090" t="s">
        <v>183</v>
      </c>
      <c r="ED1090" t="s">
        <v>211</v>
      </c>
      <c r="EE1090" t="s">
        <v>493</v>
      </c>
      <c r="EG1090" t="s">
        <v>9621</v>
      </c>
      <c r="EH1090" t="s">
        <v>11705</v>
      </c>
      <c r="EI1090" t="s">
        <v>346</v>
      </c>
      <c r="EJ1090" t="s">
        <v>347</v>
      </c>
      <c r="EK1090" t="s">
        <v>14403</v>
      </c>
      <c r="EL1090" t="s">
        <v>235</v>
      </c>
      <c r="EM1090" t="s">
        <v>183</v>
      </c>
      <c r="EN1090" t="s">
        <v>211</v>
      </c>
      <c r="EO1090" t="s">
        <v>298</v>
      </c>
      <c r="EQ1090" t="s">
        <v>1100</v>
      </c>
      <c r="FA1090" t="s">
        <v>198</v>
      </c>
      <c r="FK1090" t="s">
        <v>198</v>
      </c>
      <c r="FU1090" t="s">
        <v>198</v>
      </c>
    </row>
    <row r="1091" spans="1:177">
      <c r="A1091" s="1" t="str">
        <f>HYPERLINK("http://digipan.lumentumllc.com/apps/getLink/index.php?t=PropLink&amp;p=6128812","PL")</f>
        <v>PL</v>
      </c>
      <c r="B1091" s="1" t="str">
        <f>HYPERLINK("http://digipan.lumentumllc.com/apps/getLink/index.php?t=TaxLink&amp;p=6128812","TL")</f>
        <v>TL</v>
      </c>
      <c r="C1091" s="1" t="str">
        <f>HYPERLINK("http://digipan.lumentumllc.com/apps/getMap/index.php?p=6128812","Map")</f>
        <v>Map</v>
      </c>
      <c r="E1091" t="s">
        <v>177</v>
      </c>
      <c r="F1091" t="s">
        <v>178</v>
      </c>
      <c r="L1091" t="s">
        <v>14404</v>
      </c>
      <c r="N1091" t="s">
        <v>14404</v>
      </c>
      <c r="O1091" t="s">
        <v>14404</v>
      </c>
      <c r="P1091" t="s">
        <v>14405</v>
      </c>
      <c r="Q1091" t="s">
        <v>14404</v>
      </c>
      <c r="V1091">
        <v>1256</v>
      </c>
      <c r="W1091">
        <v>4</v>
      </c>
      <c r="X1091">
        <v>2017</v>
      </c>
      <c r="Y1091">
        <v>2018</v>
      </c>
      <c r="Z1091">
        <v>9018.3799999999992</v>
      </c>
      <c r="AB1091" t="s">
        <v>181</v>
      </c>
      <c r="AC1091" t="s">
        <v>202</v>
      </c>
      <c r="AD1091" t="s">
        <v>183</v>
      </c>
      <c r="AE1091">
        <v>1</v>
      </c>
      <c r="AF1091">
        <v>4</v>
      </c>
      <c r="AG1091" t="s">
        <v>951</v>
      </c>
      <c r="AH1091">
        <v>80</v>
      </c>
      <c r="AI1091">
        <v>9169.6200000000008</v>
      </c>
      <c r="AJ1091">
        <v>458.48</v>
      </c>
      <c r="AK1091">
        <v>9628.1</v>
      </c>
      <c r="AL1091">
        <v>548867</v>
      </c>
      <c r="AM1091">
        <v>215250</v>
      </c>
      <c r="AN1091">
        <v>333617</v>
      </c>
      <c r="AO1091">
        <v>8454</v>
      </c>
      <c r="AP1091">
        <v>2016</v>
      </c>
      <c r="AQ1091">
        <v>1.64</v>
      </c>
      <c r="AR1091">
        <v>1.75</v>
      </c>
      <c r="AS1091" t="s">
        <v>14406</v>
      </c>
      <c r="AT1091" t="s">
        <v>3210</v>
      </c>
      <c r="AU1091" t="s">
        <v>177</v>
      </c>
      <c r="AV1091" t="s">
        <v>2334</v>
      </c>
      <c r="AW1091" t="s">
        <v>182</v>
      </c>
      <c r="AX1091">
        <v>28</v>
      </c>
      <c r="AY1091" t="s">
        <v>3641</v>
      </c>
      <c r="AZ1091" t="s">
        <v>635</v>
      </c>
      <c r="BA1091" t="s">
        <v>6374</v>
      </c>
      <c r="BB1091" t="s">
        <v>191</v>
      </c>
      <c r="BC1091" t="s">
        <v>182</v>
      </c>
      <c r="BD1091" t="s">
        <v>182</v>
      </c>
      <c r="BE1091" t="s">
        <v>14407</v>
      </c>
      <c r="BF1091">
        <v>1</v>
      </c>
      <c r="BG1091">
        <v>0</v>
      </c>
      <c r="BH1091">
        <v>1990</v>
      </c>
      <c r="BI1091" t="s">
        <v>12662</v>
      </c>
      <c r="BJ1091" t="s">
        <v>194</v>
      </c>
      <c r="BK1091" t="s">
        <v>3643</v>
      </c>
      <c r="BL1091" t="s">
        <v>14408</v>
      </c>
      <c r="BM1091" t="s">
        <v>533</v>
      </c>
      <c r="BN1091" t="s">
        <v>182</v>
      </c>
      <c r="BO1091" t="s">
        <v>14409</v>
      </c>
      <c r="BP1091" t="s">
        <v>14410</v>
      </c>
      <c r="BQ1091" t="s">
        <v>226</v>
      </c>
      <c r="BR1091" t="s">
        <v>227</v>
      </c>
      <c r="BS1091" t="s">
        <v>198</v>
      </c>
      <c r="BT1091" t="s">
        <v>14411</v>
      </c>
      <c r="BU1091" t="s">
        <v>182</v>
      </c>
      <c r="BV1091" t="s">
        <v>198</v>
      </c>
      <c r="BW1091" t="s">
        <v>198</v>
      </c>
      <c r="BX1091" t="s">
        <v>199</v>
      </c>
      <c r="BY1091" t="s">
        <v>198</v>
      </c>
      <c r="BZ1091" t="s">
        <v>199</v>
      </c>
      <c r="CA1091" t="s">
        <v>199</v>
      </c>
      <c r="CB1091" t="s">
        <v>14412</v>
      </c>
      <c r="CC1091" t="s">
        <v>201</v>
      </c>
      <c r="CD1091" t="s">
        <v>182</v>
      </c>
      <c r="CE1091" t="s">
        <v>14413</v>
      </c>
      <c r="CF1091" t="s">
        <v>2333</v>
      </c>
      <c r="CG1091" t="s">
        <v>177</v>
      </c>
      <c r="CH1091" t="s">
        <v>2334</v>
      </c>
      <c r="CI1091" t="s">
        <v>14414</v>
      </c>
      <c r="CJ1091" t="s">
        <v>12952</v>
      </c>
      <c r="CK1091" t="s">
        <v>232</v>
      </c>
      <c r="CL1091" t="s">
        <v>233</v>
      </c>
      <c r="CM1091" t="s">
        <v>14415</v>
      </c>
      <c r="CN1091" t="s">
        <v>235</v>
      </c>
      <c r="CO1091" t="s">
        <v>183</v>
      </c>
      <c r="CP1091" t="s">
        <v>266</v>
      </c>
      <c r="CS1091" t="s">
        <v>198</v>
      </c>
      <c r="CT1091" t="s">
        <v>11428</v>
      </c>
      <c r="CU1091" t="s">
        <v>267</v>
      </c>
      <c r="CV1091" t="s">
        <v>268</v>
      </c>
      <c r="CW1091" t="s">
        <v>14416</v>
      </c>
      <c r="CX1091" t="s">
        <v>235</v>
      </c>
      <c r="CY1091" t="s">
        <v>183</v>
      </c>
      <c r="CZ1091" t="s">
        <v>211</v>
      </c>
      <c r="DA1091" t="s">
        <v>270</v>
      </c>
      <c r="DB1091" t="s">
        <v>271</v>
      </c>
      <c r="DC1091" t="s">
        <v>3650</v>
      </c>
      <c r="DD1091" t="s">
        <v>11847</v>
      </c>
      <c r="DE1091" t="s">
        <v>273</v>
      </c>
      <c r="DF1091" t="s">
        <v>274</v>
      </c>
      <c r="DG1091" t="s">
        <v>14417</v>
      </c>
      <c r="DH1091" t="s">
        <v>235</v>
      </c>
      <c r="DI1091" t="s">
        <v>183</v>
      </c>
      <c r="DJ1091" t="s">
        <v>211</v>
      </c>
      <c r="DL1091" t="s">
        <v>271</v>
      </c>
      <c r="DM1091" t="s">
        <v>198</v>
      </c>
      <c r="DN1091" t="s">
        <v>14418</v>
      </c>
      <c r="DO1091" t="s">
        <v>302</v>
      </c>
      <c r="DP1091" t="s">
        <v>303</v>
      </c>
      <c r="DQ1091" t="s">
        <v>14419</v>
      </c>
      <c r="DR1091" t="s">
        <v>235</v>
      </c>
      <c r="DS1091" t="s">
        <v>183</v>
      </c>
      <c r="DT1091" t="s">
        <v>211</v>
      </c>
      <c r="DU1091" t="s">
        <v>298</v>
      </c>
      <c r="DW1091" t="s">
        <v>2184</v>
      </c>
      <c r="DX1091" t="s">
        <v>6390</v>
      </c>
      <c r="DY1091" t="s">
        <v>238</v>
      </c>
      <c r="DZ1091" t="s">
        <v>239</v>
      </c>
      <c r="EA1091" t="s">
        <v>14420</v>
      </c>
      <c r="EB1091" t="s">
        <v>1586</v>
      </c>
      <c r="EC1091" t="s">
        <v>183</v>
      </c>
      <c r="ED1091" t="s">
        <v>211</v>
      </c>
      <c r="EE1091" t="s">
        <v>493</v>
      </c>
      <c r="EG1091" t="s">
        <v>9621</v>
      </c>
      <c r="EQ1091" t="s">
        <v>198</v>
      </c>
      <c r="FA1091" t="s">
        <v>198</v>
      </c>
      <c r="FK1091" t="s">
        <v>198</v>
      </c>
      <c r="FU1091" t="s">
        <v>198</v>
      </c>
    </row>
    <row r="1092" spans="1:177">
      <c r="A1092" s="1" t="str">
        <f>HYPERLINK("http://digipan.lumentumllc.com/apps/getLink/index.php?t=PropLink&amp;p=5244908","PL")</f>
        <v>PL</v>
      </c>
      <c r="B1092" s="1" t="str">
        <f>HYPERLINK("http://digipan.lumentumllc.com/apps/getLink/index.php?t=TaxLink&amp;p=5244908","TL")</f>
        <v>TL</v>
      </c>
      <c r="C1092" s="1" t="str">
        <f>HYPERLINK("http://digipan.lumentumllc.com/apps/getMap/index.php?p=5244908","Map")</f>
        <v>Map</v>
      </c>
      <c r="E1092" t="s">
        <v>177</v>
      </c>
      <c r="F1092" t="s">
        <v>178</v>
      </c>
      <c r="L1092" t="s">
        <v>14421</v>
      </c>
      <c r="N1092" t="s">
        <v>14421</v>
      </c>
      <c r="O1092" t="s">
        <v>14421</v>
      </c>
      <c r="P1092" t="s">
        <v>14422</v>
      </c>
      <c r="Q1092" t="s">
        <v>14421</v>
      </c>
      <c r="V1092">
        <v>1257</v>
      </c>
      <c r="W1092">
        <v>4</v>
      </c>
      <c r="X1092">
        <v>2017</v>
      </c>
      <c r="Y1092">
        <v>2018</v>
      </c>
      <c r="Z1092">
        <v>210.3</v>
      </c>
      <c r="AB1092" t="s">
        <v>181</v>
      </c>
      <c r="AC1092" t="s">
        <v>182</v>
      </c>
      <c r="AD1092" t="s">
        <v>183</v>
      </c>
      <c r="AE1092">
        <v>1</v>
      </c>
      <c r="AF1092">
        <v>5</v>
      </c>
      <c r="AG1092" t="s">
        <v>322</v>
      </c>
      <c r="AH1092">
        <v>83</v>
      </c>
      <c r="AI1092">
        <v>207.78</v>
      </c>
      <c r="AJ1092">
        <v>20.260000000000002</v>
      </c>
      <c r="AK1092">
        <v>228.04</v>
      </c>
      <c r="AL1092">
        <v>10890</v>
      </c>
      <c r="AM1092">
        <v>10890</v>
      </c>
      <c r="AN1092">
        <v>0</v>
      </c>
      <c r="AO1092">
        <v>167</v>
      </c>
      <c r="AP1092">
        <v>2016</v>
      </c>
      <c r="AQ1092">
        <v>1.93</v>
      </c>
      <c r="AR1092">
        <v>2.09</v>
      </c>
      <c r="AS1092" t="s">
        <v>14328</v>
      </c>
      <c r="AT1092" t="s">
        <v>3210</v>
      </c>
      <c r="AU1092" t="s">
        <v>177</v>
      </c>
      <c r="AV1092" t="s">
        <v>2334</v>
      </c>
      <c r="AW1092" t="s">
        <v>182</v>
      </c>
      <c r="AX1092">
        <v>10</v>
      </c>
      <c r="AY1092" t="s">
        <v>3211</v>
      </c>
      <c r="AZ1092" t="s">
        <v>270</v>
      </c>
      <c r="BA1092" t="s">
        <v>3212</v>
      </c>
      <c r="BB1092" t="s">
        <v>191</v>
      </c>
      <c r="BC1092" t="s">
        <v>182</v>
      </c>
      <c r="BD1092" t="s">
        <v>182</v>
      </c>
      <c r="BE1092" t="s">
        <v>235</v>
      </c>
      <c r="BF1092">
        <v>0</v>
      </c>
      <c r="BG1092">
        <v>0</v>
      </c>
      <c r="BH1092">
        <v>0</v>
      </c>
      <c r="BI1092" t="s">
        <v>199</v>
      </c>
      <c r="BJ1092" t="s">
        <v>315</v>
      </c>
      <c r="BL1092" t="s">
        <v>199</v>
      </c>
      <c r="BM1092" t="s">
        <v>207</v>
      </c>
      <c r="BN1092" t="s">
        <v>182</v>
      </c>
      <c r="BO1092" t="s">
        <v>198</v>
      </c>
      <c r="BP1092" t="s">
        <v>198</v>
      </c>
      <c r="BQ1092" t="s">
        <v>198</v>
      </c>
      <c r="BR1092" t="s">
        <v>198</v>
      </c>
      <c r="BS1092" t="s">
        <v>198</v>
      </c>
      <c r="BT1092" t="s">
        <v>198</v>
      </c>
      <c r="BU1092" t="s">
        <v>182</v>
      </c>
      <c r="BV1092" t="s">
        <v>198</v>
      </c>
      <c r="BW1092" t="s">
        <v>198</v>
      </c>
      <c r="BX1092" t="s">
        <v>199</v>
      </c>
      <c r="BY1092" t="s">
        <v>198</v>
      </c>
      <c r="BZ1092" t="s">
        <v>199</v>
      </c>
      <c r="CA1092" t="s">
        <v>199</v>
      </c>
      <c r="CB1092" t="s">
        <v>14332</v>
      </c>
      <c r="CC1092" t="s">
        <v>201</v>
      </c>
      <c r="CD1092" t="s">
        <v>202</v>
      </c>
      <c r="CE1092" t="s">
        <v>14333</v>
      </c>
      <c r="CF1092" t="s">
        <v>14334</v>
      </c>
      <c r="CG1092" t="s">
        <v>1602</v>
      </c>
      <c r="CH1092" t="s">
        <v>14335</v>
      </c>
      <c r="CI1092" t="s">
        <v>7562</v>
      </c>
      <c r="CJ1092" t="s">
        <v>12968</v>
      </c>
      <c r="CK1092" t="s">
        <v>232</v>
      </c>
      <c r="CL1092" t="s">
        <v>233</v>
      </c>
      <c r="CM1092" t="s">
        <v>14423</v>
      </c>
      <c r="CN1092" t="s">
        <v>341</v>
      </c>
      <c r="CO1092" t="s">
        <v>183</v>
      </c>
      <c r="CP1092" t="s">
        <v>266</v>
      </c>
      <c r="CS1092" t="s">
        <v>198</v>
      </c>
      <c r="CT1092" t="s">
        <v>13838</v>
      </c>
      <c r="CU1092" t="s">
        <v>267</v>
      </c>
      <c r="CV1092" t="s">
        <v>268</v>
      </c>
      <c r="CW1092" t="s">
        <v>5980</v>
      </c>
      <c r="CX1092" t="s">
        <v>331</v>
      </c>
      <c r="CY1092" t="s">
        <v>183</v>
      </c>
      <c r="CZ1092" t="s">
        <v>211</v>
      </c>
      <c r="DA1092" t="s">
        <v>329</v>
      </c>
      <c r="DC1092" t="s">
        <v>5907</v>
      </c>
      <c r="DD1092" t="s">
        <v>2751</v>
      </c>
      <c r="DE1092" t="s">
        <v>273</v>
      </c>
      <c r="DF1092" t="s">
        <v>274</v>
      </c>
      <c r="DG1092" t="s">
        <v>14424</v>
      </c>
      <c r="DH1092" t="s">
        <v>402</v>
      </c>
      <c r="DI1092" t="s">
        <v>183</v>
      </c>
      <c r="DJ1092" t="s">
        <v>211</v>
      </c>
      <c r="DK1092" t="s">
        <v>298</v>
      </c>
      <c r="DM1092" t="s">
        <v>5907</v>
      </c>
      <c r="DN1092" t="s">
        <v>14425</v>
      </c>
      <c r="DO1092" t="s">
        <v>302</v>
      </c>
      <c r="DP1092" t="s">
        <v>303</v>
      </c>
      <c r="DQ1092" t="s">
        <v>14426</v>
      </c>
      <c r="DR1092" t="s">
        <v>295</v>
      </c>
      <c r="DS1092" t="s">
        <v>183</v>
      </c>
      <c r="DT1092" t="s">
        <v>211</v>
      </c>
      <c r="DU1092" t="s">
        <v>298</v>
      </c>
      <c r="DW1092" t="s">
        <v>2184</v>
      </c>
      <c r="DX1092" t="s">
        <v>6437</v>
      </c>
      <c r="DY1092" t="s">
        <v>238</v>
      </c>
      <c r="DZ1092" t="s">
        <v>239</v>
      </c>
      <c r="EA1092" t="s">
        <v>14427</v>
      </c>
      <c r="EB1092" t="s">
        <v>4595</v>
      </c>
      <c r="EC1092" t="s">
        <v>183</v>
      </c>
      <c r="ED1092" t="s">
        <v>211</v>
      </c>
      <c r="EE1092" t="s">
        <v>493</v>
      </c>
      <c r="EG1092" t="s">
        <v>9621</v>
      </c>
      <c r="EH1092" t="s">
        <v>11722</v>
      </c>
      <c r="EI1092" t="s">
        <v>346</v>
      </c>
      <c r="EJ1092" t="s">
        <v>347</v>
      </c>
      <c r="EK1092" t="s">
        <v>14428</v>
      </c>
      <c r="EL1092" t="s">
        <v>1491</v>
      </c>
      <c r="EM1092" t="s">
        <v>183</v>
      </c>
      <c r="EN1092" t="s">
        <v>211</v>
      </c>
      <c r="EO1092" t="s">
        <v>298</v>
      </c>
      <c r="EQ1092" t="s">
        <v>1100</v>
      </c>
      <c r="FA1092" t="s">
        <v>198</v>
      </c>
      <c r="FK1092" t="s">
        <v>198</v>
      </c>
      <c r="FU1092" t="s">
        <v>198</v>
      </c>
    </row>
    <row r="1093" spans="1:177">
      <c r="A1093" s="1" t="str">
        <f>HYPERLINK("http://digipan.lumentumllc.com/apps/getLink/index.php?t=PropLink&amp;p=5244909","PL")</f>
        <v>PL</v>
      </c>
      <c r="B1093" s="1" t="str">
        <f>HYPERLINK("http://digipan.lumentumllc.com/apps/getLink/index.php?t=TaxLink&amp;p=5244909","TL")</f>
        <v>TL</v>
      </c>
      <c r="C1093" s="1" t="str">
        <f>HYPERLINK("http://digipan.lumentumllc.com/apps/getMap/index.php?p=5244909","Map")</f>
        <v>Map</v>
      </c>
      <c r="E1093" t="s">
        <v>177</v>
      </c>
      <c r="F1093" t="s">
        <v>178</v>
      </c>
      <c r="L1093" t="s">
        <v>14429</v>
      </c>
      <c r="N1093" t="s">
        <v>14429</v>
      </c>
      <c r="O1093" t="s">
        <v>14429</v>
      </c>
      <c r="P1093" t="s">
        <v>14430</v>
      </c>
      <c r="Q1093" t="s">
        <v>14429</v>
      </c>
      <c r="V1093">
        <v>1258</v>
      </c>
      <c r="W1093">
        <v>4</v>
      </c>
      <c r="X1093">
        <v>2017</v>
      </c>
      <c r="Y1093">
        <v>2018</v>
      </c>
      <c r="Z1093">
        <v>1034.8</v>
      </c>
      <c r="AB1093" t="s">
        <v>181</v>
      </c>
      <c r="AC1093" t="s">
        <v>182</v>
      </c>
      <c r="AD1093" t="s">
        <v>183</v>
      </c>
      <c r="AE1093">
        <v>1</v>
      </c>
      <c r="AF1093">
        <v>6</v>
      </c>
      <c r="AG1093" t="s">
        <v>418</v>
      </c>
      <c r="AH1093">
        <v>86</v>
      </c>
      <c r="AI1093">
        <v>1043.8499999999999</v>
      </c>
      <c r="AJ1093">
        <v>122.65</v>
      </c>
      <c r="AK1093">
        <v>1166.5</v>
      </c>
      <c r="AL1093">
        <v>61248</v>
      </c>
      <c r="AM1093">
        <v>61248</v>
      </c>
      <c r="AN1093">
        <v>0</v>
      </c>
      <c r="AO1093">
        <v>940</v>
      </c>
      <c r="AP1093">
        <v>2016</v>
      </c>
      <c r="AQ1093">
        <v>1.69</v>
      </c>
      <c r="AR1093">
        <v>1.9</v>
      </c>
      <c r="AS1093" t="s">
        <v>14328</v>
      </c>
      <c r="AT1093" t="s">
        <v>3210</v>
      </c>
      <c r="AU1093" t="s">
        <v>177</v>
      </c>
      <c r="AV1093" t="s">
        <v>2334</v>
      </c>
      <c r="AW1093" t="s">
        <v>182</v>
      </c>
      <c r="AX1093">
        <v>10</v>
      </c>
      <c r="AY1093" t="s">
        <v>3211</v>
      </c>
      <c r="AZ1093" t="s">
        <v>270</v>
      </c>
      <c r="BA1093" t="s">
        <v>3212</v>
      </c>
      <c r="BB1093" t="s">
        <v>191</v>
      </c>
      <c r="BC1093" t="s">
        <v>182</v>
      </c>
      <c r="BD1093" t="s">
        <v>182</v>
      </c>
      <c r="BE1093" t="s">
        <v>2800</v>
      </c>
      <c r="BF1093">
        <v>0</v>
      </c>
      <c r="BG1093">
        <v>0</v>
      </c>
      <c r="BH1093">
        <v>0</v>
      </c>
      <c r="BI1093" t="s">
        <v>199</v>
      </c>
      <c r="BJ1093" t="s">
        <v>315</v>
      </c>
      <c r="BL1093" t="s">
        <v>199</v>
      </c>
      <c r="BM1093" t="s">
        <v>207</v>
      </c>
      <c r="BN1093" t="s">
        <v>182</v>
      </c>
      <c r="BO1093" t="s">
        <v>198</v>
      </c>
      <c r="BP1093" t="s">
        <v>198</v>
      </c>
      <c r="BQ1093" t="s">
        <v>198</v>
      </c>
      <c r="BR1093" t="s">
        <v>198</v>
      </c>
      <c r="BS1093" t="s">
        <v>198</v>
      </c>
      <c r="BT1093" t="s">
        <v>198</v>
      </c>
      <c r="BU1093" t="s">
        <v>182</v>
      </c>
      <c r="BV1093" t="s">
        <v>198</v>
      </c>
      <c r="BW1093" t="s">
        <v>198</v>
      </c>
      <c r="BX1093" t="s">
        <v>199</v>
      </c>
      <c r="BY1093" t="s">
        <v>198</v>
      </c>
      <c r="BZ1093" t="s">
        <v>199</v>
      </c>
      <c r="CA1093" t="s">
        <v>199</v>
      </c>
      <c r="CB1093" t="s">
        <v>14332</v>
      </c>
      <c r="CC1093" t="s">
        <v>201</v>
      </c>
      <c r="CD1093" t="s">
        <v>202</v>
      </c>
      <c r="CE1093" t="s">
        <v>14333</v>
      </c>
      <c r="CF1093" t="s">
        <v>14334</v>
      </c>
      <c r="CG1093" t="s">
        <v>1602</v>
      </c>
      <c r="CH1093" t="s">
        <v>14335</v>
      </c>
      <c r="CI1093" t="s">
        <v>14431</v>
      </c>
      <c r="CJ1093" t="s">
        <v>12998</v>
      </c>
      <c r="CK1093" t="s">
        <v>232</v>
      </c>
      <c r="CL1093" t="s">
        <v>233</v>
      </c>
      <c r="CM1093" t="s">
        <v>14432</v>
      </c>
      <c r="CN1093" t="s">
        <v>922</v>
      </c>
      <c r="CO1093" t="s">
        <v>183</v>
      </c>
      <c r="CP1093" t="s">
        <v>266</v>
      </c>
      <c r="CS1093" t="s">
        <v>198</v>
      </c>
      <c r="CT1093" t="s">
        <v>11016</v>
      </c>
      <c r="CU1093" t="s">
        <v>292</v>
      </c>
      <c r="CV1093" t="s">
        <v>293</v>
      </c>
      <c r="CW1093" t="s">
        <v>14433</v>
      </c>
      <c r="CX1093" t="s">
        <v>331</v>
      </c>
      <c r="CY1093" t="s">
        <v>183</v>
      </c>
      <c r="CZ1093" t="s">
        <v>211</v>
      </c>
      <c r="DA1093" t="s">
        <v>298</v>
      </c>
      <c r="DC1093" t="s">
        <v>8314</v>
      </c>
      <c r="DD1093" t="s">
        <v>11389</v>
      </c>
      <c r="DE1093" t="s">
        <v>267</v>
      </c>
      <c r="DF1093" t="s">
        <v>268</v>
      </c>
      <c r="DG1093" t="s">
        <v>14434</v>
      </c>
      <c r="DH1093" t="s">
        <v>331</v>
      </c>
      <c r="DI1093" t="s">
        <v>183</v>
      </c>
      <c r="DJ1093" t="s">
        <v>211</v>
      </c>
      <c r="DK1093" t="s">
        <v>525</v>
      </c>
      <c r="DM1093" t="s">
        <v>8314</v>
      </c>
      <c r="DN1093" t="s">
        <v>11872</v>
      </c>
      <c r="DO1093" t="s">
        <v>273</v>
      </c>
      <c r="DP1093" t="s">
        <v>274</v>
      </c>
      <c r="DQ1093" t="s">
        <v>14435</v>
      </c>
      <c r="DR1093" t="s">
        <v>278</v>
      </c>
      <c r="DS1093" t="s">
        <v>183</v>
      </c>
      <c r="DT1093" t="s">
        <v>211</v>
      </c>
      <c r="DU1093" t="s">
        <v>1064</v>
      </c>
      <c r="DW1093" t="s">
        <v>8314</v>
      </c>
      <c r="DX1093" t="s">
        <v>12095</v>
      </c>
      <c r="DY1093" t="s">
        <v>302</v>
      </c>
      <c r="DZ1093" t="s">
        <v>303</v>
      </c>
      <c r="EA1093" t="s">
        <v>14436</v>
      </c>
      <c r="EB1093" t="s">
        <v>838</v>
      </c>
      <c r="EC1093" t="s">
        <v>183</v>
      </c>
      <c r="ED1093" t="s">
        <v>211</v>
      </c>
      <c r="EE1093" t="s">
        <v>298</v>
      </c>
      <c r="EG1093" t="s">
        <v>2184</v>
      </c>
      <c r="EH1093" t="s">
        <v>9524</v>
      </c>
      <c r="EI1093" t="s">
        <v>238</v>
      </c>
      <c r="EJ1093" t="s">
        <v>239</v>
      </c>
      <c r="EK1093" t="s">
        <v>14437</v>
      </c>
      <c r="EL1093" t="s">
        <v>440</v>
      </c>
      <c r="EM1093" t="s">
        <v>183</v>
      </c>
      <c r="EN1093" t="s">
        <v>211</v>
      </c>
      <c r="EO1093" t="s">
        <v>493</v>
      </c>
      <c r="EQ1093" t="s">
        <v>9621</v>
      </c>
      <c r="ER1093" t="s">
        <v>14438</v>
      </c>
      <c r="ES1093" t="s">
        <v>346</v>
      </c>
      <c r="ET1093" t="s">
        <v>347</v>
      </c>
      <c r="EU1093" t="s">
        <v>14439</v>
      </c>
      <c r="EV1093" t="s">
        <v>1491</v>
      </c>
      <c r="EW1093" t="s">
        <v>183</v>
      </c>
      <c r="EX1093" t="s">
        <v>211</v>
      </c>
      <c r="EY1093" t="s">
        <v>298</v>
      </c>
      <c r="FA1093" t="s">
        <v>1100</v>
      </c>
      <c r="FK1093" t="s">
        <v>198</v>
      </c>
      <c r="FU1093" t="s">
        <v>198</v>
      </c>
    </row>
    <row r="1094" spans="1:177">
      <c r="A1094" s="1" t="str">
        <f>HYPERLINK("http://digipan.lumentumllc.com/apps/getLink/index.php?t=PropLink&amp;p=5244910","PL")</f>
        <v>PL</v>
      </c>
      <c r="B1094" s="1" t="str">
        <f>HYPERLINK("http://digipan.lumentumllc.com/apps/getLink/index.php?t=TaxLink&amp;p=5244910","TL")</f>
        <v>TL</v>
      </c>
      <c r="C1094" s="1" t="str">
        <f>HYPERLINK("http://digipan.lumentumllc.com/apps/getMap/index.php?p=5244910","Map")</f>
        <v>Map</v>
      </c>
      <c r="E1094" t="s">
        <v>177</v>
      </c>
      <c r="F1094" t="s">
        <v>178</v>
      </c>
      <c r="L1094" t="s">
        <v>14440</v>
      </c>
      <c r="N1094" t="s">
        <v>14440</v>
      </c>
      <c r="O1094" t="s">
        <v>14440</v>
      </c>
      <c r="P1094" t="s">
        <v>14441</v>
      </c>
      <c r="Q1094" t="s">
        <v>14440</v>
      </c>
      <c r="V1094">
        <v>1259</v>
      </c>
      <c r="W1094">
        <v>4</v>
      </c>
      <c r="X1094">
        <v>2017</v>
      </c>
      <c r="Y1094">
        <v>2018</v>
      </c>
      <c r="Z1094">
        <v>847.37</v>
      </c>
      <c r="AB1094" t="s">
        <v>181</v>
      </c>
      <c r="AC1094" t="s">
        <v>182</v>
      </c>
      <c r="AD1094" t="s">
        <v>183</v>
      </c>
      <c r="AE1094">
        <v>1</v>
      </c>
      <c r="AF1094">
        <v>7</v>
      </c>
      <c r="AG1094" t="s">
        <v>418</v>
      </c>
      <c r="AH1094">
        <v>86</v>
      </c>
      <c r="AI1094">
        <v>853.78</v>
      </c>
      <c r="AJ1094">
        <v>83.24</v>
      </c>
      <c r="AK1094">
        <v>937.02</v>
      </c>
      <c r="AL1094">
        <v>49800</v>
      </c>
      <c r="AM1094">
        <v>49800</v>
      </c>
      <c r="AN1094">
        <v>0</v>
      </c>
      <c r="AO1094">
        <v>764</v>
      </c>
      <c r="AP1094">
        <v>2016</v>
      </c>
      <c r="AQ1094">
        <v>1.7</v>
      </c>
      <c r="AR1094">
        <v>1.88</v>
      </c>
      <c r="AS1094" t="s">
        <v>14328</v>
      </c>
      <c r="AT1094" t="s">
        <v>3210</v>
      </c>
      <c r="AU1094" t="s">
        <v>177</v>
      </c>
      <c r="AV1094" t="s">
        <v>2334</v>
      </c>
      <c r="AW1094" t="s">
        <v>182</v>
      </c>
      <c r="AX1094">
        <v>10</v>
      </c>
      <c r="AY1094" t="s">
        <v>3211</v>
      </c>
      <c r="AZ1094" t="s">
        <v>270</v>
      </c>
      <c r="BA1094" t="s">
        <v>3212</v>
      </c>
      <c r="BB1094" t="s">
        <v>191</v>
      </c>
      <c r="BC1094" t="s">
        <v>182</v>
      </c>
      <c r="BD1094" t="s">
        <v>182</v>
      </c>
      <c r="BE1094" t="s">
        <v>11774</v>
      </c>
      <c r="BF1094">
        <v>0</v>
      </c>
      <c r="BG1094">
        <v>0</v>
      </c>
      <c r="BH1094">
        <v>0</v>
      </c>
      <c r="BI1094" t="s">
        <v>199</v>
      </c>
      <c r="BJ1094" t="s">
        <v>315</v>
      </c>
      <c r="BL1094" t="s">
        <v>199</v>
      </c>
      <c r="BM1094" t="s">
        <v>207</v>
      </c>
      <c r="BN1094" t="s">
        <v>182</v>
      </c>
      <c r="BO1094" t="s">
        <v>198</v>
      </c>
      <c r="BP1094" t="s">
        <v>198</v>
      </c>
      <c r="BQ1094" t="s">
        <v>198</v>
      </c>
      <c r="BR1094" t="s">
        <v>198</v>
      </c>
      <c r="BS1094" t="s">
        <v>198</v>
      </c>
      <c r="BT1094" t="s">
        <v>198</v>
      </c>
      <c r="BU1094" t="s">
        <v>182</v>
      </c>
      <c r="BV1094" t="s">
        <v>198</v>
      </c>
      <c r="BW1094" t="s">
        <v>198</v>
      </c>
      <c r="BX1094" t="s">
        <v>199</v>
      </c>
      <c r="BY1094" t="s">
        <v>198</v>
      </c>
      <c r="BZ1094" t="s">
        <v>199</v>
      </c>
      <c r="CA1094" t="s">
        <v>199</v>
      </c>
      <c r="CB1094" t="s">
        <v>14332</v>
      </c>
      <c r="CC1094" t="s">
        <v>201</v>
      </c>
      <c r="CD1094" t="s">
        <v>202</v>
      </c>
      <c r="CE1094" t="s">
        <v>14333</v>
      </c>
      <c r="CF1094" t="s">
        <v>14334</v>
      </c>
      <c r="CG1094" t="s">
        <v>1602</v>
      </c>
      <c r="CH1094" t="s">
        <v>14335</v>
      </c>
      <c r="CI1094" t="s">
        <v>14336</v>
      </c>
      <c r="CJ1094" t="s">
        <v>13016</v>
      </c>
      <c r="CK1094" t="s">
        <v>232</v>
      </c>
      <c r="CL1094" t="s">
        <v>233</v>
      </c>
      <c r="CM1094" t="s">
        <v>14442</v>
      </c>
      <c r="CN1094" t="s">
        <v>341</v>
      </c>
      <c r="CO1094" t="s">
        <v>183</v>
      </c>
      <c r="CP1094" t="s">
        <v>266</v>
      </c>
      <c r="CS1094" t="s">
        <v>198</v>
      </c>
      <c r="CT1094" t="s">
        <v>10961</v>
      </c>
      <c r="CU1094" t="s">
        <v>292</v>
      </c>
      <c r="CV1094" t="s">
        <v>293</v>
      </c>
      <c r="CW1094" t="s">
        <v>14443</v>
      </c>
      <c r="CX1094" t="s">
        <v>333</v>
      </c>
      <c r="CY1094" t="s">
        <v>183</v>
      </c>
      <c r="CZ1094" t="s">
        <v>211</v>
      </c>
      <c r="DA1094" t="s">
        <v>298</v>
      </c>
      <c r="DC1094" t="s">
        <v>8314</v>
      </c>
      <c r="DD1094" t="s">
        <v>9243</v>
      </c>
      <c r="DE1094" t="s">
        <v>267</v>
      </c>
      <c r="DF1094" t="s">
        <v>268</v>
      </c>
      <c r="DG1094" t="s">
        <v>14444</v>
      </c>
      <c r="DH1094" t="s">
        <v>331</v>
      </c>
      <c r="DI1094" t="s">
        <v>183</v>
      </c>
      <c r="DJ1094" t="s">
        <v>211</v>
      </c>
      <c r="DK1094" t="s">
        <v>525</v>
      </c>
      <c r="DM1094" t="s">
        <v>8314</v>
      </c>
      <c r="DN1094" t="s">
        <v>14445</v>
      </c>
      <c r="DO1094" t="s">
        <v>273</v>
      </c>
      <c r="DP1094" t="s">
        <v>274</v>
      </c>
      <c r="DQ1094" t="s">
        <v>14446</v>
      </c>
      <c r="DR1094" t="s">
        <v>278</v>
      </c>
      <c r="DS1094" t="s">
        <v>183</v>
      </c>
      <c r="DT1094" t="s">
        <v>211</v>
      </c>
      <c r="DU1094" t="s">
        <v>1064</v>
      </c>
      <c r="DW1094" t="s">
        <v>8314</v>
      </c>
      <c r="DX1094" t="s">
        <v>12114</v>
      </c>
      <c r="DY1094" t="s">
        <v>302</v>
      </c>
      <c r="DZ1094" t="s">
        <v>303</v>
      </c>
      <c r="EA1094" t="s">
        <v>14447</v>
      </c>
      <c r="EB1094" t="s">
        <v>838</v>
      </c>
      <c r="EC1094" t="s">
        <v>183</v>
      </c>
      <c r="ED1094" t="s">
        <v>211</v>
      </c>
      <c r="EE1094" t="s">
        <v>298</v>
      </c>
      <c r="EG1094" t="s">
        <v>2184</v>
      </c>
      <c r="EH1094" t="s">
        <v>6462</v>
      </c>
      <c r="EI1094" t="s">
        <v>238</v>
      </c>
      <c r="EJ1094" t="s">
        <v>239</v>
      </c>
      <c r="EK1094" t="s">
        <v>14448</v>
      </c>
      <c r="EL1094" t="s">
        <v>440</v>
      </c>
      <c r="EM1094" t="s">
        <v>183</v>
      </c>
      <c r="EN1094" t="s">
        <v>211</v>
      </c>
      <c r="EO1094" t="s">
        <v>493</v>
      </c>
      <c r="EQ1094" t="s">
        <v>9621</v>
      </c>
      <c r="ER1094" t="s">
        <v>14449</v>
      </c>
      <c r="ES1094" t="s">
        <v>346</v>
      </c>
      <c r="ET1094" t="s">
        <v>347</v>
      </c>
      <c r="EU1094" t="s">
        <v>14450</v>
      </c>
      <c r="EV1094" t="s">
        <v>1491</v>
      </c>
      <c r="EW1094" t="s">
        <v>183</v>
      </c>
      <c r="EX1094" t="s">
        <v>211</v>
      </c>
      <c r="EY1094" t="s">
        <v>298</v>
      </c>
      <c r="FA1094" t="s">
        <v>1100</v>
      </c>
      <c r="FB1094" t="s">
        <v>9049</v>
      </c>
      <c r="FC1094" t="s">
        <v>207</v>
      </c>
      <c r="FD1094" t="s">
        <v>208</v>
      </c>
      <c r="FE1094" t="s">
        <v>14451</v>
      </c>
      <c r="FF1094" t="s">
        <v>1966</v>
      </c>
      <c r="FG1094" t="s">
        <v>183</v>
      </c>
      <c r="FH1094" t="s">
        <v>211</v>
      </c>
      <c r="FI1094" t="s">
        <v>264</v>
      </c>
      <c r="FK1094" t="s">
        <v>14360</v>
      </c>
      <c r="FU1094" t="s">
        <v>198</v>
      </c>
    </row>
    <row r="1095" spans="1:177">
      <c r="A1095" s="1" t="str">
        <f>HYPERLINK("http://digipan.lumentumllc.com/apps/getLink/index.php?t=PropLink&amp;p=5245167","PL")</f>
        <v>PL</v>
      </c>
      <c r="B1095" s="1" t="str">
        <f>HYPERLINK("http://digipan.lumentumllc.com/apps/getLink/index.php?t=TaxLink&amp;p=5245167","TL")</f>
        <v>TL</v>
      </c>
      <c r="C1095" s="1" t="str">
        <f>HYPERLINK("http://digipan.lumentumllc.com/apps/getMap/index.php?p=5245167","Map")</f>
        <v>Map</v>
      </c>
      <c r="E1095" t="s">
        <v>177</v>
      </c>
      <c r="F1095" t="s">
        <v>178</v>
      </c>
      <c r="L1095" t="s">
        <v>14452</v>
      </c>
      <c r="N1095" t="s">
        <v>14452</v>
      </c>
      <c r="O1095" t="s">
        <v>14452</v>
      </c>
      <c r="P1095" t="s">
        <v>14453</v>
      </c>
      <c r="Q1095" t="s">
        <v>14452</v>
      </c>
      <c r="V1095">
        <v>1260</v>
      </c>
      <c r="W1095">
        <v>4</v>
      </c>
      <c r="X1095">
        <v>2017</v>
      </c>
      <c r="Y1095">
        <v>2018</v>
      </c>
      <c r="Z1095">
        <v>255.35</v>
      </c>
      <c r="AB1095" t="s">
        <v>181</v>
      </c>
      <c r="AC1095" t="s">
        <v>182</v>
      </c>
      <c r="AD1095" t="s">
        <v>183</v>
      </c>
      <c r="AE1095">
        <v>7</v>
      </c>
      <c r="AF1095">
        <v>0</v>
      </c>
      <c r="AG1095" t="s">
        <v>1038</v>
      </c>
      <c r="AH1095">
        <v>0</v>
      </c>
      <c r="AI1095">
        <v>1454.13</v>
      </c>
      <c r="AJ1095">
        <v>680.98</v>
      </c>
      <c r="AK1095">
        <v>2135.11</v>
      </c>
      <c r="AL1095">
        <v>13641</v>
      </c>
      <c r="AM1095">
        <v>13641</v>
      </c>
      <c r="AN1095">
        <v>0</v>
      </c>
      <c r="AO1095">
        <v>199</v>
      </c>
      <c r="AP1095">
        <v>2016</v>
      </c>
      <c r="AQ1095">
        <v>1.87</v>
      </c>
      <c r="AR1095">
        <v>15.65</v>
      </c>
      <c r="AS1095" t="s">
        <v>7314</v>
      </c>
      <c r="AT1095" t="s">
        <v>3210</v>
      </c>
      <c r="AU1095" t="s">
        <v>177</v>
      </c>
      <c r="AV1095" t="s">
        <v>2334</v>
      </c>
      <c r="AW1095" t="s">
        <v>182</v>
      </c>
      <c r="AX1095">
        <v>0</v>
      </c>
      <c r="AY1095" t="s">
        <v>312</v>
      </c>
      <c r="AZ1095" t="s">
        <v>199</v>
      </c>
      <c r="BA1095" t="s">
        <v>313</v>
      </c>
      <c r="BB1095" t="s">
        <v>191</v>
      </c>
      <c r="BC1095" t="s">
        <v>182</v>
      </c>
      <c r="BD1095" t="s">
        <v>182</v>
      </c>
      <c r="BE1095" t="s">
        <v>1954</v>
      </c>
      <c r="BF1095">
        <v>0</v>
      </c>
      <c r="BG1095">
        <v>0</v>
      </c>
      <c r="BH1095">
        <v>0</v>
      </c>
      <c r="BI1095" t="s">
        <v>199</v>
      </c>
      <c r="BJ1095" t="s">
        <v>315</v>
      </c>
      <c r="BL1095" t="s">
        <v>199</v>
      </c>
      <c r="BM1095" t="s">
        <v>410</v>
      </c>
      <c r="BN1095" t="s">
        <v>182</v>
      </c>
      <c r="BO1095" t="s">
        <v>14454</v>
      </c>
      <c r="BP1095" t="s">
        <v>2542</v>
      </c>
      <c r="BR1095" t="s">
        <v>1575</v>
      </c>
      <c r="BS1095" t="s">
        <v>1827</v>
      </c>
      <c r="BT1095" t="s">
        <v>198</v>
      </c>
      <c r="BU1095" t="s">
        <v>182</v>
      </c>
      <c r="BV1095" t="s">
        <v>198</v>
      </c>
      <c r="BW1095" t="s">
        <v>198</v>
      </c>
      <c r="BX1095" t="s">
        <v>199</v>
      </c>
      <c r="BY1095" t="s">
        <v>198</v>
      </c>
      <c r="BZ1095" t="s">
        <v>199</v>
      </c>
      <c r="CA1095" t="s">
        <v>199</v>
      </c>
      <c r="CB1095" t="s">
        <v>4589</v>
      </c>
      <c r="CC1095" t="s">
        <v>201</v>
      </c>
      <c r="CD1095" t="s">
        <v>182</v>
      </c>
      <c r="CE1095" t="s">
        <v>14455</v>
      </c>
      <c r="CF1095" t="s">
        <v>425</v>
      </c>
      <c r="CG1095" t="s">
        <v>177</v>
      </c>
      <c r="CH1095" t="s">
        <v>421</v>
      </c>
      <c r="CI1095" t="s">
        <v>14456</v>
      </c>
      <c r="CJ1095" t="s">
        <v>13027</v>
      </c>
      <c r="CK1095" t="s">
        <v>232</v>
      </c>
      <c r="CL1095" t="s">
        <v>233</v>
      </c>
      <c r="CM1095" t="s">
        <v>14457</v>
      </c>
      <c r="CN1095" t="s">
        <v>482</v>
      </c>
      <c r="CO1095" t="s">
        <v>183</v>
      </c>
      <c r="CP1095" t="s">
        <v>266</v>
      </c>
      <c r="CS1095" t="s">
        <v>198</v>
      </c>
      <c r="CT1095" t="s">
        <v>13376</v>
      </c>
      <c r="CU1095" t="s">
        <v>292</v>
      </c>
      <c r="CV1095" t="s">
        <v>293</v>
      </c>
      <c r="CW1095" t="s">
        <v>14458</v>
      </c>
      <c r="CX1095" t="s">
        <v>482</v>
      </c>
      <c r="CY1095" t="s">
        <v>183</v>
      </c>
      <c r="CZ1095" t="s">
        <v>266</v>
      </c>
      <c r="DC1095" t="s">
        <v>198</v>
      </c>
      <c r="DD1095" t="s">
        <v>11465</v>
      </c>
      <c r="DE1095" t="s">
        <v>267</v>
      </c>
      <c r="DF1095" t="s">
        <v>268</v>
      </c>
      <c r="DG1095" t="s">
        <v>14459</v>
      </c>
      <c r="DH1095" t="s">
        <v>482</v>
      </c>
      <c r="DI1095" t="s">
        <v>183</v>
      </c>
      <c r="DJ1095" t="s">
        <v>266</v>
      </c>
      <c r="DM1095" t="s">
        <v>198</v>
      </c>
      <c r="DN1095" t="s">
        <v>1733</v>
      </c>
      <c r="DO1095" t="s">
        <v>273</v>
      </c>
      <c r="DP1095" t="s">
        <v>274</v>
      </c>
      <c r="DQ1095" t="s">
        <v>11105</v>
      </c>
      <c r="DR1095" t="s">
        <v>4595</v>
      </c>
      <c r="DS1095" t="s">
        <v>183</v>
      </c>
      <c r="DT1095" t="s">
        <v>266</v>
      </c>
      <c r="DW1095" t="s">
        <v>198</v>
      </c>
      <c r="DX1095" t="s">
        <v>1931</v>
      </c>
      <c r="DY1095" t="s">
        <v>302</v>
      </c>
      <c r="DZ1095" t="s">
        <v>303</v>
      </c>
      <c r="EA1095" t="s">
        <v>10807</v>
      </c>
      <c r="EB1095" t="s">
        <v>341</v>
      </c>
      <c r="EC1095" t="s">
        <v>183</v>
      </c>
      <c r="ED1095" t="s">
        <v>266</v>
      </c>
      <c r="EG1095" t="s">
        <v>198</v>
      </c>
      <c r="EH1095" t="s">
        <v>9018</v>
      </c>
      <c r="EI1095" t="s">
        <v>238</v>
      </c>
      <c r="EJ1095" t="s">
        <v>239</v>
      </c>
      <c r="EK1095" t="s">
        <v>14460</v>
      </c>
      <c r="EL1095" t="s">
        <v>1056</v>
      </c>
      <c r="EM1095" t="s">
        <v>183</v>
      </c>
      <c r="EN1095" t="s">
        <v>266</v>
      </c>
      <c r="EQ1095" t="s">
        <v>198</v>
      </c>
      <c r="ER1095" t="s">
        <v>14461</v>
      </c>
      <c r="ES1095" t="s">
        <v>346</v>
      </c>
      <c r="ET1095" t="s">
        <v>347</v>
      </c>
      <c r="EU1095" t="s">
        <v>14462</v>
      </c>
      <c r="EV1095" t="s">
        <v>1491</v>
      </c>
      <c r="EW1095" t="s">
        <v>183</v>
      </c>
      <c r="EX1095" t="s">
        <v>266</v>
      </c>
      <c r="FA1095" t="s">
        <v>198</v>
      </c>
      <c r="FK1095" t="s">
        <v>198</v>
      </c>
      <c r="FU1095" t="s">
        <v>198</v>
      </c>
    </row>
    <row r="1096" spans="1:177">
      <c r="A1096" s="1" t="str">
        <f>HYPERLINK("http://digipan.lumentumllc.com/apps/getLink/index.php?t=PropLink&amp;p=5245169","PL")</f>
        <v>PL</v>
      </c>
      <c r="B1096" s="1" t="str">
        <f>HYPERLINK("http://digipan.lumentumllc.com/apps/getLink/index.php?t=TaxLink&amp;p=5245169","TL")</f>
        <v>TL</v>
      </c>
      <c r="C1096" s="1" t="str">
        <f>HYPERLINK("http://digipan.lumentumllc.com/apps/getMap/index.php?p=5245169","Map")</f>
        <v>Map</v>
      </c>
      <c r="E1096" t="s">
        <v>177</v>
      </c>
      <c r="F1096" t="s">
        <v>178</v>
      </c>
      <c r="L1096" t="s">
        <v>14463</v>
      </c>
      <c r="N1096" t="s">
        <v>14463</v>
      </c>
      <c r="O1096" t="s">
        <v>14463</v>
      </c>
      <c r="P1096" t="s">
        <v>14464</v>
      </c>
      <c r="Q1096" t="s">
        <v>14463</v>
      </c>
      <c r="V1096">
        <v>1261</v>
      </c>
      <c r="W1096">
        <v>4</v>
      </c>
      <c r="X1096">
        <v>2017</v>
      </c>
      <c r="Y1096">
        <v>2018</v>
      </c>
      <c r="Z1096">
        <v>766.41</v>
      </c>
      <c r="AB1096" t="s">
        <v>181</v>
      </c>
      <c r="AC1096" t="s">
        <v>182</v>
      </c>
      <c r="AD1096" t="s">
        <v>183</v>
      </c>
      <c r="AE1096">
        <v>6</v>
      </c>
      <c r="AF1096">
        <v>2</v>
      </c>
      <c r="AG1096" t="s">
        <v>6510</v>
      </c>
      <c r="AH1096">
        <v>14</v>
      </c>
      <c r="AI1096">
        <v>5054.08</v>
      </c>
      <c r="AJ1096">
        <v>1925.58</v>
      </c>
      <c r="AK1096">
        <v>6979.66</v>
      </c>
      <c r="AL1096">
        <v>44856</v>
      </c>
      <c r="AM1096">
        <v>44856</v>
      </c>
      <c r="AN1096">
        <v>0</v>
      </c>
      <c r="AO1096">
        <v>656</v>
      </c>
      <c r="AP1096">
        <v>2016</v>
      </c>
      <c r="AQ1096">
        <v>1.71</v>
      </c>
      <c r="AR1096">
        <v>15.56</v>
      </c>
      <c r="AS1096" t="s">
        <v>14465</v>
      </c>
      <c r="AT1096" t="s">
        <v>3210</v>
      </c>
      <c r="AU1096" t="s">
        <v>177</v>
      </c>
      <c r="AV1096" t="s">
        <v>2334</v>
      </c>
      <c r="AW1096" t="s">
        <v>182</v>
      </c>
      <c r="AX1096">
        <v>0</v>
      </c>
      <c r="AY1096" t="s">
        <v>312</v>
      </c>
      <c r="AZ1096" t="s">
        <v>199</v>
      </c>
      <c r="BA1096" t="s">
        <v>313</v>
      </c>
      <c r="BB1096" t="s">
        <v>191</v>
      </c>
      <c r="BC1096" t="s">
        <v>182</v>
      </c>
      <c r="BD1096" t="s">
        <v>182</v>
      </c>
      <c r="BE1096" t="s">
        <v>14466</v>
      </c>
      <c r="BF1096">
        <v>0</v>
      </c>
      <c r="BG1096">
        <v>0</v>
      </c>
      <c r="BH1096">
        <v>0</v>
      </c>
      <c r="BI1096" t="s">
        <v>199</v>
      </c>
      <c r="BJ1096" t="s">
        <v>315</v>
      </c>
      <c r="BL1096" t="s">
        <v>1002</v>
      </c>
      <c r="BM1096" t="s">
        <v>410</v>
      </c>
      <c r="BN1096" t="s">
        <v>182</v>
      </c>
      <c r="BO1096" t="s">
        <v>198</v>
      </c>
      <c r="BP1096" t="s">
        <v>198</v>
      </c>
      <c r="BQ1096" t="s">
        <v>198</v>
      </c>
      <c r="BR1096" t="s">
        <v>198</v>
      </c>
      <c r="BS1096" t="s">
        <v>198</v>
      </c>
      <c r="BT1096" t="s">
        <v>198</v>
      </c>
      <c r="BU1096" t="s">
        <v>182</v>
      </c>
      <c r="BV1096" t="s">
        <v>198</v>
      </c>
      <c r="BW1096" t="s">
        <v>198</v>
      </c>
      <c r="BX1096" t="s">
        <v>199</v>
      </c>
      <c r="BY1096" t="s">
        <v>198</v>
      </c>
      <c r="BZ1096" t="s">
        <v>199</v>
      </c>
      <c r="CA1096" t="s">
        <v>199</v>
      </c>
      <c r="CB1096" t="s">
        <v>14467</v>
      </c>
      <c r="CC1096" t="s">
        <v>201</v>
      </c>
      <c r="CD1096" t="s">
        <v>202</v>
      </c>
      <c r="CE1096" t="s">
        <v>14468</v>
      </c>
      <c r="CF1096" t="s">
        <v>5331</v>
      </c>
      <c r="CG1096" t="s">
        <v>177</v>
      </c>
      <c r="CH1096" t="s">
        <v>5332</v>
      </c>
      <c r="CI1096" t="s">
        <v>14469</v>
      </c>
      <c r="CJ1096" t="s">
        <v>7593</v>
      </c>
      <c r="CK1096" t="s">
        <v>232</v>
      </c>
      <c r="CL1096" t="s">
        <v>233</v>
      </c>
      <c r="CM1096" t="s">
        <v>14470</v>
      </c>
      <c r="CN1096" t="s">
        <v>1551</v>
      </c>
      <c r="CO1096" t="s">
        <v>183</v>
      </c>
      <c r="CP1096" t="s">
        <v>266</v>
      </c>
      <c r="CS1096" t="s">
        <v>198</v>
      </c>
      <c r="CT1096" t="s">
        <v>13474</v>
      </c>
      <c r="CU1096" t="s">
        <v>292</v>
      </c>
      <c r="CV1096" t="s">
        <v>293</v>
      </c>
      <c r="CW1096" t="s">
        <v>14471</v>
      </c>
      <c r="CX1096" t="s">
        <v>341</v>
      </c>
      <c r="CY1096" t="s">
        <v>183</v>
      </c>
      <c r="CZ1096" t="s">
        <v>266</v>
      </c>
      <c r="DC1096" t="s">
        <v>198</v>
      </c>
      <c r="DD1096" t="s">
        <v>11467</v>
      </c>
      <c r="DE1096" t="s">
        <v>267</v>
      </c>
      <c r="DF1096" t="s">
        <v>268</v>
      </c>
      <c r="DG1096" t="s">
        <v>14472</v>
      </c>
      <c r="DH1096" t="s">
        <v>331</v>
      </c>
      <c r="DI1096" t="s">
        <v>183</v>
      </c>
      <c r="DJ1096" t="s">
        <v>266</v>
      </c>
      <c r="DM1096" t="s">
        <v>198</v>
      </c>
      <c r="DN1096" t="s">
        <v>14341</v>
      </c>
      <c r="DO1096" t="s">
        <v>273</v>
      </c>
      <c r="DP1096" t="s">
        <v>274</v>
      </c>
      <c r="DQ1096" t="s">
        <v>14473</v>
      </c>
      <c r="DR1096" t="s">
        <v>14474</v>
      </c>
      <c r="DS1096" t="s">
        <v>183</v>
      </c>
      <c r="DT1096" t="s">
        <v>266</v>
      </c>
      <c r="DW1096" t="s">
        <v>198</v>
      </c>
      <c r="DX1096" t="s">
        <v>3924</v>
      </c>
      <c r="DY1096" t="s">
        <v>302</v>
      </c>
      <c r="DZ1096" t="s">
        <v>303</v>
      </c>
      <c r="EA1096" t="s">
        <v>14475</v>
      </c>
      <c r="EB1096" t="s">
        <v>576</v>
      </c>
      <c r="EC1096" t="s">
        <v>183</v>
      </c>
      <c r="ED1096" t="s">
        <v>211</v>
      </c>
      <c r="EE1096" t="s">
        <v>298</v>
      </c>
      <c r="EG1096" t="s">
        <v>464</v>
      </c>
      <c r="EH1096" t="s">
        <v>12072</v>
      </c>
      <c r="EI1096" t="s">
        <v>238</v>
      </c>
      <c r="EJ1096" t="s">
        <v>239</v>
      </c>
      <c r="EK1096" t="s">
        <v>14476</v>
      </c>
      <c r="EL1096" t="s">
        <v>254</v>
      </c>
      <c r="EM1096" t="s">
        <v>183</v>
      </c>
      <c r="EN1096" t="s">
        <v>266</v>
      </c>
      <c r="EQ1096" t="s">
        <v>198</v>
      </c>
      <c r="ER1096" t="s">
        <v>14477</v>
      </c>
      <c r="ES1096" t="s">
        <v>346</v>
      </c>
      <c r="ET1096" t="s">
        <v>347</v>
      </c>
      <c r="EU1096" t="s">
        <v>14478</v>
      </c>
      <c r="EV1096" t="s">
        <v>7482</v>
      </c>
      <c r="EW1096" t="s">
        <v>183</v>
      </c>
      <c r="EX1096" t="s">
        <v>266</v>
      </c>
      <c r="FA1096" t="s">
        <v>198</v>
      </c>
      <c r="FB1096" t="s">
        <v>10207</v>
      </c>
      <c r="FC1096" t="s">
        <v>207</v>
      </c>
      <c r="FD1096" t="s">
        <v>208</v>
      </c>
      <c r="FE1096" t="s">
        <v>14479</v>
      </c>
      <c r="FF1096" t="s">
        <v>1966</v>
      </c>
      <c r="FG1096" t="s">
        <v>183</v>
      </c>
      <c r="FH1096" t="s">
        <v>211</v>
      </c>
      <c r="FI1096" t="s">
        <v>1543</v>
      </c>
      <c r="FK1096" t="s">
        <v>2096</v>
      </c>
      <c r="FU1096" t="s">
        <v>198</v>
      </c>
    </row>
    <row r="1097" spans="1:177">
      <c r="A1097" s="1" t="str">
        <f>HYPERLINK("http://digipan.lumentumllc.com/apps/getLink/index.php?t=PropLink&amp;p=6461774","PL")</f>
        <v>PL</v>
      </c>
      <c r="B1097" s="1" t="str">
        <f>HYPERLINK("http://digipan.lumentumllc.com/apps/getLink/index.php?t=TaxLink&amp;p=6461774","TL")</f>
        <v>TL</v>
      </c>
      <c r="C1097" s="1" t="str">
        <f>HYPERLINK("http://digipan.lumentumllc.com/apps/getMap/index.php?p=6461774","Map")</f>
        <v>Map</v>
      </c>
      <c r="E1097" t="s">
        <v>177</v>
      </c>
      <c r="F1097" t="s">
        <v>178</v>
      </c>
      <c r="L1097" t="s">
        <v>14480</v>
      </c>
      <c r="N1097" t="s">
        <v>14480</v>
      </c>
      <c r="O1097" t="s">
        <v>14480</v>
      </c>
      <c r="P1097" t="s">
        <v>14481</v>
      </c>
      <c r="Q1097" t="s">
        <v>14480</v>
      </c>
      <c r="V1097">
        <v>1262</v>
      </c>
      <c r="W1097">
        <v>4</v>
      </c>
      <c r="X1097">
        <v>2017</v>
      </c>
      <c r="Y1097">
        <v>2018</v>
      </c>
      <c r="Z1097">
        <v>1343.47</v>
      </c>
      <c r="AB1097" t="s">
        <v>181</v>
      </c>
      <c r="AC1097" t="s">
        <v>202</v>
      </c>
      <c r="AD1097" t="s">
        <v>183</v>
      </c>
      <c r="AE1097">
        <v>0</v>
      </c>
      <c r="AF1097">
        <v>4</v>
      </c>
      <c r="AG1097" t="s">
        <v>744</v>
      </c>
      <c r="AH1097">
        <v>100</v>
      </c>
      <c r="AK1097">
        <v>0</v>
      </c>
      <c r="AL1097">
        <v>80102</v>
      </c>
      <c r="AM1097">
        <v>49077</v>
      </c>
      <c r="AN1097">
        <v>31025</v>
      </c>
      <c r="AO1097">
        <v>1135</v>
      </c>
      <c r="AP1097">
        <v>2016</v>
      </c>
      <c r="AQ1097">
        <v>1.68</v>
      </c>
      <c r="AS1097" t="s">
        <v>14482</v>
      </c>
      <c r="AT1097" t="s">
        <v>3210</v>
      </c>
      <c r="AU1097" t="s">
        <v>177</v>
      </c>
      <c r="AV1097" t="s">
        <v>2334</v>
      </c>
      <c r="AW1097" t="s">
        <v>182</v>
      </c>
      <c r="AX1097">
        <v>1</v>
      </c>
      <c r="AY1097" t="s">
        <v>188</v>
      </c>
      <c r="AZ1097" t="s">
        <v>206</v>
      </c>
      <c r="BA1097" t="s">
        <v>355</v>
      </c>
      <c r="BB1097" t="s">
        <v>191</v>
      </c>
      <c r="BC1097" t="s">
        <v>182</v>
      </c>
      <c r="BD1097" t="s">
        <v>182</v>
      </c>
      <c r="BE1097" t="s">
        <v>14483</v>
      </c>
      <c r="BF1097">
        <v>2</v>
      </c>
      <c r="BG1097">
        <v>2</v>
      </c>
      <c r="BH1097">
        <v>1944</v>
      </c>
      <c r="BI1097" t="s">
        <v>14484</v>
      </c>
      <c r="BJ1097" t="s">
        <v>315</v>
      </c>
      <c r="BK1097" t="s">
        <v>195</v>
      </c>
      <c r="BL1097" t="s">
        <v>199</v>
      </c>
      <c r="BM1097" t="s">
        <v>1332</v>
      </c>
      <c r="BN1097" t="s">
        <v>182</v>
      </c>
      <c r="BO1097" t="s">
        <v>7191</v>
      </c>
      <c r="BP1097" t="s">
        <v>14485</v>
      </c>
      <c r="BQ1097" t="s">
        <v>1520</v>
      </c>
      <c r="BS1097" t="s">
        <v>198</v>
      </c>
      <c r="BT1097" t="s">
        <v>14486</v>
      </c>
      <c r="BU1097" t="s">
        <v>182</v>
      </c>
      <c r="BV1097" t="s">
        <v>198</v>
      </c>
      <c r="BW1097" t="s">
        <v>198</v>
      </c>
      <c r="BX1097" t="s">
        <v>199</v>
      </c>
      <c r="BY1097" t="s">
        <v>198</v>
      </c>
      <c r="BZ1097" t="s">
        <v>199</v>
      </c>
      <c r="CA1097" t="s">
        <v>199</v>
      </c>
      <c r="CB1097" t="s">
        <v>14487</v>
      </c>
      <c r="CC1097" t="s">
        <v>201</v>
      </c>
      <c r="CD1097" t="s">
        <v>202</v>
      </c>
      <c r="CE1097" t="s">
        <v>14488</v>
      </c>
      <c r="CF1097" t="s">
        <v>5331</v>
      </c>
      <c r="CG1097" t="s">
        <v>177</v>
      </c>
      <c r="CH1097" t="s">
        <v>5332</v>
      </c>
      <c r="CI1097" t="s">
        <v>14489</v>
      </c>
      <c r="CJ1097" t="s">
        <v>14490</v>
      </c>
      <c r="CK1097" t="s">
        <v>292</v>
      </c>
      <c r="CL1097" t="s">
        <v>293</v>
      </c>
      <c r="CM1097" t="s">
        <v>14491</v>
      </c>
      <c r="CN1097" t="s">
        <v>235</v>
      </c>
      <c r="CO1097" t="s">
        <v>183</v>
      </c>
      <c r="CP1097" t="s">
        <v>211</v>
      </c>
      <c r="CQ1097" t="s">
        <v>270</v>
      </c>
      <c r="CR1097" t="s">
        <v>271</v>
      </c>
      <c r="CS1097" t="s">
        <v>13583</v>
      </c>
      <c r="CT1097" t="s">
        <v>13840</v>
      </c>
      <c r="CU1097" t="s">
        <v>267</v>
      </c>
      <c r="CV1097" t="s">
        <v>268</v>
      </c>
      <c r="CW1097" t="s">
        <v>14492</v>
      </c>
      <c r="CX1097" t="s">
        <v>235</v>
      </c>
      <c r="CY1097" t="s">
        <v>183</v>
      </c>
      <c r="CZ1097" t="s">
        <v>211</v>
      </c>
      <c r="DA1097" t="s">
        <v>337</v>
      </c>
      <c r="DB1097" t="s">
        <v>271</v>
      </c>
      <c r="DC1097" t="s">
        <v>13583</v>
      </c>
      <c r="DD1097" t="s">
        <v>14369</v>
      </c>
      <c r="DE1097" t="s">
        <v>273</v>
      </c>
      <c r="DF1097" t="s">
        <v>274</v>
      </c>
      <c r="DG1097" t="s">
        <v>14493</v>
      </c>
      <c r="DH1097" t="s">
        <v>235</v>
      </c>
      <c r="DI1097" t="s">
        <v>183</v>
      </c>
      <c r="DJ1097" t="s">
        <v>211</v>
      </c>
      <c r="DL1097" t="s">
        <v>271</v>
      </c>
      <c r="DM1097" t="s">
        <v>198</v>
      </c>
      <c r="DN1097" t="s">
        <v>3950</v>
      </c>
      <c r="DO1097" t="s">
        <v>302</v>
      </c>
      <c r="DP1097" t="s">
        <v>303</v>
      </c>
      <c r="DQ1097" t="s">
        <v>14494</v>
      </c>
      <c r="DR1097" t="s">
        <v>235</v>
      </c>
      <c r="DS1097" t="s">
        <v>183</v>
      </c>
      <c r="DT1097" t="s">
        <v>211</v>
      </c>
      <c r="DU1097" t="s">
        <v>298</v>
      </c>
      <c r="DW1097" t="s">
        <v>2359</v>
      </c>
      <c r="EG1097" t="s">
        <v>198</v>
      </c>
      <c r="EQ1097" t="s">
        <v>198</v>
      </c>
      <c r="FA1097" t="s">
        <v>198</v>
      </c>
      <c r="FK1097" t="s">
        <v>198</v>
      </c>
      <c r="FU1097" t="s">
        <v>198</v>
      </c>
    </row>
    <row r="1098" spans="1:177">
      <c r="A1098" s="1" t="str">
        <f>HYPERLINK("http://digipan.lumentumllc.com/apps/getLink/index.php?t=PropLink&amp;p=5245172","PL")</f>
        <v>PL</v>
      </c>
      <c r="B1098" s="1" t="str">
        <f>HYPERLINK("http://digipan.lumentumllc.com/apps/getLink/index.php?t=TaxLink&amp;p=5245172","TL")</f>
        <v>TL</v>
      </c>
      <c r="C1098" s="1" t="str">
        <f>HYPERLINK("http://digipan.lumentumllc.com/apps/getMap/index.php?p=5245172","Map")</f>
        <v>Map</v>
      </c>
      <c r="E1098" t="s">
        <v>177</v>
      </c>
      <c r="F1098" t="s">
        <v>178</v>
      </c>
      <c r="L1098" t="s">
        <v>14495</v>
      </c>
      <c r="N1098" t="s">
        <v>14495</v>
      </c>
      <c r="O1098" t="s">
        <v>14495</v>
      </c>
      <c r="P1098" t="s">
        <v>14496</v>
      </c>
      <c r="Q1098" t="s">
        <v>14495</v>
      </c>
      <c r="V1098">
        <v>1263</v>
      </c>
      <c r="W1098">
        <v>4</v>
      </c>
      <c r="X1098">
        <v>2017</v>
      </c>
      <c r="Y1098">
        <v>2018</v>
      </c>
      <c r="Z1098">
        <v>444.6</v>
      </c>
      <c r="AB1098" t="s">
        <v>181</v>
      </c>
      <c r="AC1098" t="s">
        <v>182</v>
      </c>
      <c r="AD1098" t="s">
        <v>183</v>
      </c>
      <c r="AE1098">
        <v>1</v>
      </c>
      <c r="AF1098">
        <v>7</v>
      </c>
      <c r="AG1098" t="s">
        <v>418</v>
      </c>
      <c r="AH1098">
        <v>86</v>
      </c>
      <c r="AI1098">
        <v>425.44</v>
      </c>
      <c r="AJ1098">
        <v>27.65</v>
      </c>
      <c r="AK1098">
        <v>453.09</v>
      </c>
      <c r="AL1098">
        <v>25200</v>
      </c>
      <c r="AM1098">
        <v>25200</v>
      </c>
      <c r="AN1098">
        <v>0</v>
      </c>
      <c r="AO1098">
        <v>368</v>
      </c>
      <c r="AP1098">
        <v>2016</v>
      </c>
      <c r="AQ1098">
        <v>1.76</v>
      </c>
      <c r="AR1098">
        <v>1.8</v>
      </c>
      <c r="AS1098" t="s">
        <v>14497</v>
      </c>
      <c r="AT1098" t="s">
        <v>3210</v>
      </c>
      <c r="AU1098" t="s">
        <v>177</v>
      </c>
      <c r="AV1098" t="s">
        <v>2334</v>
      </c>
      <c r="AW1098" t="s">
        <v>182</v>
      </c>
      <c r="AX1098">
        <v>0</v>
      </c>
      <c r="AY1098" t="s">
        <v>312</v>
      </c>
      <c r="AZ1098" t="s">
        <v>199</v>
      </c>
      <c r="BA1098" t="s">
        <v>313</v>
      </c>
      <c r="BB1098" t="s">
        <v>191</v>
      </c>
      <c r="BC1098" t="s">
        <v>182</v>
      </c>
      <c r="BD1098" t="s">
        <v>182</v>
      </c>
      <c r="BE1098" t="s">
        <v>796</v>
      </c>
      <c r="BF1098">
        <v>0</v>
      </c>
      <c r="BG1098">
        <v>0</v>
      </c>
      <c r="BH1098">
        <v>0</v>
      </c>
      <c r="BI1098" t="s">
        <v>199</v>
      </c>
      <c r="BJ1098" t="s">
        <v>315</v>
      </c>
      <c r="BL1098" t="s">
        <v>980</v>
      </c>
      <c r="BM1098" t="s">
        <v>4973</v>
      </c>
      <c r="BN1098" t="s">
        <v>182</v>
      </c>
      <c r="BO1098" t="s">
        <v>198</v>
      </c>
      <c r="BP1098" t="s">
        <v>198</v>
      </c>
      <c r="BQ1098" t="s">
        <v>198</v>
      </c>
      <c r="BR1098" t="s">
        <v>198</v>
      </c>
      <c r="BS1098" t="s">
        <v>198</v>
      </c>
      <c r="BT1098" t="s">
        <v>198</v>
      </c>
      <c r="BU1098" t="s">
        <v>182</v>
      </c>
      <c r="BV1098" t="s">
        <v>198</v>
      </c>
      <c r="BW1098" t="s">
        <v>198</v>
      </c>
      <c r="BX1098" t="s">
        <v>199</v>
      </c>
      <c r="BY1098" t="s">
        <v>198</v>
      </c>
      <c r="BZ1098" t="s">
        <v>199</v>
      </c>
      <c r="CA1098" t="s">
        <v>199</v>
      </c>
      <c r="CB1098" t="s">
        <v>14498</v>
      </c>
      <c r="CC1098" t="s">
        <v>201</v>
      </c>
      <c r="CD1098" t="s">
        <v>202</v>
      </c>
      <c r="CE1098" t="s">
        <v>14499</v>
      </c>
      <c r="CF1098" t="s">
        <v>2333</v>
      </c>
      <c r="CG1098" t="s">
        <v>177</v>
      </c>
      <c r="CH1098" t="s">
        <v>3178</v>
      </c>
      <c r="CI1098" t="s">
        <v>14500</v>
      </c>
      <c r="CJ1098" t="s">
        <v>5782</v>
      </c>
      <c r="CK1098" t="s">
        <v>232</v>
      </c>
      <c r="CL1098" t="s">
        <v>233</v>
      </c>
      <c r="CM1098" t="s">
        <v>2876</v>
      </c>
      <c r="CN1098" t="s">
        <v>688</v>
      </c>
      <c r="CO1098" t="s">
        <v>183</v>
      </c>
      <c r="CP1098" t="s">
        <v>266</v>
      </c>
      <c r="CS1098" t="s">
        <v>198</v>
      </c>
      <c r="CT1098" t="s">
        <v>14501</v>
      </c>
      <c r="CU1098" t="s">
        <v>292</v>
      </c>
      <c r="CV1098" t="s">
        <v>293</v>
      </c>
      <c r="CW1098" t="s">
        <v>13931</v>
      </c>
      <c r="CX1098" t="s">
        <v>278</v>
      </c>
      <c r="CY1098" t="s">
        <v>183</v>
      </c>
      <c r="CZ1098" t="s">
        <v>211</v>
      </c>
      <c r="DA1098" t="s">
        <v>298</v>
      </c>
      <c r="DC1098" t="s">
        <v>457</v>
      </c>
      <c r="DD1098" t="s">
        <v>11507</v>
      </c>
      <c r="DE1098" t="s">
        <v>267</v>
      </c>
      <c r="DF1098" t="s">
        <v>268</v>
      </c>
      <c r="DG1098" t="s">
        <v>13932</v>
      </c>
      <c r="DH1098" t="s">
        <v>1966</v>
      </c>
      <c r="DI1098" t="s">
        <v>183</v>
      </c>
      <c r="DJ1098" t="s">
        <v>211</v>
      </c>
      <c r="DK1098" t="s">
        <v>298</v>
      </c>
      <c r="DM1098" t="s">
        <v>459</v>
      </c>
      <c r="DN1098" t="s">
        <v>499</v>
      </c>
      <c r="DO1098" t="s">
        <v>273</v>
      </c>
      <c r="DP1098" t="s">
        <v>274</v>
      </c>
      <c r="DQ1098" t="s">
        <v>14065</v>
      </c>
      <c r="DR1098" t="s">
        <v>402</v>
      </c>
      <c r="DS1098" t="s">
        <v>183</v>
      </c>
      <c r="DT1098" t="s">
        <v>211</v>
      </c>
      <c r="DU1098" t="s">
        <v>298</v>
      </c>
      <c r="DW1098" t="s">
        <v>3727</v>
      </c>
      <c r="DX1098" t="s">
        <v>12227</v>
      </c>
      <c r="DY1098" t="s">
        <v>302</v>
      </c>
      <c r="DZ1098" t="s">
        <v>303</v>
      </c>
      <c r="EA1098" t="s">
        <v>14502</v>
      </c>
      <c r="EB1098" t="s">
        <v>1586</v>
      </c>
      <c r="EC1098" t="s">
        <v>183</v>
      </c>
      <c r="ED1098" t="s">
        <v>211</v>
      </c>
      <c r="EE1098" t="s">
        <v>298</v>
      </c>
      <c r="EG1098" t="s">
        <v>1616</v>
      </c>
      <c r="EH1098" t="s">
        <v>8754</v>
      </c>
      <c r="EI1098" t="s">
        <v>238</v>
      </c>
      <c r="EJ1098" t="s">
        <v>239</v>
      </c>
      <c r="EK1098" t="s">
        <v>14503</v>
      </c>
      <c r="EL1098" t="s">
        <v>278</v>
      </c>
      <c r="EM1098" t="s">
        <v>183</v>
      </c>
      <c r="EN1098" t="s">
        <v>211</v>
      </c>
      <c r="EO1098" t="s">
        <v>298</v>
      </c>
      <c r="EQ1098" t="s">
        <v>3501</v>
      </c>
      <c r="ER1098" t="s">
        <v>11791</v>
      </c>
      <c r="ES1098" t="s">
        <v>346</v>
      </c>
      <c r="ET1098" t="s">
        <v>347</v>
      </c>
      <c r="EU1098" t="s">
        <v>14504</v>
      </c>
      <c r="EV1098" t="s">
        <v>615</v>
      </c>
      <c r="EW1098" t="s">
        <v>183</v>
      </c>
      <c r="EX1098" t="s">
        <v>211</v>
      </c>
      <c r="EY1098" t="s">
        <v>298</v>
      </c>
      <c r="FA1098" t="s">
        <v>1100</v>
      </c>
      <c r="FB1098" t="s">
        <v>14505</v>
      </c>
      <c r="FC1098" t="s">
        <v>207</v>
      </c>
      <c r="FD1098" t="s">
        <v>208</v>
      </c>
      <c r="FE1098" t="s">
        <v>14506</v>
      </c>
      <c r="FF1098" t="s">
        <v>1966</v>
      </c>
      <c r="FG1098" t="s">
        <v>183</v>
      </c>
      <c r="FH1098" t="s">
        <v>211</v>
      </c>
      <c r="FI1098" t="s">
        <v>298</v>
      </c>
      <c r="FK1098" t="s">
        <v>5101</v>
      </c>
      <c r="FU1098" t="s">
        <v>198</v>
      </c>
    </row>
    <row r="1099" spans="1:177">
      <c r="A1099" s="1" t="str">
        <f>HYPERLINK("http://digipan.lumentumllc.com/apps/getLink/index.php?t=PropLink&amp;p=4637426","PL")</f>
        <v>PL</v>
      </c>
      <c r="B1099" s="1" t="str">
        <f>HYPERLINK("http://digipan.lumentumllc.com/apps/getLink/index.php?t=TaxLink&amp;p=4637426","TL")</f>
        <v>TL</v>
      </c>
      <c r="C1099" s="1" t="str">
        <f>HYPERLINK("http://digipan.lumentumllc.com/apps/getMap/index.php?p=4637426","Map")</f>
        <v>Map</v>
      </c>
      <c r="E1099" t="s">
        <v>177</v>
      </c>
      <c r="F1099" t="s">
        <v>178</v>
      </c>
      <c r="L1099" t="s">
        <v>14507</v>
      </c>
      <c r="N1099" t="s">
        <v>14507</v>
      </c>
      <c r="O1099" t="s">
        <v>14507</v>
      </c>
      <c r="P1099" t="s">
        <v>14508</v>
      </c>
      <c r="Q1099" t="s">
        <v>14507</v>
      </c>
      <c r="V1099">
        <v>1264</v>
      </c>
      <c r="W1099">
        <v>4</v>
      </c>
      <c r="X1099">
        <v>2017</v>
      </c>
      <c r="Y1099">
        <v>2018</v>
      </c>
      <c r="Z1099">
        <v>528.92999999999995</v>
      </c>
      <c r="AB1099" t="s">
        <v>181</v>
      </c>
      <c r="AC1099" t="s">
        <v>182</v>
      </c>
      <c r="AD1099" t="s">
        <v>183</v>
      </c>
      <c r="AE1099">
        <v>1</v>
      </c>
      <c r="AF1099">
        <v>0</v>
      </c>
      <c r="AG1099" t="s">
        <v>1200</v>
      </c>
      <c r="AH1099">
        <v>0</v>
      </c>
      <c r="AI1099">
        <v>522.87</v>
      </c>
      <c r="AJ1099">
        <v>26.14</v>
      </c>
      <c r="AK1099">
        <v>549.01</v>
      </c>
      <c r="AL1099">
        <v>78711</v>
      </c>
      <c r="AM1099">
        <v>15750</v>
      </c>
      <c r="AN1099">
        <v>62961</v>
      </c>
      <c r="AO1099">
        <v>459</v>
      </c>
      <c r="AP1099">
        <v>2016</v>
      </c>
      <c r="AQ1099">
        <v>0.67</v>
      </c>
      <c r="AR1099">
        <v>0.7</v>
      </c>
      <c r="AS1099" t="s">
        <v>14509</v>
      </c>
      <c r="AT1099" t="s">
        <v>3210</v>
      </c>
      <c r="AU1099" t="s">
        <v>177</v>
      </c>
      <c r="AV1099" t="s">
        <v>2334</v>
      </c>
      <c r="AW1099" t="s">
        <v>202</v>
      </c>
      <c r="AX1099">
        <v>1</v>
      </c>
      <c r="AY1099" t="s">
        <v>188</v>
      </c>
      <c r="AZ1099" t="s">
        <v>206</v>
      </c>
      <c r="BA1099" t="s">
        <v>355</v>
      </c>
      <c r="BB1099" t="s">
        <v>191</v>
      </c>
      <c r="BC1099" t="s">
        <v>182</v>
      </c>
      <c r="BD1099" t="s">
        <v>182</v>
      </c>
      <c r="BE1099" t="s">
        <v>383</v>
      </c>
      <c r="BF1099">
        <v>1</v>
      </c>
      <c r="BG1099">
        <v>1</v>
      </c>
      <c r="BH1099">
        <v>1991</v>
      </c>
      <c r="BI1099" t="s">
        <v>13948</v>
      </c>
      <c r="BJ1099" t="s">
        <v>194</v>
      </c>
      <c r="BK1099" t="s">
        <v>195</v>
      </c>
      <c r="BL1099" t="s">
        <v>199</v>
      </c>
      <c r="BM1099" t="s">
        <v>1387</v>
      </c>
      <c r="BN1099" t="s">
        <v>182</v>
      </c>
      <c r="BO1099" t="s">
        <v>198</v>
      </c>
      <c r="BP1099" t="s">
        <v>198</v>
      </c>
      <c r="BQ1099" t="s">
        <v>198</v>
      </c>
      <c r="BR1099" t="s">
        <v>198</v>
      </c>
      <c r="BS1099" t="s">
        <v>198</v>
      </c>
      <c r="BT1099" t="s">
        <v>198</v>
      </c>
      <c r="BU1099" t="s">
        <v>182</v>
      </c>
      <c r="BV1099" t="s">
        <v>198</v>
      </c>
      <c r="BW1099" t="s">
        <v>198</v>
      </c>
      <c r="BX1099" t="s">
        <v>199</v>
      </c>
      <c r="BY1099" t="s">
        <v>198</v>
      </c>
      <c r="BZ1099" t="s">
        <v>199</v>
      </c>
      <c r="CA1099" t="s">
        <v>199</v>
      </c>
      <c r="CB1099" t="s">
        <v>14510</v>
      </c>
      <c r="CC1099" t="s">
        <v>201</v>
      </c>
      <c r="CD1099" t="s">
        <v>202</v>
      </c>
      <c r="CE1099" t="s">
        <v>14511</v>
      </c>
      <c r="CF1099" t="s">
        <v>2333</v>
      </c>
      <c r="CG1099" t="s">
        <v>177</v>
      </c>
      <c r="CH1099" t="s">
        <v>3178</v>
      </c>
      <c r="CI1099" t="s">
        <v>14500</v>
      </c>
      <c r="CJ1099" t="s">
        <v>10802</v>
      </c>
      <c r="CK1099" t="s">
        <v>232</v>
      </c>
      <c r="CL1099" t="s">
        <v>233</v>
      </c>
      <c r="CM1099" t="s">
        <v>14512</v>
      </c>
      <c r="CN1099" t="s">
        <v>235</v>
      </c>
      <c r="CO1099" t="s">
        <v>183</v>
      </c>
      <c r="CP1099" t="s">
        <v>266</v>
      </c>
      <c r="CS1099" t="s">
        <v>198</v>
      </c>
      <c r="DC1099" t="s">
        <v>198</v>
      </c>
      <c r="DM1099" t="s">
        <v>198</v>
      </c>
      <c r="DW1099" t="s">
        <v>198</v>
      </c>
      <c r="EG1099" t="s">
        <v>198</v>
      </c>
      <c r="EQ1099" t="s">
        <v>198</v>
      </c>
      <c r="FA1099" t="s">
        <v>198</v>
      </c>
      <c r="FK1099" t="s">
        <v>198</v>
      </c>
      <c r="FU1099" t="s">
        <v>198</v>
      </c>
    </row>
    <row r="1100" spans="1:177">
      <c r="A1100" s="1" t="str">
        <f>HYPERLINK("http://digipan.lumentumllc.com/apps/getLink/index.php?t=PropLink&amp;p=6594145","PL")</f>
        <v>PL</v>
      </c>
      <c r="B1100" s="1" t="str">
        <f>HYPERLINK("http://digipan.lumentumllc.com/apps/getLink/index.php?t=TaxLink&amp;p=6594145","TL")</f>
        <v>TL</v>
      </c>
      <c r="C1100" s="1" t="str">
        <f>HYPERLINK("http://digipan.lumentumllc.com/apps/getMap/index.php?p=6594145","Map")</f>
        <v>Map</v>
      </c>
      <c r="E1100" t="s">
        <v>177</v>
      </c>
      <c r="F1100" t="s">
        <v>178</v>
      </c>
      <c r="L1100" t="s">
        <v>14513</v>
      </c>
      <c r="N1100" t="s">
        <v>14513</v>
      </c>
      <c r="O1100" t="s">
        <v>14513</v>
      </c>
      <c r="P1100" t="s">
        <v>14514</v>
      </c>
      <c r="Q1100" t="s">
        <v>14513</v>
      </c>
      <c r="V1100">
        <v>1265</v>
      </c>
      <c r="W1100">
        <v>4</v>
      </c>
      <c r="X1100">
        <v>2017</v>
      </c>
      <c r="Y1100">
        <v>2018</v>
      </c>
      <c r="Z1100">
        <v>1080.04</v>
      </c>
      <c r="AB1100" t="s">
        <v>181</v>
      </c>
      <c r="AC1100" t="s">
        <v>182</v>
      </c>
      <c r="AD1100" t="s">
        <v>183</v>
      </c>
      <c r="AE1100">
        <v>1</v>
      </c>
      <c r="AF1100">
        <v>3</v>
      </c>
      <c r="AG1100" t="s">
        <v>257</v>
      </c>
      <c r="AH1100">
        <v>75</v>
      </c>
      <c r="AI1100">
        <v>789.04</v>
      </c>
      <c r="AJ1100">
        <v>39.450000000000003</v>
      </c>
      <c r="AK1100">
        <v>828.49</v>
      </c>
      <c r="AL1100">
        <v>64011</v>
      </c>
      <c r="AM1100">
        <v>25200</v>
      </c>
      <c r="AN1100">
        <v>38811</v>
      </c>
      <c r="AO1100">
        <v>705</v>
      </c>
      <c r="AP1100">
        <v>2016</v>
      </c>
      <c r="AQ1100">
        <v>1.69</v>
      </c>
      <c r="AR1100">
        <v>1.29</v>
      </c>
      <c r="AS1100" t="s">
        <v>14515</v>
      </c>
      <c r="AT1100" t="s">
        <v>3210</v>
      </c>
      <c r="AU1100" t="s">
        <v>177</v>
      </c>
      <c r="AV1100" t="s">
        <v>2334</v>
      </c>
      <c r="AW1100" t="s">
        <v>182</v>
      </c>
      <c r="AX1100">
        <v>1</v>
      </c>
      <c r="AY1100" t="s">
        <v>188</v>
      </c>
      <c r="AZ1100" t="s">
        <v>206</v>
      </c>
      <c r="BA1100" t="s">
        <v>355</v>
      </c>
      <c r="BB1100" t="s">
        <v>191</v>
      </c>
      <c r="BC1100" t="s">
        <v>182</v>
      </c>
      <c r="BD1100" t="s">
        <v>182</v>
      </c>
      <c r="BE1100" t="s">
        <v>796</v>
      </c>
      <c r="BF1100">
        <v>1</v>
      </c>
      <c r="BG1100">
        <v>1</v>
      </c>
      <c r="BH1100">
        <v>1969</v>
      </c>
      <c r="BI1100" t="s">
        <v>12952</v>
      </c>
      <c r="BJ1100" t="s">
        <v>194</v>
      </c>
      <c r="BK1100" t="s">
        <v>195</v>
      </c>
      <c r="BL1100" t="s">
        <v>199</v>
      </c>
      <c r="BM1100" t="s">
        <v>358</v>
      </c>
      <c r="BN1100" t="s">
        <v>182</v>
      </c>
      <c r="BO1100" t="s">
        <v>198</v>
      </c>
      <c r="BP1100" t="s">
        <v>198</v>
      </c>
      <c r="BQ1100" t="s">
        <v>198</v>
      </c>
      <c r="BR1100" t="s">
        <v>198</v>
      </c>
      <c r="BS1100" t="s">
        <v>198</v>
      </c>
      <c r="BT1100" t="s">
        <v>198</v>
      </c>
      <c r="BU1100" t="s">
        <v>182</v>
      </c>
      <c r="BV1100" t="s">
        <v>198</v>
      </c>
      <c r="BW1100" t="s">
        <v>198</v>
      </c>
      <c r="BX1100" t="s">
        <v>199</v>
      </c>
      <c r="BY1100" t="s">
        <v>198</v>
      </c>
      <c r="BZ1100" t="s">
        <v>199</v>
      </c>
      <c r="CA1100" t="s">
        <v>199</v>
      </c>
      <c r="CB1100" t="s">
        <v>14516</v>
      </c>
      <c r="CC1100" t="s">
        <v>201</v>
      </c>
      <c r="CD1100" t="s">
        <v>202</v>
      </c>
      <c r="CE1100" t="s">
        <v>14517</v>
      </c>
      <c r="CF1100" t="s">
        <v>2333</v>
      </c>
      <c r="CG1100" t="s">
        <v>177</v>
      </c>
      <c r="CH1100" t="s">
        <v>3178</v>
      </c>
      <c r="CI1100" t="s">
        <v>14518</v>
      </c>
      <c r="CJ1100" t="s">
        <v>10814</v>
      </c>
      <c r="CK1100" t="s">
        <v>232</v>
      </c>
      <c r="CL1100" t="s">
        <v>233</v>
      </c>
      <c r="CM1100" t="s">
        <v>14519</v>
      </c>
      <c r="CN1100" t="s">
        <v>235</v>
      </c>
      <c r="CO1100" t="s">
        <v>183</v>
      </c>
      <c r="CP1100" t="s">
        <v>266</v>
      </c>
      <c r="CS1100" t="s">
        <v>198</v>
      </c>
      <c r="CT1100" t="s">
        <v>14520</v>
      </c>
      <c r="CU1100" t="s">
        <v>292</v>
      </c>
      <c r="CV1100" t="s">
        <v>293</v>
      </c>
      <c r="CW1100" t="s">
        <v>14521</v>
      </c>
      <c r="CX1100" t="s">
        <v>235</v>
      </c>
      <c r="CY1100" t="s">
        <v>183</v>
      </c>
      <c r="CZ1100" t="s">
        <v>211</v>
      </c>
      <c r="DA1100" t="s">
        <v>212</v>
      </c>
      <c r="DC1100" t="s">
        <v>14522</v>
      </c>
      <c r="DD1100" t="s">
        <v>11509</v>
      </c>
      <c r="DE1100" t="s">
        <v>267</v>
      </c>
      <c r="DF1100" t="s">
        <v>268</v>
      </c>
      <c r="DG1100" t="s">
        <v>14523</v>
      </c>
      <c r="DH1100" t="s">
        <v>235</v>
      </c>
      <c r="DI1100" t="s">
        <v>183</v>
      </c>
      <c r="DJ1100" t="s">
        <v>211</v>
      </c>
      <c r="DK1100" t="s">
        <v>199</v>
      </c>
      <c r="DM1100" t="s">
        <v>3445</v>
      </c>
      <c r="DN1100" t="s">
        <v>12015</v>
      </c>
      <c r="DO1100" t="s">
        <v>273</v>
      </c>
      <c r="DP1100" t="s">
        <v>274</v>
      </c>
      <c r="DQ1100" t="s">
        <v>14524</v>
      </c>
      <c r="DR1100" t="s">
        <v>235</v>
      </c>
      <c r="DS1100" t="s">
        <v>183</v>
      </c>
      <c r="DT1100" t="s">
        <v>211</v>
      </c>
      <c r="DU1100" t="s">
        <v>270</v>
      </c>
      <c r="DW1100" t="s">
        <v>14525</v>
      </c>
      <c r="EG1100" t="s">
        <v>198</v>
      </c>
      <c r="EQ1100" t="s">
        <v>198</v>
      </c>
      <c r="FA1100" t="s">
        <v>198</v>
      </c>
      <c r="FK1100" t="s">
        <v>198</v>
      </c>
      <c r="FU1100" t="s">
        <v>198</v>
      </c>
    </row>
    <row r="1101" spans="1:177">
      <c r="A1101" s="1" t="str">
        <f>HYPERLINK("http://digipan.lumentumllc.com/apps/getLink/index.php?t=PropLink&amp;p=15741801","PL")</f>
        <v>PL</v>
      </c>
      <c r="B1101" s="1" t="str">
        <f>HYPERLINK("http://digipan.lumentumllc.com/apps/getLink/index.php?t=TaxLink&amp;p=15741801","TL")</f>
        <v>TL</v>
      </c>
      <c r="C1101" s="1" t="str">
        <f>HYPERLINK("http://digipan.lumentumllc.com/apps/getMap/index.php?p=15741801","Map")</f>
        <v>Map</v>
      </c>
      <c r="E1101" t="s">
        <v>177</v>
      </c>
      <c r="F1101" t="s">
        <v>178</v>
      </c>
      <c r="L1101" t="s">
        <v>14526</v>
      </c>
      <c r="N1101" t="s">
        <v>14526</v>
      </c>
      <c r="O1101" t="s">
        <v>14526</v>
      </c>
      <c r="Q1101" t="s">
        <v>14526</v>
      </c>
      <c r="V1101">
        <v>1266</v>
      </c>
      <c r="W1101">
        <v>4</v>
      </c>
      <c r="X1101">
        <v>2017</v>
      </c>
      <c r="Y1101">
        <v>2018</v>
      </c>
      <c r="Z1101">
        <v>540.58000000000004</v>
      </c>
      <c r="AG1101" t="s">
        <v>184</v>
      </c>
      <c r="AH1101">
        <v>0</v>
      </c>
      <c r="AK1101">
        <v>0</v>
      </c>
      <c r="AL1101">
        <v>31063</v>
      </c>
      <c r="AM1101">
        <v>15750</v>
      </c>
      <c r="AN1101">
        <v>15313</v>
      </c>
      <c r="AO1101">
        <v>0</v>
      </c>
      <c r="AP1101">
        <v>0</v>
      </c>
      <c r="AQ1101">
        <v>1.74</v>
      </c>
      <c r="AS1101" t="s">
        <v>14527</v>
      </c>
      <c r="AT1101" t="s">
        <v>3210</v>
      </c>
      <c r="AU1101" t="s">
        <v>177</v>
      </c>
      <c r="AV1101" t="s">
        <v>2334</v>
      </c>
      <c r="AW1101" t="s">
        <v>182</v>
      </c>
      <c r="AX1101">
        <v>1</v>
      </c>
      <c r="AY1101" t="s">
        <v>188</v>
      </c>
      <c r="AZ1101" t="s">
        <v>206</v>
      </c>
      <c r="BA1101" t="s">
        <v>355</v>
      </c>
      <c r="BB1101" t="s">
        <v>191</v>
      </c>
      <c r="BC1101" t="s">
        <v>182</v>
      </c>
      <c r="BD1101" t="s">
        <v>182</v>
      </c>
      <c r="BE1101" t="s">
        <v>383</v>
      </c>
      <c r="BF1101">
        <v>1</v>
      </c>
      <c r="BG1101">
        <v>1</v>
      </c>
      <c r="BH1101">
        <v>1963</v>
      </c>
      <c r="BI1101" t="s">
        <v>9614</v>
      </c>
      <c r="BJ1101" t="s">
        <v>194</v>
      </c>
      <c r="BK1101" t="s">
        <v>195</v>
      </c>
      <c r="BL1101" t="s">
        <v>199</v>
      </c>
      <c r="BM1101" t="s">
        <v>358</v>
      </c>
      <c r="BN1101" t="s">
        <v>182</v>
      </c>
      <c r="BO1101" t="s">
        <v>198</v>
      </c>
      <c r="BP1101" t="s">
        <v>198</v>
      </c>
      <c r="BQ1101" t="s">
        <v>198</v>
      </c>
      <c r="BR1101" t="s">
        <v>198</v>
      </c>
      <c r="BS1101" t="s">
        <v>198</v>
      </c>
      <c r="BT1101" t="s">
        <v>198</v>
      </c>
      <c r="BU1101" t="s">
        <v>182</v>
      </c>
      <c r="BV1101" t="s">
        <v>198</v>
      </c>
      <c r="BW1101" t="s">
        <v>198</v>
      </c>
      <c r="BX1101" t="s">
        <v>199</v>
      </c>
      <c r="BY1101" t="s">
        <v>198</v>
      </c>
      <c r="BZ1101" t="s">
        <v>199</v>
      </c>
      <c r="CA1101" t="s">
        <v>199</v>
      </c>
      <c r="CB1101" t="s">
        <v>14528</v>
      </c>
      <c r="CC1101" t="s">
        <v>201</v>
      </c>
      <c r="CD1101" t="s">
        <v>182</v>
      </c>
      <c r="CE1101" t="s">
        <v>14529</v>
      </c>
      <c r="CF1101" t="s">
        <v>2333</v>
      </c>
      <c r="CG1101" t="s">
        <v>177</v>
      </c>
      <c r="CH1101" t="s">
        <v>2334</v>
      </c>
      <c r="CI1101" t="s">
        <v>14530</v>
      </c>
      <c r="CS1101" t="s">
        <v>198</v>
      </c>
      <c r="DC1101" t="s">
        <v>198</v>
      </c>
      <c r="DM1101" t="s">
        <v>198</v>
      </c>
      <c r="DW1101" t="s">
        <v>198</v>
      </c>
      <c r="EG1101" t="s">
        <v>198</v>
      </c>
      <c r="EQ1101" t="s">
        <v>198</v>
      </c>
      <c r="FA1101" t="s">
        <v>198</v>
      </c>
      <c r="FK1101" t="s">
        <v>198</v>
      </c>
      <c r="FU1101" t="s">
        <v>198</v>
      </c>
    </row>
    <row r="1102" spans="1:177">
      <c r="A1102" s="1" t="str">
        <f>HYPERLINK("http://digipan.lumentumllc.com/apps/getLink/index.php?t=PropLink&amp;p=5245320","PL")</f>
        <v>PL</v>
      </c>
      <c r="B1102" s="1" t="str">
        <f>HYPERLINK("http://digipan.lumentumllc.com/apps/getLink/index.php?t=TaxLink&amp;p=5245320","TL")</f>
        <v>TL</v>
      </c>
      <c r="C1102" s="1" t="str">
        <f>HYPERLINK("http://digipan.lumentumllc.com/apps/getMap/index.php?p=5245320","Map")</f>
        <v>Map</v>
      </c>
      <c r="E1102" t="s">
        <v>177</v>
      </c>
      <c r="F1102" t="s">
        <v>178</v>
      </c>
      <c r="L1102" t="s">
        <v>14531</v>
      </c>
      <c r="N1102" t="s">
        <v>14531</v>
      </c>
      <c r="O1102" t="s">
        <v>14531</v>
      </c>
      <c r="P1102" t="s">
        <v>14532</v>
      </c>
      <c r="Q1102" t="s">
        <v>14531</v>
      </c>
      <c r="V1102">
        <v>1267</v>
      </c>
      <c r="W1102">
        <v>4</v>
      </c>
      <c r="X1102">
        <v>2017</v>
      </c>
      <c r="Y1102">
        <v>2018</v>
      </c>
      <c r="Z1102">
        <v>460.3</v>
      </c>
      <c r="AB1102" t="s">
        <v>181</v>
      </c>
      <c r="AC1102" t="s">
        <v>182</v>
      </c>
      <c r="AD1102" t="s">
        <v>183</v>
      </c>
      <c r="AE1102">
        <v>1</v>
      </c>
      <c r="AF1102">
        <v>7</v>
      </c>
      <c r="AG1102" t="s">
        <v>418</v>
      </c>
      <c r="AH1102">
        <v>86</v>
      </c>
      <c r="AI1102">
        <v>453.28</v>
      </c>
      <c r="AJ1102">
        <v>22.66</v>
      </c>
      <c r="AK1102">
        <v>475.94</v>
      </c>
      <c r="AL1102">
        <v>63486</v>
      </c>
      <c r="AM1102">
        <v>33600</v>
      </c>
      <c r="AN1102">
        <v>29886</v>
      </c>
      <c r="AO1102">
        <v>394</v>
      </c>
      <c r="AP1102">
        <v>2016</v>
      </c>
      <c r="AQ1102">
        <v>0.73</v>
      </c>
      <c r="AR1102">
        <v>0.75</v>
      </c>
      <c r="AS1102" t="s">
        <v>14533</v>
      </c>
      <c r="AT1102" t="s">
        <v>3210</v>
      </c>
      <c r="AU1102" t="s">
        <v>177</v>
      </c>
      <c r="AV1102" t="s">
        <v>2334</v>
      </c>
      <c r="AW1102" t="s">
        <v>202</v>
      </c>
      <c r="AX1102">
        <v>2</v>
      </c>
      <c r="AY1102" t="s">
        <v>188</v>
      </c>
      <c r="AZ1102" t="s">
        <v>189</v>
      </c>
      <c r="BA1102" t="s">
        <v>190</v>
      </c>
      <c r="BB1102" t="s">
        <v>191</v>
      </c>
      <c r="BC1102" t="s">
        <v>182</v>
      </c>
      <c r="BD1102" t="s">
        <v>182</v>
      </c>
      <c r="BE1102" t="s">
        <v>927</v>
      </c>
      <c r="BF1102">
        <v>1</v>
      </c>
      <c r="BG1102">
        <v>1</v>
      </c>
      <c r="BH1102">
        <v>1985</v>
      </c>
      <c r="BI1102" t="s">
        <v>14534</v>
      </c>
      <c r="BJ1102" t="s">
        <v>194</v>
      </c>
      <c r="BK1102" t="s">
        <v>195</v>
      </c>
      <c r="BL1102" t="s">
        <v>14535</v>
      </c>
      <c r="BM1102" t="s">
        <v>501</v>
      </c>
      <c r="BN1102" t="s">
        <v>182</v>
      </c>
      <c r="BO1102" t="s">
        <v>14536</v>
      </c>
      <c r="BP1102" t="s">
        <v>9962</v>
      </c>
      <c r="BS1102" t="s">
        <v>14537</v>
      </c>
      <c r="BT1102" t="s">
        <v>198</v>
      </c>
      <c r="BU1102" t="s">
        <v>182</v>
      </c>
      <c r="BV1102" t="s">
        <v>198</v>
      </c>
      <c r="BW1102" t="s">
        <v>198</v>
      </c>
      <c r="BX1102" t="s">
        <v>199</v>
      </c>
      <c r="BY1102" t="s">
        <v>198</v>
      </c>
      <c r="BZ1102" t="s">
        <v>199</v>
      </c>
      <c r="CA1102" t="s">
        <v>199</v>
      </c>
      <c r="CB1102" t="s">
        <v>14538</v>
      </c>
      <c r="CC1102" t="s">
        <v>201</v>
      </c>
      <c r="CD1102" t="s">
        <v>182</v>
      </c>
      <c r="CE1102" t="s">
        <v>14539</v>
      </c>
      <c r="CF1102" t="s">
        <v>2333</v>
      </c>
      <c r="CG1102" t="s">
        <v>177</v>
      </c>
      <c r="CH1102" t="s">
        <v>2334</v>
      </c>
      <c r="CI1102" t="s">
        <v>14540</v>
      </c>
      <c r="CJ1102" t="s">
        <v>10754</v>
      </c>
      <c r="CK1102" t="s">
        <v>232</v>
      </c>
      <c r="CL1102" t="s">
        <v>233</v>
      </c>
      <c r="CM1102" t="s">
        <v>14541</v>
      </c>
      <c r="CN1102" t="s">
        <v>235</v>
      </c>
      <c r="CO1102" t="s">
        <v>183</v>
      </c>
      <c r="CP1102" t="s">
        <v>266</v>
      </c>
      <c r="CS1102" t="s">
        <v>198</v>
      </c>
      <c r="CT1102" t="s">
        <v>10993</v>
      </c>
      <c r="CU1102" t="s">
        <v>292</v>
      </c>
      <c r="CV1102" t="s">
        <v>293</v>
      </c>
      <c r="CW1102" t="s">
        <v>14542</v>
      </c>
      <c r="CX1102" t="s">
        <v>482</v>
      </c>
      <c r="CY1102" t="s">
        <v>183</v>
      </c>
      <c r="CZ1102" t="s">
        <v>211</v>
      </c>
      <c r="DA1102" t="s">
        <v>298</v>
      </c>
      <c r="DC1102" t="s">
        <v>1235</v>
      </c>
      <c r="DD1102" t="s">
        <v>11545</v>
      </c>
      <c r="DE1102" t="s">
        <v>267</v>
      </c>
      <c r="DF1102" t="s">
        <v>268</v>
      </c>
      <c r="DG1102" t="s">
        <v>14543</v>
      </c>
      <c r="DH1102" t="s">
        <v>514</v>
      </c>
      <c r="DI1102" t="s">
        <v>183</v>
      </c>
      <c r="DJ1102" t="s">
        <v>211</v>
      </c>
      <c r="DK1102" t="s">
        <v>298</v>
      </c>
      <c r="DM1102" t="s">
        <v>459</v>
      </c>
      <c r="DN1102" t="s">
        <v>14418</v>
      </c>
      <c r="DO1102" t="s">
        <v>273</v>
      </c>
      <c r="DP1102" t="s">
        <v>274</v>
      </c>
      <c r="DQ1102" t="s">
        <v>14544</v>
      </c>
      <c r="DR1102" t="s">
        <v>278</v>
      </c>
      <c r="DS1102" t="s">
        <v>183</v>
      </c>
      <c r="DT1102" t="s">
        <v>211</v>
      </c>
      <c r="DU1102" t="s">
        <v>768</v>
      </c>
      <c r="DW1102" t="s">
        <v>14545</v>
      </c>
      <c r="DX1102" t="s">
        <v>14546</v>
      </c>
      <c r="DY1102" t="s">
        <v>302</v>
      </c>
      <c r="DZ1102" t="s">
        <v>303</v>
      </c>
      <c r="EA1102" t="s">
        <v>14547</v>
      </c>
      <c r="EB1102" t="s">
        <v>235</v>
      </c>
      <c r="EC1102" t="s">
        <v>183</v>
      </c>
      <c r="ED1102" t="s">
        <v>211</v>
      </c>
      <c r="EE1102" t="s">
        <v>1006</v>
      </c>
      <c r="EG1102" t="s">
        <v>14545</v>
      </c>
      <c r="EH1102" t="s">
        <v>12410</v>
      </c>
      <c r="EI1102" t="s">
        <v>238</v>
      </c>
      <c r="EJ1102" t="s">
        <v>239</v>
      </c>
      <c r="EK1102" t="s">
        <v>14548</v>
      </c>
      <c r="EL1102" t="s">
        <v>278</v>
      </c>
      <c r="EM1102" t="s">
        <v>183</v>
      </c>
      <c r="EN1102" t="s">
        <v>211</v>
      </c>
      <c r="EO1102" t="s">
        <v>673</v>
      </c>
      <c r="EQ1102" t="s">
        <v>14545</v>
      </c>
      <c r="ER1102" t="s">
        <v>14549</v>
      </c>
      <c r="ES1102" t="s">
        <v>346</v>
      </c>
      <c r="ET1102" t="s">
        <v>347</v>
      </c>
      <c r="EU1102" t="s">
        <v>14550</v>
      </c>
      <c r="EV1102" t="s">
        <v>1491</v>
      </c>
      <c r="EW1102" t="s">
        <v>183</v>
      </c>
      <c r="EX1102" t="s">
        <v>211</v>
      </c>
      <c r="EY1102" t="s">
        <v>525</v>
      </c>
      <c r="FA1102" t="s">
        <v>467</v>
      </c>
      <c r="FB1102" t="s">
        <v>14551</v>
      </c>
      <c r="FC1102" t="s">
        <v>207</v>
      </c>
      <c r="FD1102" t="s">
        <v>208</v>
      </c>
      <c r="FE1102" t="s">
        <v>14552</v>
      </c>
      <c r="FF1102" t="s">
        <v>1966</v>
      </c>
      <c r="FG1102" t="s">
        <v>183</v>
      </c>
      <c r="FH1102" t="s">
        <v>211</v>
      </c>
      <c r="FI1102" t="s">
        <v>189</v>
      </c>
      <c r="FK1102" t="s">
        <v>14553</v>
      </c>
      <c r="FU1102" t="s">
        <v>198</v>
      </c>
    </row>
    <row r="1103" spans="1:177">
      <c r="A1103" s="1" t="str">
        <f>HYPERLINK("http://digipan.lumentumllc.com/apps/getLink/index.php?t=PropLink&amp;p=5245321","PL")</f>
        <v>PL</v>
      </c>
      <c r="B1103" s="1" t="str">
        <f>HYPERLINK("http://digipan.lumentumllc.com/apps/getLink/index.php?t=TaxLink&amp;p=5245321","TL")</f>
        <v>TL</v>
      </c>
      <c r="C1103" s="1" t="str">
        <f>HYPERLINK("http://digipan.lumentumllc.com/apps/getMap/index.php?p=5245321","Map")</f>
        <v>Map</v>
      </c>
      <c r="E1103" t="s">
        <v>177</v>
      </c>
      <c r="F1103" t="s">
        <v>178</v>
      </c>
      <c r="L1103" t="s">
        <v>14554</v>
      </c>
      <c r="N1103" t="s">
        <v>14554</v>
      </c>
      <c r="O1103" t="s">
        <v>14554</v>
      </c>
      <c r="P1103" t="s">
        <v>14555</v>
      </c>
      <c r="Q1103" t="s">
        <v>14554</v>
      </c>
      <c r="V1103">
        <v>1268</v>
      </c>
      <c r="W1103">
        <v>4</v>
      </c>
      <c r="X1103">
        <v>2017</v>
      </c>
      <c r="Y1103">
        <v>2018</v>
      </c>
      <c r="Z1103">
        <v>531.44000000000005</v>
      </c>
      <c r="AB1103" t="s">
        <v>181</v>
      </c>
      <c r="AC1103" t="s">
        <v>182</v>
      </c>
      <c r="AD1103" t="s">
        <v>183</v>
      </c>
      <c r="AE1103">
        <v>1</v>
      </c>
      <c r="AF1103">
        <v>6</v>
      </c>
      <c r="AG1103" t="s">
        <v>322</v>
      </c>
      <c r="AH1103">
        <v>83</v>
      </c>
      <c r="AI1103">
        <v>425.22</v>
      </c>
      <c r="AJ1103">
        <v>27.64</v>
      </c>
      <c r="AK1103">
        <v>452.86</v>
      </c>
      <c r="AL1103">
        <v>35836</v>
      </c>
      <c r="AM1103">
        <v>29295</v>
      </c>
      <c r="AN1103">
        <v>6541</v>
      </c>
      <c r="AO1103">
        <v>368</v>
      </c>
      <c r="AP1103">
        <v>2016</v>
      </c>
      <c r="AQ1103">
        <v>1.48</v>
      </c>
      <c r="AR1103">
        <v>1.26</v>
      </c>
      <c r="AS1103" t="s">
        <v>14556</v>
      </c>
      <c r="AT1103" t="s">
        <v>3210</v>
      </c>
      <c r="AU1103" t="s">
        <v>177</v>
      </c>
      <c r="AV1103" t="s">
        <v>2334</v>
      </c>
      <c r="AW1103" t="s">
        <v>182</v>
      </c>
      <c r="AX1103">
        <v>0</v>
      </c>
      <c r="AY1103" t="s">
        <v>312</v>
      </c>
      <c r="AZ1103" t="s">
        <v>199</v>
      </c>
      <c r="BA1103" t="s">
        <v>313</v>
      </c>
      <c r="BB1103" t="s">
        <v>191</v>
      </c>
      <c r="BC1103" t="s">
        <v>182</v>
      </c>
      <c r="BD1103" t="s">
        <v>182</v>
      </c>
      <c r="BE1103" t="s">
        <v>4230</v>
      </c>
      <c r="BF1103">
        <v>0</v>
      </c>
      <c r="BG1103">
        <v>0</v>
      </c>
      <c r="BH1103">
        <v>0</v>
      </c>
      <c r="BI1103" t="s">
        <v>199</v>
      </c>
      <c r="BJ1103" t="s">
        <v>396</v>
      </c>
      <c r="BL1103" t="s">
        <v>2960</v>
      </c>
      <c r="BM1103" t="s">
        <v>1311</v>
      </c>
      <c r="BN1103" t="s">
        <v>182</v>
      </c>
      <c r="BO1103" t="s">
        <v>198</v>
      </c>
      <c r="BP1103" t="s">
        <v>198</v>
      </c>
      <c r="BQ1103" t="s">
        <v>198</v>
      </c>
      <c r="BR1103" t="s">
        <v>198</v>
      </c>
      <c r="BS1103" t="s">
        <v>198</v>
      </c>
      <c r="BT1103" t="s">
        <v>198</v>
      </c>
      <c r="BU1103" t="s">
        <v>182</v>
      </c>
      <c r="BV1103" t="s">
        <v>198</v>
      </c>
      <c r="BW1103" t="s">
        <v>198</v>
      </c>
      <c r="BX1103" t="s">
        <v>199</v>
      </c>
      <c r="BY1103" t="s">
        <v>198</v>
      </c>
      <c r="BZ1103" t="s">
        <v>199</v>
      </c>
      <c r="CA1103" t="s">
        <v>199</v>
      </c>
      <c r="CB1103" t="s">
        <v>14557</v>
      </c>
      <c r="CC1103" t="s">
        <v>201</v>
      </c>
      <c r="CD1103" t="s">
        <v>182</v>
      </c>
      <c r="CE1103" t="s">
        <v>14539</v>
      </c>
      <c r="CF1103" t="s">
        <v>2333</v>
      </c>
      <c r="CG1103" t="s">
        <v>177</v>
      </c>
      <c r="CH1103" t="s">
        <v>2334</v>
      </c>
      <c r="CI1103" t="s">
        <v>14540</v>
      </c>
      <c r="CJ1103" t="s">
        <v>10774</v>
      </c>
      <c r="CK1103" t="s">
        <v>232</v>
      </c>
      <c r="CL1103" t="s">
        <v>233</v>
      </c>
      <c r="CM1103" t="s">
        <v>14558</v>
      </c>
      <c r="CN1103" t="s">
        <v>688</v>
      </c>
      <c r="CO1103" t="s">
        <v>183</v>
      </c>
      <c r="CP1103" t="s">
        <v>266</v>
      </c>
      <c r="CS1103" t="s">
        <v>198</v>
      </c>
      <c r="CT1103" t="s">
        <v>14559</v>
      </c>
      <c r="CU1103" t="s">
        <v>292</v>
      </c>
      <c r="CV1103" t="s">
        <v>293</v>
      </c>
      <c r="CW1103" t="s">
        <v>14560</v>
      </c>
      <c r="CX1103" t="s">
        <v>278</v>
      </c>
      <c r="CY1103" t="s">
        <v>183</v>
      </c>
      <c r="CZ1103" t="s">
        <v>211</v>
      </c>
      <c r="DA1103" t="s">
        <v>298</v>
      </c>
      <c r="DC1103" t="s">
        <v>1235</v>
      </c>
      <c r="DD1103" t="s">
        <v>6086</v>
      </c>
      <c r="DE1103" t="s">
        <v>267</v>
      </c>
      <c r="DF1103" t="s">
        <v>268</v>
      </c>
      <c r="DG1103" t="s">
        <v>14561</v>
      </c>
      <c r="DH1103" t="s">
        <v>235</v>
      </c>
      <c r="DI1103" t="s">
        <v>183</v>
      </c>
      <c r="DJ1103" t="s">
        <v>211</v>
      </c>
      <c r="DK1103" t="s">
        <v>298</v>
      </c>
      <c r="DM1103" t="s">
        <v>459</v>
      </c>
      <c r="DN1103" t="s">
        <v>12092</v>
      </c>
      <c r="DO1103" t="s">
        <v>273</v>
      </c>
      <c r="DP1103" t="s">
        <v>274</v>
      </c>
      <c r="DQ1103" t="s">
        <v>14562</v>
      </c>
      <c r="DR1103" t="s">
        <v>389</v>
      </c>
      <c r="DS1103" t="s">
        <v>183</v>
      </c>
      <c r="DT1103" t="s">
        <v>211</v>
      </c>
      <c r="DU1103" t="s">
        <v>206</v>
      </c>
      <c r="DW1103" t="s">
        <v>11230</v>
      </c>
      <c r="DX1103" t="s">
        <v>14563</v>
      </c>
      <c r="DY1103" t="s">
        <v>302</v>
      </c>
      <c r="DZ1103" t="s">
        <v>303</v>
      </c>
      <c r="EA1103" t="s">
        <v>14564</v>
      </c>
      <c r="EB1103" t="s">
        <v>235</v>
      </c>
      <c r="EC1103" t="s">
        <v>183</v>
      </c>
      <c r="ED1103" t="s">
        <v>211</v>
      </c>
      <c r="EE1103" t="s">
        <v>306</v>
      </c>
      <c r="EG1103" t="s">
        <v>11230</v>
      </c>
      <c r="EH1103" t="s">
        <v>14565</v>
      </c>
      <c r="EI1103" t="s">
        <v>346</v>
      </c>
      <c r="EJ1103" t="s">
        <v>347</v>
      </c>
      <c r="EK1103" t="s">
        <v>14566</v>
      </c>
      <c r="EL1103" t="s">
        <v>1491</v>
      </c>
      <c r="EM1103" t="s">
        <v>183</v>
      </c>
      <c r="EN1103" t="s">
        <v>211</v>
      </c>
      <c r="EO1103" t="s">
        <v>270</v>
      </c>
      <c r="EQ1103" t="s">
        <v>14567</v>
      </c>
      <c r="ER1103" t="s">
        <v>7722</v>
      </c>
      <c r="ES1103" t="s">
        <v>207</v>
      </c>
      <c r="ET1103" t="s">
        <v>208</v>
      </c>
      <c r="EU1103" t="s">
        <v>14568</v>
      </c>
      <c r="EV1103" t="s">
        <v>1966</v>
      </c>
      <c r="EW1103" t="s">
        <v>183</v>
      </c>
      <c r="EX1103" t="s">
        <v>211</v>
      </c>
      <c r="EY1103" t="s">
        <v>189</v>
      </c>
      <c r="FA1103" t="s">
        <v>14553</v>
      </c>
      <c r="FK1103" t="s">
        <v>198</v>
      </c>
      <c r="FU1103" t="s">
        <v>198</v>
      </c>
    </row>
    <row r="1104" spans="1:177">
      <c r="A1104" s="1" t="str">
        <f>HYPERLINK("http://digipan.lumentumllc.com/apps/getLink/index.php?t=PropLink&amp;p=5245325","PL")</f>
        <v>PL</v>
      </c>
      <c r="B1104" s="1" t="str">
        <f>HYPERLINK("http://digipan.lumentumllc.com/apps/getLink/index.php?t=TaxLink&amp;p=5245325","TL")</f>
        <v>TL</v>
      </c>
      <c r="C1104" s="1" t="str">
        <f>HYPERLINK("http://digipan.lumentumllc.com/apps/getMap/index.php?p=5245325","Map")</f>
        <v>Map</v>
      </c>
      <c r="E1104" t="s">
        <v>177</v>
      </c>
      <c r="F1104" t="s">
        <v>178</v>
      </c>
      <c r="L1104" t="s">
        <v>14569</v>
      </c>
      <c r="N1104" t="s">
        <v>14569</v>
      </c>
      <c r="O1104" t="s">
        <v>14569</v>
      </c>
      <c r="P1104" t="s">
        <v>14570</v>
      </c>
      <c r="Q1104" t="s">
        <v>14569</v>
      </c>
      <c r="V1104">
        <v>1269</v>
      </c>
      <c r="W1104">
        <v>4</v>
      </c>
      <c r="X1104">
        <v>2017</v>
      </c>
      <c r="Y1104">
        <v>2018</v>
      </c>
      <c r="Z1104">
        <v>681.02</v>
      </c>
      <c r="AB1104" t="s">
        <v>181</v>
      </c>
      <c r="AC1104" t="s">
        <v>182</v>
      </c>
      <c r="AD1104" t="s">
        <v>183</v>
      </c>
      <c r="AE1104">
        <v>0</v>
      </c>
      <c r="AF1104">
        <v>5</v>
      </c>
      <c r="AG1104" t="s">
        <v>744</v>
      </c>
      <c r="AH1104">
        <v>100</v>
      </c>
      <c r="AK1104">
        <v>0</v>
      </c>
      <c r="AL1104">
        <v>99312</v>
      </c>
      <c r="AM1104">
        <v>15750</v>
      </c>
      <c r="AN1104">
        <v>83562</v>
      </c>
      <c r="AO1104">
        <v>586</v>
      </c>
      <c r="AP1104">
        <v>2016</v>
      </c>
      <c r="AQ1104">
        <v>0.69</v>
      </c>
      <c r="AS1104" t="s">
        <v>14571</v>
      </c>
      <c r="AT1104" t="s">
        <v>3210</v>
      </c>
      <c r="AU1104" t="s">
        <v>177</v>
      </c>
      <c r="AV1104" t="s">
        <v>2334</v>
      </c>
      <c r="AW1104" t="s">
        <v>202</v>
      </c>
      <c r="AX1104">
        <v>1</v>
      </c>
      <c r="AY1104" t="s">
        <v>188</v>
      </c>
      <c r="AZ1104" t="s">
        <v>206</v>
      </c>
      <c r="BA1104" t="s">
        <v>355</v>
      </c>
      <c r="BB1104" t="s">
        <v>191</v>
      </c>
      <c r="BC1104" t="s">
        <v>182</v>
      </c>
      <c r="BD1104" t="s">
        <v>182</v>
      </c>
      <c r="BE1104" t="s">
        <v>383</v>
      </c>
      <c r="BF1104">
        <v>1</v>
      </c>
      <c r="BG1104">
        <v>1</v>
      </c>
      <c r="BH1104">
        <v>2004</v>
      </c>
      <c r="BI1104" t="s">
        <v>14572</v>
      </c>
      <c r="BJ1104" t="s">
        <v>194</v>
      </c>
      <c r="BK1104" t="s">
        <v>195</v>
      </c>
      <c r="BL1104" t="s">
        <v>199</v>
      </c>
      <c r="BM1104" t="s">
        <v>410</v>
      </c>
      <c r="BN1104" t="s">
        <v>182</v>
      </c>
      <c r="BO1104" t="s">
        <v>198</v>
      </c>
      <c r="BP1104" t="s">
        <v>198</v>
      </c>
      <c r="BQ1104" t="s">
        <v>198</v>
      </c>
      <c r="BR1104" t="s">
        <v>198</v>
      </c>
      <c r="BS1104" t="s">
        <v>198</v>
      </c>
      <c r="BT1104" t="s">
        <v>198</v>
      </c>
      <c r="BU1104" t="s">
        <v>182</v>
      </c>
      <c r="BV1104" t="s">
        <v>198</v>
      </c>
      <c r="BW1104" t="s">
        <v>198</v>
      </c>
      <c r="BX1104" t="s">
        <v>199</v>
      </c>
      <c r="BY1104" t="s">
        <v>198</v>
      </c>
      <c r="BZ1104" t="s">
        <v>199</v>
      </c>
      <c r="CA1104" t="s">
        <v>199</v>
      </c>
      <c r="CB1104" t="s">
        <v>14573</v>
      </c>
      <c r="CC1104" t="s">
        <v>201</v>
      </c>
      <c r="CD1104" t="s">
        <v>182</v>
      </c>
      <c r="CE1104" t="s">
        <v>14574</v>
      </c>
      <c r="CF1104" t="s">
        <v>2333</v>
      </c>
      <c r="CG1104" t="s">
        <v>177</v>
      </c>
      <c r="CH1104" t="s">
        <v>2334</v>
      </c>
      <c r="CI1104" t="s">
        <v>14575</v>
      </c>
      <c r="CJ1104" t="s">
        <v>12112</v>
      </c>
      <c r="CK1104" t="s">
        <v>273</v>
      </c>
      <c r="CL1104" t="s">
        <v>274</v>
      </c>
      <c r="CM1104" t="s">
        <v>14576</v>
      </c>
      <c r="CN1104" t="s">
        <v>235</v>
      </c>
      <c r="CO1104" t="s">
        <v>183</v>
      </c>
      <c r="CP1104" t="s">
        <v>211</v>
      </c>
      <c r="CQ1104" t="s">
        <v>212</v>
      </c>
      <c r="CS1104" t="s">
        <v>4892</v>
      </c>
      <c r="CT1104" t="s">
        <v>5157</v>
      </c>
      <c r="CU1104" t="s">
        <v>302</v>
      </c>
      <c r="CV1104" t="s">
        <v>303</v>
      </c>
      <c r="CW1104" t="s">
        <v>14577</v>
      </c>
      <c r="CX1104" t="s">
        <v>235</v>
      </c>
      <c r="CY1104" t="s">
        <v>183</v>
      </c>
      <c r="CZ1104" t="s">
        <v>211</v>
      </c>
      <c r="DA1104" t="s">
        <v>298</v>
      </c>
      <c r="DC1104" t="s">
        <v>2359</v>
      </c>
      <c r="DD1104" t="s">
        <v>6532</v>
      </c>
      <c r="DE1104" t="s">
        <v>238</v>
      </c>
      <c r="DF1104" t="s">
        <v>239</v>
      </c>
      <c r="DG1104" t="s">
        <v>14578</v>
      </c>
      <c r="DH1104" t="s">
        <v>235</v>
      </c>
      <c r="DI1104" t="s">
        <v>183</v>
      </c>
      <c r="DJ1104" t="s">
        <v>211</v>
      </c>
      <c r="DK1104" t="s">
        <v>298</v>
      </c>
      <c r="DM1104" t="s">
        <v>467</v>
      </c>
      <c r="DN1104" t="s">
        <v>5627</v>
      </c>
      <c r="DO1104" t="s">
        <v>346</v>
      </c>
      <c r="DP1104" t="s">
        <v>347</v>
      </c>
      <c r="DQ1104" t="s">
        <v>14579</v>
      </c>
      <c r="DR1104" t="s">
        <v>511</v>
      </c>
      <c r="DS1104" t="s">
        <v>183</v>
      </c>
      <c r="DT1104" t="s">
        <v>211</v>
      </c>
      <c r="DU1104" t="s">
        <v>298</v>
      </c>
      <c r="DW1104" t="s">
        <v>1100</v>
      </c>
      <c r="DX1104" t="s">
        <v>14580</v>
      </c>
      <c r="DY1104" t="s">
        <v>207</v>
      </c>
      <c r="DZ1104" t="s">
        <v>208</v>
      </c>
      <c r="EA1104" t="s">
        <v>14581</v>
      </c>
      <c r="EB1104" t="s">
        <v>391</v>
      </c>
      <c r="EC1104" t="s">
        <v>183</v>
      </c>
      <c r="ED1104" t="s">
        <v>211</v>
      </c>
      <c r="EE1104" t="s">
        <v>298</v>
      </c>
      <c r="EG1104" t="s">
        <v>1167</v>
      </c>
      <c r="EQ1104" t="s">
        <v>198</v>
      </c>
      <c r="FA1104" t="s">
        <v>198</v>
      </c>
      <c r="FK1104" t="s">
        <v>198</v>
      </c>
      <c r="FU1104" t="s">
        <v>198</v>
      </c>
    </row>
    <row r="1105" spans="1:177">
      <c r="A1105" s="1" t="str">
        <f>HYPERLINK("http://digipan.lumentumllc.com/apps/getLink/index.php?t=PropLink&amp;p=6128929","PL")</f>
        <v>PL</v>
      </c>
      <c r="B1105" s="1" t="str">
        <f>HYPERLINK("http://digipan.lumentumllc.com/apps/getLink/index.php?t=TaxLink&amp;p=6128929","TL")</f>
        <v>TL</v>
      </c>
      <c r="C1105" s="1" t="str">
        <f>HYPERLINK("http://digipan.lumentumllc.com/apps/getMap/index.php?p=6128929","Map")</f>
        <v>Map</v>
      </c>
      <c r="E1105" t="s">
        <v>177</v>
      </c>
      <c r="F1105" t="s">
        <v>178</v>
      </c>
      <c r="L1105" t="s">
        <v>14582</v>
      </c>
      <c r="N1105" t="s">
        <v>14582</v>
      </c>
      <c r="O1105" t="s">
        <v>14582</v>
      </c>
      <c r="P1105" t="s">
        <v>14583</v>
      </c>
      <c r="Q1105" t="s">
        <v>14582</v>
      </c>
      <c r="V1105">
        <v>1270</v>
      </c>
      <c r="W1105">
        <v>4</v>
      </c>
      <c r="X1105">
        <v>2017</v>
      </c>
      <c r="Y1105">
        <v>2018</v>
      </c>
      <c r="Z1105">
        <v>268.66000000000003</v>
      </c>
      <c r="AB1105" t="s">
        <v>181</v>
      </c>
      <c r="AC1105" t="s">
        <v>182</v>
      </c>
      <c r="AD1105" t="s">
        <v>183</v>
      </c>
      <c r="AE1105">
        <v>1</v>
      </c>
      <c r="AF1105">
        <v>2</v>
      </c>
      <c r="AG1105" t="s">
        <v>363</v>
      </c>
      <c r="AH1105">
        <v>67</v>
      </c>
      <c r="AI1105">
        <v>228.21</v>
      </c>
      <c r="AJ1105">
        <v>19.399999999999999</v>
      </c>
      <c r="AK1105">
        <v>247.61</v>
      </c>
      <c r="AL1105">
        <v>15907</v>
      </c>
      <c r="AM1105">
        <v>15907</v>
      </c>
      <c r="AN1105">
        <v>0</v>
      </c>
      <c r="AO1105">
        <v>186</v>
      </c>
      <c r="AP1105">
        <v>2016</v>
      </c>
      <c r="AQ1105">
        <v>1.69</v>
      </c>
      <c r="AR1105">
        <v>1.56</v>
      </c>
      <c r="AS1105" t="s">
        <v>14584</v>
      </c>
      <c r="AT1105" t="s">
        <v>3210</v>
      </c>
      <c r="AU1105" t="s">
        <v>177</v>
      </c>
      <c r="AV1105" t="s">
        <v>2334</v>
      </c>
      <c r="AW1105" t="s">
        <v>182</v>
      </c>
      <c r="AX1105">
        <v>0</v>
      </c>
      <c r="AY1105" t="s">
        <v>312</v>
      </c>
      <c r="AZ1105" t="s">
        <v>199</v>
      </c>
      <c r="BA1105" t="s">
        <v>313</v>
      </c>
      <c r="BB1105" t="s">
        <v>191</v>
      </c>
      <c r="BC1105" t="s">
        <v>182</v>
      </c>
      <c r="BD1105" t="s">
        <v>182</v>
      </c>
      <c r="BE1105" t="s">
        <v>899</v>
      </c>
      <c r="BF1105">
        <v>0</v>
      </c>
      <c r="BG1105">
        <v>0</v>
      </c>
      <c r="BH1105">
        <v>0</v>
      </c>
      <c r="BI1105" t="s">
        <v>199</v>
      </c>
      <c r="BJ1105" t="s">
        <v>315</v>
      </c>
      <c r="BL1105" t="s">
        <v>199</v>
      </c>
      <c r="BM1105" t="s">
        <v>302</v>
      </c>
      <c r="BN1105" t="s">
        <v>182</v>
      </c>
      <c r="BO1105" t="s">
        <v>198</v>
      </c>
      <c r="BP1105" t="s">
        <v>198</v>
      </c>
      <c r="BQ1105" t="s">
        <v>198</v>
      </c>
      <c r="BR1105" t="s">
        <v>198</v>
      </c>
      <c r="BS1105" t="s">
        <v>198</v>
      </c>
      <c r="BT1105" t="s">
        <v>198</v>
      </c>
      <c r="BU1105" t="s">
        <v>182</v>
      </c>
      <c r="BV1105" t="s">
        <v>198</v>
      </c>
      <c r="BW1105" t="s">
        <v>198</v>
      </c>
      <c r="BX1105" t="s">
        <v>199</v>
      </c>
      <c r="BY1105" t="s">
        <v>198</v>
      </c>
      <c r="BZ1105" t="s">
        <v>199</v>
      </c>
      <c r="CA1105" t="s">
        <v>199</v>
      </c>
      <c r="CB1105" t="s">
        <v>14585</v>
      </c>
      <c r="CC1105" t="s">
        <v>201</v>
      </c>
      <c r="CD1105" t="s">
        <v>182</v>
      </c>
      <c r="CE1105" t="s">
        <v>14586</v>
      </c>
      <c r="CF1105" t="s">
        <v>2333</v>
      </c>
      <c r="CG1105" t="s">
        <v>177</v>
      </c>
      <c r="CH1105" t="s">
        <v>2334</v>
      </c>
      <c r="CI1105" t="s">
        <v>2147</v>
      </c>
      <c r="CJ1105" t="s">
        <v>9270</v>
      </c>
      <c r="CK1105" t="s">
        <v>232</v>
      </c>
      <c r="CL1105" t="s">
        <v>233</v>
      </c>
      <c r="CM1105" t="s">
        <v>14587</v>
      </c>
      <c r="CN1105" t="s">
        <v>2679</v>
      </c>
      <c r="CO1105" t="s">
        <v>183</v>
      </c>
      <c r="CP1105" t="s">
        <v>266</v>
      </c>
      <c r="CS1105" t="s">
        <v>198</v>
      </c>
      <c r="CT1105" t="s">
        <v>7993</v>
      </c>
      <c r="CU1105" t="s">
        <v>292</v>
      </c>
      <c r="CV1105" t="s">
        <v>293</v>
      </c>
      <c r="CW1105" t="s">
        <v>14588</v>
      </c>
      <c r="CX1105" t="s">
        <v>387</v>
      </c>
      <c r="CY1105" t="s">
        <v>183</v>
      </c>
      <c r="CZ1105" t="s">
        <v>211</v>
      </c>
      <c r="DA1105" t="s">
        <v>270</v>
      </c>
      <c r="DC1105" t="s">
        <v>338</v>
      </c>
      <c r="DD1105" t="s">
        <v>10112</v>
      </c>
      <c r="DE1105" t="s">
        <v>238</v>
      </c>
      <c r="DF1105" t="s">
        <v>239</v>
      </c>
      <c r="DG1105" t="s">
        <v>14589</v>
      </c>
      <c r="DH1105" t="s">
        <v>295</v>
      </c>
      <c r="DI1105" t="s">
        <v>183</v>
      </c>
      <c r="DJ1105" t="s">
        <v>211</v>
      </c>
      <c r="DK1105" t="s">
        <v>206</v>
      </c>
      <c r="DM1105" t="s">
        <v>14590</v>
      </c>
      <c r="DW1105" t="s">
        <v>198</v>
      </c>
      <c r="EG1105" t="s">
        <v>198</v>
      </c>
      <c r="EQ1105" t="s">
        <v>198</v>
      </c>
      <c r="FA1105" t="s">
        <v>198</v>
      </c>
      <c r="FK1105" t="s">
        <v>198</v>
      </c>
      <c r="FU1105" t="s">
        <v>198</v>
      </c>
    </row>
    <row r="1106" spans="1:177">
      <c r="A1106" s="1" t="str">
        <f>HYPERLINK("http://digipan.lumentumllc.com/apps/getLink/index.php?t=PropLink&amp;p=5247585","PL")</f>
        <v>PL</v>
      </c>
      <c r="B1106" s="1" t="str">
        <f>HYPERLINK("http://digipan.lumentumllc.com/apps/getLink/index.php?t=TaxLink&amp;p=5247585","TL")</f>
        <v>TL</v>
      </c>
      <c r="C1106" s="1" t="str">
        <f>HYPERLINK("http://digipan.lumentumllc.com/apps/getMap/index.php?p=5247585","Map")</f>
        <v>Map</v>
      </c>
      <c r="E1106" t="s">
        <v>177</v>
      </c>
      <c r="F1106" t="s">
        <v>178</v>
      </c>
      <c r="L1106" t="s">
        <v>14591</v>
      </c>
      <c r="N1106" t="s">
        <v>14591</v>
      </c>
      <c r="O1106" t="s">
        <v>14591</v>
      </c>
      <c r="P1106" t="s">
        <v>14592</v>
      </c>
      <c r="Q1106" t="s">
        <v>14591</v>
      </c>
      <c r="V1106">
        <v>1271</v>
      </c>
      <c r="W1106">
        <v>4</v>
      </c>
      <c r="X1106">
        <v>2017</v>
      </c>
      <c r="Y1106">
        <v>2018</v>
      </c>
      <c r="Z1106">
        <v>111.47</v>
      </c>
      <c r="AB1106" t="s">
        <v>181</v>
      </c>
      <c r="AC1106" t="s">
        <v>182</v>
      </c>
      <c r="AD1106" t="s">
        <v>183</v>
      </c>
      <c r="AE1106">
        <v>1</v>
      </c>
      <c r="AF1106">
        <v>5</v>
      </c>
      <c r="AG1106" t="s">
        <v>322</v>
      </c>
      <c r="AH1106">
        <v>83</v>
      </c>
      <c r="AI1106">
        <v>100.14</v>
      </c>
      <c r="AJ1106">
        <v>8.51</v>
      </c>
      <c r="AK1106">
        <v>108.65</v>
      </c>
      <c r="AL1106">
        <v>114668</v>
      </c>
      <c r="AM1106">
        <v>3667</v>
      </c>
      <c r="AN1106">
        <v>111001</v>
      </c>
      <c r="AO1106">
        <v>68</v>
      </c>
      <c r="AP1106">
        <v>2016</v>
      </c>
      <c r="AQ1106">
        <v>0.1</v>
      </c>
      <c r="AR1106">
        <v>0.09</v>
      </c>
      <c r="AS1106" t="s">
        <v>14328</v>
      </c>
      <c r="AT1106" t="s">
        <v>3210</v>
      </c>
      <c r="AU1106" t="s">
        <v>177</v>
      </c>
      <c r="AV1106" t="s">
        <v>2334</v>
      </c>
      <c r="AW1106" t="s">
        <v>182</v>
      </c>
      <c r="AX1106">
        <v>56</v>
      </c>
      <c r="AY1106" t="s">
        <v>218</v>
      </c>
      <c r="AZ1106" t="s">
        <v>219</v>
      </c>
      <c r="BA1106" t="s">
        <v>220</v>
      </c>
      <c r="BB1106" t="s">
        <v>191</v>
      </c>
      <c r="BC1106" t="s">
        <v>182</v>
      </c>
      <c r="BD1106" t="s">
        <v>182</v>
      </c>
      <c r="BE1106" t="s">
        <v>14593</v>
      </c>
      <c r="BF1106">
        <v>0</v>
      </c>
      <c r="BG1106">
        <v>0</v>
      </c>
      <c r="BH1106">
        <v>0</v>
      </c>
      <c r="BI1106" t="s">
        <v>199</v>
      </c>
      <c r="BJ1106" t="s">
        <v>315</v>
      </c>
      <c r="BL1106" t="s">
        <v>199</v>
      </c>
      <c r="BM1106" t="s">
        <v>207</v>
      </c>
      <c r="BN1106" t="s">
        <v>182</v>
      </c>
      <c r="BO1106" t="s">
        <v>198</v>
      </c>
      <c r="BP1106" t="s">
        <v>198</v>
      </c>
      <c r="BQ1106" t="s">
        <v>198</v>
      </c>
      <c r="BR1106" t="s">
        <v>198</v>
      </c>
      <c r="BS1106" t="s">
        <v>198</v>
      </c>
      <c r="BT1106" t="s">
        <v>198</v>
      </c>
      <c r="BU1106" t="s">
        <v>182</v>
      </c>
      <c r="BV1106" t="s">
        <v>198</v>
      </c>
      <c r="BW1106" t="s">
        <v>198</v>
      </c>
      <c r="BX1106" t="s">
        <v>199</v>
      </c>
      <c r="BY1106" t="s">
        <v>198</v>
      </c>
      <c r="BZ1106" t="s">
        <v>199</v>
      </c>
      <c r="CA1106" t="s">
        <v>199</v>
      </c>
      <c r="CB1106" t="s">
        <v>14332</v>
      </c>
      <c r="CC1106" t="s">
        <v>201</v>
      </c>
      <c r="CD1106" t="s">
        <v>202</v>
      </c>
      <c r="CE1106" t="s">
        <v>14333</v>
      </c>
      <c r="CF1106" t="s">
        <v>14334</v>
      </c>
      <c r="CG1106" t="s">
        <v>1602</v>
      </c>
      <c r="CH1106" t="s">
        <v>14335</v>
      </c>
      <c r="CI1106" t="s">
        <v>14336</v>
      </c>
      <c r="CJ1106" t="s">
        <v>10836</v>
      </c>
      <c r="CK1106" t="s">
        <v>232</v>
      </c>
      <c r="CL1106" t="s">
        <v>233</v>
      </c>
      <c r="CM1106" t="s">
        <v>14594</v>
      </c>
      <c r="CN1106" t="s">
        <v>2679</v>
      </c>
      <c r="CO1106" t="s">
        <v>183</v>
      </c>
      <c r="CP1106" t="s">
        <v>266</v>
      </c>
      <c r="CS1106" t="s">
        <v>198</v>
      </c>
      <c r="CT1106" t="s">
        <v>11548</v>
      </c>
      <c r="CU1106" t="s">
        <v>267</v>
      </c>
      <c r="CV1106" t="s">
        <v>268</v>
      </c>
      <c r="CW1106" t="s">
        <v>14595</v>
      </c>
      <c r="CX1106" t="s">
        <v>482</v>
      </c>
      <c r="CY1106" t="s">
        <v>183</v>
      </c>
      <c r="CZ1106" t="s">
        <v>211</v>
      </c>
      <c r="DA1106" t="s">
        <v>329</v>
      </c>
      <c r="DC1106" t="s">
        <v>5907</v>
      </c>
      <c r="DD1106" t="s">
        <v>14596</v>
      </c>
      <c r="DE1106" t="s">
        <v>273</v>
      </c>
      <c r="DF1106" t="s">
        <v>274</v>
      </c>
      <c r="DG1106" t="s">
        <v>14597</v>
      </c>
      <c r="DH1106" t="s">
        <v>482</v>
      </c>
      <c r="DI1106" t="s">
        <v>183</v>
      </c>
      <c r="DJ1106" t="s">
        <v>211</v>
      </c>
      <c r="DK1106" t="s">
        <v>298</v>
      </c>
      <c r="DM1106" t="s">
        <v>5907</v>
      </c>
      <c r="DN1106" t="s">
        <v>2762</v>
      </c>
      <c r="DO1106" t="s">
        <v>302</v>
      </c>
      <c r="DP1106" t="s">
        <v>303</v>
      </c>
      <c r="DQ1106" t="s">
        <v>14598</v>
      </c>
      <c r="DR1106" t="s">
        <v>341</v>
      </c>
      <c r="DS1106" t="s">
        <v>183</v>
      </c>
      <c r="DT1106" t="s">
        <v>211</v>
      </c>
      <c r="DU1106" t="s">
        <v>298</v>
      </c>
      <c r="DW1106" t="s">
        <v>2184</v>
      </c>
      <c r="DX1106" t="s">
        <v>14599</v>
      </c>
      <c r="DY1106" t="s">
        <v>238</v>
      </c>
      <c r="DZ1106" t="s">
        <v>239</v>
      </c>
      <c r="EA1106" t="s">
        <v>14600</v>
      </c>
      <c r="EB1106" t="s">
        <v>1056</v>
      </c>
      <c r="EC1106" t="s">
        <v>183</v>
      </c>
      <c r="ED1106" t="s">
        <v>211</v>
      </c>
      <c r="EE1106" t="s">
        <v>493</v>
      </c>
      <c r="EG1106" t="s">
        <v>9621</v>
      </c>
      <c r="EH1106" t="s">
        <v>11855</v>
      </c>
      <c r="EI1106" t="s">
        <v>346</v>
      </c>
      <c r="EJ1106" t="s">
        <v>347</v>
      </c>
      <c r="EK1106" t="s">
        <v>14601</v>
      </c>
      <c r="EL1106" t="s">
        <v>1491</v>
      </c>
      <c r="EM1106" t="s">
        <v>183</v>
      </c>
      <c r="EN1106" t="s">
        <v>211</v>
      </c>
      <c r="EO1106" t="s">
        <v>298</v>
      </c>
      <c r="EQ1106" t="s">
        <v>1100</v>
      </c>
      <c r="FA1106" t="s">
        <v>198</v>
      </c>
      <c r="FK1106" t="s">
        <v>198</v>
      </c>
      <c r="FU1106" t="s">
        <v>198</v>
      </c>
    </row>
    <row r="1107" spans="1:177">
      <c r="A1107" s="1" t="str">
        <f>HYPERLINK("http://digipan.lumentumllc.com/apps/getLink/index.php?t=PropLink&amp;p=5247586","PL")</f>
        <v>PL</v>
      </c>
      <c r="B1107" s="1" t="str">
        <f>HYPERLINK("http://digipan.lumentumllc.com/apps/getLink/index.php?t=TaxLink&amp;p=5247586","TL")</f>
        <v>TL</v>
      </c>
      <c r="C1107" s="1" t="str">
        <f>HYPERLINK("http://digipan.lumentumllc.com/apps/getMap/index.php?p=5247586","Map")</f>
        <v>Map</v>
      </c>
      <c r="E1107" t="s">
        <v>177</v>
      </c>
      <c r="F1107" t="s">
        <v>178</v>
      </c>
      <c r="L1107" t="s">
        <v>14602</v>
      </c>
      <c r="N1107" t="s">
        <v>14602</v>
      </c>
      <c r="O1107" t="s">
        <v>14602</v>
      </c>
      <c r="P1107" t="s">
        <v>14603</v>
      </c>
      <c r="Q1107" t="s">
        <v>14602</v>
      </c>
      <c r="V1107">
        <v>1272</v>
      </c>
      <c r="W1107">
        <v>4</v>
      </c>
      <c r="X1107">
        <v>2017</v>
      </c>
      <c r="Y1107">
        <v>2018</v>
      </c>
      <c r="Z1107">
        <v>326.70999999999998</v>
      </c>
      <c r="AB1107" t="s">
        <v>181</v>
      </c>
      <c r="AC1107" t="s">
        <v>182</v>
      </c>
      <c r="AD1107" t="s">
        <v>183</v>
      </c>
      <c r="AE1107">
        <v>1</v>
      </c>
      <c r="AF1107">
        <v>5</v>
      </c>
      <c r="AG1107" t="s">
        <v>322</v>
      </c>
      <c r="AH1107">
        <v>83</v>
      </c>
      <c r="AI1107">
        <v>325.83999999999997</v>
      </c>
      <c r="AJ1107">
        <v>17.920000000000002</v>
      </c>
      <c r="AK1107">
        <v>343.76</v>
      </c>
      <c r="AL1107">
        <v>18000</v>
      </c>
      <c r="AM1107">
        <v>18000</v>
      </c>
      <c r="AN1107">
        <v>0</v>
      </c>
      <c r="AO1107">
        <v>276</v>
      </c>
      <c r="AP1107">
        <v>2016</v>
      </c>
      <c r="AQ1107">
        <v>1.82</v>
      </c>
      <c r="AR1107">
        <v>1.91</v>
      </c>
      <c r="AS1107" t="s">
        <v>14328</v>
      </c>
      <c r="AT1107" t="s">
        <v>3210</v>
      </c>
      <c r="AU1107" t="s">
        <v>177</v>
      </c>
      <c r="AV1107" t="s">
        <v>2334</v>
      </c>
      <c r="AW1107" t="s">
        <v>182</v>
      </c>
      <c r="AX1107">
        <v>0</v>
      </c>
      <c r="AY1107" t="s">
        <v>312</v>
      </c>
      <c r="AZ1107" t="s">
        <v>199</v>
      </c>
      <c r="BA1107" t="s">
        <v>313</v>
      </c>
      <c r="BB1107" t="s">
        <v>191</v>
      </c>
      <c r="BC1107" t="s">
        <v>182</v>
      </c>
      <c r="BD1107" t="s">
        <v>182</v>
      </c>
      <c r="BE1107" t="s">
        <v>383</v>
      </c>
      <c r="BF1107">
        <v>0</v>
      </c>
      <c r="BG1107">
        <v>0</v>
      </c>
      <c r="BH1107">
        <v>0</v>
      </c>
      <c r="BI1107" t="s">
        <v>199</v>
      </c>
      <c r="BJ1107" t="s">
        <v>315</v>
      </c>
      <c r="BL1107" t="s">
        <v>199</v>
      </c>
      <c r="BM1107" t="s">
        <v>207</v>
      </c>
      <c r="BN1107" t="s">
        <v>182</v>
      </c>
      <c r="BO1107" t="s">
        <v>198</v>
      </c>
      <c r="BP1107" t="s">
        <v>198</v>
      </c>
      <c r="BQ1107" t="s">
        <v>198</v>
      </c>
      <c r="BR1107" t="s">
        <v>198</v>
      </c>
      <c r="BS1107" t="s">
        <v>198</v>
      </c>
      <c r="BT1107" t="s">
        <v>198</v>
      </c>
      <c r="BU1107" t="s">
        <v>182</v>
      </c>
      <c r="BV1107" t="s">
        <v>198</v>
      </c>
      <c r="BW1107" t="s">
        <v>198</v>
      </c>
      <c r="BX1107" t="s">
        <v>199</v>
      </c>
      <c r="BY1107" t="s">
        <v>198</v>
      </c>
      <c r="BZ1107" t="s">
        <v>199</v>
      </c>
      <c r="CA1107" t="s">
        <v>199</v>
      </c>
      <c r="CB1107" t="s">
        <v>14332</v>
      </c>
      <c r="CC1107" t="s">
        <v>201</v>
      </c>
      <c r="CD1107" t="s">
        <v>202</v>
      </c>
      <c r="CE1107" t="s">
        <v>14333</v>
      </c>
      <c r="CF1107" t="s">
        <v>14334</v>
      </c>
      <c r="CG1107" t="s">
        <v>1602</v>
      </c>
      <c r="CH1107" t="s">
        <v>14335</v>
      </c>
      <c r="CI1107" t="s">
        <v>14349</v>
      </c>
      <c r="CJ1107" t="s">
        <v>13181</v>
      </c>
      <c r="CK1107" t="s">
        <v>232</v>
      </c>
      <c r="CL1107" t="s">
        <v>233</v>
      </c>
      <c r="CM1107" t="s">
        <v>9751</v>
      </c>
      <c r="CN1107" t="s">
        <v>1164</v>
      </c>
      <c r="CO1107" t="s">
        <v>183</v>
      </c>
      <c r="CP1107" t="s">
        <v>266</v>
      </c>
      <c r="CS1107" t="s">
        <v>198</v>
      </c>
      <c r="CT1107" t="s">
        <v>11565</v>
      </c>
      <c r="CU1107" t="s">
        <v>267</v>
      </c>
      <c r="CV1107" t="s">
        <v>268</v>
      </c>
      <c r="CW1107" t="s">
        <v>14604</v>
      </c>
      <c r="CX1107" t="s">
        <v>1966</v>
      </c>
      <c r="CY1107" t="s">
        <v>183</v>
      </c>
      <c r="CZ1107" t="s">
        <v>211</v>
      </c>
      <c r="DA1107" t="s">
        <v>329</v>
      </c>
      <c r="DC1107" t="s">
        <v>5907</v>
      </c>
      <c r="DD1107" t="s">
        <v>14425</v>
      </c>
      <c r="DE1107" t="s">
        <v>273</v>
      </c>
      <c r="DF1107" t="s">
        <v>274</v>
      </c>
      <c r="DG1107" t="s">
        <v>14605</v>
      </c>
      <c r="DH1107" t="s">
        <v>402</v>
      </c>
      <c r="DI1107" t="s">
        <v>183</v>
      </c>
      <c r="DJ1107" t="s">
        <v>211</v>
      </c>
      <c r="DK1107" t="s">
        <v>298</v>
      </c>
      <c r="DM1107" t="s">
        <v>5907</v>
      </c>
      <c r="DN1107" t="s">
        <v>5202</v>
      </c>
      <c r="DO1107" t="s">
        <v>302</v>
      </c>
      <c r="DP1107" t="s">
        <v>303</v>
      </c>
      <c r="DQ1107" t="s">
        <v>14606</v>
      </c>
      <c r="DR1107" t="s">
        <v>838</v>
      </c>
      <c r="DS1107" t="s">
        <v>183</v>
      </c>
      <c r="DT1107" t="s">
        <v>211</v>
      </c>
      <c r="DU1107" t="s">
        <v>298</v>
      </c>
      <c r="DW1107" t="s">
        <v>2184</v>
      </c>
      <c r="DX1107" t="s">
        <v>14607</v>
      </c>
      <c r="DY1107" t="s">
        <v>238</v>
      </c>
      <c r="DZ1107" t="s">
        <v>239</v>
      </c>
      <c r="EA1107" t="s">
        <v>4610</v>
      </c>
      <c r="EB1107" t="s">
        <v>278</v>
      </c>
      <c r="EC1107" t="s">
        <v>183</v>
      </c>
      <c r="ED1107" t="s">
        <v>211</v>
      </c>
      <c r="EE1107" t="s">
        <v>493</v>
      </c>
      <c r="EG1107" t="s">
        <v>9621</v>
      </c>
      <c r="EH1107" t="s">
        <v>1080</v>
      </c>
      <c r="EI1107" t="s">
        <v>346</v>
      </c>
      <c r="EJ1107" t="s">
        <v>347</v>
      </c>
      <c r="EK1107" t="s">
        <v>4600</v>
      </c>
      <c r="EL1107" t="s">
        <v>1491</v>
      </c>
      <c r="EM1107" t="s">
        <v>183</v>
      </c>
      <c r="EN1107" t="s">
        <v>211</v>
      </c>
      <c r="EO1107" t="s">
        <v>298</v>
      </c>
      <c r="EQ1107" t="s">
        <v>1100</v>
      </c>
      <c r="FA1107" t="s">
        <v>198</v>
      </c>
      <c r="FK1107" t="s">
        <v>198</v>
      </c>
      <c r="FU1107" t="s">
        <v>198</v>
      </c>
    </row>
    <row r="1108" spans="1:177">
      <c r="A1108" s="1" t="str">
        <f>HYPERLINK("http://digipan.lumentumllc.com/apps/getLink/index.php?t=PropLink&amp;p=6129465","PL")</f>
        <v>PL</v>
      </c>
      <c r="B1108" s="1" t="str">
        <f>HYPERLINK("http://digipan.lumentumllc.com/apps/getLink/index.php?t=TaxLink&amp;p=6129465","TL")</f>
        <v>TL</v>
      </c>
      <c r="C1108" s="1" t="str">
        <f>HYPERLINK("http://digipan.lumentumllc.com/apps/getMap/index.php?p=6129465","Map")</f>
        <v>Map</v>
      </c>
      <c r="E1108" t="s">
        <v>177</v>
      </c>
      <c r="F1108" t="s">
        <v>178</v>
      </c>
      <c r="L1108" t="s">
        <v>14608</v>
      </c>
      <c r="N1108" t="s">
        <v>14608</v>
      </c>
      <c r="O1108" t="s">
        <v>14608</v>
      </c>
      <c r="P1108" t="s">
        <v>14609</v>
      </c>
      <c r="Q1108" t="s">
        <v>14608</v>
      </c>
      <c r="V1108">
        <v>1273</v>
      </c>
      <c r="W1108">
        <v>4</v>
      </c>
      <c r="X1108">
        <v>2017</v>
      </c>
      <c r="Y1108">
        <v>2018</v>
      </c>
      <c r="Z1108">
        <v>1819.12</v>
      </c>
      <c r="AB1108" t="s">
        <v>181</v>
      </c>
      <c r="AC1108" t="s">
        <v>202</v>
      </c>
      <c r="AD1108" t="s">
        <v>183</v>
      </c>
      <c r="AE1108">
        <v>1</v>
      </c>
      <c r="AF1108">
        <v>4</v>
      </c>
      <c r="AG1108" t="s">
        <v>951</v>
      </c>
      <c r="AH1108">
        <v>80</v>
      </c>
      <c r="AI1108">
        <v>1848.12</v>
      </c>
      <c r="AJ1108">
        <v>92.41</v>
      </c>
      <c r="AK1108">
        <v>1940.53</v>
      </c>
      <c r="AL1108">
        <v>109154</v>
      </c>
      <c r="AM1108">
        <v>33920</v>
      </c>
      <c r="AN1108">
        <v>75234</v>
      </c>
      <c r="AO1108">
        <v>1684</v>
      </c>
      <c r="AP1108">
        <v>2016</v>
      </c>
      <c r="AQ1108">
        <v>1.67</v>
      </c>
      <c r="AR1108">
        <v>1.78</v>
      </c>
      <c r="AS1108" t="s">
        <v>14610</v>
      </c>
      <c r="AT1108" t="s">
        <v>3210</v>
      </c>
      <c r="AU1108" t="s">
        <v>177</v>
      </c>
      <c r="AV1108" t="s">
        <v>2334</v>
      </c>
      <c r="AW1108" t="s">
        <v>182</v>
      </c>
      <c r="AX1108">
        <v>1</v>
      </c>
      <c r="AY1108" t="s">
        <v>188</v>
      </c>
      <c r="AZ1108" t="s">
        <v>206</v>
      </c>
      <c r="BA1108" t="s">
        <v>355</v>
      </c>
      <c r="BB1108" t="s">
        <v>191</v>
      </c>
      <c r="BC1108" t="s">
        <v>182</v>
      </c>
      <c r="BD1108" t="s">
        <v>182</v>
      </c>
      <c r="BE1108" t="s">
        <v>14611</v>
      </c>
      <c r="BF1108">
        <v>1</v>
      </c>
      <c r="BG1108">
        <v>1</v>
      </c>
      <c r="BH1108">
        <v>1986</v>
      </c>
      <c r="BI1108" t="s">
        <v>669</v>
      </c>
      <c r="BJ1108" t="s">
        <v>194</v>
      </c>
      <c r="BK1108" t="s">
        <v>195</v>
      </c>
      <c r="BL1108" t="s">
        <v>1225</v>
      </c>
      <c r="BM1108" t="s">
        <v>2582</v>
      </c>
      <c r="BN1108" t="s">
        <v>182</v>
      </c>
      <c r="BO1108" t="s">
        <v>198</v>
      </c>
      <c r="BP1108" t="s">
        <v>198</v>
      </c>
      <c r="BQ1108" t="s">
        <v>198</v>
      </c>
      <c r="BR1108" t="s">
        <v>198</v>
      </c>
      <c r="BS1108" t="s">
        <v>198</v>
      </c>
      <c r="BT1108" t="s">
        <v>198</v>
      </c>
      <c r="BU1108" t="s">
        <v>182</v>
      </c>
      <c r="BV1108" t="s">
        <v>198</v>
      </c>
      <c r="BW1108" t="s">
        <v>198</v>
      </c>
      <c r="BX1108" t="s">
        <v>199</v>
      </c>
      <c r="BY1108" t="s">
        <v>198</v>
      </c>
      <c r="BZ1108" t="s">
        <v>199</v>
      </c>
      <c r="CA1108" t="s">
        <v>199</v>
      </c>
      <c r="CB1108" t="s">
        <v>14612</v>
      </c>
      <c r="CC1108" t="s">
        <v>201</v>
      </c>
      <c r="CD1108" t="s">
        <v>202</v>
      </c>
      <c r="CE1108" t="s">
        <v>14613</v>
      </c>
      <c r="CF1108" t="s">
        <v>2333</v>
      </c>
      <c r="CG1108" t="s">
        <v>177</v>
      </c>
      <c r="CH1108" t="s">
        <v>2334</v>
      </c>
      <c r="CI1108" t="s">
        <v>14614</v>
      </c>
      <c r="CJ1108" t="s">
        <v>10877</v>
      </c>
      <c r="CK1108" t="s">
        <v>232</v>
      </c>
      <c r="CL1108" t="s">
        <v>233</v>
      </c>
      <c r="CM1108" t="s">
        <v>14615</v>
      </c>
      <c r="CN1108" t="s">
        <v>235</v>
      </c>
      <c r="CO1108" t="s">
        <v>183</v>
      </c>
      <c r="CP1108" t="s">
        <v>266</v>
      </c>
      <c r="CS1108" t="s">
        <v>198</v>
      </c>
      <c r="CT1108" t="s">
        <v>11598</v>
      </c>
      <c r="CU1108" t="s">
        <v>267</v>
      </c>
      <c r="CV1108" t="s">
        <v>268</v>
      </c>
      <c r="CW1108" t="s">
        <v>14616</v>
      </c>
      <c r="CX1108" t="s">
        <v>235</v>
      </c>
      <c r="CY1108" t="s">
        <v>183</v>
      </c>
      <c r="CZ1108" t="s">
        <v>211</v>
      </c>
      <c r="DA1108" t="s">
        <v>270</v>
      </c>
      <c r="DB1108" t="s">
        <v>271</v>
      </c>
      <c r="DC1108" t="s">
        <v>512</v>
      </c>
      <c r="DD1108" t="s">
        <v>14617</v>
      </c>
      <c r="DE1108" t="s">
        <v>273</v>
      </c>
      <c r="DF1108" t="s">
        <v>274</v>
      </c>
      <c r="DG1108" t="s">
        <v>14618</v>
      </c>
      <c r="DH1108" t="s">
        <v>235</v>
      </c>
      <c r="DI1108" t="s">
        <v>183</v>
      </c>
      <c r="DJ1108" t="s">
        <v>211</v>
      </c>
      <c r="DL1108" t="s">
        <v>271</v>
      </c>
      <c r="DM1108" t="s">
        <v>198</v>
      </c>
      <c r="DN1108" t="s">
        <v>12295</v>
      </c>
      <c r="DO1108" t="s">
        <v>302</v>
      </c>
      <c r="DP1108" t="s">
        <v>303</v>
      </c>
      <c r="DQ1108" t="s">
        <v>14619</v>
      </c>
      <c r="DR1108" t="s">
        <v>235</v>
      </c>
      <c r="DS1108" t="s">
        <v>183</v>
      </c>
      <c r="DT1108" t="s">
        <v>211</v>
      </c>
      <c r="DU1108" t="s">
        <v>189</v>
      </c>
      <c r="DW1108" t="s">
        <v>14620</v>
      </c>
      <c r="DX1108" t="s">
        <v>14621</v>
      </c>
      <c r="DY1108" t="s">
        <v>238</v>
      </c>
      <c r="DZ1108" t="s">
        <v>239</v>
      </c>
      <c r="EA1108" t="s">
        <v>14622</v>
      </c>
      <c r="EB1108" t="s">
        <v>235</v>
      </c>
      <c r="EC1108" t="s">
        <v>183</v>
      </c>
      <c r="ED1108" t="s">
        <v>211</v>
      </c>
      <c r="EE1108" t="s">
        <v>460</v>
      </c>
      <c r="EG1108" t="s">
        <v>14620</v>
      </c>
      <c r="EQ1108" t="s">
        <v>198</v>
      </c>
      <c r="FA1108" t="s">
        <v>198</v>
      </c>
      <c r="FK1108" t="s">
        <v>198</v>
      </c>
      <c r="FU1108" t="s">
        <v>198</v>
      </c>
    </row>
    <row r="1109" spans="1:177">
      <c r="A1109" s="1" t="str">
        <f>HYPERLINK("http://digipan.lumentumllc.com/apps/getLink/index.php?t=PropLink&amp;p=5247303","PL")</f>
        <v>PL</v>
      </c>
      <c r="B1109" s="1" t="str">
        <f>HYPERLINK("http://digipan.lumentumllc.com/apps/getLink/index.php?t=TaxLink&amp;p=5247303","TL")</f>
        <v>TL</v>
      </c>
      <c r="C1109" s="1" t="str">
        <f>HYPERLINK("http://digipan.lumentumllc.com/apps/getMap/index.php?p=5247303","Map")</f>
        <v>Map</v>
      </c>
      <c r="E1109" t="s">
        <v>177</v>
      </c>
      <c r="F1109" t="s">
        <v>178</v>
      </c>
      <c r="L1109" t="s">
        <v>14623</v>
      </c>
      <c r="N1109" t="s">
        <v>14623</v>
      </c>
      <c r="O1109" t="s">
        <v>14623</v>
      </c>
      <c r="P1109" t="s">
        <v>14624</v>
      </c>
      <c r="Q1109" t="s">
        <v>14623</v>
      </c>
      <c r="V1109">
        <v>1274</v>
      </c>
      <c r="W1109">
        <v>4</v>
      </c>
      <c r="X1109">
        <v>2017</v>
      </c>
      <c r="Y1109">
        <v>2018</v>
      </c>
      <c r="Z1109">
        <v>203.92</v>
      </c>
      <c r="AB1109" t="s">
        <v>181</v>
      </c>
      <c r="AC1109" t="s">
        <v>182</v>
      </c>
      <c r="AD1109" t="s">
        <v>183</v>
      </c>
      <c r="AE1109">
        <v>0</v>
      </c>
      <c r="AF1109">
        <v>1</v>
      </c>
      <c r="AG1109" t="s">
        <v>184</v>
      </c>
      <c r="AH1109">
        <v>0</v>
      </c>
      <c r="AK1109">
        <v>0</v>
      </c>
      <c r="AL1109">
        <v>10500</v>
      </c>
      <c r="AM1109">
        <v>10500</v>
      </c>
      <c r="AN1109">
        <v>0</v>
      </c>
      <c r="AO1109">
        <v>161</v>
      </c>
      <c r="AP1109">
        <v>2016</v>
      </c>
      <c r="AQ1109">
        <v>1.94</v>
      </c>
      <c r="AS1109" t="s">
        <v>14388</v>
      </c>
      <c r="AT1109" t="s">
        <v>3210</v>
      </c>
      <c r="AU1109" t="s">
        <v>177</v>
      </c>
      <c r="AV1109" t="s">
        <v>2334</v>
      </c>
      <c r="AW1109" t="s">
        <v>182</v>
      </c>
      <c r="AX1109">
        <v>10</v>
      </c>
      <c r="AY1109" t="s">
        <v>3211</v>
      </c>
      <c r="AZ1109" t="s">
        <v>270</v>
      </c>
      <c r="BA1109" t="s">
        <v>3212</v>
      </c>
      <c r="BB1109" t="s">
        <v>191</v>
      </c>
      <c r="BC1109" t="s">
        <v>182</v>
      </c>
      <c r="BD1109" t="s">
        <v>182</v>
      </c>
      <c r="BE1109" t="s">
        <v>383</v>
      </c>
      <c r="BF1109">
        <v>0</v>
      </c>
      <c r="BG1109">
        <v>0</v>
      </c>
      <c r="BH1109">
        <v>0</v>
      </c>
      <c r="BI1109" t="s">
        <v>199</v>
      </c>
      <c r="BJ1109" t="s">
        <v>315</v>
      </c>
      <c r="BL1109" t="s">
        <v>196</v>
      </c>
      <c r="BM1109" t="s">
        <v>197</v>
      </c>
      <c r="BN1109" t="s">
        <v>182</v>
      </c>
      <c r="BO1109" t="s">
        <v>198</v>
      </c>
      <c r="BP1109" t="s">
        <v>198</v>
      </c>
      <c r="BQ1109" t="s">
        <v>198</v>
      </c>
      <c r="BR1109" t="s">
        <v>198</v>
      </c>
      <c r="BS1109" t="s">
        <v>198</v>
      </c>
      <c r="BT1109" t="s">
        <v>198</v>
      </c>
      <c r="BU1109" t="s">
        <v>182</v>
      </c>
      <c r="BV1109" t="s">
        <v>198</v>
      </c>
      <c r="BW1109" t="s">
        <v>198</v>
      </c>
      <c r="BX1109" t="s">
        <v>199</v>
      </c>
      <c r="BY1109" t="s">
        <v>198</v>
      </c>
      <c r="BZ1109" t="s">
        <v>199</v>
      </c>
      <c r="CA1109" t="s">
        <v>199</v>
      </c>
      <c r="CB1109" t="s">
        <v>14625</v>
      </c>
      <c r="CC1109" t="s">
        <v>201</v>
      </c>
      <c r="CD1109" t="s">
        <v>202</v>
      </c>
      <c r="CE1109" t="s">
        <v>14626</v>
      </c>
      <c r="CF1109" t="s">
        <v>2333</v>
      </c>
      <c r="CG1109" t="s">
        <v>177</v>
      </c>
      <c r="CH1109" t="s">
        <v>2334</v>
      </c>
      <c r="CI1109" t="s">
        <v>14627</v>
      </c>
      <c r="CJ1109" t="s">
        <v>4822</v>
      </c>
      <c r="CK1109" t="s">
        <v>207</v>
      </c>
      <c r="CL1109" t="s">
        <v>208</v>
      </c>
      <c r="CM1109" t="s">
        <v>14628</v>
      </c>
      <c r="CN1109" t="s">
        <v>1966</v>
      </c>
      <c r="CO1109" t="s">
        <v>183</v>
      </c>
      <c r="CP1109" t="s">
        <v>211</v>
      </c>
      <c r="CQ1109" t="s">
        <v>212</v>
      </c>
      <c r="CS1109" t="s">
        <v>7974</v>
      </c>
      <c r="DC1109" t="s">
        <v>198</v>
      </c>
      <c r="DM1109" t="s">
        <v>198</v>
      </c>
      <c r="DW1109" t="s">
        <v>198</v>
      </c>
      <c r="EG1109" t="s">
        <v>198</v>
      </c>
      <c r="EQ1109" t="s">
        <v>198</v>
      </c>
      <c r="FA1109" t="s">
        <v>198</v>
      </c>
      <c r="FK1109" t="s">
        <v>198</v>
      </c>
      <c r="FU1109" t="s">
        <v>198</v>
      </c>
    </row>
    <row r="1110" spans="1:177">
      <c r="A1110" s="1" t="str">
        <f>HYPERLINK("http://digipan.lumentumllc.com/apps/getLink/index.php?t=PropLink&amp;p=6129247","PL")</f>
        <v>PL</v>
      </c>
      <c r="B1110" s="1" t="str">
        <f>HYPERLINK("http://digipan.lumentumllc.com/apps/getLink/index.php?t=TaxLink&amp;p=6129247","TL")</f>
        <v>TL</v>
      </c>
      <c r="C1110" s="1" t="str">
        <f>HYPERLINK("http://digipan.lumentumllc.com/apps/getMap/index.php?p=6129247","Map")</f>
        <v>Map</v>
      </c>
      <c r="E1110" t="s">
        <v>177</v>
      </c>
      <c r="F1110" t="s">
        <v>178</v>
      </c>
      <c r="L1110" t="s">
        <v>14629</v>
      </c>
      <c r="N1110" t="s">
        <v>14629</v>
      </c>
      <c r="O1110" t="s">
        <v>14629</v>
      </c>
      <c r="P1110" t="s">
        <v>14630</v>
      </c>
      <c r="Q1110" t="s">
        <v>14629</v>
      </c>
      <c r="V1110">
        <v>1275</v>
      </c>
      <c r="W1110">
        <v>4</v>
      </c>
      <c r="X1110">
        <v>2017</v>
      </c>
      <c r="Y1110">
        <v>2018</v>
      </c>
      <c r="Z1110">
        <v>79.150000000000006</v>
      </c>
      <c r="AB1110" t="s">
        <v>181</v>
      </c>
      <c r="AC1110" t="s">
        <v>182</v>
      </c>
      <c r="AD1110" t="s">
        <v>6467</v>
      </c>
      <c r="AE1110">
        <v>0</v>
      </c>
      <c r="AF1110">
        <v>1</v>
      </c>
      <c r="AG1110" t="s">
        <v>821</v>
      </c>
      <c r="AH1110">
        <v>100</v>
      </c>
      <c r="AK1110">
        <v>0</v>
      </c>
      <c r="AL1110">
        <v>2880</v>
      </c>
      <c r="AM1110">
        <v>2880</v>
      </c>
      <c r="AN1110">
        <v>0</v>
      </c>
      <c r="AO1110">
        <v>44</v>
      </c>
      <c r="AP1110">
        <v>2016</v>
      </c>
      <c r="AQ1110">
        <v>2.75</v>
      </c>
      <c r="AS1110" t="s">
        <v>14388</v>
      </c>
      <c r="AT1110" t="s">
        <v>3210</v>
      </c>
      <c r="AU1110" t="s">
        <v>177</v>
      </c>
      <c r="AV1110" t="s">
        <v>2334</v>
      </c>
      <c r="AW1110" t="s">
        <v>182</v>
      </c>
      <c r="AX1110">
        <v>10</v>
      </c>
      <c r="AY1110" t="s">
        <v>3211</v>
      </c>
      <c r="AZ1110" t="s">
        <v>270</v>
      </c>
      <c r="BA1110" t="s">
        <v>3212</v>
      </c>
      <c r="BB1110" t="s">
        <v>191</v>
      </c>
      <c r="BC1110" t="s">
        <v>182</v>
      </c>
      <c r="BD1110" t="s">
        <v>182</v>
      </c>
      <c r="BE1110" t="s">
        <v>14631</v>
      </c>
      <c r="BF1110">
        <v>0</v>
      </c>
      <c r="BG1110">
        <v>0</v>
      </c>
      <c r="BH1110">
        <v>0</v>
      </c>
      <c r="BI1110" t="s">
        <v>199</v>
      </c>
      <c r="BJ1110" t="s">
        <v>248</v>
      </c>
      <c r="BL1110" t="s">
        <v>199</v>
      </c>
      <c r="BM1110" t="s">
        <v>292</v>
      </c>
      <c r="BN1110" t="s">
        <v>182</v>
      </c>
      <c r="BO1110" t="s">
        <v>198</v>
      </c>
      <c r="BP1110" t="s">
        <v>198</v>
      </c>
      <c r="BQ1110" t="s">
        <v>198</v>
      </c>
      <c r="BR1110" t="s">
        <v>198</v>
      </c>
      <c r="BS1110" t="s">
        <v>198</v>
      </c>
      <c r="BT1110" t="s">
        <v>198</v>
      </c>
      <c r="BU1110" t="s">
        <v>182</v>
      </c>
      <c r="BV1110" t="s">
        <v>198</v>
      </c>
      <c r="BW1110" t="s">
        <v>198</v>
      </c>
      <c r="BX1110" t="s">
        <v>199</v>
      </c>
      <c r="BY1110" t="s">
        <v>198</v>
      </c>
      <c r="BZ1110" t="s">
        <v>199</v>
      </c>
      <c r="CA1110" t="s">
        <v>199</v>
      </c>
      <c r="CB1110" t="s">
        <v>14625</v>
      </c>
      <c r="CC1110" t="s">
        <v>201</v>
      </c>
      <c r="CD1110" t="s">
        <v>182</v>
      </c>
      <c r="CE1110" t="s">
        <v>14632</v>
      </c>
      <c r="CF1110" t="s">
        <v>2333</v>
      </c>
      <c r="CG1110" t="s">
        <v>177</v>
      </c>
      <c r="CH1110" t="s">
        <v>2334</v>
      </c>
      <c r="CI1110" t="s">
        <v>14633</v>
      </c>
      <c r="CJ1110" t="s">
        <v>11167</v>
      </c>
      <c r="CK1110" t="s">
        <v>292</v>
      </c>
      <c r="CL1110" t="s">
        <v>293</v>
      </c>
      <c r="CM1110" t="s">
        <v>14634</v>
      </c>
      <c r="CN1110" t="s">
        <v>482</v>
      </c>
      <c r="CO1110" t="s">
        <v>5</v>
      </c>
      <c r="CP1110" t="s">
        <v>211</v>
      </c>
      <c r="CQ1110" t="s">
        <v>264</v>
      </c>
      <c r="CS1110" t="s">
        <v>14635</v>
      </c>
      <c r="DC1110" t="s">
        <v>198</v>
      </c>
      <c r="DM1110" t="s">
        <v>198</v>
      </c>
      <c r="DW1110" t="s">
        <v>198</v>
      </c>
      <c r="EG1110" t="s">
        <v>198</v>
      </c>
      <c r="EQ1110" t="s">
        <v>198</v>
      </c>
      <c r="FA1110" t="s">
        <v>198</v>
      </c>
      <c r="FK1110" t="s">
        <v>198</v>
      </c>
      <c r="FU1110" t="s">
        <v>198</v>
      </c>
    </row>
    <row r="1111" spans="1:177">
      <c r="A1111" s="1" t="str">
        <f>HYPERLINK("http://digipan.lumentumllc.com/apps/getLink/index.php?t=PropLink&amp;p=5247339","PL")</f>
        <v>PL</v>
      </c>
      <c r="B1111" s="1" t="str">
        <f>HYPERLINK("http://digipan.lumentumllc.com/apps/getLink/index.php?t=TaxLink&amp;p=5247339","TL")</f>
        <v>TL</v>
      </c>
      <c r="C1111" s="1" t="str">
        <f>HYPERLINK("http://digipan.lumentumllc.com/apps/getMap/index.php?p=5247339","Map")</f>
        <v>Map</v>
      </c>
      <c r="E1111" t="s">
        <v>177</v>
      </c>
      <c r="F1111" t="s">
        <v>178</v>
      </c>
      <c r="L1111" t="s">
        <v>14636</v>
      </c>
      <c r="N1111" t="s">
        <v>14636</v>
      </c>
      <c r="O1111" t="s">
        <v>14636</v>
      </c>
      <c r="P1111" t="s">
        <v>14637</v>
      </c>
      <c r="Q1111" t="s">
        <v>14636</v>
      </c>
      <c r="V1111">
        <v>1276</v>
      </c>
      <c r="W1111">
        <v>4</v>
      </c>
      <c r="X1111">
        <v>2017</v>
      </c>
      <c r="Y1111">
        <v>2018</v>
      </c>
      <c r="Z1111">
        <v>1835.47</v>
      </c>
      <c r="AB1111" t="s">
        <v>181</v>
      </c>
      <c r="AC1111" t="s">
        <v>182</v>
      </c>
      <c r="AD1111" t="s">
        <v>183</v>
      </c>
      <c r="AE1111">
        <v>1</v>
      </c>
      <c r="AF1111">
        <v>6</v>
      </c>
      <c r="AG1111" t="s">
        <v>418</v>
      </c>
      <c r="AH1111">
        <v>86</v>
      </c>
      <c r="AI1111">
        <v>1854.14</v>
      </c>
      <c r="AJ1111">
        <v>92.71</v>
      </c>
      <c r="AK1111">
        <v>1946.85</v>
      </c>
      <c r="AL1111">
        <v>132807</v>
      </c>
      <c r="AM1111">
        <v>110151</v>
      </c>
      <c r="AN1111">
        <v>22656</v>
      </c>
      <c r="AO1111">
        <v>1689</v>
      </c>
      <c r="AP1111">
        <v>2016</v>
      </c>
      <c r="AQ1111">
        <v>1.38</v>
      </c>
      <c r="AR1111">
        <v>1.47</v>
      </c>
      <c r="AS1111" t="s">
        <v>14328</v>
      </c>
      <c r="AT1111" t="s">
        <v>3210</v>
      </c>
      <c r="AU1111" t="s">
        <v>177</v>
      </c>
      <c r="AV1111" t="s">
        <v>2334</v>
      </c>
      <c r="AW1111" t="s">
        <v>182</v>
      </c>
      <c r="AX1111">
        <v>56</v>
      </c>
      <c r="AY1111" t="s">
        <v>218</v>
      </c>
      <c r="AZ1111" t="s">
        <v>219</v>
      </c>
      <c r="BA1111" t="s">
        <v>220</v>
      </c>
      <c r="BB1111" t="s">
        <v>191</v>
      </c>
      <c r="BC1111" t="s">
        <v>182</v>
      </c>
      <c r="BD1111" t="s">
        <v>182</v>
      </c>
      <c r="BE1111" t="s">
        <v>14638</v>
      </c>
      <c r="BF1111">
        <v>0</v>
      </c>
      <c r="BG1111">
        <v>0</v>
      </c>
      <c r="BH1111">
        <v>0</v>
      </c>
      <c r="BI1111" t="s">
        <v>199</v>
      </c>
      <c r="BJ1111" t="s">
        <v>315</v>
      </c>
      <c r="BL1111" t="s">
        <v>199</v>
      </c>
      <c r="BM1111" t="s">
        <v>207</v>
      </c>
      <c r="BN1111" t="s">
        <v>182</v>
      </c>
      <c r="BO1111" t="s">
        <v>198</v>
      </c>
      <c r="BP1111" t="s">
        <v>198</v>
      </c>
      <c r="BQ1111" t="s">
        <v>198</v>
      </c>
      <c r="BR1111" t="s">
        <v>198</v>
      </c>
      <c r="BS1111" t="s">
        <v>198</v>
      </c>
      <c r="BT1111" t="s">
        <v>198</v>
      </c>
      <c r="BU1111" t="s">
        <v>182</v>
      </c>
      <c r="BV1111" t="s">
        <v>198</v>
      </c>
      <c r="BW1111" t="s">
        <v>198</v>
      </c>
      <c r="BX1111" t="s">
        <v>199</v>
      </c>
      <c r="BY1111" t="s">
        <v>198</v>
      </c>
      <c r="BZ1111" t="s">
        <v>199</v>
      </c>
      <c r="CA1111" t="s">
        <v>199</v>
      </c>
      <c r="CB1111" t="s">
        <v>14332</v>
      </c>
      <c r="CC1111" t="s">
        <v>201</v>
      </c>
      <c r="CD1111" t="s">
        <v>202</v>
      </c>
      <c r="CE1111" t="s">
        <v>14333</v>
      </c>
      <c r="CF1111" t="s">
        <v>14334</v>
      </c>
      <c r="CG1111" t="s">
        <v>1602</v>
      </c>
      <c r="CH1111" t="s">
        <v>14335</v>
      </c>
      <c r="CI1111" t="s">
        <v>14336</v>
      </c>
      <c r="CJ1111" t="s">
        <v>13217</v>
      </c>
      <c r="CK1111" t="s">
        <v>232</v>
      </c>
      <c r="CL1111" t="s">
        <v>233</v>
      </c>
      <c r="CM1111" t="s">
        <v>14639</v>
      </c>
      <c r="CN1111" t="s">
        <v>331</v>
      </c>
      <c r="CO1111" t="s">
        <v>183</v>
      </c>
      <c r="CP1111" t="s">
        <v>266</v>
      </c>
      <c r="CS1111" t="s">
        <v>198</v>
      </c>
      <c r="CT1111" t="s">
        <v>11188</v>
      </c>
      <c r="CU1111" t="s">
        <v>292</v>
      </c>
      <c r="CV1111" t="s">
        <v>293</v>
      </c>
      <c r="CW1111" t="s">
        <v>14640</v>
      </c>
      <c r="CX1111" t="s">
        <v>235</v>
      </c>
      <c r="CY1111" t="s">
        <v>183</v>
      </c>
      <c r="CZ1111" t="s">
        <v>211</v>
      </c>
      <c r="DA1111" t="s">
        <v>298</v>
      </c>
      <c r="DC1111" t="s">
        <v>8314</v>
      </c>
      <c r="DD1111" t="s">
        <v>11075</v>
      </c>
      <c r="DE1111" t="s">
        <v>267</v>
      </c>
      <c r="DF1111" t="s">
        <v>268</v>
      </c>
      <c r="DG1111" t="s">
        <v>14641</v>
      </c>
      <c r="DH1111" t="s">
        <v>235</v>
      </c>
      <c r="DI1111" t="s">
        <v>183</v>
      </c>
      <c r="DJ1111" t="s">
        <v>211</v>
      </c>
      <c r="DK1111" t="s">
        <v>525</v>
      </c>
      <c r="DM1111" t="s">
        <v>8314</v>
      </c>
      <c r="DN1111" t="s">
        <v>3924</v>
      </c>
      <c r="DO1111" t="s">
        <v>273</v>
      </c>
      <c r="DP1111" t="s">
        <v>274</v>
      </c>
      <c r="DQ1111" t="s">
        <v>14642</v>
      </c>
      <c r="DR1111" t="s">
        <v>511</v>
      </c>
      <c r="DS1111" t="s">
        <v>183</v>
      </c>
      <c r="DT1111" t="s">
        <v>211</v>
      </c>
      <c r="DU1111" t="s">
        <v>1064</v>
      </c>
      <c r="DW1111" t="s">
        <v>8314</v>
      </c>
      <c r="DX1111" t="s">
        <v>12311</v>
      </c>
      <c r="DY1111" t="s">
        <v>302</v>
      </c>
      <c r="DZ1111" t="s">
        <v>303</v>
      </c>
      <c r="EA1111" t="s">
        <v>14643</v>
      </c>
      <c r="EB1111" t="s">
        <v>235</v>
      </c>
      <c r="EC1111" t="s">
        <v>183</v>
      </c>
      <c r="ED1111" t="s">
        <v>211</v>
      </c>
      <c r="EE1111" t="s">
        <v>298</v>
      </c>
      <c r="EG1111" t="s">
        <v>2184</v>
      </c>
      <c r="EH1111" t="s">
        <v>14644</v>
      </c>
      <c r="EI1111" t="s">
        <v>238</v>
      </c>
      <c r="EJ1111" t="s">
        <v>239</v>
      </c>
      <c r="EK1111" t="s">
        <v>14645</v>
      </c>
      <c r="EL1111" t="s">
        <v>440</v>
      </c>
      <c r="EM1111" t="s">
        <v>183</v>
      </c>
      <c r="EN1111" t="s">
        <v>211</v>
      </c>
      <c r="EO1111" t="s">
        <v>493</v>
      </c>
      <c r="EQ1111" t="s">
        <v>9621</v>
      </c>
      <c r="ER1111" t="s">
        <v>10462</v>
      </c>
      <c r="ES1111" t="s">
        <v>346</v>
      </c>
      <c r="ET1111" t="s">
        <v>347</v>
      </c>
      <c r="EU1111" t="s">
        <v>14646</v>
      </c>
      <c r="EV1111" t="s">
        <v>688</v>
      </c>
      <c r="EW1111" t="s">
        <v>183</v>
      </c>
      <c r="EX1111" t="s">
        <v>211</v>
      </c>
      <c r="EY1111" t="s">
        <v>298</v>
      </c>
      <c r="FA1111" t="s">
        <v>1100</v>
      </c>
      <c r="FK1111" t="s">
        <v>198</v>
      </c>
      <c r="FU1111" t="s">
        <v>198</v>
      </c>
    </row>
    <row r="1112" spans="1:177">
      <c r="A1112" s="1" t="str">
        <f>HYPERLINK("http://digipan.lumentumllc.com/apps/getLink/index.php?t=PropLink&amp;p=5247608","PL")</f>
        <v>PL</v>
      </c>
      <c r="B1112" s="1" t="str">
        <f>HYPERLINK("http://digipan.lumentumllc.com/apps/getLink/index.php?t=TaxLink&amp;p=5247608","TL")</f>
        <v>TL</v>
      </c>
      <c r="C1112" s="1" t="str">
        <f>HYPERLINK("http://digipan.lumentumllc.com/apps/getMap/index.php?p=5247608","Map")</f>
        <v>Map</v>
      </c>
      <c r="E1112" t="s">
        <v>177</v>
      </c>
      <c r="F1112" t="s">
        <v>178</v>
      </c>
      <c r="L1112" t="s">
        <v>14647</v>
      </c>
      <c r="N1112" t="s">
        <v>14647</v>
      </c>
      <c r="O1112" t="s">
        <v>14647</v>
      </c>
      <c r="P1112" t="s">
        <v>14648</v>
      </c>
      <c r="Q1112" t="s">
        <v>14647</v>
      </c>
      <c r="V1112">
        <v>1277</v>
      </c>
      <c r="W1112">
        <v>4</v>
      </c>
      <c r="X1112">
        <v>2017</v>
      </c>
      <c r="Y1112">
        <v>2018</v>
      </c>
      <c r="Z1112">
        <v>77.900000000000006</v>
      </c>
      <c r="AB1112" t="s">
        <v>181</v>
      </c>
      <c r="AC1112" t="s">
        <v>182</v>
      </c>
      <c r="AD1112" t="s">
        <v>183</v>
      </c>
      <c r="AE1112">
        <v>1</v>
      </c>
      <c r="AF1112">
        <v>5</v>
      </c>
      <c r="AG1112" t="s">
        <v>322</v>
      </c>
      <c r="AH1112">
        <v>83</v>
      </c>
      <c r="AI1112">
        <v>70.33</v>
      </c>
      <c r="AJ1112">
        <v>12.66</v>
      </c>
      <c r="AK1112">
        <v>82.99</v>
      </c>
      <c r="AL1112">
        <v>58020</v>
      </c>
      <c r="AM1112">
        <v>2804</v>
      </c>
      <c r="AN1112">
        <v>55216</v>
      </c>
      <c r="AO1112">
        <v>40</v>
      </c>
      <c r="AP1112">
        <v>2016</v>
      </c>
      <c r="AQ1112">
        <v>0.13</v>
      </c>
      <c r="AR1112">
        <v>0.14000000000000001</v>
      </c>
      <c r="AS1112" t="s">
        <v>14649</v>
      </c>
      <c r="AT1112" t="s">
        <v>3210</v>
      </c>
      <c r="AU1112" t="s">
        <v>177</v>
      </c>
      <c r="AV1112" t="s">
        <v>2334</v>
      </c>
      <c r="AW1112" t="s">
        <v>182</v>
      </c>
      <c r="AX1112">
        <v>56</v>
      </c>
      <c r="AY1112" t="s">
        <v>218</v>
      </c>
      <c r="AZ1112" t="s">
        <v>219</v>
      </c>
      <c r="BA1112" t="s">
        <v>220</v>
      </c>
      <c r="BB1112" t="s">
        <v>191</v>
      </c>
      <c r="BC1112" t="s">
        <v>182</v>
      </c>
      <c r="BD1112" t="s">
        <v>182</v>
      </c>
      <c r="BE1112" t="s">
        <v>14650</v>
      </c>
      <c r="BF1112">
        <v>0</v>
      </c>
      <c r="BG1112">
        <v>0</v>
      </c>
      <c r="BH1112">
        <v>0</v>
      </c>
      <c r="BI1112" t="s">
        <v>199</v>
      </c>
      <c r="BJ1112" t="s">
        <v>315</v>
      </c>
      <c r="BL1112" t="s">
        <v>199</v>
      </c>
      <c r="BM1112" t="s">
        <v>207</v>
      </c>
      <c r="BN1112" t="s">
        <v>182</v>
      </c>
      <c r="BO1112" t="s">
        <v>198</v>
      </c>
      <c r="BP1112" t="s">
        <v>198</v>
      </c>
      <c r="BQ1112" t="s">
        <v>198</v>
      </c>
      <c r="BR1112" t="s">
        <v>198</v>
      </c>
      <c r="BS1112" t="s">
        <v>198</v>
      </c>
      <c r="BT1112" t="s">
        <v>198</v>
      </c>
      <c r="BU1112" t="s">
        <v>182</v>
      </c>
      <c r="BV1112" t="s">
        <v>198</v>
      </c>
      <c r="BW1112" t="s">
        <v>198</v>
      </c>
      <c r="BX1112" t="s">
        <v>199</v>
      </c>
      <c r="BY1112" t="s">
        <v>198</v>
      </c>
      <c r="BZ1112" t="s">
        <v>199</v>
      </c>
      <c r="CA1112" t="s">
        <v>199</v>
      </c>
      <c r="CB1112" t="s">
        <v>14332</v>
      </c>
      <c r="CC1112" t="s">
        <v>201</v>
      </c>
      <c r="CD1112" t="s">
        <v>202</v>
      </c>
      <c r="CE1112" t="s">
        <v>14333</v>
      </c>
      <c r="CF1112" t="s">
        <v>14334</v>
      </c>
      <c r="CG1112" t="s">
        <v>1602</v>
      </c>
      <c r="CH1112" t="s">
        <v>14335</v>
      </c>
      <c r="CI1112" t="s">
        <v>14336</v>
      </c>
      <c r="CJ1112" t="s">
        <v>10942</v>
      </c>
      <c r="CK1112" t="s">
        <v>232</v>
      </c>
      <c r="CL1112" t="s">
        <v>233</v>
      </c>
      <c r="CM1112" t="s">
        <v>14651</v>
      </c>
      <c r="CN1112" t="s">
        <v>482</v>
      </c>
      <c r="CO1112" t="s">
        <v>183</v>
      </c>
      <c r="CP1112" t="s">
        <v>266</v>
      </c>
      <c r="CS1112" t="s">
        <v>198</v>
      </c>
      <c r="CT1112" t="s">
        <v>11628</v>
      </c>
      <c r="CU1112" t="s">
        <v>267</v>
      </c>
      <c r="CV1112" t="s">
        <v>268</v>
      </c>
      <c r="CW1112" t="s">
        <v>14652</v>
      </c>
      <c r="CX1112" t="s">
        <v>482</v>
      </c>
      <c r="CY1112" t="s">
        <v>183</v>
      </c>
      <c r="CZ1112" t="s">
        <v>211</v>
      </c>
      <c r="DA1112" t="s">
        <v>329</v>
      </c>
      <c r="DC1112" t="s">
        <v>5907</v>
      </c>
      <c r="DD1112" t="s">
        <v>3950</v>
      </c>
      <c r="DE1112" t="s">
        <v>273</v>
      </c>
      <c r="DF1112" t="s">
        <v>274</v>
      </c>
      <c r="DG1112" t="s">
        <v>14653</v>
      </c>
      <c r="DH1112" t="s">
        <v>482</v>
      </c>
      <c r="DI1112" t="s">
        <v>183</v>
      </c>
      <c r="DJ1112" t="s">
        <v>211</v>
      </c>
      <c r="DK1112" t="s">
        <v>298</v>
      </c>
      <c r="DM1112" t="s">
        <v>5907</v>
      </c>
      <c r="DN1112" t="s">
        <v>14654</v>
      </c>
      <c r="DO1112" t="s">
        <v>302</v>
      </c>
      <c r="DP1112" t="s">
        <v>303</v>
      </c>
      <c r="DQ1112" t="s">
        <v>14655</v>
      </c>
      <c r="DR1112" t="s">
        <v>341</v>
      </c>
      <c r="DS1112" t="s">
        <v>183</v>
      </c>
      <c r="DT1112" t="s">
        <v>211</v>
      </c>
      <c r="DU1112" t="s">
        <v>298</v>
      </c>
      <c r="DW1112" t="s">
        <v>2184</v>
      </c>
      <c r="DX1112" t="s">
        <v>1823</v>
      </c>
      <c r="DY1112" t="s">
        <v>238</v>
      </c>
      <c r="DZ1112" t="s">
        <v>239</v>
      </c>
      <c r="EA1112" t="s">
        <v>14656</v>
      </c>
      <c r="EB1112" t="s">
        <v>1608</v>
      </c>
      <c r="EC1112" t="s">
        <v>183</v>
      </c>
      <c r="ED1112" t="s">
        <v>211</v>
      </c>
      <c r="EE1112" t="s">
        <v>493</v>
      </c>
      <c r="EG1112" t="s">
        <v>9621</v>
      </c>
      <c r="EH1112" t="s">
        <v>12347</v>
      </c>
      <c r="EI1112" t="s">
        <v>346</v>
      </c>
      <c r="EJ1112" t="s">
        <v>347</v>
      </c>
      <c r="EK1112" t="s">
        <v>14657</v>
      </c>
      <c r="EL1112" t="s">
        <v>1491</v>
      </c>
      <c r="EM1112" t="s">
        <v>183</v>
      </c>
      <c r="EN1112" t="s">
        <v>211</v>
      </c>
      <c r="EO1112" t="s">
        <v>298</v>
      </c>
      <c r="EQ1112" t="s">
        <v>1100</v>
      </c>
      <c r="FA1112" t="s">
        <v>198</v>
      </c>
      <c r="FK1112" t="s">
        <v>198</v>
      </c>
      <c r="FU1112" t="s">
        <v>198</v>
      </c>
    </row>
    <row r="1113" spans="1:177">
      <c r="A1113" s="1" t="str">
        <f>HYPERLINK("http://digipan.lumentumllc.com/apps/getLink/index.php?t=PropLink&amp;p=5247609","PL")</f>
        <v>PL</v>
      </c>
      <c r="B1113" s="1" t="str">
        <f>HYPERLINK("http://digipan.lumentumllc.com/apps/getLink/index.php?t=TaxLink&amp;p=5247609","TL")</f>
        <v>TL</v>
      </c>
      <c r="C1113" s="1" t="str">
        <f>HYPERLINK("http://digipan.lumentumllc.com/apps/getMap/index.php?p=5247609","Map")</f>
        <v>Map</v>
      </c>
      <c r="E1113" t="s">
        <v>177</v>
      </c>
      <c r="F1113" t="s">
        <v>178</v>
      </c>
      <c r="L1113" t="s">
        <v>14658</v>
      </c>
      <c r="N1113" t="s">
        <v>14658</v>
      </c>
      <c r="O1113" t="s">
        <v>14658</v>
      </c>
      <c r="P1113" t="s">
        <v>14659</v>
      </c>
      <c r="Q1113" t="s">
        <v>14658</v>
      </c>
      <c r="V1113">
        <v>1278</v>
      </c>
      <c r="W1113">
        <v>4</v>
      </c>
      <c r="X1113">
        <v>2017</v>
      </c>
      <c r="Y1113">
        <v>2018</v>
      </c>
      <c r="Z1113">
        <v>447.66</v>
      </c>
      <c r="AB1113" t="s">
        <v>181</v>
      </c>
      <c r="AC1113" t="s">
        <v>182</v>
      </c>
      <c r="AD1113" t="s">
        <v>183</v>
      </c>
      <c r="AE1113">
        <v>1</v>
      </c>
      <c r="AF1113">
        <v>7</v>
      </c>
      <c r="AG1113" t="s">
        <v>418</v>
      </c>
      <c r="AH1113">
        <v>86</v>
      </c>
      <c r="AI1113">
        <v>408.85</v>
      </c>
      <c r="AJ1113">
        <v>36.799999999999997</v>
      </c>
      <c r="AK1113">
        <v>445.65</v>
      </c>
      <c r="AL1113">
        <v>25500</v>
      </c>
      <c r="AM1113">
        <v>18000</v>
      </c>
      <c r="AN1113">
        <v>7500</v>
      </c>
      <c r="AO1113">
        <v>353</v>
      </c>
      <c r="AP1113">
        <v>2016</v>
      </c>
      <c r="AQ1113">
        <v>1.76</v>
      </c>
      <c r="AR1113">
        <v>1.75</v>
      </c>
      <c r="AS1113" t="s">
        <v>14660</v>
      </c>
      <c r="AT1113" t="s">
        <v>3210</v>
      </c>
      <c r="AU1113" t="s">
        <v>177</v>
      </c>
      <c r="AV1113" t="s">
        <v>2334</v>
      </c>
      <c r="AW1113" t="s">
        <v>182</v>
      </c>
      <c r="AX1113">
        <v>0</v>
      </c>
      <c r="AY1113" t="s">
        <v>312</v>
      </c>
      <c r="AZ1113" t="s">
        <v>199</v>
      </c>
      <c r="BA1113" t="s">
        <v>313</v>
      </c>
      <c r="BB1113" t="s">
        <v>191</v>
      </c>
      <c r="BC1113" t="s">
        <v>182</v>
      </c>
      <c r="BD1113" t="s">
        <v>182</v>
      </c>
      <c r="BE1113" t="s">
        <v>383</v>
      </c>
      <c r="BF1113">
        <v>0</v>
      </c>
      <c r="BG1113">
        <v>0</v>
      </c>
      <c r="BH1113">
        <v>0</v>
      </c>
      <c r="BI1113" t="s">
        <v>199</v>
      </c>
      <c r="BJ1113" t="s">
        <v>248</v>
      </c>
      <c r="BL1113" t="s">
        <v>199</v>
      </c>
      <c r="BM1113" t="s">
        <v>207</v>
      </c>
      <c r="BN1113" t="s">
        <v>182</v>
      </c>
      <c r="BO1113" t="s">
        <v>198</v>
      </c>
      <c r="BP1113" t="s">
        <v>198</v>
      </c>
      <c r="BQ1113" t="s">
        <v>198</v>
      </c>
      <c r="BR1113" t="s">
        <v>198</v>
      </c>
      <c r="BS1113" t="s">
        <v>198</v>
      </c>
      <c r="BT1113" t="s">
        <v>198</v>
      </c>
      <c r="BU1113" t="s">
        <v>182</v>
      </c>
      <c r="BV1113" t="s">
        <v>198</v>
      </c>
      <c r="BW1113" t="s">
        <v>198</v>
      </c>
      <c r="BX1113" t="s">
        <v>199</v>
      </c>
      <c r="BY1113" t="s">
        <v>198</v>
      </c>
      <c r="BZ1113" t="s">
        <v>199</v>
      </c>
      <c r="CA1113" t="s">
        <v>199</v>
      </c>
      <c r="CB1113" t="s">
        <v>14332</v>
      </c>
      <c r="CC1113" t="s">
        <v>201</v>
      </c>
      <c r="CD1113" t="s">
        <v>202</v>
      </c>
      <c r="CE1113" t="s">
        <v>14333</v>
      </c>
      <c r="CF1113" t="s">
        <v>14334</v>
      </c>
      <c r="CG1113" t="s">
        <v>1602</v>
      </c>
      <c r="CH1113" t="s">
        <v>14335</v>
      </c>
      <c r="CI1113" t="s">
        <v>14661</v>
      </c>
      <c r="CJ1113" t="s">
        <v>13249</v>
      </c>
      <c r="CK1113" t="s">
        <v>232</v>
      </c>
      <c r="CL1113" t="s">
        <v>233</v>
      </c>
      <c r="CM1113" t="s">
        <v>14662</v>
      </c>
      <c r="CN1113" t="s">
        <v>1966</v>
      </c>
      <c r="CO1113" t="s">
        <v>183</v>
      </c>
      <c r="CP1113" t="s">
        <v>266</v>
      </c>
      <c r="CS1113" t="s">
        <v>198</v>
      </c>
      <c r="CT1113" t="s">
        <v>11200</v>
      </c>
      <c r="CU1113" t="s">
        <v>292</v>
      </c>
      <c r="CV1113" t="s">
        <v>293</v>
      </c>
      <c r="CW1113" t="s">
        <v>14663</v>
      </c>
      <c r="CX1113" t="s">
        <v>331</v>
      </c>
      <c r="CY1113" t="s">
        <v>183</v>
      </c>
      <c r="CZ1113" t="s">
        <v>211</v>
      </c>
      <c r="DA1113" t="s">
        <v>298</v>
      </c>
      <c r="DC1113" t="s">
        <v>8314</v>
      </c>
      <c r="DD1113" t="s">
        <v>7044</v>
      </c>
      <c r="DE1113" t="s">
        <v>267</v>
      </c>
      <c r="DF1113" t="s">
        <v>268</v>
      </c>
      <c r="DG1113" t="s">
        <v>14664</v>
      </c>
      <c r="DH1113" t="s">
        <v>1966</v>
      </c>
      <c r="DI1113" t="s">
        <v>183</v>
      </c>
      <c r="DJ1113" t="s">
        <v>211</v>
      </c>
      <c r="DK1113" t="s">
        <v>525</v>
      </c>
      <c r="DM1113" t="s">
        <v>8314</v>
      </c>
      <c r="DN1113" t="s">
        <v>14665</v>
      </c>
      <c r="DO1113" t="s">
        <v>273</v>
      </c>
      <c r="DP1113" t="s">
        <v>274</v>
      </c>
      <c r="DQ1113" t="s">
        <v>4608</v>
      </c>
      <c r="DR1113" t="s">
        <v>402</v>
      </c>
      <c r="DS1113" t="s">
        <v>183</v>
      </c>
      <c r="DT1113" t="s">
        <v>211</v>
      </c>
      <c r="DU1113" t="s">
        <v>298</v>
      </c>
      <c r="DW1113" t="s">
        <v>5907</v>
      </c>
      <c r="DX1113" t="s">
        <v>12342</v>
      </c>
      <c r="DY1113" t="s">
        <v>302</v>
      </c>
      <c r="DZ1113" t="s">
        <v>303</v>
      </c>
      <c r="EA1113" t="s">
        <v>14666</v>
      </c>
      <c r="EB1113" t="s">
        <v>838</v>
      </c>
      <c r="EC1113" t="s">
        <v>183</v>
      </c>
      <c r="ED1113" t="s">
        <v>211</v>
      </c>
      <c r="EE1113" t="s">
        <v>298</v>
      </c>
      <c r="EG1113" t="s">
        <v>2184</v>
      </c>
      <c r="EH1113" t="s">
        <v>12442</v>
      </c>
      <c r="EI1113" t="s">
        <v>238</v>
      </c>
      <c r="EJ1113" t="s">
        <v>239</v>
      </c>
      <c r="EK1113" t="s">
        <v>14667</v>
      </c>
      <c r="EL1113" t="s">
        <v>278</v>
      </c>
      <c r="EM1113" t="s">
        <v>183</v>
      </c>
      <c r="EN1113" t="s">
        <v>211</v>
      </c>
      <c r="EO1113" t="s">
        <v>493</v>
      </c>
      <c r="EQ1113" t="s">
        <v>9621</v>
      </c>
      <c r="ER1113" t="s">
        <v>14668</v>
      </c>
      <c r="ES1113" t="s">
        <v>346</v>
      </c>
      <c r="ET1113" t="s">
        <v>347</v>
      </c>
      <c r="EU1113" t="s">
        <v>14669</v>
      </c>
      <c r="EV1113" t="s">
        <v>1491</v>
      </c>
      <c r="EW1113" t="s">
        <v>183</v>
      </c>
      <c r="EX1113" t="s">
        <v>211</v>
      </c>
      <c r="EY1113" t="s">
        <v>298</v>
      </c>
      <c r="FA1113" t="s">
        <v>1100</v>
      </c>
      <c r="FB1113" t="s">
        <v>2225</v>
      </c>
      <c r="FC1113" t="s">
        <v>207</v>
      </c>
      <c r="FD1113" t="s">
        <v>208</v>
      </c>
      <c r="FE1113" t="s">
        <v>14670</v>
      </c>
      <c r="FF1113" t="s">
        <v>1966</v>
      </c>
      <c r="FG1113" t="s">
        <v>183</v>
      </c>
      <c r="FH1113" t="s">
        <v>211</v>
      </c>
      <c r="FI1113" t="s">
        <v>264</v>
      </c>
      <c r="FK1113" t="s">
        <v>14360</v>
      </c>
      <c r="FU1113" t="s">
        <v>198</v>
      </c>
    </row>
    <row r="1114" spans="1:177">
      <c r="A1114" s="1" t="str">
        <f>HYPERLINK("http://digipan.lumentumllc.com/apps/getLink/index.php?t=PropLink&amp;p=5247790","PL")</f>
        <v>PL</v>
      </c>
      <c r="B1114" s="1" t="str">
        <f>HYPERLINK("http://digipan.lumentumllc.com/apps/getLink/index.php?t=TaxLink&amp;p=5247790","TL")</f>
        <v>TL</v>
      </c>
      <c r="C1114" s="1" t="str">
        <f>HYPERLINK("http://digipan.lumentumllc.com/apps/getMap/index.php?p=5247790","Map")</f>
        <v>Map</v>
      </c>
      <c r="E1114" t="s">
        <v>177</v>
      </c>
      <c r="F1114" t="s">
        <v>178</v>
      </c>
      <c r="L1114" t="s">
        <v>14671</v>
      </c>
      <c r="N1114" t="s">
        <v>14671</v>
      </c>
      <c r="O1114" t="s">
        <v>14671</v>
      </c>
      <c r="P1114" t="s">
        <v>14672</v>
      </c>
      <c r="Q1114" t="s">
        <v>14671</v>
      </c>
      <c r="V1114">
        <v>1279</v>
      </c>
      <c r="W1114">
        <v>4</v>
      </c>
      <c r="X1114">
        <v>2017</v>
      </c>
      <c r="Y1114">
        <v>2018</v>
      </c>
      <c r="Z1114">
        <v>1308.7</v>
      </c>
      <c r="AB1114" t="s">
        <v>181</v>
      </c>
      <c r="AC1114" t="s">
        <v>182</v>
      </c>
      <c r="AD1114" t="s">
        <v>183</v>
      </c>
      <c r="AE1114">
        <v>1</v>
      </c>
      <c r="AF1114">
        <v>6</v>
      </c>
      <c r="AG1114" t="s">
        <v>418</v>
      </c>
      <c r="AH1114">
        <v>86</v>
      </c>
      <c r="AI1114">
        <v>1191.1400000000001</v>
      </c>
      <c r="AJ1114">
        <v>59.56</v>
      </c>
      <c r="AK1114">
        <v>1250.7</v>
      </c>
      <c r="AL1114">
        <v>79072</v>
      </c>
      <c r="AM1114">
        <v>36288</v>
      </c>
      <c r="AN1114">
        <v>42784</v>
      </c>
      <c r="AO1114">
        <v>1076</v>
      </c>
      <c r="AP1114">
        <v>2016</v>
      </c>
      <c r="AQ1114">
        <v>1.66</v>
      </c>
      <c r="AR1114">
        <v>1.58</v>
      </c>
      <c r="AS1114" t="s">
        <v>14673</v>
      </c>
      <c r="AT1114" t="s">
        <v>3210</v>
      </c>
      <c r="AU1114" t="s">
        <v>177</v>
      </c>
      <c r="AV1114" t="s">
        <v>2334</v>
      </c>
      <c r="AW1114" t="s">
        <v>182</v>
      </c>
      <c r="AX1114">
        <v>2</v>
      </c>
      <c r="AY1114" t="s">
        <v>188</v>
      </c>
      <c r="AZ1114" t="s">
        <v>189</v>
      </c>
      <c r="BA1114" t="s">
        <v>190</v>
      </c>
      <c r="BB1114" t="s">
        <v>191</v>
      </c>
      <c r="BC1114" t="s">
        <v>182</v>
      </c>
      <c r="BD1114" t="s">
        <v>182</v>
      </c>
      <c r="BE1114" t="s">
        <v>4448</v>
      </c>
      <c r="BF1114">
        <v>1</v>
      </c>
      <c r="BG1114">
        <v>1</v>
      </c>
      <c r="BH1114">
        <v>1995</v>
      </c>
      <c r="BI1114" t="s">
        <v>14674</v>
      </c>
      <c r="BJ1114" t="s">
        <v>194</v>
      </c>
      <c r="BK1114" t="s">
        <v>195</v>
      </c>
      <c r="BL1114" t="s">
        <v>14675</v>
      </c>
      <c r="BM1114" t="s">
        <v>273</v>
      </c>
      <c r="BN1114" t="s">
        <v>182</v>
      </c>
      <c r="BO1114" t="s">
        <v>198</v>
      </c>
      <c r="BP1114" t="s">
        <v>198</v>
      </c>
      <c r="BQ1114" t="s">
        <v>198</v>
      </c>
      <c r="BR1114" t="s">
        <v>198</v>
      </c>
      <c r="BS1114" t="s">
        <v>198</v>
      </c>
      <c r="BT1114" t="s">
        <v>198</v>
      </c>
      <c r="BU1114" t="s">
        <v>182</v>
      </c>
      <c r="BV1114" t="s">
        <v>198</v>
      </c>
      <c r="BW1114" t="s">
        <v>198</v>
      </c>
      <c r="BX1114" t="s">
        <v>199</v>
      </c>
      <c r="BY1114" t="s">
        <v>198</v>
      </c>
      <c r="BZ1114" t="s">
        <v>199</v>
      </c>
      <c r="CA1114" t="s">
        <v>199</v>
      </c>
      <c r="CB1114" t="s">
        <v>14676</v>
      </c>
      <c r="CC1114" t="s">
        <v>201</v>
      </c>
      <c r="CD1114" t="s">
        <v>202</v>
      </c>
      <c r="CE1114" t="s">
        <v>14677</v>
      </c>
      <c r="CF1114" t="s">
        <v>2333</v>
      </c>
      <c r="CG1114" t="s">
        <v>177</v>
      </c>
      <c r="CH1114" t="s">
        <v>2334</v>
      </c>
      <c r="CI1114" t="s">
        <v>14678</v>
      </c>
      <c r="CJ1114" t="s">
        <v>4941</v>
      </c>
      <c r="CK1114" t="s">
        <v>232</v>
      </c>
      <c r="CL1114" t="s">
        <v>233</v>
      </c>
      <c r="CM1114" t="s">
        <v>14679</v>
      </c>
      <c r="CN1114" t="s">
        <v>235</v>
      </c>
      <c r="CO1114" t="s">
        <v>183</v>
      </c>
      <c r="CP1114" t="s">
        <v>266</v>
      </c>
      <c r="CS1114" t="s">
        <v>198</v>
      </c>
      <c r="CT1114" t="s">
        <v>13443</v>
      </c>
      <c r="CU1114" t="s">
        <v>292</v>
      </c>
      <c r="CV1114" t="s">
        <v>293</v>
      </c>
      <c r="CW1114" t="s">
        <v>14680</v>
      </c>
      <c r="CX1114" t="s">
        <v>235</v>
      </c>
      <c r="CY1114" t="s">
        <v>183</v>
      </c>
      <c r="CZ1114" t="s">
        <v>211</v>
      </c>
      <c r="DA1114" t="s">
        <v>337</v>
      </c>
      <c r="DC1114" t="s">
        <v>14681</v>
      </c>
      <c r="DD1114" t="s">
        <v>7057</v>
      </c>
      <c r="DE1114" t="s">
        <v>267</v>
      </c>
      <c r="DF1114" t="s">
        <v>268</v>
      </c>
      <c r="DG1114" t="s">
        <v>14682</v>
      </c>
      <c r="DH1114" t="s">
        <v>235</v>
      </c>
      <c r="DI1114" t="s">
        <v>183</v>
      </c>
      <c r="DJ1114" t="s">
        <v>211</v>
      </c>
      <c r="DK1114" t="s">
        <v>329</v>
      </c>
      <c r="DM1114" t="s">
        <v>8601</v>
      </c>
      <c r="DN1114" t="s">
        <v>12227</v>
      </c>
      <c r="DO1114" t="s">
        <v>273</v>
      </c>
      <c r="DP1114" t="s">
        <v>274</v>
      </c>
      <c r="DQ1114" t="s">
        <v>14683</v>
      </c>
      <c r="DR1114" t="s">
        <v>235</v>
      </c>
      <c r="DS1114" t="s">
        <v>183</v>
      </c>
      <c r="DT1114" t="s">
        <v>211</v>
      </c>
      <c r="DU1114" t="s">
        <v>342</v>
      </c>
      <c r="DW1114" t="s">
        <v>1372</v>
      </c>
      <c r="DX1114" t="s">
        <v>14684</v>
      </c>
      <c r="DY1114" t="s">
        <v>302</v>
      </c>
      <c r="DZ1114" t="s">
        <v>303</v>
      </c>
      <c r="EA1114" t="s">
        <v>14685</v>
      </c>
      <c r="EB1114" t="s">
        <v>235</v>
      </c>
      <c r="EC1114" t="s">
        <v>183</v>
      </c>
      <c r="ED1114" t="s">
        <v>211</v>
      </c>
      <c r="EE1114" t="s">
        <v>296</v>
      </c>
      <c r="EG1114" t="s">
        <v>8702</v>
      </c>
      <c r="EH1114" t="s">
        <v>14686</v>
      </c>
      <c r="EI1114" t="s">
        <v>238</v>
      </c>
      <c r="EJ1114" t="s">
        <v>239</v>
      </c>
      <c r="EK1114" t="s">
        <v>14687</v>
      </c>
      <c r="EL1114" t="s">
        <v>440</v>
      </c>
      <c r="EM1114" t="s">
        <v>183</v>
      </c>
      <c r="EN1114" t="s">
        <v>211</v>
      </c>
      <c r="EO1114" t="s">
        <v>264</v>
      </c>
      <c r="EQ1114" t="s">
        <v>14688</v>
      </c>
      <c r="ER1114" t="s">
        <v>14689</v>
      </c>
      <c r="ES1114" t="s">
        <v>346</v>
      </c>
      <c r="ET1114" t="s">
        <v>347</v>
      </c>
      <c r="EU1114" t="s">
        <v>14690</v>
      </c>
      <c r="EV1114" t="s">
        <v>1491</v>
      </c>
      <c r="EW1114" t="s">
        <v>183</v>
      </c>
      <c r="EX1114" t="s">
        <v>211</v>
      </c>
      <c r="EY1114" t="s">
        <v>471</v>
      </c>
      <c r="FA1114" t="s">
        <v>14688</v>
      </c>
      <c r="FK1114" t="s">
        <v>198</v>
      </c>
      <c r="FU1114" t="s">
        <v>198</v>
      </c>
    </row>
    <row r="1115" spans="1:177">
      <c r="A1115" s="1" t="str">
        <f>HYPERLINK("http://digipan.lumentumllc.com/apps/getLink/index.php?t=PropLink&amp;p=5244839","PL")</f>
        <v>PL</v>
      </c>
      <c r="B1115" s="1" t="str">
        <f>HYPERLINK("http://digipan.lumentumllc.com/apps/getLink/index.php?t=TaxLink&amp;p=5244839","TL")</f>
        <v>TL</v>
      </c>
      <c r="C1115" s="1" t="str">
        <f>HYPERLINK("http://digipan.lumentumllc.com/apps/getMap/index.php?p=5244839","Map")</f>
        <v>Map</v>
      </c>
      <c r="E1115" t="s">
        <v>177</v>
      </c>
      <c r="F1115" t="s">
        <v>178</v>
      </c>
      <c r="L1115" t="s">
        <v>14691</v>
      </c>
      <c r="N1115" t="s">
        <v>14691</v>
      </c>
      <c r="O1115" t="s">
        <v>14691</v>
      </c>
      <c r="P1115" t="s">
        <v>14692</v>
      </c>
      <c r="Q1115" t="s">
        <v>14691</v>
      </c>
      <c r="V1115">
        <v>1280</v>
      </c>
      <c r="W1115">
        <v>4</v>
      </c>
      <c r="X1115">
        <v>2017</v>
      </c>
      <c r="Y1115">
        <v>2018</v>
      </c>
      <c r="Z1115">
        <v>50.43</v>
      </c>
      <c r="AB1115" t="s">
        <v>181</v>
      </c>
      <c r="AC1115" t="s">
        <v>182</v>
      </c>
      <c r="AD1115" t="s">
        <v>1037</v>
      </c>
      <c r="AE1115">
        <v>7</v>
      </c>
      <c r="AF1115">
        <v>0</v>
      </c>
      <c r="AG1115" t="s">
        <v>1038</v>
      </c>
      <c r="AH1115">
        <v>0</v>
      </c>
      <c r="AI1115">
        <v>295.88</v>
      </c>
      <c r="AJ1115">
        <v>170.13</v>
      </c>
      <c r="AK1115">
        <v>466.01</v>
      </c>
      <c r="AL1115">
        <v>1125</v>
      </c>
      <c r="AM1115">
        <v>1125</v>
      </c>
      <c r="AN1115">
        <v>0</v>
      </c>
      <c r="AO1115">
        <v>17</v>
      </c>
      <c r="AP1115">
        <v>2016</v>
      </c>
      <c r="AQ1115">
        <v>4.4800000000000004</v>
      </c>
      <c r="AR1115">
        <v>41.42</v>
      </c>
      <c r="AS1115" t="s">
        <v>14693</v>
      </c>
      <c r="AT1115" t="s">
        <v>3210</v>
      </c>
      <c r="AU1115" t="s">
        <v>177</v>
      </c>
      <c r="AV1115" t="s">
        <v>2334</v>
      </c>
      <c r="AW1115" t="s">
        <v>182</v>
      </c>
      <c r="AX1115">
        <v>0</v>
      </c>
      <c r="AY1115" t="s">
        <v>312</v>
      </c>
      <c r="AZ1115" t="s">
        <v>199</v>
      </c>
      <c r="BA1115" t="s">
        <v>313</v>
      </c>
      <c r="BB1115" t="s">
        <v>191</v>
      </c>
      <c r="BC1115" t="s">
        <v>182</v>
      </c>
      <c r="BD1115" t="s">
        <v>182</v>
      </c>
      <c r="BE1115" t="s">
        <v>12856</v>
      </c>
      <c r="BF1115">
        <v>0</v>
      </c>
      <c r="BG1115">
        <v>0</v>
      </c>
      <c r="BH1115">
        <v>0</v>
      </c>
      <c r="BI1115" t="s">
        <v>199</v>
      </c>
      <c r="BJ1115" t="s">
        <v>315</v>
      </c>
      <c r="BL1115" t="s">
        <v>199</v>
      </c>
      <c r="BM1115" t="s">
        <v>368</v>
      </c>
      <c r="BN1115" t="s">
        <v>182</v>
      </c>
      <c r="BO1115" t="s">
        <v>14694</v>
      </c>
      <c r="BP1115" t="s">
        <v>14695</v>
      </c>
      <c r="BR1115" t="s">
        <v>1575</v>
      </c>
      <c r="BS1115" t="s">
        <v>14696</v>
      </c>
      <c r="BT1115" t="s">
        <v>198</v>
      </c>
      <c r="BU1115" t="s">
        <v>182</v>
      </c>
      <c r="BV1115" t="s">
        <v>198</v>
      </c>
      <c r="BW1115" t="s">
        <v>198</v>
      </c>
      <c r="BX1115" t="s">
        <v>199</v>
      </c>
      <c r="BY1115" t="s">
        <v>198</v>
      </c>
      <c r="BZ1115" t="s">
        <v>199</v>
      </c>
      <c r="CA1115" t="s">
        <v>199</v>
      </c>
      <c r="CB1115" t="s">
        <v>14697</v>
      </c>
      <c r="CC1115" t="s">
        <v>201</v>
      </c>
      <c r="CD1115" t="s">
        <v>182</v>
      </c>
      <c r="CE1115" t="s">
        <v>14488</v>
      </c>
      <c r="CF1115" t="s">
        <v>5331</v>
      </c>
      <c r="CG1115" t="s">
        <v>177</v>
      </c>
      <c r="CH1115" t="s">
        <v>5332</v>
      </c>
      <c r="CI1115" t="s">
        <v>14698</v>
      </c>
      <c r="CJ1115" t="s">
        <v>13265</v>
      </c>
      <c r="CK1115" t="s">
        <v>232</v>
      </c>
      <c r="CL1115" t="s">
        <v>233</v>
      </c>
      <c r="CM1115" t="s">
        <v>14699</v>
      </c>
      <c r="CN1115" t="s">
        <v>482</v>
      </c>
      <c r="CO1115" t="s">
        <v>5</v>
      </c>
      <c r="CP1115" t="s">
        <v>266</v>
      </c>
      <c r="CS1115" t="s">
        <v>198</v>
      </c>
      <c r="CT1115" t="s">
        <v>13480</v>
      </c>
      <c r="CU1115" t="s">
        <v>292</v>
      </c>
      <c r="CV1115" t="s">
        <v>293</v>
      </c>
      <c r="CW1115" t="s">
        <v>14700</v>
      </c>
      <c r="CX1115" t="s">
        <v>482</v>
      </c>
      <c r="CY1115" t="s">
        <v>5</v>
      </c>
      <c r="CZ1115" t="s">
        <v>266</v>
      </c>
      <c r="DC1115" t="s">
        <v>198</v>
      </c>
      <c r="DD1115" t="s">
        <v>14017</v>
      </c>
      <c r="DE1115" t="s">
        <v>267</v>
      </c>
      <c r="DF1115" t="s">
        <v>268</v>
      </c>
      <c r="DG1115" t="s">
        <v>14701</v>
      </c>
      <c r="DH1115" t="s">
        <v>482</v>
      </c>
      <c r="DI1115" t="s">
        <v>5</v>
      </c>
      <c r="DJ1115" t="s">
        <v>266</v>
      </c>
      <c r="DM1115" t="s">
        <v>198</v>
      </c>
      <c r="DN1115" t="s">
        <v>14702</v>
      </c>
      <c r="DO1115" t="s">
        <v>273</v>
      </c>
      <c r="DP1115" t="s">
        <v>274</v>
      </c>
      <c r="DQ1115" t="s">
        <v>14703</v>
      </c>
      <c r="DR1115" t="s">
        <v>482</v>
      </c>
      <c r="DS1115" t="s">
        <v>5</v>
      </c>
      <c r="DT1115" t="s">
        <v>266</v>
      </c>
      <c r="DW1115" t="s">
        <v>198</v>
      </c>
      <c r="DX1115" t="s">
        <v>2168</v>
      </c>
      <c r="DY1115" t="s">
        <v>302</v>
      </c>
      <c r="DZ1115" t="s">
        <v>303</v>
      </c>
      <c r="EA1115" t="s">
        <v>14704</v>
      </c>
      <c r="EB1115" t="s">
        <v>1615</v>
      </c>
      <c r="EC1115" t="s">
        <v>183</v>
      </c>
      <c r="ED1115" t="s">
        <v>266</v>
      </c>
      <c r="EG1115" t="s">
        <v>198</v>
      </c>
      <c r="EH1115" t="s">
        <v>9043</v>
      </c>
      <c r="EI1115" t="s">
        <v>238</v>
      </c>
      <c r="EJ1115" t="s">
        <v>239</v>
      </c>
      <c r="EK1115" t="s">
        <v>14705</v>
      </c>
      <c r="EL1115" t="s">
        <v>4595</v>
      </c>
      <c r="EM1115" t="s">
        <v>183</v>
      </c>
      <c r="EN1115" t="s">
        <v>266</v>
      </c>
      <c r="EQ1115" t="s">
        <v>198</v>
      </c>
      <c r="ER1115" t="s">
        <v>1634</v>
      </c>
      <c r="ES1115" t="s">
        <v>346</v>
      </c>
      <c r="ET1115" t="s">
        <v>347</v>
      </c>
      <c r="EU1115" t="s">
        <v>14706</v>
      </c>
      <c r="EV1115" t="s">
        <v>1491</v>
      </c>
      <c r="EW1115" t="s">
        <v>183</v>
      </c>
      <c r="EX1115" t="s">
        <v>266</v>
      </c>
      <c r="FA1115" t="s">
        <v>198</v>
      </c>
      <c r="FK1115" t="s">
        <v>198</v>
      </c>
      <c r="FU1115" t="s">
        <v>198</v>
      </c>
    </row>
    <row r="1116" spans="1:177">
      <c r="A1116" s="1" t="str">
        <f>HYPERLINK("http://digipan.lumentumllc.com/apps/getLink/index.php?t=PropLink&amp;p=5244840","PL")</f>
        <v>PL</v>
      </c>
      <c r="B1116" s="1" t="str">
        <f>HYPERLINK("http://digipan.lumentumllc.com/apps/getLink/index.php?t=TaxLink&amp;p=5244840","TL")</f>
        <v>TL</v>
      </c>
      <c r="C1116" s="1" t="str">
        <f>HYPERLINK("http://digipan.lumentumllc.com/apps/getMap/index.php?p=5244840","Map")</f>
        <v>Map</v>
      </c>
      <c r="E1116" t="s">
        <v>177</v>
      </c>
      <c r="F1116" t="s">
        <v>178</v>
      </c>
      <c r="L1116" t="s">
        <v>14707</v>
      </c>
      <c r="N1116" t="s">
        <v>14707</v>
      </c>
      <c r="O1116" t="s">
        <v>14707</v>
      </c>
      <c r="P1116" t="s">
        <v>14708</v>
      </c>
      <c r="Q1116" t="s">
        <v>14707</v>
      </c>
      <c r="V1116">
        <v>1281</v>
      </c>
      <c r="W1116">
        <v>4</v>
      </c>
      <c r="X1116">
        <v>2017</v>
      </c>
      <c r="Y1116">
        <v>2018</v>
      </c>
      <c r="Z1116">
        <v>328.76</v>
      </c>
      <c r="AB1116" t="s">
        <v>181</v>
      </c>
      <c r="AC1116" t="s">
        <v>182</v>
      </c>
      <c r="AD1116" t="s">
        <v>183</v>
      </c>
      <c r="AE1116">
        <v>7</v>
      </c>
      <c r="AF1116">
        <v>0</v>
      </c>
      <c r="AG1116" t="s">
        <v>1038</v>
      </c>
      <c r="AH1116">
        <v>0</v>
      </c>
      <c r="AI1116">
        <v>2620.66</v>
      </c>
      <c r="AJ1116">
        <v>1421.56</v>
      </c>
      <c r="AK1116">
        <v>4042.22</v>
      </c>
      <c r="AL1116">
        <v>18125</v>
      </c>
      <c r="AM1116">
        <v>18125</v>
      </c>
      <c r="AN1116">
        <v>0</v>
      </c>
      <c r="AO1116">
        <v>278</v>
      </c>
      <c r="AP1116">
        <v>2016</v>
      </c>
      <c r="AQ1116">
        <v>1.81</v>
      </c>
      <c r="AR1116">
        <v>22.3</v>
      </c>
      <c r="AS1116" t="s">
        <v>14693</v>
      </c>
      <c r="AT1116" t="s">
        <v>3210</v>
      </c>
      <c r="AU1116" t="s">
        <v>177</v>
      </c>
      <c r="AV1116" t="s">
        <v>2334</v>
      </c>
      <c r="AW1116" t="s">
        <v>182</v>
      </c>
      <c r="AX1116">
        <v>0</v>
      </c>
      <c r="AY1116" t="s">
        <v>312</v>
      </c>
      <c r="AZ1116" t="s">
        <v>199</v>
      </c>
      <c r="BA1116" t="s">
        <v>313</v>
      </c>
      <c r="BB1116" t="s">
        <v>191</v>
      </c>
      <c r="BC1116" t="s">
        <v>182</v>
      </c>
      <c r="BD1116" t="s">
        <v>182</v>
      </c>
      <c r="BE1116" t="s">
        <v>2938</v>
      </c>
      <c r="BF1116">
        <v>0</v>
      </c>
      <c r="BG1116">
        <v>0</v>
      </c>
      <c r="BH1116">
        <v>0</v>
      </c>
      <c r="BI1116" t="s">
        <v>199</v>
      </c>
      <c r="BJ1116" t="s">
        <v>315</v>
      </c>
      <c r="BL1116" t="s">
        <v>199</v>
      </c>
      <c r="BM1116" t="s">
        <v>368</v>
      </c>
      <c r="BN1116" t="s">
        <v>182</v>
      </c>
      <c r="BO1116" t="s">
        <v>198</v>
      </c>
      <c r="BP1116" t="s">
        <v>198</v>
      </c>
      <c r="BQ1116" t="s">
        <v>198</v>
      </c>
      <c r="BR1116" t="s">
        <v>198</v>
      </c>
      <c r="BS1116" t="s">
        <v>198</v>
      </c>
      <c r="BT1116" t="s">
        <v>198</v>
      </c>
      <c r="BU1116" t="s">
        <v>182</v>
      </c>
      <c r="BV1116" t="s">
        <v>198</v>
      </c>
      <c r="BW1116" t="s">
        <v>198</v>
      </c>
      <c r="BX1116" t="s">
        <v>199</v>
      </c>
      <c r="BY1116" t="s">
        <v>198</v>
      </c>
      <c r="BZ1116" t="s">
        <v>199</v>
      </c>
      <c r="CA1116" t="s">
        <v>199</v>
      </c>
      <c r="CB1116" t="s">
        <v>14697</v>
      </c>
      <c r="CC1116" t="s">
        <v>201</v>
      </c>
      <c r="CD1116" t="s">
        <v>182</v>
      </c>
      <c r="CE1116" t="s">
        <v>14488</v>
      </c>
      <c r="CF1116" t="s">
        <v>5331</v>
      </c>
      <c r="CG1116" t="s">
        <v>177</v>
      </c>
      <c r="CH1116" t="s">
        <v>5332</v>
      </c>
      <c r="CI1116" t="s">
        <v>14698</v>
      </c>
      <c r="CJ1116" t="s">
        <v>10924</v>
      </c>
      <c r="CK1116" t="s">
        <v>232</v>
      </c>
      <c r="CL1116" t="s">
        <v>233</v>
      </c>
      <c r="CM1116" t="s">
        <v>14709</v>
      </c>
      <c r="CN1116" t="s">
        <v>482</v>
      </c>
      <c r="CO1116" t="s">
        <v>183</v>
      </c>
      <c r="CP1116" t="s">
        <v>266</v>
      </c>
      <c r="CS1116" t="s">
        <v>198</v>
      </c>
      <c r="CT1116" t="s">
        <v>13485</v>
      </c>
      <c r="CU1116" t="s">
        <v>292</v>
      </c>
      <c r="CV1116" t="s">
        <v>293</v>
      </c>
      <c r="CW1116" t="s">
        <v>14710</v>
      </c>
      <c r="CX1116" t="s">
        <v>482</v>
      </c>
      <c r="CY1116" t="s">
        <v>183</v>
      </c>
      <c r="CZ1116" t="s">
        <v>266</v>
      </c>
      <c r="DC1116" t="s">
        <v>198</v>
      </c>
      <c r="DD1116" t="s">
        <v>9232</v>
      </c>
      <c r="DE1116" t="s">
        <v>267</v>
      </c>
      <c r="DF1116" t="s">
        <v>268</v>
      </c>
      <c r="DG1116" t="s">
        <v>14711</v>
      </c>
      <c r="DH1116" t="s">
        <v>482</v>
      </c>
      <c r="DI1116" t="s">
        <v>183</v>
      </c>
      <c r="DJ1116" t="s">
        <v>266</v>
      </c>
      <c r="DM1116" t="s">
        <v>198</v>
      </c>
      <c r="DN1116" t="s">
        <v>12236</v>
      </c>
      <c r="DO1116" t="s">
        <v>273</v>
      </c>
      <c r="DP1116" t="s">
        <v>274</v>
      </c>
      <c r="DQ1116" t="s">
        <v>14712</v>
      </c>
      <c r="DR1116" t="s">
        <v>4595</v>
      </c>
      <c r="DS1116" t="s">
        <v>183</v>
      </c>
      <c r="DT1116" t="s">
        <v>266</v>
      </c>
      <c r="DW1116" t="s">
        <v>198</v>
      </c>
      <c r="DX1116" t="s">
        <v>14713</v>
      </c>
      <c r="DY1116" t="s">
        <v>302</v>
      </c>
      <c r="DZ1116" t="s">
        <v>303</v>
      </c>
      <c r="EA1116" t="s">
        <v>14714</v>
      </c>
      <c r="EB1116" t="s">
        <v>576</v>
      </c>
      <c r="EC1116" t="s">
        <v>183</v>
      </c>
      <c r="ED1116" t="s">
        <v>266</v>
      </c>
      <c r="EG1116" t="s">
        <v>198</v>
      </c>
      <c r="EH1116" t="s">
        <v>8746</v>
      </c>
      <c r="EI1116" t="s">
        <v>238</v>
      </c>
      <c r="EJ1116" t="s">
        <v>239</v>
      </c>
      <c r="EK1116" t="s">
        <v>14715</v>
      </c>
      <c r="EL1116" t="s">
        <v>4595</v>
      </c>
      <c r="EM1116" t="s">
        <v>183</v>
      </c>
      <c r="EN1116" t="s">
        <v>266</v>
      </c>
      <c r="EQ1116" t="s">
        <v>198</v>
      </c>
      <c r="ER1116" t="s">
        <v>3196</v>
      </c>
      <c r="ES1116" t="s">
        <v>346</v>
      </c>
      <c r="ET1116" t="s">
        <v>347</v>
      </c>
      <c r="EU1116" t="s">
        <v>14716</v>
      </c>
      <c r="EV1116" t="s">
        <v>1491</v>
      </c>
      <c r="EW1116" t="s">
        <v>183</v>
      </c>
      <c r="EX1116" t="s">
        <v>266</v>
      </c>
      <c r="FA1116" t="s">
        <v>198</v>
      </c>
      <c r="FK1116" t="s">
        <v>198</v>
      </c>
      <c r="FU1116" t="s">
        <v>198</v>
      </c>
    </row>
    <row r="1117" spans="1:177">
      <c r="A1117" s="1" t="str">
        <f>HYPERLINK("http://digipan.lumentumllc.com/apps/getLink/index.php?t=PropLink&amp;p=5244841","PL")</f>
        <v>PL</v>
      </c>
      <c r="B1117" s="1" t="str">
        <f>HYPERLINK("http://digipan.lumentumllc.com/apps/getLink/index.php?t=TaxLink&amp;p=5244841","TL")</f>
        <v>TL</v>
      </c>
      <c r="C1117" s="1" t="str">
        <f>HYPERLINK("http://digipan.lumentumllc.com/apps/getMap/index.php?p=5244841","Map")</f>
        <v>Map</v>
      </c>
      <c r="E1117" t="s">
        <v>177</v>
      </c>
      <c r="F1117" t="s">
        <v>178</v>
      </c>
      <c r="L1117" t="s">
        <v>14717</v>
      </c>
      <c r="N1117" t="s">
        <v>14717</v>
      </c>
      <c r="O1117" t="s">
        <v>14717</v>
      </c>
      <c r="P1117" t="s">
        <v>14718</v>
      </c>
      <c r="Q1117" t="s">
        <v>14717</v>
      </c>
      <c r="V1117">
        <v>1282</v>
      </c>
      <c r="W1117">
        <v>4</v>
      </c>
      <c r="X1117">
        <v>2017</v>
      </c>
      <c r="Y1117">
        <v>2018</v>
      </c>
      <c r="Z1117">
        <v>160.94999999999999</v>
      </c>
      <c r="AB1117" t="s">
        <v>181</v>
      </c>
      <c r="AC1117" t="s">
        <v>182</v>
      </c>
      <c r="AD1117" t="s">
        <v>1037</v>
      </c>
      <c r="AE1117">
        <v>7</v>
      </c>
      <c r="AF1117">
        <v>0</v>
      </c>
      <c r="AG1117" t="s">
        <v>1038</v>
      </c>
      <c r="AH1117">
        <v>0</v>
      </c>
      <c r="AI1117">
        <v>1073.49</v>
      </c>
      <c r="AJ1117">
        <v>541.08000000000004</v>
      </c>
      <c r="AK1117">
        <v>1614.57</v>
      </c>
      <c r="AL1117">
        <v>7875</v>
      </c>
      <c r="AM1117">
        <v>7875</v>
      </c>
      <c r="AN1117">
        <v>0</v>
      </c>
      <c r="AO1117">
        <v>121</v>
      </c>
      <c r="AP1117">
        <v>2016</v>
      </c>
      <c r="AQ1117">
        <v>2.04</v>
      </c>
      <c r="AR1117">
        <v>20.5</v>
      </c>
      <c r="AS1117" t="s">
        <v>14719</v>
      </c>
      <c r="AT1117" t="s">
        <v>3210</v>
      </c>
      <c r="AU1117" t="s">
        <v>177</v>
      </c>
      <c r="AV1117" t="s">
        <v>2334</v>
      </c>
      <c r="AW1117" t="s">
        <v>182</v>
      </c>
      <c r="AX1117">
        <v>10</v>
      </c>
      <c r="AY1117" t="s">
        <v>3211</v>
      </c>
      <c r="AZ1117" t="s">
        <v>270</v>
      </c>
      <c r="BA1117" t="s">
        <v>3212</v>
      </c>
      <c r="BB1117" t="s">
        <v>191</v>
      </c>
      <c r="BC1117" t="s">
        <v>182</v>
      </c>
      <c r="BD1117" t="s">
        <v>182</v>
      </c>
      <c r="BE1117" t="s">
        <v>5608</v>
      </c>
      <c r="BF1117">
        <v>0</v>
      </c>
      <c r="BG1117">
        <v>0</v>
      </c>
      <c r="BH1117">
        <v>0</v>
      </c>
      <c r="BI1117" t="s">
        <v>199</v>
      </c>
      <c r="BJ1117" t="s">
        <v>396</v>
      </c>
      <c r="BL1117" t="s">
        <v>199</v>
      </c>
      <c r="BM1117" t="s">
        <v>368</v>
      </c>
      <c r="BN1117" t="s">
        <v>182</v>
      </c>
      <c r="BO1117" t="s">
        <v>14720</v>
      </c>
      <c r="BP1117" t="s">
        <v>14721</v>
      </c>
      <c r="BS1117" t="s">
        <v>11511</v>
      </c>
      <c r="BT1117" t="s">
        <v>198</v>
      </c>
      <c r="BU1117" t="s">
        <v>182</v>
      </c>
      <c r="BV1117" t="s">
        <v>198</v>
      </c>
      <c r="BW1117" t="s">
        <v>198</v>
      </c>
      <c r="BX1117" t="s">
        <v>199</v>
      </c>
      <c r="BY1117" t="s">
        <v>198</v>
      </c>
      <c r="BZ1117" t="s">
        <v>199</v>
      </c>
      <c r="CA1117" t="s">
        <v>199</v>
      </c>
      <c r="CB1117" t="s">
        <v>14722</v>
      </c>
      <c r="CC1117" t="s">
        <v>201</v>
      </c>
      <c r="CD1117" t="s">
        <v>182</v>
      </c>
      <c r="CE1117" t="s">
        <v>14723</v>
      </c>
      <c r="CF1117" t="s">
        <v>413</v>
      </c>
      <c r="CG1117" t="s">
        <v>177</v>
      </c>
      <c r="CH1117" t="s">
        <v>782</v>
      </c>
      <c r="CI1117" t="s">
        <v>14724</v>
      </c>
      <c r="CJ1117" t="s">
        <v>13278</v>
      </c>
      <c r="CK1117" t="s">
        <v>232</v>
      </c>
      <c r="CL1117" t="s">
        <v>233</v>
      </c>
      <c r="CM1117" t="s">
        <v>14725</v>
      </c>
      <c r="CN1117" t="s">
        <v>482</v>
      </c>
      <c r="CO1117" t="s">
        <v>5</v>
      </c>
      <c r="CP1117" t="s">
        <v>266</v>
      </c>
      <c r="CS1117" t="s">
        <v>198</v>
      </c>
      <c r="CT1117" t="s">
        <v>11216</v>
      </c>
      <c r="CU1117" t="s">
        <v>292</v>
      </c>
      <c r="CV1117" t="s">
        <v>293</v>
      </c>
      <c r="CW1117" t="s">
        <v>14726</v>
      </c>
      <c r="CX1117" t="s">
        <v>482</v>
      </c>
      <c r="CY1117" t="s">
        <v>183</v>
      </c>
      <c r="CZ1117" t="s">
        <v>266</v>
      </c>
      <c r="DC1117" t="s">
        <v>198</v>
      </c>
      <c r="DD1117" t="s">
        <v>14123</v>
      </c>
      <c r="DE1117" t="s">
        <v>267</v>
      </c>
      <c r="DF1117" t="s">
        <v>268</v>
      </c>
      <c r="DG1117" t="s">
        <v>14727</v>
      </c>
      <c r="DH1117" t="s">
        <v>482</v>
      </c>
      <c r="DI1117" t="s">
        <v>183</v>
      </c>
      <c r="DJ1117" t="s">
        <v>266</v>
      </c>
      <c r="DM1117" t="s">
        <v>198</v>
      </c>
      <c r="DN1117" t="s">
        <v>3969</v>
      </c>
      <c r="DO1117" t="s">
        <v>273</v>
      </c>
      <c r="DP1117" t="s">
        <v>274</v>
      </c>
      <c r="DQ1117" t="s">
        <v>14728</v>
      </c>
      <c r="DR1117" t="s">
        <v>4595</v>
      </c>
      <c r="DS1117" t="s">
        <v>183</v>
      </c>
      <c r="DT1117" t="s">
        <v>266</v>
      </c>
      <c r="DW1117" t="s">
        <v>198</v>
      </c>
      <c r="DX1117" t="s">
        <v>8887</v>
      </c>
      <c r="DY1117" t="s">
        <v>302</v>
      </c>
      <c r="DZ1117" t="s">
        <v>303</v>
      </c>
      <c r="EA1117" t="s">
        <v>10578</v>
      </c>
      <c r="EB1117" t="s">
        <v>2515</v>
      </c>
      <c r="EC1117" t="s">
        <v>183</v>
      </c>
      <c r="ED1117" t="s">
        <v>266</v>
      </c>
      <c r="EG1117" t="s">
        <v>198</v>
      </c>
      <c r="EH1117" t="s">
        <v>5532</v>
      </c>
      <c r="EI1117" t="s">
        <v>238</v>
      </c>
      <c r="EJ1117" t="s">
        <v>239</v>
      </c>
      <c r="EK1117" t="s">
        <v>14729</v>
      </c>
      <c r="EL1117" t="s">
        <v>4595</v>
      </c>
      <c r="EM1117" t="s">
        <v>183</v>
      </c>
      <c r="EN1117" t="s">
        <v>266</v>
      </c>
      <c r="EQ1117" t="s">
        <v>198</v>
      </c>
      <c r="ER1117" t="s">
        <v>14730</v>
      </c>
      <c r="ES1117" t="s">
        <v>346</v>
      </c>
      <c r="ET1117" t="s">
        <v>347</v>
      </c>
      <c r="EU1117" t="s">
        <v>14731</v>
      </c>
      <c r="EV1117" t="s">
        <v>1491</v>
      </c>
      <c r="EW1117" t="s">
        <v>183</v>
      </c>
      <c r="EX1117" t="s">
        <v>266</v>
      </c>
      <c r="FA1117" t="s">
        <v>198</v>
      </c>
      <c r="FK1117" t="s">
        <v>198</v>
      </c>
      <c r="FU1117" t="s">
        <v>198</v>
      </c>
    </row>
    <row r="1118" spans="1:177">
      <c r="A1118" s="1" t="str">
        <f>HYPERLINK("http://digipan.lumentumllc.com/apps/getLink/index.php?t=PropLink&amp;p=15740281","PL")</f>
        <v>PL</v>
      </c>
      <c r="B1118" s="1" t="str">
        <f>HYPERLINK("http://digipan.lumentumllc.com/apps/getLink/index.php?t=TaxLink&amp;p=15740281","TL")</f>
        <v>TL</v>
      </c>
      <c r="C1118" s="1" t="str">
        <f>HYPERLINK("http://digipan.lumentumllc.com/apps/getMap/index.php?p=15740281","Map")</f>
        <v>Map</v>
      </c>
      <c r="E1118" t="s">
        <v>177</v>
      </c>
      <c r="F1118" t="s">
        <v>178</v>
      </c>
      <c r="L1118" t="s">
        <v>14732</v>
      </c>
      <c r="N1118" t="s">
        <v>14732</v>
      </c>
      <c r="O1118" t="s">
        <v>14732</v>
      </c>
      <c r="Q1118" t="s">
        <v>14732</v>
      </c>
      <c r="V1118">
        <v>1283</v>
      </c>
      <c r="W1118">
        <v>4</v>
      </c>
      <c r="X1118">
        <v>2017</v>
      </c>
      <c r="Y1118">
        <v>2018</v>
      </c>
      <c r="Z1118">
        <v>1025.57</v>
      </c>
      <c r="AB1118" t="s">
        <v>181</v>
      </c>
      <c r="AC1118" t="s">
        <v>182</v>
      </c>
      <c r="AD1118" t="s">
        <v>183</v>
      </c>
      <c r="AE1118">
        <v>0</v>
      </c>
      <c r="AF1118">
        <v>1</v>
      </c>
      <c r="AG1118" t="s">
        <v>821</v>
      </c>
      <c r="AH1118">
        <v>100</v>
      </c>
      <c r="AK1118">
        <v>0</v>
      </c>
      <c r="AL1118">
        <v>60685</v>
      </c>
      <c r="AM1118">
        <v>53025</v>
      </c>
      <c r="AN1118">
        <v>7660</v>
      </c>
      <c r="AO1118">
        <v>893</v>
      </c>
      <c r="AP1118">
        <v>2016</v>
      </c>
      <c r="AQ1118">
        <v>1.69</v>
      </c>
      <c r="AS1118" t="s">
        <v>14733</v>
      </c>
      <c r="AT1118" t="s">
        <v>3210</v>
      </c>
      <c r="AU1118" t="s">
        <v>177</v>
      </c>
      <c r="AV1118" t="s">
        <v>2334</v>
      </c>
      <c r="AW1118" t="s">
        <v>182</v>
      </c>
      <c r="AX1118">
        <v>0</v>
      </c>
      <c r="AY1118" t="s">
        <v>312</v>
      </c>
      <c r="AZ1118" t="s">
        <v>199</v>
      </c>
      <c r="BA1118" t="s">
        <v>313</v>
      </c>
      <c r="BB1118" t="s">
        <v>191</v>
      </c>
      <c r="BC1118" t="s">
        <v>182</v>
      </c>
      <c r="BD1118" t="s">
        <v>182</v>
      </c>
      <c r="BE1118" t="s">
        <v>14734</v>
      </c>
      <c r="BF1118">
        <v>0</v>
      </c>
      <c r="BG1118">
        <v>0</v>
      </c>
      <c r="BH1118">
        <v>0</v>
      </c>
      <c r="BI1118" t="s">
        <v>199</v>
      </c>
      <c r="BJ1118" t="s">
        <v>315</v>
      </c>
      <c r="BL1118" t="s">
        <v>1225</v>
      </c>
      <c r="BM1118" t="s">
        <v>1387</v>
      </c>
      <c r="BN1118" t="s">
        <v>182</v>
      </c>
      <c r="BO1118" t="s">
        <v>198</v>
      </c>
      <c r="BP1118" t="s">
        <v>198</v>
      </c>
      <c r="BQ1118" t="s">
        <v>198</v>
      </c>
      <c r="BR1118" t="s">
        <v>198</v>
      </c>
      <c r="BS1118" t="s">
        <v>198</v>
      </c>
      <c r="BT1118" t="s">
        <v>198</v>
      </c>
      <c r="BU1118" t="s">
        <v>182</v>
      </c>
      <c r="BV1118" t="s">
        <v>198</v>
      </c>
      <c r="BW1118" t="s">
        <v>198</v>
      </c>
      <c r="BX1118" t="s">
        <v>199</v>
      </c>
      <c r="BY1118" t="s">
        <v>198</v>
      </c>
      <c r="BZ1118" t="s">
        <v>199</v>
      </c>
      <c r="CA1118" t="s">
        <v>199</v>
      </c>
      <c r="CB1118" t="s">
        <v>14735</v>
      </c>
      <c r="CC1118" t="s">
        <v>201</v>
      </c>
      <c r="CD1118" t="s">
        <v>182</v>
      </c>
      <c r="CE1118" t="s">
        <v>14736</v>
      </c>
      <c r="CF1118" t="s">
        <v>14737</v>
      </c>
      <c r="CG1118" t="s">
        <v>5450</v>
      </c>
      <c r="CH1118" t="s">
        <v>14738</v>
      </c>
      <c r="CI1118" t="s">
        <v>14739</v>
      </c>
      <c r="CJ1118" t="s">
        <v>13294</v>
      </c>
      <c r="CK1118" t="s">
        <v>232</v>
      </c>
      <c r="CL1118" t="s">
        <v>233</v>
      </c>
      <c r="CM1118" t="s">
        <v>672</v>
      </c>
      <c r="CN1118" t="s">
        <v>235</v>
      </c>
      <c r="CO1118" t="s">
        <v>183</v>
      </c>
      <c r="CP1118" t="s">
        <v>211</v>
      </c>
      <c r="CQ1118" t="s">
        <v>296</v>
      </c>
      <c r="CS1118" t="s">
        <v>1467</v>
      </c>
      <c r="DC1118" t="s">
        <v>198</v>
      </c>
      <c r="DM1118" t="s">
        <v>198</v>
      </c>
      <c r="DW1118" t="s">
        <v>198</v>
      </c>
      <c r="EG1118" t="s">
        <v>198</v>
      </c>
      <c r="EQ1118" t="s">
        <v>198</v>
      </c>
      <c r="FA1118" t="s">
        <v>198</v>
      </c>
      <c r="FK1118" t="s">
        <v>198</v>
      </c>
      <c r="FU1118" t="s">
        <v>198</v>
      </c>
    </row>
    <row r="1119" spans="1:177">
      <c r="A1119" s="1" t="str">
        <f>HYPERLINK("http://digipan.lumentumllc.com/apps/getLink/index.php?t=PropLink&amp;p=5245026","PL")</f>
        <v>PL</v>
      </c>
      <c r="B1119" s="1" t="str">
        <f>HYPERLINK("http://digipan.lumentumllc.com/apps/getLink/index.php?t=TaxLink&amp;p=5245026","TL")</f>
        <v>TL</v>
      </c>
      <c r="C1119" s="1" t="str">
        <f>HYPERLINK("http://digipan.lumentumllc.com/apps/getMap/index.php?p=5245026","Map")</f>
        <v>Map</v>
      </c>
      <c r="E1119" t="s">
        <v>177</v>
      </c>
      <c r="F1119" t="s">
        <v>178</v>
      </c>
      <c r="L1119" t="s">
        <v>14740</v>
      </c>
      <c r="N1119" t="s">
        <v>14740</v>
      </c>
      <c r="O1119" t="s">
        <v>14740</v>
      </c>
      <c r="P1119" t="s">
        <v>14741</v>
      </c>
      <c r="Q1119" t="s">
        <v>14740</v>
      </c>
      <c r="V1119">
        <v>1284</v>
      </c>
      <c r="W1119">
        <v>4</v>
      </c>
      <c r="X1119">
        <v>2017</v>
      </c>
      <c r="Y1119">
        <v>2018</v>
      </c>
      <c r="Z1119">
        <v>236.68</v>
      </c>
      <c r="AG1119" t="s">
        <v>184</v>
      </c>
      <c r="AH1119">
        <v>0</v>
      </c>
      <c r="AK1119">
        <v>0</v>
      </c>
      <c r="AL1119">
        <v>12500</v>
      </c>
      <c r="AM1119">
        <v>12500</v>
      </c>
      <c r="AN1119">
        <v>0</v>
      </c>
      <c r="AO1119">
        <v>192</v>
      </c>
      <c r="AP1119">
        <v>2016</v>
      </c>
      <c r="AQ1119">
        <v>1.89</v>
      </c>
      <c r="AS1119" t="s">
        <v>14742</v>
      </c>
      <c r="AT1119" t="s">
        <v>3210</v>
      </c>
      <c r="AU1119" t="s">
        <v>177</v>
      </c>
      <c r="AV1119" t="s">
        <v>2334</v>
      </c>
      <c r="AW1119" t="s">
        <v>182</v>
      </c>
      <c r="AX1119">
        <v>0</v>
      </c>
      <c r="AY1119" t="s">
        <v>312</v>
      </c>
      <c r="AZ1119" t="s">
        <v>199</v>
      </c>
      <c r="BA1119" t="s">
        <v>313</v>
      </c>
      <c r="BB1119" t="s">
        <v>191</v>
      </c>
      <c r="BC1119" t="s">
        <v>182</v>
      </c>
      <c r="BD1119" t="s">
        <v>182</v>
      </c>
      <c r="BE1119" t="s">
        <v>6618</v>
      </c>
      <c r="BF1119">
        <v>0</v>
      </c>
      <c r="BG1119">
        <v>0</v>
      </c>
      <c r="BH1119">
        <v>0</v>
      </c>
      <c r="BI1119" t="s">
        <v>199</v>
      </c>
      <c r="BJ1119" t="s">
        <v>315</v>
      </c>
      <c r="BL1119" t="s">
        <v>199</v>
      </c>
      <c r="BM1119" t="s">
        <v>358</v>
      </c>
      <c r="BN1119" t="s">
        <v>182</v>
      </c>
      <c r="BO1119" t="s">
        <v>198</v>
      </c>
      <c r="BP1119" t="s">
        <v>198</v>
      </c>
      <c r="BQ1119" t="s">
        <v>198</v>
      </c>
      <c r="BR1119" t="s">
        <v>198</v>
      </c>
      <c r="BS1119" t="s">
        <v>198</v>
      </c>
      <c r="BT1119" t="s">
        <v>198</v>
      </c>
      <c r="BU1119" t="s">
        <v>182</v>
      </c>
      <c r="BV1119" t="s">
        <v>198</v>
      </c>
      <c r="BW1119" t="s">
        <v>198</v>
      </c>
      <c r="BX1119" t="s">
        <v>199</v>
      </c>
      <c r="BY1119" t="s">
        <v>198</v>
      </c>
      <c r="BZ1119" t="s">
        <v>199</v>
      </c>
      <c r="CA1119" t="s">
        <v>199</v>
      </c>
      <c r="CB1119" t="s">
        <v>13856</v>
      </c>
      <c r="CC1119" t="s">
        <v>201</v>
      </c>
      <c r="CD1119" t="s">
        <v>182</v>
      </c>
      <c r="CE1119" t="s">
        <v>14743</v>
      </c>
      <c r="CF1119" t="s">
        <v>2333</v>
      </c>
      <c r="CG1119" t="s">
        <v>177</v>
      </c>
      <c r="CH1119" t="s">
        <v>2334</v>
      </c>
      <c r="CI1119" t="s">
        <v>14744</v>
      </c>
      <c r="CS1119" t="s">
        <v>198</v>
      </c>
      <c r="DC1119" t="s">
        <v>198</v>
      </c>
      <c r="DM1119" t="s">
        <v>198</v>
      </c>
      <c r="DW1119" t="s">
        <v>198</v>
      </c>
      <c r="EG1119" t="s">
        <v>198</v>
      </c>
      <c r="EQ1119" t="s">
        <v>198</v>
      </c>
      <c r="FA1119" t="s">
        <v>198</v>
      </c>
      <c r="FK1119" t="s">
        <v>198</v>
      </c>
      <c r="FU1119" t="s">
        <v>198</v>
      </c>
    </row>
    <row r="1120" spans="1:177">
      <c r="A1120" s="1" t="str">
        <f>HYPERLINK("http://digipan.lumentumllc.com/apps/getLink/index.php?t=PropLink&amp;p=4637371","PL")</f>
        <v>PL</v>
      </c>
      <c r="B1120" s="1" t="str">
        <f>HYPERLINK("http://digipan.lumentumllc.com/apps/getLink/index.php?t=TaxLink&amp;p=4637371","TL")</f>
        <v>TL</v>
      </c>
      <c r="C1120" s="1" t="str">
        <f>HYPERLINK("http://digipan.lumentumllc.com/apps/getMap/index.php?p=4637371","Map")</f>
        <v>Map</v>
      </c>
      <c r="E1120" t="s">
        <v>177</v>
      </c>
      <c r="F1120" t="s">
        <v>178</v>
      </c>
      <c r="L1120" t="s">
        <v>14745</v>
      </c>
      <c r="N1120" t="s">
        <v>14745</v>
      </c>
      <c r="O1120" t="s">
        <v>14745</v>
      </c>
      <c r="P1120" t="s">
        <v>14746</v>
      </c>
      <c r="Q1120" t="s">
        <v>14745</v>
      </c>
      <c r="V1120">
        <v>1285</v>
      </c>
      <c r="W1120">
        <v>4</v>
      </c>
      <c r="X1120">
        <v>2017</v>
      </c>
      <c r="Y1120">
        <v>2018</v>
      </c>
      <c r="Z1120">
        <v>1535.65</v>
      </c>
      <c r="AB1120" t="s">
        <v>181</v>
      </c>
      <c r="AC1120" t="s">
        <v>182</v>
      </c>
      <c r="AD1120" t="s">
        <v>183</v>
      </c>
      <c r="AE1120">
        <v>1</v>
      </c>
      <c r="AF1120">
        <v>3</v>
      </c>
      <c r="AG1120" t="s">
        <v>363</v>
      </c>
      <c r="AH1120">
        <v>67</v>
      </c>
      <c r="AI1120">
        <v>1436.84</v>
      </c>
      <c r="AJ1120">
        <v>71.84</v>
      </c>
      <c r="AK1120">
        <v>1508.68</v>
      </c>
      <c r="AL1120">
        <v>125567</v>
      </c>
      <c r="AM1120">
        <v>70000</v>
      </c>
      <c r="AN1120">
        <v>55567</v>
      </c>
      <c r="AO1120">
        <v>1304</v>
      </c>
      <c r="AP1120">
        <v>2016</v>
      </c>
      <c r="AQ1120">
        <v>1.22</v>
      </c>
      <c r="AR1120">
        <v>1.2</v>
      </c>
      <c r="AS1120" t="s">
        <v>14747</v>
      </c>
      <c r="AT1120" t="s">
        <v>3210</v>
      </c>
      <c r="AU1120" t="s">
        <v>177</v>
      </c>
      <c r="AV1120" t="s">
        <v>2334</v>
      </c>
      <c r="AW1120" t="s">
        <v>202</v>
      </c>
      <c r="AX1120">
        <v>2</v>
      </c>
      <c r="AY1120" t="s">
        <v>188</v>
      </c>
      <c r="AZ1120" t="s">
        <v>189</v>
      </c>
      <c r="BA1120" t="s">
        <v>190</v>
      </c>
      <c r="BB1120" t="s">
        <v>191</v>
      </c>
      <c r="BC1120" t="s">
        <v>182</v>
      </c>
      <c r="BD1120" t="s">
        <v>182</v>
      </c>
      <c r="BE1120" t="s">
        <v>927</v>
      </c>
      <c r="BF1120">
        <v>2</v>
      </c>
      <c r="BG1120">
        <v>2</v>
      </c>
      <c r="BH1120">
        <v>1992</v>
      </c>
      <c r="BI1120" t="s">
        <v>14748</v>
      </c>
      <c r="BJ1120" t="s">
        <v>194</v>
      </c>
      <c r="BK1120" t="s">
        <v>195</v>
      </c>
      <c r="BL1120" t="s">
        <v>199</v>
      </c>
      <c r="BM1120" t="s">
        <v>1311</v>
      </c>
      <c r="BN1120" t="s">
        <v>182</v>
      </c>
      <c r="BO1120" t="s">
        <v>198</v>
      </c>
      <c r="BP1120" t="s">
        <v>198</v>
      </c>
      <c r="BQ1120" t="s">
        <v>198</v>
      </c>
      <c r="BR1120" t="s">
        <v>198</v>
      </c>
      <c r="BS1120" t="s">
        <v>198</v>
      </c>
      <c r="BT1120" t="s">
        <v>198</v>
      </c>
      <c r="BU1120" t="s">
        <v>182</v>
      </c>
      <c r="BV1120" t="s">
        <v>198</v>
      </c>
      <c r="BW1120" t="s">
        <v>198</v>
      </c>
      <c r="BX1120" t="s">
        <v>199</v>
      </c>
      <c r="BY1120" t="s">
        <v>198</v>
      </c>
      <c r="BZ1120" t="s">
        <v>199</v>
      </c>
      <c r="CA1120" t="s">
        <v>199</v>
      </c>
      <c r="CB1120" t="s">
        <v>14749</v>
      </c>
      <c r="CC1120" t="s">
        <v>201</v>
      </c>
      <c r="CD1120" t="s">
        <v>202</v>
      </c>
      <c r="CE1120" t="s">
        <v>14750</v>
      </c>
      <c r="CF1120" t="s">
        <v>2333</v>
      </c>
      <c r="CG1120" t="s">
        <v>177</v>
      </c>
      <c r="CH1120" t="s">
        <v>2334</v>
      </c>
      <c r="CI1120" t="s">
        <v>14751</v>
      </c>
      <c r="CJ1120" t="s">
        <v>13306</v>
      </c>
      <c r="CK1120" t="s">
        <v>232</v>
      </c>
      <c r="CL1120" t="s">
        <v>233</v>
      </c>
      <c r="CM1120" t="s">
        <v>14752</v>
      </c>
      <c r="CN1120" t="s">
        <v>235</v>
      </c>
      <c r="CO1120" t="s">
        <v>183</v>
      </c>
      <c r="CP1120" t="s">
        <v>266</v>
      </c>
      <c r="CS1120" t="s">
        <v>198</v>
      </c>
      <c r="CT1120" t="s">
        <v>13525</v>
      </c>
      <c r="CU1120" t="s">
        <v>292</v>
      </c>
      <c r="CV1120" t="s">
        <v>293</v>
      </c>
      <c r="CW1120" t="s">
        <v>14753</v>
      </c>
      <c r="CX1120" t="s">
        <v>235</v>
      </c>
      <c r="CY1120" t="s">
        <v>183</v>
      </c>
      <c r="CZ1120" t="s">
        <v>211</v>
      </c>
      <c r="DA1120" t="s">
        <v>342</v>
      </c>
      <c r="DC1120" t="s">
        <v>10007</v>
      </c>
      <c r="DD1120" t="s">
        <v>14190</v>
      </c>
      <c r="DE1120" t="s">
        <v>267</v>
      </c>
      <c r="DF1120" t="s">
        <v>268</v>
      </c>
      <c r="DG1120" t="s">
        <v>14754</v>
      </c>
      <c r="DH1120" t="s">
        <v>235</v>
      </c>
      <c r="DI1120" t="s">
        <v>183</v>
      </c>
      <c r="DJ1120" t="s">
        <v>211</v>
      </c>
      <c r="DK1120" t="s">
        <v>342</v>
      </c>
      <c r="DM1120" t="s">
        <v>3539</v>
      </c>
      <c r="DN1120" t="s">
        <v>3432</v>
      </c>
      <c r="DO1120" t="s">
        <v>207</v>
      </c>
      <c r="DP1120" t="s">
        <v>208</v>
      </c>
      <c r="DQ1120" t="s">
        <v>14755</v>
      </c>
      <c r="DR1120" t="s">
        <v>1966</v>
      </c>
      <c r="DS1120" t="s">
        <v>183</v>
      </c>
      <c r="DT1120" t="s">
        <v>211</v>
      </c>
      <c r="DU1120" t="s">
        <v>290</v>
      </c>
      <c r="DW1120" t="s">
        <v>14756</v>
      </c>
      <c r="EG1120" t="s">
        <v>198</v>
      </c>
      <c r="EQ1120" t="s">
        <v>198</v>
      </c>
      <c r="FA1120" t="s">
        <v>198</v>
      </c>
      <c r="FK1120" t="s">
        <v>198</v>
      </c>
      <c r="FU1120" t="s">
        <v>198</v>
      </c>
    </row>
    <row r="1121" spans="1:177">
      <c r="A1121" s="1" t="str">
        <f>HYPERLINK("http://digipan.lumentumllc.com/apps/getLink/index.php?t=PropLink&amp;p=5245029","PL")</f>
        <v>PL</v>
      </c>
      <c r="B1121" s="1" t="str">
        <f>HYPERLINK("http://digipan.lumentumllc.com/apps/getLink/index.php?t=TaxLink&amp;p=5245029","TL")</f>
        <v>TL</v>
      </c>
      <c r="C1121" s="1" t="str">
        <f>HYPERLINK("http://digipan.lumentumllc.com/apps/getMap/index.php?p=5245029","Map")</f>
        <v>Map</v>
      </c>
      <c r="E1121" t="s">
        <v>177</v>
      </c>
      <c r="F1121" t="s">
        <v>178</v>
      </c>
      <c r="L1121" t="s">
        <v>14757</v>
      </c>
      <c r="N1121" t="s">
        <v>14757</v>
      </c>
      <c r="O1121" t="s">
        <v>14757</v>
      </c>
      <c r="P1121" t="s">
        <v>14758</v>
      </c>
      <c r="Q1121" t="s">
        <v>14757</v>
      </c>
      <c r="V1121">
        <v>1287</v>
      </c>
      <c r="W1121">
        <v>4</v>
      </c>
      <c r="X1121">
        <v>2017</v>
      </c>
      <c r="Y1121">
        <v>2018</v>
      </c>
      <c r="Z1121">
        <v>148.66</v>
      </c>
      <c r="AB1121" t="s">
        <v>181</v>
      </c>
      <c r="AC1121" t="s">
        <v>182</v>
      </c>
      <c r="AD1121" t="s">
        <v>183</v>
      </c>
      <c r="AE1121">
        <v>3</v>
      </c>
      <c r="AF1121">
        <v>2</v>
      </c>
      <c r="AG1121" t="s">
        <v>6797</v>
      </c>
      <c r="AH1121">
        <v>25</v>
      </c>
      <c r="AI1121">
        <v>432.2</v>
      </c>
      <c r="AJ1121">
        <v>155.32</v>
      </c>
      <c r="AK1121">
        <v>587.52</v>
      </c>
      <c r="AL1121">
        <v>7125</v>
      </c>
      <c r="AM1121">
        <v>7125</v>
      </c>
      <c r="AN1121">
        <v>0</v>
      </c>
      <c r="AO1121">
        <v>109</v>
      </c>
      <c r="AP1121">
        <v>2016</v>
      </c>
      <c r="AQ1121">
        <v>2.09</v>
      </c>
      <c r="AR1121">
        <v>8.25</v>
      </c>
      <c r="AS1121" t="s">
        <v>14759</v>
      </c>
      <c r="AT1121" t="s">
        <v>3210</v>
      </c>
      <c r="AU1121" t="s">
        <v>177</v>
      </c>
      <c r="AV1121" t="s">
        <v>2334</v>
      </c>
      <c r="AW1121" t="s">
        <v>182</v>
      </c>
      <c r="AX1121">
        <v>0</v>
      </c>
      <c r="AY1121" t="s">
        <v>312</v>
      </c>
      <c r="AZ1121" t="s">
        <v>199</v>
      </c>
      <c r="BA1121" t="s">
        <v>313</v>
      </c>
      <c r="BB1121" t="s">
        <v>191</v>
      </c>
      <c r="BC1121" t="s">
        <v>182</v>
      </c>
      <c r="BD1121" t="s">
        <v>182</v>
      </c>
      <c r="BE1121" t="s">
        <v>2393</v>
      </c>
      <c r="BF1121">
        <v>0</v>
      </c>
      <c r="BG1121">
        <v>0</v>
      </c>
      <c r="BH1121">
        <v>0</v>
      </c>
      <c r="BI1121" t="s">
        <v>199</v>
      </c>
      <c r="BJ1121" t="s">
        <v>248</v>
      </c>
      <c r="BL1121" t="s">
        <v>2939</v>
      </c>
      <c r="BM1121" t="s">
        <v>1474</v>
      </c>
      <c r="BN1121" t="s">
        <v>182</v>
      </c>
      <c r="BO1121" t="s">
        <v>198</v>
      </c>
      <c r="BP1121" t="s">
        <v>198</v>
      </c>
      <c r="BQ1121" t="s">
        <v>198</v>
      </c>
      <c r="BR1121" t="s">
        <v>198</v>
      </c>
      <c r="BS1121" t="s">
        <v>198</v>
      </c>
      <c r="BT1121" t="s">
        <v>198</v>
      </c>
      <c r="BU1121" t="s">
        <v>182</v>
      </c>
      <c r="BV1121" t="s">
        <v>198</v>
      </c>
      <c r="BW1121" t="s">
        <v>198</v>
      </c>
      <c r="BX1121" t="s">
        <v>199</v>
      </c>
      <c r="BY1121" t="s">
        <v>198</v>
      </c>
      <c r="BZ1121" t="s">
        <v>199</v>
      </c>
      <c r="CA1121" t="s">
        <v>199</v>
      </c>
      <c r="CB1121" t="s">
        <v>14760</v>
      </c>
      <c r="CC1121" t="s">
        <v>201</v>
      </c>
      <c r="CD1121" t="s">
        <v>182</v>
      </c>
      <c r="CE1121" t="s">
        <v>14750</v>
      </c>
      <c r="CF1121" t="s">
        <v>2333</v>
      </c>
      <c r="CG1121" t="s">
        <v>177</v>
      </c>
      <c r="CH1121" t="s">
        <v>2334</v>
      </c>
      <c r="CI1121" t="s">
        <v>14761</v>
      </c>
      <c r="CJ1121" t="s">
        <v>10961</v>
      </c>
      <c r="CK1121" t="s">
        <v>232</v>
      </c>
      <c r="CL1121" t="s">
        <v>233</v>
      </c>
      <c r="CM1121" t="s">
        <v>14762</v>
      </c>
      <c r="CN1121" t="s">
        <v>482</v>
      </c>
      <c r="CO1121" t="s">
        <v>183</v>
      </c>
      <c r="CP1121" t="s">
        <v>266</v>
      </c>
      <c r="CS1121" t="s">
        <v>198</v>
      </c>
      <c r="CT1121" t="s">
        <v>11104</v>
      </c>
      <c r="CU1121" t="s">
        <v>292</v>
      </c>
      <c r="CV1121" t="s">
        <v>293</v>
      </c>
      <c r="CW1121" t="s">
        <v>14763</v>
      </c>
      <c r="CX1121" t="s">
        <v>482</v>
      </c>
      <c r="CY1121" t="s">
        <v>183</v>
      </c>
      <c r="CZ1121" t="s">
        <v>266</v>
      </c>
      <c r="DC1121" t="s">
        <v>198</v>
      </c>
      <c r="DD1121" t="s">
        <v>3870</v>
      </c>
      <c r="DE1121" t="s">
        <v>267</v>
      </c>
      <c r="DF1121" t="s">
        <v>268</v>
      </c>
      <c r="DG1121" t="s">
        <v>14764</v>
      </c>
      <c r="DH1121" t="s">
        <v>482</v>
      </c>
      <c r="DI1121" t="s">
        <v>183</v>
      </c>
      <c r="DJ1121" t="s">
        <v>266</v>
      </c>
      <c r="DM1121" t="s">
        <v>198</v>
      </c>
      <c r="DN1121" t="s">
        <v>14765</v>
      </c>
      <c r="DO1121" t="s">
        <v>346</v>
      </c>
      <c r="DP1121" t="s">
        <v>347</v>
      </c>
      <c r="DQ1121" t="s">
        <v>14766</v>
      </c>
      <c r="DR1121" t="s">
        <v>1491</v>
      </c>
      <c r="DS1121" t="s">
        <v>183</v>
      </c>
      <c r="DT1121" t="s">
        <v>211</v>
      </c>
      <c r="DU1121" t="s">
        <v>329</v>
      </c>
      <c r="DW1121" t="s">
        <v>4297</v>
      </c>
      <c r="DX1121" t="s">
        <v>14767</v>
      </c>
      <c r="DY1121" t="s">
        <v>207</v>
      </c>
      <c r="DZ1121" t="s">
        <v>208</v>
      </c>
      <c r="EA1121" t="s">
        <v>14768</v>
      </c>
      <c r="EB1121" t="s">
        <v>1966</v>
      </c>
      <c r="EC1121" t="s">
        <v>183</v>
      </c>
      <c r="ED1121" t="s">
        <v>211</v>
      </c>
      <c r="EE1121" t="s">
        <v>298</v>
      </c>
      <c r="EG1121" t="s">
        <v>4297</v>
      </c>
      <c r="EQ1121" t="s">
        <v>198</v>
      </c>
      <c r="FA1121" t="s">
        <v>198</v>
      </c>
      <c r="FK1121" t="s">
        <v>198</v>
      </c>
      <c r="FU1121" t="s">
        <v>198</v>
      </c>
    </row>
    <row r="1122" spans="1:177">
      <c r="A1122" s="1" t="str">
        <f>HYPERLINK("http://digipan.lumentumllc.com/apps/getLink/index.php?t=PropLink&amp;p=5245030","PL")</f>
        <v>PL</v>
      </c>
      <c r="B1122" s="1" t="str">
        <f>HYPERLINK("http://digipan.lumentumllc.com/apps/getLink/index.php?t=TaxLink&amp;p=5245030","TL")</f>
        <v>TL</v>
      </c>
      <c r="C1122" s="1" t="str">
        <f>HYPERLINK("http://digipan.lumentumllc.com/apps/getMap/index.php?p=5245030","Map")</f>
        <v>Map</v>
      </c>
      <c r="E1122" t="s">
        <v>177</v>
      </c>
      <c r="F1122" t="s">
        <v>178</v>
      </c>
      <c r="L1122" t="s">
        <v>14769</v>
      </c>
      <c r="N1122" t="s">
        <v>14769</v>
      </c>
      <c r="O1122" t="s">
        <v>14769</v>
      </c>
      <c r="P1122" t="s">
        <v>14770</v>
      </c>
      <c r="Q1122" t="s">
        <v>14769</v>
      </c>
      <c r="V1122">
        <v>1288</v>
      </c>
      <c r="W1122">
        <v>4</v>
      </c>
      <c r="X1122">
        <v>2017</v>
      </c>
      <c r="Y1122">
        <v>2018</v>
      </c>
      <c r="Z1122">
        <v>608.25</v>
      </c>
      <c r="AB1122" t="s">
        <v>181</v>
      </c>
      <c r="AC1122" t="s">
        <v>182</v>
      </c>
      <c r="AD1122" t="s">
        <v>183</v>
      </c>
      <c r="AE1122">
        <v>1</v>
      </c>
      <c r="AF1122">
        <v>6</v>
      </c>
      <c r="AG1122" t="s">
        <v>322</v>
      </c>
      <c r="AH1122">
        <v>83</v>
      </c>
      <c r="AI1122">
        <v>632.4</v>
      </c>
      <c r="AJ1122">
        <v>31.62</v>
      </c>
      <c r="AK1122">
        <v>664.02</v>
      </c>
      <c r="AL1122">
        <v>35196</v>
      </c>
      <c r="AM1122">
        <v>22500</v>
      </c>
      <c r="AN1122">
        <v>12696</v>
      </c>
      <c r="AO1122">
        <v>560</v>
      </c>
      <c r="AP1122">
        <v>2016</v>
      </c>
      <c r="AQ1122">
        <v>1.73</v>
      </c>
      <c r="AR1122">
        <v>1.89</v>
      </c>
      <c r="AS1122" t="s">
        <v>14771</v>
      </c>
      <c r="AT1122" t="s">
        <v>3210</v>
      </c>
      <c r="AU1122" t="s">
        <v>177</v>
      </c>
      <c r="AV1122" t="s">
        <v>2334</v>
      </c>
      <c r="AW1122" t="s">
        <v>182</v>
      </c>
      <c r="AX1122">
        <v>2</v>
      </c>
      <c r="AY1122" t="s">
        <v>188</v>
      </c>
      <c r="AZ1122" t="s">
        <v>189</v>
      </c>
      <c r="BA1122" t="s">
        <v>190</v>
      </c>
      <c r="BB1122" t="s">
        <v>191</v>
      </c>
      <c r="BC1122" t="s">
        <v>182</v>
      </c>
      <c r="BD1122" t="s">
        <v>182</v>
      </c>
      <c r="BE1122" t="s">
        <v>383</v>
      </c>
      <c r="BF1122">
        <v>1</v>
      </c>
      <c r="BG1122">
        <v>1</v>
      </c>
      <c r="BH1122">
        <v>1985</v>
      </c>
      <c r="BI1122" t="s">
        <v>6532</v>
      </c>
      <c r="BJ1122" t="s">
        <v>194</v>
      </c>
      <c r="BK1122" t="s">
        <v>195</v>
      </c>
      <c r="BL1122" t="s">
        <v>199</v>
      </c>
      <c r="BM1122" t="s">
        <v>358</v>
      </c>
      <c r="BN1122" t="s">
        <v>182</v>
      </c>
      <c r="BO1122" t="s">
        <v>198</v>
      </c>
      <c r="BP1122" t="s">
        <v>198</v>
      </c>
      <c r="BQ1122" t="s">
        <v>198</v>
      </c>
      <c r="BR1122" t="s">
        <v>198</v>
      </c>
      <c r="BS1122" t="s">
        <v>198</v>
      </c>
      <c r="BT1122" t="s">
        <v>198</v>
      </c>
      <c r="BU1122" t="s">
        <v>182</v>
      </c>
      <c r="BV1122" t="s">
        <v>198</v>
      </c>
      <c r="BW1122" t="s">
        <v>198</v>
      </c>
      <c r="BX1122" t="s">
        <v>199</v>
      </c>
      <c r="BY1122" t="s">
        <v>198</v>
      </c>
      <c r="BZ1122" t="s">
        <v>199</v>
      </c>
      <c r="CA1122" t="s">
        <v>199</v>
      </c>
      <c r="CB1122" t="s">
        <v>14772</v>
      </c>
      <c r="CC1122" t="s">
        <v>201</v>
      </c>
      <c r="CD1122" t="s">
        <v>182</v>
      </c>
      <c r="CE1122" t="s">
        <v>14773</v>
      </c>
      <c r="CF1122" t="s">
        <v>2333</v>
      </c>
      <c r="CG1122" t="s">
        <v>177</v>
      </c>
      <c r="CH1122" t="s">
        <v>2334</v>
      </c>
      <c r="CI1122" t="s">
        <v>14774</v>
      </c>
      <c r="CJ1122" t="s">
        <v>13376</v>
      </c>
      <c r="CK1122" t="s">
        <v>232</v>
      </c>
      <c r="CL1122" t="s">
        <v>233</v>
      </c>
      <c r="CM1122" t="s">
        <v>14775</v>
      </c>
      <c r="CN1122" t="s">
        <v>235</v>
      </c>
      <c r="CO1122" t="s">
        <v>183</v>
      </c>
      <c r="CP1122" t="s">
        <v>266</v>
      </c>
      <c r="CS1122" t="s">
        <v>198</v>
      </c>
      <c r="CT1122" t="s">
        <v>11128</v>
      </c>
      <c r="CU1122" t="s">
        <v>292</v>
      </c>
      <c r="CV1122" t="s">
        <v>293</v>
      </c>
      <c r="CW1122" t="s">
        <v>14776</v>
      </c>
      <c r="CX1122" t="s">
        <v>235</v>
      </c>
      <c r="CY1122" t="s">
        <v>183</v>
      </c>
      <c r="CZ1122" t="s">
        <v>211</v>
      </c>
      <c r="DA1122" t="s">
        <v>298</v>
      </c>
      <c r="DC1122" t="s">
        <v>430</v>
      </c>
      <c r="DD1122" t="s">
        <v>2143</v>
      </c>
      <c r="DE1122" t="s">
        <v>267</v>
      </c>
      <c r="DF1122" t="s">
        <v>268</v>
      </c>
      <c r="DG1122" t="s">
        <v>8145</v>
      </c>
      <c r="DH1122" t="s">
        <v>235</v>
      </c>
      <c r="DI1122" t="s">
        <v>183</v>
      </c>
      <c r="DJ1122" t="s">
        <v>211</v>
      </c>
      <c r="DK1122" t="s">
        <v>298</v>
      </c>
      <c r="DM1122" t="s">
        <v>7501</v>
      </c>
      <c r="DN1122" t="s">
        <v>5202</v>
      </c>
      <c r="DO1122" t="s">
        <v>273</v>
      </c>
      <c r="DP1122" t="s">
        <v>274</v>
      </c>
      <c r="DQ1122" t="s">
        <v>14777</v>
      </c>
      <c r="DR1122" t="s">
        <v>235</v>
      </c>
      <c r="DS1122" t="s">
        <v>183</v>
      </c>
      <c r="DT1122" t="s">
        <v>211</v>
      </c>
      <c r="DU1122" t="s">
        <v>298</v>
      </c>
      <c r="DW1122" t="s">
        <v>3408</v>
      </c>
      <c r="DX1122" t="s">
        <v>10829</v>
      </c>
      <c r="DY1122" t="s">
        <v>238</v>
      </c>
      <c r="DZ1122" t="s">
        <v>239</v>
      </c>
      <c r="EA1122" t="s">
        <v>14778</v>
      </c>
      <c r="EB1122" t="s">
        <v>278</v>
      </c>
      <c r="EC1122" t="s">
        <v>183</v>
      </c>
      <c r="ED1122" t="s">
        <v>211</v>
      </c>
      <c r="EE1122" t="s">
        <v>212</v>
      </c>
      <c r="EG1122" t="s">
        <v>14779</v>
      </c>
      <c r="EH1122" t="s">
        <v>11916</v>
      </c>
      <c r="EI1122" t="s">
        <v>346</v>
      </c>
      <c r="EJ1122" t="s">
        <v>347</v>
      </c>
      <c r="EK1122" t="s">
        <v>14780</v>
      </c>
      <c r="EL1122" t="s">
        <v>1491</v>
      </c>
      <c r="EM1122" t="s">
        <v>183</v>
      </c>
      <c r="EN1122" t="s">
        <v>211</v>
      </c>
      <c r="EO1122" t="s">
        <v>298</v>
      </c>
      <c r="EQ1122" t="s">
        <v>2756</v>
      </c>
      <c r="ER1122" t="s">
        <v>14781</v>
      </c>
      <c r="ES1122" t="s">
        <v>207</v>
      </c>
      <c r="ET1122" t="s">
        <v>208</v>
      </c>
      <c r="EU1122" t="s">
        <v>14782</v>
      </c>
      <c r="EV1122" t="s">
        <v>1966</v>
      </c>
      <c r="EW1122" t="s">
        <v>183</v>
      </c>
      <c r="EX1122" t="s">
        <v>211</v>
      </c>
      <c r="EY1122" t="s">
        <v>298</v>
      </c>
      <c r="FA1122" t="s">
        <v>4856</v>
      </c>
      <c r="FK1122" t="s">
        <v>198</v>
      </c>
      <c r="FU1122" t="s">
        <v>198</v>
      </c>
    </row>
    <row r="1123" spans="1:177">
      <c r="A1123" s="1" t="str">
        <f>HYPERLINK("http://digipan.lumentumllc.com/apps/getLink/index.php?t=PropLink&amp;p=15740317","PL")</f>
        <v>PL</v>
      </c>
      <c r="B1123" s="1" t="str">
        <f>HYPERLINK("http://digipan.lumentumllc.com/apps/getLink/index.php?t=TaxLink&amp;p=15740317","TL")</f>
        <v>TL</v>
      </c>
      <c r="C1123" s="1" t="str">
        <f>HYPERLINK("http://digipan.lumentumllc.com/apps/getMap/index.php?p=15740317","Map")</f>
        <v>Map</v>
      </c>
      <c r="E1123" t="s">
        <v>177</v>
      </c>
      <c r="F1123" t="s">
        <v>178</v>
      </c>
      <c r="L1123" t="s">
        <v>14783</v>
      </c>
      <c r="N1123" t="s">
        <v>14783</v>
      </c>
      <c r="O1123" t="s">
        <v>14783</v>
      </c>
      <c r="Q1123" t="s">
        <v>14783</v>
      </c>
      <c r="V1123">
        <v>1289</v>
      </c>
      <c r="W1123">
        <v>4</v>
      </c>
      <c r="X1123">
        <v>2017</v>
      </c>
      <c r="Y1123">
        <v>2018</v>
      </c>
      <c r="Z1123">
        <v>1940.78</v>
      </c>
      <c r="AG1123" t="s">
        <v>184</v>
      </c>
      <c r="AH1123">
        <v>0</v>
      </c>
      <c r="AK1123">
        <v>0</v>
      </c>
      <c r="AL1123">
        <v>169438</v>
      </c>
      <c r="AM1123">
        <v>87500</v>
      </c>
      <c r="AN1123">
        <v>81938</v>
      </c>
      <c r="AO1123">
        <v>1743</v>
      </c>
      <c r="AP1123">
        <v>2016</v>
      </c>
      <c r="AQ1123">
        <v>1.1499999999999999</v>
      </c>
      <c r="AS1123" t="s">
        <v>14784</v>
      </c>
      <c r="AT1123" t="s">
        <v>3210</v>
      </c>
      <c r="AU1123" t="s">
        <v>177</v>
      </c>
      <c r="AV1123" t="s">
        <v>2334</v>
      </c>
      <c r="AW1123" t="s">
        <v>202</v>
      </c>
      <c r="AX1123">
        <v>1</v>
      </c>
      <c r="AY1123" t="s">
        <v>188</v>
      </c>
      <c r="AZ1123" t="s">
        <v>206</v>
      </c>
      <c r="BA1123" t="s">
        <v>355</v>
      </c>
      <c r="BB1123" t="s">
        <v>191</v>
      </c>
      <c r="BC1123" t="s">
        <v>182</v>
      </c>
      <c r="BD1123" t="s">
        <v>182</v>
      </c>
      <c r="BE1123" t="s">
        <v>391</v>
      </c>
      <c r="BF1123">
        <v>1</v>
      </c>
      <c r="BG1123">
        <v>1</v>
      </c>
      <c r="BH1123">
        <v>1970</v>
      </c>
      <c r="BI1123" t="s">
        <v>8213</v>
      </c>
      <c r="BJ1123" t="s">
        <v>194</v>
      </c>
      <c r="BK1123" t="s">
        <v>195</v>
      </c>
      <c r="BL1123" t="s">
        <v>199</v>
      </c>
      <c r="BM1123" t="s">
        <v>1332</v>
      </c>
      <c r="BN1123" t="s">
        <v>182</v>
      </c>
      <c r="BO1123" t="s">
        <v>198</v>
      </c>
      <c r="BP1123" t="s">
        <v>198</v>
      </c>
      <c r="BQ1123" t="s">
        <v>198</v>
      </c>
      <c r="BR1123" t="s">
        <v>198</v>
      </c>
      <c r="BS1123" t="s">
        <v>198</v>
      </c>
      <c r="BT1123" t="s">
        <v>198</v>
      </c>
      <c r="BU1123" t="s">
        <v>182</v>
      </c>
      <c r="BV1123" t="s">
        <v>198</v>
      </c>
      <c r="BW1123" t="s">
        <v>198</v>
      </c>
      <c r="BX1123" t="s">
        <v>199</v>
      </c>
      <c r="BY1123" t="s">
        <v>198</v>
      </c>
      <c r="BZ1123" t="s">
        <v>199</v>
      </c>
      <c r="CA1123" t="s">
        <v>199</v>
      </c>
      <c r="CB1123" t="s">
        <v>14785</v>
      </c>
      <c r="CC1123" t="s">
        <v>201</v>
      </c>
      <c r="CD1123" t="s">
        <v>182</v>
      </c>
      <c r="CE1123" t="s">
        <v>14786</v>
      </c>
      <c r="CF1123" t="s">
        <v>2333</v>
      </c>
      <c r="CG1123" t="s">
        <v>177</v>
      </c>
      <c r="CH1123" t="s">
        <v>2334</v>
      </c>
      <c r="CI1123" t="s">
        <v>14787</v>
      </c>
      <c r="CS1123" t="s">
        <v>198</v>
      </c>
      <c r="DC1123" t="s">
        <v>198</v>
      </c>
      <c r="DM1123" t="s">
        <v>198</v>
      </c>
      <c r="DW1123" t="s">
        <v>198</v>
      </c>
      <c r="EG1123" t="s">
        <v>198</v>
      </c>
      <c r="EQ1123" t="s">
        <v>198</v>
      </c>
      <c r="FA1123" t="s">
        <v>198</v>
      </c>
      <c r="FK1123" t="s">
        <v>198</v>
      </c>
      <c r="FU1123" t="s">
        <v>198</v>
      </c>
    </row>
    <row r="1124" spans="1:177">
      <c r="A1124" s="1" t="str">
        <f>HYPERLINK("http://digipan.lumentumllc.com/apps/getLink/index.php?t=PropLink&amp;p=15740319","PL")</f>
        <v>PL</v>
      </c>
      <c r="B1124" s="1" t="str">
        <f>HYPERLINK("http://digipan.lumentumllc.com/apps/getLink/index.php?t=TaxLink&amp;p=15740319","TL")</f>
        <v>TL</v>
      </c>
      <c r="C1124" s="1" t="str">
        <f>HYPERLINK("http://digipan.lumentumllc.com/apps/getMap/index.php?p=15740319","Map")</f>
        <v>Map</v>
      </c>
      <c r="E1124" t="s">
        <v>177</v>
      </c>
      <c r="F1124" t="s">
        <v>178</v>
      </c>
      <c r="L1124" t="s">
        <v>14788</v>
      </c>
      <c r="N1124" t="s">
        <v>14788</v>
      </c>
      <c r="O1124" t="s">
        <v>14788</v>
      </c>
      <c r="Q1124" t="s">
        <v>14788</v>
      </c>
      <c r="V1124">
        <v>1290</v>
      </c>
      <c r="W1124">
        <v>4</v>
      </c>
      <c r="X1124">
        <v>2017</v>
      </c>
      <c r="Y1124">
        <v>2018</v>
      </c>
      <c r="Z1124">
        <v>1717.15</v>
      </c>
      <c r="AB1124" t="s">
        <v>181</v>
      </c>
      <c r="AC1124" t="s">
        <v>182</v>
      </c>
      <c r="AD1124" t="s">
        <v>183</v>
      </c>
      <c r="AE1124">
        <v>1</v>
      </c>
      <c r="AF1124">
        <v>0</v>
      </c>
      <c r="AG1124" t="s">
        <v>1200</v>
      </c>
      <c r="AH1124">
        <v>0</v>
      </c>
      <c r="AI1124">
        <v>1689.9</v>
      </c>
      <c r="AJ1124">
        <v>84.5</v>
      </c>
      <c r="AK1124">
        <v>1774.4</v>
      </c>
      <c r="AL1124">
        <v>176808</v>
      </c>
      <c r="AM1124">
        <v>56250</v>
      </c>
      <c r="AN1124">
        <v>120558</v>
      </c>
      <c r="AO1124">
        <v>1538</v>
      </c>
      <c r="AP1124">
        <v>2016</v>
      </c>
      <c r="AQ1124">
        <v>0.97</v>
      </c>
      <c r="AR1124">
        <v>1</v>
      </c>
      <c r="AS1124" t="s">
        <v>14789</v>
      </c>
      <c r="AT1124" t="s">
        <v>3210</v>
      </c>
      <c r="AU1124" t="s">
        <v>177</v>
      </c>
      <c r="AV1124" t="s">
        <v>2334</v>
      </c>
      <c r="AW1124" t="s">
        <v>202</v>
      </c>
      <c r="AX1124">
        <v>1</v>
      </c>
      <c r="AY1124" t="s">
        <v>188</v>
      </c>
      <c r="AZ1124" t="s">
        <v>206</v>
      </c>
      <c r="BA1124" t="s">
        <v>355</v>
      </c>
      <c r="BB1124" t="s">
        <v>191</v>
      </c>
      <c r="BC1124" t="s">
        <v>182</v>
      </c>
      <c r="BD1124" t="s">
        <v>182</v>
      </c>
      <c r="BE1124" t="s">
        <v>796</v>
      </c>
      <c r="BF1124">
        <v>1</v>
      </c>
      <c r="BG1124">
        <v>1</v>
      </c>
      <c r="BH1124">
        <v>1982</v>
      </c>
      <c r="BI1124" t="s">
        <v>14790</v>
      </c>
      <c r="BJ1124" t="s">
        <v>194</v>
      </c>
      <c r="BK1124" t="s">
        <v>195</v>
      </c>
      <c r="BL1124" t="s">
        <v>14791</v>
      </c>
      <c r="BM1124" t="s">
        <v>533</v>
      </c>
      <c r="BN1124" t="s">
        <v>182</v>
      </c>
      <c r="BO1124" t="s">
        <v>14792</v>
      </c>
      <c r="BP1124" t="s">
        <v>14793</v>
      </c>
      <c r="BQ1124" t="s">
        <v>581</v>
      </c>
      <c r="BR1124" t="s">
        <v>2318</v>
      </c>
      <c r="BS1124" t="s">
        <v>198</v>
      </c>
      <c r="BT1124" t="s">
        <v>14794</v>
      </c>
      <c r="BU1124" t="s">
        <v>182</v>
      </c>
      <c r="BV1124" t="s">
        <v>198</v>
      </c>
      <c r="BW1124" t="s">
        <v>198</v>
      </c>
      <c r="BX1124" t="s">
        <v>199</v>
      </c>
      <c r="BY1124" t="s">
        <v>198</v>
      </c>
      <c r="BZ1124" t="s">
        <v>199</v>
      </c>
      <c r="CA1124" t="s">
        <v>199</v>
      </c>
      <c r="CB1124" t="s">
        <v>14795</v>
      </c>
      <c r="CC1124" t="s">
        <v>201</v>
      </c>
      <c r="CD1124" t="s">
        <v>182</v>
      </c>
      <c r="CE1124" t="s">
        <v>14796</v>
      </c>
      <c r="CF1124" t="s">
        <v>2333</v>
      </c>
      <c r="CG1124" t="s">
        <v>177</v>
      </c>
      <c r="CH1124" t="s">
        <v>2334</v>
      </c>
      <c r="CI1124" t="s">
        <v>14797</v>
      </c>
      <c r="CJ1124" t="s">
        <v>13474</v>
      </c>
      <c r="CK1124" t="s">
        <v>232</v>
      </c>
      <c r="CL1124" t="s">
        <v>233</v>
      </c>
      <c r="CM1124" t="s">
        <v>14798</v>
      </c>
      <c r="CN1124" t="s">
        <v>235</v>
      </c>
      <c r="CO1124" t="s">
        <v>183</v>
      </c>
      <c r="CP1124" t="s">
        <v>266</v>
      </c>
      <c r="CS1124" t="s">
        <v>198</v>
      </c>
      <c r="DC1124" t="s">
        <v>198</v>
      </c>
      <c r="DM1124" t="s">
        <v>198</v>
      </c>
      <c r="DW1124" t="s">
        <v>198</v>
      </c>
      <c r="EG1124" t="s">
        <v>198</v>
      </c>
      <c r="EQ1124" t="s">
        <v>198</v>
      </c>
      <c r="FA1124" t="s">
        <v>198</v>
      </c>
      <c r="FK1124" t="s">
        <v>198</v>
      </c>
      <c r="FU1124" t="s">
        <v>198</v>
      </c>
    </row>
    <row r="1125" spans="1:177">
      <c r="A1125" s="1" t="str">
        <f>HYPERLINK("http://digipan.lumentumllc.com/apps/getLink/index.php?t=PropLink&amp;p=5245036","PL")</f>
        <v>PL</v>
      </c>
      <c r="B1125" s="1" t="str">
        <f>HYPERLINK("http://digipan.lumentumllc.com/apps/getLink/index.php?t=TaxLink&amp;p=5245036","TL")</f>
        <v>TL</v>
      </c>
      <c r="C1125" s="1" t="str">
        <f>HYPERLINK("http://digipan.lumentumllc.com/apps/getMap/index.php?p=5245036","Map")</f>
        <v>Map</v>
      </c>
      <c r="E1125" t="s">
        <v>177</v>
      </c>
      <c r="F1125" t="s">
        <v>178</v>
      </c>
      <c r="L1125" t="s">
        <v>14799</v>
      </c>
      <c r="N1125" t="s">
        <v>14799</v>
      </c>
      <c r="O1125" t="s">
        <v>14799</v>
      </c>
      <c r="P1125" t="s">
        <v>14800</v>
      </c>
      <c r="Q1125" t="s">
        <v>14799</v>
      </c>
      <c r="V1125">
        <v>1291</v>
      </c>
      <c r="W1125">
        <v>4</v>
      </c>
      <c r="X1125">
        <v>2017</v>
      </c>
      <c r="Y1125">
        <v>2018</v>
      </c>
      <c r="Z1125">
        <v>1703.15</v>
      </c>
      <c r="AB1125" t="s">
        <v>181</v>
      </c>
      <c r="AC1125" t="s">
        <v>182</v>
      </c>
      <c r="AD1125" t="s">
        <v>183</v>
      </c>
      <c r="AE1125">
        <v>0</v>
      </c>
      <c r="AF1125">
        <v>2</v>
      </c>
      <c r="AG1125" t="s">
        <v>821</v>
      </c>
      <c r="AH1125">
        <v>100</v>
      </c>
      <c r="AK1125">
        <v>0</v>
      </c>
      <c r="AL1125">
        <v>103073</v>
      </c>
      <c r="AM1125">
        <v>59150</v>
      </c>
      <c r="AN1125">
        <v>43923</v>
      </c>
      <c r="AO1125">
        <v>1414</v>
      </c>
      <c r="AP1125">
        <v>2016</v>
      </c>
      <c r="AQ1125">
        <v>1.65</v>
      </c>
      <c r="AS1125" t="s">
        <v>14801</v>
      </c>
      <c r="AT1125" t="s">
        <v>3210</v>
      </c>
      <c r="AU1125" t="s">
        <v>177</v>
      </c>
      <c r="AV1125" t="s">
        <v>2334</v>
      </c>
      <c r="AW1125" t="s">
        <v>182</v>
      </c>
      <c r="AX1125">
        <v>2</v>
      </c>
      <c r="AY1125" t="s">
        <v>188</v>
      </c>
      <c r="AZ1125" t="s">
        <v>189</v>
      </c>
      <c r="BA1125" t="s">
        <v>190</v>
      </c>
      <c r="BB1125" t="s">
        <v>191</v>
      </c>
      <c r="BC1125" t="s">
        <v>182</v>
      </c>
      <c r="BD1125" t="s">
        <v>182</v>
      </c>
      <c r="BE1125" t="s">
        <v>14802</v>
      </c>
      <c r="BF1125">
        <v>3</v>
      </c>
      <c r="BG1125">
        <v>3</v>
      </c>
      <c r="BH1125">
        <v>1981</v>
      </c>
      <c r="BI1125" t="s">
        <v>14803</v>
      </c>
      <c r="BJ1125" t="s">
        <v>194</v>
      </c>
      <c r="BK1125" t="s">
        <v>195</v>
      </c>
      <c r="BL1125" t="s">
        <v>1720</v>
      </c>
      <c r="BM1125" t="s">
        <v>1332</v>
      </c>
      <c r="BN1125" t="s">
        <v>182</v>
      </c>
      <c r="BO1125" t="s">
        <v>198</v>
      </c>
      <c r="BP1125" t="s">
        <v>198</v>
      </c>
      <c r="BQ1125" t="s">
        <v>198</v>
      </c>
      <c r="BR1125" t="s">
        <v>198</v>
      </c>
      <c r="BS1125" t="s">
        <v>198</v>
      </c>
      <c r="BT1125" t="s">
        <v>198</v>
      </c>
      <c r="BU1125" t="s">
        <v>182</v>
      </c>
      <c r="BV1125" t="s">
        <v>198</v>
      </c>
      <c r="BW1125" t="s">
        <v>198</v>
      </c>
      <c r="BX1125" t="s">
        <v>199</v>
      </c>
      <c r="BY1125" t="s">
        <v>198</v>
      </c>
      <c r="BZ1125" t="s">
        <v>199</v>
      </c>
      <c r="CA1125" t="s">
        <v>199</v>
      </c>
      <c r="CB1125" t="s">
        <v>14804</v>
      </c>
      <c r="CC1125" t="s">
        <v>201</v>
      </c>
      <c r="CD1125" t="s">
        <v>182</v>
      </c>
      <c r="CE1125" t="s">
        <v>14805</v>
      </c>
      <c r="CF1125" t="s">
        <v>2333</v>
      </c>
      <c r="CG1125" t="s">
        <v>177</v>
      </c>
      <c r="CH1125" t="s">
        <v>2334</v>
      </c>
      <c r="CI1125" t="s">
        <v>14806</v>
      </c>
      <c r="CJ1125" t="s">
        <v>7680</v>
      </c>
      <c r="CK1125" t="s">
        <v>238</v>
      </c>
      <c r="CL1125" t="s">
        <v>239</v>
      </c>
      <c r="CM1125" t="s">
        <v>14807</v>
      </c>
      <c r="CN1125" t="s">
        <v>440</v>
      </c>
      <c r="CO1125" t="s">
        <v>183</v>
      </c>
      <c r="CP1125" t="s">
        <v>211</v>
      </c>
      <c r="CQ1125" t="s">
        <v>337</v>
      </c>
      <c r="CS1125" t="s">
        <v>10713</v>
      </c>
      <c r="CT1125" t="s">
        <v>5467</v>
      </c>
      <c r="CU1125" t="s">
        <v>207</v>
      </c>
      <c r="CV1125" t="s">
        <v>208</v>
      </c>
      <c r="CW1125" t="s">
        <v>14808</v>
      </c>
      <c r="CX1125" t="s">
        <v>1966</v>
      </c>
      <c r="CY1125" t="s">
        <v>183</v>
      </c>
      <c r="CZ1125" t="s">
        <v>211</v>
      </c>
      <c r="DA1125" t="s">
        <v>264</v>
      </c>
      <c r="DC1125" t="s">
        <v>14809</v>
      </c>
      <c r="DM1125" t="s">
        <v>198</v>
      </c>
      <c r="DW1125" t="s">
        <v>198</v>
      </c>
      <c r="EG1125" t="s">
        <v>198</v>
      </c>
      <c r="EQ1125" t="s">
        <v>198</v>
      </c>
      <c r="FA1125" t="s">
        <v>198</v>
      </c>
      <c r="FK1125" t="s">
        <v>198</v>
      </c>
      <c r="FU1125" t="s">
        <v>198</v>
      </c>
    </row>
    <row r="1126" spans="1:177">
      <c r="A1126" s="1" t="str">
        <f>HYPERLINK("http://digipan.lumentumllc.com/apps/getLink/index.php?t=PropLink&amp;p=5245037","PL")</f>
        <v>PL</v>
      </c>
      <c r="B1126" s="1" t="str">
        <f>HYPERLINK("http://digipan.lumentumllc.com/apps/getLink/index.php?t=TaxLink&amp;p=5245037","TL")</f>
        <v>TL</v>
      </c>
      <c r="C1126" s="1" t="str">
        <f>HYPERLINK("http://digipan.lumentumllc.com/apps/getMap/index.php?p=5245037","Map")</f>
        <v>Map</v>
      </c>
      <c r="E1126" t="s">
        <v>177</v>
      </c>
      <c r="F1126" t="s">
        <v>178</v>
      </c>
      <c r="L1126" t="s">
        <v>14810</v>
      </c>
      <c r="N1126" t="s">
        <v>14810</v>
      </c>
      <c r="O1126" t="s">
        <v>14810</v>
      </c>
      <c r="P1126" t="s">
        <v>14811</v>
      </c>
      <c r="Q1126" t="s">
        <v>14810</v>
      </c>
      <c r="V1126">
        <v>1292</v>
      </c>
      <c r="W1126">
        <v>4</v>
      </c>
      <c r="X1126">
        <v>2017</v>
      </c>
      <c r="Y1126">
        <v>2018</v>
      </c>
      <c r="Z1126">
        <v>420.86</v>
      </c>
      <c r="AB1126" t="s">
        <v>181</v>
      </c>
      <c r="AC1126" t="s">
        <v>202</v>
      </c>
      <c r="AD1126" t="s">
        <v>183</v>
      </c>
      <c r="AE1126">
        <v>0</v>
      </c>
      <c r="AF1126">
        <v>7</v>
      </c>
      <c r="AG1126" t="s">
        <v>528</v>
      </c>
      <c r="AH1126">
        <v>100</v>
      </c>
      <c r="AK1126">
        <v>0</v>
      </c>
      <c r="AL1126">
        <v>23750</v>
      </c>
      <c r="AM1126">
        <v>23750</v>
      </c>
      <c r="AN1126">
        <v>0</v>
      </c>
      <c r="AO1126">
        <v>365</v>
      </c>
      <c r="AP1126">
        <v>2016</v>
      </c>
      <c r="AQ1126">
        <v>1.77</v>
      </c>
      <c r="AS1126" t="s">
        <v>14812</v>
      </c>
      <c r="AT1126" t="s">
        <v>3210</v>
      </c>
      <c r="AU1126" t="s">
        <v>177</v>
      </c>
      <c r="AV1126" t="s">
        <v>2334</v>
      </c>
      <c r="AW1126" t="s">
        <v>182</v>
      </c>
      <c r="AX1126">
        <v>0</v>
      </c>
      <c r="AY1126" t="s">
        <v>312</v>
      </c>
      <c r="AZ1126" t="s">
        <v>199</v>
      </c>
      <c r="BA1126" t="s">
        <v>313</v>
      </c>
      <c r="BB1126" t="s">
        <v>191</v>
      </c>
      <c r="BC1126" t="s">
        <v>182</v>
      </c>
      <c r="BD1126" t="s">
        <v>182</v>
      </c>
      <c r="BE1126" t="s">
        <v>383</v>
      </c>
      <c r="BF1126">
        <v>0</v>
      </c>
      <c r="BG1126">
        <v>0</v>
      </c>
      <c r="BH1126">
        <v>0</v>
      </c>
      <c r="BI1126" t="s">
        <v>199</v>
      </c>
      <c r="BJ1126" t="s">
        <v>315</v>
      </c>
      <c r="BL1126" t="s">
        <v>199</v>
      </c>
      <c r="BM1126" t="s">
        <v>292</v>
      </c>
      <c r="BN1126" t="s">
        <v>182</v>
      </c>
      <c r="BO1126" t="s">
        <v>14813</v>
      </c>
      <c r="BP1126" t="s">
        <v>2911</v>
      </c>
      <c r="BS1126" t="s">
        <v>14814</v>
      </c>
      <c r="BT1126" t="s">
        <v>198</v>
      </c>
      <c r="BU1126" t="s">
        <v>182</v>
      </c>
      <c r="BV1126" t="s">
        <v>198</v>
      </c>
      <c r="BW1126" t="s">
        <v>198</v>
      </c>
      <c r="BX1126" t="s">
        <v>199</v>
      </c>
      <c r="BY1126" t="s">
        <v>198</v>
      </c>
      <c r="BZ1126" t="s">
        <v>199</v>
      </c>
      <c r="CA1126" t="s">
        <v>199</v>
      </c>
      <c r="CB1126" t="s">
        <v>14815</v>
      </c>
      <c r="CC1126" t="s">
        <v>201</v>
      </c>
      <c r="CD1126" t="s">
        <v>202</v>
      </c>
      <c r="CE1126" t="s">
        <v>14816</v>
      </c>
      <c r="CF1126" t="s">
        <v>413</v>
      </c>
      <c r="CG1126" t="s">
        <v>177</v>
      </c>
      <c r="CH1126" t="s">
        <v>4044</v>
      </c>
      <c r="CI1126" t="s">
        <v>14817</v>
      </c>
      <c r="CJ1126" t="s">
        <v>11185</v>
      </c>
      <c r="CK1126" t="s">
        <v>292</v>
      </c>
      <c r="CL1126" t="s">
        <v>293</v>
      </c>
      <c r="CM1126" t="s">
        <v>14818</v>
      </c>
      <c r="CN1126" t="s">
        <v>482</v>
      </c>
      <c r="CO1126" t="s">
        <v>183</v>
      </c>
      <c r="CP1126" t="s">
        <v>211</v>
      </c>
      <c r="CQ1126" t="s">
        <v>342</v>
      </c>
      <c r="CR1126" t="s">
        <v>6042</v>
      </c>
      <c r="CS1126" t="s">
        <v>4103</v>
      </c>
      <c r="CT1126" t="s">
        <v>14819</v>
      </c>
      <c r="CU1126" t="s">
        <v>267</v>
      </c>
      <c r="CV1126" t="s">
        <v>268</v>
      </c>
      <c r="CW1126" t="s">
        <v>14820</v>
      </c>
      <c r="CX1126" t="s">
        <v>482</v>
      </c>
      <c r="CY1126" t="s">
        <v>183</v>
      </c>
      <c r="CZ1126" t="s">
        <v>211</v>
      </c>
      <c r="DA1126" t="s">
        <v>345</v>
      </c>
      <c r="DB1126" t="s">
        <v>6042</v>
      </c>
      <c r="DC1126" t="s">
        <v>4103</v>
      </c>
      <c r="DD1126" t="s">
        <v>12295</v>
      </c>
      <c r="DE1126" t="s">
        <v>273</v>
      </c>
      <c r="DF1126" t="s">
        <v>274</v>
      </c>
      <c r="DG1126" t="s">
        <v>14821</v>
      </c>
      <c r="DH1126" t="s">
        <v>4595</v>
      </c>
      <c r="DI1126" t="s">
        <v>183</v>
      </c>
      <c r="DJ1126" t="s">
        <v>211</v>
      </c>
      <c r="DK1126" t="s">
        <v>865</v>
      </c>
      <c r="DL1126" t="s">
        <v>6042</v>
      </c>
      <c r="DM1126" t="s">
        <v>4103</v>
      </c>
      <c r="DN1126" t="s">
        <v>2781</v>
      </c>
      <c r="DO1126" t="s">
        <v>302</v>
      </c>
      <c r="DP1126" t="s">
        <v>303</v>
      </c>
      <c r="DQ1126" t="s">
        <v>14822</v>
      </c>
      <c r="DR1126" t="s">
        <v>278</v>
      </c>
      <c r="DS1126" t="s">
        <v>183</v>
      </c>
      <c r="DT1126" t="s">
        <v>211</v>
      </c>
      <c r="DU1126" t="s">
        <v>1085</v>
      </c>
      <c r="DV1126" t="s">
        <v>6042</v>
      </c>
      <c r="DW1126" t="s">
        <v>4103</v>
      </c>
      <c r="DX1126" t="s">
        <v>7698</v>
      </c>
      <c r="DY1126" t="s">
        <v>238</v>
      </c>
      <c r="DZ1126" t="s">
        <v>239</v>
      </c>
      <c r="EA1126" t="s">
        <v>14823</v>
      </c>
      <c r="EB1126" t="s">
        <v>922</v>
      </c>
      <c r="EC1126" t="s">
        <v>183</v>
      </c>
      <c r="ED1126" t="s">
        <v>211</v>
      </c>
      <c r="EE1126" t="s">
        <v>1232</v>
      </c>
      <c r="EF1126" t="s">
        <v>6042</v>
      </c>
      <c r="EG1126" t="s">
        <v>4103</v>
      </c>
      <c r="EH1126" t="s">
        <v>14824</v>
      </c>
      <c r="EI1126" t="s">
        <v>346</v>
      </c>
      <c r="EJ1126" t="s">
        <v>347</v>
      </c>
      <c r="EK1126" t="s">
        <v>14825</v>
      </c>
      <c r="EL1126" t="s">
        <v>1551</v>
      </c>
      <c r="EM1126" t="s">
        <v>183</v>
      </c>
      <c r="EN1126" t="s">
        <v>211</v>
      </c>
      <c r="EO1126" t="s">
        <v>1263</v>
      </c>
      <c r="EP1126" t="s">
        <v>6042</v>
      </c>
      <c r="EQ1126" t="s">
        <v>4103</v>
      </c>
      <c r="ER1126" t="s">
        <v>14826</v>
      </c>
      <c r="ES1126" t="s">
        <v>207</v>
      </c>
      <c r="ET1126" t="s">
        <v>208</v>
      </c>
      <c r="EU1126" t="s">
        <v>14827</v>
      </c>
      <c r="EV1126" t="s">
        <v>1966</v>
      </c>
      <c r="EW1126" t="s">
        <v>183</v>
      </c>
      <c r="EX1126" t="s">
        <v>211</v>
      </c>
      <c r="EZ1126" t="s">
        <v>6042</v>
      </c>
      <c r="FA1126" t="s">
        <v>198</v>
      </c>
      <c r="FK1126" t="s">
        <v>198</v>
      </c>
      <c r="FU1126" t="s">
        <v>198</v>
      </c>
    </row>
    <row r="1127" spans="1:177">
      <c r="A1127" s="1" t="str">
        <f>HYPERLINK("http://digipan.lumentumllc.com/apps/getLink/index.php?t=PropLink&amp;p=5245038","PL")</f>
        <v>PL</v>
      </c>
      <c r="B1127" s="1" t="str">
        <f>HYPERLINK("http://digipan.lumentumllc.com/apps/getLink/index.php?t=TaxLink&amp;p=5245038","TL")</f>
        <v>TL</v>
      </c>
      <c r="C1127" s="1" t="str">
        <f>HYPERLINK("http://digipan.lumentumllc.com/apps/getMap/index.php?p=5245038","Map")</f>
        <v>Map</v>
      </c>
      <c r="E1127" t="s">
        <v>177</v>
      </c>
      <c r="F1127" t="s">
        <v>178</v>
      </c>
      <c r="L1127" t="s">
        <v>14828</v>
      </c>
      <c r="N1127" t="s">
        <v>14828</v>
      </c>
      <c r="O1127" t="s">
        <v>14828</v>
      </c>
      <c r="P1127" t="s">
        <v>14829</v>
      </c>
      <c r="Q1127" t="s">
        <v>14828</v>
      </c>
      <c r="V1127">
        <v>1293</v>
      </c>
      <c r="W1127">
        <v>4</v>
      </c>
      <c r="X1127">
        <v>2017</v>
      </c>
      <c r="Y1127">
        <v>2018</v>
      </c>
      <c r="Z1127">
        <v>350.22</v>
      </c>
      <c r="AB1127" t="s">
        <v>181</v>
      </c>
      <c r="AC1127" t="s">
        <v>182</v>
      </c>
      <c r="AD1127" t="s">
        <v>183</v>
      </c>
      <c r="AE1127">
        <v>7</v>
      </c>
      <c r="AF1127">
        <v>0</v>
      </c>
      <c r="AG1127" t="s">
        <v>1038</v>
      </c>
      <c r="AH1127">
        <v>0</v>
      </c>
      <c r="AI1127">
        <v>2650.58</v>
      </c>
      <c r="AJ1127">
        <v>1159.1400000000001</v>
      </c>
      <c r="AK1127">
        <v>3809.72</v>
      </c>
      <c r="AL1127">
        <v>19437</v>
      </c>
      <c r="AM1127">
        <v>19437</v>
      </c>
      <c r="AN1127">
        <v>0</v>
      </c>
      <c r="AO1127">
        <v>298</v>
      </c>
      <c r="AP1127">
        <v>2016</v>
      </c>
      <c r="AQ1127">
        <v>1.8</v>
      </c>
      <c r="AR1127">
        <v>19.600000000000001</v>
      </c>
      <c r="AS1127" t="s">
        <v>14733</v>
      </c>
      <c r="AT1127" t="s">
        <v>3210</v>
      </c>
      <c r="AU1127" t="s">
        <v>177</v>
      </c>
      <c r="AV1127" t="s">
        <v>2334</v>
      </c>
      <c r="AW1127" t="s">
        <v>182</v>
      </c>
      <c r="AX1127">
        <v>0</v>
      </c>
      <c r="AY1127" t="s">
        <v>312</v>
      </c>
      <c r="AZ1127" t="s">
        <v>199</v>
      </c>
      <c r="BA1127" t="s">
        <v>313</v>
      </c>
      <c r="BB1127" t="s">
        <v>191</v>
      </c>
      <c r="BC1127" t="s">
        <v>182</v>
      </c>
      <c r="BD1127" t="s">
        <v>182</v>
      </c>
      <c r="BE1127" t="s">
        <v>3268</v>
      </c>
      <c r="BF1127">
        <v>0</v>
      </c>
      <c r="BG1127">
        <v>0</v>
      </c>
      <c r="BH1127">
        <v>0</v>
      </c>
      <c r="BI1127" t="s">
        <v>199</v>
      </c>
      <c r="BJ1127" t="s">
        <v>315</v>
      </c>
      <c r="BL1127" t="s">
        <v>9735</v>
      </c>
      <c r="BM1127" t="s">
        <v>207</v>
      </c>
      <c r="BN1127" t="s">
        <v>182</v>
      </c>
      <c r="BO1127" t="s">
        <v>198</v>
      </c>
      <c r="BP1127" t="s">
        <v>198</v>
      </c>
      <c r="BQ1127" t="s">
        <v>198</v>
      </c>
      <c r="BR1127" t="s">
        <v>198</v>
      </c>
      <c r="BS1127" t="s">
        <v>198</v>
      </c>
      <c r="BT1127" t="s">
        <v>198</v>
      </c>
      <c r="BU1127" t="s">
        <v>182</v>
      </c>
      <c r="BV1127" t="s">
        <v>198</v>
      </c>
      <c r="BW1127" t="s">
        <v>198</v>
      </c>
      <c r="BX1127" t="s">
        <v>199</v>
      </c>
      <c r="BY1127" t="s">
        <v>198</v>
      </c>
      <c r="BZ1127" t="s">
        <v>199</v>
      </c>
      <c r="CA1127" t="s">
        <v>199</v>
      </c>
      <c r="CB1127" t="s">
        <v>14830</v>
      </c>
      <c r="CC1127" t="s">
        <v>201</v>
      </c>
      <c r="CD1127" t="s">
        <v>182</v>
      </c>
      <c r="CE1127" t="s">
        <v>11005</v>
      </c>
      <c r="CF1127" t="s">
        <v>11006</v>
      </c>
      <c r="CG1127" t="s">
        <v>177</v>
      </c>
      <c r="CH1127" t="s">
        <v>11007</v>
      </c>
      <c r="CI1127" t="s">
        <v>9154</v>
      </c>
      <c r="CJ1127" t="s">
        <v>14520</v>
      </c>
      <c r="CK1127" t="s">
        <v>232</v>
      </c>
      <c r="CL1127" t="s">
        <v>233</v>
      </c>
      <c r="CM1127" t="s">
        <v>14831</v>
      </c>
      <c r="CN1127" t="s">
        <v>482</v>
      </c>
      <c r="CO1127" t="s">
        <v>183</v>
      </c>
      <c r="CP1127" t="s">
        <v>266</v>
      </c>
      <c r="CS1127" t="s">
        <v>198</v>
      </c>
      <c r="CT1127" t="s">
        <v>11198</v>
      </c>
      <c r="CU1127" t="s">
        <v>292</v>
      </c>
      <c r="CV1127" t="s">
        <v>293</v>
      </c>
      <c r="CW1127" t="s">
        <v>14832</v>
      </c>
      <c r="CX1127" t="s">
        <v>482</v>
      </c>
      <c r="CY1127" t="s">
        <v>183</v>
      </c>
      <c r="CZ1127" t="s">
        <v>266</v>
      </c>
      <c r="DC1127" t="s">
        <v>198</v>
      </c>
      <c r="DD1127" t="s">
        <v>14192</v>
      </c>
      <c r="DE1127" t="s">
        <v>267</v>
      </c>
      <c r="DF1127" t="s">
        <v>268</v>
      </c>
      <c r="DG1127" t="s">
        <v>14833</v>
      </c>
      <c r="DH1127" t="s">
        <v>482</v>
      </c>
      <c r="DI1127" t="s">
        <v>183</v>
      </c>
      <c r="DJ1127" t="s">
        <v>266</v>
      </c>
      <c r="DM1127" t="s">
        <v>198</v>
      </c>
      <c r="DN1127" t="s">
        <v>14298</v>
      </c>
      <c r="DO1127" t="s">
        <v>273</v>
      </c>
      <c r="DP1127" t="s">
        <v>274</v>
      </c>
      <c r="DQ1127" t="s">
        <v>14834</v>
      </c>
      <c r="DR1127" t="s">
        <v>278</v>
      </c>
      <c r="DS1127" t="s">
        <v>183</v>
      </c>
      <c r="DT1127" t="s">
        <v>266</v>
      </c>
      <c r="DW1127" t="s">
        <v>198</v>
      </c>
      <c r="DX1127" t="s">
        <v>12414</v>
      </c>
      <c r="DY1127" t="s">
        <v>302</v>
      </c>
      <c r="DZ1127" t="s">
        <v>303</v>
      </c>
      <c r="EA1127" t="s">
        <v>14835</v>
      </c>
      <c r="EB1127" t="s">
        <v>576</v>
      </c>
      <c r="EC1127" t="s">
        <v>183</v>
      </c>
      <c r="ED1127" t="s">
        <v>266</v>
      </c>
      <c r="EG1127" t="s">
        <v>198</v>
      </c>
      <c r="EH1127" t="s">
        <v>4723</v>
      </c>
      <c r="EI1127" t="s">
        <v>238</v>
      </c>
      <c r="EJ1127" t="s">
        <v>239</v>
      </c>
      <c r="EK1127" t="s">
        <v>14836</v>
      </c>
      <c r="EL1127" t="s">
        <v>922</v>
      </c>
      <c r="EM1127" t="s">
        <v>183</v>
      </c>
      <c r="EN1127" t="s">
        <v>266</v>
      </c>
      <c r="EQ1127" t="s">
        <v>198</v>
      </c>
      <c r="ER1127" t="s">
        <v>14837</v>
      </c>
      <c r="ES1127" t="s">
        <v>346</v>
      </c>
      <c r="ET1127" t="s">
        <v>347</v>
      </c>
      <c r="EU1127" t="s">
        <v>14838</v>
      </c>
      <c r="EV1127" t="s">
        <v>1491</v>
      </c>
      <c r="EW1127" t="s">
        <v>183</v>
      </c>
      <c r="EX1127" t="s">
        <v>266</v>
      </c>
      <c r="FA1127" t="s">
        <v>198</v>
      </c>
      <c r="FK1127" t="s">
        <v>198</v>
      </c>
      <c r="FU1127" t="s">
        <v>198</v>
      </c>
    </row>
    <row r="1128" spans="1:177">
      <c r="A1128" s="1" t="str">
        <f>HYPERLINK("http://digipan.lumentumllc.com/apps/getLink/index.php?t=PropLink&amp;p=15740331","PL")</f>
        <v>PL</v>
      </c>
      <c r="B1128" s="1" t="str">
        <f>HYPERLINK("http://digipan.lumentumllc.com/apps/getLink/index.php?t=TaxLink&amp;p=15740331","TL")</f>
        <v>TL</v>
      </c>
      <c r="C1128" s="1" t="str">
        <f>HYPERLINK("http://digipan.lumentumllc.com/apps/getMap/index.php?p=15740331","Map")</f>
        <v>Map</v>
      </c>
      <c r="E1128" t="s">
        <v>177</v>
      </c>
      <c r="F1128" t="s">
        <v>178</v>
      </c>
      <c r="L1128" t="s">
        <v>14839</v>
      </c>
      <c r="N1128" t="s">
        <v>14839</v>
      </c>
      <c r="O1128" t="s">
        <v>14839</v>
      </c>
      <c r="Q1128" t="s">
        <v>14839</v>
      </c>
      <c r="V1128">
        <v>1294</v>
      </c>
      <c r="W1128">
        <v>4</v>
      </c>
      <c r="X1128">
        <v>2017</v>
      </c>
      <c r="Y1128">
        <v>2018</v>
      </c>
      <c r="Z1128">
        <v>273.08</v>
      </c>
      <c r="AG1128" t="s">
        <v>184</v>
      </c>
      <c r="AH1128">
        <v>0</v>
      </c>
      <c r="AK1128">
        <v>0</v>
      </c>
      <c r="AL1128">
        <v>49447</v>
      </c>
      <c r="AM1128">
        <v>35000</v>
      </c>
      <c r="AN1128">
        <v>14447</v>
      </c>
      <c r="AO1128">
        <v>214</v>
      </c>
      <c r="AP1128">
        <v>2016</v>
      </c>
      <c r="AQ1128">
        <v>0.55000000000000004</v>
      </c>
      <c r="AS1128" t="s">
        <v>14840</v>
      </c>
      <c r="AT1128" t="s">
        <v>3210</v>
      </c>
      <c r="AU1128" t="s">
        <v>177</v>
      </c>
      <c r="AV1128" t="s">
        <v>2334</v>
      </c>
      <c r="AW1128" t="s">
        <v>202</v>
      </c>
      <c r="AX1128">
        <v>2</v>
      </c>
      <c r="AY1128" t="s">
        <v>188</v>
      </c>
      <c r="AZ1128" t="s">
        <v>189</v>
      </c>
      <c r="BA1128" t="s">
        <v>190</v>
      </c>
      <c r="BB1128" t="s">
        <v>191</v>
      </c>
      <c r="BC1128" t="s">
        <v>182</v>
      </c>
      <c r="BD1128" t="s">
        <v>182</v>
      </c>
      <c r="BE1128" t="s">
        <v>365</v>
      </c>
      <c r="BF1128">
        <v>1</v>
      </c>
      <c r="BG1128">
        <v>1</v>
      </c>
      <c r="BH1128">
        <v>1983</v>
      </c>
      <c r="BI1128" t="s">
        <v>7006</v>
      </c>
      <c r="BJ1128" t="s">
        <v>194</v>
      </c>
      <c r="BK1128" t="s">
        <v>195</v>
      </c>
      <c r="BL1128" t="s">
        <v>9747</v>
      </c>
      <c r="BM1128" t="s">
        <v>930</v>
      </c>
      <c r="BN1128" t="s">
        <v>182</v>
      </c>
      <c r="BO1128" t="s">
        <v>14841</v>
      </c>
      <c r="BP1128" t="s">
        <v>14842</v>
      </c>
      <c r="BQ1128" t="s">
        <v>904</v>
      </c>
      <c r="BR1128" t="s">
        <v>643</v>
      </c>
      <c r="BS1128" t="s">
        <v>198</v>
      </c>
      <c r="BT1128" t="s">
        <v>14843</v>
      </c>
      <c r="BU1128" t="s">
        <v>182</v>
      </c>
      <c r="BV1128" t="s">
        <v>198</v>
      </c>
      <c r="BW1128" t="s">
        <v>198</v>
      </c>
      <c r="BX1128" t="s">
        <v>199</v>
      </c>
      <c r="BY1128" t="s">
        <v>198</v>
      </c>
      <c r="BZ1128" t="s">
        <v>199</v>
      </c>
      <c r="CA1128" t="s">
        <v>199</v>
      </c>
      <c r="CB1128" t="s">
        <v>14844</v>
      </c>
      <c r="CC1128" t="s">
        <v>201</v>
      </c>
      <c r="CD1128" t="s">
        <v>182</v>
      </c>
      <c r="CE1128" t="s">
        <v>14845</v>
      </c>
      <c r="CF1128" t="s">
        <v>2333</v>
      </c>
      <c r="CG1128" t="s">
        <v>177</v>
      </c>
      <c r="CH1128" t="s">
        <v>2334</v>
      </c>
      <c r="CI1128" t="s">
        <v>14846</v>
      </c>
      <c r="CS1128" t="s">
        <v>198</v>
      </c>
      <c r="DC1128" t="s">
        <v>198</v>
      </c>
      <c r="DM1128" t="s">
        <v>198</v>
      </c>
      <c r="DW1128" t="s">
        <v>198</v>
      </c>
      <c r="EG1128" t="s">
        <v>198</v>
      </c>
      <c r="EQ1128" t="s">
        <v>198</v>
      </c>
      <c r="FA1128" t="s">
        <v>198</v>
      </c>
      <c r="FK1128" t="s">
        <v>198</v>
      </c>
      <c r="FU1128" t="s">
        <v>198</v>
      </c>
    </row>
    <row r="1129" spans="1:177">
      <c r="A1129" s="1" t="str">
        <f>HYPERLINK("http://digipan.lumentumllc.com/apps/getLink/index.php?t=PropLink&amp;p=5245041","PL")</f>
        <v>PL</v>
      </c>
      <c r="B1129" s="1" t="str">
        <f>HYPERLINK("http://digipan.lumentumllc.com/apps/getLink/index.php?t=TaxLink&amp;p=5245041","TL")</f>
        <v>TL</v>
      </c>
      <c r="C1129" s="1" t="str">
        <f>HYPERLINK("http://digipan.lumentumllc.com/apps/getMap/index.php?p=5245041","Map")</f>
        <v>Map</v>
      </c>
      <c r="E1129" t="s">
        <v>177</v>
      </c>
      <c r="F1129" t="s">
        <v>178</v>
      </c>
      <c r="L1129" t="s">
        <v>14847</v>
      </c>
      <c r="N1129" t="s">
        <v>14847</v>
      </c>
      <c r="O1129" t="s">
        <v>14847</v>
      </c>
      <c r="P1129" t="s">
        <v>14848</v>
      </c>
      <c r="Q1129" t="s">
        <v>14847</v>
      </c>
      <c r="V1129">
        <v>1295</v>
      </c>
      <c r="W1129">
        <v>4</v>
      </c>
      <c r="X1129">
        <v>2017</v>
      </c>
      <c r="Y1129">
        <v>2018</v>
      </c>
      <c r="Z1129">
        <v>579.26</v>
      </c>
      <c r="AB1129" t="s">
        <v>181</v>
      </c>
      <c r="AC1129" t="s">
        <v>182</v>
      </c>
      <c r="AD1129" t="s">
        <v>183</v>
      </c>
      <c r="AE1129">
        <v>0</v>
      </c>
      <c r="AF1129">
        <v>6</v>
      </c>
      <c r="AG1129" t="s">
        <v>528</v>
      </c>
      <c r="AH1129">
        <v>100</v>
      </c>
      <c r="AK1129">
        <v>0</v>
      </c>
      <c r="AL1129">
        <v>35000</v>
      </c>
      <c r="AM1129">
        <v>35000</v>
      </c>
      <c r="AN1129">
        <v>0</v>
      </c>
      <c r="AO1129">
        <v>488</v>
      </c>
      <c r="AP1129">
        <v>2016</v>
      </c>
      <c r="AQ1129">
        <v>1.66</v>
      </c>
      <c r="AS1129" t="s">
        <v>14733</v>
      </c>
      <c r="AT1129" t="s">
        <v>3210</v>
      </c>
      <c r="AU1129" t="s">
        <v>177</v>
      </c>
      <c r="AV1129" t="s">
        <v>2334</v>
      </c>
      <c r="AW1129" t="s">
        <v>182</v>
      </c>
      <c r="AX1129">
        <v>0</v>
      </c>
      <c r="AY1129" t="s">
        <v>312</v>
      </c>
      <c r="AZ1129" t="s">
        <v>199</v>
      </c>
      <c r="BA1129" t="s">
        <v>313</v>
      </c>
      <c r="BB1129" t="s">
        <v>191</v>
      </c>
      <c r="BC1129" t="s">
        <v>182</v>
      </c>
      <c r="BD1129" t="s">
        <v>182</v>
      </c>
      <c r="BE1129" t="s">
        <v>365</v>
      </c>
      <c r="BF1129">
        <v>0</v>
      </c>
      <c r="BG1129">
        <v>0</v>
      </c>
      <c r="BH1129">
        <v>0</v>
      </c>
      <c r="BI1129" t="s">
        <v>199</v>
      </c>
      <c r="BJ1129" t="s">
        <v>194</v>
      </c>
      <c r="BL1129" t="s">
        <v>2050</v>
      </c>
      <c r="BM1129" t="s">
        <v>533</v>
      </c>
      <c r="BN1129" t="s">
        <v>182</v>
      </c>
      <c r="BO1129" t="s">
        <v>198</v>
      </c>
      <c r="BP1129" t="s">
        <v>198</v>
      </c>
      <c r="BQ1129" t="s">
        <v>198</v>
      </c>
      <c r="BR1129" t="s">
        <v>198</v>
      </c>
      <c r="BS1129" t="s">
        <v>198</v>
      </c>
      <c r="BT1129" t="s">
        <v>198</v>
      </c>
      <c r="BU1129" t="s">
        <v>182</v>
      </c>
      <c r="BV1129" t="s">
        <v>198</v>
      </c>
      <c r="BW1129" t="s">
        <v>198</v>
      </c>
      <c r="BX1129" t="s">
        <v>199</v>
      </c>
      <c r="BY1129" t="s">
        <v>198</v>
      </c>
      <c r="BZ1129" t="s">
        <v>199</v>
      </c>
      <c r="CA1129" t="s">
        <v>199</v>
      </c>
      <c r="CB1129" t="s">
        <v>14849</v>
      </c>
      <c r="CC1129" t="s">
        <v>201</v>
      </c>
      <c r="CD1129" t="s">
        <v>182</v>
      </c>
      <c r="CE1129" t="s">
        <v>14850</v>
      </c>
      <c r="CF1129" t="s">
        <v>11620</v>
      </c>
      <c r="CG1129" t="s">
        <v>177</v>
      </c>
      <c r="CH1129" t="s">
        <v>11621</v>
      </c>
      <c r="CI1129" t="s">
        <v>4659</v>
      </c>
      <c r="CJ1129" t="s">
        <v>2674</v>
      </c>
      <c r="CK1129" t="s">
        <v>292</v>
      </c>
      <c r="CL1129" t="s">
        <v>293</v>
      </c>
      <c r="CM1129" t="s">
        <v>14851</v>
      </c>
      <c r="CN1129" t="s">
        <v>235</v>
      </c>
      <c r="CO1129" t="s">
        <v>183</v>
      </c>
      <c r="CP1129" t="s">
        <v>211</v>
      </c>
      <c r="CQ1129" t="s">
        <v>471</v>
      </c>
      <c r="CS1129" t="s">
        <v>11065</v>
      </c>
      <c r="CT1129" t="s">
        <v>14229</v>
      </c>
      <c r="CU1129" t="s">
        <v>267</v>
      </c>
      <c r="CV1129" t="s">
        <v>268</v>
      </c>
      <c r="CW1129" t="s">
        <v>14852</v>
      </c>
      <c r="CX1129" t="s">
        <v>331</v>
      </c>
      <c r="CY1129" t="s">
        <v>183</v>
      </c>
      <c r="CZ1129" t="s">
        <v>211</v>
      </c>
      <c r="DA1129" t="s">
        <v>270</v>
      </c>
      <c r="DC1129" t="s">
        <v>4871</v>
      </c>
      <c r="DD1129" t="s">
        <v>14853</v>
      </c>
      <c r="DE1129" t="s">
        <v>273</v>
      </c>
      <c r="DF1129" t="s">
        <v>274</v>
      </c>
      <c r="DG1129" t="s">
        <v>14854</v>
      </c>
      <c r="DH1129" t="s">
        <v>331</v>
      </c>
      <c r="DI1129" t="s">
        <v>183</v>
      </c>
      <c r="DJ1129" t="s">
        <v>211</v>
      </c>
      <c r="DK1129" t="s">
        <v>270</v>
      </c>
      <c r="DM1129" t="s">
        <v>851</v>
      </c>
      <c r="DN1129" t="s">
        <v>12422</v>
      </c>
      <c r="DO1129" t="s">
        <v>302</v>
      </c>
      <c r="DP1129" t="s">
        <v>303</v>
      </c>
      <c r="DQ1129" t="s">
        <v>4609</v>
      </c>
      <c r="DR1129" t="s">
        <v>331</v>
      </c>
      <c r="DS1129" t="s">
        <v>183</v>
      </c>
      <c r="DT1129" t="s">
        <v>211</v>
      </c>
      <c r="DU1129" t="s">
        <v>270</v>
      </c>
      <c r="DW1129" t="s">
        <v>5026</v>
      </c>
      <c r="DX1129" t="s">
        <v>10708</v>
      </c>
      <c r="DY1129" t="s">
        <v>238</v>
      </c>
      <c r="DZ1129" t="s">
        <v>239</v>
      </c>
      <c r="EA1129" t="s">
        <v>14855</v>
      </c>
      <c r="EB1129" t="s">
        <v>278</v>
      </c>
      <c r="EC1129" t="s">
        <v>183</v>
      </c>
      <c r="ED1129" t="s">
        <v>211</v>
      </c>
      <c r="EE1129" t="s">
        <v>298</v>
      </c>
      <c r="EG1129" t="s">
        <v>467</v>
      </c>
      <c r="EH1129" t="s">
        <v>7645</v>
      </c>
      <c r="EI1129" t="s">
        <v>346</v>
      </c>
      <c r="EJ1129" t="s">
        <v>347</v>
      </c>
      <c r="EK1129" t="s">
        <v>14856</v>
      </c>
      <c r="EL1129" t="s">
        <v>1491</v>
      </c>
      <c r="EM1129" t="s">
        <v>183</v>
      </c>
      <c r="EN1129" t="s">
        <v>211</v>
      </c>
      <c r="EO1129" t="s">
        <v>298</v>
      </c>
      <c r="EQ1129" t="s">
        <v>1818</v>
      </c>
      <c r="FA1129" t="s">
        <v>198</v>
      </c>
      <c r="FK1129" t="s">
        <v>198</v>
      </c>
      <c r="FU1129" t="s">
        <v>198</v>
      </c>
    </row>
    <row r="1130" spans="1:177">
      <c r="A1130" s="1" t="str">
        <f>HYPERLINK("http://digipan.lumentumllc.com/apps/getLink/index.php?t=PropLink&amp;p=15740353","PL")</f>
        <v>PL</v>
      </c>
      <c r="B1130" s="1" t="str">
        <f>HYPERLINK("http://digipan.lumentumllc.com/apps/getLink/index.php?t=TaxLink&amp;p=15740353","TL")</f>
        <v>TL</v>
      </c>
      <c r="C1130" s="1" t="str">
        <f>HYPERLINK("http://digipan.lumentumllc.com/apps/getMap/index.php?p=15740353","Map")</f>
        <v>Map</v>
      </c>
      <c r="E1130" t="s">
        <v>177</v>
      </c>
      <c r="F1130" t="s">
        <v>178</v>
      </c>
      <c r="L1130" t="s">
        <v>14857</v>
      </c>
      <c r="N1130" t="s">
        <v>14857</v>
      </c>
      <c r="O1130" t="s">
        <v>14857</v>
      </c>
      <c r="Q1130" t="s">
        <v>14857</v>
      </c>
      <c r="V1130">
        <v>1296</v>
      </c>
      <c r="W1130">
        <v>4</v>
      </c>
      <c r="X1130">
        <v>2017</v>
      </c>
      <c r="Y1130">
        <v>2018</v>
      </c>
      <c r="Z1130">
        <v>917.71</v>
      </c>
      <c r="AB1130" t="s">
        <v>181</v>
      </c>
      <c r="AC1130" t="s">
        <v>182</v>
      </c>
      <c r="AD1130" t="s">
        <v>183</v>
      </c>
      <c r="AE1130">
        <v>0</v>
      </c>
      <c r="AF1130">
        <v>1</v>
      </c>
      <c r="AG1130" t="s">
        <v>184</v>
      </c>
      <c r="AH1130">
        <v>0</v>
      </c>
      <c r="AK1130">
        <v>0</v>
      </c>
      <c r="AL1130">
        <v>100523</v>
      </c>
      <c r="AM1130">
        <v>25000</v>
      </c>
      <c r="AN1130">
        <v>75523</v>
      </c>
      <c r="AO1130">
        <v>804</v>
      </c>
      <c r="AP1130">
        <v>2016</v>
      </c>
      <c r="AQ1130">
        <v>0.91</v>
      </c>
      <c r="AS1130" t="s">
        <v>14858</v>
      </c>
      <c r="AT1130" t="s">
        <v>3210</v>
      </c>
      <c r="AU1130" t="s">
        <v>177</v>
      </c>
      <c r="AV1130" t="s">
        <v>2334</v>
      </c>
      <c r="AW1130" t="s">
        <v>202</v>
      </c>
      <c r="AX1130">
        <v>1</v>
      </c>
      <c r="AY1130" t="s">
        <v>188</v>
      </c>
      <c r="AZ1130" t="s">
        <v>206</v>
      </c>
      <c r="BA1130" t="s">
        <v>355</v>
      </c>
      <c r="BB1130" t="s">
        <v>191</v>
      </c>
      <c r="BC1130" t="s">
        <v>182</v>
      </c>
      <c r="BD1130" t="s">
        <v>182</v>
      </c>
      <c r="BE1130" t="s">
        <v>383</v>
      </c>
      <c r="BF1130">
        <v>1</v>
      </c>
      <c r="BG1130">
        <v>1</v>
      </c>
      <c r="BH1130">
        <v>1993</v>
      </c>
      <c r="BI1130" t="s">
        <v>14859</v>
      </c>
      <c r="BJ1130" t="s">
        <v>194</v>
      </c>
      <c r="BK1130" t="s">
        <v>195</v>
      </c>
      <c r="BL1130" t="s">
        <v>199</v>
      </c>
      <c r="BM1130" t="s">
        <v>559</v>
      </c>
      <c r="BN1130" t="s">
        <v>182</v>
      </c>
      <c r="BO1130" t="s">
        <v>14860</v>
      </c>
      <c r="BP1130" t="s">
        <v>5899</v>
      </c>
      <c r="BQ1130" t="s">
        <v>1520</v>
      </c>
      <c r="BR1130" t="s">
        <v>563</v>
      </c>
      <c r="BS1130" t="s">
        <v>198</v>
      </c>
      <c r="BT1130" t="s">
        <v>14861</v>
      </c>
      <c r="BU1130" t="s">
        <v>182</v>
      </c>
      <c r="BV1130" t="s">
        <v>198</v>
      </c>
      <c r="BW1130" t="s">
        <v>198</v>
      </c>
      <c r="BX1130" t="s">
        <v>199</v>
      </c>
      <c r="BY1130" t="s">
        <v>198</v>
      </c>
      <c r="BZ1130" t="s">
        <v>199</v>
      </c>
      <c r="CA1130" t="s">
        <v>199</v>
      </c>
      <c r="CB1130" t="s">
        <v>14862</v>
      </c>
      <c r="CC1130" t="s">
        <v>201</v>
      </c>
      <c r="CD1130" t="s">
        <v>182</v>
      </c>
      <c r="CE1130" t="s">
        <v>14863</v>
      </c>
      <c r="CF1130" t="s">
        <v>2333</v>
      </c>
      <c r="CG1130" t="s">
        <v>177</v>
      </c>
      <c r="CH1130" t="s">
        <v>2334</v>
      </c>
      <c r="CI1130" t="s">
        <v>14864</v>
      </c>
      <c r="CJ1130" t="s">
        <v>2959</v>
      </c>
      <c r="CK1130" t="s">
        <v>207</v>
      </c>
      <c r="CL1130" t="s">
        <v>208</v>
      </c>
      <c r="CM1130" t="s">
        <v>14865</v>
      </c>
      <c r="CN1130" t="s">
        <v>235</v>
      </c>
      <c r="CO1130" t="s">
        <v>183</v>
      </c>
      <c r="CP1130" t="s">
        <v>211</v>
      </c>
      <c r="CQ1130" t="s">
        <v>206</v>
      </c>
      <c r="CS1130" t="s">
        <v>10116</v>
      </c>
      <c r="DC1130" t="s">
        <v>198</v>
      </c>
      <c r="DM1130" t="s">
        <v>198</v>
      </c>
      <c r="DW1130" t="s">
        <v>198</v>
      </c>
      <c r="EG1130" t="s">
        <v>198</v>
      </c>
      <c r="EQ1130" t="s">
        <v>198</v>
      </c>
      <c r="FA1130" t="s">
        <v>198</v>
      </c>
      <c r="FK1130" t="s">
        <v>198</v>
      </c>
      <c r="FU1130" t="s">
        <v>198</v>
      </c>
    </row>
    <row r="1131" spans="1:177">
      <c r="A1131" s="1" t="str">
        <f>HYPERLINK("http://digipan.lumentumllc.com/apps/getLink/index.php?t=PropLink&amp;p=5245043","PL")</f>
        <v>PL</v>
      </c>
      <c r="B1131" s="1" t="str">
        <f>HYPERLINK("http://digipan.lumentumllc.com/apps/getLink/index.php?t=TaxLink&amp;p=5245043","TL")</f>
        <v>TL</v>
      </c>
      <c r="C1131" s="1" t="str">
        <f>HYPERLINK("http://digipan.lumentumllc.com/apps/getMap/index.php?p=5245043","Map")</f>
        <v>Map</v>
      </c>
      <c r="E1131" t="s">
        <v>177</v>
      </c>
      <c r="F1131" t="s">
        <v>178</v>
      </c>
      <c r="L1131" t="s">
        <v>14866</v>
      </c>
      <c r="N1131" t="s">
        <v>14866</v>
      </c>
      <c r="O1131" t="s">
        <v>14866</v>
      </c>
      <c r="P1131" t="s">
        <v>14867</v>
      </c>
      <c r="Q1131" t="s">
        <v>14866</v>
      </c>
      <c r="V1131">
        <v>1297</v>
      </c>
      <c r="W1131">
        <v>4</v>
      </c>
      <c r="X1131">
        <v>2017</v>
      </c>
      <c r="Y1131">
        <v>2018</v>
      </c>
      <c r="Z1131">
        <v>736.11</v>
      </c>
      <c r="AB1131" t="s">
        <v>181</v>
      </c>
      <c r="AC1131" t="s">
        <v>182</v>
      </c>
      <c r="AD1131" t="s">
        <v>183</v>
      </c>
      <c r="AE1131">
        <v>1</v>
      </c>
      <c r="AF1131">
        <v>3</v>
      </c>
      <c r="AG1131" t="s">
        <v>363</v>
      </c>
      <c r="AH1131">
        <v>67</v>
      </c>
      <c r="AI1131">
        <v>669.04</v>
      </c>
      <c r="AJ1131">
        <v>33.450000000000003</v>
      </c>
      <c r="AK1131">
        <v>702.49</v>
      </c>
      <c r="AL1131">
        <v>43610</v>
      </c>
      <c r="AM1131">
        <v>25000</v>
      </c>
      <c r="AN1131">
        <v>18610</v>
      </c>
      <c r="AO1131">
        <v>594</v>
      </c>
      <c r="AP1131">
        <v>2016</v>
      </c>
      <c r="AQ1131">
        <v>1.69</v>
      </c>
      <c r="AR1131">
        <v>1.61</v>
      </c>
      <c r="AS1131" t="s">
        <v>14868</v>
      </c>
      <c r="AT1131" t="s">
        <v>3210</v>
      </c>
      <c r="AU1131" t="s">
        <v>177</v>
      </c>
      <c r="AV1131" t="s">
        <v>2334</v>
      </c>
      <c r="AW1131" t="s">
        <v>182</v>
      </c>
      <c r="AX1131">
        <v>2</v>
      </c>
      <c r="AY1131" t="s">
        <v>188</v>
      </c>
      <c r="AZ1131" t="s">
        <v>189</v>
      </c>
      <c r="BA1131" t="s">
        <v>190</v>
      </c>
      <c r="BB1131" t="s">
        <v>191</v>
      </c>
      <c r="BC1131" t="s">
        <v>182</v>
      </c>
      <c r="BD1131" t="s">
        <v>182</v>
      </c>
      <c r="BE1131" t="s">
        <v>383</v>
      </c>
      <c r="BF1131">
        <v>1</v>
      </c>
      <c r="BG1131">
        <v>1</v>
      </c>
      <c r="BH1131">
        <v>1987</v>
      </c>
      <c r="BI1131" t="s">
        <v>14869</v>
      </c>
      <c r="BJ1131" t="s">
        <v>194</v>
      </c>
      <c r="BK1131" t="s">
        <v>195</v>
      </c>
      <c r="BL1131" t="s">
        <v>199</v>
      </c>
      <c r="BM1131" t="s">
        <v>1387</v>
      </c>
      <c r="BN1131" t="s">
        <v>182</v>
      </c>
      <c r="BO1131" t="s">
        <v>198</v>
      </c>
      <c r="BP1131" t="s">
        <v>198</v>
      </c>
      <c r="BQ1131" t="s">
        <v>198</v>
      </c>
      <c r="BR1131" t="s">
        <v>198</v>
      </c>
      <c r="BS1131" t="s">
        <v>198</v>
      </c>
      <c r="BT1131" t="s">
        <v>198</v>
      </c>
      <c r="BU1131" t="s">
        <v>182</v>
      </c>
      <c r="BV1131" t="s">
        <v>198</v>
      </c>
      <c r="BW1131" t="s">
        <v>198</v>
      </c>
      <c r="BX1131" t="s">
        <v>199</v>
      </c>
      <c r="BY1131" t="s">
        <v>198</v>
      </c>
      <c r="BZ1131" t="s">
        <v>199</v>
      </c>
      <c r="CA1131" t="s">
        <v>199</v>
      </c>
      <c r="CB1131" t="s">
        <v>14862</v>
      </c>
      <c r="CC1131" t="s">
        <v>201</v>
      </c>
      <c r="CD1131" t="s">
        <v>182</v>
      </c>
      <c r="CE1131" t="s">
        <v>14870</v>
      </c>
      <c r="CF1131" t="s">
        <v>2333</v>
      </c>
      <c r="CG1131" t="s">
        <v>177</v>
      </c>
      <c r="CH1131" t="s">
        <v>3178</v>
      </c>
      <c r="CI1131" t="s">
        <v>14871</v>
      </c>
      <c r="CJ1131" t="s">
        <v>10993</v>
      </c>
      <c r="CK1131" t="s">
        <v>232</v>
      </c>
      <c r="CL1131" t="s">
        <v>233</v>
      </c>
      <c r="CM1131" t="s">
        <v>14872</v>
      </c>
      <c r="CN1131" t="s">
        <v>235</v>
      </c>
      <c r="CO1131" t="s">
        <v>183</v>
      </c>
      <c r="CP1131" t="s">
        <v>266</v>
      </c>
      <c r="CS1131" t="s">
        <v>198</v>
      </c>
      <c r="CT1131" t="s">
        <v>14873</v>
      </c>
      <c r="CU1131" t="s">
        <v>273</v>
      </c>
      <c r="CV1131" t="s">
        <v>274</v>
      </c>
      <c r="CW1131" t="s">
        <v>14874</v>
      </c>
      <c r="CX1131" t="s">
        <v>235</v>
      </c>
      <c r="CY1131" t="s">
        <v>183</v>
      </c>
      <c r="CZ1131" t="s">
        <v>211</v>
      </c>
      <c r="DA1131" t="s">
        <v>250</v>
      </c>
      <c r="DC1131" t="s">
        <v>14875</v>
      </c>
      <c r="DD1131" t="s">
        <v>10295</v>
      </c>
      <c r="DE1131" t="s">
        <v>346</v>
      </c>
      <c r="DF1131" t="s">
        <v>347</v>
      </c>
      <c r="DG1131" t="s">
        <v>14876</v>
      </c>
      <c r="DH1131" t="s">
        <v>1491</v>
      </c>
      <c r="DI1131" t="s">
        <v>183</v>
      </c>
      <c r="DJ1131" t="s">
        <v>211</v>
      </c>
      <c r="DK1131" t="s">
        <v>206</v>
      </c>
      <c r="DM1131" t="s">
        <v>8401</v>
      </c>
      <c r="DN1131" t="s">
        <v>11595</v>
      </c>
      <c r="DO1131" t="s">
        <v>207</v>
      </c>
      <c r="DP1131" t="s">
        <v>208</v>
      </c>
      <c r="DQ1131" t="s">
        <v>14877</v>
      </c>
      <c r="DR1131" t="s">
        <v>1966</v>
      </c>
      <c r="DS1131" t="s">
        <v>183</v>
      </c>
      <c r="DT1131" t="s">
        <v>211</v>
      </c>
      <c r="DU1131" t="s">
        <v>339</v>
      </c>
      <c r="DW1131" t="s">
        <v>14878</v>
      </c>
      <c r="EG1131" t="s">
        <v>198</v>
      </c>
      <c r="EQ1131" t="s">
        <v>198</v>
      </c>
      <c r="FA1131" t="s">
        <v>198</v>
      </c>
      <c r="FK1131" t="s">
        <v>198</v>
      </c>
      <c r="FU1131" t="s">
        <v>198</v>
      </c>
    </row>
    <row r="1132" spans="1:177">
      <c r="A1132" s="1" t="str">
        <f>HYPERLINK("http://digipan.lumentumllc.com/apps/getLink/index.php?t=PropLink&amp;p=5245046","PL")</f>
        <v>PL</v>
      </c>
      <c r="B1132" s="1" t="str">
        <f>HYPERLINK("http://digipan.lumentumllc.com/apps/getLink/index.php?t=TaxLink&amp;p=5245046","TL")</f>
        <v>TL</v>
      </c>
      <c r="C1132" s="1" t="str">
        <f>HYPERLINK("http://digipan.lumentumllc.com/apps/getMap/index.php?p=5245046","Map")</f>
        <v>Map</v>
      </c>
      <c r="E1132" t="s">
        <v>177</v>
      </c>
      <c r="F1132" t="s">
        <v>178</v>
      </c>
      <c r="L1132" t="s">
        <v>14879</v>
      </c>
      <c r="N1132" t="s">
        <v>14879</v>
      </c>
      <c r="O1132" t="s">
        <v>14879</v>
      </c>
      <c r="P1132" t="s">
        <v>14880</v>
      </c>
      <c r="Q1132" t="s">
        <v>14879</v>
      </c>
      <c r="V1132">
        <v>1298</v>
      </c>
      <c r="W1132">
        <v>4</v>
      </c>
      <c r="X1132">
        <v>2017</v>
      </c>
      <c r="Y1132">
        <v>2018</v>
      </c>
      <c r="Z1132">
        <v>1170.8800000000001</v>
      </c>
      <c r="AB1132" t="s">
        <v>181</v>
      </c>
      <c r="AC1132" t="s">
        <v>182</v>
      </c>
      <c r="AD1132" t="s">
        <v>183</v>
      </c>
      <c r="AE1132">
        <v>1</v>
      </c>
      <c r="AF1132">
        <v>7</v>
      </c>
      <c r="AG1132" t="s">
        <v>418</v>
      </c>
      <c r="AH1132">
        <v>86</v>
      </c>
      <c r="AI1132">
        <v>1147.53</v>
      </c>
      <c r="AJ1132">
        <v>57.38</v>
      </c>
      <c r="AK1132">
        <v>1204.9100000000001</v>
      </c>
      <c r="AL1132">
        <v>116654</v>
      </c>
      <c r="AM1132">
        <v>39187</v>
      </c>
      <c r="AN1132">
        <v>77467</v>
      </c>
      <c r="AO1132">
        <v>1036</v>
      </c>
      <c r="AP1132">
        <v>2016</v>
      </c>
      <c r="AQ1132">
        <v>1</v>
      </c>
      <c r="AR1132">
        <v>1.03</v>
      </c>
      <c r="AS1132" t="s">
        <v>14881</v>
      </c>
      <c r="AT1132" t="s">
        <v>3210</v>
      </c>
      <c r="AU1132" t="s">
        <v>177</v>
      </c>
      <c r="AV1132" t="s">
        <v>2334</v>
      </c>
      <c r="AW1132" t="s">
        <v>202</v>
      </c>
      <c r="AX1132">
        <v>1</v>
      </c>
      <c r="AY1132" t="s">
        <v>188</v>
      </c>
      <c r="AZ1132" t="s">
        <v>206</v>
      </c>
      <c r="BA1132" t="s">
        <v>355</v>
      </c>
      <c r="BB1132" t="s">
        <v>191</v>
      </c>
      <c r="BC1132" t="s">
        <v>182</v>
      </c>
      <c r="BD1132" t="s">
        <v>182</v>
      </c>
      <c r="BE1132" t="s">
        <v>4331</v>
      </c>
      <c r="BF1132">
        <v>1</v>
      </c>
      <c r="BG1132">
        <v>1</v>
      </c>
      <c r="BH1132">
        <v>1987</v>
      </c>
      <c r="BI1132" t="s">
        <v>3222</v>
      </c>
      <c r="BJ1132" t="s">
        <v>194</v>
      </c>
      <c r="BK1132" t="s">
        <v>195</v>
      </c>
      <c r="BL1132" t="s">
        <v>14882</v>
      </c>
      <c r="BM1132" t="s">
        <v>286</v>
      </c>
      <c r="BN1132" t="s">
        <v>182</v>
      </c>
      <c r="BO1132" t="s">
        <v>1204</v>
      </c>
      <c r="BP1132" t="s">
        <v>5560</v>
      </c>
      <c r="BQ1132" t="s">
        <v>800</v>
      </c>
      <c r="BR1132" t="s">
        <v>643</v>
      </c>
      <c r="BS1132" t="s">
        <v>198</v>
      </c>
      <c r="BT1132" t="s">
        <v>3770</v>
      </c>
      <c r="BU1132" t="s">
        <v>182</v>
      </c>
      <c r="BV1132" t="s">
        <v>198</v>
      </c>
      <c r="BW1132" t="s">
        <v>198</v>
      </c>
      <c r="BX1132" t="s">
        <v>199</v>
      </c>
      <c r="BY1132" t="s">
        <v>198</v>
      </c>
      <c r="BZ1132" t="s">
        <v>199</v>
      </c>
      <c r="CA1132" t="s">
        <v>199</v>
      </c>
      <c r="CB1132" t="s">
        <v>14883</v>
      </c>
      <c r="CC1132" t="s">
        <v>201</v>
      </c>
      <c r="CD1132" t="s">
        <v>182</v>
      </c>
      <c r="CE1132" t="s">
        <v>14884</v>
      </c>
      <c r="CF1132" t="s">
        <v>2333</v>
      </c>
      <c r="CG1132" t="s">
        <v>177</v>
      </c>
      <c r="CH1132" t="s">
        <v>2334</v>
      </c>
      <c r="CI1132" t="s">
        <v>14885</v>
      </c>
      <c r="CJ1132" t="s">
        <v>14559</v>
      </c>
      <c r="CK1132" t="s">
        <v>232</v>
      </c>
      <c r="CL1132" t="s">
        <v>233</v>
      </c>
      <c r="CM1132" t="s">
        <v>14886</v>
      </c>
      <c r="CN1132" t="s">
        <v>235</v>
      </c>
      <c r="CO1132" t="s">
        <v>183</v>
      </c>
      <c r="CP1132" t="s">
        <v>266</v>
      </c>
      <c r="CS1132" t="s">
        <v>198</v>
      </c>
      <c r="CT1132" t="s">
        <v>2694</v>
      </c>
      <c r="CU1132" t="s">
        <v>292</v>
      </c>
      <c r="CV1132" t="s">
        <v>293</v>
      </c>
      <c r="CW1132" t="s">
        <v>14887</v>
      </c>
      <c r="CX1132" t="s">
        <v>235</v>
      </c>
      <c r="CY1132" t="s">
        <v>183</v>
      </c>
      <c r="CZ1132" t="s">
        <v>211</v>
      </c>
      <c r="DA1132" t="s">
        <v>523</v>
      </c>
      <c r="DC1132" t="s">
        <v>14888</v>
      </c>
      <c r="DD1132" t="s">
        <v>1530</v>
      </c>
      <c r="DE1132" t="s">
        <v>267</v>
      </c>
      <c r="DF1132" t="s">
        <v>268</v>
      </c>
      <c r="DG1132" t="s">
        <v>14889</v>
      </c>
      <c r="DH1132" t="s">
        <v>235</v>
      </c>
      <c r="DI1132" t="s">
        <v>183</v>
      </c>
      <c r="DJ1132" t="s">
        <v>211</v>
      </c>
      <c r="DK1132" t="s">
        <v>264</v>
      </c>
      <c r="DM1132" t="s">
        <v>14890</v>
      </c>
      <c r="DN1132" t="s">
        <v>14654</v>
      </c>
      <c r="DO1132" t="s">
        <v>273</v>
      </c>
      <c r="DP1132" t="s">
        <v>274</v>
      </c>
      <c r="DQ1132" t="s">
        <v>14891</v>
      </c>
      <c r="DR1132" t="s">
        <v>235</v>
      </c>
      <c r="DS1132" t="s">
        <v>183</v>
      </c>
      <c r="DT1132" t="s">
        <v>211</v>
      </c>
      <c r="DU1132" t="s">
        <v>296</v>
      </c>
      <c r="DW1132" t="s">
        <v>5199</v>
      </c>
      <c r="DX1132" t="s">
        <v>14892</v>
      </c>
      <c r="DY1132" t="s">
        <v>302</v>
      </c>
      <c r="DZ1132" t="s">
        <v>303</v>
      </c>
      <c r="EA1132" t="s">
        <v>14893</v>
      </c>
      <c r="EB1132" t="s">
        <v>235</v>
      </c>
      <c r="EC1132" t="s">
        <v>183</v>
      </c>
      <c r="ED1132" t="s">
        <v>211</v>
      </c>
      <c r="EE1132" t="s">
        <v>264</v>
      </c>
      <c r="EG1132" t="s">
        <v>2342</v>
      </c>
      <c r="EH1132" t="s">
        <v>7483</v>
      </c>
      <c r="EI1132" t="s">
        <v>238</v>
      </c>
      <c r="EJ1132" t="s">
        <v>239</v>
      </c>
      <c r="EK1132" t="s">
        <v>14894</v>
      </c>
      <c r="EL1132" t="s">
        <v>235</v>
      </c>
      <c r="EM1132" t="s">
        <v>183</v>
      </c>
      <c r="EN1132" t="s">
        <v>211</v>
      </c>
      <c r="EO1132" t="s">
        <v>471</v>
      </c>
      <c r="EQ1132" t="s">
        <v>14895</v>
      </c>
      <c r="ER1132" t="s">
        <v>8213</v>
      </c>
      <c r="ES1132" t="s">
        <v>346</v>
      </c>
      <c r="ET1132" t="s">
        <v>347</v>
      </c>
      <c r="EU1132" t="s">
        <v>14896</v>
      </c>
      <c r="EV1132" t="s">
        <v>235</v>
      </c>
      <c r="EW1132" t="s">
        <v>183</v>
      </c>
      <c r="EX1132" t="s">
        <v>211</v>
      </c>
      <c r="EY1132" t="s">
        <v>189</v>
      </c>
      <c r="FA1132" t="s">
        <v>14897</v>
      </c>
      <c r="FB1132" t="s">
        <v>11625</v>
      </c>
      <c r="FC1132" t="s">
        <v>207</v>
      </c>
      <c r="FD1132" t="s">
        <v>208</v>
      </c>
      <c r="FE1132" t="s">
        <v>1967</v>
      </c>
      <c r="FF1132" t="s">
        <v>235</v>
      </c>
      <c r="FG1132" t="s">
        <v>183</v>
      </c>
      <c r="FH1132" t="s">
        <v>211</v>
      </c>
      <c r="FI1132" t="s">
        <v>296</v>
      </c>
      <c r="FK1132" t="s">
        <v>14898</v>
      </c>
      <c r="FU1132" t="s">
        <v>198</v>
      </c>
    </row>
    <row r="1133" spans="1:177">
      <c r="A1133" s="1" t="str">
        <f>HYPERLINK("http://digipan.lumentumllc.com/apps/getLink/index.php?t=PropLink&amp;p=5245047","PL")</f>
        <v>PL</v>
      </c>
      <c r="B1133" s="1" t="str">
        <f>HYPERLINK("http://digipan.lumentumllc.com/apps/getLink/index.php?t=TaxLink&amp;p=5245047","TL")</f>
        <v>TL</v>
      </c>
      <c r="C1133" s="1" t="str">
        <f>HYPERLINK("http://digipan.lumentumllc.com/apps/getMap/index.php?p=5245047","Map")</f>
        <v>Map</v>
      </c>
      <c r="E1133" t="s">
        <v>177</v>
      </c>
      <c r="F1133" t="s">
        <v>178</v>
      </c>
      <c r="L1133" t="s">
        <v>14899</v>
      </c>
      <c r="N1133" t="s">
        <v>14899</v>
      </c>
      <c r="O1133" t="s">
        <v>14899</v>
      </c>
      <c r="P1133" t="s">
        <v>14900</v>
      </c>
      <c r="Q1133" t="s">
        <v>14899</v>
      </c>
      <c r="V1133">
        <v>1299</v>
      </c>
      <c r="W1133">
        <v>4</v>
      </c>
      <c r="X1133">
        <v>2017</v>
      </c>
      <c r="Y1133">
        <v>2018</v>
      </c>
      <c r="Z1133">
        <v>630.83000000000004</v>
      </c>
      <c r="AB1133" t="s">
        <v>181</v>
      </c>
      <c r="AC1133" t="s">
        <v>182</v>
      </c>
      <c r="AD1133" t="s">
        <v>183</v>
      </c>
      <c r="AE1133">
        <v>1</v>
      </c>
      <c r="AF1133">
        <v>7</v>
      </c>
      <c r="AG1133" t="s">
        <v>418</v>
      </c>
      <c r="AH1133">
        <v>86</v>
      </c>
      <c r="AI1133">
        <v>634.22</v>
      </c>
      <c r="AJ1133">
        <v>41.22</v>
      </c>
      <c r="AK1133">
        <v>675.44</v>
      </c>
      <c r="AL1133">
        <v>36575</v>
      </c>
      <c r="AM1133">
        <v>36575</v>
      </c>
      <c r="AN1133">
        <v>0</v>
      </c>
      <c r="AO1133">
        <v>561</v>
      </c>
      <c r="AP1133">
        <v>2016</v>
      </c>
      <c r="AQ1133">
        <v>1.72</v>
      </c>
      <c r="AR1133">
        <v>1.85</v>
      </c>
      <c r="AS1133" t="s">
        <v>14733</v>
      </c>
      <c r="AT1133" t="s">
        <v>3210</v>
      </c>
      <c r="AU1133" t="s">
        <v>177</v>
      </c>
      <c r="AV1133" t="s">
        <v>2334</v>
      </c>
      <c r="AW1133" t="s">
        <v>182</v>
      </c>
      <c r="AX1133">
        <v>0</v>
      </c>
      <c r="AY1133" t="s">
        <v>312</v>
      </c>
      <c r="AZ1133" t="s">
        <v>199</v>
      </c>
      <c r="BA1133" t="s">
        <v>313</v>
      </c>
      <c r="BB1133" t="s">
        <v>191</v>
      </c>
      <c r="BC1133" t="s">
        <v>182</v>
      </c>
      <c r="BD1133" t="s">
        <v>182</v>
      </c>
      <c r="BE1133" t="s">
        <v>14901</v>
      </c>
      <c r="BF1133">
        <v>0</v>
      </c>
      <c r="BG1133">
        <v>0</v>
      </c>
      <c r="BH1133">
        <v>0</v>
      </c>
      <c r="BI1133" t="s">
        <v>199</v>
      </c>
      <c r="BJ1133" t="s">
        <v>315</v>
      </c>
      <c r="BL1133" t="s">
        <v>1517</v>
      </c>
      <c r="BM1133" t="s">
        <v>325</v>
      </c>
      <c r="BN1133" t="s">
        <v>182</v>
      </c>
      <c r="BO1133" t="s">
        <v>198</v>
      </c>
      <c r="BP1133" t="s">
        <v>198</v>
      </c>
      <c r="BQ1133" t="s">
        <v>198</v>
      </c>
      <c r="BR1133" t="s">
        <v>198</v>
      </c>
      <c r="BS1133" t="s">
        <v>198</v>
      </c>
      <c r="BT1133" t="s">
        <v>198</v>
      </c>
      <c r="BU1133" t="s">
        <v>182</v>
      </c>
      <c r="BV1133" t="s">
        <v>198</v>
      </c>
      <c r="BW1133" t="s">
        <v>198</v>
      </c>
      <c r="BX1133" t="s">
        <v>199</v>
      </c>
      <c r="BY1133" t="s">
        <v>198</v>
      </c>
      <c r="BZ1133" t="s">
        <v>199</v>
      </c>
      <c r="CA1133" t="s">
        <v>199</v>
      </c>
      <c r="CB1133" t="s">
        <v>14902</v>
      </c>
      <c r="CC1133" t="s">
        <v>201</v>
      </c>
      <c r="CD1133" t="s">
        <v>182</v>
      </c>
      <c r="CE1133" t="s">
        <v>14903</v>
      </c>
      <c r="CF1133" t="s">
        <v>413</v>
      </c>
      <c r="CG1133" t="s">
        <v>177</v>
      </c>
      <c r="CH1133" t="s">
        <v>4089</v>
      </c>
      <c r="CI1133" t="s">
        <v>14904</v>
      </c>
      <c r="CJ1133" t="s">
        <v>7993</v>
      </c>
      <c r="CK1133" t="s">
        <v>232</v>
      </c>
      <c r="CL1133" t="s">
        <v>233</v>
      </c>
      <c r="CM1133" t="s">
        <v>14905</v>
      </c>
      <c r="CN1133" t="s">
        <v>688</v>
      </c>
      <c r="CO1133" t="s">
        <v>183</v>
      </c>
      <c r="CP1133" t="s">
        <v>266</v>
      </c>
      <c r="CS1133" t="s">
        <v>198</v>
      </c>
      <c r="CT1133" t="s">
        <v>6977</v>
      </c>
      <c r="CU1133" t="s">
        <v>292</v>
      </c>
      <c r="CV1133" t="s">
        <v>293</v>
      </c>
      <c r="CW1133" t="s">
        <v>14906</v>
      </c>
      <c r="CX1133" t="s">
        <v>331</v>
      </c>
      <c r="CY1133" t="s">
        <v>183</v>
      </c>
      <c r="CZ1133" t="s">
        <v>211</v>
      </c>
      <c r="DA1133" t="s">
        <v>298</v>
      </c>
      <c r="DC1133" t="s">
        <v>1066</v>
      </c>
      <c r="DD1133" t="s">
        <v>438</v>
      </c>
      <c r="DE1133" t="s">
        <v>267</v>
      </c>
      <c r="DF1133" t="s">
        <v>268</v>
      </c>
      <c r="DG1133" t="s">
        <v>14907</v>
      </c>
      <c r="DH1133" t="s">
        <v>331</v>
      </c>
      <c r="DI1133" t="s">
        <v>183</v>
      </c>
      <c r="DJ1133" t="s">
        <v>211</v>
      </c>
      <c r="DK1133" t="s">
        <v>345</v>
      </c>
      <c r="DM1133" t="s">
        <v>4161</v>
      </c>
      <c r="DN1133" t="s">
        <v>12342</v>
      </c>
      <c r="DO1133" t="s">
        <v>273</v>
      </c>
      <c r="DP1133" t="s">
        <v>274</v>
      </c>
      <c r="DQ1133" t="s">
        <v>7590</v>
      </c>
      <c r="DR1133" t="s">
        <v>278</v>
      </c>
      <c r="DS1133" t="s">
        <v>183</v>
      </c>
      <c r="DT1133" t="s">
        <v>211</v>
      </c>
      <c r="DU1133" t="s">
        <v>298</v>
      </c>
      <c r="DW1133" t="s">
        <v>1432</v>
      </c>
      <c r="DX1133" t="s">
        <v>3057</v>
      </c>
      <c r="DY1133" t="s">
        <v>302</v>
      </c>
      <c r="DZ1133" t="s">
        <v>303</v>
      </c>
      <c r="EA1133" t="s">
        <v>14908</v>
      </c>
      <c r="EB1133" t="s">
        <v>1586</v>
      </c>
      <c r="EC1133" t="s">
        <v>183</v>
      </c>
      <c r="ED1133" t="s">
        <v>211</v>
      </c>
      <c r="EE1133" t="s">
        <v>345</v>
      </c>
      <c r="EG1133" t="s">
        <v>343</v>
      </c>
      <c r="EH1133" t="s">
        <v>7506</v>
      </c>
      <c r="EI1133" t="s">
        <v>238</v>
      </c>
      <c r="EJ1133" t="s">
        <v>239</v>
      </c>
      <c r="EK1133" t="s">
        <v>14909</v>
      </c>
      <c r="EL1133" t="s">
        <v>440</v>
      </c>
      <c r="EM1133" t="s">
        <v>183</v>
      </c>
      <c r="EN1133" t="s">
        <v>211</v>
      </c>
      <c r="EO1133" t="s">
        <v>298</v>
      </c>
      <c r="EQ1133" t="s">
        <v>14910</v>
      </c>
      <c r="ER1133" t="s">
        <v>14911</v>
      </c>
      <c r="ES1133" t="s">
        <v>346</v>
      </c>
      <c r="ET1133" t="s">
        <v>347</v>
      </c>
      <c r="EU1133" t="s">
        <v>14912</v>
      </c>
      <c r="EV1133" t="s">
        <v>1491</v>
      </c>
      <c r="EW1133" t="s">
        <v>183</v>
      </c>
      <c r="EX1133" t="s">
        <v>211</v>
      </c>
      <c r="EY1133" t="s">
        <v>298</v>
      </c>
      <c r="FA1133" t="s">
        <v>3166</v>
      </c>
      <c r="FB1133" t="s">
        <v>11647</v>
      </c>
      <c r="FC1133" t="s">
        <v>207</v>
      </c>
      <c r="FD1133" t="s">
        <v>208</v>
      </c>
      <c r="FE1133" t="s">
        <v>14913</v>
      </c>
      <c r="FF1133" t="s">
        <v>1966</v>
      </c>
      <c r="FG1133" t="s">
        <v>183</v>
      </c>
      <c r="FH1133" t="s">
        <v>211</v>
      </c>
      <c r="FI1133" t="s">
        <v>298</v>
      </c>
      <c r="FK1133" t="s">
        <v>5101</v>
      </c>
      <c r="FU1133" t="s">
        <v>198</v>
      </c>
    </row>
    <row r="1134" spans="1:177">
      <c r="A1134" s="1" t="str">
        <f>HYPERLINK("http://digipan.lumentumllc.com/apps/getLink/index.php?t=PropLink&amp;p=15740374","PL")</f>
        <v>PL</v>
      </c>
      <c r="B1134" s="1" t="str">
        <f>HYPERLINK("http://digipan.lumentumllc.com/apps/getLink/index.php?t=TaxLink&amp;p=15740374","TL")</f>
        <v>TL</v>
      </c>
      <c r="C1134" s="1" t="str">
        <f>HYPERLINK("http://digipan.lumentumllc.com/apps/getMap/index.php?p=15740374","Map")</f>
        <v>Map</v>
      </c>
      <c r="E1134" t="s">
        <v>177</v>
      </c>
      <c r="F1134" t="s">
        <v>178</v>
      </c>
      <c r="L1134" t="s">
        <v>14914</v>
      </c>
      <c r="N1134" t="s">
        <v>14914</v>
      </c>
      <c r="O1134" t="s">
        <v>14914</v>
      </c>
      <c r="Q1134" t="s">
        <v>14914</v>
      </c>
      <c r="V1134">
        <v>1300</v>
      </c>
      <c r="W1134">
        <v>4</v>
      </c>
      <c r="X1134">
        <v>2017</v>
      </c>
      <c r="Y1134">
        <v>2018</v>
      </c>
      <c r="Z1134">
        <v>429.62</v>
      </c>
      <c r="AB1134" t="s">
        <v>181</v>
      </c>
      <c r="AC1134" t="s">
        <v>182</v>
      </c>
      <c r="AD1134" t="s">
        <v>183</v>
      </c>
      <c r="AE1134">
        <v>1</v>
      </c>
      <c r="AF1134">
        <v>0</v>
      </c>
      <c r="AG1134" t="s">
        <v>1200</v>
      </c>
      <c r="AH1134">
        <v>0</v>
      </c>
      <c r="AI1134">
        <v>391.55</v>
      </c>
      <c r="AJ1134">
        <v>19.579999999999998</v>
      </c>
      <c r="AK1134">
        <v>411.13</v>
      </c>
      <c r="AL1134">
        <v>24458</v>
      </c>
      <c r="AM1134">
        <v>16800</v>
      </c>
      <c r="AN1134">
        <v>7658</v>
      </c>
      <c r="AO1134">
        <v>337</v>
      </c>
      <c r="AP1134">
        <v>2016</v>
      </c>
      <c r="AQ1134">
        <v>1.76</v>
      </c>
      <c r="AR1134">
        <v>1.68</v>
      </c>
      <c r="AS1134" t="s">
        <v>14915</v>
      </c>
      <c r="AT1134" t="s">
        <v>3210</v>
      </c>
      <c r="AU1134" t="s">
        <v>177</v>
      </c>
      <c r="AV1134" t="s">
        <v>2334</v>
      </c>
      <c r="AW1134" t="s">
        <v>182</v>
      </c>
      <c r="AX1134">
        <v>0</v>
      </c>
      <c r="AY1134" t="s">
        <v>312</v>
      </c>
      <c r="AZ1134" t="s">
        <v>199</v>
      </c>
      <c r="BA1134" t="s">
        <v>313</v>
      </c>
      <c r="BB1134" t="s">
        <v>191</v>
      </c>
      <c r="BC1134" t="s">
        <v>182</v>
      </c>
      <c r="BD1134" t="s">
        <v>182</v>
      </c>
      <c r="BE1134" t="s">
        <v>6673</v>
      </c>
      <c r="BF1134">
        <v>0</v>
      </c>
      <c r="BG1134">
        <v>0</v>
      </c>
      <c r="BH1134">
        <v>0</v>
      </c>
      <c r="BI1134" t="s">
        <v>199</v>
      </c>
      <c r="BJ1134" t="s">
        <v>248</v>
      </c>
      <c r="BL1134" t="s">
        <v>199</v>
      </c>
      <c r="BM1134" t="s">
        <v>533</v>
      </c>
      <c r="BN1134" t="s">
        <v>182</v>
      </c>
      <c r="BO1134" t="s">
        <v>198</v>
      </c>
      <c r="BP1134" t="s">
        <v>198</v>
      </c>
      <c r="BQ1134" t="s">
        <v>198</v>
      </c>
      <c r="BR1134" t="s">
        <v>198</v>
      </c>
      <c r="BS1134" t="s">
        <v>198</v>
      </c>
      <c r="BT1134" t="s">
        <v>198</v>
      </c>
      <c r="BU1134" t="s">
        <v>182</v>
      </c>
      <c r="BV1134" t="s">
        <v>198</v>
      </c>
      <c r="BW1134" t="s">
        <v>198</v>
      </c>
      <c r="BX1134" t="s">
        <v>199</v>
      </c>
      <c r="BY1134" t="s">
        <v>198</v>
      </c>
      <c r="BZ1134" t="s">
        <v>199</v>
      </c>
      <c r="CA1134" t="s">
        <v>199</v>
      </c>
      <c r="CB1134" t="s">
        <v>14916</v>
      </c>
      <c r="CC1134" t="s">
        <v>201</v>
      </c>
      <c r="CD1134" t="s">
        <v>202</v>
      </c>
      <c r="CE1134" t="s">
        <v>14917</v>
      </c>
      <c r="CF1134" t="s">
        <v>2333</v>
      </c>
      <c r="CG1134" t="s">
        <v>177</v>
      </c>
      <c r="CH1134" t="s">
        <v>2334</v>
      </c>
      <c r="CI1134" t="s">
        <v>14918</v>
      </c>
      <c r="CJ1134" t="s">
        <v>11030</v>
      </c>
      <c r="CK1134" t="s">
        <v>232</v>
      </c>
      <c r="CL1134" t="s">
        <v>233</v>
      </c>
      <c r="CM1134" t="s">
        <v>14919</v>
      </c>
      <c r="CN1134" t="s">
        <v>331</v>
      </c>
      <c r="CO1134" t="s">
        <v>183</v>
      </c>
      <c r="CP1134" t="s">
        <v>266</v>
      </c>
      <c r="CS1134" t="s">
        <v>198</v>
      </c>
      <c r="DC1134" t="s">
        <v>198</v>
      </c>
      <c r="DM1134" t="s">
        <v>198</v>
      </c>
      <c r="DW1134" t="s">
        <v>198</v>
      </c>
      <c r="EG1134" t="s">
        <v>198</v>
      </c>
      <c r="EQ1134" t="s">
        <v>198</v>
      </c>
      <c r="FA1134" t="s">
        <v>198</v>
      </c>
      <c r="FK1134" t="s">
        <v>198</v>
      </c>
      <c r="FU1134" t="s">
        <v>198</v>
      </c>
    </row>
    <row r="1135" spans="1:177">
      <c r="A1135" s="1" t="str">
        <f>HYPERLINK("http://digipan.lumentumllc.com/apps/getLink/index.php?t=PropLink&amp;p=15741145","PL")</f>
        <v>PL</v>
      </c>
      <c r="B1135" s="1" t="str">
        <f>HYPERLINK("http://digipan.lumentumllc.com/apps/getLink/index.php?t=TaxLink&amp;p=15741145","TL")</f>
        <v>TL</v>
      </c>
      <c r="C1135" s="1" t="str">
        <f>HYPERLINK("http://digipan.lumentumllc.com/apps/getMap/index.php?p=15741145","Map")</f>
        <v>Map</v>
      </c>
      <c r="E1135" t="s">
        <v>177</v>
      </c>
      <c r="F1135" t="s">
        <v>178</v>
      </c>
      <c r="L1135" t="s">
        <v>14920</v>
      </c>
      <c r="N1135" t="s">
        <v>14920</v>
      </c>
      <c r="O1135" t="s">
        <v>14920</v>
      </c>
      <c r="Q1135" t="s">
        <v>14920</v>
      </c>
      <c r="V1135">
        <v>1301</v>
      </c>
      <c r="W1135">
        <v>4</v>
      </c>
      <c r="X1135">
        <v>2017</v>
      </c>
      <c r="Y1135">
        <v>2018</v>
      </c>
      <c r="Z1135">
        <v>867.02</v>
      </c>
      <c r="AB1135" t="s">
        <v>181</v>
      </c>
      <c r="AC1135" t="s">
        <v>182</v>
      </c>
      <c r="AD1135" t="s">
        <v>6467</v>
      </c>
      <c r="AE1135">
        <v>0</v>
      </c>
      <c r="AF1135">
        <v>1</v>
      </c>
      <c r="AG1135" t="s">
        <v>821</v>
      </c>
      <c r="AH1135">
        <v>100</v>
      </c>
      <c r="AK1135">
        <v>0</v>
      </c>
      <c r="AL1135">
        <v>51002</v>
      </c>
      <c r="AM1135">
        <v>25000</v>
      </c>
      <c r="AN1135">
        <v>26002</v>
      </c>
      <c r="AO1135">
        <v>789</v>
      </c>
      <c r="AP1135">
        <v>2016</v>
      </c>
      <c r="AQ1135">
        <v>1.7</v>
      </c>
      <c r="AS1135" t="s">
        <v>14921</v>
      </c>
      <c r="AT1135" t="s">
        <v>3210</v>
      </c>
      <c r="AU1135" t="s">
        <v>177</v>
      </c>
      <c r="AV1135" t="s">
        <v>2334</v>
      </c>
      <c r="AW1135" t="s">
        <v>182</v>
      </c>
      <c r="AX1135">
        <v>2</v>
      </c>
      <c r="AY1135" t="s">
        <v>188</v>
      </c>
      <c r="AZ1135" t="s">
        <v>189</v>
      </c>
      <c r="BA1135" t="s">
        <v>190</v>
      </c>
      <c r="BB1135" t="s">
        <v>191</v>
      </c>
      <c r="BC1135" t="s">
        <v>182</v>
      </c>
      <c r="BD1135" t="s">
        <v>182</v>
      </c>
      <c r="BE1135" t="s">
        <v>383</v>
      </c>
      <c r="BF1135">
        <v>1</v>
      </c>
      <c r="BG1135">
        <v>1</v>
      </c>
      <c r="BH1135">
        <v>1984</v>
      </c>
      <c r="BI1135" t="s">
        <v>9552</v>
      </c>
      <c r="BJ1135" t="s">
        <v>194</v>
      </c>
      <c r="BK1135" t="s">
        <v>195</v>
      </c>
      <c r="BL1135" t="s">
        <v>8387</v>
      </c>
      <c r="BM1135" t="s">
        <v>292</v>
      </c>
      <c r="BN1135" t="s">
        <v>182</v>
      </c>
      <c r="BO1135" t="s">
        <v>198</v>
      </c>
      <c r="BP1135" t="s">
        <v>198</v>
      </c>
      <c r="BQ1135" t="s">
        <v>198</v>
      </c>
      <c r="BR1135" t="s">
        <v>198</v>
      </c>
      <c r="BS1135" t="s">
        <v>198</v>
      </c>
      <c r="BT1135" t="s">
        <v>198</v>
      </c>
      <c r="BU1135" t="s">
        <v>182</v>
      </c>
      <c r="BV1135" t="s">
        <v>198</v>
      </c>
      <c r="BW1135" t="s">
        <v>198</v>
      </c>
      <c r="BX1135" t="s">
        <v>199</v>
      </c>
      <c r="BY1135" t="s">
        <v>198</v>
      </c>
      <c r="BZ1135" t="s">
        <v>199</v>
      </c>
      <c r="CA1135" t="s">
        <v>199</v>
      </c>
      <c r="CB1135" t="s">
        <v>14922</v>
      </c>
      <c r="CC1135" t="s">
        <v>201</v>
      </c>
      <c r="CD1135" t="s">
        <v>182</v>
      </c>
      <c r="CE1135" t="s">
        <v>14923</v>
      </c>
      <c r="CF1135" t="s">
        <v>2333</v>
      </c>
      <c r="CG1135" t="s">
        <v>177</v>
      </c>
      <c r="CH1135" t="s">
        <v>3178</v>
      </c>
      <c r="CI1135" t="s">
        <v>14924</v>
      </c>
      <c r="CJ1135" t="s">
        <v>11793</v>
      </c>
      <c r="CK1135" t="s">
        <v>267</v>
      </c>
      <c r="CL1135" t="s">
        <v>268</v>
      </c>
      <c r="CM1135" t="s">
        <v>14925</v>
      </c>
      <c r="CN1135" t="s">
        <v>482</v>
      </c>
      <c r="CO1135" t="s">
        <v>5</v>
      </c>
      <c r="CP1135" t="s">
        <v>211</v>
      </c>
      <c r="CQ1135" t="s">
        <v>206</v>
      </c>
      <c r="CS1135" t="s">
        <v>13166</v>
      </c>
      <c r="DC1135" t="s">
        <v>198</v>
      </c>
      <c r="DM1135" t="s">
        <v>198</v>
      </c>
      <c r="DW1135" t="s">
        <v>198</v>
      </c>
      <c r="EG1135" t="s">
        <v>198</v>
      </c>
      <c r="EQ1135" t="s">
        <v>198</v>
      </c>
      <c r="FA1135" t="s">
        <v>198</v>
      </c>
      <c r="FK1135" t="s">
        <v>198</v>
      </c>
      <c r="FU1135" t="s">
        <v>198</v>
      </c>
    </row>
    <row r="1136" spans="1:177">
      <c r="A1136" s="1" t="str">
        <f>HYPERLINK("http://digipan.lumentumllc.com/apps/getLink/index.php?t=PropLink&amp;p=5245072","PL")</f>
        <v>PL</v>
      </c>
      <c r="B1136" s="1" t="str">
        <f>HYPERLINK("http://digipan.lumentumllc.com/apps/getLink/index.php?t=TaxLink&amp;p=5245072","TL")</f>
        <v>TL</v>
      </c>
      <c r="C1136" s="1" t="str">
        <f>HYPERLINK("http://digipan.lumentumllc.com/apps/getMap/index.php?p=5245072","Map")</f>
        <v>Map</v>
      </c>
      <c r="E1136" t="s">
        <v>177</v>
      </c>
      <c r="F1136" t="s">
        <v>178</v>
      </c>
      <c r="L1136" t="s">
        <v>14926</v>
      </c>
      <c r="N1136" t="s">
        <v>14926</v>
      </c>
      <c r="O1136" t="s">
        <v>14926</v>
      </c>
      <c r="P1136" t="s">
        <v>14927</v>
      </c>
      <c r="Q1136" t="s">
        <v>14926</v>
      </c>
      <c r="V1136">
        <v>1302</v>
      </c>
      <c r="W1136">
        <v>4</v>
      </c>
      <c r="X1136">
        <v>2017</v>
      </c>
      <c r="Y1136">
        <v>2018</v>
      </c>
      <c r="Z1136">
        <v>268.64999999999998</v>
      </c>
      <c r="AB1136" t="s">
        <v>181</v>
      </c>
      <c r="AC1136" t="s">
        <v>182</v>
      </c>
      <c r="AD1136" t="s">
        <v>183</v>
      </c>
      <c r="AE1136">
        <v>7</v>
      </c>
      <c r="AF1136">
        <v>0</v>
      </c>
      <c r="AG1136" t="s">
        <v>1038</v>
      </c>
      <c r="AH1136">
        <v>0</v>
      </c>
      <c r="AI1136">
        <v>1397.78</v>
      </c>
      <c r="AJ1136">
        <v>662.26</v>
      </c>
      <c r="AK1136">
        <v>2060.04</v>
      </c>
      <c r="AL1136">
        <v>17500</v>
      </c>
      <c r="AM1136">
        <v>17500</v>
      </c>
      <c r="AN1136">
        <v>0</v>
      </c>
      <c r="AO1136">
        <v>196</v>
      </c>
      <c r="AP1136">
        <v>2016</v>
      </c>
      <c r="AQ1136">
        <v>1.54</v>
      </c>
      <c r="AR1136">
        <v>11.77</v>
      </c>
      <c r="AS1136" t="s">
        <v>14928</v>
      </c>
      <c r="AT1136" t="s">
        <v>3210</v>
      </c>
      <c r="AU1136" t="s">
        <v>177</v>
      </c>
      <c r="AV1136" t="s">
        <v>2334</v>
      </c>
      <c r="AW1136" t="s">
        <v>182</v>
      </c>
      <c r="AX1136">
        <v>0</v>
      </c>
      <c r="AY1136" t="s">
        <v>312</v>
      </c>
      <c r="AZ1136" t="s">
        <v>199</v>
      </c>
      <c r="BA1136" t="s">
        <v>313</v>
      </c>
      <c r="BB1136" t="s">
        <v>191</v>
      </c>
      <c r="BC1136" t="s">
        <v>182</v>
      </c>
      <c r="BD1136" t="s">
        <v>182</v>
      </c>
      <c r="BE1136" t="s">
        <v>383</v>
      </c>
      <c r="BF1136">
        <v>0</v>
      </c>
      <c r="BG1136">
        <v>0</v>
      </c>
      <c r="BH1136">
        <v>0</v>
      </c>
      <c r="BI1136" t="s">
        <v>199</v>
      </c>
      <c r="BJ1136" t="s">
        <v>315</v>
      </c>
      <c r="BL1136" t="s">
        <v>4210</v>
      </c>
      <c r="BM1136" t="s">
        <v>1332</v>
      </c>
      <c r="BN1136" t="s">
        <v>182</v>
      </c>
      <c r="BO1136" t="s">
        <v>198</v>
      </c>
      <c r="BP1136" t="s">
        <v>198</v>
      </c>
      <c r="BQ1136" t="s">
        <v>198</v>
      </c>
      <c r="BR1136" t="s">
        <v>198</v>
      </c>
      <c r="BS1136" t="s">
        <v>198</v>
      </c>
      <c r="BT1136" t="s">
        <v>198</v>
      </c>
      <c r="BU1136" t="s">
        <v>182</v>
      </c>
      <c r="BV1136" t="s">
        <v>198</v>
      </c>
      <c r="BW1136" t="s">
        <v>198</v>
      </c>
      <c r="BX1136" t="s">
        <v>199</v>
      </c>
      <c r="BY1136" t="s">
        <v>198</v>
      </c>
      <c r="BZ1136" t="s">
        <v>199</v>
      </c>
      <c r="CA1136" t="s">
        <v>199</v>
      </c>
      <c r="CB1136" t="s">
        <v>14929</v>
      </c>
      <c r="CC1136" t="s">
        <v>201</v>
      </c>
      <c r="CD1136" t="s">
        <v>182</v>
      </c>
      <c r="CE1136" t="s">
        <v>14930</v>
      </c>
      <c r="CF1136" t="s">
        <v>8687</v>
      </c>
      <c r="CG1136" t="s">
        <v>177</v>
      </c>
      <c r="CH1136" t="s">
        <v>8688</v>
      </c>
      <c r="CI1136" t="s">
        <v>14931</v>
      </c>
      <c r="CJ1136" t="s">
        <v>11188</v>
      </c>
      <c r="CK1136" t="s">
        <v>232</v>
      </c>
      <c r="CL1136" t="s">
        <v>233</v>
      </c>
      <c r="CM1136" t="s">
        <v>14932</v>
      </c>
      <c r="CN1136" t="s">
        <v>482</v>
      </c>
      <c r="CO1136" t="s">
        <v>183</v>
      </c>
      <c r="CP1136" t="s">
        <v>266</v>
      </c>
      <c r="CS1136" t="s">
        <v>198</v>
      </c>
      <c r="CT1136" t="s">
        <v>4122</v>
      </c>
      <c r="CU1136" t="s">
        <v>292</v>
      </c>
      <c r="CV1136" t="s">
        <v>293</v>
      </c>
      <c r="CW1136" t="s">
        <v>8904</v>
      </c>
      <c r="CX1136" t="s">
        <v>482</v>
      </c>
      <c r="CY1136" t="s">
        <v>183</v>
      </c>
      <c r="CZ1136" t="s">
        <v>266</v>
      </c>
      <c r="DC1136" t="s">
        <v>198</v>
      </c>
      <c r="DD1136" t="s">
        <v>2522</v>
      </c>
      <c r="DE1136" t="s">
        <v>267</v>
      </c>
      <c r="DF1136" t="s">
        <v>268</v>
      </c>
      <c r="DG1136" t="s">
        <v>1196</v>
      </c>
      <c r="DH1136" t="s">
        <v>482</v>
      </c>
      <c r="DI1136" t="s">
        <v>183</v>
      </c>
      <c r="DJ1136" t="s">
        <v>266</v>
      </c>
      <c r="DM1136" t="s">
        <v>198</v>
      </c>
      <c r="DN1136" t="s">
        <v>14713</v>
      </c>
      <c r="DO1136" t="s">
        <v>273</v>
      </c>
      <c r="DP1136" t="s">
        <v>274</v>
      </c>
      <c r="DQ1136" t="s">
        <v>14933</v>
      </c>
      <c r="DR1136" t="s">
        <v>4595</v>
      </c>
      <c r="DS1136" t="s">
        <v>183</v>
      </c>
      <c r="DT1136" t="s">
        <v>266</v>
      </c>
      <c r="DW1136" t="s">
        <v>198</v>
      </c>
      <c r="DX1136" t="s">
        <v>1766</v>
      </c>
      <c r="DY1136" t="s">
        <v>302</v>
      </c>
      <c r="DZ1136" t="s">
        <v>303</v>
      </c>
      <c r="EA1136" t="s">
        <v>14934</v>
      </c>
      <c r="EB1136" t="s">
        <v>341</v>
      </c>
      <c r="EC1136" t="s">
        <v>183</v>
      </c>
      <c r="ED1136" t="s">
        <v>266</v>
      </c>
      <c r="EG1136" t="s">
        <v>198</v>
      </c>
      <c r="EH1136" t="s">
        <v>11082</v>
      </c>
      <c r="EI1136" t="s">
        <v>238</v>
      </c>
      <c r="EJ1136" t="s">
        <v>239</v>
      </c>
      <c r="EK1136" t="s">
        <v>11070</v>
      </c>
      <c r="EL1136" t="s">
        <v>922</v>
      </c>
      <c r="EM1136" t="s">
        <v>183</v>
      </c>
      <c r="EN1136" t="s">
        <v>266</v>
      </c>
      <c r="EQ1136" t="s">
        <v>198</v>
      </c>
      <c r="ER1136" t="s">
        <v>14935</v>
      </c>
      <c r="ES1136" t="s">
        <v>346</v>
      </c>
      <c r="ET1136" t="s">
        <v>347</v>
      </c>
      <c r="EU1136" t="s">
        <v>13920</v>
      </c>
      <c r="EV1136" t="s">
        <v>1491</v>
      </c>
      <c r="EW1136" t="s">
        <v>183</v>
      </c>
      <c r="EX1136" t="s">
        <v>266</v>
      </c>
      <c r="FA1136" t="s">
        <v>198</v>
      </c>
      <c r="FK1136" t="s">
        <v>198</v>
      </c>
      <c r="FU1136" t="s">
        <v>198</v>
      </c>
    </row>
    <row r="1137" spans="1:177">
      <c r="A1137" s="1" t="str">
        <f>HYPERLINK("http://digipan.lumentumllc.com/apps/getLink/index.php?t=PropLink&amp;p=5245078","PL")</f>
        <v>PL</v>
      </c>
      <c r="B1137" s="1" t="str">
        <f>HYPERLINK("http://digipan.lumentumllc.com/apps/getLink/index.php?t=TaxLink&amp;p=5245078","TL")</f>
        <v>TL</v>
      </c>
      <c r="C1137" s="1" t="str">
        <f>HYPERLINK("http://digipan.lumentumllc.com/apps/getMap/index.php?p=5245078","Map")</f>
        <v>Map</v>
      </c>
      <c r="E1137" t="s">
        <v>177</v>
      </c>
      <c r="F1137" t="s">
        <v>178</v>
      </c>
      <c r="L1137" t="s">
        <v>14936</v>
      </c>
      <c r="N1137" t="s">
        <v>14936</v>
      </c>
      <c r="O1137" t="s">
        <v>14936</v>
      </c>
      <c r="P1137" t="s">
        <v>14937</v>
      </c>
      <c r="Q1137" t="s">
        <v>14936</v>
      </c>
      <c r="V1137">
        <v>1303</v>
      </c>
      <c r="W1137">
        <v>4</v>
      </c>
      <c r="X1137">
        <v>2017</v>
      </c>
      <c r="Y1137">
        <v>2018</v>
      </c>
      <c r="Z1137">
        <v>933.74</v>
      </c>
      <c r="AB1137" t="s">
        <v>181</v>
      </c>
      <c r="AC1137" t="s">
        <v>182</v>
      </c>
      <c r="AD1137" t="s">
        <v>183</v>
      </c>
      <c r="AE1137">
        <v>0</v>
      </c>
      <c r="AF1137">
        <v>4</v>
      </c>
      <c r="AG1137" t="s">
        <v>381</v>
      </c>
      <c r="AH1137">
        <v>100</v>
      </c>
      <c r="AK1137">
        <v>0</v>
      </c>
      <c r="AL1137">
        <v>135952</v>
      </c>
      <c r="AM1137">
        <v>80000</v>
      </c>
      <c r="AN1137">
        <v>55952</v>
      </c>
      <c r="AO1137">
        <v>848</v>
      </c>
      <c r="AP1137">
        <v>2016</v>
      </c>
      <c r="AQ1137">
        <v>0.69</v>
      </c>
      <c r="AS1137" t="s">
        <v>14938</v>
      </c>
      <c r="AT1137" t="s">
        <v>3210</v>
      </c>
      <c r="AU1137" t="s">
        <v>177</v>
      </c>
      <c r="AV1137" t="s">
        <v>2334</v>
      </c>
      <c r="AW1137" t="s">
        <v>202</v>
      </c>
      <c r="AX1137">
        <v>2</v>
      </c>
      <c r="AY1137" t="s">
        <v>188</v>
      </c>
      <c r="AZ1137" t="s">
        <v>189</v>
      </c>
      <c r="BA1137" t="s">
        <v>190</v>
      </c>
      <c r="BB1137" t="s">
        <v>191</v>
      </c>
      <c r="BC1137" t="s">
        <v>182</v>
      </c>
      <c r="BD1137" t="s">
        <v>182</v>
      </c>
      <c r="BE1137" t="s">
        <v>927</v>
      </c>
      <c r="BF1137">
        <v>2</v>
      </c>
      <c r="BG1137">
        <v>2</v>
      </c>
      <c r="BH1137">
        <v>1994</v>
      </c>
      <c r="BI1137" t="s">
        <v>14939</v>
      </c>
      <c r="BJ1137" t="s">
        <v>194</v>
      </c>
      <c r="BK1137" t="s">
        <v>195</v>
      </c>
      <c r="BL1137" t="s">
        <v>1331</v>
      </c>
      <c r="BM1137" t="s">
        <v>1742</v>
      </c>
      <c r="BN1137" t="s">
        <v>182</v>
      </c>
      <c r="BO1137" t="s">
        <v>14940</v>
      </c>
      <c r="BP1137" t="s">
        <v>14941</v>
      </c>
      <c r="BS1137" t="s">
        <v>14942</v>
      </c>
      <c r="BT1137" t="s">
        <v>198</v>
      </c>
      <c r="BU1137" t="s">
        <v>182</v>
      </c>
      <c r="BV1137" t="s">
        <v>198</v>
      </c>
      <c r="BW1137" t="s">
        <v>198</v>
      </c>
      <c r="BX1137" t="s">
        <v>199</v>
      </c>
      <c r="BY1137" t="s">
        <v>198</v>
      </c>
      <c r="BZ1137" t="s">
        <v>199</v>
      </c>
      <c r="CA1137" t="s">
        <v>199</v>
      </c>
      <c r="CB1137" t="s">
        <v>14943</v>
      </c>
      <c r="CC1137" t="s">
        <v>201</v>
      </c>
      <c r="CD1137" t="s">
        <v>182</v>
      </c>
      <c r="CE1137" t="s">
        <v>14944</v>
      </c>
      <c r="CF1137" t="s">
        <v>2333</v>
      </c>
      <c r="CG1137" t="s">
        <v>177</v>
      </c>
      <c r="CH1137" t="s">
        <v>2334</v>
      </c>
      <c r="CI1137" t="s">
        <v>14945</v>
      </c>
      <c r="CJ1137" t="s">
        <v>13485</v>
      </c>
      <c r="CK1137" t="s">
        <v>232</v>
      </c>
      <c r="CL1137" t="s">
        <v>233</v>
      </c>
      <c r="CM1137" t="s">
        <v>14946</v>
      </c>
      <c r="CN1137" t="s">
        <v>235</v>
      </c>
      <c r="CO1137" t="s">
        <v>183</v>
      </c>
      <c r="CP1137" t="s">
        <v>211</v>
      </c>
      <c r="CQ1137" t="s">
        <v>199</v>
      </c>
      <c r="CS1137" t="s">
        <v>2774</v>
      </c>
      <c r="CT1137" t="s">
        <v>11316</v>
      </c>
      <c r="CU1137" t="s">
        <v>292</v>
      </c>
      <c r="CV1137" t="s">
        <v>293</v>
      </c>
      <c r="CW1137" t="s">
        <v>14947</v>
      </c>
      <c r="CX1137" t="s">
        <v>235</v>
      </c>
      <c r="CY1137" t="s">
        <v>183</v>
      </c>
      <c r="CZ1137" t="s">
        <v>211</v>
      </c>
      <c r="DA1137" t="s">
        <v>206</v>
      </c>
      <c r="DC1137" t="s">
        <v>14948</v>
      </c>
      <c r="DD1137" t="s">
        <v>6574</v>
      </c>
      <c r="DE1137" t="s">
        <v>346</v>
      </c>
      <c r="DF1137" t="s">
        <v>347</v>
      </c>
      <c r="DG1137" t="s">
        <v>14949</v>
      </c>
      <c r="DH1137" t="s">
        <v>1491</v>
      </c>
      <c r="DI1137" t="s">
        <v>183</v>
      </c>
      <c r="DJ1137" t="s">
        <v>211</v>
      </c>
      <c r="DK1137" t="s">
        <v>199</v>
      </c>
      <c r="DM1137" t="s">
        <v>6142</v>
      </c>
      <c r="DN1137" t="s">
        <v>6766</v>
      </c>
      <c r="DO1137" t="s">
        <v>207</v>
      </c>
      <c r="DP1137" t="s">
        <v>208</v>
      </c>
      <c r="DQ1137" t="s">
        <v>14950</v>
      </c>
      <c r="DR1137" t="s">
        <v>391</v>
      </c>
      <c r="DS1137" t="s">
        <v>183</v>
      </c>
      <c r="DT1137" t="s">
        <v>211</v>
      </c>
      <c r="DU1137" t="s">
        <v>427</v>
      </c>
      <c r="DW1137" t="s">
        <v>6142</v>
      </c>
      <c r="EG1137" t="s">
        <v>198</v>
      </c>
      <c r="EQ1137" t="s">
        <v>198</v>
      </c>
      <c r="FA1137" t="s">
        <v>198</v>
      </c>
      <c r="FK1137" t="s">
        <v>198</v>
      </c>
      <c r="FU1137" t="s">
        <v>198</v>
      </c>
    </row>
    <row r="1138" spans="1:177">
      <c r="A1138" s="1" t="str">
        <f>HYPERLINK("http://digipan.lumentumllc.com/apps/getLink/index.php?t=PropLink&amp;p=4637384","PL")</f>
        <v>PL</v>
      </c>
      <c r="B1138" s="1" t="str">
        <f>HYPERLINK("http://digipan.lumentumllc.com/apps/getLink/index.php?t=TaxLink&amp;p=4637384","TL")</f>
        <v>TL</v>
      </c>
      <c r="C1138" s="1" t="str">
        <f>HYPERLINK("http://digipan.lumentumllc.com/apps/getMap/index.php?p=4637384","Map")</f>
        <v>Map</v>
      </c>
      <c r="E1138" t="s">
        <v>177</v>
      </c>
      <c r="F1138" t="s">
        <v>178</v>
      </c>
      <c r="L1138" t="s">
        <v>14951</v>
      </c>
      <c r="N1138" t="s">
        <v>14951</v>
      </c>
      <c r="O1138" t="s">
        <v>14951</v>
      </c>
      <c r="P1138" t="s">
        <v>14952</v>
      </c>
      <c r="Q1138" t="s">
        <v>14951</v>
      </c>
      <c r="V1138">
        <v>1304</v>
      </c>
      <c r="W1138">
        <v>4</v>
      </c>
      <c r="X1138">
        <v>2017</v>
      </c>
      <c r="Y1138">
        <v>2018</v>
      </c>
      <c r="Z1138">
        <v>460.21</v>
      </c>
      <c r="AG1138" t="s">
        <v>184</v>
      </c>
      <c r="AH1138">
        <v>0</v>
      </c>
      <c r="AK1138">
        <v>0</v>
      </c>
      <c r="AL1138">
        <v>90412</v>
      </c>
      <c r="AM1138">
        <v>80000</v>
      </c>
      <c r="AN1138">
        <v>10412</v>
      </c>
      <c r="AO1138">
        <v>394</v>
      </c>
      <c r="AP1138">
        <v>2016</v>
      </c>
      <c r="AQ1138">
        <v>0.51</v>
      </c>
      <c r="AS1138" t="s">
        <v>14953</v>
      </c>
      <c r="AT1138" t="s">
        <v>3210</v>
      </c>
      <c r="AU1138" t="s">
        <v>177</v>
      </c>
      <c r="AV1138" t="s">
        <v>2334</v>
      </c>
      <c r="AW1138" t="s">
        <v>202</v>
      </c>
      <c r="AX1138">
        <v>2</v>
      </c>
      <c r="AY1138" t="s">
        <v>188</v>
      </c>
      <c r="AZ1138" t="s">
        <v>189</v>
      </c>
      <c r="BA1138" t="s">
        <v>190</v>
      </c>
      <c r="BB1138" t="s">
        <v>191</v>
      </c>
      <c r="BC1138" t="s">
        <v>182</v>
      </c>
      <c r="BD1138" t="s">
        <v>182</v>
      </c>
      <c r="BE1138" t="s">
        <v>927</v>
      </c>
      <c r="BF1138">
        <v>1</v>
      </c>
      <c r="BG1138">
        <v>1</v>
      </c>
      <c r="BH1138">
        <v>1975</v>
      </c>
      <c r="BI1138" t="s">
        <v>12483</v>
      </c>
      <c r="BJ1138" t="s">
        <v>194</v>
      </c>
      <c r="BK1138" t="s">
        <v>195</v>
      </c>
      <c r="BL1138" t="s">
        <v>1331</v>
      </c>
      <c r="BM1138" t="s">
        <v>2582</v>
      </c>
      <c r="BN1138" t="s">
        <v>182</v>
      </c>
      <c r="BO1138" t="s">
        <v>198</v>
      </c>
      <c r="BP1138" t="s">
        <v>198</v>
      </c>
      <c r="BQ1138" t="s">
        <v>198</v>
      </c>
      <c r="BR1138" t="s">
        <v>198</v>
      </c>
      <c r="BS1138" t="s">
        <v>198</v>
      </c>
      <c r="BT1138" t="s">
        <v>198</v>
      </c>
      <c r="BU1138" t="s">
        <v>182</v>
      </c>
      <c r="BV1138" t="s">
        <v>198</v>
      </c>
      <c r="BW1138" t="s">
        <v>198</v>
      </c>
      <c r="BX1138" t="s">
        <v>199</v>
      </c>
      <c r="BY1138" t="s">
        <v>198</v>
      </c>
      <c r="BZ1138" t="s">
        <v>199</v>
      </c>
      <c r="CA1138" t="s">
        <v>199</v>
      </c>
      <c r="CB1138" t="s">
        <v>14954</v>
      </c>
      <c r="CC1138" t="s">
        <v>201</v>
      </c>
      <c r="CD1138" t="s">
        <v>182</v>
      </c>
      <c r="CE1138" t="s">
        <v>14955</v>
      </c>
      <c r="CF1138" t="s">
        <v>2333</v>
      </c>
      <c r="CG1138" t="s">
        <v>177</v>
      </c>
      <c r="CH1138" t="s">
        <v>2334</v>
      </c>
      <c r="CI1138" t="s">
        <v>14956</v>
      </c>
      <c r="CS1138" t="s">
        <v>198</v>
      </c>
      <c r="DC1138" t="s">
        <v>198</v>
      </c>
      <c r="DM1138" t="s">
        <v>198</v>
      </c>
      <c r="DW1138" t="s">
        <v>198</v>
      </c>
      <c r="EG1138" t="s">
        <v>198</v>
      </c>
      <c r="EQ1138" t="s">
        <v>198</v>
      </c>
      <c r="FA1138" t="s">
        <v>198</v>
      </c>
      <c r="FK1138" t="s">
        <v>198</v>
      </c>
      <c r="FU1138" t="s">
        <v>198</v>
      </c>
    </row>
    <row r="1139" spans="1:177">
      <c r="A1139" s="1" t="str">
        <f>HYPERLINK("http://digipan.lumentumllc.com/apps/getLink/index.php?t=PropLink&amp;p=7112369","PL")</f>
        <v>PL</v>
      </c>
      <c r="B1139" s="1" t="str">
        <f>HYPERLINK("http://digipan.lumentumllc.com/apps/getLink/index.php?t=TaxLink&amp;p=7112369","TL")</f>
        <v>TL</v>
      </c>
      <c r="C1139" s="1" t="str">
        <f>HYPERLINK("http://digipan.lumentumllc.com/apps/getMap/index.php?p=7112369","Map")</f>
        <v>Map</v>
      </c>
      <c r="E1139" t="s">
        <v>177</v>
      </c>
      <c r="F1139" t="s">
        <v>178</v>
      </c>
      <c r="L1139" t="s">
        <v>14957</v>
      </c>
      <c r="N1139" t="s">
        <v>14957</v>
      </c>
      <c r="O1139" t="s">
        <v>14957</v>
      </c>
      <c r="P1139" t="s">
        <v>14958</v>
      </c>
      <c r="Q1139" t="s">
        <v>14957</v>
      </c>
      <c r="V1139">
        <v>1305</v>
      </c>
      <c r="W1139">
        <v>4</v>
      </c>
      <c r="X1139">
        <v>2017</v>
      </c>
      <c r="Y1139">
        <v>2018</v>
      </c>
      <c r="Z1139">
        <v>3425.18</v>
      </c>
      <c r="AB1139" t="s">
        <v>181</v>
      </c>
      <c r="AC1139" t="s">
        <v>182</v>
      </c>
      <c r="AD1139" t="s">
        <v>183</v>
      </c>
      <c r="AE1139">
        <v>0</v>
      </c>
      <c r="AF1139">
        <v>1</v>
      </c>
      <c r="AG1139" t="s">
        <v>821</v>
      </c>
      <c r="AH1139">
        <v>100</v>
      </c>
      <c r="AK1139">
        <v>0</v>
      </c>
      <c r="AL1139">
        <v>207248</v>
      </c>
      <c r="AM1139">
        <v>80875</v>
      </c>
      <c r="AN1139">
        <v>126373</v>
      </c>
      <c r="AO1139">
        <v>3165</v>
      </c>
      <c r="AP1139">
        <v>2016</v>
      </c>
      <c r="AQ1139">
        <v>1.65</v>
      </c>
      <c r="AS1139" t="s">
        <v>14959</v>
      </c>
      <c r="AT1139" t="s">
        <v>3210</v>
      </c>
      <c r="AU1139" t="s">
        <v>177</v>
      </c>
      <c r="AV1139" t="s">
        <v>2334</v>
      </c>
      <c r="AW1139" t="s">
        <v>182</v>
      </c>
      <c r="AX1139">
        <v>1</v>
      </c>
      <c r="AY1139" t="s">
        <v>188</v>
      </c>
      <c r="AZ1139" t="s">
        <v>206</v>
      </c>
      <c r="BA1139" t="s">
        <v>355</v>
      </c>
      <c r="BB1139" t="s">
        <v>191</v>
      </c>
      <c r="BC1139" t="s">
        <v>182</v>
      </c>
      <c r="BD1139" t="s">
        <v>182</v>
      </c>
      <c r="BE1139" t="s">
        <v>14960</v>
      </c>
      <c r="BF1139">
        <v>3</v>
      </c>
      <c r="BG1139">
        <v>3</v>
      </c>
      <c r="BH1139">
        <v>1980</v>
      </c>
      <c r="BI1139" t="s">
        <v>14961</v>
      </c>
      <c r="BJ1139" t="s">
        <v>194</v>
      </c>
      <c r="BK1139" t="s">
        <v>195</v>
      </c>
      <c r="BL1139" t="s">
        <v>199</v>
      </c>
      <c r="BM1139" t="s">
        <v>232</v>
      </c>
      <c r="BN1139" t="s">
        <v>182</v>
      </c>
      <c r="BO1139" t="s">
        <v>14962</v>
      </c>
      <c r="BP1139" t="s">
        <v>3376</v>
      </c>
      <c r="BQ1139" t="s">
        <v>2053</v>
      </c>
      <c r="BR1139" t="s">
        <v>227</v>
      </c>
      <c r="BS1139" t="s">
        <v>198</v>
      </c>
      <c r="BT1139" t="s">
        <v>228</v>
      </c>
      <c r="BU1139" t="s">
        <v>182</v>
      </c>
      <c r="BV1139" t="s">
        <v>198</v>
      </c>
      <c r="BW1139" t="s">
        <v>198</v>
      </c>
      <c r="BX1139" t="s">
        <v>199</v>
      </c>
      <c r="BY1139" t="s">
        <v>198</v>
      </c>
      <c r="BZ1139" t="s">
        <v>199</v>
      </c>
      <c r="CA1139" t="s">
        <v>199</v>
      </c>
      <c r="CB1139" t="s">
        <v>14963</v>
      </c>
      <c r="CC1139" t="s">
        <v>201</v>
      </c>
      <c r="CD1139" t="s">
        <v>202</v>
      </c>
      <c r="CE1139" t="s">
        <v>14964</v>
      </c>
      <c r="CF1139" t="s">
        <v>2333</v>
      </c>
      <c r="CG1139" t="s">
        <v>177</v>
      </c>
      <c r="CH1139" t="s">
        <v>2334</v>
      </c>
      <c r="CI1139" t="s">
        <v>14965</v>
      </c>
      <c r="CJ1139" t="s">
        <v>11216</v>
      </c>
      <c r="CK1139" t="s">
        <v>232</v>
      </c>
      <c r="CL1139" t="s">
        <v>233</v>
      </c>
      <c r="CM1139" t="s">
        <v>14966</v>
      </c>
      <c r="CN1139" t="s">
        <v>235</v>
      </c>
      <c r="CO1139" t="s">
        <v>183</v>
      </c>
      <c r="CP1139" t="s">
        <v>211</v>
      </c>
      <c r="CQ1139" t="s">
        <v>199</v>
      </c>
      <c r="CS1139" t="s">
        <v>14967</v>
      </c>
      <c r="DC1139" t="s">
        <v>198</v>
      </c>
      <c r="DM1139" t="s">
        <v>198</v>
      </c>
      <c r="DW1139" t="s">
        <v>198</v>
      </c>
      <c r="EG1139" t="s">
        <v>198</v>
      </c>
      <c r="EQ1139" t="s">
        <v>198</v>
      </c>
      <c r="FA1139" t="s">
        <v>198</v>
      </c>
      <c r="FK1139" t="s">
        <v>198</v>
      </c>
      <c r="FU1139" t="s">
        <v>198</v>
      </c>
    </row>
    <row r="1140" spans="1:177">
      <c r="A1140" s="1" t="str">
        <f>HYPERLINK("http://digipan.lumentumllc.com/apps/getLink/index.php?t=PropLink&amp;p=15741180","PL")</f>
        <v>PL</v>
      </c>
      <c r="B1140" s="1" t="str">
        <f>HYPERLINK("http://digipan.lumentumllc.com/apps/getLink/index.php?t=TaxLink&amp;p=15741180","TL")</f>
        <v>TL</v>
      </c>
      <c r="C1140" s="1" t="str">
        <f>HYPERLINK("http://digipan.lumentumllc.com/apps/getMap/index.php?p=15741180","Map")</f>
        <v>Map</v>
      </c>
      <c r="E1140" t="s">
        <v>177</v>
      </c>
      <c r="F1140" t="s">
        <v>178</v>
      </c>
      <c r="L1140" t="s">
        <v>14968</v>
      </c>
      <c r="N1140" t="s">
        <v>14968</v>
      </c>
      <c r="O1140" t="s">
        <v>14968</v>
      </c>
      <c r="Q1140" t="s">
        <v>14968</v>
      </c>
      <c r="V1140">
        <v>1306</v>
      </c>
      <c r="W1140">
        <v>4</v>
      </c>
      <c r="X1140">
        <v>2017</v>
      </c>
      <c r="Y1140">
        <v>2018</v>
      </c>
      <c r="Z1140">
        <v>834.36</v>
      </c>
      <c r="AB1140" t="s">
        <v>181</v>
      </c>
      <c r="AC1140" t="s">
        <v>182</v>
      </c>
      <c r="AD1140" t="s">
        <v>183</v>
      </c>
      <c r="AE1140">
        <v>0</v>
      </c>
      <c r="AF1140">
        <v>1</v>
      </c>
      <c r="AG1140" t="s">
        <v>821</v>
      </c>
      <c r="AH1140">
        <v>100</v>
      </c>
      <c r="AK1140">
        <v>0</v>
      </c>
      <c r="AL1140">
        <v>88111</v>
      </c>
      <c r="AM1140">
        <v>71025</v>
      </c>
      <c r="AN1140">
        <v>17086</v>
      </c>
      <c r="AO1140">
        <v>772</v>
      </c>
      <c r="AP1140">
        <v>2016</v>
      </c>
      <c r="AQ1140">
        <v>0.95</v>
      </c>
      <c r="AS1140" t="s">
        <v>14969</v>
      </c>
      <c r="AT1140" t="s">
        <v>3210</v>
      </c>
      <c r="AU1140" t="s">
        <v>177</v>
      </c>
      <c r="AV1140" t="s">
        <v>2334</v>
      </c>
      <c r="AW1140" t="s">
        <v>202</v>
      </c>
      <c r="AX1140">
        <v>2</v>
      </c>
      <c r="AY1140" t="s">
        <v>188</v>
      </c>
      <c r="AZ1140" t="s">
        <v>189</v>
      </c>
      <c r="BA1140" t="s">
        <v>190</v>
      </c>
      <c r="BB1140" t="s">
        <v>191</v>
      </c>
      <c r="BC1140" t="s">
        <v>182</v>
      </c>
      <c r="BD1140" t="s">
        <v>182</v>
      </c>
      <c r="BE1140" t="s">
        <v>14970</v>
      </c>
      <c r="BF1140">
        <v>2</v>
      </c>
      <c r="BG1140">
        <v>2</v>
      </c>
      <c r="BH1140">
        <v>1979</v>
      </c>
      <c r="BI1140" t="s">
        <v>12013</v>
      </c>
      <c r="BJ1140" t="s">
        <v>194</v>
      </c>
      <c r="BK1140" t="s">
        <v>195</v>
      </c>
      <c r="BL1140" t="s">
        <v>199</v>
      </c>
      <c r="BM1140" t="s">
        <v>207</v>
      </c>
      <c r="BN1140" t="s">
        <v>182</v>
      </c>
      <c r="BO1140" t="s">
        <v>198</v>
      </c>
      <c r="BP1140" t="s">
        <v>198</v>
      </c>
      <c r="BQ1140" t="s">
        <v>198</v>
      </c>
      <c r="BR1140" t="s">
        <v>198</v>
      </c>
      <c r="BS1140" t="s">
        <v>198</v>
      </c>
      <c r="BT1140" t="s">
        <v>198</v>
      </c>
      <c r="BU1140" t="s">
        <v>182</v>
      </c>
      <c r="BV1140" t="s">
        <v>198</v>
      </c>
      <c r="BW1140" t="s">
        <v>198</v>
      </c>
      <c r="BX1140" t="s">
        <v>199</v>
      </c>
      <c r="BY1140" t="s">
        <v>198</v>
      </c>
      <c r="BZ1140" t="s">
        <v>199</v>
      </c>
      <c r="CA1140" t="s">
        <v>199</v>
      </c>
      <c r="CB1140" t="s">
        <v>14963</v>
      </c>
      <c r="CC1140" t="s">
        <v>201</v>
      </c>
      <c r="CD1140" t="s">
        <v>182</v>
      </c>
      <c r="CE1140" t="s">
        <v>14971</v>
      </c>
      <c r="CF1140" t="s">
        <v>2333</v>
      </c>
      <c r="CG1140" t="s">
        <v>177</v>
      </c>
      <c r="CH1140" t="s">
        <v>2334</v>
      </c>
      <c r="CI1140" t="s">
        <v>14972</v>
      </c>
      <c r="CJ1140" t="s">
        <v>10129</v>
      </c>
      <c r="CK1140" t="s">
        <v>232</v>
      </c>
      <c r="CL1140" t="s">
        <v>233</v>
      </c>
      <c r="CM1140" t="s">
        <v>14973</v>
      </c>
      <c r="CN1140" t="s">
        <v>235</v>
      </c>
      <c r="CO1140" t="s">
        <v>183</v>
      </c>
      <c r="CP1140" t="s">
        <v>211</v>
      </c>
      <c r="CQ1140" t="s">
        <v>199</v>
      </c>
      <c r="CS1140" t="s">
        <v>14967</v>
      </c>
      <c r="DC1140" t="s">
        <v>198</v>
      </c>
      <c r="DM1140" t="s">
        <v>198</v>
      </c>
      <c r="DW1140" t="s">
        <v>198</v>
      </c>
      <c r="EG1140" t="s">
        <v>198</v>
      </c>
      <c r="EQ1140" t="s">
        <v>198</v>
      </c>
      <c r="FA1140" t="s">
        <v>198</v>
      </c>
      <c r="FK1140" t="s">
        <v>198</v>
      </c>
      <c r="FU1140" t="s">
        <v>198</v>
      </c>
    </row>
    <row r="1141" spans="1:177">
      <c r="A1141" s="1" t="str">
        <f>HYPERLINK("http://digipan.lumentumllc.com/apps/getLink/index.php?t=PropLink&amp;p=5245144","PL")</f>
        <v>PL</v>
      </c>
      <c r="B1141" s="1" t="str">
        <f>HYPERLINK("http://digipan.lumentumllc.com/apps/getLink/index.php?t=TaxLink&amp;p=5245144","TL")</f>
        <v>TL</v>
      </c>
      <c r="C1141" s="1" t="str">
        <f>HYPERLINK("http://digipan.lumentumllc.com/apps/getMap/index.php?p=5245144","Map")</f>
        <v>Map</v>
      </c>
      <c r="E1141" t="s">
        <v>177</v>
      </c>
      <c r="F1141" t="s">
        <v>178</v>
      </c>
      <c r="L1141" t="s">
        <v>14974</v>
      </c>
      <c r="N1141" t="s">
        <v>14974</v>
      </c>
      <c r="O1141" t="s">
        <v>14974</v>
      </c>
      <c r="P1141" t="s">
        <v>14975</v>
      </c>
      <c r="Q1141" t="s">
        <v>14974</v>
      </c>
      <c r="V1141">
        <v>1307</v>
      </c>
      <c r="W1141">
        <v>4</v>
      </c>
      <c r="X1141">
        <v>2017</v>
      </c>
      <c r="Y1141">
        <v>2018</v>
      </c>
      <c r="Z1141">
        <v>395.76</v>
      </c>
      <c r="AB1141" t="s">
        <v>181</v>
      </c>
      <c r="AC1141" t="s">
        <v>182</v>
      </c>
      <c r="AD1141" t="s">
        <v>183</v>
      </c>
      <c r="AE1141">
        <v>1</v>
      </c>
      <c r="AF1141">
        <v>7</v>
      </c>
      <c r="AG1141" t="s">
        <v>418</v>
      </c>
      <c r="AH1141">
        <v>86</v>
      </c>
      <c r="AI1141">
        <v>359.04</v>
      </c>
      <c r="AJ1141">
        <v>23.34</v>
      </c>
      <c r="AK1141">
        <v>382.38</v>
      </c>
      <c r="AL1141">
        <v>22500</v>
      </c>
      <c r="AM1141">
        <v>15000</v>
      </c>
      <c r="AN1141">
        <v>7500</v>
      </c>
      <c r="AO1141">
        <v>307</v>
      </c>
      <c r="AP1141">
        <v>2016</v>
      </c>
      <c r="AQ1141">
        <v>1.76</v>
      </c>
      <c r="AR1141">
        <v>1.7</v>
      </c>
      <c r="AS1141" t="s">
        <v>14976</v>
      </c>
      <c r="AT1141" t="s">
        <v>3210</v>
      </c>
      <c r="AU1141" t="s">
        <v>177</v>
      </c>
      <c r="AV1141" t="s">
        <v>2334</v>
      </c>
      <c r="AW1141" t="s">
        <v>182</v>
      </c>
      <c r="AX1141">
        <v>0</v>
      </c>
      <c r="AY1141" t="s">
        <v>312</v>
      </c>
      <c r="AZ1141" t="s">
        <v>199</v>
      </c>
      <c r="BA1141" t="s">
        <v>313</v>
      </c>
      <c r="BB1141" t="s">
        <v>191</v>
      </c>
      <c r="BC1141" t="s">
        <v>182</v>
      </c>
      <c r="BD1141" t="s">
        <v>182</v>
      </c>
      <c r="BE1141" t="s">
        <v>383</v>
      </c>
      <c r="BF1141">
        <v>0</v>
      </c>
      <c r="BG1141">
        <v>0</v>
      </c>
      <c r="BH1141">
        <v>0</v>
      </c>
      <c r="BI1141" t="s">
        <v>199</v>
      </c>
      <c r="BJ1141" t="s">
        <v>248</v>
      </c>
      <c r="BL1141" t="s">
        <v>199</v>
      </c>
      <c r="BM1141" t="s">
        <v>368</v>
      </c>
      <c r="BN1141" t="s">
        <v>182</v>
      </c>
      <c r="BO1141" t="s">
        <v>198</v>
      </c>
      <c r="BP1141" t="s">
        <v>198</v>
      </c>
      <c r="BQ1141" t="s">
        <v>198</v>
      </c>
      <c r="BR1141" t="s">
        <v>198</v>
      </c>
      <c r="BS1141" t="s">
        <v>198</v>
      </c>
      <c r="BT1141" t="s">
        <v>198</v>
      </c>
      <c r="BU1141" t="s">
        <v>182</v>
      </c>
      <c r="BV1141" t="s">
        <v>198</v>
      </c>
      <c r="BW1141" t="s">
        <v>198</v>
      </c>
      <c r="BX1141" t="s">
        <v>199</v>
      </c>
      <c r="BY1141" t="s">
        <v>198</v>
      </c>
      <c r="BZ1141" t="s">
        <v>199</v>
      </c>
      <c r="CA1141" t="s">
        <v>199</v>
      </c>
      <c r="CB1141" t="s">
        <v>14977</v>
      </c>
      <c r="CC1141" t="s">
        <v>201</v>
      </c>
      <c r="CD1141" t="s">
        <v>182</v>
      </c>
      <c r="CE1141" t="s">
        <v>14978</v>
      </c>
      <c r="CF1141" t="s">
        <v>413</v>
      </c>
      <c r="CG1141" t="s">
        <v>177</v>
      </c>
      <c r="CH1141" t="s">
        <v>414</v>
      </c>
      <c r="CI1141" t="s">
        <v>14979</v>
      </c>
      <c r="CJ1141" t="s">
        <v>13525</v>
      </c>
      <c r="CK1141" t="s">
        <v>232</v>
      </c>
      <c r="CL1141" t="s">
        <v>233</v>
      </c>
      <c r="CM1141" t="s">
        <v>10395</v>
      </c>
      <c r="CN1141" t="s">
        <v>688</v>
      </c>
      <c r="CO1141" t="s">
        <v>183</v>
      </c>
      <c r="CP1141" t="s">
        <v>266</v>
      </c>
      <c r="CS1141" t="s">
        <v>198</v>
      </c>
      <c r="CT1141" t="s">
        <v>11414</v>
      </c>
      <c r="CU1141" t="s">
        <v>292</v>
      </c>
      <c r="CV1141" t="s">
        <v>293</v>
      </c>
      <c r="CW1141" t="s">
        <v>13539</v>
      </c>
      <c r="CX1141" t="s">
        <v>278</v>
      </c>
      <c r="CY1141" t="s">
        <v>183</v>
      </c>
      <c r="CZ1141" t="s">
        <v>211</v>
      </c>
      <c r="DA1141" t="s">
        <v>298</v>
      </c>
      <c r="DC1141" t="s">
        <v>1760</v>
      </c>
      <c r="DD1141" t="s">
        <v>5114</v>
      </c>
      <c r="DE1141" t="s">
        <v>267</v>
      </c>
      <c r="DF1141" t="s">
        <v>268</v>
      </c>
      <c r="DG1141" t="s">
        <v>14664</v>
      </c>
      <c r="DH1141" t="s">
        <v>331</v>
      </c>
      <c r="DI1141" t="s">
        <v>183</v>
      </c>
      <c r="DJ1141" t="s">
        <v>211</v>
      </c>
      <c r="DK1141" t="s">
        <v>298</v>
      </c>
      <c r="DM1141" t="s">
        <v>2670</v>
      </c>
      <c r="DN1141" t="s">
        <v>2781</v>
      </c>
      <c r="DO1141" t="s">
        <v>273</v>
      </c>
      <c r="DP1141" t="s">
        <v>274</v>
      </c>
      <c r="DQ1141" t="s">
        <v>4608</v>
      </c>
      <c r="DR1141" t="s">
        <v>278</v>
      </c>
      <c r="DS1141" t="s">
        <v>183</v>
      </c>
      <c r="DT1141" t="s">
        <v>211</v>
      </c>
      <c r="DU1141" t="s">
        <v>523</v>
      </c>
      <c r="DW1141" t="s">
        <v>5197</v>
      </c>
      <c r="DX1141" t="s">
        <v>4776</v>
      </c>
      <c r="DY1141" t="s">
        <v>302</v>
      </c>
      <c r="DZ1141" t="s">
        <v>303</v>
      </c>
      <c r="EA1141" t="s">
        <v>4609</v>
      </c>
      <c r="EB1141" t="s">
        <v>331</v>
      </c>
      <c r="EC1141" t="s">
        <v>183</v>
      </c>
      <c r="ED1141" t="s">
        <v>211</v>
      </c>
      <c r="EE1141" t="s">
        <v>298</v>
      </c>
      <c r="EG1141" t="s">
        <v>1131</v>
      </c>
      <c r="EH1141" t="s">
        <v>8787</v>
      </c>
      <c r="EI1141" t="s">
        <v>238</v>
      </c>
      <c r="EJ1141" t="s">
        <v>239</v>
      </c>
      <c r="EK1141" t="s">
        <v>14980</v>
      </c>
      <c r="EL1141" t="s">
        <v>295</v>
      </c>
      <c r="EM1141" t="s">
        <v>183</v>
      </c>
      <c r="EN1141" t="s">
        <v>211</v>
      </c>
      <c r="EO1141" t="s">
        <v>298</v>
      </c>
      <c r="EQ1141" t="s">
        <v>9167</v>
      </c>
      <c r="ER1141" t="s">
        <v>5187</v>
      </c>
      <c r="ES1141" t="s">
        <v>346</v>
      </c>
      <c r="ET1141" t="s">
        <v>347</v>
      </c>
      <c r="EU1141" t="s">
        <v>14981</v>
      </c>
      <c r="EV1141" t="s">
        <v>1491</v>
      </c>
      <c r="EW1141" t="s">
        <v>183</v>
      </c>
      <c r="EX1141" t="s">
        <v>211</v>
      </c>
      <c r="EY1141" t="s">
        <v>298</v>
      </c>
      <c r="FA1141" t="s">
        <v>443</v>
      </c>
      <c r="FB1141" t="s">
        <v>14305</v>
      </c>
      <c r="FC1141" t="s">
        <v>207</v>
      </c>
      <c r="FD1141" t="s">
        <v>208</v>
      </c>
      <c r="FE1141" t="s">
        <v>14982</v>
      </c>
      <c r="FF1141" t="s">
        <v>1966</v>
      </c>
      <c r="FG1141" t="s">
        <v>183</v>
      </c>
      <c r="FH1141" t="s">
        <v>211</v>
      </c>
      <c r="FI1141" t="s">
        <v>345</v>
      </c>
      <c r="FK1141" t="s">
        <v>6548</v>
      </c>
      <c r="FU1141" t="s">
        <v>198</v>
      </c>
    </row>
    <row r="1142" spans="1:177">
      <c r="A1142" s="1" t="str">
        <f>HYPERLINK("http://digipan.lumentumllc.com/apps/getLink/index.php?t=PropLink&amp;p=5245146","PL")</f>
        <v>PL</v>
      </c>
      <c r="B1142" s="1" t="str">
        <f>HYPERLINK("http://digipan.lumentumllc.com/apps/getLink/index.php?t=TaxLink&amp;p=5245146","TL")</f>
        <v>TL</v>
      </c>
      <c r="C1142" s="1" t="str">
        <f>HYPERLINK("http://digipan.lumentumllc.com/apps/getMap/index.php?p=5245146","Map")</f>
        <v>Map</v>
      </c>
      <c r="E1142" t="s">
        <v>177</v>
      </c>
      <c r="F1142" t="s">
        <v>178</v>
      </c>
      <c r="L1142" t="s">
        <v>14983</v>
      </c>
      <c r="N1142" t="s">
        <v>14983</v>
      </c>
      <c r="O1142" t="s">
        <v>14983</v>
      </c>
      <c r="P1142" t="s">
        <v>14984</v>
      </c>
      <c r="Q1142" t="s">
        <v>14983</v>
      </c>
      <c r="V1142">
        <v>1308</v>
      </c>
      <c r="W1142">
        <v>4</v>
      </c>
      <c r="X1142">
        <v>2017</v>
      </c>
      <c r="Y1142">
        <v>2018</v>
      </c>
      <c r="Z1142">
        <v>397.93</v>
      </c>
      <c r="AB1142" t="s">
        <v>181</v>
      </c>
      <c r="AC1142" t="s">
        <v>182</v>
      </c>
      <c r="AD1142" t="s">
        <v>183</v>
      </c>
      <c r="AE1142">
        <v>1</v>
      </c>
      <c r="AF1142">
        <v>7</v>
      </c>
      <c r="AG1142" t="s">
        <v>418</v>
      </c>
      <c r="AH1142">
        <v>86</v>
      </c>
      <c r="AI1142">
        <v>398.06</v>
      </c>
      <c r="AJ1142">
        <v>25.87</v>
      </c>
      <c r="AK1142">
        <v>423.93</v>
      </c>
      <c r="AL1142">
        <v>22350</v>
      </c>
      <c r="AM1142">
        <v>22350</v>
      </c>
      <c r="AN1142">
        <v>0</v>
      </c>
      <c r="AO1142">
        <v>343</v>
      </c>
      <c r="AP1142">
        <v>2016</v>
      </c>
      <c r="AQ1142">
        <v>1.78</v>
      </c>
      <c r="AR1142">
        <v>1.9</v>
      </c>
      <c r="AS1142" t="s">
        <v>14985</v>
      </c>
      <c r="AT1142" t="s">
        <v>3210</v>
      </c>
      <c r="AU1142" t="s">
        <v>177</v>
      </c>
      <c r="AV1142" t="s">
        <v>2334</v>
      </c>
      <c r="AW1142" t="s">
        <v>182</v>
      </c>
      <c r="AX1142">
        <v>0</v>
      </c>
      <c r="AY1142" t="s">
        <v>312</v>
      </c>
      <c r="AZ1142" t="s">
        <v>199</v>
      </c>
      <c r="BA1142" t="s">
        <v>313</v>
      </c>
      <c r="BB1142" t="s">
        <v>191</v>
      </c>
      <c r="BC1142" t="s">
        <v>182</v>
      </c>
      <c r="BD1142" t="s">
        <v>182</v>
      </c>
      <c r="BE1142" t="s">
        <v>7625</v>
      </c>
      <c r="BF1142">
        <v>0</v>
      </c>
      <c r="BG1142">
        <v>0</v>
      </c>
      <c r="BH1142">
        <v>0</v>
      </c>
      <c r="BI1142" t="s">
        <v>199</v>
      </c>
      <c r="BJ1142" t="s">
        <v>315</v>
      </c>
      <c r="BL1142" t="s">
        <v>199</v>
      </c>
      <c r="BM1142" t="s">
        <v>368</v>
      </c>
      <c r="BN1142" t="s">
        <v>182</v>
      </c>
      <c r="BO1142" t="s">
        <v>198</v>
      </c>
      <c r="BP1142" t="s">
        <v>198</v>
      </c>
      <c r="BQ1142" t="s">
        <v>198</v>
      </c>
      <c r="BR1142" t="s">
        <v>198</v>
      </c>
      <c r="BS1142" t="s">
        <v>198</v>
      </c>
      <c r="BT1142" t="s">
        <v>198</v>
      </c>
      <c r="BU1142" t="s">
        <v>182</v>
      </c>
      <c r="BV1142" t="s">
        <v>198</v>
      </c>
      <c r="BW1142" t="s">
        <v>198</v>
      </c>
      <c r="BX1142" t="s">
        <v>199</v>
      </c>
      <c r="BY1142" t="s">
        <v>198</v>
      </c>
      <c r="BZ1142" t="s">
        <v>199</v>
      </c>
      <c r="CA1142" t="s">
        <v>199</v>
      </c>
      <c r="CB1142" t="s">
        <v>14977</v>
      </c>
      <c r="CC1142" t="s">
        <v>201</v>
      </c>
      <c r="CD1142" t="s">
        <v>182</v>
      </c>
      <c r="CE1142" t="s">
        <v>14978</v>
      </c>
      <c r="CF1142" t="s">
        <v>413</v>
      </c>
      <c r="CG1142" t="s">
        <v>177</v>
      </c>
      <c r="CH1142" t="s">
        <v>414</v>
      </c>
      <c r="CI1142" t="s">
        <v>14979</v>
      </c>
      <c r="CJ1142" t="s">
        <v>11264</v>
      </c>
      <c r="CK1142" t="s">
        <v>232</v>
      </c>
      <c r="CL1142" t="s">
        <v>233</v>
      </c>
      <c r="CM1142" t="s">
        <v>468</v>
      </c>
      <c r="CN1142" t="s">
        <v>688</v>
      </c>
      <c r="CO1142" t="s">
        <v>183</v>
      </c>
      <c r="CP1142" t="s">
        <v>266</v>
      </c>
      <c r="CS1142" t="s">
        <v>198</v>
      </c>
      <c r="CT1142" t="s">
        <v>11428</v>
      </c>
      <c r="CU1142" t="s">
        <v>292</v>
      </c>
      <c r="CV1142" t="s">
        <v>293</v>
      </c>
      <c r="CW1142" t="s">
        <v>14986</v>
      </c>
      <c r="CX1142" t="s">
        <v>278</v>
      </c>
      <c r="CY1142" t="s">
        <v>183</v>
      </c>
      <c r="CZ1142" t="s">
        <v>211</v>
      </c>
      <c r="DA1142" t="s">
        <v>298</v>
      </c>
      <c r="DC1142" t="s">
        <v>1760</v>
      </c>
      <c r="DD1142" t="s">
        <v>14987</v>
      </c>
      <c r="DE1142" t="s">
        <v>267</v>
      </c>
      <c r="DF1142" t="s">
        <v>268</v>
      </c>
      <c r="DG1142" t="s">
        <v>14988</v>
      </c>
      <c r="DH1142" t="s">
        <v>1966</v>
      </c>
      <c r="DI1142" t="s">
        <v>183</v>
      </c>
      <c r="DJ1142" t="s">
        <v>211</v>
      </c>
      <c r="DK1142" t="s">
        <v>298</v>
      </c>
      <c r="DM1142" t="s">
        <v>5919</v>
      </c>
      <c r="DN1142" t="s">
        <v>14892</v>
      </c>
      <c r="DO1142" t="s">
        <v>273</v>
      </c>
      <c r="DP1142" t="s">
        <v>274</v>
      </c>
      <c r="DQ1142" t="s">
        <v>14989</v>
      </c>
      <c r="DR1142" t="s">
        <v>402</v>
      </c>
      <c r="DS1142" t="s">
        <v>183</v>
      </c>
      <c r="DT1142" t="s">
        <v>211</v>
      </c>
      <c r="DU1142" t="s">
        <v>523</v>
      </c>
      <c r="DW1142" t="s">
        <v>5197</v>
      </c>
      <c r="DX1142" t="s">
        <v>14990</v>
      </c>
      <c r="DY1142" t="s">
        <v>302</v>
      </c>
      <c r="DZ1142" t="s">
        <v>303</v>
      </c>
      <c r="EA1142" t="s">
        <v>14991</v>
      </c>
      <c r="EB1142" t="s">
        <v>331</v>
      </c>
      <c r="EC1142" t="s">
        <v>183</v>
      </c>
      <c r="ED1142" t="s">
        <v>211</v>
      </c>
      <c r="EE1142" t="s">
        <v>298</v>
      </c>
      <c r="EG1142" t="s">
        <v>1131</v>
      </c>
      <c r="EH1142" t="s">
        <v>11086</v>
      </c>
      <c r="EI1142" t="s">
        <v>238</v>
      </c>
      <c r="EJ1142" t="s">
        <v>239</v>
      </c>
      <c r="EK1142" t="s">
        <v>14992</v>
      </c>
      <c r="EL1142" t="s">
        <v>295</v>
      </c>
      <c r="EM1142" t="s">
        <v>183</v>
      </c>
      <c r="EN1142" t="s">
        <v>211</v>
      </c>
      <c r="EO1142" t="s">
        <v>298</v>
      </c>
      <c r="EQ1142" t="s">
        <v>9167</v>
      </c>
      <c r="ER1142" t="s">
        <v>6169</v>
      </c>
      <c r="ES1142" t="s">
        <v>346</v>
      </c>
      <c r="ET1142" t="s">
        <v>347</v>
      </c>
      <c r="EU1142" t="s">
        <v>14993</v>
      </c>
      <c r="EV1142" t="s">
        <v>1491</v>
      </c>
      <c r="EW1142" t="s">
        <v>183</v>
      </c>
      <c r="EX1142" t="s">
        <v>211</v>
      </c>
      <c r="EY1142" t="s">
        <v>345</v>
      </c>
      <c r="FA1142" t="s">
        <v>3391</v>
      </c>
      <c r="FB1142" t="s">
        <v>12004</v>
      </c>
      <c r="FC1142" t="s">
        <v>207</v>
      </c>
      <c r="FD1142" t="s">
        <v>208</v>
      </c>
      <c r="FE1142" t="s">
        <v>14994</v>
      </c>
      <c r="FF1142" t="s">
        <v>1966</v>
      </c>
      <c r="FG1142" t="s">
        <v>183</v>
      </c>
      <c r="FH1142" t="s">
        <v>211</v>
      </c>
      <c r="FI1142" t="s">
        <v>337</v>
      </c>
      <c r="FK1142" t="s">
        <v>4656</v>
      </c>
      <c r="FU1142" t="s">
        <v>198</v>
      </c>
    </row>
    <row r="1143" spans="1:177">
      <c r="A1143" s="1" t="str">
        <f>HYPERLINK("http://digipan.lumentumllc.com/apps/getLink/index.php?t=PropLink&amp;p=5245161","PL")</f>
        <v>PL</v>
      </c>
      <c r="B1143" s="1" t="str">
        <f>HYPERLINK("http://digipan.lumentumllc.com/apps/getLink/index.php?t=TaxLink&amp;p=5245161","TL")</f>
        <v>TL</v>
      </c>
      <c r="C1143" s="1" t="str">
        <f>HYPERLINK("http://digipan.lumentumllc.com/apps/getMap/index.php?p=5245161","Map")</f>
        <v>Map</v>
      </c>
      <c r="E1143" t="s">
        <v>177</v>
      </c>
      <c r="F1143" t="s">
        <v>178</v>
      </c>
      <c r="L1143" t="s">
        <v>14995</v>
      </c>
      <c r="N1143" t="s">
        <v>14995</v>
      </c>
      <c r="O1143" t="s">
        <v>14995</v>
      </c>
      <c r="P1143" t="s">
        <v>14996</v>
      </c>
      <c r="Q1143" t="s">
        <v>14995</v>
      </c>
      <c r="V1143">
        <v>1309</v>
      </c>
      <c r="W1143">
        <v>4</v>
      </c>
      <c r="X1143">
        <v>2017</v>
      </c>
      <c r="Y1143">
        <v>2018</v>
      </c>
      <c r="Z1143">
        <v>534.07000000000005</v>
      </c>
      <c r="AB1143" t="s">
        <v>181</v>
      </c>
      <c r="AC1143" t="s">
        <v>182</v>
      </c>
      <c r="AD1143" t="s">
        <v>183</v>
      </c>
      <c r="AE1143">
        <v>0</v>
      </c>
      <c r="AF1143">
        <v>7</v>
      </c>
      <c r="AG1143" t="s">
        <v>528</v>
      </c>
      <c r="AH1143">
        <v>100</v>
      </c>
      <c r="AK1143">
        <v>0</v>
      </c>
      <c r="AL1143">
        <v>31470</v>
      </c>
      <c r="AM1143">
        <v>17500</v>
      </c>
      <c r="AN1143">
        <v>13970</v>
      </c>
      <c r="AO1143">
        <v>419</v>
      </c>
      <c r="AP1143">
        <v>2016</v>
      </c>
      <c r="AQ1143">
        <v>1.7</v>
      </c>
      <c r="AS1143" t="s">
        <v>14997</v>
      </c>
      <c r="AT1143" t="s">
        <v>3210</v>
      </c>
      <c r="AU1143" t="s">
        <v>177</v>
      </c>
      <c r="AV1143" t="s">
        <v>2334</v>
      </c>
      <c r="AW1143" t="s">
        <v>182</v>
      </c>
      <c r="AX1143">
        <v>2</v>
      </c>
      <c r="AY1143" t="s">
        <v>188</v>
      </c>
      <c r="AZ1143" t="s">
        <v>189</v>
      </c>
      <c r="BA1143" t="s">
        <v>190</v>
      </c>
      <c r="BB1143" t="s">
        <v>191</v>
      </c>
      <c r="BC1143" t="s">
        <v>182</v>
      </c>
      <c r="BD1143" t="s">
        <v>182</v>
      </c>
      <c r="BE1143" t="s">
        <v>383</v>
      </c>
      <c r="BF1143">
        <v>1</v>
      </c>
      <c r="BG1143">
        <v>1</v>
      </c>
      <c r="BH1143">
        <v>1986</v>
      </c>
      <c r="BI1143" t="s">
        <v>8193</v>
      </c>
      <c r="BJ1143" t="s">
        <v>194</v>
      </c>
      <c r="BK1143" t="s">
        <v>195</v>
      </c>
      <c r="BL1143" t="s">
        <v>199</v>
      </c>
      <c r="BM1143" t="s">
        <v>1825</v>
      </c>
      <c r="BN1143" t="s">
        <v>182</v>
      </c>
      <c r="BO1143" t="s">
        <v>198</v>
      </c>
      <c r="BP1143" t="s">
        <v>198</v>
      </c>
      <c r="BQ1143" t="s">
        <v>198</v>
      </c>
      <c r="BR1143" t="s">
        <v>198</v>
      </c>
      <c r="BS1143" t="s">
        <v>198</v>
      </c>
      <c r="BT1143" t="s">
        <v>198</v>
      </c>
      <c r="BU1143" t="s">
        <v>182</v>
      </c>
      <c r="BV1143" t="s">
        <v>198</v>
      </c>
      <c r="BW1143" t="s">
        <v>198</v>
      </c>
      <c r="BX1143" t="s">
        <v>199</v>
      </c>
      <c r="BY1143" t="s">
        <v>198</v>
      </c>
      <c r="BZ1143" t="s">
        <v>199</v>
      </c>
      <c r="CA1143" t="s">
        <v>199</v>
      </c>
      <c r="CB1143" t="s">
        <v>14998</v>
      </c>
      <c r="CC1143" t="s">
        <v>201</v>
      </c>
      <c r="CD1143" t="s">
        <v>182</v>
      </c>
      <c r="CE1143" t="s">
        <v>14999</v>
      </c>
      <c r="CF1143" t="s">
        <v>2333</v>
      </c>
      <c r="CG1143" t="s">
        <v>177</v>
      </c>
      <c r="CH1143" t="s">
        <v>2334</v>
      </c>
      <c r="CI1143" t="s">
        <v>15000</v>
      </c>
      <c r="CJ1143" t="s">
        <v>11104</v>
      </c>
      <c r="CK1143" t="s">
        <v>232</v>
      </c>
      <c r="CL1143" t="s">
        <v>233</v>
      </c>
      <c r="CM1143" t="s">
        <v>15001</v>
      </c>
      <c r="CN1143" t="s">
        <v>1164</v>
      </c>
      <c r="CO1143" t="s">
        <v>183</v>
      </c>
      <c r="CP1143" t="s">
        <v>211</v>
      </c>
      <c r="CQ1143" t="s">
        <v>189</v>
      </c>
      <c r="CS1143" t="s">
        <v>15002</v>
      </c>
      <c r="CT1143" t="s">
        <v>11833</v>
      </c>
      <c r="CU1143" t="s">
        <v>267</v>
      </c>
      <c r="CV1143" t="s">
        <v>268</v>
      </c>
      <c r="CW1143" t="s">
        <v>15003</v>
      </c>
      <c r="CX1143" t="s">
        <v>400</v>
      </c>
      <c r="CY1143" t="s">
        <v>183</v>
      </c>
      <c r="CZ1143" t="s">
        <v>211</v>
      </c>
      <c r="DA1143" t="s">
        <v>342</v>
      </c>
      <c r="DC1143" t="s">
        <v>4483</v>
      </c>
      <c r="DD1143" t="s">
        <v>3057</v>
      </c>
      <c r="DE1143" t="s">
        <v>273</v>
      </c>
      <c r="DF1143" t="s">
        <v>274</v>
      </c>
      <c r="DG1143" t="s">
        <v>15004</v>
      </c>
      <c r="DH1143" t="s">
        <v>402</v>
      </c>
      <c r="DI1143" t="s">
        <v>183</v>
      </c>
      <c r="DJ1143" t="s">
        <v>211</v>
      </c>
      <c r="DK1143" t="s">
        <v>296</v>
      </c>
      <c r="DM1143" t="s">
        <v>15005</v>
      </c>
      <c r="DN1143" t="s">
        <v>12340</v>
      </c>
      <c r="DO1143" t="s">
        <v>302</v>
      </c>
      <c r="DP1143" t="s">
        <v>303</v>
      </c>
      <c r="DQ1143" t="s">
        <v>15006</v>
      </c>
      <c r="DR1143" t="s">
        <v>331</v>
      </c>
      <c r="DS1143" t="s">
        <v>183</v>
      </c>
      <c r="DT1143" t="s">
        <v>211</v>
      </c>
      <c r="DU1143" t="s">
        <v>444</v>
      </c>
      <c r="DW1143" t="s">
        <v>15005</v>
      </c>
      <c r="DX1143" t="s">
        <v>11293</v>
      </c>
      <c r="DY1143" t="s">
        <v>238</v>
      </c>
      <c r="DZ1143" t="s">
        <v>239</v>
      </c>
      <c r="EA1143" t="s">
        <v>15007</v>
      </c>
      <c r="EB1143" t="s">
        <v>295</v>
      </c>
      <c r="EC1143" t="s">
        <v>183</v>
      </c>
      <c r="ED1143" t="s">
        <v>211</v>
      </c>
      <c r="EE1143" t="s">
        <v>298</v>
      </c>
      <c r="EG1143" t="s">
        <v>467</v>
      </c>
      <c r="EH1143" t="s">
        <v>15008</v>
      </c>
      <c r="EI1143" t="s">
        <v>346</v>
      </c>
      <c r="EJ1143" t="s">
        <v>347</v>
      </c>
      <c r="EK1143" t="s">
        <v>15009</v>
      </c>
      <c r="EL1143" t="s">
        <v>1491</v>
      </c>
      <c r="EM1143" t="s">
        <v>183</v>
      </c>
      <c r="EN1143" t="s">
        <v>211</v>
      </c>
      <c r="EO1143" t="s">
        <v>298</v>
      </c>
      <c r="EQ1143" t="s">
        <v>1818</v>
      </c>
      <c r="ER1143" t="s">
        <v>15010</v>
      </c>
      <c r="ES1143" t="s">
        <v>207</v>
      </c>
      <c r="ET1143" t="s">
        <v>208</v>
      </c>
      <c r="EU1143" t="s">
        <v>15011</v>
      </c>
      <c r="EV1143" t="s">
        <v>1966</v>
      </c>
      <c r="EW1143" t="s">
        <v>183</v>
      </c>
      <c r="EX1143" t="s">
        <v>211</v>
      </c>
      <c r="EY1143" t="s">
        <v>345</v>
      </c>
      <c r="FA1143" t="s">
        <v>7557</v>
      </c>
      <c r="FK1143" t="s">
        <v>198</v>
      </c>
      <c r="FU1143" t="s">
        <v>198</v>
      </c>
    </row>
    <row r="1144" spans="1:177">
      <c r="A1144" s="1" t="str">
        <f>HYPERLINK("http://digipan.lumentumllc.com/apps/getLink/index.php?t=PropLink&amp;p=5245220","PL")</f>
        <v>PL</v>
      </c>
      <c r="B1144" s="1" t="str">
        <f>HYPERLINK("http://digipan.lumentumllc.com/apps/getLink/index.php?t=TaxLink&amp;p=5245220","TL")</f>
        <v>TL</v>
      </c>
      <c r="C1144" s="1" t="str">
        <f>HYPERLINK("http://digipan.lumentumllc.com/apps/getMap/index.php?p=5245220","Map")</f>
        <v>Map</v>
      </c>
      <c r="E1144" t="s">
        <v>177</v>
      </c>
      <c r="F1144" t="s">
        <v>178</v>
      </c>
      <c r="L1144" t="s">
        <v>15012</v>
      </c>
      <c r="N1144" t="s">
        <v>15012</v>
      </c>
      <c r="O1144" t="s">
        <v>15012</v>
      </c>
      <c r="P1144" t="s">
        <v>15013</v>
      </c>
      <c r="Q1144" t="s">
        <v>15012</v>
      </c>
      <c r="V1144">
        <v>1310</v>
      </c>
      <c r="W1144">
        <v>4</v>
      </c>
      <c r="X1144">
        <v>2017</v>
      </c>
      <c r="Y1144">
        <v>2018</v>
      </c>
      <c r="Z1144">
        <v>1136.22</v>
      </c>
      <c r="AB1144" t="s">
        <v>181</v>
      </c>
      <c r="AC1144" t="s">
        <v>182</v>
      </c>
      <c r="AD1144" t="s">
        <v>183</v>
      </c>
      <c r="AE1144">
        <v>1</v>
      </c>
      <c r="AF1144">
        <v>6</v>
      </c>
      <c r="AG1144" t="s">
        <v>418</v>
      </c>
      <c r="AH1144">
        <v>86</v>
      </c>
      <c r="AI1144">
        <v>1150.1400000000001</v>
      </c>
      <c r="AJ1144">
        <v>57.51</v>
      </c>
      <c r="AK1144">
        <v>1207.6500000000001</v>
      </c>
      <c r="AL1144">
        <v>67444</v>
      </c>
      <c r="AM1144">
        <v>25500</v>
      </c>
      <c r="AN1144">
        <v>41944</v>
      </c>
      <c r="AO1144">
        <v>1039</v>
      </c>
      <c r="AP1144">
        <v>2016</v>
      </c>
      <c r="AQ1144">
        <v>1.68</v>
      </c>
      <c r="AR1144">
        <v>1.79</v>
      </c>
      <c r="AS1144" t="s">
        <v>15014</v>
      </c>
      <c r="AT1144" t="s">
        <v>3210</v>
      </c>
      <c r="AU1144" t="s">
        <v>177</v>
      </c>
      <c r="AV1144" t="s">
        <v>2334</v>
      </c>
      <c r="AW1144" t="s">
        <v>182</v>
      </c>
      <c r="AX1144">
        <v>1</v>
      </c>
      <c r="AY1144" t="s">
        <v>188</v>
      </c>
      <c r="AZ1144" t="s">
        <v>206</v>
      </c>
      <c r="BA1144" t="s">
        <v>355</v>
      </c>
      <c r="BB1144" t="s">
        <v>191</v>
      </c>
      <c r="BC1144" t="s">
        <v>182</v>
      </c>
      <c r="BD1144" t="s">
        <v>182</v>
      </c>
      <c r="BE1144" t="s">
        <v>383</v>
      </c>
      <c r="BF1144">
        <v>1</v>
      </c>
      <c r="BG1144">
        <v>1</v>
      </c>
      <c r="BH1144">
        <v>1928</v>
      </c>
      <c r="BI1144" t="s">
        <v>15015</v>
      </c>
      <c r="BJ1144" t="s">
        <v>194</v>
      </c>
      <c r="BK1144" t="s">
        <v>195</v>
      </c>
      <c r="BL1144" t="s">
        <v>199</v>
      </c>
      <c r="BM1144" t="s">
        <v>286</v>
      </c>
      <c r="BN1144" t="s">
        <v>182</v>
      </c>
      <c r="BO1144" t="s">
        <v>15016</v>
      </c>
      <c r="BP1144" t="s">
        <v>15017</v>
      </c>
      <c r="BS1144" t="s">
        <v>15018</v>
      </c>
      <c r="BT1144" t="s">
        <v>198</v>
      </c>
      <c r="BU1144" t="s">
        <v>182</v>
      </c>
      <c r="BV1144" t="s">
        <v>198</v>
      </c>
      <c r="BW1144" t="s">
        <v>198</v>
      </c>
      <c r="BX1144" t="s">
        <v>199</v>
      </c>
      <c r="BY1144" t="s">
        <v>198</v>
      </c>
      <c r="BZ1144" t="s">
        <v>199</v>
      </c>
      <c r="CA1144" t="s">
        <v>199</v>
      </c>
      <c r="CB1144" t="s">
        <v>15019</v>
      </c>
      <c r="CC1144" t="s">
        <v>201</v>
      </c>
      <c r="CD1144" t="s">
        <v>182</v>
      </c>
      <c r="CE1144" t="s">
        <v>15020</v>
      </c>
      <c r="CF1144" t="s">
        <v>2333</v>
      </c>
      <c r="CG1144" t="s">
        <v>177</v>
      </c>
      <c r="CH1144" t="s">
        <v>2334</v>
      </c>
      <c r="CI1144" t="s">
        <v>15021</v>
      </c>
      <c r="CJ1144" t="s">
        <v>4364</v>
      </c>
      <c r="CK1144" t="s">
        <v>232</v>
      </c>
      <c r="CL1144" t="s">
        <v>233</v>
      </c>
      <c r="CM1144" t="s">
        <v>3138</v>
      </c>
      <c r="CN1144" t="s">
        <v>235</v>
      </c>
      <c r="CO1144" t="s">
        <v>183</v>
      </c>
      <c r="CP1144" t="s">
        <v>266</v>
      </c>
      <c r="CS1144" t="s">
        <v>198</v>
      </c>
      <c r="CT1144" t="s">
        <v>13713</v>
      </c>
      <c r="CU1144" t="s">
        <v>292</v>
      </c>
      <c r="CV1144" t="s">
        <v>293</v>
      </c>
      <c r="CW1144" t="s">
        <v>15022</v>
      </c>
      <c r="CX1144" t="s">
        <v>235</v>
      </c>
      <c r="CY1144" t="s">
        <v>183</v>
      </c>
      <c r="CZ1144" t="s">
        <v>211</v>
      </c>
      <c r="DA1144" t="s">
        <v>345</v>
      </c>
      <c r="DC1144" t="s">
        <v>1609</v>
      </c>
      <c r="DD1144" t="s">
        <v>2751</v>
      </c>
      <c r="DE1144" t="s">
        <v>267</v>
      </c>
      <c r="DF1144" t="s">
        <v>268</v>
      </c>
      <c r="DG1144" t="s">
        <v>15023</v>
      </c>
      <c r="DH1144" t="s">
        <v>235</v>
      </c>
      <c r="DI1144" t="s">
        <v>183</v>
      </c>
      <c r="DJ1144" t="s">
        <v>211</v>
      </c>
      <c r="DK1144" t="s">
        <v>345</v>
      </c>
      <c r="DM1144" t="s">
        <v>13292</v>
      </c>
      <c r="DN1144" t="s">
        <v>10320</v>
      </c>
      <c r="DO1144" t="s">
        <v>273</v>
      </c>
      <c r="DP1144" t="s">
        <v>274</v>
      </c>
      <c r="DQ1144" t="s">
        <v>15024</v>
      </c>
      <c r="DR1144" t="s">
        <v>235</v>
      </c>
      <c r="DS1144" t="s">
        <v>183</v>
      </c>
      <c r="DT1144" t="s">
        <v>211</v>
      </c>
      <c r="DU1144" t="s">
        <v>298</v>
      </c>
      <c r="DW1144" t="s">
        <v>7503</v>
      </c>
      <c r="DX1144" t="s">
        <v>15025</v>
      </c>
      <c r="DY1144" t="s">
        <v>302</v>
      </c>
      <c r="DZ1144" t="s">
        <v>303</v>
      </c>
      <c r="EA1144" t="s">
        <v>15026</v>
      </c>
      <c r="EB1144" t="s">
        <v>235</v>
      </c>
      <c r="EC1144" t="s">
        <v>183</v>
      </c>
      <c r="ED1144" t="s">
        <v>211</v>
      </c>
      <c r="EE1144" t="s">
        <v>460</v>
      </c>
      <c r="EG1144" t="s">
        <v>15027</v>
      </c>
      <c r="EH1144" t="s">
        <v>9463</v>
      </c>
      <c r="EI1144" t="s">
        <v>238</v>
      </c>
      <c r="EJ1144" t="s">
        <v>239</v>
      </c>
      <c r="EK1144" t="s">
        <v>15028</v>
      </c>
      <c r="EL1144" t="s">
        <v>235</v>
      </c>
      <c r="EM1144" t="s">
        <v>183</v>
      </c>
      <c r="EN1144" t="s">
        <v>211</v>
      </c>
      <c r="EO1144" t="s">
        <v>298</v>
      </c>
      <c r="EQ1144" t="s">
        <v>1815</v>
      </c>
      <c r="ER1144" t="s">
        <v>15029</v>
      </c>
      <c r="ES1144" t="s">
        <v>346</v>
      </c>
      <c r="ET1144" t="s">
        <v>347</v>
      </c>
      <c r="EU1144" t="s">
        <v>15030</v>
      </c>
      <c r="EV1144" t="s">
        <v>235</v>
      </c>
      <c r="EW1144" t="s">
        <v>183</v>
      </c>
      <c r="EX1144" t="s">
        <v>211</v>
      </c>
      <c r="EY1144" t="s">
        <v>337</v>
      </c>
      <c r="FA1144" t="s">
        <v>15031</v>
      </c>
      <c r="FK1144" t="s">
        <v>198</v>
      </c>
      <c r="FU1144" t="s">
        <v>198</v>
      </c>
    </row>
    <row r="1145" spans="1:177">
      <c r="A1145" s="1" t="str">
        <f>HYPERLINK("http://digipan.lumentumllc.com/apps/getLink/index.php?t=PropLink&amp;p=15743221","PL")</f>
        <v>PL</v>
      </c>
      <c r="B1145" s="1" t="str">
        <f>HYPERLINK("http://digipan.lumentumllc.com/apps/getLink/index.php?t=TaxLink&amp;p=15743221","TL")</f>
        <v>TL</v>
      </c>
      <c r="C1145" s="1" t="str">
        <f>HYPERLINK("http://digipan.lumentumllc.com/apps/getMap/index.php?p=15743221","Map")</f>
        <v>Map</v>
      </c>
      <c r="E1145" t="s">
        <v>177</v>
      </c>
      <c r="F1145" t="s">
        <v>178</v>
      </c>
      <c r="L1145" t="s">
        <v>15032</v>
      </c>
      <c r="N1145" t="s">
        <v>15032</v>
      </c>
      <c r="O1145" t="s">
        <v>15032</v>
      </c>
      <c r="Q1145" t="s">
        <v>15032</v>
      </c>
      <c r="V1145">
        <v>1313</v>
      </c>
      <c r="W1145">
        <v>4</v>
      </c>
      <c r="X1145">
        <v>2017</v>
      </c>
      <c r="Y1145">
        <v>2018</v>
      </c>
      <c r="Z1145">
        <v>1164.0999999999999</v>
      </c>
      <c r="AG1145" t="s">
        <v>184</v>
      </c>
      <c r="AH1145">
        <v>0</v>
      </c>
      <c r="AK1145">
        <v>0</v>
      </c>
      <c r="AL1145">
        <v>116113</v>
      </c>
      <c r="AM1145">
        <v>25000</v>
      </c>
      <c r="AN1145">
        <v>91113</v>
      </c>
      <c r="AO1145">
        <v>1030</v>
      </c>
      <c r="AP1145">
        <v>2016</v>
      </c>
      <c r="AQ1145">
        <v>1</v>
      </c>
      <c r="AS1145" t="s">
        <v>15033</v>
      </c>
      <c r="AT1145" t="s">
        <v>3210</v>
      </c>
      <c r="AU1145" t="s">
        <v>177</v>
      </c>
      <c r="AV1145" t="s">
        <v>2334</v>
      </c>
      <c r="AW1145" t="s">
        <v>202</v>
      </c>
      <c r="AX1145">
        <v>1</v>
      </c>
      <c r="AY1145" t="s">
        <v>188</v>
      </c>
      <c r="AZ1145" t="s">
        <v>206</v>
      </c>
      <c r="BA1145" t="s">
        <v>355</v>
      </c>
      <c r="BB1145" t="s">
        <v>191</v>
      </c>
      <c r="BC1145" t="s">
        <v>182</v>
      </c>
      <c r="BD1145" t="s">
        <v>182</v>
      </c>
      <c r="BE1145" t="s">
        <v>9756</v>
      </c>
      <c r="BF1145">
        <v>1</v>
      </c>
      <c r="BG1145">
        <v>1</v>
      </c>
      <c r="BH1145">
        <v>2004</v>
      </c>
      <c r="BI1145" t="s">
        <v>5119</v>
      </c>
      <c r="BJ1145" t="s">
        <v>194</v>
      </c>
      <c r="BK1145" t="s">
        <v>195</v>
      </c>
      <c r="BL1145" t="s">
        <v>15034</v>
      </c>
      <c r="BM1145" t="s">
        <v>325</v>
      </c>
      <c r="BN1145" t="s">
        <v>182</v>
      </c>
      <c r="BO1145" t="s">
        <v>15035</v>
      </c>
      <c r="BP1145" t="s">
        <v>2542</v>
      </c>
      <c r="BQ1145" t="s">
        <v>1285</v>
      </c>
      <c r="BS1145" t="s">
        <v>198</v>
      </c>
      <c r="BT1145" t="s">
        <v>228</v>
      </c>
      <c r="BU1145" t="s">
        <v>182</v>
      </c>
      <c r="BV1145" t="s">
        <v>198</v>
      </c>
      <c r="BW1145" t="s">
        <v>198</v>
      </c>
      <c r="BX1145" t="s">
        <v>199</v>
      </c>
      <c r="BY1145" t="s">
        <v>198</v>
      </c>
      <c r="BZ1145" t="s">
        <v>199</v>
      </c>
      <c r="CA1145" t="s">
        <v>199</v>
      </c>
      <c r="CB1145" t="s">
        <v>15036</v>
      </c>
      <c r="CC1145" t="s">
        <v>201</v>
      </c>
      <c r="CD1145" t="s">
        <v>182</v>
      </c>
      <c r="CE1145" t="s">
        <v>15037</v>
      </c>
      <c r="CF1145" t="s">
        <v>2333</v>
      </c>
      <c r="CG1145" t="s">
        <v>177</v>
      </c>
      <c r="CH1145" t="s">
        <v>2334</v>
      </c>
      <c r="CI1145" t="s">
        <v>1218</v>
      </c>
      <c r="CS1145" t="s">
        <v>198</v>
      </c>
      <c r="DC1145" t="s">
        <v>198</v>
      </c>
      <c r="DM1145" t="s">
        <v>198</v>
      </c>
      <c r="DW1145" t="s">
        <v>198</v>
      </c>
      <c r="EG1145" t="s">
        <v>198</v>
      </c>
      <c r="EQ1145" t="s">
        <v>198</v>
      </c>
      <c r="FA1145" t="s">
        <v>198</v>
      </c>
      <c r="FK1145" t="s">
        <v>198</v>
      </c>
      <c r="FU1145" t="s">
        <v>198</v>
      </c>
    </row>
    <row r="1146" spans="1:177">
      <c r="A1146" s="1" t="str">
        <f>HYPERLINK("http://digipan.lumentumllc.com/apps/getLink/index.php?t=PropLink&amp;p=15745037","PL")</f>
        <v>PL</v>
      </c>
      <c r="B1146" s="1" t="str">
        <f>HYPERLINK("http://digipan.lumentumllc.com/apps/getLink/index.php?t=TaxLink&amp;p=15745037","TL")</f>
        <v>TL</v>
      </c>
      <c r="C1146" s="1" t="str">
        <f>HYPERLINK("http://digipan.lumentumllc.com/apps/getMap/index.php?p=15745037","Map")</f>
        <v>Map</v>
      </c>
      <c r="E1146" t="s">
        <v>177</v>
      </c>
      <c r="F1146" t="s">
        <v>178</v>
      </c>
      <c r="L1146" t="s">
        <v>15038</v>
      </c>
      <c r="N1146" t="s">
        <v>15038</v>
      </c>
      <c r="O1146" t="s">
        <v>15038</v>
      </c>
      <c r="Q1146" t="s">
        <v>15038</v>
      </c>
      <c r="V1146">
        <v>1314</v>
      </c>
      <c r="W1146">
        <v>4</v>
      </c>
      <c r="X1146">
        <v>2017</v>
      </c>
      <c r="Y1146">
        <v>2018</v>
      </c>
      <c r="Z1146">
        <v>1972.05</v>
      </c>
      <c r="AG1146" t="s">
        <v>184</v>
      </c>
      <c r="AH1146">
        <v>0</v>
      </c>
      <c r="AK1146">
        <v>0</v>
      </c>
      <c r="AL1146">
        <v>196383</v>
      </c>
      <c r="AM1146">
        <v>45000</v>
      </c>
      <c r="AN1146">
        <v>151383</v>
      </c>
      <c r="AO1146">
        <v>1772</v>
      </c>
      <c r="AP1146">
        <v>2016</v>
      </c>
      <c r="AQ1146">
        <v>1</v>
      </c>
      <c r="AS1146" t="s">
        <v>15039</v>
      </c>
      <c r="AT1146" t="s">
        <v>15040</v>
      </c>
      <c r="AU1146" t="s">
        <v>177</v>
      </c>
      <c r="AV1146" t="s">
        <v>371</v>
      </c>
      <c r="AW1146" t="s">
        <v>202</v>
      </c>
      <c r="AX1146">
        <v>1</v>
      </c>
      <c r="AY1146" t="s">
        <v>188</v>
      </c>
      <c r="AZ1146" t="s">
        <v>206</v>
      </c>
      <c r="BA1146" t="s">
        <v>355</v>
      </c>
      <c r="BB1146" t="s">
        <v>191</v>
      </c>
      <c r="BC1146" t="s">
        <v>182</v>
      </c>
      <c r="BD1146" t="s">
        <v>182</v>
      </c>
      <c r="BE1146" t="s">
        <v>12565</v>
      </c>
      <c r="BF1146">
        <v>1</v>
      </c>
      <c r="BG1146">
        <v>1</v>
      </c>
      <c r="BH1146">
        <v>2001</v>
      </c>
      <c r="BI1146" t="s">
        <v>15041</v>
      </c>
      <c r="BJ1146" t="s">
        <v>194</v>
      </c>
      <c r="BK1146" t="s">
        <v>195</v>
      </c>
      <c r="BL1146" t="s">
        <v>15042</v>
      </c>
      <c r="BM1146" t="s">
        <v>368</v>
      </c>
      <c r="BN1146" t="s">
        <v>182</v>
      </c>
      <c r="BO1146" t="s">
        <v>15043</v>
      </c>
      <c r="BP1146" t="s">
        <v>15044</v>
      </c>
      <c r="BQ1146" t="s">
        <v>581</v>
      </c>
      <c r="BR1146" t="s">
        <v>563</v>
      </c>
      <c r="BS1146" t="s">
        <v>198</v>
      </c>
      <c r="BT1146" t="s">
        <v>15045</v>
      </c>
      <c r="BU1146" t="s">
        <v>182</v>
      </c>
      <c r="BV1146" t="s">
        <v>198</v>
      </c>
      <c r="BW1146" t="s">
        <v>198</v>
      </c>
      <c r="BX1146" t="s">
        <v>199</v>
      </c>
      <c r="BY1146" t="s">
        <v>198</v>
      </c>
      <c r="BZ1146" t="s">
        <v>199</v>
      </c>
      <c r="CA1146" t="s">
        <v>199</v>
      </c>
      <c r="CB1146" t="s">
        <v>15046</v>
      </c>
      <c r="CC1146" t="s">
        <v>201</v>
      </c>
      <c r="CD1146" t="s">
        <v>182</v>
      </c>
      <c r="CE1146" t="s">
        <v>15047</v>
      </c>
      <c r="CF1146" t="s">
        <v>5331</v>
      </c>
      <c r="CG1146" t="s">
        <v>177</v>
      </c>
      <c r="CH1146" t="s">
        <v>371</v>
      </c>
      <c r="CI1146" t="s">
        <v>15048</v>
      </c>
      <c r="CS1146" t="s">
        <v>198</v>
      </c>
      <c r="DC1146" t="s">
        <v>198</v>
      </c>
      <c r="DM1146" t="s">
        <v>198</v>
      </c>
      <c r="DW1146" t="s">
        <v>198</v>
      </c>
      <c r="EG1146" t="s">
        <v>198</v>
      </c>
      <c r="EQ1146" t="s">
        <v>198</v>
      </c>
      <c r="FA1146" t="s">
        <v>198</v>
      </c>
      <c r="FK1146" t="s">
        <v>198</v>
      </c>
      <c r="FU1146" t="s">
        <v>198</v>
      </c>
    </row>
    <row r="1147" spans="1:177">
      <c r="A1147" s="1" t="str">
        <f>HYPERLINK("http://digipan.lumentumllc.com/apps/getLink/index.php?t=PropLink&amp;p=4637553","PL")</f>
        <v>PL</v>
      </c>
      <c r="B1147" s="1" t="str">
        <f>HYPERLINK("http://digipan.lumentumllc.com/apps/getLink/index.php?t=TaxLink&amp;p=4637553","TL")</f>
        <v>TL</v>
      </c>
      <c r="C1147" s="1" t="str">
        <f>HYPERLINK("http://digipan.lumentumllc.com/apps/getMap/index.php?p=4637553","Map")</f>
        <v>Map</v>
      </c>
      <c r="E1147" t="s">
        <v>177</v>
      </c>
      <c r="F1147" t="s">
        <v>178</v>
      </c>
      <c r="L1147" t="s">
        <v>15049</v>
      </c>
      <c r="N1147" t="s">
        <v>15049</v>
      </c>
      <c r="O1147" t="s">
        <v>15049</v>
      </c>
      <c r="P1147" t="s">
        <v>15050</v>
      </c>
      <c r="Q1147" t="s">
        <v>15049</v>
      </c>
      <c r="V1147">
        <v>1315</v>
      </c>
      <c r="W1147">
        <v>4</v>
      </c>
      <c r="X1147">
        <v>2017</v>
      </c>
      <c r="Y1147">
        <v>2018</v>
      </c>
      <c r="Z1147">
        <v>1259.95</v>
      </c>
      <c r="AB1147" t="s">
        <v>181</v>
      </c>
      <c r="AC1147" t="s">
        <v>182</v>
      </c>
      <c r="AD1147" t="s">
        <v>183</v>
      </c>
      <c r="AE1147">
        <v>0</v>
      </c>
      <c r="AF1147">
        <v>1</v>
      </c>
      <c r="AG1147" t="s">
        <v>821</v>
      </c>
      <c r="AH1147">
        <v>100</v>
      </c>
      <c r="AK1147">
        <v>0</v>
      </c>
      <c r="AL1147">
        <v>75000</v>
      </c>
      <c r="AM1147">
        <v>75000</v>
      </c>
      <c r="AN1147">
        <v>0</v>
      </c>
      <c r="AO1147">
        <v>1151</v>
      </c>
      <c r="AP1147">
        <v>2016</v>
      </c>
      <c r="AQ1147">
        <v>1.68</v>
      </c>
      <c r="AS1147" t="s">
        <v>15051</v>
      </c>
      <c r="AT1147" t="s">
        <v>15040</v>
      </c>
      <c r="AU1147" t="s">
        <v>177</v>
      </c>
      <c r="AV1147" t="s">
        <v>371</v>
      </c>
      <c r="AW1147" t="s">
        <v>182</v>
      </c>
      <c r="AX1147">
        <v>0</v>
      </c>
      <c r="AY1147" t="s">
        <v>312</v>
      </c>
      <c r="AZ1147" t="s">
        <v>199</v>
      </c>
      <c r="BA1147" t="s">
        <v>313</v>
      </c>
      <c r="BB1147" t="s">
        <v>191</v>
      </c>
      <c r="BC1147" t="s">
        <v>182</v>
      </c>
      <c r="BD1147" t="s">
        <v>182</v>
      </c>
      <c r="BE1147" t="s">
        <v>13050</v>
      </c>
      <c r="BF1147">
        <v>0</v>
      </c>
      <c r="BG1147">
        <v>0</v>
      </c>
      <c r="BH1147">
        <v>0</v>
      </c>
      <c r="BI1147" t="s">
        <v>199</v>
      </c>
      <c r="BJ1147" t="s">
        <v>396</v>
      </c>
      <c r="BL1147" t="s">
        <v>11378</v>
      </c>
      <c r="BM1147" t="s">
        <v>232</v>
      </c>
      <c r="BN1147" t="s">
        <v>182</v>
      </c>
      <c r="BO1147" t="s">
        <v>2015</v>
      </c>
      <c r="BP1147" t="s">
        <v>15052</v>
      </c>
      <c r="BQ1147" t="s">
        <v>800</v>
      </c>
      <c r="BR1147" t="s">
        <v>4041</v>
      </c>
      <c r="BS1147" t="s">
        <v>198</v>
      </c>
      <c r="BT1147" t="s">
        <v>228</v>
      </c>
      <c r="BU1147" t="s">
        <v>182</v>
      </c>
      <c r="BV1147" t="s">
        <v>198</v>
      </c>
      <c r="BW1147" t="s">
        <v>198</v>
      </c>
      <c r="BX1147" t="s">
        <v>199</v>
      </c>
      <c r="BY1147" t="s">
        <v>198</v>
      </c>
      <c r="BZ1147" t="s">
        <v>199</v>
      </c>
      <c r="CA1147" t="s">
        <v>199</v>
      </c>
      <c r="CB1147" t="s">
        <v>15053</v>
      </c>
      <c r="CC1147" t="s">
        <v>201</v>
      </c>
      <c r="CD1147" t="s">
        <v>202</v>
      </c>
      <c r="CE1147" t="s">
        <v>15054</v>
      </c>
      <c r="CF1147" t="s">
        <v>5331</v>
      </c>
      <c r="CG1147" t="s">
        <v>177</v>
      </c>
      <c r="CH1147" t="s">
        <v>371</v>
      </c>
      <c r="CI1147" t="s">
        <v>15055</v>
      </c>
      <c r="CJ1147" t="s">
        <v>6977</v>
      </c>
      <c r="CK1147" t="s">
        <v>232</v>
      </c>
      <c r="CL1147" t="s">
        <v>233</v>
      </c>
      <c r="CM1147" t="s">
        <v>15056</v>
      </c>
      <c r="CN1147" t="s">
        <v>235</v>
      </c>
      <c r="CO1147" t="s">
        <v>183</v>
      </c>
      <c r="CP1147" t="s">
        <v>211</v>
      </c>
      <c r="CQ1147" t="s">
        <v>199</v>
      </c>
      <c r="CS1147" t="s">
        <v>2774</v>
      </c>
      <c r="DC1147" t="s">
        <v>198</v>
      </c>
      <c r="DM1147" t="s">
        <v>198</v>
      </c>
      <c r="DW1147" t="s">
        <v>198</v>
      </c>
      <c r="EG1147" t="s">
        <v>198</v>
      </c>
      <c r="EQ1147" t="s">
        <v>198</v>
      </c>
      <c r="FA1147" t="s">
        <v>198</v>
      </c>
      <c r="FK1147" t="s">
        <v>198</v>
      </c>
      <c r="FU1147" t="s">
        <v>198</v>
      </c>
    </row>
    <row r="1148" spans="1:177">
      <c r="A1148" s="1" t="str">
        <f>HYPERLINK("http://digipan.lumentumllc.com/apps/getLink/index.php?t=PropLink&amp;p=7112400","PL")</f>
        <v>PL</v>
      </c>
      <c r="B1148" s="1" t="str">
        <f>HYPERLINK("http://digipan.lumentumllc.com/apps/getLink/index.php?t=TaxLink&amp;p=7112400","TL")</f>
        <v>TL</v>
      </c>
      <c r="C1148" s="1" t="str">
        <f>HYPERLINK("http://digipan.lumentumllc.com/apps/getMap/index.php?p=7112400","Map")</f>
        <v>Map</v>
      </c>
      <c r="E1148" t="s">
        <v>177</v>
      </c>
      <c r="F1148" t="s">
        <v>178</v>
      </c>
      <c r="L1148" t="s">
        <v>15057</v>
      </c>
      <c r="N1148" t="s">
        <v>15057</v>
      </c>
      <c r="O1148" t="s">
        <v>15057</v>
      </c>
      <c r="P1148" t="s">
        <v>15058</v>
      </c>
      <c r="Q1148" t="s">
        <v>15057</v>
      </c>
      <c r="V1148">
        <v>1316</v>
      </c>
      <c r="W1148">
        <v>4</v>
      </c>
      <c r="X1148">
        <v>2017</v>
      </c>
      <c r="Y1148">
        <v>2018</v>
      </c>
      <c r="Z1148">
        <v>1003.86</v>
      </c>
      <c r="AB1148" t="s">
        <v>181</v>
      </c>
      <c r="AC1148" t="s">
        <v>182</v>
      </c>
      <c r="AD1148" t="s">
        <v>183</v>
      </c>
      <c r="AE1148">
        <v>1</v>
      </c>
      <c r="AF1148">
        <v>1</v>
      </c>
      <c r="AG1148" t="s">
        <v>2222</v>
      </c>
      <c r="AH1148">
        <v>50</v>
      </c>
      <c r="AI1148">
        <v>857.11</v>
      </c>
      <c r="AJ1148">
        <v>42.86</v>
      </c>
      <c r="AK1148">
        <v>899.97</v>
      </c>
      <c r="AL1148">
        <v>65000</v>
      </c>
      <c r="AM1148">
        <v>65000</v>
      </c>
      <c r="AN1148">
        <v>0</v>
      </c>
      <c r="AO1148">
        <v>768</v>
      </c>
      <c r="AP1148">
        <v>2016</v>
      </c>
      <c r="AQ1148">
        <v>1.54</v>
      </c>
      <c r="AR1148">
        <v>1.38</v>
      </c>
      <c r="AS1148" t="s">
        <v>15059</v>
      </c>
      <c r="AT1148" t="s">
        <v>15040</v>
      </c>
      <c r="AU1148" t="s">
        <v>177</v>
      </c>
      <c r="AV1148" t="s">
        <v>371</v>
      </c>
      <c r="AW1148" t="s">
        <v>182</v>
      </c>
      <c r="AX1148">
        <v>0</v>
      </c>
      <c r="AY1148" t="s">
        <v>312</v>
      </c>
      <c r="AZ1148" t="s">
        <v>199</v>
      </c>
      <c r="BA1148" t="s">
        <v>313</v>
      </c>
      <c r="BB1148" t="s">
        <v>191</v>
      </c>
      <c r="BC1148" t="s">
        <v>182</v>
      </c>
      <c r="BD1148" t="s">
        <v>182</v>
      </c>
      <c r="BE1148" t="s">
        <v>3682</v>
      </c>
      <c r="BF1148">
        <v>0</v>
      </c>
      <c r="BG1148">
        <v>0</v>
      </c>
      <c r="BH1148">
        <v>0</v>
      </c>
      <c r="BI1148" t="s">
        <v>199</v>
      </c>
      <c r="BJ1148" t="s">
        <v>396</v>
      </c>
      <c r="BL1148" t="s">
        <v>1741</v>
      </c>
      <c r="BM1148" t="s">
        <v>292</v>
      </c>
      <c r="BN1148" t="s">
        <v>182</v>
      </c>
      <c r="BO1148" t="s">
        <v>15060</v>
      </c>
      <c r="BP1148" t="s">
        <v>15061</v>
      </c>
      <c r="BQ1148" t="s">
        <v>1285</v>
      </c>
      <c r="BR1148" t="s">
        <v>582</v>
      </c>
      <c r="BS1148" t="s">
        <v>198</v>
      </c>
      <c r="BT1148" t="s">
        <v>15062</v>
      </c>
      <c r="BU1148" t="s">
        <v>182</v>
      </c>
      <c r="BV1148" t="s">
        <v>198</v>
      </c>
      <c r="BW1148" t="s">
        <v>198</v>
      </c>
      <c r="BX1148" t="s">
        <v>199</v>
      </c>
      <c r="BY1148" t="s">
        <v>198</v>
      </c>
      <c r="BZ1148" t="s">
        <v>199</v>
      </c>
      <c r="CA1148" t="s">
        <v>199</v>
      </c>
      <c r="CB1148" t="s">
        <v>15063</v>
      </c>
      <c r="CC1148" t="s">
        <v>201</v>
      </c>
      <c r="CD1148" t="s">
        <v>182</v>
      </c>
      <c r="CE1148" t="s">
        <v>15064</v>
      </c>
      <c r="CF1148" t="s">
        <v>413</v>
      </c>
      <c r="CG1148" t="s">
        <v>177</v>
      </c>
      <c r="CH1148" t="s">
        <v>414</v>
      </c>
      <c r="CI1148" t="s">
        <v>15065</v>
      </c>
      <c r="CJ1148" t="s">
        <v>6995</v>
      </c>
      <c r="CK1148" t="s">
        <v>232</v>
      </c>
      <c r="CL1148" t="s">
        <v>233</v>
      </c>
      <c r="CM1148" t="s">
        <v>15066</v>
      </c>
      <c r="CN1148" t="s">
        <v>235</v>
      </c>
      <c r="CO1148" t="s">
        <v>183</v>
      </c>
      <c r="CP1148" t="s">
        <v>266</v>
      </c>
      <c r="CS1148" t="s">
        <v>198</v>
      </c>
      <c r="CT1148" t="s">
        <v>11465</v>
      </c>
      <c r="CU1148" t="s">
        <v>292</v>
      </c>
      <c r="CV1148" t="s">
        <v>293</v>
      </c>
      <c r="CW1148" t="s">
        <v>2000</v>
      </c>
      <c r="CX1148" t="s">
        <v>235</v>
      </c>
      <c r="CY1148" t="s">
        <v>183</v>
      </c>
      <c r="CZ1148" t="s">
        <v>211</v>
      </c>
      <c r="DA1148" t="s">
        <v>298</v>
      </c>
      <c r="DC1148" t="s">
        <v>3123</v>
      </c>
      <c r="DM1148" t="s">
        <v>198</v>
      </c>
      <c r="DW1148" t="s">
        <v>198</v>
      </c>
      <c r="EG1148" t="s">
        <v>198</v>
      </c>
      <c r="EQ1148" t="s">
        <v>198</v>
      </c>
      <c r="FA1148" t="s">
        <v>198</v>
      </c>
      <c r="FK1148" t="s">
        <v>198</v>
      </c>
      <c r="FU1148" t="s">
        <v>198</v>
      </c>
    </row>
    <row r="1149" spans="1:177">
      <c r="A1149" s="1" t="str">
        <f>HYPERLINK("http://digipan.lumentumllc.com/apps/getLink/index.php?t=PropLink&amp;p=5246222","PL")</f>
        <v>PL</v>
      </c>
      <c r="B1149" s="1" t="str">
        <f>HYPERLINK("http://digipan.lumentumllc.com/apps/getLink/index.php?t=TaxLink&amp;p=5246222","TL")</f>
        <v>TL</v>
      </c>
      <c r="C1149" s="1" t="str">
        <f>HYPERLINK("http://digipan.lumentumllc.com/apps/getMap/index.php?p=5246222","Map")</f>
        <v>Map</v>
      </c>
      <c r="E1149" t="s">
        <v>177</v>
      </c>
      <c r="F1149" t="s">
        <v>178</v>
      </c>
      <c r="L1149" t="s">
        <v>15067</v>
      </c>
      <c r="N1149" t="s">
        <v>15067</v>
      </c>
      <c r="O1149" t="s">
        <v>15067</v>
      </c>
      <c r="P1149" t="s">
        <v>15068</v>
      </c>
      <c r="Q1149" t="s">
        <v>15067</v>
      </c>
      <c r="V1149">
        <v>1317</v>
      </c>
      <c r="W1149">
        <v>5</v>
      </c>
      <c r="X1149">
        <v>2017</v>
      </c>
      <c r="Y1149">
        <v>2018</v>
      </c>
      <c r="Z1149">
        <v>779.95</v>
      </c>
      <c r="AG1149" t="s">
        <v>184</v>
      </c>
      <c r="AH1149">
        <v>0</v>
      </c>
      <c r="AK1149">
        <v>0</v>
      </c>
      <c r="AL1149">
        <v>47208</v>
      </c>
      <c r="AM1149">
        <v>25000</v>
      </c>
      <c r="AN1149">
        <v>22208</v>
      </c>
      <c r="AO1149">
        <v>621</v>
      </c>
      <c r="AP1149">
        <v>2016</v>
      </c>
      <c r="AQ1149">
        <v>1.65</v>
      </c>
      <c r="AS1149" t="s">
        <v>15069</v>
      </c>
      <c r="AT1149" t="s">
        <v>3210</v>
      </c>
      <c r="AU1149" t="s">
        <v>177</v>
      </c>
      <c r="AV1149" t="s">
        <v>2334</v>
      </c>
      <c r="AW1149" t="s">
        <v>182</v>
      </c>
      <c r="AX1149">
        <v>2</v>
      </c>
      <c r="AY1149" t="s">
        <v>188</v>
      </c>
      <c r="AZ1149" t="s">
        <v>189</v>
      </c>
      <c r="BA1149" t="s">
        <v>190</v>
      </c>
      <c r="BB1149" t="s">
        <v>191</v>
      </c>
      <c r="BC1149" t="s">
        <v>182</v>
      </c>
      <c r="BD1149" t="s">
        <v>182</v>
      </c>
      <c r="BE1149" t="s">
        <v>3682</v>
      </c>
      <c r="BF1149">
        <v>1</v>
      </c>
      <c r="BG1149">
        <v>1</v>
      </c>
      <c r="BH1149">
        <v>1986</v>
      </c>
      <c r="BI1149" t="s">
        <v>1291</v>
      </c>
      <c r="BJ1149" t="s">
        <v>194</v>
      </c>
      <c r="BK1149" t="s">
        <v>195</v>
      </c>
      <c r="BL1149" t="s">
        <v>199</v>
      </c>
      <c r="BM1149" t="s">
        <v>679</v>
      </c>
      <c r="BN1149" t="s">
        <v>182</v>
      </c>
      <c r="BO1149" t="s">
        <v>15070</v>
      </c>
      <c r="BP1149" t="s">
        <v>15071</v>
      </c>
      <c r="BQ1149" t="s">
        <v>562</v>
      </c>
      <c r="BR1149" t="s">
        <v>6200</v>
      </c>
      <c r="BS1149" t="s">
        <v>15072</v>
      </c>
      <c r="BT1149" t="s">
        <v>15073</v>
      </c>
      <c r="BU1149" t="s">
        <v>182</v>
      </c>
      <c r="BV1149" t="s">
        <v>198</v>
      </c>
      <c r="BW1149" t="s">
        <v>198</v>
      </c>
      <c r="BX1149" t="s">
        <v>199</v>
      </c>
      <c r="BY1149" t="s">
        <v>198</v>
      </c>
      <c r="BZ1149" t="s">
        <v>199</v>
      </c>
      <c r="CA1149" t="s">
        <v>199</v>
      </c>
      <c r="CB1149" t="s">
        <v>15074</v>
      </c>
      <c r="CC1149" t="s">
        <v>201</v>
      </c>
      <c r="CD1149" t="s">
        <v>182</v>
      </c>
      <c r="CE1149" t="s">
        <v>15075</v>
      </c>
      <c r="CF1149" t="s">
        <v>2333</v>
      </c>
      <c r="CG1149" t="s">
        <v>177</v>
      </c>
      <c r="CH1149" t="s">
        <v>2334</v>
      </c>
      <c r="CI1149" t="s">
        <v>4045</v>
      </c>
      <c r="CS1149" t="s">
        <v>198</v>
      </c>
      <c r="DC1149" t="s">
        <v>198</v>
      </c>
      <c r="DM1149" t="s">
        <v>198</v>
      </c>
      <c r="DW1149" t="s">
        <v>198</v>
      </c>
      <c r="EG1149" t="s">
        <v>198</v>
      </c>
      <c r="EQ1149" t="s">
        <v>198</v>
      </c>
      <c r="FA1149" t="s">
        <v>198</v>
      </c>
      <c r="FK1149" t="s">
        <v>198</v>
      </c>
      <c r="FU1149" t="s">
        <v>198</v>
      </c>
    </row>
    <row r="1150" spans="1:177">
      <c r="A1150" s="1" t="str">
        <f>HYPERLINK("http://digipan.lumentumllc.com/apps/getLink/index.php?t=PropLink&amp;p=15747620","PL")</f>
        <v>PL</v>
      </c>
      <c r="B1150" s="1" t="str">
        <f>HYPERLINK("http://digipan.lumentumllc.com/apps/getLink/index.php?t=TaxLink&amp;p=15747620","TL")</f>
        <v>TL</v>
      </c>
      <c r="C1150" s="1" t="str">
        <f>HYPERLINK("http://digipan.lumentumllc.com/apps/getMap/index.php?p=15747620","Map")</f>
        <v>Map</v>
      </c>
      <c r="E1150" t="s">
        <v>177</v>
      </c>
      <c r="F1150" t="s">
        <v>178</v>
      </c>
      <c r="L1150" t="s">
        <v>15076</v>
      </c>
      <c r="N1150" t="s">
        <v>15076</v>
      </c>
      <c r="O1150" t="s">
        <v>15076</v>
      </c>
      <c r="Q1150" t="s">
        <v>15076</v>
      </c>
      <c r="V1150">
        <v>1318</v>
      </c>
      <c r="W1150">
        <v>5</v>
      </c>
      <c r="X1150">
        <v>2017</v>
      </c>
      <c r="Y1150">
        <v>2018</v>
      </c>
      <c r="Z1150">
        <v>1267.17</v>
      </c>
      <c r="AB1150" t="s">
        <v>181</v>
      </c>
      <c r="AC1150" t="s">
        <v>182</v>
      </c>
      <c r="AD1150" t="s">
        <v>183</v>
      </c>
      <c r="AE1150">
        <v>1</v>
      </c>
      <c r="AF1150">
        <v>1</v>
      </c>
      <c r="AG1150" t="s">
        <v>2222</v>
      </c>
      <c r="AH1150">
        <v>50</v>
      </c>
      <c r="AI1150">
        <v>1113.25</v>
      </c>
      <c r="AJ1150">
        <v>55.66</v>
      </c>
      <c r="AK1150">
        <v>1168.9100000000001</v>
      </c>
      <c r="AL1150">
        <v>75442</v>
      </c>
      <c r="AM1150">
        <v>25000</v>
      </c>
      <c r="AN1150">
        <v>50442</v>
      </c>
      <c r="AO1150">
        <v>1004</v>
      </c>
      <c r="AP1150">
        <v>2016</v>
      </c>
      <c r="AQ1150">
        <v>1.68</v>
      </c>
      <c r="AR1150">
        <v>1.55</v>
      </c>
      <c r="AS1150" t="s">
        <v>15077</v>
      </c>
      <c r="AT1150" t="s">
        <v>3210</v>
      </c>
      <c r="AU1150" t="s">
        <v>177</v>
      </c>
      <c r="AV1150" t="s">
        <v>2334</v>
      </c>
      <c r="AW1150" t="s">
        <v>182</v>
      </c>
      <c r="AX1150">
        <v>8</v>
      </c>
      <c r="AY1150" t="s">
        <v>188</v>
      </c>
      <c r="AZ1150" t="s">
        <v>329</v>
      </c>
      <c r="BA1150" t="s">
        <v>6773</v>
      </c>
      <c r="BB1150" t="s">
        <v>191</v>
      </c>
      <c r="BC1150" t="s">
        <v>182</v>
      </c>
      <c r="BD1150" t="s">
        <v>182</v>
      </c>
      <c r="BE1150" t="s">
        <v>498</v>
      </c>
      <c r="BF1150">
        <v>1</v>
      </c>
      <c r="BG1150">
        <v>1</v>
      </c>
      <c r="BH1150">
        <v>1976</v>
      </c>
      <c r="BI1150" t="s">
        <v>15078</v>
      </c>
      <c r="BJ1150" t="s">
        <v>285</v>
      </c>
      <c r="BK1150" t="s">
        <v>195</v>
      </c>
      <c r="BL1150" t="s">
        <v>797</v>
      </c>
      <c r="BM1150" t="s">
        <v>232</v>
      </c>
      <c r="BN1150" t="s">
        <v>182</v>
      </c>
      <c r="BO1150" t="s">
        <v>8682</v>
      </c>
      <c r="BP1150" t="s">
        <v>15079</v>
      </c>
      <c r="BQ1150" t="s">
        <v>800</v>
      </c>
      <c r="BR1150" t="s">
        <v>2318</v>
      </c>
      <c r="BS1150" t="s">
        <v>198</v>
      </c>
      <c r="BT1150" t="s">
        <v>15080</v>
      </c>
      <c r="BU1150" t="s">
        <v>182</v>
      </c>
      <c r="BV1150" t="s">
        <v>198</v>
      </c>
      <c r="BW1150" t="s">
        <v>198</v>
      </c>
      <c r="BX1150" t="s">
        <v>199</v>
      </c>
      <c r="BY1150" t="s">
        <v>198</v>
      </c>
      <c r="BZ1150" t="s">
        <v>199</v>
      </c>
      <c r="CA1150" t="s">
        <v>199</v>
      </c>
      <c r="CB1150" t="s">
        <v>15081</v>
      </c>
      <c r="CC1150" t="s">
        <v>201</v>
      </c>
      <c r="CD1150" t="s">
        <v>202</v>
      </c>
      <c r="CE1150" t="s">
        <v>15082</v>
      </c>
      <c r="CF1150" t="s">
        <v>2333</v>
      </c>
      <c r="CG1150" t="s">
        <v>177</v>
      </c>
      <c r="CH1150" t="s">
        <v>2334</v>
      </c>
      <c r="CI1150" t="s">
        <v>15083</v>
      </c>
      <c r="CJ1150" t="s">
        <v>11318</v>
      </c>
      <c r="CK1150" t="s">
        <v>232</v>
      </c>
      <c r="CL1150" t="s">
        <v>233</v>
      </c>
      <c r="CM1150" t="s">
        <v>15084</v>
      </c>
      <c r="CN1150" t="s">
        <v>235</v>
      </c>
      <c r="CO1150" t="s">
        <v>183</v>
      </c>
      <c r="CP1150" t="s">
        <v>266</v>
      </c>
      <c r="CS1150" t="s">
        <v>198</v>
      </c>
      <c r="CT1150" t="s">
        <v>11467</v>
      </c>
      <c r="CU1150" t="s">
        <v>292</v>
      </c>
      <c r="CV1150" t="s">
        <v>293</v>
      </c>
      <c r="CW1150" t="s">
        <v>15085</v>
      </c>
      <c r="CX1150" t="s">
        <v>235</v>
      </c>
      <c r="CY1150" t="s">
        <v>183</v>
      </c>
      <c r="CZ1150" t="s">
        <v>211</v>
      </c>
      <c r="DA1150" t="s">
        <v>189</v>
      </c>
      <c r="DC1150" t="s">
        <v>3251</v>
      </c>
      <c r="DM1150" t="s">
        <v>198</v>
      </c>
      <c r="DW1150" t="s">
        <v>198</v>
      </c>
      <c r="EG1150" t="s">
        <v>198</v>
      </c>
      <c r="EQ1150" t="s">
        <v>198</v>
      </c>
      <c r="FA1150" t="s">
        <v>198</v>
      </c>
      <c r="FK1150" t="s">
        <v>198</v>
      </c>
      <c r="FU1150" t="s">
        <v>198</v>
      </c>
    </row>
    <row r="1151" spans="1:177">
      <c r="A1151" s="1" t="str">
        <f>HYPERLINK("http://digipan.lumentumllc.com/apps/getLink/index.php?t=PropLink&amp;p=4637717","PL")</f>
        <v>PL</v>
      </c>
      <c r="B1151" s="1" t="str">
        <f>HYPERLINK("http://digipan.lumentumllc.com/apps/getLink/index.php?t=TaxLink&amp;p=4637717","TL")</f>
        <v>TL</v>
      </c>
      <c r="C1151" s="1" t="str">
        <f>HYPERLINK("http://digipan.lumentumllc.com/apps/getMap/index.php?p=4637717","Map")</f>
        <v>Map</v>
      </c>
      <c r="E1151" t="s">
        <v>177</v>
      </c>
      <c r="F1151" t="s">
        <v>178</v>
      </c>
      <c r="L1151" t="s">
        <v>15086</v>
      </c>
      <c r="N1151" t="s">
        <v>15086</v>
      </c>
      <c r="O1151" t="s">
        <v>15086</v>
      </c>
      <c r="P1151" t="s">
        <v>15087</v>
      </c>
      <c r="Q1151" t="s">
        <v>15086</v>
      </c>
      <c r="V1151">
        <v>1319</v>
      </c>
      <c r="W1151">
        <v>5</v>
      </c>
      <c r="X1151">
        <v>2017</v>
      </c>
      <c r="Y1151">
        <v>2018</v>
      </c>
      <c r="Z1151">
        <v>72.94</v>
      </c>
      <c r="AB1151" t="s">
        <v>181</v>
      </c>
      <c r="AC1151" t="s">
        <v>182</v>
      </c>
      <c r="AD1151" t="s">
        <v>183</v>
      </c>
      <c r="AE1151">
        <v>6</v>
      </c>
      <c r="AF1151">
        <v>0</v>
      </c>
      <c r="AG1151" t="s">
        <v>3955</v>
      </c>
      <c r="AH1151">
        <v>0</v>
      </c>
      <c r="AI1151">
        <v>406.46</v>
      </c>
      <c r="AJ1151">
        <v>194.39</v>
      </c>
      <c r="AK1151">
        <v>600.85</v>
      </c>
      <c r="AL1151">
        <v>2500</v>
      </c>
      <c r="AM1151">
        <v>2500</v>
      </c>
      <c r="AN1151">
        <v>0</v>
      </c>
      <c r="AO1151">
        <v>38</v>
      </c>
      <c r="AP1151">
        <v>2016</v>
      </c>
      <c r="AQ1151">
        <v>2.92</v>
      </c>
      <c r="AR1151">
        <v>24.03</v>
      </c>
      <c r="AS1151" t="s">
        <v>15088</v>
      </c>
      <c r="AT1151" t="s">
        <v>3210</v>
      </c>
      <c r="AU1151" t="s">
        <v>177</v>
      </c>
      <c r="AV1151" t="s">
        <v>2334</v>
      </c>
      <c r="AW1151" t="s">
        <v>182</v>
      </c>
      <c r="AX1151">
        <v>0</v>
      </c>
      <c r="AY1151" t="s">
        <v>312</v>
      </c>
      <c r="AZ1151" t="s">
        <v>199</v>
      </c>
      <c r="BA1151" t="s">
        <v>313</v>
      </c>
      <c r="BB1151" t="s">
        <v>191</v>
      </c>
      <c r="BC1151" t="s">
        <v>182</v>
      </c>
      <c r="BD1151" t="s">
        <v>182</v>
      </c>
      <c r="BE1151" t="s">
        <v>9756</v>
      </c>
      <c r="BF1151">
        <v>0</v>
      </c>
      <c r="BG1151">
        <v>0</v>
      </c>
      <c r="BH1151">
        <v>0</v>
      </c>
      <c r="BI1151" t="s">
        <v>199</v>
      </c>
      <c r="BJ1151" t="s">
        <v>315</v>
      </c>
      <c r="BL1151" t="s">
        <v>199</v>
      </c>
      <c r="BM1151" t="s">
        <v>1825</v>
      </c>
      <c r="BN1151" t="s">
        <v>182</v>
      </c>
      <c r="BO1151" t="s">
        <v>198</v>
      </c>
      <c r="BP1151" t="s">
        <v>198</v>
      </c>
      <c r="BQ1151" t="s">
        <v>198</v>
      </c>
      <c r="BR1151" t="s">
        <v>198</v>
      </c>
      <c r="BS1151" t="s">
        <v>198</v>
      </c>
      <c r="BT1151" t="s">
        <v>198</v>
      </c>
      <c r="BU1151" t="s">
        <v>182</v>
      </c>
      <c r="BV1151" t="s">
        <v>198</v>
      </c>
      <c r="BW1151" t="s">
        <v>198</v>
      </c>
      <c r="BX1151" t="s">
        <v>199</v>
      </c>
      <c r="BY1151" t="s">
        <v>198</v>
      </c>
      <c r="BZ1151" t="s">
        <v>199</v>
      </c>
      <c r="CA1151" t="s">
        <v>199</v>
      </c>
      <c r="CB1151" t="s">
        <v>15089</v>
      </c>
      <c r="CC1151" t="s">
        <v>201</v>
      </c>
      <c r="CD1151" t="s">
        <v>182</v>
      </c>
      <c r="CE1151" t="s">
        <v>15090</v>
      </c>
      <c r="CF1151" t="s">
        <v>413</v>
      </c>
      <c r="CG1151" t="s">
        <v>177</v>
      </c>
      <c r="CH1151" t="s">
        <v>13246</v>
      </c>
      <c r="CI1151" t="s">
        <v>5915</v>
      </c>
      <c r="CJ1151" t="s">
        <v>4122</v>
      </c>
      <c r="CK1151" t="s">
        <v>232</v>
      </c>
      <c r="CL1151" t="s">
        <v>233</v>
      </c>
      <c r="CM1151" t="s">
        <v>15091</v>
      </c>
      <c r="CN1151" t="s">
        <v>482</v>
      </c>
      <c r="CO1151" t="s">
        <v>183</v>
      </c>
      <c r="CP1151" t="s">
        <v>266</v>
      </c>
      <c r="CS1151" t="s">
        <v>198</v>
      </c>
      <c r="CT1151" t="s">
        <v>9308</v>
      </c>
      <c r="CU1151" t="s">
        <v>292</v>
      </c>
      <c r="CV1151" t="s">
        <v>293</v>
      </c>
      <c r="CW1151" t="s">
        <v>15092</v>
      </c>
      <c r="CX1151" t="s">
        <v>482</v>
      </c>
      <c r="CY1151" t="s">
        <v>183</v>
      </c>
      <c r="CZ1151" t="s">
        <v>266</v>
      </c>
      <c r="DC1151" t="s">
        <v>198</v>
      </c>
      <c r="DD1151" t="s">
        <v>1733</v>
      </c>
      <c r="DE1151" t="s">
        <v>267</v>
      </c>
      <c r="DF1151" t="s">
        <v>268</v>
      </c>
      <c r="DG1151" t="s">
        <v>15093</v>
      </c>
      <c r="DH1151" t="s">
        <v>1615</v>
      </c>
      <c r="DI1151" t="s">
        <v>183</v>
      </c>
      <c r="DJ1151" t="s">
        <v>266</v>
      </c>
      <c r="DM1151" t="s">
        <v>198</v>
      </c>
      <c r="DN1151" t="s">
        <v>12293</v>
      </c>
      <c r="DO1151" t="s">
        <v>273</v>
      </c>
      <c r="DP1151" t="s">
        <v>274</v>
      </c>
      <c r="DQ1151" t="s">
        <v>15094</v>
      </c>
      <c r="DR1151" t="s">
        <v>482</v>
      </c>
      <c r="DS1151" t="s">
        <v>183</v>
      </c>
      <c r="DT1151" t="s">
        <v>266</v>
      </c>
      <c r="DW1151" t="s">
        <v>198</v>
      </c>
      <c r="DX1151" t="s">
        <v>13898</v>
      </c>
      <c r="DY1151" t="s">
        <v>302</v>
      </c>
      <c r="DZ1151" t="s">
        <v>303</v>
      </c>
      <c r="EA1151" t="s">
        <v>15095</v>
      </c>
      <c r="EB1151" t="s">
        <v>576</v>
      </c>
      <c r="EC1151" t="s">
        <v>183</v>
      </c>
      <c r="ED1151" t="s">
        <v>266</v>
      </c>
      <c r="EG1151" t="s">
        <v>198</v>
      </c>
      <c r="EH1151" t="s">
        <v>13762</v>
      </c>
      <c r="EI1151" t="s">
        <v>238</v>
      </c>
      <c r="EJ1151" t="s">
        <v>239</v>
      </c>
      <c r="EK1151" t="s">
        <v>15096</v>
      </c>
      <c r="EL1151" t="s">
        <v>314</v>
      </c>
      <c r="EM1151" t="s">
        <v>183</v>
      </c>
      <c r="EN1151" t="s">
        <v>266</v>
      </c>
      <c r="EQ1151" t="s">
        <v>198</v>
      </c>
      <c r="FA1151" t="s">
        <v>198</v>
      </c>
      <c r="FK1151" t="s">
        <v>198</v>
      </c>
      <c r="FU1151" t="s">
        <v>198</v>
      </c>
    </row>
    <row r="1152" spans="1:177">
      <c r="A1152" s="1" t="str">
        <f>HYPERLINK("http://digipan.lumentumllc.com/apps/getLink/index.php?t=PropLink&amp;p=4637718","PL")</f>
        <v>PL</v>
      </c>
      <c r="B1152" s="1" t="str">
        <f>HYPERLINK("http://digipan.lumentumllc.com/apps/getLink/index.php?t=TaxLink&amp;p=4637718","TL")</f>
        <v>TL</v>
      </c>
      <c r="C1152" s="1" t="str">
        <f>HYPERLINK("http://digipan.lumentumllc.com/apps/getMap/index.php?p=4637718","Map")</f>
        <v>Map</v>
      </c>
      <c r="E1152" t="s">
        <v>177</v>
      </c>
      <c r="F1152" t="s">
        <v>178</v>
      </c>
      <c r="L1152" t="s">
        <v>15097</v>
      </c>
      <c r="N1152" t="s">
        <v>15097</v>
      </c>
      <c r="O1152" t="s">
        <v>15097</v>
      </c>
      <c r="P1152" t="s">
        <v>15098</v>
      </c>
      <c r="Q1152" t="s">
        <v>15097</v>
      </c>
      <c r="V1152">
        <v>1320</v>
      </c>
      <c r="W1152">
        <v>5</v>
      </c>
      <c r="X1152">
        <v>2017</v>
      </c>
      <c r="Y1152">
        <v>2018</v>
      </c>
      <c r="Z1152">
        <v>72.94</v>
      </c>
      <c r="AB1152" t="s">
        <v>181</v>
      </c>
      <c r="AC1152" t="s">
        <v>182</v>
      </c>
      <c r="AD1152" t="s">
        <v>183</v>
      </c>
      <c r="AE1152">
        <v>6</v>
      </c>
      <c r="AF1152">
        <v>0</v>
      </c>
      <c r="AG1152" t="s">
        <v>3955</v>
      </c>
      <c r="AH1152">
        <v>0</v>
      </c>
      <c r="AI1152">
        <v>406.46</v>
      </c>
      <c r="AJ1152">
        <v>194.39</v>
      </c>
      <c r="AK1152">
        <v>600.85</v>
      </c>
      <c r="AL1152">
        <v>2500</v>
      </c>
      <c r="AM1152">
        <v>2500</v>
      </c>
      <c r="AN1152">
        <v>0</v>
      </c>
      <c r="AO1152">
        <v>38</v>
      </c>
      <c r="AP1152">
        <v>2016</v>
      </c>
      <c r="AQ1152">
        <v>2.92</v>
      </c>
      <c r="AR1152">
        <v>24.03</v>
      </c>
      <c r="AS1152" t="s">
        <v>15088</v>
      </c>
      <c r="AT1152" t="s">
        <v>3210</v>
      </c>
      <c r="AU1152" t="s">
        <v>177</v>
      </c>
      <c r="AV1152" t="s">
        <v>2334</v>
      </c>
      <c r="AW1152" t="s">
        <v>182</v>
      </c>
      <c r="AX1152">
        <v>0</v>
      </c>
      <c r="AY1152" t="s">
        <v>312</v>
      </c>
      <c r="AZ1152" t="s">
        <v>199</v>
      </c>
      <c r="BA1152" t="s">
        <v>313</v>
      </c>
      <c r="BB1152" t="s">
        <v>191</v>
      </c>
      <c r="BC1152" t="s">
        <v>182</v>
      </c>
      <c r="BD1152" t="s">
        <v>182</v>
      </c>
      <c r="BE1152" t="s">
        <v>9756</v>
      </c>
      <c r="BF1152">
        <v>0</v>
      </c>
      <c r="BG1152">
        <v>0</v>
      </c>
      <c r="BH1152">
        <v>0</v>
      </c>
      <c r="BI1152" t="s">
        <v>199</v>
      </c>
      <c r="BJ1152" t="s">
        <v>315</v>
      </c>
      <c r="BL1152" t="s">
        <v>199</v>
      </c>
      <c r="BM1152" t="s">
        <v>1825</v>
      </c>
      <c r="BN1152" t="s">
        <v>182</v>
      </c>
      <c r="BO1152" t="s">
        <v>198</v>
      </c>
      <c r="BP1152" t="s">
        <v>198</v>
      </c>
      <c r="BQ1152" t="s">
        <v>198</v>
      </c>
      <c r="BR1152" t="s">
        <v>198</v>
      </c>
      <c r="BS1152" t="s">
        <v>198</v>
      </c>
      <c r="BT1152" t="s">
        <v>198</v>
      </c>
      <c r="BU1152" t="s">
        <v>182</v>
      </c>
      <c r="BV1152" t="s">
        <v>198</v>
      </c>
      <c r="BW1152" t="s">
        <v>198</v>
      </c>
      <c r="BX1152" t="s">
        <v>199</v>
      </c>
      <c r="BY1152" t="s">
        <v>198</v>
      </c>
      <c r="BZ1152" t="s">
        <v>199</v>
      </c>
      <c r="CA1152" t="s">
        <v>199</v>
      </c>
      <c r="CB1152" t="s">
        <v>15089</v>
      </c>
      <c r="CC1152" t="s">
        <v>201</v>
      </c>
      <c r="CD1152" t="s">
        <v>182</v>
      </c>
      <c r="CE1152" t="s">
        <v>15090</v>
      </c>
      <c r="CF1152" t="s">
        <v>413</v>
      </c>
      <c r="CG1152" t="s">
        <v>177</v>
      </c>
      <c r="CH1152" t="s">
        <v>13246</v>
      </c>
      <c r="CI1152" t="s">
        <v>15099</v>
      </c>
      <c r="CJ1152" t="s">
        <v>7970</v>
      </c>
      <c r="CK1152" t="s">
        <v>232</v>
      </c>
      <c r="CL1152" t="s">
        <v>233</v>
      </c>
      <c r="CM1152" t="s">
        <v>15091</v>
      </c>
      <c r="CN1152" t="s">
        <v>482</v>
      </c>
      <c r="CO1152" t="s">
        <v>183</v>
      </c>
      <c r="CP1152" t="s">
        <v>266</v>
      </c>
      <c r="CS1152" t="s">
        <v>198</v>
      </c>
      <c r="CT1152" t="s">
        <v>13840</v>
      </c>
      <c r="CU1152" t="s">
        <v>292</v>
      </c>
      <c r="CV1152" t="s">
        <v>293</v>
      </c>
      <c r="CW1152" t="s">
        <v>15092</v>
      </c>
      <c r="CX1152" t="s">
        <v>482</v>
      </c>
      <c r="CY1152" t="s">
        <v>183</v>
      </c>
      <c r="CZ1152" t="s">
        <v>266</v>
      </c>
      <c r="DC1152" t="s">
        <v>198</v>
      </c>
      <c r="DD1152" t="s">
        <v>14341</v>
      </c>
      <c r="DE1152" t="s">
        <v>267</v>
      </c>
      <c r="DF1152" t="s">
        <v>268</v>
      </c>
      <c r="DG1152" t="s">
        <v>15093</v>
      </c>
      <c r="DH1152" t="s">
        <v>1615</v>
      </c>
      <c r="DI1152" t="s">
        <v>183</v>
      </c>
      <c r="DJ1152" t="s">
        <v>266</v>
      </c>
      <c r="DM1152" t="s">
        <v>198</v>
      </c>
      <c r="DN1152" t="s">
        <v>12308</v>
      </c>
      <c r="DO1152" t="s">
        <v>273</v>
      </c>
      <c r="DP1152" t="s">
        <v>274</v>
      </c>
      <c r="DQ1152" t="s">
        <v>15094</v>
      </c>
      <c r="DR1152" t="s">
        <v>482</v>
      </c>
      <c r="DS1152" t="s">
        <v>183</v>
      </c>
      <c r="DT1152" t="s">
        <v>266</v>
      </c>
      <c r="DW1152" t="s">
        <v>198</v>
      </c>
      <c r="DX1152" t="s">
        <v>13457</v>
      </c>
      <c r="DY1152" t="s">
        <v>302</v>
      </c>
      <c r="DZ1152" t="s">
        <v>303</v>
      </c>
      <c r="EA1152" t="s">
        <v>15095</v>
      </c>
      <c r="EB1152" t="s">
        <v>576</v>
      </c>
      <c r="EC1152" t="s">
        <v>183</v>
      </c>
      <c r="ED1152" t="s">
        <v>266</v>
      </c>
      <c r="EG1152" t="s">
        <v>198</v>
      </c>
      <c r="EH1152" t="s">
        <v>13789</v>
      </c>
      <c r="EI1152" t="s">
        <v>238</v>
      </c>
      <c r="EJ1152" t="s">
        <v>239</v>
      </c>
      <c r="EK1152" t="s">
        <v>15096</v>
      </c>
      <c r="EL1152" t="s">
        <v>314</v>
      </c>
      <c r="EM1152" t="s">
        <v>183</v>
      </c>
      <c r="EN1152" t="s">
        <v>266</v>
      </c>
      <c r="EQ1152" t="s">
        <v>198</v>
      </c>
      <c r="FA1152" t="s">
        <v>198</v>
      </c>
      <c r="FK1152" t="s">
        <v>198</v>
      </c>
      <c r="FU1152" t="s">
        <v>198</v>
      </c>
    </row>
    <row r="1153" spans="1:177">
      <c r="A1153" s="1" t="str">
        <f>HYPERLINK("http://digipan.lumentumllc.com/apps/getLink/index.php?t=PropLink&amp;p=4637719","PL")</f>
        <v>PL</v>
      </c>
      <c r="B1153" s="1" t="str">
        <f>HYPERLINK("http://digipan.lumentumllc.com/apps/getLink/index.php?t=TaxLink&amp;p=4637719","TL")</f>
        <v>TL</v>
      </c>
      <c r="C1153" s="1" t="str">
        <f>HYPERLINK("http://digipan.lumentumllc.com/apps/getMap/index.php?p=4637719","Map")</f>
        <v>Map</v>
      </c>
      <c r="E1153" t="s">
        <v>177</v>
      </c>
      <c r="F1153" t="s">
        <v>178</v>
      </c>
      <c r="L1153" t="s">
        <v>15100</v>
      </c>
      <c r="N1153" t="s">
        <v>15100</v>
      </c>
      <c r="O1153" t="s">
        <v>15100</v>
      </c>
      <c r="P1153" t="s">
        <v>15101</v>
      </c>
      <c r="Q1153" t="s">
        <v>15100</v>
      </c>
      <c r="V1153">
        <v>1321</v>
      </c>
      <c r="W1153">
        <v>5</v>
      </c>
      <c r="X1153">
        <v>2017</v>
      </c>
      <c r="Y1153">
        <v>2018</v>
      </c>
      <c r="Z1153">
        <v>72.94</v>
      </c>
      <c r="AB1153" t="s">
        <v>181</v>
      </c>
      <c r="AC1153" t="s">
        <v>182</v>
      </c>
      <c r="AD1153" t="s">
        <v>183</v>
      </c>
      <c r="AE1153">
        <v>6</v>
      </c>
      <c r="AF1153">
        <v>0</v>
      </c>
      <c r="AG1153" t="s">
        <v>3955</v>
      </c>
      <c r="AH1153">
        <v>0</v>
      </c>
      <c r="AI1153">
        <v>406.46</v>
      </c>
      <c r="AJ1153">
        <v>194.39</v>
      </c>
      <c r="AK1153">
        <v>600.85</v>
      </c>
      <c r="AL1153">
        <v>2500</v>
      </c>
      <c r="AM1153">
        <v>2500</v>
      </c>
      <c r="AN1153">
        <v>0</v>
      </c>
      <c r="AO1153">
        <v>38</v>
      </c>
      <c r="AP1153">
        <v>2016</v>
      </c>
      <c r="AQ1153">
        <v>2.92</v>
      </c>
      <c r="AR1153">
        <v>24.03</v>
      </c>
      <c r="AS1153" t="s">
        <v>15088</v>
      </c>
      <c r="AT1153" t="s">
        <v>3210</v>
      </c>
      <c r="AU1153" t="s">
        <v>177</v>
      </c>
      <c r="AV1153" t="s">
        <v>2334</v>
      </c>
      <c r="AW1153" t="s">
        <v>182</v>
      </c>
      <c r="AX1153">
        <v>0</v>
      </c>
      <c r="AY1153" t="s">
        <v>312</v>
      </c>
      <c r="AZ1153" t="s">
        <v>199</v>
      </c>
      <c r="BA1153" t="s">
        <v>313</v>
      </c>
      <c r="BB1153" t="s">
        <v>191</v>
      </c>
      <c r="BC1153" t="s">
        <v>182</v>
      </c>
      <c r="BD1153" t="s">
        <v>182</v>
      </c>
      <c r="BE1153" t="s">
        <v>9756</v>
      </c>
      <c r="BF1153">
        <v>0</v>
      </c>
      <c r="BG1153">
        <v>0</v>
      </c>
      <c r="BH1153">
        <v>0</v>
      </c>
      <c r="BI1153" t="s">
        <v>199</v>
      </c>
      <c r="BJ1153" t="s">
        <v>315</v>
      </c>
      <c r="BL1153" t="s">
        <v>199</v>
      </c>
      <c r="BM1153" t="s">
        <v>1825</v>
      </c>
      <c r="BN1153" t="s">
        <v>182</v>
      </c>
      <c r="BO1153" t="s">
        <v>198</v>
      </c>
      <c r="BP1153" t="s">
        <v>198</v>
      </c>
      <c r="BQ1153" t="s">
        <v>198</v>
      </c>
      <c r="BR1153" t="s">
        <v>198</v>
      </c>
      <c r="BS1153" t="s">
        <v>198</v>
      </c>
      <c r="BT1153" t="s">
        <v>198</v>
      </c>
      <c r="BU1153" t="s">
        <v>182</v>
      </c>
      <c r="BV1153" t="s">
        <v>198</v>
      </c>
      <c r="BW1153" t="s">
        <v>198</v>
      </c>
      <c r="BX1153" t="s">
        <v>199</v>
      </c>
      <c r="BY1153" t="s">
        <v>198</v>
      </c>
      <c r="BZ1153" t="s">
        <v>199</v>
      </c>
      <c r="CA1153" t="s">
        <v>199</v>
      </c>
      <c r="CB1153" t="s">
        <v>15089</v>
      </c>
      <c r="CC1153" t="s">
        <v>201</v>
      </c>
      <c r="CD1153" t="s">
        <v>182</v>
      </c>
      <c r="CE1153" t="s">
        <v>15090</v>
      </c>
      <c r="CF1153" t="s">
        <v>413</v>
      </c>
      <c r="CG1153" t="s">
        <v>177</v>
      </c>
      <c r="CH1153" t="s">
        <v>13246</v>
      </c>
      <c r="CI1153" t="s">
        <v>15102</v>
      </c>
      <c r="CJ1153" t="s">
        <v>11358</v>
      </c>
      <c r="CK1153" t="s">
        <v>232</v>
      </c>
      <c r="CL1153" t="s">
        <v>233</v>
      </c>
      <c r="CM1153" t="s">
        <v>15091</v>
      </c>
      <c r="CN1153" t="s">
        <v>482</v>
      </c>
      <c r="CO1153" t="s">
        <v>183</v>
      </c>
      <c r="CP1153" t="s">
        <v>266</v>
      </c>
      <c r="CS1153" t="s">
        <v>198</v>
      </c>
      <c r="CT1153" t="s">
        <v>11507</v>
      </c>
      <c r="CU1153" t="s">
        <v>292</v>
      </c>
      <c r="CV1153" t="s">
        <v>293</v>
      </c>
      <c r="CW1153" t="s">
        <v>15092</v>
      </c>
      <c r="CX1153" t="s">
        <v>482</v>
      </c>
      <c r="CY1153" t="s">
        <v>183</v>
      </c>
      <c r="CZ1153" t="s">
        <v>266</v>
      </c>
      <c r="DC1153" t="s">
        <v>198</v>
      </c>
      <c r="DD1153" t="s">
        <v>11936</v>
      </c>
      <c r="DE1153" t="s">
        <v>267</v>
      </c>
      <c r="DF1153" t="s">
        <v>268</v>
      </c>
      <c r="DG1153" t="s">
        <v>15093</v>
      </c>
      <c r="DH1153" t="s">
        <v>1615</v>
      </c>
      <c r="DI1153" t="s">
        <v>183</v>
      </c>
      <c r="DJ1153" t="s">
        <v>266</v>
      </c>
      <c r="DM1153" t="s">
        <v>198</v>
      </c>
      <c r="DN1153" t="s">
        <v>14990</v>
      </c>
      <c r="DO1153" t="s">
        <v>273</v>
      </c>
      <c r="DP1153" t="s">
        <v>274</v>
      </c>
      <c r="DQ1153" t="s">
        <v>15094</v>
      </c>
      <c r="DR1153" t="s">
        <v>482</v>
      </c>
      <c r="DS1153" t="s">
        <v>183</v>
      </c>
      <c r="DT1153" t="s">
        <v>266</v>
      </c>
      <c r="DW1153" t="s">
        <v>198</v>
      </c>
      <c r="DX1153" t="s">
        <v>13948</v>
      </c>
      <c r="DY1153" t="s">
        <v>302</v>
      </c>
      <c r="DZ1153" t="s">
        <v>303</v>
      </c>
      <c r="EA1153" t="s">
        <v>15095</v>
      </c>
      <c r="EB1153" t="s">
        <v>576</v>
      </c>
      <c r="EC1153" t="s">
        <v>183</v>
      </c>
      <c r="ED1153" t="s">
        <v>266</v>
      </c>
      <c r="EG1153" t="s">
        <v>198</v>
      </c>
      <c r="EH1153" t="s">
        <v>15103</v>
      </c>
      <c r="EI1153" t="s">
        <v>238</v>
      </c>
      <c r="EJ1153" t="s">
        <v>239</v>
      </c>
      <c r="EK1153" t="s">
        <v>15096</v>
      </c>
      <c r="EL1153" t="s">
        <v>314</v>
      </c>
      <c r="EM1153" t="s">
        <v>183</v>
      </c>
      <c r="EN1153" t="s">
        <v>266</v>
      </c>
      <c r="EQ1153" t="s">
        <v>198</v>
      </c>
      <c r="FA1153" t="s">
        <v>198</v>
      </c>
      <c r="FK1153" t="s">
        <v>198</v>
      </c>
      <c r="FU1153" t="s">
        <v>198</v>
      </c>
    </row>
    <row r="1154" spans="1:177">
      <c r="A1154" s="1" t="str">
        <f>HYPERLINK("http://digipan.lumentumllc.com/apps/getLink/index.php?t=PropLink&amp;p=4637720","PL")</f>
        <v>PL</v>
      </c>
      <c r="B1154" s="1" t="str">
        <f>HYPERLINK("http://digipan.lumentumllc.com/apps/getLink/index.php?t=TaxLink&amp;p=4637720","TL")</f>
        <v>TL</v>
      </c>
      <c r="C1154" s="1" t="str">
        <f>HYPERLINK("http://digipan.lumentumllc.com/apps/getMap/index.php?p=4637720","Map")</f>
        <v>Map</v>
      </c>
      <c r="E1154" t="s">
        <v>177</v>
      </c>
      <c r="F1154" t="s">
        <v>178</v>
      </c>
      <c r="L1154" t="s">
        <v>15104</v>
      </c>
      <c r="N1154" t="s">
        <v>15104</v>
      </c>
      <c r="O1154" t="s">
        <v>15104</v>
      </c>
      <c r="P1154" t="s">
        <v>15105</v>
      </c>
      <c r="Q1154" t="s">
        <v>15104</v>
      </c>
      <c r="V1154">
        <v>1322</v>
      </c>
      <c r="W1154">
        <v>5</v>
      </c>
      <c r="X1154">
        <v>2017</v>
      </c>
      <c r="Y1154">
        <v>2018</v>
      </c>
      <c r="Z1154">
        <v>87.25</v>
      </c>
      <c r="AB1154" t="s">
        <v>181</v>
      </c>
      <c r="AC1154" t="s">
        <v>182</v>
      </c>
      <c r="AD1154" t="s">
        <v>183</v>
      </c>
      <c r="AE1154">
        <v>6</v>
      </c>
      <c r="AF1154">
        <v>0</v>
      </c>
      <c r="AG1154" t="s">
        <v>3955</v>
      </c>
      <c r="AH1154">
        <v>0</v>
      </c>
      <c r="AI1154">
        <v>486.89</v>
      </c>
      <c r="AJ1154">
        <v>232.12</v>
      </c>
      <c r="AK1154">
        <v>719.01</v>
      </c>
      <c r="AL1154">
        <v>3375</v>
      </c>
      <c r="AM1154">
        <v>3375</v>
      </c>
      <c r="AN1154">
        <v>0</v>
      </c>
      <c r="AO1154">
        <v>52</v>
      </c>
      <c r="AP1154">
        <v>2016</v>
      </c>
      <c r="AQ1154">
        <v>2.59</v>
      </c>
      <c r="AR1154">
        <v>21.3</v>
      </c>
      <c r="AS1154" t="s">
        <v>15088</v>
      </c>
      <c r="AT1154" t="s">
        <v>3210</v>
      </c>
      <c r="AU1154" t="s">
        <v>177</v>
      </c>
      <c r="AV1154" t="s">
        <v>2334</v>
      </c>
      <c r="AW1154" t="s">
        <v>182</v>
      </c>
      <c r="AX1154">
        <v>0</v>
      </c>
      <c r="AY1154" t="s">
        <v>312</v>
      </c>
      <c r="AZ1154" t="s">
        <v>199</v>
      </c>
      <c r="BA1154" t="s">
        <v>313</v>
      </c>
      <c r="BB1154" t="s">
        <v>191</v>
      </c>
      <c r="BC1154" t="s">
        <v>182</v>
      </c>
      <c r="BD1154" t="s">
        <v>182</v>
      </c>
      <c r="BE1154" t="s">
        <v>6523</v>
      </c>
      <c r="BF1154">
        <v>0</v>
      </c>
      <c r="BG1154">
        <v>0</v>
      </c>
      <c r="BH1154">
        <v>0</v>
      </c>
      <c r="BI1154" t="s">
        <v>199</v>
      </c>
      <c r="BJ1154" t="s">
        <v>315</v>
      </c>
      <c r="BL1154" t="s">
        <v>199</v>
      </c>
      <c r="BM1154" t="s">
        <v>1825</v>
      </c>
      <c r="BN1154" t="s">
        <v>182</v>
      </c>
      <c r="BO1154" t="s">
        <v>198</v>
      </c>
      <c r="BP1154" t="s">
        <v>198</v>
      </c>
      <c r="BQ1154" t="s">
        <v>198</v>
      </c>
      <c r="BR1154" t="s">
        <v>198</v>
      </c>
      <c r="BS1154" t="s">
        <v>198</v>
      </c>
      <c r="BT1154" t="s">
        <v>198</v>
      </c>
      <c r="BU1154" t="s">
        <v>182</v>
      </c>
      <c r="BV1154" t="s">
        <v>198</v>
      </c>
      <c r="BW1154" t="s">
        <v>198</v>
      </c>
      <c r="BX1154" t="s">
        <v>199</v>
      </c>
      <c r="BY1154" t="s">
        <v>198</v>
      </c>
      <c r="BZ1154" t="s">
        <v>199</v>
      </c>
      <c r="CA1154" t="s">
        <v>199</v>
      </c>
      <c r="CB1154" t="s">
        <v>15089</v>
      </c>
      <c r="CC1154" t="s">
        <v>201</v>
      </c>
      <c r="CD1154" t="s">
        <v>182</v>
      </c>
      <c r="CE1154" t="s">
        <v>15090</v>
      </c>
      <c r="CF1154" t="s">
        <v>413</v>
      </c>
      <c r="CG1154" t="s">
        <v>177</v>
      </c>
      <c r="CH1154" t="s">
        <v>13246</v>
      </c>
      <c r="CI1154" t="s">
        <v>15106</v>
      </c>
      <c r="CJ1154" t="s">
        <v>11316</v>
      </c>
      <c r="CK1154" t="s">
        <v>232</v>
      </c>
      <c r="CL1154" t="s">
        <v>233</v>
      </c>
      <c r="CM1154" t="s">
        <v>14329</v>
      </c>
      <c r="CN1154" t="s">
        <v>482</v>
      </c>
      <c r="CO1154" t="s">
        <v>183</v>
      </c>
      <c r="CP1154" t="s">
        <v>266</v>
      </c>
      <c r="CS1154" t="s">
        <v>198</v>
      </c>
      <c r="CT1154" t="s">
        <v>11509</v>
      </c>
      <c r="CU1154" t="s">
        <v>292</v>
      </c>
      <c r="CV1154" t="s">
        <v>293</v>
      </c>
      <c r="CW1154" t="s">
        <v>15107</v>
      </c>
      <c r="CX1154" t="s">
        <v>482</v>
      </c>
      <c r="CY1154" t="s">
        <v>183</v>
      </c>
      <c r="CZ1154" t="s">
        <v>266</v>
      </c>
      <c r="DC1154" t="s">
        <v>198</v>
      </c>
      <c r="DD1154" t="s">
        <v>14369</v>
      </c>
      <c r="DE1154" t="s">
        <v>267</v>
      </c>
      <c r="DF1154" t="s">
        <v>268</v>
      </c>
      <c r="DG1154" t="s">
        <v>15108</v>
      </c>
      <c r="DH1154" t="s">
        <v>1615</v>
      </c>
      <c r="DI1154" t="s">
        <v>183</v>
      </c>
      <c r="DJ1154" t="s">
        <v>266</v>
      </c>
      <c r="DM1154" t="s">
        <v>198</v>
      </c>
      <c r="DN1154" t="s">
        <v>12340</v>
      </c>
      <c r="DO1154" t="s">
        <v>273</v>
      </c>
      <c r="DP1154" t="s">
        <v>274</v>
      </c>
      <c r="DQ1154" t="s">
        <v>15109</v>
      </c>
      <c r="DR1154" t="s">
        <v>482</v>
      </c>
      <c r="DS1154" t="s">
        <v>183</v>
      </c>
      <c r="DT1154" t="s">
        <v>266</v>
      </c>
      <c r="DW1154" t="s">
        <v>198</v>
      </c>
      <c r="DX1154" t="s">
        <v>8055</v>
      </c>
      <c r="DY1154" t="s">
        <v>302</v>
      </c>
      <c r="DZ1154" t="s">
        <v>303</v>
      </c>
      <c r="EA1154" t="s">
        <v>15110</v>
      </c>
      <c r="EB1154" t="s">
        <v>576</v>
      </c>
      <c r="EC1154" t="s">
        <v>183</v>
      </c>
      <c r="ED1154" t="s">
        <v>266</v>
      </c>
      <c r="EG1154" t="s">
        <v>198</v>
      </c>
      <c r="EH1154" t="s">
        <v>10648</v>
      </c>
      <c r="EI1154" t="s">
        <v>238</v>
      </c>
      <c r="EJ1154" t="s">
        <v>239</v>
      </c>
      <c r="EK1154" t="s">
        <v>15111</v>
      </c>
      <c r="EL1154" t="s">
        <v>314</v>
      </c>
      <c r="EM1154" t="s">
        <v>183</v>
      </c>
      <c r="EN1154" t="s">
        <v>266</v>
      </c>
      <c r="EQ1154" t="s">
        <v>198</v>
      </c>
      <c r="FA1154" t="s">
        <v>198</v>
      </c>
      <c r="FK1154" t="s">
        <v>198</v>
      </c>
      <c r="FU1154" t="s">
        <v>198</v>
      </c>
    </row>
    <row r="1155" spans="1:177">
      <c r="A1155" s="1" t="str">
        <f>HYPERLINK("http://digipan.lumentumllc.com/apps/getLink/index.php?t=PropLink&amp;p=4637721","PL")</f>
        <v>PL</v>
      </c>
      <c r="B1155" s="1" t="str">
        <f>HYPERLINK("http://digipan.lumentumllc.com/apps/getLink/index.php?t=TaxLink&amp;p=4637721","TL")</f>
        <v>TL</v>
      </c>
      <c r="C1155" s="1" t="str">
        <f>HYPERLINK("http://digipan.lumentumllc.com/apps/getMap/index.php?p=4637721","Map")</f>
        <v>Map</v>
      </c>
      <c r="E1155" t="s">
        <v>177</v>
      </c>
      <c r="F1155" t="s">
        <v>178</v>
      </c>
      <c r="L1155" t="s">
        <v>15112</v>
      </c>
      <c r="N1155" t="s">
        <v>15112</v>
      </c>
      <c r="O1155" t="s">
        <v>15112</v>
      </c>
      <c r="P1155" t="s">
        <v>15113</v>
      </c>
      <c r="Q1155" t="s">
        <v>15112</v>
      </c>
      <c r="V1155">
        <v>1323</v>
      </c>
      <c r="W1155">
        <v>5</v>
      </c>
      <c r="X1155">
        <v>2017</v>
      </c>
      <c r="Y1155">
        <v>2018</v>
      </c>
      <c r="Z1155">
        <v>87.25</v>
      </c>
      <c r="AB1155" t="s">
        <v>181</v>
      </c>
      <c r="AC1155" t="s">
        <v>182</v>
      </c>
      <c r="AD1155" t="s">
        <v>183</v>
      </c>
      <c r="AE1155">
        <v>6</v>
      </c>
      <c r="AF1155">
        <v>0</v>
      </c>
      <c r="AG1155" t="s">
        <v>3955</v>
      </c>
      <c r="AH1155">
        <v>0</v>
      </c>
      <c r="AI1155">
        <v>486.89</v>
      </c>
      <c r="AJ1155">
        <v>232.12</v>
      </c>
      <c r="AK1155">
        <v>719.01</v>
      </c>
      <c r="AL1155">
        <v>3375</v>
      </c>
      <c r="AM1155">
        <v>3375</v>
      </c>
      <c r="AN1155">
        <v>0</v>
      </c>
      <c r="AO1155">
        <v>52</v>
      </c>
      <c r="AP1155">
        <v>2016</v>
      </c>
      <c r="AQ1155">
        <v>2.59</v>
      </c>
      <c r="AR1155">
        <v>21.3</v>
      </c>
      <c r="AS1155" t="s">
        <v>15088</v>
      </c>
      <c r="AT1155" t="s">
        <v>3210</v>
      </c>
      <c r="AU1155" t="s">
        <v>177</v>
      </c>
      <c r="AV1155" t="s">
        <v>2334</v>
      </c>
      <c r="AW1155" t="s">
        <v>182</v>
      </c>
      <c r="AX1155">
        <v>0</v>
      </c>
      <c r="AY1155" t="s">
        <v>312</v>
      </c>
      <c r="AZ1155" t="s">
        <v>199</v>
      </c>
      <c r="BA1155" t="s">
        <v>313</v>
      </c>
      <c r="BB1155" t="s">
        <v>191</v>
      </c>
      <c r="BC1155" t="s">
        <v>182</v>
      </c>
      <c r="BD1155" t="s">
        <v>182</v>
      </c>
      <c r="BE1155" t="s">
        <v>6523</v>
      </c>
      <c r="BF1155">
        <v>0</v>
      </c>
      <c r="BG1155">
        <v>0</v>
      </c>
      <c r="BH1155">
        <v>0</v>
      </c>
      <c r="BI1155" t="s">
        <v>199</v>
      </c>
      <c r="BJ1155" t="s">
        <v>315</v>
      </c>
      <c r="BL1155" t="s">
        <v>199</v>
      </c>
      <c r="BM1155" t="s">
        <v>1825</v>
      </c>
      <c r="BN1155" t="s">
        <v>182</v>
      </c>
      <c r="BO1155" t="s">
        <v>198</v>
      </c>
      <c r="BP1155" t="s">
        <v>198</v>
      </c>
      <c r="BQ1155" t="s">
        <v>198</v>
      </c>
      <c r="BR1155" t="s">
        <v>198</v>
      </c>
      <c r="BS1155" t="s">
        <v>198</v>
      </c>
      <c r="BT1155" t="s">
        <v>198</v>
      </c>
      <c r="BU1155" t="s">
        <v>182</v>
      </c>
      <c r="BV1155" t="s">
        <v>198</v>
      </c>
      <c r="BW1155" t="s">
        <v>198</v>
      </c>
      <c r="BX1155" t="s">
        <v>199</v>
      </c>
      <c r="BY1155" t="s">
        <v>198</v>
      </c>
      <c r="BZ1155" t="s">
        <v>199</v>
      </c>
      <c r="CA1155" t="s">
        <v>199</v>
      </c>
      <c r="CB1155" t="s">
        <v>15089</v>
      </c>
      <c r="CC1155" t="s">
        <v>201</v>
      </c>
      <c r="CD1155" t="s">
        <v>182</v>
      </c>
      <c r="CE1155" t="s">
        <v>15090</v>
      </c>
      <c r="CF1155" t="s">
        <v>413</v>
      </c>
      <c r="CG1155" t="s">
        <v>177</v>
      </c>
      <c r="CH1155" t="s">
        <v>13246</v>
      </c>
      <c r="CI1155" t="s">
        <v>15114</v>
      </c>
      <c r="CJ1155" t="s">
        <v>9185</v>
      </c>
      <c r="CK1155" t="s">
        <v>232</v>
      </c>
      <c r="CL1155" t="s">
        <v>233</v>
      </c>
      <c r="CM1155" t="s">
        <v>14329</v>
      </c>
      <c r="CN1155" t="s">
        <v>482</v>
      </c>
      <c r="CO1155" t="s">
        <v>183</v>
      </c>
      <c r="CP1155" t="s">
        <v>266</v>
      </c>
      <c r="CS1155" t="s">
        <v>198</v>
      </c>
      <c r="CT1155" t="s">
        <v>13933</v>
      </c>
      <c r="CU1155" t="s">
        <v>292</v>
      </c>
      <c r="CV1155" t="s">
        <v>293</v>
      </c>
      <c r="CW1155" t="s">
        <v>15107</v>
      </c>
      <c r="CX1155" t="s">
        <v>482</v>
      </c>
      <c r="CY1155" t="s">
        <v>183</v>
      </c>
      <c r="CZ1155" t="s">
        <v>266</v>
      </c>
      <c r="DC1155" t="s">
        <v>198</v>
      </c>
      <c r="DD1155" t="s">
        <v>499</v>
      </c>
      <c r="DE1155" t="s">
        <v>267</v>
      </c>
      <c r="DF1155" t="s">
        <v>268</v>
      </c>
      <c r="DG1155" t="s">
        <v>15108</v>
      </c>
      <c r="DH1155" t="s">
        <v>1615</v>
      </c>
      <c r="DI1155" t="s">
        <v>183</v>
      </c>
      <c r="DJ1155" t="s">
        <v>266</v>
      </c>
      <c r="DM1155" t="s">
        <v>198</v>
      </c>
      <c r="DN1155" t="s">
        <v>2471</v>
      </c>
      <c r="DO1155" t="s">
        <v>273</v>
      </c>
      <c r="DP1155" t="s">
        <v>274</v>
      </c>
      <c r="DQ1155" t="s">
        <v>15109</v>
      </c>
      <c r="DR1155" t="s">
        <v>482</v>
      </c>
      <c r="DS1155" t="s">
        <v>183</v>
      </c>
      <c r="DT1155" t="s">
        <v>266</v>
      </c>
      <c r="DW1155" t="s">
        <v>198</v>
      </c>
      <c r="DX1155" t="s">
        <v>15115</v>
      </c>
      <c r="DY1155" t="s">
        <v>302</v>
      </c>
      <c r="DZ1155" t="s">
        <v>303</v>
      </c>
      <c r="EA1155" t="s">
        <v>15110</v>
      </c>
      <c r="EB1155" t="s">
        <v>576</v>
      </c>
      <c r="EC1155" t="s">
        <v>183</v>
      </c>
      <c r="ED1155" t="s">
        <v>266</v>
      </c>
      <c r="EG1155" t="s">
        <v>198</v>
      </c>
      <c r="EH1155" t="s">
        <v>15116</v>
      </c>
      <c r="EI1155" t="s">
        <v>238</v>
      </c>
      <c r="EJ1155" t="s">
        <v>239</v>
      </c>
      <c r="EK1155" t="s">
        <v>15111</v>
      </c>
      <c r="EL1155" t="s">
        <v>314</v>
      </c>
      <c r="EM1155" t="s">
        <v>183</v>
      </c>
      <c r="EN1155" t="s">
        <v>266</v>
      </c>
      <c r="EQ1155" t="s">
        <v>198</v>
      </c>
      <c r="FA1155" t="s">
        <v>198</v>
      </c>
      <c r="FK1155" t="s">
        <v>198</v>
      </c>
      <c r="FU1155" t="s">
        <v>198</v>
      </c>
    </row>
    <row r="1156" spans="1:177">
      <c r="A1156" s="1" t="str">
        <f>HYPERLINK("http://digipan.lumentumllc.com/apps/getLink/index.php?t=PropLink&amp;p=4637722","PL")</f>
        <v>PL</v>
      </c>
      <c r="B1156" s="1" t="str">
        <f>HYPERLINK("http://digipan.lumentumllc.com/apps/getLink/index.php?t=TaxLink&amp;p=4637722","TL")</f>
        <v>TL</v>
      </c>
      <c r="C1156" s="1" t="str">
        <f>HYPERLINK("http://digipan.lumentumllc.com/apps/getMap/index.php?p=4637722","Map")</f>
        <v>Map</v>
      </c>
      <c r="E1156" t="s">
        <v>177</v>
      </c>
      <c r="F1156" t="s">
        <v>178</v>
      </c>
      <c r="L1156" t="s">
        <v>15117</v>
      </c>
      <c r="N1156" t="s">
        <v>15117</v>
      </c>
      <c r="O1156" t="s">
        <v>15117</v>
      </c>
      <c r="P1156" t="s">
        <v>15118</v>
      </c>
      <c r="Q1156" t="s">
        <v>15117</v>
      </c>
      <c r="V1156">
        <v>1324</v>
      </c>
      <c r="W1156">
        <v>5</v>
      </c>
      <c r="X1156">
        <v>2017</v>
      </c>
      <c r="Y1156">
        <v>2018</v>
      </c>
      <c r="Z1156">
        <v>76.63</v>
      </c>
      <c r="AB1156" t="s">
        <v>181</v>
      </c>
      <c r="AC1156" t="s">
        <v>182</v>
      </c>
      <c r="AD1156" t="s">
        <v>183</v>
      </c>
      <c r="AE1156">
        <v>6</v>
      </c>
      <c r="AF1156">
        <v>0</v>
      </c>
      <c r="AG1156" t="s">
        <v>3955</v>
      </c>
      <c r="AH1156">
        <v>0</v>
      </c>
      <c r="AI1156">
        <v>427.52</v>
      </c>
      <c r="AJ1156">
        <v>204.33</v>
      </c>
      <c r="AK1156">
        <v>631.85</v>
      </c>
      <c r="AL1156">
        <v>2725</v>
      </c>
      <c r="AM1156">
        <v>2725</v>
      </c>
      <c r="AN1156">
        <v>0</v>
      </c>
      <c r="AO1156">
        <v>42</v>
      </c>
      <c r="AP1156">
        <v>2016</v>
      </c>
      <c r="AQ1156">
        <v>2.81</v>
      </c>
      <c r="AR1156">
        <v>23.19</v>
      </c>
      <c r="AS1156" t="s">
        <v>15088</v>
      </c>
      <c r="AT1156" t="s">
        <v>3210</v>
      </c>
      <c r="AU1156" t="s">
        <v>177</v>
      </c>
      <c r="AV1156" t="s">
        <v>2334</v>
      </c>
      <c r="AW1156" t="s">
        <v>182</v>
      </c>
      <c r="AX1156">
        <v>0</v>
      </c>
      <c r="AY1156" t="s">
        <v>312</v>
      </c>
      <c r="AZ1156" t="s">
        <v>199</v>
      </c>
      <c r="BA1156" t="s">
        <v>313</v>
      </c>
      <c r="BB1156" t="s">
        <v>191</v>
      </c>
      <c r="BC1156" t="s">
        <v>182</v>
      </c>
      <c r="BD1156" t="s">
        <v>182</v>
      </c>
      <c r="BE1156" t="s">
        <v>7407</v>
      </c>
      <c r="BF1156">
        <v>0</v>
      </c>
      <c r="BG1156">
        <v>0</v>
      </c>
      <c r="BH1156">
        <v>0</v>
      </c>
      <c r="BI1156" t="s">
        <v>199</v>
      </c>
      <c r="BJ1156" t="s">
        <v>315</v>
      </c>
      <c r="BL1156" t="s">
        <v>199</v>
      </c>
      <c r="BM1156" t="s">
        <v>1825</v>
      </c>
      <c r="BN1156" t="s">
        <v>182</v>
      </c>
      <c r="BO1156" t="s">
        <v>198</v>
      </c>
      <c r="BP1156" t="s">
        <v>198</v>
      </c>
      <c r="BQ1156" t="s">
        <v>198</v>
      </c>
      <c r="BR1156" t="s">
        <v>198</v>
      </c>
      <c r="BS1156" t="s">
        <v>198</v>
      </c>
      <c r="BT1156" t="s">
        <v>198</v>
      </c>
      <c r="BU1156" t="s">
        <v>182</v>
      </c>
      <c r="BV1156" t="s">
        <v>198</v>
      </c>
      <c r="BW1156" t="s">
        <v>198</v>
      </c>
      <c r="BX1156" t="s">
        <v>199</v>
      </c>
      <c r="BY1156" t="s">
        <v>198</v>
      </c>
      <c r="BZ1156" t="s">
        <v>199</v>
      </c>
      <c r="CA1156" t="s">
        <v>199</v>
      </c>
      <c r="CB1156" t="s">
        <v>15089</v>
      </c>
      <c r="CC1156" t="s">
        <v>201</v>
      </c>
      <c r="CD1156" t="s">
        <v>182</v>
      </c>
      <c r="CE1156" t="s">
        <v>15090</v>
      </c>
      <c r="CF1156" t="s">
        <v>413</v>
      </c>
      <c r="CG1156" t="s">
        <v>177</v>
      </c>
      <c r="CH1156" t="s">
        <v>13246</v>
      </c>
      <c r="CI1156" t="s">
        <v>1161</v>
      </c>
      <c r="CJ1156" t="s">
        <v>11402</v>
      </c>
      <c r="CK1156" t="s">
        <v>232</v>
      </c>
      <c r="CL1156" t="s">
        <v>233</v>
      </c>
      <c r="CM1156" t="s">
        <v>15119</v>
      </c>
      <c r="CN1156" t="s">
        <v>482</v>
      </c>
      <c r="CO1156" t="s">
        <v>183</v>
      </c>
      <c r="CP1156" t="s">
        <v>266</v>
      </c>
      <c r="CS1156" t="s">
        <v>198</v>
      </c>
      <c r="CT1156" t="s">
        <v>11545</v>
      </c>
      <c r="CU1156" t="s">
        <v>292</v>
      </c>
      <c r="CV1156" t="s">
        <v>293</v>
      </c>
      <c r="CW1156" t="s">
        <v>15120</v>
      </c>
      <c r="CX1156" t="s">
        <v>482</v>
      </c>
      <c r="CY1156" t="s">
        <v>183</v>
      </c>
      <c r="CZ1156" t="s">
        <v>266</v>
      </c>
      <c r="DC1156" t="s">
        <v>198</v>
      </c>
      <c r="DD1156" t="s">
        <v>12015</v>
      </c>
      <c r="DE1156" t="s">
        <v>267</v>
      </c>
      <c r="DF1156" t="s">
        <v>268</v>
      </c>
      <c r="DG1156" t="s">
        <v>15121</v>
      </c>
      <c r="DH1156" t="s">
        <v>1615</v>
      </c>
      <c r="DI1156" t="s">
        <v>183</v>
      </c>
      <c r="DJ1156" t="s">
        <v>266</v>
      </c>
      <c r="DM1156" t="s">
        <v>198</v>
      </c>
      <c r="DN1156" t="s">
        <v>15122</v>
      </c>
      <c r="DO1156" t="s">
        <v>273</v>
      </c>
      <c r="DP1156" t="s">
        <v>274</v>
      </c>
      <c r="DQ1156" t="s">
        <v>15123</v>
      </c>
      <c r="DR1156" t="s">
        <v>482</v>
      </c>
      <c r="DS1156" t="s">
        <v>183</v>
      </c>
      <c r="DT1156" t="s">
        <v>266</v>
      </c>
      <c r="DW1156" t="s">
        <v>198</v>
      </c>
      <c r="DX1156" t="s">
        <v>13715</v>
      </c>
      <c r="DY1156" t="s">
        <v>302</v>
      </c>
      <c r="DZ1156" t="s">
        <v>303</v>
      </c>
      <c r="EA1156" t="s">
        <v>15124</v>
      </c>
      <c r="EB1156" t="s">
        <v>576</v>
      </c>
      <c r="EC1156" t="s">
        <v>183</v>
      </c>
      <c r="ED1156" t="s">
        <v>266</v>
      </c>
      <c r="EG1156" t="s">
        <v>198</v>
      </c>
      <c r="EH1156" t="s">
        <v>15125</v>
      </c>
      <c r="EI1156" t="s">
        <v>238</v>
      </c>
      <c r="EJ1156" t="s">
        <v>239</v>
      </c>
      <c r="EK1156" t="s">
        <v>15126</v>
      </c>
      <c r="EL1156" t="s">
        <v>314</v>
      </c>
      <c r="EM1156" t="s">
        <v>183</v>
      </c>
      <c r="EN1156" t="s">
        <v>266</v>
      </c>
      <c r="EQ1156" t="s">
        <v>198</v>
      </c>
      <c r="FA1156" t="s">
        <v>198</v>
      </c>
      <c r="FK1156" t="s">
        <v>198</v>
      </c>
      <c r="FU1156" t="s">
        <v>198</v>
      </c>
    </row>
    <row r="1157" spans="1:177">
      <c r="A1157" s="1" t="str">
        <f>HYPERLINK("http://digipan.lumentumllc.com/apps/getLink/index.php?t=PropLink&amp;p=4637723","PL")</f>
        <v>PL</v>
      </c>
      <c r="B1157" s="1" t="str">
        <f>HYPERLINK("http://digipan.lumentumllc.com/apps/getLink/index.php?t=TaxLink&amp;p=4637723","TL")</f>
        <v>TL</v>
      </c>
      <c r="C1157" s="1" t="str">
        <f>HYPERLINK("http://digipan.lumentumllc.com/apps/getMap/index.php?p=4637723","Map")</f>
        <v>Map</v>
      </c>
      <c r="E1157" t="s">
        <v>177</v>
      </c>
      <c r="F1157" t="s">
        <v>178</v>
      </c>
      <c r="L1157" t="s">
        <v>15127</v>
      </c>
      <c r="N1157" t="s">
        <v>15127</v>
      </c>
      <c r="O1157" t="s">
        <v>15127</v>
      </c>
      <c r="P1157" t="s">
        <v>15128</v>
      </c>
      <c r="Q1157" t="s">
        <v>15127</v>
      </c>
      <c r="V1157">
        <v>1325</v>
      </c>
      <c r="W1157">
        <v>5</v>
      </c>
      <c r="X1157">
        <v>2017</v>
      </c>
      <c r="Y1157">
        <v>2018</v>
      </c>
      <c r="Z1157">
        <v>64.739999999999995</v>
      </c>
      <c r="AB1157" t="s">
        <v>181</v>
      </c>
      <c r="AC1157" t="s">
        <v>182</v>
      </c>
      <c r="AD1157" t="s">
        <v>183</v>
      </c>
      <c r="AE1157">
        <v>6</v>
      </c>
      <c r="AF1157">
        <v>0</v>
      </c>
      <c r="AG1157" t="s">
        <v>3955</v>
      </c>
      <c r="AH1157">
        <v>0</v>
      </c>
      <c r="AI1157">
        <v>355.02</v>
      </c>
      <c r="AJ1157">
        <v>186.68</v>
      </c>
      <c r="AK1157">
        <v>541.70000000000005</v>
      </c>
      <c r="AL1157">
        <v>2000</v>
      </c>
      <c r="AM1157">
        <v>2000</v>
      </c>
      <c r="AN1157">
        <v>0</v>
      </c>
      <c r="AO1157">
        <v>31</v>
      </c>
      <c r="AP1157">
        <v>2016</v>
      </c>
      <c r="AQ1157">
        <v>3.24</v>
      </c>
      <c r="AR1157">
        <v>27.09</v>
      </c>
      <c r="AS1157" t="s">
        <v>15088</v>
      </c>
      <c r="AT1157" t="s">
        <v>3210</v>
      </c>
      <c r="AU1157" t="s">
        <v>177</v>
      </c>
      <c r="AV1157" t="s">
        <v>2334</v>
      </c>
      <c r="AW1157" t="s">
        <v>182</v>
      </c>
      <c r="AX1157">
        <v>0</v>
      </c>
      <c r="AY1157" t="s">
        <v>312</v>
      </c>
      <c r="AZ1157" t="s">
        <v>199</v>
      </c>
      <c r="BA1157" t="s">
        <v>313</v>
      </c>
      <c r="BB1157" t="s">
        <v>191</v>
      </c>
      <c r="BC1157" t="s">
        <v>182</v>
      </c>
      <c r="BD1157" t="s">
        <v>182</v>
      </c>
      <c r="BE1157" t="s">
        <v>6008</v>
      </c>
      <c r="BF1157">
        <v>0</v>
      </c>
      <c r="BG1157">
        <v>0</v>
      </c>
      <c r="BH1157">
        <v>0</v>
      </c>
      <c r="BI1157" t="s">
        <v>199</v>
      </c>
      <c r="BJ1157" t="s">
        <v>315</v>
      </c>
      <c r="BL1157" t="s">
        <v>199</v>
      </c>
      <c r="BM1157" t="s">
        <v>1825</v>
      </c>
      <c r="BN1157" t="s">
        <v>182</v>
      </c>
      <c r="BO1157" t="s">
        <v>198</v>
      </c>
      <c r="BP1157" t="s">
        <v>198</v>
      </c>
      <c r="BQ1157" t="s">
        <v>198</v>
      </c>
      <c r="BR1157" t="s">
        <v>198</v>
      </c>
      <c r="BS1157" t="s">
        <v>198</v>
      </c>
      <c r="BT1157" t="s">
        <v>198</v>
      </c>
      <c r="BU1157" t="s">
        <v>182</v>
      </c>
      <c r="BV1157" t="s">
        <v>198</v>
      </c>
      <c r="BW1157" t="s">
        <v>198</v>
      </c>
      <c r="BX1157" t="s">
        <v>199</v>
      </c>
      <c r="BY1157" t="s">
        <v>198</v>
      </c>
      <c r="BZ1157" t="s">
        <v>199</v>
      </c>
      <c r="CA1157" t="s">
        <v>199</v>
      </c>
      <c r="CB1157" t="s">
        <v>15089</v>
      </c>
      <c r="CC1157" t="s">
        <v>201</v>
      </c>
      <c r="CD1157" t="s">
        <v>182</v>
      </c>
      <c r="CE1157" t="s">
        <v>15090</v>
      </c>
      <c r="CF1157" t="s">
        <v>413</v>
      </c>
      <c r="CG1157" t="s">
        <v>177</v>
      </c>
      <c r="CH1157" t="s">
        <v>13246</v>
      </c>
      <c r="CI1157" t="s">
        <v>15129</v>
      </c>
      <c r="CJ1157" t="s">
        <v>11414</v>
      </c>
      <c r="CK1157" t="s">
        <v>232</v>
      </c>
      <c r="CL1157" t="s">
        <v>233</v>
      </c>
      <c r="CM1157" t="s">
        <v>15130</v>
      </c>
      <c r="CN1157" t="s">
        <v>482</v>
      </c>
      <c r="CO1157" t="s">
        <v>183</v>
      </c>
      <c r="CP1157" t="s">
        <v>266</v>
      </c>
      <c r="CS1157" t="s">
        <v>198</v>
      </c>
      <c r="CT1157" t="s">
        <v>6086</v>
      </c>
      <c r="CU1157" t="s">
        <v>292</v>
      </c>
      <c r="CV1157" t="s">
        <v>293</v>
      </c>
      <c r="CW1157" t="s">
        <v>15131</v>
      </c>
      <c r="CX1157" t="s">
        <v>482</v>
      </c>
      <c r="CY1157" t="s">
        <v>183</v>
      </c>
      <c r="CZ1157" t="s">
        <v>266</v>
      </c>
      <c r="DC1157" t="s">
        <v>198</v>
      </c>
      <c r="DD1157" t="s">
        <v>15132</v>
      </c>
      <c r="DE1157" t="s">
        <v>267</v>
      </c>
      <c r="DF1157" t="s">
        <v>268</v>
      </c>
      <c r="DG1157" t="s">
        <v>15133</v>
      </c>
      <c r="DH1157" t="s">
        <v>1615</v>
      </c>
      <c r="DI1157" t="s">
        <v>183</v>
      </c>
      <c r="DJ1157" t="s">
        <v>266</v>
      </c>
      <c r="DM1157" t="s">
        <v>198</v>
      </c>
      <c r="DN1157" t="s">
        <v>15025</v>
      </c>
      <c r="DO1157" t="s">
        <v>273</v>
      </c>
      <c r="DP1157" t="s">
        <v>274</v>
      </c>
      <c r="DQ1157" t="s">
        <v>15134</v>
      </c>
      <c r="DR1157" t="s">
        <v>482</v>
      </c>
      <c r="DS1157" t="s">
        <v>183</v>
      </c>
      <c r="DT1157" t="s">
        <v>266</v>
      </c>
      <c r="DW1157" t="s">
        <v>198</v>
      </c>
      <c r="DX1157" t="s">
        <v>15135</v>
      </c>
      <c r="DY1157" t="s">
        <v>302</v>
      </c>
      <c r="DZ1157" t="s">
        <v>303</v>
      </c>
      <c r="EA1157" t="s">
        <v>15136</v>
      </c>
      <c r="EB1157" t="s">
        <v>576</v>
      </c>
      <c r="EC1157" t="s">
        <v>183</v>
      </c>
      <c r="ED1157" t="s">
        <v>266</v>
      </c>
      <c r="EG1157" t="s">
        <v>198</v>
      </c>
      <c r="EH1157" t="s">
        <v>15137</v>
      </c>
      <c r="EI1157" t="s">
        <v>238</v>
      </c>
      <c r="EJ1157" t="s">
        <v>239</v>
      </c>
      <c r="EK1157" t="s">
        <v>15138</v>
      </c>
      <c r="EL1157" t="s">
        <v>1615</v>
      </c>
      <c r="EM1157" t="s">
        <v>183</v>
      </c>
      <c r="EN1157" t="s">
        <v>266</v>
      </c>
      <c r="EQ1157" t="s">
        <v>198</v>
      </c>
      <c r="FA1157" t="s">
        <v>198</v>
      </c>
      <c r="FK1157" t="s">
        <v>198</v>
      </c>
      <c r="FU1157" t="s">
        <v>198</v>
      </c>
    </row>
    <row r="1158" spans="1:177">
      <c r="A1158" s="1" t="str">
        <f>HYPERLINK("http://digipan.lumentumllc.com/apps/getLink/index.php?t=PropLink&amp;p=6594195","PL")</f>
        <v>PL</v>
      </c>
      <c r="B1158" s="1" t="str">
        <f>HYPERLINK("http://digipan.lumentumllc.com/apps/getLink/index.php?t=TaxLink&amp;p=6594195","TL")</f>
        <v>TL</v>
      </c>
      <c r="C1158" s="1" t="str">
        <f>HYPERLINK("http://digipan.lumentumllc.com/apps/getMap/index.php?p=6594195","Map")</f>
        <v>Map</v>
      </c>
      <c r="E1158" t="s">
        <v>177</v>
      </c>
      <c r="F1158" t="s">
        <v>178</v>
      </c>
      <c r="L1158" t="s">
        <v>15139</v>
      </c>
      <c r="N1158" t="s">
        <v>15139</v>
      </c>
      <c r="O1158" t="s">
        <v>15139</v>
      </c>
      <c r="P1158" t="s">
        <v>15140</v>
      </c>
      <c r="Q1158" t="s">
        <v>15139</v>
      </c>
      <c r="V1158">
        <v>1326</v>
      </c>
      <c r="W1158">
        <v>5</v>
      </c>
      <c r="X1158">
        <v>2017</v>
      </c>
      <c r="Y1158">
        <v>2018</v>
      </c>
      <c r="Z1158">
        <v>605.04999999999995</v>
      </c>
      <c r="AB1158" t="s">
        <v>181</v>
      </c>
      <c r="AC1158" t="s">
        <v>182</v>
      </c>
      <c r="AD1158" t="s">
        <v>183</v>
      </c>
      <c r="AE1158">
        <v>0</v>
      </c>
      <c r="AF1158">
        <v>1</v>
      </c>
      <c r="AG1158" t="s">
        <v>821</v>
      </c>
      <c r="AH1158">
        <v>100</v>
      </c>
      <c r="AK1158">
        <v>0</v>
      </c>
      <c r="AL1158">
        <v>35000</v>
      </c>
      <c r="AM1158">
        <v>27500</v>
      </c>
      <c r="AN1158">
        <v>7500</v>
      </c>
      <c r="AO1158">
        <v>499</v>
      </c>
      <c r="AP1158">
        <v>2016</v>
      </c>
      <c r="AQ1158">
        <v>1.73</v>
      </c>
      <c r="AS1158" t="s">
        <v>15141</v>
      </c>
      <c r="AT1158" t="s">
        <v>3210</v>
      </c>
      <c r="AU1158" t="s">
        <v>177</v>
      </c>
      <c r="AV1158" t="s">
        <v>2334</v>
      </c>
      <c r="AW1158" t="s">
        <v>182</v>
      </c>
      <c r="AX1158">
        <v>0</v>
      </c>
      <c r="AY1158" t="s">
        <v>312</v>
      </c>
      <c r="AZ1158" t="s">
        <v>199</v>
      </c>
      <c r="BA1158" t="s">
        <v>313</v>
      </c>
      <c r="BB1158" t="s">
        <v>191</v>
      </c>
      <c r="BC1158" t="s">
        <v>182</v>
      </c>
      <c r="BD1158" t="s">
        <v>182</v>
      </c>
      <c r="BE1158" t="s">
        <v>11045</v>
      </c>
      <c r="BF1158">
        <v>1</v>
      </c>
      <c r="BG1158">
        <v>0</v>
      </c>
      <c r="BH1158">
        <v>0</v>
      </c>
      <c r="BI1158" t="s">
        <v>199</v>
      </c>
      <c r="BJ1158" t="s">
        <v>248</v>
      </c>
      <c r="BL1158" t="s">
        <v>1753</v>
      </c>
      <c r="BM1158" t="s">
        <v>238</v>
      </c>
      <c r="BN1158" t="s">
        <v>182</v>
      </c>
      <c r="BO1158" t="s">
        <v>198</v>
      </c>
      <c r="BP1158" t="s">
        <v>198</v>
      </c>
      <c r="BQ1158" t="s">
        <v>198</v>
      </c>
      <c r="BR1158" t="s">
        <v>198</v>
      </c>
      <c r="BS1158" t="s">
        <v>198</v>
      </c>
      <c r="BT1158" t="s">
        <v>198</v>
      </c>
      <c r="BU1158" t="s">
        <v>182</v>
      </c>
      <c r="BV1158" t="s">
        <v>198</v>
      </c>
      <c r="BW1158" t="s">
        <v>198</v>
      </c>
      <c r="BX1158" t="s">
        <v>199</v>
      </c>
      <c r="BY1158" t="s">
        <v>198</v>
      </c>
      <c r="BZ1158" t="s">
        <v>199</v>
      </c>
      <c r="CA1158" t="s">
        <v>199</v>
      </c>
      <c r="CB1158" t="s">
        <v>15142</v>
      </c>
      <c r="CC1158" t="s">
        <v>201</v>
      </c>
      <c r="CD1158" t="s">
        <v>182</v>
      </c>
      <c r="CE1158" t="s">
        <v>15143</v>
      </c>
      <c r="CF1158" t="s">
        <v>2333</v>
      </c>
      <c r="CG1158" t="s">
        <v>177</v>
      </c>
      <c r="CH1158" t="s">
        <v>2334</v>
      </c>
      <c r="CI1158" t="s">
        <v>12031</v>
      </c>
      <c r="CJ1158" t="s">
        <v>9295</v>
      </c>
      <c r="CK1158" t="s">
        <v>273</v>
      </c>
      <c r="CL1158" t="s">
        <v>274</v>
      </c>
      <c r="CM1158" t="s">
        <v>15144</v>
      </c>
      <c r="CN1158" t="s">
        <v>235</v>
      </c>
      <c r="CO1158" t="s">
        <v>183</v>
      </c>
      <c r="CP1158" t="s">
        <v>211</v>
      </c>
      <c r="CQ1158" t="s">
        <v>199</v>
      </c>
      <c r="CS1158" t="s">
        <v>11027</v>
      </c>
      <c r="DC1158" t="s">
        <v>198</v>
      </c>
      <c r="DM1158" t="s">
        <v>198</v>
      </c>
      <c r="DW1158" t="s">
        <v>198</v>
      </c>
      <c r="EG1158" t="s">
        <v>198</v>
      </c>
      <c r="EQ1158" t="s">
        <v>198</v>
      </c>
      <c r="FA1158" t="s">
        <v>198</v>
      </c>
      <c r="FK1158" t="s">
        <v>198</v>
      </c>
      <c r="FU1158" t="s">
        <v>198</v>
      </c>
    </row>
    <row r="1159" spans="1:177">
      <c r="A1159" s="1" t="str">
        <f>HYPERLINK("http://digipan.lumentumllc.com/apps/getLink/index.php?t=PropLink&amp;p=6886721","PL")</f>
        <v>PL</v>
      </c>
      <c r="B1159" s="1" t="str">
        <f>HYPERLINK("http://digipan.lumentumllc.com/apps/getLink/index.php?t=TaxLink&amp;p=6886721","TL")</f>
        <v>TL</v>
      </c>
      <c r="C1159" s="1" t="str">
        <f>HYPERLINK("http://digipan.lumentumllc.com/apps/getMap/index.php?p=6886721","Map")</f>
        <v>Map</v>
      </c>
      <c r="E1159" t="s">
        <v>177</v>
      </c>
      <c r="F1159" t="s">
        <v>178</v>
      </c>
      <c r="L1159" t="s">
        <v>15145</v>
      </c>
      <c r="N1159" t="s">
        <v>15145</v>
      </c>
      <c r="O1159" t="s">
        <v>15145</v>
      </c>
      <c r="P1159" t="s">
        <v>15146</v>
      </c>
      <c r="Q1159" t="s">
        <v>15145</v>
      </c>
      <c r="V1159">
        <v>1327</v>
      </c>
      <c r="W1159">
        <v>5</v>
      </c>
      <c r="X1159">
        <v>2017</v>
      </c>
      <c r="Y1159">
        <v>2018</v>
      </c>
      <c r="Z1159">
        <v>437.24</v>
      </c>
      <c r="AB1159" t="s">
        <v>181</v>
      </c>
      <c r="AC1159" t="s">
        <v>182</v>
      </c>
      <c r="AD1159" t="s">
        <v>183</v>
      </c>
      <c r="AE1159">
        <v>1</v>
      </c>
      <c r="AF1159">
        <v>1</v>
      </c>
      <c r="AG1159" t="s">
        <v>2222</v>
      </c>
      <c r="AH1159">
        <v>50</v>
      </c>
      <c r="AI1159">
        <v>700.37</v>
      </c>
      <c r="AJ1159">
        <v>35.020000000000003</v>
      </c>
      <c r="AK1159">
        <v>735.39</v>
      </c>
      <c r="AL1159">
        <v>49751</v>
      </c>
      <c r="AM1159">
        <v>18500</v>
      </c>
      <c r="AN1159">
        <v>31251</v>
      </c>
      <c r="AO1159">
        <v>623</v>
      </c>
      <c r="AP1159">
        <v>2016</v>
      </c>
      <c r="AQ1159">
        <v>0.88</v>
      </c>
      <c r="AR1159">
        <v>1.48</v>
      </c>
      <c r="AS1159" t="s">
        <v>15147</v>
      </c>
      <c r="AT1159" t="s">
        <v>3210</v>
      </c>
      <c r="AU1159" t="s">
        <v>177</v>
      </c>
      <c r="AV1159" t="s">
        <v>2334</v>
      </c>
      <c r="AW1159" t="s">
        <v>202</v>
      </c>
      <c r="AX1159">
        <v>2</v>
      </c>
      <c r="AY1159" t="s">
        <v>188</v>
      </c>
      <c r="AZ1159" t="s">
        <v>189</v>
      </c>
      <c r="BA1159" t="s">
        <v>190</v>
      </c>
      <c r="BB1159" t="s">
        <v>191</v>
      </c>
      <c r="BC1159" t="s">
        <v>182</v>
      </c>
      <c r="BD1159" t="s">
        <v>182</v>
      </c>
      <c r="BE1159" t="s">
        <v>899</v>
      </c>
      <c r="BF1159">
        <v>1</v>
      </c>
      <c r="BG1159">
        <v>1</v>
      </c>
      <c r="BH1159">
        <v>2001</v>
      </c>
      <c r="BI1159" t="s">
        <v>10774</v>
      </c>
      <c r="BJ1159" t="s">
        <v>194</v>
      </c>
      <c r="BK1159" t="s">
        <v>195</v>
      </c>
      <c r="BL1159" t="s">
        <v>1824</v>
      </c>
      <c r="BM1159" t="s">
        <v>232</v>
      </c>
      <c r="BN1159" t="s">
        <v>182</v>
      </c>
      <c r="BO1159" t="s">
        <v>15148</v>
      </c>
      <c r="BP1159" t="s">
        <v>15149</v>
      </c>
      <c r="BQ1159" t="s">
        <v>562</v>
      </c>
      <c r="BS1159" t="s">
        <v>198</v>
      </c>
      <c r="BT1159" t="s">
        <v>4564</v>
      </c>
      <c r="BU1159" t="s">
        <v>182</v>
      </c>
      <c r="BV1159" t="s">
        <v>198</v>
      </c>
      <c r="BW1159" t="s">
        <v>198</v>
      </c>
      <c r="BX1159" t="s">
        <v>199</v>
      </c>
      <c r="BY1159" t="s">
        <v>198</v>
      </c>
      <c r="BZ1159" t="s">
        <v>199</v>
      </c>
      <c r="CA1159" t="s">
        <v>199</v>
      </c>
      <c r="CB1159" t="s">
        <v>15150</v>
      </c>
      <c r="CC1159" t="s">
        <v>201</v>
      </c>
      <c r="CD1159" t="s">
        <v>202</v>
      </c>
      <c r="CE1159" t="s">
        <v>15151</v>
      </c>
      <c r="CF1159" t="s">
        <v>2333</v>
      </c>
      <c r="CG1159" t="s">
        <v>177</v>
      </c>
      <c r="CH1159" t="s">
        <v>2334</v>
      </c>
      <c r="CI1159" t="s">
        <v>15152</v>
      </c>
      <c r="CJ1159" t="s">
        <v>11428</v>
      </c>
      <c r="CK1159" t="s">
        <v>232</v>
      </c>
      <c r="CL1159" t="s">
        <v>233</v>
      </c>
      <c r="CM1159" t="s">
        <v>15153</v>
      </c>
      <c r="CN1159" t="s">
        <v>235</v>
      </c>
      <c r="CO1159" t="s">
        <v>183</v>
      </c>
      <c r="CP1159" t="s">
        <v>266</v>
      </c>
      <c r="CS1159" t="s">
        <v>198</v>
      </c>
      <c r="CT1159" t="s">
        <v>11565</v>
      </c>
      <c r="CU1159" t="s">
        <v>292</v>
      </c>
      <c r="CV1159" t="s">
        <v>293</v>
      </c>
      <c r="CW1159" t="s">
        <v>15154</v>
      </c>
      <c r="CX1159" t="s">
        <v>235</v>
      </c>
      <c r="CY1159" t="s">
        <v>183</v>
      </c>
      <c r="CZ1159" t="s">
        <v>211</v>
      </c>
      <c r="DA1159" t="s">
        <v>199</v>
      </c>
      <c r="DC1159" t="s">
        <v>14036</v>
      </c>
      <c r="DM1159" t="s">
        <v>198</v>
      </c>
      <c r="DW1159" t="s">
        <v>198</v>
      </c>
      <c r="EG1159" t="s">
        <v>198</v>
      </c>
      <c r="EQ1159" t="s">
        <v>198</v>
      </c>
      <c r="FA1159" t="s">
        <v>198</v>
      </c>
      <c r="FK1159" t="s">
        <v>198</v>
      </c>
      <c r="FU1159" t="s">
        <v>198</v>
      </c>
    </row>
    <row r="1160" spans="1:177">
      <c r="A1160" s="1" t="str">
        <f>HYPERLINK("http://digipan.lumentumllc.com/apps/getLink/index.php?t=PropLink&amp;p=5246231","PL")</f>
        <v>PL</v>
      </c>
      <c r="B1160" s="1" t="str">
        <f>HYPERLINK("http://digipan.lumentumllc.com/apps/getLink/index.php?t=TaxLink&amp;p=5246231","TL")</f>
        <v>TL</v>
      </c>
      <c r="C1160" s="1" t="str">
        <f>HYPERLINK("http://digipan.lumentumllc.com/apps/getMap/index.php?p=5246231","Map")</f>
        <v>Map</v>
      </c>
      <c r="E1160" t="s">
        <v>177</v>
      </c>
      <c r="F1160" t="s">
        <v>178</v>
      </c>
      <c r="L1160" t="s">
        <v>15155</v>
      </c>
      <c r="N1160" t="s">
        <v>15155</v>
      </c>
      <c r="O1160" t="s">
        <v>15155</v>
      </c>
      <c r="P1160" t="s">
        <v>15156</v>
      </c>
      <c r="Q1160" t="s">
        <v>15155</v>
      </c>
      <c r="V1160">
        <v>1329</v>
      </c>
      <c r="W1160">
        <v>5</v>
      </c>
      <c r="X1160">
        <v>2017</v>
      </c>
      <c r="Y1160">
        <v>2018</v>
      </c>
      <c r="Z1160">
        <v>1509.33</v>
      </c>
      <c r="AB1160" t="s">
        <v>181</v>
      </c>
      <c r="AC1160" t="s">
        <v>182</v>
      </c>
      <c r="AD1160" t="s">
        <v>183</v>
      </c>
      <c r="AE1160">
        <v>1</v>
      </c>
      <c r="AF1160">
        <v>7</v>
      </c>
      <c r="AG1160" t="s">
        <v>418</v>
      </c>
      <c r="AH1160">
        <v>86</v>
      </c>
      <c r="AI1160">
        <v>586.03</v>
      </c>
      <c r="AJ1160">
        <v>29.3</v>
      </c>
      <c r="AK1160">
        <v>615.33000000000004</v>
      </c>
      <c r="AL1160">
        <v>90232</v>
      </c>
      <c r="AM1160">
        <v>18500</v>
      </c>
      <c r="AN1160">
        <v>71732</v>
      </c>
      <c r="AO1160">
        <v>517</v>
      </c>
      <c r="AP1160">
        <v>2016</v>
      </c>
      <c r="AQ1160">
        <v>1.67</v>
      </c>
      <c r="AR1160">
        <v>0.68</v>
      </c>
      <c r="AS1160" t="s">
        <v>15157</v>
      </c>
      <c r="AT1160" t="s">
        <v>3210</v>
      </c>
      <c r="AU1160" t="s">
        <v>177</v>
      </c>
      <c r="AV1160" t="s">
        <v>2334</v>
      </c>
      <c r="AW1160" t="s">
        <v>182</v>
      </c>
      <c r="AX1160">
        <v>2</v>
      </c>
      <c r="AY1160" t="s">
        <v>188</v>
      </c>
      <c r="AZ1160" t="s">
        <v>189</v>
      </c>
      <c r="BA1160" t="s">
        <v>190</v>
      </c>
      <c r="BB1160" t="s">
        <v>191</v>
      </c>
      <c r="BC1160" t="s">
        <v>182</v>
      </c>
      <c r="BD1160" t="s">
        <v>182</v>
      </c>
      <c r="BE1160" t="s">
        <v>882</v>
      </c>
      <c r="BF1160">
        <v>1</v>
      </c>
      <c r="BG1160">
        <v>1</v>
      </c>
      <c r="BH1160">
        <v>2016</v>
      </c>
      <c r="BI1160" t="s">
        <v>15158</v>
      </c>
      <c r="BJ1160" t="s">
        <v>1945</v>
      </c>
      <c r="BK1160" t="s">
        <v>195</v>
      </c>
      <c r="BL1160" t="s">
        <v>199</v>
      </c>
      <c r="BM1160" t="s">
        <v>292</v>
      </c>
      <c r="BN1160" t="s">
        <v>182</v>
      </c>
      <c r="BO1160" t="s">
        <v>15159</v>
      </c>
      <c r="BP1160" t="s">
        <v>2421</v>
      </c>
      <c r="BS1160" t="s">
        <v>15160</v>
      </c>
      <c r="BT1160" t="s">
        <v>198</v>
      </c>
      <c r="BU1160" t="s">
        <v>182</v>
      </c>
      <c r="BV1160" t="s">
        <v>198</v>
      </c>
      <c r="BW1160" t="s">
        <v>198</v>
      </c>
      <c r="BX1160" t="s">
        <v>199</v>
      </c>
      <c r="BY1160" t="s">
        <v>198</v>
      </c>
      <c r="BZ1160" t="s">
        <v>199</v>
      </c>
      <c r="CA1160" t="s">
        <v>199</v>
      </c>
      <c r="CB1160" t="s">
        <v>15161</v>
      </c>
      <c r="CC1160" t="s">
        <v>201</v>
      </c>
      <c r="CD1160" t="s">
        <v>182</v>
      </c>
      <c r="CE1160" t="s">
        <v>15162</v>
      </c>
      <c r="CF1160" t="s">
        <v>2333</v>
      </c>
      <c r="CG1160" t="s">
        <v>177</v>
      </c>
      <c r="CH1160" t="s">
        <v>2334</v>
      </c>
      <c r="CI1160" t="s">
        <v>15163</v>
      </c>
      <c r="CJ1160" t="s">
        <v>11389</v>
      </c>
      <c r="CK1160" t="s">
        <v>232</v>
      </c>
      <c r="CL1160" t="s">
        <v>233</v>
      </c>
      <c r="CM1160" t="s">
        <v>15164</v>
      </c>
      <c r="CN1160" t="s">
        <v>235</v>
      </c>
      <c r="CO1160" t="s">
        <v>183</v>
      </c>
      <c r="CP1160" t="s">
        <v>266</v>
      </c>
      <c r="CS1160" t="s">
        <v>198</v>
      </c>
      <c r="CT1160" t="s">
        <v>13923</v>
      </c>
      <c r="CU1160" t="s">
        <v>292</v>
      </c>
      <c r="CV1160" t="s">
        <v>293</v>
      </c>
      <c r="CW1160" t="s">
        <v>15165</v>
      </c>
      <c r="CX1160" t="s">
        <v>235</v>
      </c>
      <c r="CY1160" t="s">
        <v>183</v>
      </c>
      <c r="CZ1160" t="s">
        <v>211</v>
      </c>
      <c r="DA1160" t="s">
        <v>189</v>
      </c>
      <c r="DC1160" t="s">
        <v>13730</v>
      </c>
      <c r="DD1160" t="s">
        <v>12092</v>
      </c>
      <c r="DE1160" t="s">
        <v>267</v>
      </c>
      <c r="DF1160" t="s">
        <v>268</v>
      </c>
      <c r="DG1160" t="s">
        <v>15166</v>
      </c>
      <c r="DH1160" t="s">
        <v>511</v>
      </c>
      <c r="DI1160" t="s">
        <v>183</v>
      </c>
      <c r="DJ1160" t="s">
        <v>211</v>
      </c>
      <c r="DK1160" t="s">
        <v>460</v>
      </c>
      <c r="DM1160" t="s">
        <v>13730</v>
      </c>
      <c r="DN1160" t="s">
        <v>12708</v>
      </c>
      <c r="DO1160" t="s">
        <v>273</v>
      </c>
      <c r="DP1160" t="s">
        <v>274</v>
      </c>
      <c r="DQ1160" t="s">
        <v>15167</v>
      </c>
      <c r="DR1160" t="s">
        <v>278</v>
      </c>
      <c r="DS1160" t="s">
        <v>183</v>
      </c>
      <c r="DT1160" t="s">
        <v>211</v>
      </c>
      <c r="DU1160" t="s">
        <v>298</v>
      </c>
      <c r="DW1160" t="s">
        <v>462</v>
      </c>
      <c r="DX1160" t="s">
        <v>517</v>
      </c>
      <c r="DY1160" t="s">
        <v>302</v>
      </c>
      <c r="DZ1160" t="s">
        <v>303</v>
      </c>
      <c r="EA1160" t="s">
        <v>15168</v>
      </c>
      <c r="EB1160" t="s">
        <v>235</v>
      </c>
      <c r="EC1160" t="s">
        <v>183</v>
      </c>
      <c r="ED1160" t="s">
        <v>211</v>
      </c>
      <c r="EE1160" t="s">
        <v>298</v>
      </c>
      <c r="EG1160" t="s">
        <v>2359</v>
      </c>
      <c r="EH1160" t="s">
        <v>15169</v>
      </c>
      <c r="EI1160" t="s">
        <v>238</v>
      </c>
      <c r="EJ1160" t="s">
        <v>239</v>
      </c>
      <c r="EK1160" t="s">
        <v>15170</v>
      </c>
      <c r="EL1160" t="s">
        <v>278</v>
      </c>
      <c r="EM1160" t="s">
        <v>183</v>
      </c>
      <c r="EN1160" t="s">
        <v>211</v>
      </c>
      <c r="EO1160" t="s">
        <v>298</v>
      </c>
      <c r="EQ1160" t="s">
        <v>467</v>
      </c>
      <c r="ER1160" t="s">
        <v>930</v>
      </c>
      <c r="ES1160" t="s">
        <v>346</v>
      </c>
      <c r="ET1160" t="s">
        <v>347</v>
      </c>
      <c r="EU1160" t="s">
        <v>15171</v>
      </c>
      <c r="EV1160" t="s">
        <v>688</v>
      </c>
      <c r="EW1160" t="s">
        <v>183</v>
      </c>
      <c r="EX1160" t="s">
        <v>211</v>
      </c>
      <c r="EY1160" t="s">
        <v>298</v>
      </c>
      <c r="FA1160" t="s">
        <v>2756</v>
      </c>
      <c r="FB1160" t="s">
        <v>11855</v>
      </c>
      <c r="FC1160" t="s">
        <v>207</v>
      </c>
      <c r="FD1160" t="s">
        <v>208</v>
      </c>
      <c r="FE1160" t="s">
        <v>15172</v>
      </c>
      <c r="FF1160" t="s">
        <v>1966</v>
      </c>
      <c r="FG1160" t="s">
        <v>183</v>
      </c>
      <c r="FH1160" t="s">
        <v>211</v>
      </c>
      <c r="FI1160" t="s">
        <v>298</v>
      </c>
      <c r="FK1160" t="s">
        <v>5492</v>
      </c>
      <c r="FU1160" t="s">
        <v>198</v>
      </c>
    </row>
    <row r="1161" spans="1:177">
      <c r="A1161" s="1" t="str">
        <f>HYPERLINK("http://digipan.lumentumllc.com/apps/getLink/index.php?t=PropLink&amp;p=6129033","PL")</f>
        <v>PL</v>
      </c>
      <c r="B1161" s="1" t="str">
        <f>HYPERLINK("http://digipan.lumentumllc.com/apps/getLink/index.php?t=TaxLink&amp;p=6129033","TL")</f>
        <v>TL</v>
      </c>
      <c r="C1161" s="1" t="str">
        <f>HYPERLINK("http://digipan.lumentumllc.com/apps/getMap/index.php?p=6129033","Map")</f>
        <v>Map</v>
      </c>
      <c r="E1161" t="s">
        <v>177</v>
      </c>
      <c r="F1161" t="s">
        <v>178</v>
      </c>
      <c r="L1161" t="s">
        <v>15173</v>
      </c>
      <c r="N1161" t="s">
        <v>15173</v>
      </c>
      <c r="O1161" t="s">
        <v>15173</v>
      </c>
      <c r="P1161" t="s">
        <v>15174</v>
      </c>
      <c r="Q1161" t="s">
        <v>15173</v>
      </c>
      <c r="V1161">
        <v>1330</v>
      </c>
      <c r="W1161">
        <v>5</v>
      </c>
      <c r="X1161">
        <v>2017</v>
      </c>
      <c r="Y1161">
        <v>2018</v>
      </c>
      <c r="Z1161">
        <v>291.62</v>
      </c>
      <c r="AB1161" t="s">
        <v>181</v>
      </c>
      <c r="AC1161" t="s">
        <v>182</v>
      </c>
      <c r="AD1161" t="s">
        <v>183</v>
      </c>
      <c r="AE1161">
        <v>1</v>
      </c>
      <c r="AF1161">
        <v>5</v>
      </c>
      <c r="AG1161" t="s">
        <v>322</v>
      </c>
      <c r="AH1161">
        <v>83</v>
      </c>
      <c r="AI1161">
        <v>256.58999999999997</v>
      </c>
      <c r="AJ1161">
        <v>21.81</v>
      </c>
      <c r="AK1161">
        <v>278.39999999999998</v>
      </c>
      <c r="AL1161">
        <v>33388</v>
      </c>
      <c r="AM1161">
        <v>18500</v>
      </c>
      <c r="AN1161">
        <v>14888</v>
      </c>
      <c r="AO1161">
        <v>212</v>
      </c>
      <c r="AP1161">
        <v>2016</v>
      </c>
      <c r="AQ1161">
        <v>0.87</v>
      </c>
      <c r="AR1161">
        <v>0.83</v>
      </c>
      <c r="AS1161" t="s">
        <v>15175</v>
      </c>
      <c r="AT1161" t="s">
        <v>3210</v>
      </c>
      <c r="AU1161" t="s">
        <v>177</v>
      </c>
      <c r="AV1161" t="s">
        <v>2334</v>
      </c>
      <c r="AW1161" t="s">
        <v>202</v>
      </c>
      <c r="AX1161">
        <v>2</v>
      </c>
      <c r="AY1161" t="s">
        <v>188</v>
      </c>
      <c r="AZ1161" t="s">
        <v>189</v>
      </c>
      <c r="BA1161" t="s">
        <v>190</v>
      </c>
      <c r="BB1161" t="s">
        <v>191</v>
      </c>
      <c r="BC1161" t="s">
        <v>182</v>
      </c>
      <c r="BD1161" t="s">
        <v>182</v>
      </c>
      <c r="BE1161" t="s">
        <v>882</v>
      </c>
      <c r="BF1161">
        <v>1</v>
      </c>
      <c r="BG1161">
        <v>1</v>
      </c>
      <c r="BH1161">
        <v>1989</v>
      </c>
      <c r="BI1161" t="s">
        <v>2563</v>
      </c>
      <c r="BJ1161" t="s">
        <v>194</v>
      </c>
      <c r="BK1161" t="s">
        <v>195</v>
      </c>
      <c r="BL1161" t="s">
        <v>1741</v>
      </c>
      <c r="BM1161" t="s">
        <v>325</v>
      </c>
      <c r="BN1161" t="s">
        <v>182</v>
      </c>
      <c r="BO1161" t="s">
        <v>15176</v>
      </c>
      <c r="BP1161" t="s">
        <v>956</v>
      </c>
      <c r="BS1161" t="s">
        <v>15177</v>
      </c>
      <c r="BT1161" t="s">
        <v>198</v>
      </c>
      <c r="BU1161" t="s">
        <v>182</v>
      </c>
      <c r="BV1161" t="s">
        <v>198</v>
      </c>
      <c r="BW1161" t="s">
        <v>198</v>
      </c>
      <c r="BX1161" t="s">
        <v>199</v>
      </c>
      <c r="BY1161" t="s">
        <v>198</v>
      </c>
      <c r="BZ1161" t="s">
        <v>199</v>
      </c>
      <c r="CA1161" t="s">
        <v>199</v>
      </c>
      <c r="CB1161" t="s">
        <v>15178</v>
      </c>
      <c r="CC1161" t="s">
        <v>201</v>
      </c>
      <c r="CD1161" t="s">
        <v>182</v>
      </c>
      <c r="CE1161" t="s">
        <v>15179</v>
      </c>
      <c r="CF1161" t="s">
        <v>2333</v>
      </c>
      <c r="CG1161" t="s">
        <v>177</v>
      </c>
      <c r="CH1161" t="s">
        <v>2334</v>
      </c>
      <c r="CI1161" t="s">
        <v>15180</v>
      </c>
      <c r="CJ1161" t="s">
        <v>9243</v>
      </c>
      <c r="CK1161" t="s">
        <v>232</v>
      </c>
      <c r="CL1161" t="s">
        <v>233</v>
      </c>
      <c r="CM1161" t="s">
        <v>15181</v>
      </c>
      <c r="CN1161" t="s">
        <v>2679</v>
      </c>
      <c r="CO1161" t="s">
        <v>183</v>
      </c>
      <c r="CP1161" t="s">
        <v>266</v>
      </c>
      <c r="CS1161" t="s">
        <v>198</v>
      </c>
      <c r="CT1161" t="s">
        <v>7864</v>
      </c>
      <c r="CU1161" t="s">
        <v>292</v>
      </c>
      <c r="CV1161" t="s">
        <v>293</v>
      </c>
      <c r="CW1161" t="s">
        <v>15182</v>
      </c>
      <c r="CX1161" t="s">
        <v>333</v>
      </c>
      <c r="CY1161" t="s">
        <v>183</v>
      </c>
      <c r="CZ1161" t="s">
        <v>211</v>
      </c>
      <c r="DA1161" t="s">
        <v>345</v>
      </c>
      <c r="DC1161" t="s">
        <v>11641</v>
      </c>
      <c r="DD1161" t="s">
        <v>12112</v>
      </c>
      <c r="DE1161" t="s">
        <v>267</v>
      </c>
      <c r="DF1161" t="s">
        <v>268</v>
      </c>
      <c r="DG1161" t="s">
        <v>15183</v>
      </c>
      <c r="DH1161" t="s">
        <v>482</v>
      </c>
      <c r="DI1161" t="s">
        <v>183</v>
      </c>
      <c r="DJ1161" t="s">
        <v>211</v>
      </c>
      <c r="DK1161" t="s">
        <v>298</v>
      </c>
      <c r="DM1161" t="s">
        <v>2428</v>
      </c>
      <c r="DN1161" t="s">
        <v>8822</v>
      </c>
      <c r="DO1161" t="s">
        <v>273</v>
      </c>
      <c r="DP1161" t="s">
        <v>274</v>
      </c>
      <c r="DQ1161" t="s">
        <v>15184</v>
      </c>
      <c r="DR1161" t="s">
        <v>514</v>
      </c>
      <c r="DS1161" t="s">
        <v>183</v>
      </c>
      <c r="DT1161" t="s">
        <v>211</v>
      </c>
      <c r="DU1161" t="s">
        <v>345</v>
      </c>
      <c r="DW1161" t="s">
        <v>3676</v>
      </c>
      <c r="DX1161" t="s">
        <v>547</v>
      </c>
      <c r="DY1161" t="s">
        <v>302</v>
      </c>
      <c r="DZ1161" t="s">
        <v>303</v>
      </c>
      <c r="EA1161" t="s">
        <v>15185</v>
      </c>
      <c r="EB1161" t="s">
        <v>3342</v>
      </c>
      <c r="EC1161" t="s">
        <v>183</v>
      </c>
      <c r="ED1161" t="s">
        <v>211</v>
      </c>
      <c r="EE1161" t="s">
        <v>345</v>
      </c>
      <c r="EG1161" t="s">
        <v>2598</v>
      </c>
      <c r="EH1161" t="s">
        <v>15186</v>
      </c>
      <c r="EI1161" t="s">
        <v>238</v>
      </c>
      <c r="EJ1161" t="s">
        <v>239</v>
      </c>
      <c r="EK1161" t="s">
        <v>15187</v>
      </c>
      <c r="EL1161" t="s">
        <v>482</v>
      </c>
      <c r="EM1161" t="s">
        <v>183</v>
      </c>
      <c r="EN1161" t="s">
        <v>211</v>
      </c>
      <c r="EO1161" t="s">
        <v>345</v>
      </c>
      <c r="EQ1161" t="s">
        <v>3825</v>
      </c>
      <c r="FA1161" t="s">
        <v>198</v>
      </c>
      <c r="FK1161" t="s">
        <v>198</v>
      </c>
      <c r="FU1161" t="s">
        <v>198</v>
      </c>
    </row>
    <row r="1162" spans="1:177">
      <c r="A1162" s="1" t="str">
        <f>HYPERLINK("http://digipan.lumentumllc.com/apps/getLink/index.php?t=PropLink&amp;p=5246232","PL")</f>
        <v>PL</v>
      </c>
      <c r="B1162" s="1" t="str">
        <f>HYPERLINK("http://digipan.lumentumllc.com/apps/getLink/index.php?t=TaxLink&amp;p=5246232","TL")</f>
        <v>TL</v>
      </c>
      <c r="C1162" s="1" t="str">
        <f>HYPERLINK("http://digipan.lumentumllc.com/apps/getMap/index.php?p=5246232","Map")</f>
        <v>Map</v>
      </c>
      <c r="E1162" t="s">
        <v>177</v>
      </c>
      <c r="F1162" t="s">
        <v>178</v>
      </c>
      <c r="L1162" t="s">
        <v>15188</v>
      </c>
      <c r="N1162" t="s">
        <v>15188</v>
      </c>
      <c r="O1162" t="s">
        <v>15188</v>
      </c>
      <c r="P1162" t="s">
        <v>15189</v>
      </c>
      <c r="Q1162" t="s">
        <v>15188</v>
      </c>
      <c r="V1162">
        <v>1331</v>
      </c>
      <c r="W1162">
        <v>5</v>
      </c>
      <c r="X1162">
        <v>2017</v>
      </c>
      <c r="Y1162">
        <v>2018</v>
      </c>
      <c r="Z1162">
        <v>450.44</v>
      </c>
      <c r="AB1162" t="s">
        <v>181</v>
      </c>
      <c r="AC1162" t="s">
        <v>182</v>
      </c>
      <c r="AD1162" t="s">
        <v>183</v>
      </c>
      <c r="AE1162">
        <v>0</v>
      </c>
      <c r="AF1162">
        <v>8</v>
      </c>
      <c r="AG1162" t="s">
        <v>1059</v>
      </c>
      <c r="AH1162">
        <v>100</v>
      </c>
      <c r="AK1162">
        <v>0</v>
      </c>
      <c r="AL1162">
        <v>57433</v>
      </c>
      <c r="AM1162">
        <v>18500</v>
      </c>
      <c r="AN1162">
        <v>38933</v>
      </c>
      <c r="AO1162">
        <v>385</v>
      </c>
      <c r="AP1162">
        <v>2016</v>
      </c>
      <c r="AQ1162">
        <v>0.78</v>
      </c>
      <c r="AS1162" t="s">
        <v>15190</v>
      </c>
      <c r="AT1162" t="s">
        <v>3210</v>
      </c>
      <c r="AU1162" t="s">
        <v>177</v>
      </c>
      <c r="AV1162" t="s">
        <v>2334</v>
      </c>
      <c r="AW1162" t="s">
        <v>202</v>
      </c>
      <c r="AX1162">
        <v>2</v>
      </c>
      <c r="AY1162" t="s">
        <v>188</v>
      </c>
      <c r="AZ1162" t="s">
        <v>189</v>
      </c>
      <c r="BA1162" t="s">
        <v>190</v>
      </c>
      <c r="BB1162" t="s">
        <v>191</v>
      </c>
      <c r="BC1162" t="s">
        <v>182</v>
      </c>
      <c r="BD1162" t="s">
        <v>182</v>
      </c>
      <c r="BE1162" t="s">
        <v>882</v>
      </c>
      <c r="BF1162">
        <v>1</v>
      </c>
      <c r="BG1162">
        <v>1</v>
      </c>
      <c r="BH1162">
        <v>1998</v>
      </c>
      <c r="BI1162" t="s">
        <v>14321</v>
      </c>
      <c r="BJ1162" t="s">
        <v>194</v>
      </c>
      <c r="BK1162" t="s">
        <v>195</v>
      </c>
      <c r="BL1162" t="s">
        <v>4210</v>
      </c>
      <c r="BM1162" t="s">
        <v>1311</v>
      </c>
      <c r="BN1162" t="s">
        <v>182</v>
      </c>
      <c r="BO1162" t="s">
        <v>198</v>
      </c>
      <c r="BP1162" t="s">
        <v>198</v>
      </c>
      <c r="BQ1162" t="s">
        <v>198</v>
      </c>
      <c r="BR1162" t="s">
        <v>198</v>
      </c>
      <c r="BS1162" t="s">
        <v>198</v>
      </c>
      <c r="BT1162" t="s">
        <v>198</v>
      </c>
      <c r="BU1162" t="s">
        <v>182</v>
      </c>
      <c r="BV1162" t="s">
        <v>198</v>
      </c>
      <c r="BW1162" t="s">
        <v>198</v>
      </c>
      <c r="BX1162" t="s">
        <v>199</v>
      </c>
      <c r="BY1162" t="s">
        <v>198</v>
      </c>
      <c r="BZ1162" t="s">
        <v>199</v>
      </c>
      <c r="CA1162" t="s">
        <v>199</v>
      </c>
      <c r="CB1162" t="s">
        <v>15191</v>
      </c>
      <c r="CC1162" t="s">
        <v>201</v>
      </c>
      <c r="CD1162" t="s">
        <v>182</v>
      </c>
      <c r="CE1162" t="s">
        <v>15192</v>
      </c>
      <c r="CF1162" t="s">
        <v>2333</v>
      </c>
      <c r="CG1162" t="s">
        <v>177</v>
      </c>
      <c r="CH1162" t="s">
        <v>2334</v>
      </c>
      <c r="CI1162" t="s">
        <v>5129</v>
      </c>
      <c r="CJ1162" t="s">
        <v>13713</v>
      </c>
      <c r="CK1162" t="s">
        <v>232</v>
      </c>
      <c r="CL1162" t="s">
        <v>233</v>
      </c>
      <c r="CM1162" t="s">
        <v>15193</v>
      </c>
      <c r="CN1162" t="s">
        <v>235</v>
      </c>
      <c r="CO1162" t="s">
        <v>183</v>
      </c>
      <c r="CP1162" t="s">
        <v>211</v>
      </c>
      <c r="CQ1162" t="s">
        <v>199</v>
      </c>
      <c r="CS1162" t="s">
        <v>15194</v>
      </c>
      <c r="CT1162" t="s">
        <v>11075</v>
      </c>
      <c r="CU1162" t="s">
        <v>292</v>
      </c>
      <c r="CV1162" t="s">
        <v>293</v>
      </c>
      <c r="CW1162" t="s">
        <v>15195</v>
      </c>
      <c r="CX1162" t="s">
        <v>235</v>
      </c>
      <c r="CY1162" t="s">
        <v>183</v>
      </c>
      <c r="CZ1162" t="s">
        <v>211</v>
      </c>
      <c r="DA1162" t="s">
        <v>427</v>
      </c>
      <c r="DC1162" t="s">
        <v>15194</v>
      </c>
      <c r="DD1162" t="s">
        <v>14596</v>
      </c>
      <c r="DE1162" t="s">
        <v>267</v>
      </c>
      <c r="DF1162" t="s">
        <v>268</v>
      </c>
      <c r="DG1162" t="s">
        <v>15196</v>
      </c>
      <c r="DH1162" t="s">
        <v>235</v>
      </c>
      <c r="DI1162" t="s">
        <v>183</v>
      </c>
      <c r="DJ1162" t="s">
        <v>211</v>
      </c>
      <c r="DK1162" t="s">
        <v>212</v>
      </c>
      <c r="DM1162" t="s">
        <v>15197</v>
      </c>
      <c r="DN1162" t="s">
        <v>12737</v>
      </c>
      <c r="DO1162" t="s">
        <v>273</v>
      </c>
      <c r="DP1162" t="s">
        <v>274</v>
      </c>
      <c r="DQ1162" t="s">
        <v>15198</v>
      </c>
      <c r="DR1162" t="s">
        <v>235</v>
      </c>
      <c r="DS1162" t="s">
        <v>183</v>
      </c>
      <c r="DT1162" t="s">
        <v>211</v>
      </c>
      <c r="DU1162" t="s">
        <v>212</v>
      </c>
      <c r="DW1162" t="s">
        <v>4967</v>
      </c>
      <c r="DX1162" t="s">
        <v>2615</v>
      </c>
      <c r="DY1162" t="s">
        <v>302</v>
      </c>
      <c r="DZ1162" t="s">
        <v>303</v>
      </c>
      <c r="EA1162" t="s">
        <v>15199</v>
      </c>
      <c r="EB1162" t="s">
        <v>235</v>
      </c>
      <c r="EC1162" t="s">
        <v>183</v>
      </c>
      <c r="ED1162" t="s">
        <v>211</v>
      </c>
      <c r="EE1162" t="s">
        <v>212</v>
      </c>
      <c r="EG1162" t="s">
        <v>1789</v>
      </c>
      <c r="EH1162" t="s">
        <v>13898</v>
      </c>
      <c r="EI1162" t="s">
        <v>238</v>
      </c>
      <c r="EJ1162" t="s">
        <v>239</v>
      </c>
      <c r="EK1162" t="s">
        <v>15200</v>
      </c>
      <c r="EL1162" t="s">
        <v>278</v>
      </c>
      <c r="EM1162" t="s">
        <v>183</v>
      </c>
      <c r="EN1162" t="s">
        <v>211</v>
      </c>
      <c r="EO1162" t="s">
        <v>212</v>
      </c>
      <c r="EQ1162" t="s">
        <v>10716</v>
      </c>
      <c r="ER1162" t="s">
        <v>1414</v>
      </c>
      <c r="ES1162" t="s">
        <v>346</v>
      </c>
      <c r="ET1162" t="s">
        <v>347</v>
      </c>
      <c r="EU1162" t="s">
        <v>15201</v>
      </c>
      <c r="EV1162" t="s">
        <v>688</v>
      </c>
      <c r="EW1162" t="s">
        <v>183</v>
      </c>
      <c r="EX1162" t="s">
        <v>211</v>
      </c>
      <c r="EY1162" t="s">
        <v>212</v>
      </c>
      <c r="FA1162" t="s">
        <v>3575</v>
      </c>
      <c r="FB1162" t="s">
        <v>1080</v>
      </c>
      <c r="FC1162" t="s">
        <v>207</v>
      </c>
      <c r="FD1162" t="s">
        <v>208</v>
      </c>
      <c r="FE1162" t="s">
        <v>15202</v>
      </c>
      <c r="FF1162" t="s">
        <v>391</v>
      </c>
      <c r="FG1162" t="s">
        <v>183</v>
      </c>
      <c r="FH1162" t="s">
        <v>211</v>
      </c>
      <c r="FI1162" t="s">
        <v>212</v>
      </c>
      <c r="FK1162" t="s">
        <v>11511</v>
      </c>
      <c r="FU1162" t="s">
        <v>198</v>
      </c>
    </row>
    <row r="1163" spans="1:177">
      <c r="A1163" s="1" t="str">
        <f>HYPERLINK("http://digipan.lumentumllc.com/apps/getLink/index.php?t=PropLink&amp;p=7112427","PL")</f>
        <v>PL</v>
      </c>
      <c r="B1163" s="1" t="str">
        <f>HYPERLINK("http://digipan.lumentumllc.com/apps/getLink/index.php?t=TaxLink&amp;p=7112427","TL")</f>
        <v>TL</v>
      </c>
      <c r="C1163" s="1" t="str">
        <f>HYPERLINK("http://digipan.lumentumllc.com/apps/getMap/index.php?p=7112427","Map")</f>
        <v>Map</v>
      </c>
      <c r="E1163" t="s">
        <v>177</v>
      </c>
      <c r="F1163" t="s">
        <v>178</v>
      </c>
      <c r="L1163" t="s">
        <v>15203</v>
      </c>
      <c r="N1163" t="s">
        <v>15203</v>
      </c>
      <c r="O1163" t="s">
        <v>15203</v>
      </c>
      <c r="P1163" t="s">
        <v>15204</v>
      </c>
      <c r="Q1163" t="s">
        <v>15203</v>
      </c>
      <c r="V1163">
        <v>1332</v>
      </c>
      <c r="W1163">
        <v>5</v>
      </c>
      <c r="X1163">
        <v>2017</v>
      </c>
      <c r="Y1163">
        <v>2018</v>
      </c>
      <c r="Z1163">
        <v>796.25</v>
      </c>
      <c r="AB1163" t="s">
        <v>181</v>
      </c>
      <c r="AC1163" t="s">
        <v>182</v>
      </c>
      <c r="AD1163" t="s">
        <v>183</v>
      </c>
      <c r="AE1163">
        <v>1</v>
      </c>
      <c r="AF1163">
        <v>1</v>
      </c>
      <c r="AG1163" t="s">
        <v>2222</v>
      </c>
      <c r="AH1163">
        <v>50</v>
      </c>
      <c r="AI1163">
        <v>763.51</v>
      </c>
      <c r="AJ1163">
        <v>38.18</v>
      </c>
      <c r="AK1163">
        <v>801.69</v>
      </c>
      <c r="AL1163">
        <v>46679</v>
      </c>
      <c r="AM1163">
        <v>18500</v>
      </c>
      <c r="AN1163">
        <v>28179</v>
      </c>
      <c r="AO1163">
        <v>681</v>
      </c>
      <c r="AP1163">
        <v>2016</v>
      </c>
      <c r="AQ1163">
        <v>1.71</v>
      </c>
      <c r="AR1163">
        <v>1.72</v>
      </c>
      <c r="AS1163" t="s">
        <v>15205</v>
      </c>
      <c r="AT1163" t="s">
        <v>3210</v>
      </c>
      <c r="AU1163" t="s">
        <v>177</v>
      </c>
      <c r="AV1163" t="s">
        <v>2334</v>
      </c>
      <c r="AW1163" t="s">
        <v>182</v>
      </c>
      <c r="AX1163">
        <v>2</v>
      </c>
      <c r="AY1163" t="s">
        <v>188</v>
      </c>
      <c r="AZ1163" t="s">
        <v>189</v>
      </c>
      <c r="BA1163" t="s">
        <v>190</v>
      </c>
      <c r="BB1163" t="s">
        <v>191</v>
      </c>
      <c r="BC1163" t="s">
        <v>182</v>
      </c>
      <c r="BD1163" t="s">
        <v>182</v>
      </c>
      <c r="BE1163" t="s">
        <v>383</v>
      </c>
      <c r="BF1163">
        <v>1</v>
      </c>
      <c r="BG1163">
        <v>1</v>
      </c>
      <c r="BH1163">
        <v>2000</v>
      </c>
      <c r="BI1163" t="s">
        <v>10031</v>
      </c>
      <c r="BJ1163" t="s">
        <v>194</v>
      </c>
      <c r="BK1163" t="s">
        <v>195</v>
      </c>
      <c r="BL1163" t="s">
        <v>841</v>
      </c>
      <c r="BM1163" t="s">
        <v>451</v>
      </c>
      <c r="BN1163" t="s">
        <v>182</v>
      </c>
      <c r="BO1163" t="s">
        <v>15206</v>
      </c>
      <c r="BP1163" t="s">
        <v>10400</v>
      </c>
      <c r="BS1163" t="s">
        <v>15207</v>
      </c>
      <c r="BT1163" t="s">
        <v>198</v>
      </c>
      <c r="BU1163" t="s">
        <v>182</v>
      </c>
      <c r="BV1163" t="s">
        <v>198</v>
      </c>
      <c r="BW1163" t="s">
        <v>198</v>
      </c>
      <c r="BX1163" t="s">
        <v>199</v>
      </c>
      <c r="BY1163" t="s">
        <v>198</v>
      </c>
      <c r="BZ1163" t="s">
        <v>199</v>
      </c>
      <c r="CA1163" t="s">
        <v>199</v>
      </c>
      <c r="CB1163" t="s">
        <v>15208</v>
      </c>
      <c r="CC1163" t="s">
        <v>201</v>
      </c>
      <c r="CD1163" t="s">
        <v>182</v>
      </c>
      <c r="CE1163" t="s">
        <v>15209</v>
      </c>
      <c r="CF1163" t="s">
        <v>2333</v>
      </c>
      <c r="CG1163" t="s">
        <v>177</v>
      </c>
      <c r="CH1163" t="s">
        <v>2334</v>
      </c>
      <c r="CI1163" t="s">
        <v>9165</v>
      </c>
      <c r="CJ1163" t="s">
        <v>13733</v>
      </c>
      <c r="CK1163" t="s">
        <v>232</v>
      </c>
      <c r="CL1163" t="s">
        <v>233</v>
      </c>
      <c r="CM1163" t="s">
        <v>15210</v>
      </c>
      <c r="CN1163" t="s">
        <v>235</v>
      </c>
      <c r="CO1163" t="s">
        <v>183</v>
      </c>
      <c r="CP1163" t="s">
        <v>266</v>
      </c>
      <c r="CS1163" t="s">
        <v>198</v>
      </c>
      <c r="CT1163" t="s">
        <v>11628</v>
      </c>
      <c r="CU1163" t="s">
        <v>292</v>
      </c>
      <c r="CV1163" t="s">
        <v>293</v>
      </c>
      <c r="CW1163" t="s">
        <v>15211</v>
      </c>
      <c r="CX1163" t="s">
        <v>235</v>
      </c>
      <c r="CY1163" t="s">
        <v>183</v>
      </c>
      <c r="CZ1163" t="s">
        <v>211</v>
      </c>
      <c r="DA1163" t="s">
        <v>189</v>
      </c>
      <c r="DC1163" t="s">
        <v>13101</v>
      </c>
      <c r="DM1163" t="s">
        <v>198</v>
      </c>
      <c r="DW1163" t="s">
        <v>198</v>
      </c>
      <c r="EG1163" t="s">
        <v>198</v>
      </c>
      <c r="EQ1163" t="s">
        <v>198</v>
      </c>
      <c r="FA1163" t="s">
        <v>198</v>
      </c>
      <c r="FK1163" t="s">
        <v>198</v>
      </c>
      <c r="FU1163" t="s">
        <v>198</v>
      </c>
    </row>
    <row r="1164" spans="1:177">
      <c r="A1164" s="1" t="str">
        <f>HYPERLINK("http://digipan.lumentumllc.com/apps/getLink/index.php?t=PropLink&amp;p=5246233","PL")</f>
        <v>PL</v>
      </c>
      <c r="B1164" s="1" t="str">
        <f>HYPERLINK("http://digipan.lumentumllc.com/apps/getLink/index.php?t=TaxLink&amp;p=5246233","TL")</f>
        <v>TL</v>
      </c>
      <c r="C1164" s="1" t="str">
        <f>HYPERLINK("http://digipan.lumentumllc.com/apps/getMap/index.php?p=5246233","Map")</f>
        <v>Map</v>
      </c>
      <c r="E1164" t="s">
        <v>177</v>
      </c>
      <c r="F1164" t="s">
        <v>178</v>
      </c>
      <c r="L1164" t="s">
        <v>15212</v>
      </c>
      <c r="N1164" t="s">
        <v>15212</v>
      </c>
      <c r="O1164" t="s">
        <v>15212</v>
      </c>
      <c r="P1164" t="s">
        <v>15213</v>
      </c>
      <c r="Q1164" t="s">
        <v>15212</v>
      </c>
      <c r="V1164">
        <v>1333</v>
      </c>
      <c r="W1164">
        <v>5</v>
      </c>
      <c r="X1164">
        <v>2017</v>
      </c>
      <c r="Y1164">
        <v>2018</v>
      </c>
      <c r="Z1164">
        <v>1234.0999999999999</v>
      </c>
      <c r="AB1164" t="s">
        <v>181</v>
      </c>
      <c r="AC1164" t="s">
        <v>202</v>
      </c>
      <c r="AD1164" t="s">
        <v>183</v>
      </c>
      <c r="AE1164">
        <v>0</v>
      </c>
      <c r="AF1164">
        <v>8</v>
      </c>
      <c r="AG1164" t="s">
        <v>1059</v>
      </c>
      <c r="AH1164">
        <v>100</v>
      </c>
      <c r="AK1164">
        <v>0</v>
      </c>
      <c r="AL1164">
        <v>73718</v>
      </c>
      <c r="AM1164">
        <v>18500</v>
      </c>
      <c r="AN1164">
        <v>55218</v>
      </c>
      <c r="AO1164">
        <v>1021</v>
      </c>
      <c r="AP1164">
        <v>2016</v>
      </c>
      <c r="AQ1164">
        <v>1.67</v>
      </c>
      <c r="AS1164" t="s">
        <v>15214</v>
      </c>
      <c r="AT1164" t="s">
        <v>3210</v>
      </c>
      <c r="AU1164" t="s">
        <v>177</v>
      </c>
      <c r="AV1164" t="s">
        <v>2334</v>
      </c>
      <c r="AW1164" t="s">
        <v>182</v>
      </c>
      <c r="AX1164">
        <v>2</v>
      </c>
      <c r="AY1164" t="s">
        <v>188</v>
      </c>
      <c r="AZ1164" t="s">
        <v>189</v>
      </c>
      <c r="BA1164" t="s">
        <v>190</v>
      </c>
      <c r="BB1164" t="s">
        <v>191</v>
      </c>
      <c r="BC1164" t="s">
        <v>182</v>
      </c>
      <c r="BD1164" t="s">
        <v>182</v>
      </c>
      <c r="BE1164" t="s">
        <v>899</v>
      </c>
      <c r="BF1164">
        <v>2</v>
      </c>
      <c r="BG1164">
        <v>2</v>
      </c>
      <c r="BH1164">
        <v>2006</v>
      </c>
      <c r="BI1164" t="s">
        <v>325</v>
      </c>
      <c r="BJ1164" t="s">
        <v>194</v>
      </c>
      <c r="BK1164" t="s">
        <v>195</v>
      </c>
      <c r="BL1164" t="s">
        <v>15215</v>
      </c>
      <c r="BM1164" t="s">
        <v>1825</v>
      </c>
      <c r="BN1164" t="s">
        <v>182</v>
      </c>
      <c r="BO1164" t="s">
        <v>198</v>
      </c>
      <c r="BP1164" t="s">
        <v>198</v>
      </c>
      <c r="BQ1164" t="s">
        <v>198</v>
      </c>
      <c r="BR1164" t="s">
        <v>198</v>
      </c>
      <c r="BS1164" t="s">
        <v>198</v>
      </c>
      <c r="BT1164" t="s">
        <v>198</v>
      </c>
      <c r="BU1164" t="s">
        <v>182</v>
      </c>
      <c r="BV1164" t="s">
        <v>198</v>
      </c>
      <c r="BW1164" t="s">
        <v>198</v>
      </c>
      <c r="BX1164" t="s">
        <v>199</v>
      </c>
      <c r="BY1164" t="s">
        <v>198</v>
      </c>
      <c r="BZ1164" t="s">
        <v>199</v>
      </c>
      <c r="CA1164" t="s">
        <v>199</v>
      </c>
      <c r="CB1164" t="s">
        <v>15216</v>
      </c>
      <c r="CC1164" t="s">
        <v>201</v>
      </c>
      <c r="CD1164" t="s">
        <v>182</v>
      </c>
      <c r="CE1164" t="s">
        <v>15217</v>
      </c>
      <c r="CF1164" t="s">
        <v>2333</v>
      </c>
      <c r="CG1164" t="s">
        <v>177</v>
      </c>
      <c r="CH1164" t="s">
        <v>2334</v>
      </c>
      <c r="CI1164" t="s">
        <v>15218</v>
      </c>
      <c r="CJ1164" t="s">
        <v>11465</v>
      </c>
      <c r="CK1164" t="s">
        <v>232</v>
      </c>
      <c r="CL1164" t="s">
        <v>233</v>
      </c>
      <c r="CM1164" t="s">
        <v>15219</v>
      </c>
      <c r="CN1164" t="s">
        <v>235</v>
      </c>
      <c r="CO1164" t="s">
        <v>183</v>
      </c>
      <c r="CP1164" t="s">
        <v>211</v>
      </c>
      <c r="CQ1164" t="s">
        <v>199</v>
      </c>
      <c r="CR1164" t="s">
        <v>271</v>
      </c>
      <c r="CS1164" t="s">
        <v>735</v>
      </c>
      <c r="CT1164" t="s">
        <v>7044</v>
      </c>
      <c r="CU1164" t="s">
        <v>292</v>
      </c>
      <c r="CV1164" t="s">
        <v>293</v>
      </c>
      <c r="CW1164" t="s">
        <v>15220</v>
      </c>
      <c r="CX1164" t="s">
        <v>235</v>
      </c>
      <c r="CY1164" t="s">
        <v>183</v>
      </c>
      <c r="CZ1164" t="s">
        <v>211</v>
      </c>
      <c r="DA1164" t="s">
        <v>427</v>
      </c>
      <c r="DB1164" t="s">
        <v>271</v>
      </c>
      <c r="DC1164" t="s">
        <v>735</v>
      </c>
      <c r="DD1164" t="s">
        <v>14425</v>
      </c>
      <c r="DE1164" t="s">
        <v>267</v>
      </c>
      <c r="DF1164" t="s">
        <v>268</v>
      </c>
      <c r="DG1164" t="s">
        <v>15221</v>
      </c>
      <c r="DH1164" t="s">
        <v>235</v>
      </c>
      <c r="DI1164" t="s">
        <v>183</v>
      </c>
      <c r="DJ1164" t="s">
        <v>211</v>
      </c>
      <c r="DL1164" t="s">
        <v>271</v>
      </c>
      <c r="DM1164" t="s">
        <v>198</v>
      </c>
      <c r="DN1164" t="s">
        <v>9430</v>
      </c>
      <c r="DO1164" t="s">
        <v>273</v>
      </c>
      <c r="DP1164" t="s">
        <v>274</v>
      </c>
      <c r="DQ1164" t="s">
        <v>15222</v>
      </c>
      <c r="DR1164" t="s">
        <v>235</v>
      </c>
      <c r="DS1164" t="s">
        <v>183</v>
      </c>
      <c r="DT1164" t="s">
        <v>211</v>
      </c>
      <c r="DU1164" t="s">
        <v>298</v>
      </c>
      <c r="DW1164" t="s">
        <v>1069</v>
      </c>
      <c r="DX1164" t="s">
        <v>4877</v>
      </c>
      <c r="DY1164" t="s">
        <v>302</v>
      </c>
      <c r="DZ1164" t="s">
        <v>303</v>
      </c>
      <c r="EA1164" t="s">
        <v>15223</v>
      </c>
      <c r="EB1164" t="s">
        <v>235</v>
      </c>
      <c r="EC1164" t="s">
        <v>183</v>
      </c>
      <c r="ED1164" t="s">
        <v>211</v>
      </c>
      <c r="EE1164" t="s">
        <v>298</v>
      </c>
      <c r="EG1164" t="s">
        <v>2359</v>
      </c>
      <c r="EH1164" t="s">
        <v>13457</v>
      </c>
      <c r="EI1164" t="s">
        <v>238</v>
      </c>
      <c r="EJ1164" t="s">
        <v>239</v>
      </c>
      <c r="EK1164" t="s">
        <v>15224</v>
      </c>
      <c r="EL1164" t="s">
        <v>278</v>
      </c>
      <c r="EM1164" t="s">
        <v>183</v>
      </c>
      <c r="EN1164" t="s">
        <v>211</v>
      </c>
      <c r="EO1164" t="s">
        <v>298</v>
      </c>
      <c r="EQ1164" t="s">
        <v>467</v>
      </c>
      <c r="ER1164" t="s">
        <v>4724</v>
      </c>
      <c r="ES1164" t="s">
        <v>346</v>
      </c>
      <c r="ET1164" t="s">
        <v>347</v>
      </c>
      <c r="EU1164" t="s">
        <v>15225</v>
      </c>
      <c r="EV1164" t="s">
        <v>688</v>
      </c>
      <c r="EW1164" t="s">
        <v>183</v>
      </c>
      <c r="EX1164" t="s">
        <v>211</v>
      </c>
      <c r="EY1164" t="s">
        <v>298</v>
      </c>
      <c r="FA1164" t="s">
        <v>470</v>
      </c>
      <c r="FB1164" t="s">
        <v>10882</v>
      </c>
      <c r="FC1164" t="s">
        <v>207</v>
      </c>
      <c r="FD1164" t="s">
        <v>208</v>
      </c>
      <c r="FE1164" t="s">
        <v>15226</v>
      </c>
      <c r="FF1164" t="s">
        <v>1966</v>
      </c>
      <c r="FG1164" t="s">
        <v>183</v>
      </c>
      <c r="FH1164" t="s">
        <v>211</v>
      </c>
      <c r="FI1164" t="s">
        <v>298</v>
      </c>
      <c r="FK1164" t="s">
        <v>474</v>
      </c>
      <c r="FU1164" t="s">
        <v>198</v>
      </c>
    </row>
    <row r="1165" spans="1:177">
      <c r="A1165" s="1" t="str">
        <f>HYPERLINK("http://digipan.lumentumllc.com/apps/getLink/index.php?t=PropLink&amp;p=5246236","PL")</f>
        <v>PL</v>
      </c>
      <c r="B1165" s="1" t="str">
        <f>HYPERLINK("http://digipan.lumentumllc.com/apps/getLink/index.php?t=TaxLink&amp;p=5246236","TL")</f>
        <v>TL</v>
      </c>
      <c r="C1165" s="1" t="str">
        <f>HYPERLINK("http://digipan.lumentumllc.com/apps/getMap/index.php?p=5246236","Map")</f>
        <v>Map</v>
      </c>
      <c r="E1165" t="s">
        <v>177</v>
      </c>
      <c r="F1165" t="s">
        <v>178</v>
      </c>
      <c r="L1165" t="s">
        <v>15227</v>
      </c>
      <c r="N1165" t="s">
        <v>15227</v>
      </c>
      <c r="O1165" t="s">
        <v>15227</v>
      </c>
      <c r="P1165" t="s">
        <v>15228</v>
      </c>
      <c r="Q1165" t="s">
        <v>15227</v>
      </c>
      <c r="V1165">
        <v>1334</v>
      </c>
      <c r="W1165">
        <v>5</v>
      </c>
      <c r="X1165">
        <v>2017</v>
      </c>
      <c r="Y1165">
        <v>2018</v>
      </c>
      <c r="Z1165">
        <v>777.46</v>
      </c>
      <c r="AG1165" t="s">
        <v>184</v>
      </c>
      <c r="AH1165">
        <v>0</v>
      </c>
      <c r="AK1165">
        <v>0</v>
      </c>
      <c r="AL1165">
        <v>45531</v>
      </c>
      <c r="AM1165">
        <v>19425</v>
      </c>
      <c r="AN1165">
        <v>26106</v>
      </c>
      <c r="AO1165">
        <v>671</v>
      </c>
      <c r="AP1165">
        <v>2016</v>
      </c>
      <c r="AQ1165">
        <v>1.71</v>
      </c>
      <c r="AS1165" t="s">
        <v>15229</v>
      </c>
      <c r="AT1165" t="s">
        <v>3210</v>
      </c>
      <c r="AU1165" t="s">
        <v>177</v>
      </c>
      <c r="AV1165" t="s">
        <v>2334</v>
      </c>
      <c r="AW1165" t="s">
        <v>182</v>
      </c>
      <c r="AX1165">
        <v>2</v>
      </c>
      <c r="AY1165" t="s">
        <v>188</v>
      </c>
      <c r="AZ1165" t="s">
        <v>189</v>
      </c>
      <c r="BA1165" t="s">
        <v>190</v>
      </c>
      <c r="BB1165" t="s">
        <v>191</v>
      </c>
      <c r="BC1165" t="s">
        <v>182</v>
      </c>
      <c r="BD1165" t="s">
        <v>182</v>
      </c>
      <c r="BE1165" t="s">
        <v>7278</v>
      </c>
      <c r="BF1165">
        <v>1</v>
      </c>
      <c r="BG1165">
        <v>1</v>
      </c>
      <c r="BH1165">
        <v>1984</v>
      </c>
      <c r="BI1165" t="s">
        <v>4354</v>
      </c>
      <c r="BJ1165" t="s">
        <v>194</v>
      </c>
      <c r="BK1165" t="s">
        <v>195</v>
      </c>
      <c r="BL1165" t="s">
        <v>15230</v>
      </c>
      <c r="BM1165" t="s">
        <v>1041</v>
      </c>
      <c r="BN1165" t="s">
        <v>182</v>
      </c>
      <c r="BO1165" t="s">
        <v>15231</v>
      </c>
      <c r="BP1165" t="s">
        <v>15232</v>
      </c>
      <c r="BQ1165" t="s">
        <v>15233</v>
      </c>
      <c r="BR1165" t="s">
        <v>15234</v>
      </c>
      <c r="BS1165" t="s">
        <v>15235</v>
      </c>
      <c r="BT1165" t="s">
        <v>15236</v>
      </c>
      <c r="BU1165" t="s">
        <v>182</v>
      </c>
      <c r="BV1165" t="s">
        <v>198</v>
      </c>
      <c r="BW1165" t="s">
        <v>198</v>
      </c>
      <c r="BX1165" t="s">
        <v>199</v>
      </c>
      <c r="BY1165" t="s">
        <v>198</v>
      </c>
      <c r="BZ1165" t="s">
        <v>199</v>
      </c>
      <c r="CA1165" t="s">
        <v>199</v>
      </c>
      <c r="CB1165" t="s">
        <v>15237</v>
      </c>
      <c r="CC1165" t="s">
        <v>201</v>
      </c>
      <c r="CD1165" t="s">
        <v>202</v>
      </c>
      <c r="CE1165" t="s">
        <v>6061</v>
      </c>
      <c r="CF1165" t="s">
        <v>15238</v>
      </c>
      <c r="CG1165" t="s">
        <v>177</v>
      </c>
      <c r="CH1165" t="s">
        <v>15239</v>
      </c>
      <c r="CI1165" t="s">
        <v>15240</v>
      </c>
      <c r="CS1165" t="s">
        <v>198</v>
      </c>
      <c r="DC1165" t="s">
        <v>198</v>
      </c>
      <c r="DM1165" t="s">
        <v>198</v>
      </c>
      <c r="DW1165" t="s">
        <v>198</v>
      </c>
      <c r="EG1165" t="s">
        <v>198</v>
      </c>
      <c r="EQ1165" t="s">
        <v>198</v>
      </c>
      <c r="FA1165" t="s">
        <v>198</v>
      </c>
      <c r="FK1165" t="s">
        <v>198</v>
      </c>
      <c r="FU1165" t="s">
        <v>198</v>
      </c>
    </row>
    <row r="1166" spans="1:177">
      <c r="A1166" s="1" t="str">
        <f>HYPERLINK("http://digipan.lumentumllc.com/apps/getLink/index.php?t=PropLink&amp;p=5246237","PL")</f>
        <v>PL</v>
      </c>
      <c r="B1166" s="1" t="str">
        <f>HYPERLINK("http://digipan.lumentumllc.com/apps/getLink/index.php?t=TaxLink&amp;p=5246237","TL")</f>
        <v>TL</v>
      </c>
      <c r="C1166" s="1" t="str">
        <f>HYPERLINK("http://digipan.lumentumllc.com/apps/getMap/index.php?p=5246237","Map")</f>
        <v>Map</v>
      </c>
      <c r="E1166" t="s">
        <v>177</v>
      </c>
      <c r="F1166" t="s">
        <v>178</v>
      </c>
      <c r="L1166" t="s">
        <v>15241</v>
      </c>
      <c r="N1166" t="s">
        <v>15241</v>
      </c>
      <c r="O1166" t="s">
        <v>15241</v>
      </c>
      <c r="P1166" t="s">
        <v>15242</v>
      </c>
      <c r="Q1166" t="s">
        <v>15241</v>
      </c>
      <c r="V1166">
        <v>1335</v>
      </c>
      <c r="W1166">
        <v>5</v>
      </c>
      <c r="X1166">
        <v>2017</v>
      </c>
      <c r="Y1166">
        <v>2018</v>
      </c>
      <c r="Z1166">
        <v>492.25</v>
      </c>
      <c r="AG1166" t="s">
        <v>184</v>
      </c>
      <c r="AH1166">
        <v>0</v>
      </c>
      <c r="AK1166">
        <v>0</v>
      </c>
      <c r="AL1166">
        <v>28110</v>
      </c>
      <c r="AM1166">
        <v>19425</v>
      </c>
      <c r="AN1166">
        <v>8685</v>
      </c>
      <c r="AO1166">
        <v>413</v>
      </c>
      <c r="AP1166">
        <v>2016</v>
      </c>
      <c r="AQ1166">
        <v>1.75</v>
      </c>
      <c r="AS1166" t="s">
        <v>15243</v>
      </c>
      <c r="AT1166" t="s">
        <v>3210</v>
      </c>
      <c r="AU1166" t="s">
        <v>177</v>
      </c>
      <c r="AV1166" t="s">
        <v>2334</v>
      </c>
      <c r="AW1166" t="s">
        <v>182</v>
      </c>
      <c r="AX1166">
        <v>2</v>
      </c>
      <c r="AY1166" t="s">
        <v>188</v>
      </c>
      <c r="AZ1166" t="s">
        <v>189</v>
      </c>
      <c r="BA1166" t="s">
        <v>190</v>
      </c>
      <c r="BB1166" t="s">
        <v>191</v>
      </c>
      <c r="BC1166" t="s">
        <v>182</v>
      </c>
      <c r="BD1166" t="s">
        <v>182</v>
      </c>
      <c r="BE1166" t="s">
        <v>7278</v>
      </c>
      <c r="BF1166">
        <v>1</v>
      </c>
      <c r="BG1166">
        <v>1</v>
      </c>
      <c r="BH1166">
        <v>1972</v>
      </c>
      <c r="BI1166" t="s">
        <v>7456</v>
      </c>
      <c r="BJ1166" t="s">
        <v>194</v>
      </c>
      <c r="BK1166" t="s">
        <v>195</v>
      </c>
      <c r="BL1166" t="s">
        <v>15244</v>
      </c>
      <c r="BM1166" t="s">
        <v>410</v>
      </c>
      <c r="BN1166" t="s">
        <v>182</v>
      </c>
      <c r="BO1166" t="s">
        <v>15231</v>
      </c>
      <c r="BP1166" t="s">
        <v>15245</v>
      </c>
      <c r="BQ1166" t="s">
        <v>15233</v>
      </c>
      <c r="BR1166" t="s">
        <v>15246</v>
      </c>
      <c r="BS1166" t="s">
        <v>15247</v>
      </c>
      <c r="BT1166" t="s">
        <v>198</v>
      </c>
      <c r="BU1166" t="s">
        <v>182</v>
      </c>
      <c r="BV1166" t="s">
        <v>198</v>
      </c>
      <c r="BW1166" t="s">
        <v>198</v>
      </c>
      <c r="BX1166" t="s">
        <v>199</v>
      </c>
      <c r="BY1166" t="s">
        <v>198</v>
      </c>
      <c r="BZ1166" t="s">
        <v>199</v>
      </c>
      <c r="CA1166" t="s">
        <v>199</v>
      </c>
      <c r="CB1166" t="s">
        <v>15248</v>
      </c>
      <c r="CC1166" t="s">
        <v>201</v>
      </c>
      <c r="CD1166" t="s">
        <v>182</v>
      </c>
      <c r="CE1166" t="s">
        <v>15075</v>
      </c>
      <c r="CF1166" t="s">
        <v>2333</v>
      </c>
      <c r="CG1166" t="s">
        <v>177</v>
      </c>
      <c r="CH1166" t="s">
        <v>2334</v>
      </c>
      <c r="CI1166" t="s">
        <v>15249</v>
      </c>
      <c r="CS1166" t="s">
        <v>198</v>
      </c>
      <c r="DC1166" t="s">
        <v>198</v>
      </c>
      <c r="DM1166" t="s">
        <v>198</v>
      </c>
      <c r="DW1166" t="s">
        <v>198</v>
      </c>
      <c r="EG1166" t="s">
        <v>198</v>
      </c>
      <c r="EQ1166" t="s">
        <v>198</v>
      </c>
      <c r="FA1166" t="s">
        <v>198</v>
      </c>
      <c r="FK1166" t="s">
        <v>198</v>
      </c>
      <c r="FU1166" t="s">
        <v>198</v>
      </c>
    </row>
    <row r="1167" spans="1:177">
      <c r="A1167" s="1" t="str">
        <f>HYPERLINK("http://digipan.lumentumllc.com/apps/getLink/index.php?t=PropLink&amp;p=6129067","PL")</f>
        <v>PL</v>
      </c>
      <c r="B1167" s="1" t="str">
        <f>HYPERLINK("http://digipan.lumentumllc.com/apps/getLink/index.php?t=TaxLink&amp;p=6129067","TL")</f>
        <v>TL</v>
      </c>
      <c r="C1167" s="1" t="str">
        <f>HYPERLINK("http://digipan.lumentumllc.com/apps/getMap/index.php?p=6129067","Map")</f>
        <v>Map</v>
      </c>
      <c r="E1167" t="s">
        <v>177</v>
      </c>
      <c r="F1167" t="s">
        <v>178</v>
      </c>
      <c r="L1167" t="s">
        <v>15250</v>
      </c>
      <c r="N1167" t="s">
        <v>15250</v>
      </c>
      <c r="O1167" t="s">
        <v>15250</v>
      </c>
      <c r="P1167" t="s">
        <v>15251</v>
      </c>
      <c r="Q1167" t="s">
        <v>15250</v>
      </c>
      <c r="V1167">
        <v>1336</v>
      </c>
      <c r="W1167">
        <v>5</v>
      </c>
      <c r="X1167">
        <v>2017</v>
      </c>
      <c r="Y1167">
        <v>2018</v>
      </c>
      <c r="Z1167">
        <v>166.56</v>
      </c>
      <c r="AB1167" t="s">
        <v>181</v>
      </c>
      <c r="AC1167" t="s">
        <v>182</v>
      </c>
      <c r="AD1167" t="s">
        <v>183</v>
      </c>
      <c r="AE1167">
        <v>0</v>
      </c>
      <c r="AF1167">
        <v>5</v>
      </c>
      <c r="AG1167" t="s">
        <v>3266</v>
      </c>
      <c r="AH1167">
        <v>100</v>
      </c>
      <c r="AK1167">
        <v>0</v>
      </c>
      <c r="AL1167">
        <v>8219</v>
      </c>
      <c r="AM1167">
        <v>5025</v>
      </c>
      <c r="AN1167">
        <v>3194</v>
      </c>
      <c r="AO1167">
        <v>131</v>
      </c>
      <c r="AP1167">
        <v>2016</v>
      </c>
      <c r="AQ1167">
        <v>2.0299999999999998</v>
      </c>
      <c r="AS1167" t="s">
        <v>14388</v>
      </c>
      <c r="AT1167" t="s">
        <v>3210</v>
      </c>
      <c r="AU1167" t="s">
        <v>177</v>
      </c>
      <c r="AV1167" t="s">
        <v>2334</v>
      </c>
      <c r="AW1167" t="s">
        <v>182</v>
      </c>
      <c r="AX1167">
        <v>0</v>
      </c>
      <c r="AY1167" t="s">
        <v>312</v>
      </c>
      <c r="AZ1167" t="s">
        <v>199</v>
      </c>
      <c r="BA1167" t="s">
        <v>313</v>
      </c>
      <c r="BB1167" t="s">
        <v>191</v>
      </c>
      <c r="BC1167" t="s">
        <v>182</v>
      </c>
      <c r="BD1167" t="s">
        <v>182</v>
      </c>
      <c r="BE1167" t="s">
        <v>14631</v>
      </c>
      <c r="BF1167">
        <v>0</v>
      </c>
      <c r="BG1167">
        <v>0</v>
      </c>
      <c r="BH1167">
        <v>0</v>
      </c>
      <c r="BI1167" t="s">
        <v>199</v>
      </c>
      <c r="BJ1167" t="s">
        <v>315</v>
      </c>
      <c r="BL1167" t="s">
        <v>2939</v>
      </c>
      <c r="BM1167" t="s">
        <v>1474</v>
      </c>
      <c r="BN1167" t="s">
        <v>182</v>
      </c>
      <c r="BO1167" t="s">
        <v>198</v>
      </c>
      <c r="BP1167" t="s">
        <v>198</v>
      </c>
      <c r="BQ1167" t="s">
        <v>198</v>
      </c>
      <c r="BR1167" t="s">
        <v>198</v>
      </c>
      <c r="BS1167" t="s">
        <v>198</v>
      </c>
      <c r="BT1167" t="s">
        <v>198</v>
      </c>
      <c r="BU1167" t="s">
        <v>182</v>
      </c>
      <c r="BV1167" t="s">
        <v>198</v>
      </c>
      <c r="BW1167" t="s">
        <v>198</v>
      </c>
      <c r="BX1167" t="s">
        <v>199</v>
      </c>
      <c r="BY1167" t="s">
        <v>198</v>
      </c>
      <c r="BZ1167" t="s">
        <v>199</v>
      </c>
      <c r="CA1167" t="s">
        <v>199</v>
      </c>
      <c r="CB1167" t="s">
        <v>15252</v>
      </c>
      <c r="CC1167" t="s">
        <v>201</v>
      </c>
      <c r="CD1167" t="s">
        <v>182</v>
      </c>
      <c r="CE1167" t="s">
        <v>15253</v>
      </c>
      <c r="CF1167" t="s">
        <v>413</v>
      </c>
      <c r="CG1167" t="s">
        <v>177</v>
      </c>
      <c r="CH1167" t="s">
        <v>414</v>
      </c>
      <c r="CI1167" t="s">
        <v>15254</v>
      </c>
      <c r="CJ1167" t="s">
        <v>15255</v>
      </c>
      <c r="CK1167" t="s">
        <v>292</v>
      </c>
      <c r="CL1167" t="s">
        <v>293</v>
      </c>
      <c r="CM1167" t="s">
        <v>15256</v>
      </c>
      <c r="CN1167" t="s">
        <v>519</v>
      </c>
      <c r="CO1167" t="s">
        <v>183</v>
      </c>
      <c r="CP1167" t="s">
        <v>211</v>
      </c>
      <c r="CQ1167" t="s">
        <v>342</v>
      </c>
      <c r="CS1167" t="s">
        <v>1068</v>
      </c>
      <c r="CT1167" t="s">
        <v>12095</v>
      </c>
      <c r="CU1167" t="s">
        <v>267</v>
      </c>
      <c r="CV1167" t="s">
        <v>268</v>
      </c>
      <c r="CW1167" t="s">
        <v>15257</v>
      </c>
      <c r="CX1167" t="s">
        <v>235</v>
      </c>
      <c r="CY1167" t="s">
        <v>183</v>
      </c>
      <c r="CZ1167" t="s">
        <v>211</v>
      </c>
      <c r="DA1167" t="s">
        <v>270</v>
      </c>
      <c r="DC1167" t="s">
        <v>15258</v>
      </c>
      <c r="DD1167" t="s">
        <v>12421</v>
      </c>
      <c r="DE1167" t="s">
        <v>273</v>
      </c>
      <c r="DF1167" t="s">
        <v>274</v>
      </c>
      <c r="DG1167" t="s">
        <v>15259</v>
      </c>
      <c r="DH1167" t="s">
        <v>440</v>
      </c>
      <c r="DI1167" t="s">
        <v>183</v>
      </c>
      <c r="DJ1167" t="s">
        <v>211</v>
      </c>
      <c r="DK1167" t="s">
        <v>270</v>
      </c>
      <c r="DM1167" t="s">
        <v>3851</v>
      </c>
      <c r="DN1167" t="s">
        <v>15260</v>
      </c>
      <c r="DO1167" t="s">
        <v>302</v>
      </c>
      <c r="DP1167" t="s">
        <v>303</v>
      </c>
      <c r="DQ1167" t="s">
        <v>15261</v>
      </c>
      <c r="DR1167" t="s">
        <v>295</v>
      </c>
      <c r="DS1167" t="s">
        <v>183</v>
      </c>
      <c r="DT1167" t="s">
        <v>211</v>
      </c>
      <c r="DU1167" t="s">
        <v>342</v>
      </c>
      <c r="DW1167" t="s">
        <v>1097</v>
      </c>
      <c r="DX1167" t="s">
        <v>13724</v>
      </c>
      <c r="DY1167" t="s">
        <v>238</v>
      </c>
      <c r="DZ1167" t="s">
        <v>239</v>
      </c>
      <c r="EA1167" t="s">
        <v>15262</v>
      </c>
      <c r="EB1167" t="s">
        <v>519</v>
      </c>
      <c r="EC1167" t="s">
        <v>183</v>
      </c>
      <c r="ED1167" t="s">
        <v>211</v>
      </c>
      <c r="EE1167" t="s">
        <v>199</v>
      </c>
      <c r="EG1167" t="s">
        <v>12561</v>
      </c>
      <c r="EQ1167" t="s">
        <v>198</v>
      </c>
      <c r="FA1167" t="s">
        <v>198</v>
      </c>
      <c r="FK1167" t="s">
        <v>198</v>
      </c>
      <c r="FU1167" t="s">
        <v>198</v>
      </c>
    </row>
    <row r="1168" spans="1:177">
      <c r="A1168" s="1" t="str">
        <f>HYPERLINK("http://digipan.lumentumllc.com/apps/getLink/index.php?t=PropLink&amp;p=6129068","PL")</f>
        <v>PL</v>
      </c>
      <c r="B1168" s="1" t="str">
        <f>HYPERLINK("http://digipan.lumentumllc.com/apps/getLink/index.php?t=TaxLink&amp;p=6129068","TL")</f>
        <v>TL</v>
      </c>
      <c r="C1168" s="1" t="str">
        <f>HYPERLINK("http://digipan.lumentumllc.com/apps/getMap/index.php?p=6129068","Map")</f>
        <v>Map</v>
      </c>
      <c r="E1168" t="s">
        <v>177</v>
      </c>
      <c r="F1168" t="s">
        <v>178</v>
      </c>
      <c r="L1168" t="s">
        <v>15263</v>
      </c>
      <c r="N1168" t="s">
        <v>15263</v>
      </c>
      <c r="O1168" t="s">
        <v>15263</v>
      </c>
      <c r="P1168" t="s">
        <v>15264</v>
      </c>
      <c r="Q1168" t="s">
        <v>15263</v>
      </c>
      <c r="V1168">
        <v>1337</v>
      </c>
      <c r="W1168">
        <v>5</v>
      </c>
      <c r="X1168">
        <v>2017</v>
      </c>
      <c r="Y1168">
        <v>2018</v>
      </c>
      <c r="Z1168">
        <v>196.55</v>
      </c>
      <c r="AB1168" t="s">
        <v>181</v>
      </c>
      <c r="AC1168" t="s">
        <v>182</v>
      </c>
      <c r="AD1168" t="s">
        <v>183</v>
      </c>
      <c r="AE1168">
        <v>0</v>
      </c>
      <c r="AF1168">
        <v>5</v>
      </c>
      <c r="AG1168" t="s">
        <v>3266</v>
      </c>
      <c r="AH1168">
        <v>100</v>
      </c>
      <c r="AK1168">
        <v>0</v>
      </c>
      <c r="AL1168">
        <v>10050</v>
      </c>
      <c r="AM1168">
        <v>10050</v>
      </c>
      <c r="AN1168">
        <v>0</v>
      </c>
      <c r="AO1168">
        <v>154</v>
      </c>
      <c r="AP1168">
        <v>2016</v>
      </c>
      <c r="AQ1168">
        <v>1.96</v>
      </c>
      <c r="AS1168" t="s">
        <v>15265</v>
      </c>
      <c r="AT1168" t="s">
        <v>3210</v>
      </c>
      <c r="AU1168" t="s">
        <v>177</v>
      </c>
      <c r="AV1168" t="s">
        <v>2334</v>
      </c>
      <c r="AW1168" t="s">
        <v>182</v>
      </c>
      <c r="AX1168">
        <v>0</v>
      </c>
      <c r="AY1168" t="s">
        <v>312</v>
      </c>
      <c r="AZ1168" t="s">
        <v>199</v>
      </c>
      <c r="BA1168" t="s">
        <v>313</v>
      </c>
      <c r="BB1168" t="s">
        <v>191</v>
      </c>
      <c r="BC1168" t="s">
        <v>182</v>
      </c>
      <c r="BD1168" t="s">
        <v>182</v>
      </c>
      <c r="BE1168" t="s">
        <v>6375</v>
      </c>
      <c r="BF1168">
        <v>0</v>
      </c>
      <c r="BG1168">
        <v>0</v>
      </c>
      <c r="BH1168">
        <v>0</v>
      </c>
      <c r="BI1168" t="s">
        <v>199</v>
      </c>
      <c r="BJ1168" t="s">
        <v>194</v>
      </c>
      <c r="BL1168" t="s">
        <v>2191</v>
      </c>
      <c r="BM1168" t="s">
        <v>533</v>
      </c>
      <c r="BN1168" t="s">
        <v>182</v>
      </c>
      <c r="BO1168" t="s">
        <v>198</v>
      </c>
      <c r="BP1168" t="s">
        <v>198</v>
      </c>
      <c r="BQ1168" t="s">
        <v>198</v>
      </c>
      <c r="BR1168" t="s">
        <v>198</v>
      </c>
      <c r="BS1168" t="s">
        <v>198</v>
      </c>
      <c r="BT1168" t="s">
        <v>198</v>
      </c>
      <c r="BU1168" t="s">
        <v>182</v>
      </c>
      <c r="BV1168" t="s">
        <v>198</v>
      </c>
      <c r="BW1168" t="s">
        <v>198</v>
      </c>
      <c r="BX1168" t="s">
        <v>199</v>
      </c>
      <c r="BY1168" t="s">
        <v>198</v>
      </c>
      <c r="BZ1168" t="s">
        <v>199</v>
      </c>
      <c r="CA1168" t="s">
        <v>199</v>
      </c>
      <c r="CB1168" t="s">
        <v>15266</v>
      </c>
      <c r="CC1168" t="s">
        <v>201</v>
      </c>
      <c r="CD1168" t="s">
        <v>182</v>
      </c>
      <c r="CE1168" t="s">
        <v>15253</v>
      </c>
      <c r="CF1168" t="s">
        <v>413</v>
      </c>
      <c r="CG1168" t="s">
        <v>177</v>
      </c>
      <c r="CH1168" t="s">
        <v>414</v>
      </c>
      <c r="CI1168" t="s">
        <v>15267</v>
      </c>
      <c r="CJ1168" t="s">
        <v>14017</v>
      </c>
      <c r="CK1168" t="s">
        <v>292</v>
      </c>
      <c r="CL1168" t="s">
        <v>293</v>
      </c>
      <c r="CM1168" t="s">
        <v>1196</v>
      </c>
      <c r="CN1168" t="s">
        <v>235</v>
      </c>
      <c r="CO1168" t="s">
        <v>183</v>
      </c>
      <c r="CP1168" t="s">
        <v>211</v>
      </c>
      <c r="CQ1168" t="s">
        <v>342</v>
      </c>
      <c r="CS1168" t="s">
        <v>1068</v>
      </c>
      <c r="CT1168" t="s">
        <v>12114</v>
      </c>
      <c r="CU1168" t="s">
        <v>267</v>
      </c>
      <c r="CV1168" t="s">
        <v>268</v>
      </c>
      <c r="CW1168" t="s">
        <v>15268</v>
      </c>
      <c r="CX1168" t="s">
        <v>235</v>
      </c>
      <c r="CY1168" t="s">
        <v>183</v>
      </c>
      <c r="CZ1168" t="s">
        <v>211</v>
      </c>
      <c r="DA1168" t="s">
        <v>270</v>
      </c>
      <c r="DC1168" t="s">
        <v>15258</v>
      </c>
      <c r="DD1168" t="s">
        <v>7006</v>
      </c>
      <c r="DE1168" t="s">
        <v>273</v>
      </c>
      <c r="DF1168" t="s">
        <v>274</v>
      </c>
      <c r="DG1168" t="s">
        <v>15269</v>
      </c>
      <c r="DH1168" t="s">
        <v>389</v>
      </c>
      <c r="DI1168" t="s">
        <v>183</v>
      </c>
      <c r="DJ1168" t="s">
        <v>211</v>
      </c>
      <c r="DK1168" t="s">
        <v>270</v>
      </c>
      <c r="DM1168" t="s">
        <v>3851</v>
      </c>
      <c r="DN1168" t="s">
        <v>15270</v>
      </c>
      <c r="DO1168" t="s">
        <v>302</v>
      </c>
      <c r="DP1168" t="s">
        <v>303</v>
      </c>
      <c r="DQ1168" t="s">
        <v>15271</v>
      </c>
      <c r="DR1168" t="s">
        <v>341</v>
      </c>
      <c r="DS1168" t="s">
        <v>183</v>
      </c>
      <c r="DT1168" t="s">
        <v>211</v>
      </c>
      <c r="DU1168" t="s">
        <v>342</v>
      </c>
      <c r="DW1168" t="s">
        <v>1097</v>
      </c>
      <c r="DX1168" t="s">
        <v>15272</v>
      </c>
      <c r="DY1168" t="s">
        <v>238</v>
      </c>
      <c r="DZ1168" t="s">
        <v>239</v>
      </c>
      <c r="EA1168" t="s">
        <v>15273</v>
      </c>
      <c r="EB1168" t="s">
        <v>519</v>
      </c>
      <c r="EC1168" t="s">
        <v>183</v>
      </c>
      <c r="ED1168" t="s">
        <v>211</v>
      </c>
      <c r="EE1168" t="s">
        <v>199</v>
      </c>
      <c r="EG1168" t="s">
        <v>12561</v>
      </c>
      <c r="EQ1168" t="s">
        <v>198</v>
      </c>
      <c r="FA1168" t="s">
        <v>198</v>
      </c>
      <c r="FK1168" t="s">
        <v>198</v>
      </c>
      <c r="FU1168" t="s">
        <v>198</v>
      </c>
    </row>
    <row r="1169" spans="1:177">
      <c r="A1169" s="1" t="str">
        <f>HYPERLINK("http://digipan.lumentumllc.com/apps/getLink/index.php?t=PropLink&amp;p=6129069","PL")</f>
        <v>PL</v>
      </c>
      <c r="B1169" s="1" t="str">
        <f>HYPERLINK("http://digipan.lumentumllc.com/apps/getLink/index.php?t=TaxLink&amp;p=6129069","TL")</f>
        <v>TL</v>
      </c>
      <c r="C1169" s="1" t="str">
        <f>HYPERLINK("http://digipan.lumentumllc.com/apps/getMap/index.php?p=6129069","Map")</f>
        <v>Map</v>
      </c>
      <c r="E1169" t="s">
        <v>177</v>
      </c>
      <c r="F1169" t="s">
        <v>178</v>
      </c>
      <c r="L1169" t="s">
        <v>15274</v>
      </c>
      <c r="N1169" t="s">
        <v>15274</v>
      </c>
      <c r="O1169" t="s">
        <v>15274</v>
      </c>
      <c r="P1169" t="s">
        <v>15275</v>
      </c>
      <c r="Q1169" t="s">
        <v>15274</v>
      </c>
      <c r="V1169">
        <v>1338</v>
      </c>
      <c r="W1169">
        <v>5</v>
      </c>
      <c r="X1169">
        <v>2017</v>
      </c>
      <c r="Y1169">
        <v>2018</v>
      </c>
      <c r="Z1169">
        <v>155.21</v>
      </c>
      <c r="AB1169" t="s">
        <v>181</v>
      </c>
      <c r="AC1169" t="s">
        <v>182</v>
      </c>
      <c r="AD1169" t="s">
        <v>183</v>
      </c>
      <c r="AE1169">
        <v>0</v>
      </c>
      <c r="AF1169">
        <v>5</v>
      </c>
      <c r="AG1169" t="s">
        <v>3266</v>
      </c>
      <c r="AH1169">
        <v>100</v>
      </c>
      <c r="AK1169">
        <v>0</v>
      </c>
      <c r="AL1169">
        <v>7525</v>
      </c>
      <c r="AM1169">
        <v>7525</v>
      </c>
      <c r="AN1169">
        <v>0</v>
      </c>
      <c r="AO1169">
        <v>116</v>
      </c>
      <c r="AP1169">
        <v>2016</v>
      </c>
      <c r="AQ1169">
        <v>2.06</v>
      </c>
      <c r="AS1169" t="s">
        <v>14388</v>
      </c>
      <c r="AT1169" t="s">
        <v>3210</v>
      </c>
      <c r="AU1169" t="s">
        <v>177</v>
      </c>
      <c r="AV1169" t="s">
        <v>2334</v>
      </c>
      <c r="AW1169" t="s">
        <v>182</v>
      </c>
      <c r="AX1169">
        <v>0</v>
      </c>
      <c r="AY1169" t="s">
        <v>312</v>
      </c>
      <c r="AZ1169" t="s">
        <v>199</v>
      </c>
      <c r="BA1169" t="s">
        <v>313</v>
      </c>
      <c r="BB1169" t="s">
        <v>191</v>
      </c>
      <c r="BC1169" t="s">
        <v>182</v>
      </c>
      <c r="BD1169" t="s">
        <v>182</v>
      </c>
      <c r="BE1169" t="s">
        <v>1930</v>
      </c>
      <c r="BF1169">
        <v>0</v>
      </c>
      <c r="BG1169">
        <v>0</v>
      </c>
      <c r="BH1169">
        <v>0</v>
      </c>
      <c r="BI1169" t="s">
        <v>199</v>
      </c>
      <c r="BJ1169" t="s">
        <v>315</v>
      </c>
      <c r="BL1169" t="s">
        <v>7226</v>
      </c>
      <c r="BM1169" t="s">
        <v>559</v>
      </c>
      <c r="BN1169" t="s">
        <v>182</v>
      </c>
      <c r="BO1169" t="s">
        <v>198</v>
      </c>
      <c r="BP1169" t="s">
        <v>198</v>
      </c>
      <c r="BQ1169" t="s">
        <v>198</v>
      </c>
      <c r="BR1169" t="s">
        <v>198</v>
      </c>
      <c r="BS1169" t="s">
        <v>198</v>
      </c>
      <c r="BT1169" t="s">
        <v>198</v>
      </c>
      <c r="BU1169" t="s">
        <v>182</v>
      </c>
      <c r="BV1169" t="s">
        <v>198</v>
      </c>
      <c r="BW1169" t="s">
        <v>198</v>
      </c>
      <c r="BX1169" t="s">
        <v>199</v>
      </c>
      <c r="BY1169" t="s">
        <v>198</v>
      </c>
      <c r="BZ1169" t="s">
        <v>199</v>
      </c>
      <c r="CA1169" t="s">
        <v>199</v>
      </c>
      <c r="CB1169" t="s">
        <v>15276</v>
      </c>
      <c r="CC1169" t="s">
        <v>201</v>
      </c>
      <c r="CD1169" t="s">
        <v>182</v>
      </c>
      <c r="CE1169" t="s">
        <v>15253</v>
      </c>
      <c r="CF1169" t="s">
        <v>413</v>
      </c>
      <c r="CG1169" t="s">
        <v>177</v>
      </c>
      <c r="CH1169" t="s">
        <v>414</v>
      </c>
      <c r="CI1169" t="s">
        <v>15277</v>
      </c>
      <c r="CJ1169" t="s">
        <v>9232</v>
      </c>
      <c r="CK1169" t="s">
        <v>292</v>
      </c>
      <c r="CL1169" t="s">
        <v>293</v>
      </c>
      <c r="CM1169" t="s">
        <v>15278</v>
      </c>
      <c r="CN1169" t="s">
        <v>482</v>
      </c>
      <c r="CO1169" t="s">
        <v>183</v>
      </c>
      <c r="CP1169" t="s">
        <v>211</v>
      </c>
      <c r="CQ1169" t="s">
        <v>342</v>
      </c>
      <c r="CS1169" t="s">
        <v>1068</v>
      </c>
      <c r="CT1169" t="s">
        <v>14617</v>
      </c>
      <c r="CU1169" t="s">
        <v>267</v>
      </c>
      <c r="CV1169" t="s">
        <v>268</v>
      </c>
      <c r="CW1169" t="s">
        <v>15279</v>
      </c>
      <c r="CX1169" t="s">
        <v>482</v>
      </c>
      <c r="CY1169" t="s">
        <v>183</v>
      </c>
      <c r="CZ1169" t="s">
        <v>211</v>
      </c>
      <c r="DA1169" t="s">
        <v>270</v>
      </c>
      <c r="DC1169" t="s">
        <v>15258</v>
      </c>
      <c r="DD1169" t="s">
        <v>12784</v>
      </c>
      <c r="DE1169" t="s">
        <v>273</v>
      </c>
      <c r="DF1169" t="s">
        <v>274</v>
      </c>
      <c r="DG1169" t="s">
        <v>15280</v>
      </c>
      <c r="DH1169" t="s">
        <v>440</v>
      </c>
      <c r="DI1169" t="s">
        <v>183</v>
      </c>
      <c r="DJ1169" t="s">
        <v>211</v>
      </c>
      <c r="DK1169" t="s">
        <v>298</v>
      </c>
      <c r="DM1169" t="s">
        <v>9411</v>
      </c>
      <c r="DN1169" t="s">
        <v>15281</v>
      </c>
      <c r="DO1169" t="s">
        <v>302</v>
      </c>
      <c r="DP1169" t="s">
        <v>303</v>
      </c>
      <c r="DQ1169" t="s">
        <v>14729</v>
      </c>
      <c r="DR1169" t="s">
        <v>2515</v>
      </c>
      <c r="DS1169" t="s">
        <v>183</v>
      </c>
      <c r="DT1169" t="s">
        <v>211</v>
      </c>
      <c r="DU1169" t="s">
        <v>342</v>
      </c>
      <c r="DW1169" t="s">
        <v>1097</v>
      </c>
      <c r="DX1169" t="s">
        <v>7268</v>
      </c>
      <c r="DY1169" t="s">
        <v>238</v>
      </c>
      <c r="DZ1169" t="s">
        <v>239</v>
      </c>
      <c r="EA1169" t="s">
        <v>15282</v>
      </c>
      <c r="EB1169" t="s">
        <v>519</v>
      </c>
      <c r="EC1169" t="s">
        <v>183</v>
      </c>
      <c r="ED1169" t="s">
        <v>211</v>
      </c>
      <c r="EE1169" t="s">
        <v>199</v>
      </c>
      <c r="EG1169" t="s">
        <v>12561</v>
      </c>
      <c r="EQ1169" t="s">
        <v>198</v>
      </c>
      <c r="FA1169" t="s">
        <v>198</v>
      </c>
      <c r="FK1169" t="s">
        <v>198</v>
      </c>
      <c r="FU1169" t="s">
        <v>198</v>
      </c>
    </row>
    <row r="1170" spans="1:177">
      <c r="A1170" s="1" t="str">
        <f>HYPERLINK("http://digipan.lumentumllc.com/apps/getLink/index.php?t=PropLink&amp;p=6129070","PL")</f>
        <v>PL</v>
      </c>
      <c r="B1170" s="1" t="str">
        <f>HYPERLINK("http://digipan.lumentumllc.com/apps/getLink/index.php?t=TaxLink&amp;p=6129070","TL")</f>
        <v>TL</v>
      </c>
      <c r="C1170" s="1" t="str">
        <f>HYPERLINK("http://digipan.lumentumllc.com/apps/getMap/index.php?p=6129070","Map")</f>
        <v>Map</v>
      </c>
      <c r="E1170" t="s">
        <v>177</v>
      </c>
      <c r="F1170" t="s">
        <v>178</v>
      </c>
      <c r="L1170" t="s">
        <v>15283</v>
      </c>
      <c r="N1170" t="s">
        <v>15283</v>
      </c>
      <c r="O1170" t="s">
        <v>15283</v>
      </c>
      <c r="P1170" t="s">
        <v>15284</v>
      </c>
      <c r="Q1170" t="s">
        <v>15283</v>
      </c>
      <c r="V1170">
        <v>1339</v>
      </c>
      <c r="W1170">
        <v>5</v>
      </c>
      <c r="X1170">
        <v>2017</v>
      </c>
      <c r="Y1170">
        <v>2018</v>
      </c>
      <c r="Z1170">
        <v>114.28</v>
      </c>
      <c r="AB1170" t="s">
        <v>181</v>
      </c>
      <c r="AC1170" t="s">
        <v>182</v>
      </c>
      <c r="AD1170" t="s">
        <v>183</v>
      </c>
      <c r="AE1170">
        <v>0</v>
      </c>
      <c r="AF1170">
        <v>5</v>
      </c>
      <c r="AG1170" t="s">
        <v>3266</v>
      </c>
      <c r="AH1170">
        <v>100</v>
      </c>
      <c r="AK1170">
        <v>0</v>
      </c>
      <c r="AL1170">
        <v>5025</v>
      </c>
      <c r="AM1170">
        <v>5025</v>
      </c>
      <c r="AN1170">
        <v>0</v>
      </c>
      <c r="AO1170">
        <v>77</v>
      </c>
      <c r="AP1170">
        <v>2016</v>
      </c>
      <c r="AQ1170">
        <v>2.27</v>
      </c>
      <c r="AS1170" t="s">
        <v>14388</v>
      </c>
      <c r="AT1170" t="s">
        <v>3210</v>
      </c>
      <c r="AU1170" t="s">
        <v>177</v>
      </c>
      <c r="AV1170" t="s">
        <v>2334</v>
      </c>
      <c r="AW1170" t="s">
        <v>182</v>
      </c>
      <c r="AX1170">
        <v>0</v>
      </c>
      <c r="AY1170" t="s">
        <v>312</v>
      </c>
      <c r="AZ1170" t="s">
        <v>199</v>
      </c>
      <c r="BA1170" t="s">
        <v>313</v>
      </c>
      <c r="BB1170" t="s">
        <v>191</v>
      </c>
      <c r="BC1170" t="s">
        <v>182</v>
      </c>
      <c r="BD1170" t="s">
        <v>182</v>
      </c>
      <c r="BE1170" t="s">
        <v>6557</v>
      </c>
      <c r="BF1170">
        <v>0</v>
      </c>
      <c r="BG1170">
        <v>0</v>
      </c>
      <c r="BH1170">
        <v>0</v>
      </c>
      <c r="BI1170" t="s">
        <v>199</v>
      </c>
      <c r="BJ1170" t="s">
        <v>315</v>
      </c>
      <c r="BL1170" t="s">
        <v>199</v>
      </c>
      <c r="BM1170" t="s">
        <v>559</v>
      </c>
      <c r="BN1170" t="s">
        <v>182</v>
      </c>
      <c r="BO1170" t="s">
        <v>198</v>
      </c>
      <c r="BP1170" t="s">
        <v>198</v>
      </c>
      <c r="BQ1170" t="s">
        <v>198</v>
      </c>
      <c r="BR1170" t="s">
        <v>198</v>
      </c>
      <c r="BS1170" t="s">
        <v>198</v>
      </c>
      <c r="BT1170" t="s">
        <v>198</v>
      </c>
      <c r="BU1170" t="s">
        <v>182</v>
      </c>
      <c r="BV1170" t="s">
        <v>198</v>
      </c>
      <c r="BW1170" t="s">
        <v>198</v>
      </c>
      <c r="BX1170" t="s">
        <v>199</v>
      </c>
      <c r="BY1170" t="s">
        <v>198</v>
      </c>
      <c r="BZ1170" t="s">
        <v>199</v>
      </c>
      <c r="CA1170" t="s">
        <v>199</v>
      </c>
      <c r="CB1170" t="s">
        <v>15266</v>
      </c>
      <c r="CC1170" t="s">
        <v>201</v>
      </c>
      <c r="CD1170" t="s">
        <v>182</v>
      </c>
      <c r="CE1170" t="s">
        <v>15253</v>
      </c>
      <c r="CF1170" t="s">
        <v>413</v>
      </c>
      <c r="CG1170" t="s">
        <v>177</v>
      </c>
      <c r="CH1170" t="s">
        <v>414</v>
      </c>
      <c r="CI1170" t="s">
        <v>15285</v>
      </c>
      <c r="CJ1170" t="s">
        <v>14123</v>
      </c>
      <c r="CK1170" t="s">
        <v>292</v>
      </c>
      <c r="CL1170" t="s">
        <v>293</v>
      </c>
      <c r="CM1170" t="s">
        <v>15286</v>
      </c>
      <c r="CN1170" t="s">
        <v>482</v>
      </c>
      <c r="CO1170" t="s">
        <v>183</v>
      </c>
      <c r="CP1170" t="s">
        <v>211</v>
      </c>
      <c r="CQ1170" t="s">
        <v>342</v>
      </c>
      <c r="CS1170" t="s">
        <v>1068</v>
      </c>
      <c r="CT1170" t="s">
        <v>1931</v>
      </c>
      <c r="CU1170" t="s">
        <v>267</v>
      </c>
      <c r="CV1170" t="s">
        <v>268</v>
      </c>
      <c r="CW1170" t="s">
        <v>15287</v>
      </c>
      <c r="CX1170" t="s">
        <v>235</v>
      </c>
      <c r="CY1170" t="s">
        <v>183</v>
      </c>
      <c r="CZ1170" t="s">
        <v>211</v>
      </c>
      <c r="DA1170" t="s">
        <v>270</v>
      </c>
      <c r="DC1170" t="s">
        <v>15258</v>
      </c>
      <c r="DD1170" t="s">
        <v>9460</v>
      </c>
      <c r="DE1170" t="s">
        <v>273</v>
      </c>
      <c r="DF1170" t="s">
        <v>274</v>
      </c>
      <c r="DG1170" t="s">
        <v>15288</v>
      </c>
      <c r="DH1170" t="s">
        <v>440</v>
      </c>
      <c r="DI1170" t="s">
        <v>183</v>
      </c>
      <c r="DJ1170" t="s">
        <v>211</v>
      </c>
      <c r="DK1170" t="s">
        <v>270</v>
      </c>
      <c r="DM1170" t="s">
        <v>3851</v>
      </c>
      <c r="DN1170" t="s">
        <v>9552</v>
      </c>
      <c r="DO1170" t="s">
        <v>302</v>
      </c>
      <c r="DP1170" t="s">
        <v>303</v>
      </c>
      <c r="DQ1170" t="s">
        <v>15289</v>
      </c>
      <c r="DR1170" t="s">
        <v>2515</v>
      </c>
      <c r="DS1170" t="s">
        <v>183</v>
      </c>
      <c r="DT1170" t="s">
        <v>211</v>
      </c>
      <c r="DU1170" t="s">
        <v>342</v>
      </c>
      <c r="DW1170" t="s">
        <v>1097</v>
      </c>
      <c r="DX1170" t="s">
        <v>15290</v>
      </c>
      <c r="DY1170" t="s">
        <v>238</v>
      </c>
      <c r="DZ1170" t="s">
        <v>239</v>
      </c>
      <c r="EA1170" t="s">
        <v>15291</v>
      </c>
      <c r="EB1170" t="s">
        <v>1615</v>
      </c>
      <c r="EC1170" t="s">
        <v>183</v>
      </c>
      <c r="ED1170" t="s">
        <v>211</v>
      </c>
      <c r="EE1170" t="s">
        <v>199</v>
      </c>
      <c r="EG1170" t="s">
        <v>12561</v>
      </c>
      <c r="EQ1170" t="s">
        <v>198</v>
      </c>
      <c r="FA1170" t="s">
        <v>198</v>
      </c>
      <c r="FK1170" t="s">
        <v>198</v>
      </c>
      <c r="FU1170" t="s">
        <v>198</v>
      </c>
    </row>
    <row r="1171" spans="1:177">
      <c r="A1171" s="1" t="str">
        <f>HYPERLINK("http://digipan.lumentumllc.com/apps/getLink/index.php?t=PropLink&amp;p=6129071","PL")</f>
        <v>PL</v>
      </c>
      <c r="B1171" s="1" t="str">
        <f>HYPERLINK("http://digipan.lumentumllc.com/apps/getLink/index.php?t=TaxLink&amp;p=6129071","TL")</f>
        <v>TL</v>
      </c>
      <c r="C1171" s="1" t="str">
        <f>HYPERLINK("http://digipan.lumentumllc.com/apps/getMap/index.php?p=6129071","Map")</f>
        <v>Map</v>
      </c>
      <c r="E1171" t="s">
        <v>177</v>
      </c>
      <c r="F1171" t="s">
        <v>178</v>
      </c>
      <c r="L1171" t="s">
        <v>15292</v>
      </c>
      <c r="N1171" t="s">
        <v>15292</v>
      </c>
      <c r="O1171" t="s">
        <v>15292</v>
      </c>
      <c r="P1171" t="s">
        <v>15293</v>
      </c>
      <c r="Q1171" t="s">
        <v>15292</v>
      </c>
      <c r="V1171">
        <v>1340</v>
      </c>
      <c r="W1171">
        <v>5</v>
      </c>
      <c r="X1171">
        <v>2017</v>
      </c>
      <c r="Y1171">
        <v>2018</v>
      </c>
      <c r="Z1171">
        <v>114.28</v>
      </c>
      <c r="AB1171" t="s">
        <v>181</v>
      </c>
      <c r="AC1171" t="s">
        <v>182</v>
      </c>
      <c r="AD1171" t="s">
        <v>183</v>
      </c>
      <c r="AE1171">
        <v>0</v>
      </c>
      <c r="AF1171">
        <v>5</v>
      </c>
      <c r="AG1171" t="s">
        <v>3266</v>
      </c>
      <c r="AH1171">
        <v>100</v>
      </c>
      <c r="AK1171">
        <v>0</v>
      </c>
      <c r="AL1171">
        <v>5025</v>
      </c>
      <c r="AM1171">
        <v>5025</v>
      </c>
      <c r="AN1171">
        <v>0</v>
      </c>
      <c r="AO1171">
        <v>77</v>
      </c>
      <c r="AP1171">
        <v>2016</v>
      </c>
      <c r="AQ1171">
        <v>2.27</v>
      </c>
      <c r="AS1171" t="s">
        <v>14388</v>
      </c>
      <c r="AT1171" t="s">
        <v>3210</v>
      </c>
      <c r="AU1171" t="s">
        <v>177</v>
      </c>
      <c r="AV1171" t="s">
        <v>2334</v>
      </c>
      <c r="AW1171" t="s">
        <v>182</v>
      </c>
      <c r="AX1171">
        <v>0</v>
      </c>
      <c r="AY1171" t="s">
        <v>312</v>
      </c>
      <c r="AZ1171" t="s">
        <v>199</v>
      </c>
      <c r="BA1171" t="s">
        <v>313</v>
      </c>
      <c r="BB1171" t="s">
        <v>191</v>
      </c>
      <c r="BC1171" t="s">
        <v>182</v>
      </c>
      <c r="BD1171" t="s">
        <v>182</v>
      </c>
      <c r="BE1171" t="s">
        <v>13050</v>
      </c>
      <c r="BF1171">
        <v>0</v>
      </c>
      <c r="BG1171">
        <v>0</v>
      </c>
      <c r="BH1171">
        <v>0</v>
      </c>
      <c r="BI1171" t="s">
        <v>199</v>
      </c>
      <c r="BJ1171" t="s">
        <v>315</v>
      </c>
      <c r="BL1171" t="s">
        <v>199</v>
      </c>
      <c r="BM1171" t="s">
        <v>559</v>
      </c>
      <c r="BN1171" t="s">
        <v>182</v>
      </c>
      <c r="BO1171" t="s">
        <v>198</v>
      </c>
      <c r="BP1171" t="s">
        <v>198</v>
      </c>
      <c r="BQ1171" t="s">
        <v>198</v>
      </c>
      <c r="BR1171" t="s">
        <v>198</v>
      </c>
      <c r="BS1171" t="s">
        <v>198</v>
      </c>
      <c r="BT1171" t="s">
        <v>198</v>
      </c>
      <c r="BU1171" t="s">
        <v>182</v>
      </c>
      <c r="BV1171" t="s">
        <v>198</v>
      </c>
      <c r="BW1171" t="s">
        <v>198</v>
      </c>
      <c r="BX1171" t="s">
        <v>199</v>
      </c>
      <c r="BY1171" t="s">
        <v>198</v>
      </c>
      <c r="BZ1171" t="s">
        <v>199</v>
      </c>
      <c r="CA1171" t="s">
        <v>199</v>
      </c>
      <c r="CB1171" t="s">
        <v>15266</v>
      </c>
      <c r="CC1171" t="s">
        <v>201</v>
      </c>
      <c r="CD1171" t="s">
        <v>182</v>
      </c>
      <c r="CE1171" t="s">
        <v>15253</v>
      </c>
      <c r="CF1171" t="s">
        <v>413</v>
      </c>
      <c r="CG1171" t="s">
        <v>177</v>
      </c>
      <c r="CH1171" t="s">
        <v>414</v>
      </c>
      <c r="CI1171" t="s">
        <v>15294</v>
      </c>
      <c r="CJ1171" t="s">
        <v>14078</v>
      </c>
      <c r="CK1171" t="s">
        <v>292</v>
      </c>
      <c r="CL1171" t="s">
        <v>293</v>
      </c>
      <c r="CM1171" t="s">
        <v>15286</v>
      </c>
      <c r="CN1171" t="s">
        <v>482</v>
      </c>
      <c r="CO1171" t="s">
        <v>183</v>
      </c>
      <c r="CP1171" t="s">
        <v>211</v>
      </c>
      <c r="CQ1171" t="s">
        <v>342</v>
      </c>
      <c r="CS1171" t="s">
        <v>1068</v>
      </c>
      <c r="CT1171" t="s">
        <v>3924</v>
      </c>
      <c r="CU1171" t="s">
        <v>267</v>
      </c>
      <c r="CV1171" t="s">
        <v>268</v>
      </c>
      <c r="CW1171" t="s">
        <v>15287</v>
      </c>
      <c r="CX1171" t="s">
        <v>235</v>
      </c>
      <c r="CY1171" t="s">
        <v>183</v>
      </c>
      <c r="CZ1171" t="s">
        <v>211</v>
      </c>
      <c r="DA1171" t="s">
        <v>270</v>
      </c>
      <c r="DC1171" t="s">
        <v>15258</v>
      </c>
      <c r="DD1171" t="s">
        <v>12481</v>
      </c>
      <c r="DE1171" t="s">
        <v>273</v>
      </c>
      <c r="DF1171" t="s">
        <v>274</v>
      </c>
      <c r="DG1171" t="s">
        <v>15288</v>
      </c>
      <c r="DH1171" t="s">
        <v>440</v>
      </c>
      <c r="DI1171" t="s">
        <v>183</v>
      </c>
      <c r="DJ1171" t="s">
        <v>211</v>
      </c>
      <c r="DK1171" t="s">
        <v>270</v>
      </c>
      <c r="DM1171" t="s">
        <v>3851</v>
      </c>
      <c r="DN1171" t="s">
        <v>15295</v>
      </c>
      <c r="DO1171" t="s">
        <v>302</v>
      </c>
      <c r="DP1171" t="s">
        <v>303</v>
      </c>
      <c r="DQ1171" t="s">
        <v>15289</v>
      </c>
      <c r="DR1171" t="s">
        <v>2515</v>
      </c>
      <c r="DS1171" t="s">
        <v>183</v>
      </c>
      <c r="DT1171" t="s">
        <v>211</v>
      </c>
      <c r="DU1171" t="s">
        <v>342</v>
      </c>
      <c r="DW1171" t="s">
        <v>1097</v>
      </c>
      <c r="DX1171" t="s">
        <v>14177</v>
      </c>
      <c r="DY1171" t="s">
        <v>238</v>
      </c>
      <c r="DZ1171" t="s">
        <v>239</v>
      </c>
      <c r="EA1171" t="s">
        <v>15291</v>
      </c>
      <c r="EB1171" t="s">
        <v>486</v>
      </c>
      <c r="EC1171" t="s">
        <v>183</v>
      </c>
      <c r="ED1171" t="s">
        <v>211</v>
      </c>
      <c r="EE1171" t="s">
        <v>199</v>
      </c>
      <c r="EG1171" t="s">
        <v>12561</v>
      </c>
      <c r="EQ1171" t="s">
        <v>198</v>
      </c>
      <c r="FA1171" t="s">
        <v>198</v>
      </c>
      <c r="FK1171" t="s">
        <v>198</v>
      </c>
      <c r="FU1171" t="s">
        <v>198</v>
      </c>
    </row>
    <row r="1172" spans="1:177">
      <c r="A1172" s="1" t="str">
        <f>HYPERLINK("http://digipan.lumentumllc.com/apps/getLink/index.php?t=PropLink&amp;p=6129072","PL")</f>
        <v>PL</v>
      </c>
      <c r="B1172" s="1" t="str">
        <f>HYPERLINK("http://digipan.lumentumllc.com/apps/getLink/index.php?t=TaxLink&amp;p=6129072","TL")</f>
        <v>TL</v>
      </c>
      <c r="C1172" s="1" t="str">
        <f>HYPERLINK("http://digipan.lumentumllc.com/apps/getMap/index.php?p=6129072","Map")</f>
        <v>Map</v>
      </c>
      <c r="E1172" t="s">
        <v>177</v>
      </c>
      <c r="F1172" t="s">
        <v>178</v>
      </c>
      <c r="L1172" t="s">
        <v>15296</v>
      </c>
      <c r="N1172" t="s">
        <v>15296</v>
      </c>
      <c r="O1172" t="s">
        <v>15296</v>
      </c>
      <c r="P1172" t="s">
        <v>15297</v>
      </c>
      <c r="Q1172" t="s">
        <v>15296</v>
      </c>
      <c r="V1172">
        <v>1341</v>
      </c>
      <c r="W1172">
        <v>5</v>
      </c>
      <c r="X1172">
        <v>2017</v>
      </c>
      <c r="Y1172">
        <v>2018</v>
      </c>
      <c r="Z1172">
        <v>114.28</v>
      </c>
      <c r="AB1172" t="s">
        <v>181</v>
      </c>
      <c r="AC1172" t="s">
        <v>182</v>
      </c>
      <c r="AD1172" t="s">
        <v>183</v>
      </c>
      <c r="AE1172">
        <v>0</v>
      </c>
      <c r="AF1172">
        <v>5</v>
      </c>
      <c r="AG1172" t="s">
        <v>3266</v>
      </c>
      <c r="AH1172">
        <v>100</v>
      </c>
      <c r="AK1172">
        <v>0</v>
      </c>
      <c r="AL1172">
        <v>5025</v>
      </c>
      <c r="AM1172">
        <v>5025</v>
      </c>
      <c r="AN1172">
        <v>0</v>
      </c>
      <c r="AO1172">
        <v>77</v>
      </c>
      <c r="AP1172">
        <v>2016</v>
      </c>
      <c r="AQ1172">
        <v>2.27</v>
      </c>
      <c r="AS1172" t="s">
        <v>14388</v>
      </c>
      <c r="AT1172" t="s">
        <v>3210</v>
      </c>
      <c r="AU1172" t="s">
        <v>177</v>
      </c>
      <c r="AV1172" t="s">
        <v>2334</v>
      </c>
      <c r="AW1172" t="s">
        <v>182</v>
      </c>
      <c r="AX1172">
        <v>0</v>
      </c>
      <c r="AY1172" t="s">
        <v>312</v>
      </c>
      <c r="AZ1172" t="s">
        <v>199</v>
      </c>
      <c r="BA1172" t="s">
        <v>313</v>
      </c>
      <c r="BB1172" t="s">
        <v>191</v>
      </c>
      <c r="BC1172" t="s">
        <v>182</v>
      </c>
      <c r="BD1172" t="s">
        <v>182</v>
      </c>
      <c r="BE1172" t="s">
        <v>15298</v>
      </c>
      <c r="BF1172">
        <v>0</v>
      </c>
      <c r="BG1172">
        <v>0</v>
      </c>
      <c r="BH1172">
        <v>0</v>
      </c>
      <c r="BI1172" t="s">
        <v>199</v>
      </c>
      <c r="BJ1172" t="s">
        <v>315</v>
      </c>
      <c r="BL1172" t="s">
        <v>7226</v>
      </c>
      <c r="BM1172" t="s">
        <v>559</v>
      </c>
      <c r="BN1172" t="s">
        <v>182</v>
      </c>
      <c r="BO1172" t="s">
        <v>198</v>
      </c>
      <c r="BP1172" t="s">
        <v>198</v>
      </c>
      <c r="BQ1172" t="s">
        <v>198</v>
      </c>
      <c r="BR1172" t="s">
        <v>198</v>
      </c>
      <c r="BS1172" t="s">
        <v>198</v>
      </c>
      <c r="BT1172" t="s">
        <v>198</v>
      </c>
      <c r="BU1172" t="s">
        <v>182</v>
      </c>
      <c r="BV1172" t="s">
        <v>198</v>
      </c>
      <c r="BW1172" t="s">
        <v>198</v>
      </c>
      <c r="BX1172" t="s">
        <v>199</v>
      </c>
      <c r="BY1172" t="s">
        <v>198</v>
      </c>
      <c r="BZ1172" t="s">
        <v>199</v>
      </c>
      <c r="CA1172" t="s">
        <v>199</v>
      </c>
      <c r="CB1172" t="s">
        <v>15266</v>
      </c>
      <c r="CC1172" t="s">
        <v>201</v>
      </c>
      <c r="CD1172" t="s">
        <v>182</v>
      </c>
      <c r="CE1172" t="s">
        <v>15253</v>
      </c>
      <c r="CF1172" t="s">
        <v>413</v>
      </c>
      <c r="CG1172" t="s">
        <v>177</v>
      </c>
      <c r="CH1172" t="s">
        <v>414</v>
      </c>
      <c r="CI1172" t="s">
        <v>15299</v>
      </c>
      <c r="CJ1172" t="s">
        <v>3824</v>
      </c>
      <c r="CK1172" t="s">
        <v>292</v>
      </c>
      <c r="CL1172" t="s">
        <v>293</v>
      </c>
      <c r="CM1172" t="s">
        <v>15286</v>
      </c>
      <c r="CN1172" t="s">
        <v>482</v>
      </c>
      <c r="CO1172" t="s">
        <v>183</v>
      </c>
      <c r="CP1172" t="s">
        <v>211</v>
      </c>
      <c r="CQ1172" t="s">
        <v>342</v>
      </c>
      <c r="CS1172" t="s">
        <v>1068</v>
      </c>
      <c r="CT1172" t="s">
        <v>3941</v>
      </c>
      <c r="CU1172" t="s">
        <v>267</v>
      </c>
      <c r="CV1172" t="s">
        <v>268</v>
      </c>
      <c r="CW1172" t="s">
        <v>15287</v>
      </c>
      <c r="CX1172" t="s">
        <v>235</v>
      </c>
      <c r="CY1172" t="s">
        <v>183</v>
      </c>
      <c r="CZ1172" t="s">
        <v>211</v>
      </c>
      <c r="DA1172" t="s">
        <v>270</v>
      </c>
      <c r="DC1172" t="s">
        <v>15258</v>
      </c>
      <c r="DD1172" t="s">
        <v>12515</v>
      </c>
      <c r="DE1172" t="s">
        <v>273</v>
      </c>
      <c r="DF1172" t="s">
        <v>274</v>
      </c>
      <c r="DG1172" t="s">
        <v>15288</v>
      </c>
      <c r="DH1172" t="s">
        <v>440</v>
      </c>
      <c r="DI1172" t="s">
        <v>183</v>
      </c>
      <c r="DJ1172" t="s">
        <v>211</v>
      </c>
      <c r="DK1172" t="s">
        <v>270</v>
      </c>
      <c r="DM1172" t="s">
        <v>3851</v>
      </c>
      <c r="DN1172" t="s">
        <v>10146</v>
      </c>
      <c r="DO1172" t="s">
        <v>302</v>
      </c>
      <c r="DP1172" t="s">
        <v>303</v>
      </c>
      <c r="DQ1172" t="s">
        <v>15289</v>
      </c>
      <c r="DR1172" t="s">
        <v>341</v>
      </c>
      <c r="DS1172" t="s">
        <v>183</v>
      </c>
      <c r="DT1172" t="s">
        <v>211</v>
      </c>
      <c r="DU1172" t="s">
        <v>342</v>
      </c>
      <c r="DW1172" t="s">
        <v>1097</v>
      </c>
      <c r="DX1172" t="s">
        <v>14195</v>
      </c>
      <c r="DY1172" t="s">
        <v>238</v>
      </c>
      <c r="DZ1172" t="s">
        <v>239</v>
      </c>
      <c r="EA1172" t="s">
        <v>15291</v>
      </c>
      <c r="EB1172" t="s">
        <v>486</v>
      </c>
      <c r="EC1172" t="s">
        <v>183</v>
      </c>
      <c r="ED1172" t="s">
        <v>211</v>
      </c>
      <c r="EE1172" t="s">
        <v>199</v>
      </c>
      <c r="EG1172" t="s">
        <v>12561</v>
      </c>
      <c r="EQ1172" t="s">
        <v>198</v>
      </c>
      <c r="FA1172" t="s">
        <v>198</v>
      </c>
      <c r="FK1172" t="s">
        <v>198</v>
      </c>
      <c r="FU1172" t="s">
        <v>198</v>
      </c>
    </row>
    <row r="1173" spans="1:177">
      <c r="A1173" s="1" t="str">
        <f>HYPERLINK("http://digipan.lumentumllc.com/apps/getLink/index.php?t=PropLink&amp;p=6129073","PL")</f>
        <v>PL</v>
      </c>
      <c r="B1173" s="1" t="str">
        <f>HYPERLINK("http://digipan.lumentumllc.com/apps/getLink/index.php?t=TaxLink&amp;p=6129073","TL")</f>
        <v>TL</v>
      </c>
      <c r="C1173" s="1" t="str">
        <f>HYPERLINK("http://digipan.lumentumllc.com/apps/getMap/index.php?p=6129073","Map")</f>
        <v>Map</v>
      </c>
      <c r="E1173" t="s">
        <v>177</v>
      </c>
      <c r="F1173" t="s">
        <v>178</v>
      </c>
      <c r="L1173" t="s">
        <v>15300</v>
      </c>
      <c r="N1173" t="s">
        <v>15300</v>
      </c>
      <c r="O1173" t="s">
        <v>15300</v>
      </c>
      <c r="P1173" t="s">
        <v>15301</v>
      </c>
      <c r="Q1173" t="s">
        <v>15300</v>
      </c>
      <c r="V1173">
        <v>1343</v>
      </c>
      <c r="W1173">
        <v>5</v>
      </c>
      <c r="X1173">
        <v>2017</v>
      </c>
      <c r="Y1173">
        <v>2018</v>
      </c>
      <c r="Z1173">
        <v>155.21</v>
      </c>
      <c r="AB1173" t="s">
        <v>181</v>
      </c>
      <c r="AC1173" t="s">
        <v>182</v>
      </c>
      <c r="AD1173" t="s">
        <v>183</v>
      </c>
      <c r="AE1173">
        <v>0</v>
      </c>
      <c r="AF1173">
        <v>5</v>
      </c>
      <c r="AG1173" t="s">
        <v>3266</v>
      </c>
      <c r="AH1173">
        <v>100</v>
      </c>
      <c r="AK1173">
        <v>0</v>
      </c>
      <c r="AL1173">
        <v>7525</v>
      </c>
      <c r="AM1173">
        <v>7525</v>
      </c>
      <c r="AN1173">
        <v>0</v>
      </c>
      <c r="AO1173">
        <v>116</v>
      </c>
      <c r="AP1173">
        <v>2016</v>
      </c>
      <c r="AQ1173">
        <v>2.06</v>
      </c>
      <c r="AS1173" t="s">
        <v>14388</v>
      </c>
      <c r="AT1173" t="s">
        <v>3210</v>
      </c>
      <c r="AU1173" t="s">
        <v>177</v>
      </c>
      <c r="AV1173" t="s">
        <v>2334</v>
      </c>
      <c r="AW1173" t="s">
        <v>182</v>
      </c>
      <c r="AX1173">
        <v>0</v>
      </c>
      <c r="AY1173" t="s">
        <v>312</v>
      </c>
      <c r="AZ1173" t="s">
        <v>199</v>
      </c>
      <c r="BA1173" t="s">
        <v>313</v>
      </c>
      <c r="BB1173" t="s">
        <v>191</v>
      </c>
      <c r="BC1173" t="s">
        <v>182</v>
      </c>
      <c r="BD1173" t="s">
        <v>182</v>
      </c>
      <c r="BE1173" t="s">
        <v>13050</v>
      </c>
      <c r="BF1173">
        <v>0</v>
      </c>
      <c r="BG1173">
        <v>0</v>
      </c>
      <c r="BH1173">
        <v>0</v>
      </c>
      <c r="BI1173" t="s">
        <v>199</v>
      </c>
      <c r="BJ1173" t="s">
        <v>315</v>
      </c>
      <c r="BL1173" t="s">
        <v>7226</v>
      </c>
      <c r="BM1173" t="s">
        <v>559</v>
      </c>
      <c r="BN1173" t="s">
        <v>182</v>
      </c>
      <c r="BO1173" t="s">
        <v>198</v>
      </c>
      <c r="BP1173" t="s">
        <v>198</v>
      </c>
      <c r="BQ1173" t="s">
        <v>198</v>
      </c>
      <c r="BR1173" t="s">
        <v>198</v>
      </c>
      <c r="BS1173" t="s">
        <v>198</v>
      </c>
      <c r="BT1173" t="s">
        <v>198</v>
      </c>
      <c r="BU1173" t="s">
        <v>182</v>
      </c>
      <c r="BV1173" t="s">
        <v>198</v>
      </c>
      <c r="BW1173" t="s">
        <v>198</v>
      </c>
      <c r="BX1173" t="s">
        <v>199</v>
      </c>
      <c r="BY1173" t="s">
        <v>198</v>
      </c>
      <c r="BZ1173" t="s">
        <v>199</v>
      </c>
      <c r="CA1173" t="s">
        <v>199</v>
      </c>
      <c r="CB1173" t="s">
        <v>15266</v>
      </c>
      <c r="CC1173" t="s">
        <v>201</v>
      </c>
      <c r="CD1173" t="s">
        <v>182</v>
      </c>
      <c r="CE1173" t="s">
        <v>15253</v>
      </c>
      <c r="CF1173" t="s">
        <v>413</v>
      </c>
      <c r="CG1173" t="s">
        <v>177</v>
      </c>
      <c r="CH1173" t="s">
        <v>414</v>
      </c>
      <c r="CI1173" t="s">
        <v>15299</v>
      </c>
      <c r="CJ1173" t="s">
        <v>260</v>
      </c>
      <c r="CK1173" t="s">
        <v>292</v>
      </c>
      <c r="CL1173" t="s">
        <v>293</v>
      </c>
      <c r="CM1173" t="s">
        <v>15278</v>
      </c>
      <c r="CN1173" t="s">
        <v>482</v>
      </c>
      <c r="CO1173" t="s">
        <v>183</v>
      </c>
      <c r="CP1173" t="s">
        <v>211</v>
      </c>
      <c r="CQ1173" t="s">
        <v>342</v>
      </c>
      <c r="CS1173" t="s">
        <v>1068</v>
      </c>
      <c r="CT1173" t="s">
        <v>14665</v>
      </c>
      <c r="CU1173" t="s">
        <v>267</v>
      </c>
      <c r="CV1173" t="s">
        <v>268</v>
      </c>
      <c r="CW1173" t="s">
        <v>15279</v>
      </c>
      <c r="CX1173" t="s">
        <v>235</v>
      </c>
      <c r="CY1173" t="s">
        <v>183</v>
      </c>
      <c r="CZ1173" t="s">
        <v>211</v>
      </c>
      <c r="DA1173" t="s">
        <v>270</v>
      </c>
      <c r="DC1173" t="s">
        <v>15258</v>
      </c>
      <c r="DD1173" t="s">
        <v>15302</v>
      </c>
      <c r="DE1173" t="s">
        <v>273</v>
      </c>
      <c r="DF1173" t="s">
        <v>274</v>
      </c>
      <c r="DG1173" t="s">
        <v>15280</v>
      </c>
      <c r="DH1173" t="s">
        <v>3395</v>
      </c>
      <c r="DI1173" t="s">
        <v>183</v>
      </c>
      <c r="DJ1173" t="s">
        <v>211</v>
      </c>
      <c r="DK1173" t="s">
        <v>270</v>
      </c>
      <c r="DM1173" t="s">
        <v>3851</v>
      </c>
      <c r="DN1173" t="s">
        <v>15303</v>
      </c>
      <c r="DO1173" t="s">
        <v>302</v>
      </c>
      <c r="DP1173" t="s">
        <v>303</v>
      </c>
      <c r="DQ1173" t="s">
        <v>14729</v>
      </c>
      <c r="DR1173" t="s">
        <v>341</v>
      </c>
      <c r="DS1173" t="s">
        <v>183</v>
      </c>
      <c r="DT1173" t="s">
        <v>211</v>
      </c>
      <c r="DU1173" t="s">
        <v>342</v>
      </c>
      <c r="DW1173" t="s">
        <v>1097</v>
      </c>
      <c r="DX1173" t="s">
        <v>15304</v>
      </c>
      <c r="DY1173" t="s">
        <v>238</v>
      </c>
      <c r="DZ1173" t="s">
        <v>239</v>
      </c>
      <c r="EA1173" t="s">
        <v>15282</v>
      </c>
      <c r="EB1173" t="s">
        <v>389</v>
      </c>
      <c r="EC1173" t="s">
        <v>183</v>
      </c>
      <c r="ED1173" t="s">
        <v>211</v>
      </c>
      <c r="EE1173" t="s">
        <v>199</v>
      </c>
      <c r="EG1173" t="s">
        <v>12561</v>
      </c>
      <c r="EQ1173" t="s">
        <v>198</v>
      </c>
      <c r="FA1173" t="s">
        <v>198</v>
      </c>
      <c r="FK1173" t="s">
        <v>198</v>
      </c>
      <c r="FU1173" t="s">
        <v>198</v>
      </c>
    </row>
    <row r="1174" spans="1:177">
      <c r="A1174" s="1" t="str">
        <f>HYPERLINK("http://digipan.lumentumllc.com/apps/getLink/index.php?t=PropLink&amp;p=6129074","PL")</f>
        <v>PL</v>
      </c>
      <c r="B1174" s="1" t="str">
        <f>HYPERLINK("http://digipan.lumentumllc.com/apps/getLink/index.php?t=TaxLink&amp;p=6129074","TL")</f>
        <v>TL</v>
      </c>
      <c r="C1174" s="1" t="str">
        <f>HYPERLINK("http://digipan.lumentumllc.com/apps/getMap/index.php?p=6129074","Map")</f>
        <v>Map</v>
      </c>
      <c r="E1174" t="s">
        <v>177</v>
      </c>
      <c r="F1174" t="s">
        <v>178</v>
      </c>
      <c r="L1174" t="s">
        <v>15305</v>
      </c>
      <c r="N1174" t="s">
        <v>15305</v>
      </c>
      <c r="O1174" t="s">
        <v>15305</v>
      </c>
      <c r="P1174" t="s">
        <v>15306</v>
      </c>
      <c r="Q1174" t="s">
        <v>15305</v>
      </c>
      <c r="V1174">
        <v>1344</v>
      </c>
      <c r="W1174">
        <v>5</v>
      </c>
      <c r="X1174">
        <v>2017</v>
      </c>
      <c r="Y1174">
        <v>2018</v>
      </c>
      <c r="Z1174">
        <v>126.06</v>
      </c>
      <c r="AB1174" t="s">
        <v>181</v>
      </c>
      <c r="AC1174" t="s">
        <v>182</v>
      </c>
      <c r="AD1174" t="s">
        <v>183</v>
      </c>
      <c r="AE1174">
        <v>0</v>
      </c>
      <c r="AF1174">
        <v>5</v>
      </c>
      <c r="AG1174" t="s">
        <v>3266</v>
      </c>
      <c r="AH1174">
        <v>100</v>
      </c>
      <c r="AK1174">
        <v>0</v>
      </c>
      <c r="AL1174">
        <v>6025</v>
      </c>
      <c r="AM1174">
        <v>6025</v>
      </c>
      <c r="AN1174">
        <v>0</v>
      </c>
      <c r="AO1174">
        <v>77</v>
      </c>
      <c r="AP1174">
        <v>2016</v>
      </c>
      <c r="AQ1174">
        <v>2.09</v>
      </c>
      <c r="AS1174" t="s">
        <v>14388</v>
      </c>
      <c r="AT1174" t="s">
        <v>3210</v>
      </c>
      <c r="AU1174" t="s">
        <v>177</v>
      </c>
      <c r="AV1174" t="s">
        <v>2334</v>
      </c>
      <c r="AW1174" t="s">
        <v>182</v>
      </c>
      <c r="AX1174">
        <v>0</v>
      </c>
      <c r="AY1174" t="s">
        <v>312</v>
      </c>
      <c r="AZ1174" t="s">
        <v>199</v>
      </c>
      <c r="BA1174" t="s">
        <v>313</v>
      </c>
      <c r="BB1174" t="s">
        <v>191</v>
      </c>
      <c r="BC1174" t="s">
        <v>182</v>
      </c>
      <c r="BD1174" t="s">
        <v>182</v>
      </c>
      <c r="BE1174" t="s">
        <v>15307</v>
      </c>
      <c r="BF1174">
        <v>0</v>
      </c>
      <c r="BG1174">
        <v>0</v>
      </c>
      <c r="BH1174">
        <v>0</v>
      </c>
      <c r="BI1174" t="s">
        <v>199</v>
      </c>
      <c r="BJ1174" t="s">
        <v>315</v>
      </c>
      <c r="BL1174" t="s">
        <v>7226</v>
      </c>
      <c r="BM1174" t="s">
        <v>559</v>
      </c>
      <c r="BN1174" t="s">
        <v>182</v>
      </c>
      <c r="BO1174" t="s">
        <v>198</v>
      </c>
      <c r="BP1174" t="s">
        <v>198</v>
      </c>
      <c r="BQ1174" t="s">
        <v>198</v>
      </c>
      <c r="BR1174" t="s">
        <v>198</v>
      </c>
      <c r="BS1174" t="s">
        <v>198</v>
      </c>
      <c r="BT1174" t="s">
        <v>198</v>
      </c>
      <c r="BU1174" t="s">
        <v>182</v>
      </c>
      <c r="BV1174" t="s">
        <v>198</v>
      </c>
      <c r="BW1174" t="s">
        <v>198</v>
      </c>
      <c r="BX1174" t="s">
        <v>199</v>
      </c>
      <c r="BY1174" t="s">
        <v>198</v>
      </c>
      <c r="BZ1174" t="s">
        <v>199</v>
      </c>
      <c r="CA1174" t="s">
        <v>199</v>
      </c>
      <c r="CB1174" t="s">
        <v>15266</v>
      </c>
      <c r="CC1174" t="s">
        <v>201</v>
      </c>
      <c r="CD1174" t="s">
        <v>182</v>
      </c>
      <c r="CE1174" t="s">
        <v>15253</v>
      </c>
      <c r="CF1174" t="s">
        <v>413</v>
      </c>
      <c r="CG1174" t="s">
        <v>177</v>
      </c>
      <c r="CH1174" t="s">
        <v>414</v>
      </c>
      <c r="CI1174" t="s">
        <v>15299</v>
      </c>
      <c r="CJ1174" t="s">
        <v>3870</v>
      </c>
      <c r="CK1174" t="s">
        <v>292</v>
      </c>
      <c r="CL1174" t="s">
        <v>293</v>
      </c>
      <c r="CM1174" t="s">
        <v>15286</v>
      </c>
      <c r="CN1174" t="s">
        <v>482</v>
      </c>
      <c r="CO1174" t="s">
        <v>183</v>
      </c>
      <c r="CP1174" t="s">
        <v>211</v>
      </c>
      <c r="CQ1174" t="s">
        <v>342</v>
      </c>
      <c r="CS1174" t="s">
        <v>1068</v>
      </c>
      <c r="CT1174" t="s">
        <v>12227</v>
      </c>
      <c r="CU1174" t="s">
        <v>267</v>
      </c>
      <c r="CV1174" t="s">
        <v>268</v>
      </c>
      <c r="CW1174" t="s">
        <v>15287</v>
      </c>
      <c r="CX1174" t="s">
        <v>235</v>
      </c>
      <c r="CY1174" t="s">
        <v>183</v>
      </c>
      <c r="CZ1174" t="s">
        <v>211</v>
      </c>
      <c r="DA1174" t="s">
        <v>270</v>
      </c>
      <c r="DC1174" t="s">
        <v>15258</v>
      </c>
      <c r="DD1174" t="s">
        <v>15308</v>
      </c>
      <c r="DE1174" t="s">
        <v>273</v>
      </c>
      <c r="DF1174" t="s">
        <v>274</v>
      </c>
      <c r="DG1174" t="s">
        <v>15288</v>
      </c>
      <c r="DH1174" t="s">
        <v>3395</v>
      </c>
      <c r="DI1174" t="s">
        <v>183</v>
      </c>
      <c r="DJ1174" t="s">
        <v>211</v>
      </c>
      <c r="DK1174" t="s">
        <v>270</v>
      </c>
      <c r="DM1174" t="s">
        <v>3851</v>
      </c>
      <c r="DN1174" t="s">
        <v>10875</v>
      </c>
      <c r="DO1174" t="s">
        <v>302</v>
      </c>
      <c r="DP1174" t="s">
        <v>303</v>
      </c>
      <c r="DQ1174" t="s">
        <v>15289</v>
      </c>
      <c r="DR1174" t="s">
        <v>2515</v>
      </c>
      <c r="DS1174" t="s">
        <v>183</v>
      </c>
      <c r="DT1174" t="s">
        <v>211</v>
      </c>
      <c r="DU1174" t="s">
        <v>342</v>
      </c>
      <c r="DW1174" t="s">
        <v>1097</v>
      </c>
      <c r="DX1174" t="s">
        <v>15309</v>
      </c>
      <c r="DY1174" t="s">
        <v>238</v>
      </c>
      <c r="DZ1174" t="s">
        <v>239</v>
      </c>
      <c r="EA1174" t="s">
        <v>15291</v>
      </c>
      <c r="EB1174" t="s">
        <v>389</v>
      </c>
      <c r="EC1174" t="s">
        <v>183</v>
      </c>
      <c r="ED1174" t="s">
        <v>211</v>
      </c>
      <c r="EE1174" t="s">
        <v>199</v>
      </c>
      <c r="EG1174" t="s">
        <v>12561</v>
      </c>
      <c r="EQ1174" t="s">
        <v>198</v>
      </c>
      <c r="FA1174" t="s">
        <v>198</v>
      </c>
      <c r="FK1174" t="s">
        <v>198</v>
      </c>
      <c r="FU1174" t="s">
        <v>198</v>
      </c>
    </row>
    <row r="1175" spans="1:177">
      <c r="A1175" s="1" t="str">
        <f>HYPERLINK("http://digipan.lumentumllc.com/apps/getLink/index.php?t=PropLink&amp;p=6129075","PL")</f>
        <v>PL</v>
      </c>
      <c r="B1175" s="1" t="str">
        <f>HYPERLINK("http://digipan.lumentumllc.com/apps/getLink/index.php?t=TaxLink&amp;p=6129075","TL")</f>
        <v>TL</v>
      </c>
      <c r="C1175" s="1" t="str">
        <f>HYPERLINK("http://digipan.lumentumllc.com/apps/getMap/index.php?p=6129075","Map")</f>
        <v>Map</v>
      </c>
      <c r="E1175" t="s">
        <v>177</v>
      </c>
      <c r="F1175" t="s">
        <v>178</v>
      </c>
      <c r="L1175" t="s">
        <v>15310</v>
      </c>
      <c r="N1175" t="s">
        <v>15310</v>
      </c>
      <c r="O1175" t="s">
        <v>15310</v>
      </c>
      <c r="P1175" t="s">
        <v>15311</v>
      </c>
      <c r="Q1175" t="s">
        <v>15310</v>
      </c>
      <c r="V1175">
        <v>1345</v>
      </c>
      <c r="W1175">
        <v>5</v>
      </c>
      <c r="X1175">
        <v>2017</v>
      </c>
      <c r="Y1175">
        <v>2018</v>
      </c>
      <c r="Z1175">
        <v>126.06</v>
      </c>
      <c r="AB1175" t="s">
        <v>181</v>
      </c>
      <c r="AC1175" t="s">
        <v>182</v>
      </c>
      <c r="AD1175" t="s">
        <v>183</v>
      </c>
      <c r="AE1175">
        <v>0</v>
      </c>
      <c r="AF1175">
        <v>5</v>
      </c>
      <c r="AG1175" t="s">
        <v>3266</v>
      </c>
      <c r="AH1175">
        <v>100</v>
      </c>
      <c r="AK1175">
        <v>0</v>
      </c>
      <c r="AL1175">
        <v>6025</v>
      </c>
      <c r="AM1175">
        <v>6025</v>
      </c>
      <c r="AN1175">
        <v>0</v>
      </c>
      <c r="AO1175">
        <v>77</v>
      </c>
      <c r="AP1175">
        <v>2016</v>
      </c>
      <c r="AQ1175">
        <v>2.09</v>
      </c>
      <c r="AS1175" t="s">
        <v>15312</v>
      </c>
      <c r="AT1175" t="s">
        <v>3210</v>
      </c>
      <c r="AU1175" t="s">
        <v>177</v>
      </c>
      <c r="AV1175" t="s">
        <v>2334</v>
      </c>
      <c r="AW1175" t="s">
        <v>182</v>
      </c>
      <c r="AX1175">
        <v>0</v>
      </c>
      <c r="AY1175" t="s">
        <v>312</v>
      </c>
      <c r="AZ1175" t="s">
        <v>199</v>
      </c>
      <c r="BA1175" t="s">
        <v>313</v>
      </c>
      <c r="BB1175" t="s">
        <v>191</v>
      </c>
      <c r="BC1175" t="s">
        <v>182</v>
      </c>
      <c r="BD1175" t="s">
        <v>182</v>
      </c>
      <c r="BE1175" t="s">
        <v>15313</v>
      </c>
      <c r="BF1175">
        <v>0</v>
      </c>
      <c r="BG1175">
        <v>0</v>
      </c>
      <c r="BH1175">
        <v>0</v>
      </c>
      <c r="BI1175" t="s">
        <v>199</v>
      </c>
      <c r="BJ1175" t="s">
        <v>248</v>
      </c>
      <c r="BL1175" t="s">
        <v>199</v>
      </c>
      <c r="BM1175" t="s">
        <v>559</v>
      </c>
      <c r="BN1175" t="s">
        <v>182</v>
      </c>
      <c r="BO1175" t="s">
        <v>198</v>
      </c>
      <c r="BP1175" t="s">
        <v>198</v>
      </c>
      <c r="BQ1175" t="s">
        <v>198</v>
      </c>
      <c r="BR1175" t="s">
        <v>198</v>
      </c>
      <c r="BS1175" t="s">
        <v>198</v>
      </c>
      <c r="BT1175" t="s">
        <v>198</v>
      </c>
      <c r="BU1175" t="s">
        <v>182</v>
      </c>
      <c r="BV1175" t="s">
        <v>198</v>
      </c>
      <c r="BW1175" t="s">
        <v>198</v>
      </c>
      <c r="BX1175" t="s">
        <v>199</v>
      </c>
      <c r="BY1175" t="s">
        <v>198</v>
      </c>
      <c r="BZ1175" t="s">
        <v>199</v>
      </c>
      <c r="CA1175" t="s">
        <v>199</v>
      </c>
      <c r="CB1175" t="s">
        <v>15266</v>
      </c>
      <c r="CC1175" t="s">
        <v>201</v>
      </c>
      <c r="CD1175" t="s">
        <v>182</v>
      </c>
      <c r="CE1175" t="s">
        <v>15253</v>
      </c>
      <c r="CF1175" t="s">
        <v>413</v>
      </c>
      <c r="CG1175" t="s">
        <v>177</v>
      </c>
      <c r="CH1175" t="s">
        <v>414</v>
      </c>
      <c r="CI1175" t="s">
        <v>15314</v>
      </c>
      <c r="CJ1175" t="s">
        <v>2143</v>
      </c>
      <c r="CK1175" t="s">
        <v>292</v>
      </c>
      <c r="CL1175" t="s">
        <v>293</v>
      </c>
      <c r="CM1175" t="s">
        <v>15286</v>
      </c>
      <c r="CN1175" t="s">
        <v>482</v>
      </c>
      <c r="CO1175" t="s">
        <v>183</v>
      </c>
      <c r="CP1175" t="s">
        <v>211</v>
      </c>
      <c r="CQ1175" t="s">
        <v>342</v>
      </c>
      <c r="CS1175" t="s">
        <v>1068</v>
      </c>
      <c r="CT1175" t="s">
        <v>14702</v>
      </c>
      <c r="CU1175" t="s">
        <v>267</v>
      </c>
      <c r="CV1175" t="s">
        <v>268</v>
      </c>
      <c r="CW1175" t="s">
        <v>15287</v>
      </c>
      <c r="CX1175" t="s">
        <v>235</v>
      </c>
      <c r="CY1175" t="s">
        <v>183</v>
      </c>
      <c r="CZ1175" t="s">
        <v>211</v>
      </c>
      <c r="DA1175" t="s">
        <v>270</v>
      </c>
      <c r="DC1175" t="s">
        <v>15258</v>
      </c>
      <c r="DD1175" t="s">
        <v>12558</v>
      </c>
      <c r="DE1175" t="s">
        <v>273</v>
      </c>
      <c r="DF1175" t="s">
        <v>274</v>
      </c>
      <c r="DG1175" t="s">
        <v>15288</v>
      </c>
      <c r="DH1175" t="s">
        <v>440</v>
      </c>
      <c r="DI1175" t="s">
        <v>183</v>
      </c>
      <c r="DJ1175" t="s">
        <v>211</v>
      </c>
      <c r="DK1175" t="s">
        <v>270</v>
      </c>
      <c r="DM1175" t="s">
        <v>3851</v>
      </c>
      <c r="DN1175" t="s">
        <v>10889</v>
      </c>
      <c r="DO1175" t="s">
        <v>302</v>
      </c>
      <c r="DP1175" t="s">
        <v>303</v>
      </c>
      <c r="DQ1175" t="s">
        <v>15289</v>
      </c>
      <c r="DR1175" t="s">
        <v>2515</v>
      </c>
      <c r="DS1175" t="s">
        <v>183</v>
      </c>
      <c r="DT1175" t="s">
        <v>211</v>
      </c>
      <c r="DU1175" t="s">
        <v>342</v>
      </c>
      <c r="DW1175" t="s">
        <v>1097</v>
      </c>
      <c r="DX1175" t="s">
        <v>15315</v>
      </c>
      <c r="DY1175" t="s">
        <v>238</v>
      </c>
      <c r="DZ1175" t="s">
        <v>239</v>
      </c>
      <c r="EA1175" t="s">
        <v>15291</v>
      </c>
      <c r="EB1175" t="s">
        <v>389</v>
      </c>
      <c r="EC1175" t="s">
        <v>183</v>
      </c>
      <c r="ED1175" t="s">
        <v>211</v>
      </c>
      <c r="EE1175" t="s">
        <v>199</v>
      </c>
      <c r="EG1175" t="s">
        <v>12561</v>
      </c>
      <c r="EQ1175" t="s">
        <v>198</v>
      </c>
      <c r="FA1175" t="s">
        <v>198</v>
      </c>
      <c r="FK1175" t="s">
        <v>198</v>
      </c>
      <c r="FU1175" t="s">
        <v>198</v>
      </c>
    </row>
    <row r="1176" spans="1:177">
      <c r="A1176" s="1" t="str">
        <f>HYPERLINK("http://digipan.lumentumllc.com/apps/getLink/index.php?t=PropLink&amp;p=5246353","PL")</f>
        <v>PL</v>
      </c>
      <c r="B1176" s="1" t="str">
        <f>HYPERLINK("http://digipan.lumentumllc.com/apps/getLink/index.php?t=TaxLink&amp;p=5246353","TL")</f>
        <v>TL</v>
      </c>
      <c r="C1176" s="1" t="str">
        <f>HYPERLINK("http://digipan.lumentumllc.com/apps/getMap/index.php?p=5246353","Map")</f>
        <v>Map</v>
      </c>
      <c r="E1176" t="s">
        <v>177</v>
      </c>
      <c r="F1176" t="s">
        <v>178</v>
      </c>
      <c r="L1176" t="s">
        <v>15316</v>
      </c>
      <c r="N1176" t="s">
        <v>15316</v>
      </c>
      <c r="O1176" t="s">
        <v>15316</v>
      </c>
      <c r="P1176" t="s">
        <v>15317</v>
      </c>
      <c r="Q1176" t="s">
        <v>15316</v>
      </c>
      <c r="V1176">
        <v>1346</v>
      </c>
      <c r="W1176">
        <v>5</v>
      </c>
      <c r="X1176">
        <v>2017</v>
      </c>
      <c r="Y1176">
        <v>2018</v>
      </c>
      <c r="Z1176">
        <v>126.06</v>
      </c>
      <c r="AB1176" t="s">
        <v>181</v>
      </c>
      <c r="AC1176" t="s">
        <v>202</v>
      </c>
      <c r="AD1176" t="s">
        <v>183</v>
      </c>
      <c r="AE1176">
        <v>3</v>
      </c>
      <c r="AF1176">
        <v>4</v>
      </c>
      <c r="AG1176" t="s">
        <v>3859</v>
      </c>
      <c r="AH1176">
        <v>50</v>
      </c>
      <c r="AI1176">
        <v>333.66</v>
      </c>
      <c r="AJ1176">
        <v>118.24</v>
      </c>
      <c r="AK1176">
        <v>451.9</v>
      </c>
      <c r="AL1176">
        <v>6025</v>
      </c>
      <c r="AM1176">
        <v>6025</v>
      </c>
      <c r="AN1176">
        <v>0</v>
      </c>
      <c r="AO1176">
        <v>77</v>
      </c>
      <c r="AP1176">
        <v>2016</v>
      </c>
      <c r="AQ1176">
        <v>2.09</v>
      </c>
      <c r="AR1176">
        <v>7.5</v>
      </c>
      <c r="AS1176" t="s">
        <v>14388</v>
      </c>
      <c r="AT1176" t="s">
        <v>3210</v>
      </c>
      <c r="AU1176" t="s">
        <v>177</v>
      </c>
      <c r="AV1176" t="s">
        <v>2334</v>
      </c>
      <c r="AW1176" t="s">
        <v>182</v>
      </c>
      <c r="AX1176">
        <v>0</v>
      </c>
      <c r="AY1176" t="s">
        <v>312</v>
      </c>
      <c r="AZ1176" t="s">
        <v>199</v>
      </c>
      <c r="BA1176" t="s">
        <v>313</v>
      </c>
      <c r="BB1176" t="s">
        <v>191</v>
      </c>
      <c r="BC1176" t="s">
        <v>182</v>
      </c>
      <c r="BD1176" t="s">
        <v>182</v>
      </c>
      <c r="BE1176" t="s">
        <v>6618</v>
      </c>
      <c r="BF1176">
        <v>0</v>
      </c>
      <c r="BG1176">
        <v>0</v>
      </c>
      <c r="BH1176">
        <v>0</v>
      </c>
      <c r="BI1176" t="s">
        <v>199</v>
      </c>
      <c r="BJ1176" t="s">
        <v>315</v>
      </c>
      <c r="BL1176" t="s">
        <v>2050</v>
      </c>
      <c r="BM1176" t="s">
        <v>286</v>
      </c>
      <c r="BN1176" t="s">
        <v>182</v>
      </c>
      <c r="BO1176" t="s">
        <v>198</v>
      </c>
      <c r="BP1176" t="s">
        <v>198</v>
      </c>
      <c r="BQ1176" t="s">
        <v>198</v>
      </c>
      <c r="BR1176" t="s">
        <v>198</v>
      </c>
      <c r="BS1176" t="s">
        <v>198</v>
      </c>
      <c r="BT1176" t="s">
        <v>198</v>
      </c>
      <c r="BU1176" t="s">
        <v>182</v>
      </c>
      <c r="BV1176" t="s">
        <v>198</v>
      </c>
      <c r="BW1176" t="s">
        <v>198</v>
      </c>
      <c r="BX1176" t="s">
        <v>199</v>
      </c>
      <c r="BY1176" t="s">
        <v>198</v>
      </c>
      <c r="BZ1176" t="s">
        <v>199</v>
      </c>
      <c r="CA1176" t="s">
        <v>199</v>
      </c>
      <c r="CB1176" t="s">
        <v>15318</v>
      </c>
      <c r="CC1176" t="s">
        <v>201</v>
      </c>
      <c r="CD1176" t="s">
        <v>182</v>
      </c>
      <c r="CE1176" t="s">
        <v>15319</v>
      </c>
      <c r="CF1176" t="s">
        <v>5331</v>
      </c>
      <c r="CG1176" t="s">
        <v>177</v>
      </c>
      <c r="CH1176" t="s">
        <v>371</v>
      </c>
      <c r="CI1176" t="s">
        <v>15320</v>
      </c>
      <c r="CJ1176" t="s">
        <v>11507</v>
      </c>
      <c r="CK1176" t="s">
        <v>232</v>
      </c>
      <c r="CL1176" t="s">
        <v>233</v>
      </c>
      <c r="CM1176" t="s">
        <v>15321</v>
      </c>
      <c r="CN1176" t="s">
        <v>482</v>
      </c>
      <c r="CO1176" t="s">
        <v>183</v>
      </c>
      <c r="CP1176" t="s">
        <v>266</v>
      </c>
      <c r="CS1176" t="s">
        <v>198</v>
      </c>
      <c r="CT1176" t="s">
        <v>4256</v>
      </c>
      <c r="CU1176" t="s">
        <v>292</v>
      </c>
      <c r="CV1176" t="s">
        <v>293</v>
      </c>
      <c r="CW1176" t="s">
        <v>15322</v>
      </c>
      <c r="CX1176" t="s">
        <v>482</v>
      </c>
      <c r="CY1176" t="s">
        <v>183</v>
      </c>
      <c r="CZ1176" t="s">
        <v>266</v>
      </c>
      <c r="DC1176" t="s">
        <v>198</v>
      </c>
      <c r="DD1176" t="s">
        <v>12236</v>
      </c>
      <c r="DE1176" t="s">
        <v>267</v>
      </c>
      <c r="DF1176" t="s">
        <v>268</v>
      </c>
      <c r="DG1176" t="s">
        <v>15287</v>
      </c>
      <c r="DH1176" t="s">
        <v>482</v>
      </c>
      <c r="DI1176" t="s">
        <v>183</v>
      </c>
      <c r="DJ1176" t="s">
        <v>266</v>
      </c>
      <c r="DM1176" t="s">
        <v>198</v>
      </c>
      <c r="DN1176" t="s">
        <v>9504</v>
      </c>
      <c r="DO1176" t="s">
        <v>273</v>
      </c>
      <c r="DP1176" t="s">
        <v>274</v>
      </c>
      <c r="DQ1176" t="s">
        <v>15288</v>
      </c>
      <c r="DR1176" t="s">
        <v>440</v>
      </c>
      <c r="DS1176" t="s">
        <v>183</v>
      </c>
      <c r="DT1176" t="s">
        <v>211</v>
      </c>
      <c r="DU1176" t="s">
        <v>298</v>
      </c>
      <c r="DW1176" t="s">
        <v>5907</v>
      </c>
      <c r="DX1176" t="s">
        <v>11154</v>
      </c>
      <c r="DY1176" t="s">
        <v>238</v>
      </c>
      <c r="DZ1176" t="s">
        <v>239</v>
      </c>
      <c r="EA1176" t="s">
        <v>15291</v>
      </c>
      <c r="EB1176" t="s">
        <v>482</v>
      </c>
      <c r="EC1176" t="s">
        <v>183</v>
      </c>
      <c r="ED1176" t="s">
        <v>211</v>
      </c>
      <c r="EE1176" t="s">
        <v>339</v>
      </c>
      <c r="EF1176" t="s">
        <v>271</v>
      </c>
      <c r="EG1176" t="s">
        <v>9123</v>
      </c>
      <c r="EH1176" t="s">
        <v>1779</v>
      </c>
      <c r="EI1176" t="s">
        <v>346</v>
      </c>
      <c r="EJ1176" t="s">
        <v>347</v>
      </c>
      <c r="EK1176" t="s">
        <v>15323</v>
      </c>
      <c r="EL1176" t="s">
        <v>1491</v>
      </c>
      <c r="EM1176" t="s">
        <v>183</v>
      </c>
      <c r="EN1176" t="s">
        <v>211</v>
      </c>
      <c r="EO1176" t="s">
        <v>493</v>
      </c>
      <c r="EP1176" t="s">
        <v>271</v>
      </c>
      <c r="EQ1176" t="s">
        <v>9123</v>
      </c>
      <c r="ER1176" t="s">
        <v>15324</v>
      </c>
      <c r="ES1176" t="s">
        <v>207</v>
      </c>
      <c r="ET1176" t="s">
        <v>208</v>
      </c>
      <c r="EU1176" t="s">
        <v>15325</v>
      </c>
      <c r="EV1176" t="s">
        <v>235</v>
      </c>
      <c r="EW1176" t="s">
        <v>183</v>
      </c>
      <c r="EX1176" t="s">
        <v>211</v>
      </c>
      <c r="EZ1176" t="s">
        <v>271</v>
      </c>
      <c r="FA1176" t="s">
        <v>198</v>
      </c>
      <c r="FK1176" t="s">
        <v>198</v>
      </c>
      <c r="FU1176" t="s">
        <v>198</v>
      </c>
    </row>
    <row r="1177" spans="1:177">
      <c r="A1177" s="1" t="str">
        <f>HYPERLINK("http://digipan.lumentumllc.com/apps/getLink/index.php?t=PropLink&amp;p=5246354","PL")</f>
        <v>PL</v>
      </c>
      <c r="B1177" s="1" t="str">
        <f>HYPERLINK("http://digipan.lumentumllc.com/apps/getLink/index.php?t=TaxLink&amp;p=5246354","TL")</f>
        <v>TL</v>
      </c>
      <c r="C1177" s="1" t="str">
        <f>HYPERLINK("http://digipan.lumentumllc.com/apps/getMap/index.php?p=5246354","Map")</f>
        <v>Map</v>
      </c>
      <c r="E1177" t="s">
        <v>177</v>
      </c>
      <c r="F1177" t="s">
        <v>178</v>
      </c>
      <c r="L1177" t="s">
        <v>15326</v>
      </c>
      <c r="N1177" t="s">
        <v>15326</v>
      </c>
      <c r="O1177" t="s">
        <v>15326</v>
      </c>
      <c r="P1177" t="s">
        <v>15327</v>
      </c>
      <c r="Q1177" t="s">
        <v>15326</v>
      </c>
      <c r="V1177">
        <v>1347</v>
      </c>
      <c r="W1177">
        <v>5</v>
      </c>
      <c r="X1177">
        <v>2017</v>
      </c>
      <c r="Y1177">
        <v>2018</v>
      </c>
      <c r="Z1177">
        <v>126.06</v>
      </c>
      <c r="AB1177" t="s">
        <v>181</v>
      </c>
      <c r="AC1177" t="s">
        <v>202</v>
      </c>
      <c r="AD1177" t="s">
        <v>183</v>
      </c>
      <c r="AE1177">
        <v>3</v>
      </c>
      <c r="AF1177">
        <v>4</v>
      </c>
      <c r="AG1177" t="s">
        <v>3859</v>
      </c>
      <c r="AH1177">
        <v>50</v>
      </c>
      <c r="AI1177">
        <v>333.66</v>
      </c>
      <c r="AJ1177">
        <v>118.24</v>
      </c>
      <c r="AK1177">
        <v>451.9</v>
      </c>
      <c r="AL1177">
        <v>6025</v>
      </c>
      <c r="AM1177">
        <v>6025</v>
      </c>
      <c r="AN1177">
        <v>0</v>
      </c>
      <c r="AO1177">
        <v>77</v>
      </c>
      <c r="AP1177">
        <v>2016</v>
      </c>
      <c r="AQ1177">
        <v>2.09</v>
      </c>
      <c r="AR1177">
        <v>7.5</v>
      </c>
      <c r="AS1177" t="s">
        <v>14388</v>
      </c>
      <c r="AT1177" t="s">
        <v>3210</v>
      </c>
      <c r="AU1177" t="s">
        <v>177</v>
      </c>
      <c r="AV1177" t="s">
        <v>2334</v>
      </c>
      <c r="AW1177" t="s">
        <v>182</v>
      </c>
      <c r="AX1177">
        <v>0</v>
      </c>
      <c r="AY1177" t="s">
        <v>312</v>
      </c>
      <c r="AZ1177" t="s">
        <v>199</v>
      </c>
      <c r="BA1177" t="s">
        <v>313</v>
      </c>
      <c r="BB1177" t="s">
        <v>191</v>
      </c>
      <c r="BC1177" t="s">
        <v>182</v>
      </c>
      <c r="BD1177" t="s">
        <v>182</v>
      </c>
      <c r="BE1177" t="s">
        <v>15298</v>
      </c>
      <c r="BF1177">
        <v>0</v>
      </c>
      <c r="BG1177">
        <v>0</v>
      </c>
      <c r="BH1177">
        <v>0</v>
      </c>
      <c r="BI1177" t="s">
        <v>199</v>
      </c>
      <c r="BJ1177" t="s">
        <v>315</v>
      </c>
      <c r="BL1177" t="s">
        <v>2050</v>
      </c>
      <c r="BM1177" t="s">
        <v>286</v>
      </c>
      <c r="BN1177" t="s">
        <v>182</v>
      </c>
      <c r="BO1177" t="s">
        <v>198</v>
      </c>
      <c r="BP1177" t="s">
        <v>198</v>
      </c>
      <c r="BQ1177" t="s">
        <v>198</v>
      </c>
      <c r="BR1177" t="s">
        <v>198</v>
      </c>
      <c r="BS1177" t="s">
        <v>198</v>
      </c>
      <c r="BT1177" t="s">
        <v>198</v>
      </c>
      <c r="BU1177" t="s">
        <v>182</v>
      </c>
      <c r="BV1177" t="s">
        <v>198</v>
      </c>
      <c r="BW1177" t="s">
        <v>198</v>
      </c>
      <c r="BX1177" t="s">
        <v>199</v>
      </c>
      <c r="BY1177" t="s">
        <v>198</v>
      </c>
      <c r="BZ1177" t="s">
        <v>199</v>
      </c>
      <c r="CA1177" t="s">
        <v>199</v>
      </c>
      <c r="CB1177" t="s">
        <v>15318</v>
      </c>
      <c r="CC1177" t="s">
        <v>201</v>
      </c>
      <c r="CD1177" t="s">
        <v>182</v>
      </c>
      <c r="CE1177" t="s">
        <v>15319</v>
      </c>
      <c r="CF1177" t="s">
        <v>5331</v>
      </c>
      <c r="CG1177" t="s">
        <v>177</v>
      </c>
      <c r="CH1177" t="s">
        <v>371</v>
      </c>
      <c r="CI1177" t="s">
        <v>15320</v>
      </c>
      <c r="CJ1177" t="s">
        <v>11509</v>
      </c>
      <c r="CK1177" t="s">
        <v>232</v>
      </c>
      <c r="CL1177" t="s">
        <v>233</v>
      </c>
      <c r="CM1177" t="s">
        <v>15321</v>
      </c>
      <c r="CN1177" t="s">
        <v>482</v>
      </c>
      <c r="CO1177" t="s">
        <v>183</v>
      </c>
      <c r="CP1177" t="s">
        <v>266</v>
      </c>
      <c r="CS1177" t="s">
        <v>198</v>
      </c>
      <c r="CT1177" t="s">
        <v>4987</v>
      </c>
      <c r="CU1177" t="s">
        <v>292</v>
      </c>
      <c r="CV1177" t="s">
        <v>293</v>
      </c>
      <c r="CW1177" t="s">
        <v>15322</v>
      </c>
      <c r="CX1177" t="s">
        <v>482</v>
      </c>
      <c r="CY1177" t="s">
        <v>183</v>
      </c>
      <c r="CZ1177" t="s">
        <v>266</v>
      </c>
      <c r="DC1177" t="s">
        <v>198</v>
      </c>
      <c r="DD1177" t="s">
        <v>3969</v>
      </c>
      <c r="DE1177" t="s">
        <v>267</v>
      </c>
      <c r="DF1177" t="s">
        <v>268</v>
      </c>
      <c r="DG1177" t="s">
        <v>15287</v>
      </c>
      <c r="DH1177" t="s">
        <v>482</v>
      </c>
      <c r="DI1177" t="s">
        <v>183</v>
      </c>
      <c r="DJ1177" t="s">
        <v>266</v>
      </c>
      <c r="DM1177" t="s">
        <v>198</v>
      </c>
      <c r="DN1177" t="s">
        <v>12852</v>
      </c>
      <c r="DO1177" t="s">
        <v>273</v>
      </c>
      <c r="DP1177" t="s">
        <v>274</v>
      </c>
      <c r="DQ1177" t="s">
        <v>15288</v>
      </c>
      <c r="DR1177" t="s">
        <v>440</v>
      </c>
      <c r="DS1177" t="s">
        <v>183</v>
      </c>
      <c r="DT1177" t="s">
        <v>211</v>
      </c>
      <c r="DU1177" t="s">
        <v>298</v>
      </c>
      <c r="DW1177" t="s">
        <v>5907</v>
      </c>
      <c r="DX1177" t="s">
        <v>15328</v>
      </c>
      <c r="DY1177" t="s">
        <v>238</v>
      </c>
      <c r="DZ1177" t="s">
        <v>239</v>
      </c>
      <c r="EA1177" t="s">
        <v>15291</v>
      </c>
      <c r="EB1177" t="s">
        <v>482</v>
      </c>
      <c r="EC1177" t="s">
        <v>183</v>
      </c>
      <c r="ED1177" t="s">
        <v>211</v>
      </c>
      <c r="EE1177" t="s">
        <v>339</v>
      </c>
      <c r="EF1177" t="s">
        <v>271</v>
      </c>
      <c r="EG1177" t="s">
        <v>9123</v>
      </c>
      <c r="EH1177" t="s">
        <v>4973</v>
      </c>
      <c r="EI1177" t="s">
        <v>346</v>
      </c>
      <c r="EJ1177" t="s">
        <v>347</v>
      </c>
      <c r="EK1177" t="s">
        <v>15323</v>
      </c>
      <c r="EL1177" t="s">
        <v>1491</v>
      </c>
      <c r="EM1177" t="s">
        <v>183</v>
      </c>
      <c r="EN1177" t="s">
        <v>211</v>
      </c>
      <c r="EO1177" t="s">
        <v>493</v>
      </c>
      <c r="EP1177" t="s">
        <v>271</v>
      </c>
      <c r="EQ1177" t="s">
        <v>9123</v>
      </c>
      <c r="ER1177" t="s">
        <v>10462</v>
      </c>
      <c r="ES1177" t="s">
        <v>207</v>
      </c>
      <c r="ET1177" t="s">
        <v>208</v>
      </c>
      <c r="EU1177" t="s">
        <v>15325</v>
      </c>
      <c r="EV1177" t="s">
        <v>235</v>
      </c>
      <c r="EW1177" t="s">
        <v>183</v>
      </c>
      <c r="EX1177" t="s">
        <v>211</v>
      </c>
      <c r="EZ1177" t="s">
        <v>271</v>
      </c>
      <c r="FA1177" t="s">
        <v>198</v>
      </c>
      <c r="FK1177" t="s">
        <v>198</v>
      </c>
      <c r="FU1177" t="s">
        <v>198</v>
      </c>
    </row>
    <row r="1178" spans="1:177">
      <c r="A1178" s="1" t="str">
        <f>HYPERLINK("http://digipan.lumentumllc.com/apps/getLink/index.php?t=PropLink&amp;p=5246355","PL")</f>
        <v>PL</v>
      </c>
      <c r="B1178" s="1" t="str">
        <f>HYPERLINK("http://digipan.lumentumllc.com/apps/getLink/index.php?t=TaxLink&amp;p=5246355","TL")</f>
        <v>TL</v>
      </c>
      <c r="C1178" s="1" t="str">
        <f>HYPERLINK("http://digipan.lumentumllc.com/apps/getMap/index.php?p=5246355","Map")</f>
        <v>Map</v>
      </c>
      <c r="E1178" t="s">
        <v>177</v>
      </c>
      <c r="F1178" t="s">
        <v>178</v>
      </c>
      <c r="L1178" t="s">
        <v>15329</v>
      </c>
      <c r="N1178" t="s">
        <v>15329</v>
      </c>
      <c r="O1178" t="s">
        <v>15329</v>
      </c>
      <c r="P1178" t="s">
        <v>15330</v>
      </c>
      <c r="Q1178" t="s">
        <v>15329</v>
      </c>
      <c r="V1178">
        <v>1348</v>
      </c>
      <c r="W1178">
        <v>5</v>
      </c>
      <c r="X1178">
        <v>2017</v>
      </c>
      <c r="Y1178">
        <v>2018</v>
      </c>
      <c r="Z1178">
        <v>126.06</v>
      </c>
      <c r="AB1178" t="s">
        <v>181</v>
      </c>
      <c r="AC1178" t="s">
        <v>202</v>
      </c>
      <c r="AD1178" t="s">
        <v>183</v>
      </c>
      <c r="AE1178">
        <v>3</v>
      </c>
      <c r="AF1178">
        <v>4</v>
      </c>
      <c r="AG1178" t="s">
        <v>3859</v>
      </c>
      <c r="AH1178">
        <v>50</v>
      </c>
      <c r="AI1178">
        <v>333.66</v>
      </c>
      <c r="AJ1178">
        <v>118.24</v>
      </c>
      <c r="AK1178">
        <v>451.9</v>
      </c>
      <c r="AL1178">
        <v>6025</v>
      </c>
      <c r="AM1178">
        <v>6025</v>
      </c>
      <c r="AN1178">
        <v>0</v>
      </c>
      <c r="AO1178">
        <v>77</v>
      </c>
      <c r="AP1178">
        <v>2016</v>
      </c>
      <c r="AQ1178">
        <v>2.09</v>
      </c>
      <c r="AR1178">
        <v>7.5</v>
      </c>
      <c r="AS1178" t="s">
        <v>14388</v>
      </c>
      <c r="AT1178" t="s">
        <v>3210</v>
      </c>
      <c r="AU1178" t="s">
        <v>177</v>
      </c>
      <c r="AV1178" t="s">
        <v>2334</v>
      </c>
      <c r="AW1178" t="s">
        <v>182</v>
      </c>
      <c r="AX1178">
        <v>0</v>
      </c>
      <c r="AY1178" t="s">
        <v>312</v>
      </c>
      <c r="AZ1178" t="s">
        <v>199</v>
      </c>
      <c r="BA1178" t="s">
        <v>313</v>
      </c>
      <c r="BB1178" t="s">
        <v>191</v>
      </c>
      <c r="BC1178" t="s">
        <v>182</v>
      </c>
      <c r="BD1178" t="s">
        <v>182</v>
      </c>
      <c r="BE1178" t="s">
        <v>8898</v>
      </c>
      <c r="BF1178">
        <v>0</v>
      </c>
      <c r="BG1178">
        <v>0</v>
      </c>
      <c r="BH1178">
        <v>0</v>
      </c>
      <c r="BI1178" t="s">
        <v>199</v>
      </c>
      <c r="BJ1178" t="s">
        <v>315</v>
      </c>
      <c r="BL1178" t="s">
        <v>2050</v>
      </c>
      <c r="BM1178" t="s">
        <v>286</v>
      </c>
      <c r="BN1178" t="s">
        <v>182</v>
      </c>
      <c r="BO1178" t="s">
        <v>198</v>
      </c>
      <c r="BP1178" t="s">
        <v>198</v>
      </c>
      <c r="BQ1178" t="s">
        <v>198</v>
      </c>
      <c r="BR1178" t="s">
        <v>198</v>
      </c>
      <c r="BS1178" t="s">
        <v>198</v>
      </c>
      <c r="BT1178" t="s">
        <v>198</v>
      </c>
      <c r="BU1178" t="s">
        <v>182</v>
      </c>
      <c r="BV1178" t="s">
        <v>198</v>
      </c>
      <c r="BW1178" t="s">
        <v>198</v>
      </c>
      <c r="BX1178" t="s">
        <v>199</v>
      </c>
      <c r="BY1178" t="s">
        <v>198</v>
      </c>
      <c r="BZ1178" t="s">
        <v>199</v>
      </c>
      <c r="CA1178" t="s">
        <v>199</v>
      </c>
      <c r="CB1178" t="s">
        <v>15318</v>
      </c>
      <c r="CC1178" t="s">
        <v>201</v>
      </c>
      <c r="CD1178" t="s">
        <v>182</v>
      </c>
      <c r="CE1178" t="s">
        <v>15319</v>
      </c>
      <c r="CF1178" t="s">
        <v>5331</v>
      </c>
      <c r="CG1178" t="s">
        <v>177</v>
      </c>
      <c r="CH1178" t="s">
        <v>371</v>
      </c>
      <c r="CI1178" t="s">
        <v>15320</v>
      </c>
      <c r="CJ1178" t="s">
        <v>13933</v>
      </c>
      <c r="CK1178" t="s">
        <v>232</v>
      </c>
      <c r="CL1178" t="s">
        <v>233</v>
      </c>
      <c r="CM1178" t="s">
        <v>15321</v>
      </c>
      <c r="CN1178" t="s">
        <v>482</v>
      </c>
      <c r="CO1178" t="s">
        <v>183</v>
      </c>
      <c r="CP1178" t="s">
        <v>266</v>
      </c>
      <c r="CS1178" t="s">
        <v>198</v>
      </c>
      <c r="CT1178" t="s">
        <v>14163</v>
      </c>
      <c r="CU1178" t="s">
        <v>292</v>
      </c>
      <c r="CV1178" t="s">
        <v>293</v>
      </c>
      <c r="CW1178" t="s">
        <v>15322</v>
      </c>
      <c r="CX1178" t="s">
        <v>482</v>
      </c>
      <c r="CY1178" t="s">
        <v>183</v>
      </c>
      <c r="CZ1178" t="s">
        <v>266</v>
      </c>
      <c r="DC1178" t="s">
        <v>198</v>
      </c>
      <c r="DD1178" t="s">
        <v>14546</v>
      </c>
      <c r="DE1178" t="s">
        <v>267</v>
      </c>
      <c r="DF1178" t="s">
        <v>268</v>
      </c>
      <c r="DG1178" t="s">
        <v>15287</v>
      </c>
      <c r="DH1178" t="s">
        <v>482</v>
      </c>
      <c r="DI1178" t="s">
        <v>183</v>
      </c>
      <c r="DJ1178" t="s">
        <v>266</v>
      </c>
      <c r="DM1178" t="s">
        <v>198</v>
      </c>
      <c r="DN1178" t="s">
        <v>12863</v>
      </c>
      <c r="DO1178" t="s">
        <v>273</v>
      </c>
      <c r="DP1178" t="s">
        <v>274</v>
      </c>
      <c r="DQ1178" t="s">
        <v>15288</v>
      </c>
      <c r="DR1178" t="s">
        <v>511</v>
      </c>
      <c r="DS1178" t="s">
        <v>183</v>
      </c>
      <c r="DT1178" t="s">
        <v>211</v>
      </c>
      <c r="DU1178" t="s">
        <v>298</v>
      </c>
      <c r="DW1178" t="s">
        <v>5907</v>
      </c>
      <c r="DX1178" t="s">
        <v>14572</v>
      </c>
      <c r="DY1178" t="s">
        <v>238</v>
      </c>
      <c r="DZ1178" t="s">
        <v>239</v>
      </c>
      <c r="EA1178" t="s">
        <v>15291</v>
      </c>
      <c r="EB1178" t="s">
        <v>482</v>
      </c>
      <c r="EC1178" t="s">
        <v>183</v>
      </c>
      <c r="ED1178" t="s">
        <v>211</v>
      </c>
      <c r="EE1178" t="s">
        <v>339</v>
      </c>
      <c r="EF1178" t="s">
        <v>271</v>
      </c>
      <c r="EG1178" t="s">
        <v>9123</v>
      </c>
      <c r="EH1178" t="s">
        <v>1474</v>
      </c>
      <c r="EI1178" t="s">
        <v>346</v>
      </c>
      <c r="EJ1178" t="s">
        <v>347</v>
      </c>
      <c r="EK1178" t="s">
        <v>15323</v>
      </c>
      <c r="EL1178" t="s">
        <v>1491</v>
      </c>
      <c r="EM1178" t="s">
        <v>183</v>
      </c>
      <c r="EN1178" t="s">
        <v>211</v>
      </c>
      <c r="EO1178" t="s">
        <v>493</v>
      </c>
      <c r="EP1178" t="s">
        <v>271</v>
      </c>
      <c r="EQ1178" t="s">
        <v>9123</v>
      </c>
      <c r="ER1178" t="s">
        <v>15331</v>
      </c>
      <c r="ES1178" t="s">
        <v>207</v>
      </c>
      <c r="ET1178" t="s">
        <v>208</v>
      </c>
      <c r="EU1178" t="s">
        <v>15325</v>
      </c>
      <c r="EV1178" t="s">
        <v>235</v>
      </c>
      <c r="EW1178" t="s">
        <v>183</v>
      </c>
      <c r="EX1178" t="s">
        <v>211</v>
      </c>
      <c r="EZ1178" t="s">
        <v>271</v>
      </c>
      <c r="FA1178" t="s">
        <v>198</v>
      </c>
      <c r="FK1178" t="s">
        <v>198</v>
      </c>
      <c r="FU1178" t="s">
        <v>198</v>
      </c>
    </row>
    <row r="1179" spans="1:177">
      <c r="A1179" s="1" t="str">
        <f>HYPERLINK("http://digipan.lumentumllc.com/apps/getLink/index.php?t=PropLink&amp;p=5246356","PL")</f>
        <v>PL</v>
      </c>
      <c r="B1179" s="1" t="str">
        <f>HYPERLINK("http://digipan.lumentumllc.com/apps/getLink/index.php?t=TaxLink&amp;p=5246356","TL")</f>
        <v>TL</v>
      </c>
      <c r="C1179" s="1" t="str">
        <f>HYPERLINK("http://digipan.lumentumllc.com/apps/getMap/index.php?p=5246356","Map")</f>
        <v>Map</v>
      </c>
      <c r="E1179" t="s">
        <v>177</v>
      </c>
      <c r="F1179" t="s">
        <v>178</v>
      </c>
      <c r="L1179" t="s">
        <v>15332</v>
      </c>
      <c r="N1179" t="s">
        <v>15332</v>
      </c>
      <c r="O1179" t="s">
        <v>15332</v>
      </c>
      <c r="P1179" t="s">
        <v>15333</v>
      </c>
      <c r="Q1179" t="s">
        <v>15332</v>
      </c>
      <c r="V1179">
        <v>1349</v>
      </c>
      <c r="W1179">
        <v>5</v>
      </c>
      <c r="X1179">
        <v>2017</v>
      </c>
      <c r="Y1179">
        <v>2018</v>
      </c>
      <c r="Z1179">
        <v>162.99</v>
      </c>
      <c r="AB1179" t="s">
        <v>181</v>
      </c>
      <c r="AC1179" t="s">
        <v>202</v>
      </c>
      <c r="AD1179" t="s">
        <v>183</v>
      </c>
      <c r="AE1179">
        <v>3</v>
      </c>
      <c r="AF1179">
        <v>4</v>
      </c>
      <c r="AG1179" t="s">
        <v>3859</v>
      </c>
      <c r="AH1179">
        <v>50</v>
      </c>
      <c r="AI1179">
        <v>452.49</v>
      </c>
      <c r="AJ1179">
        <v>162.66</v>
      </c>
      <c r="AK1179">
        <v>615.15</v>
      </c>
      <c r="AL1179">
        <v>8000</v>
      </c>
      <c r="AM1179">
        <v>8000</v>
      </c>
      <c r="AN1179">
        <v>0</v>
      </c>
      <c r="AO1179">
        <v>116</v>
      </c>
      <c r="AP1179">
        <v>2016</v>
      </c>
      <c r="AQ1179">
        <v>2.04</v>
      </c>
      <c r="AR1179">
        <v>7.69</v>
      </c>
      <c r="AS1179" t="s">
        <v>14388</v>
      </c>
      <c r="AT1179" t="s">
        <v>3210</v>
      </c>
      <c r="AU1179" t="s">
        <v>177</v>
      </c>
      <c r="AV1179" t="s">
        <v>2334</v>
      </c>
      <c r="AW1179" t="s">
        <v>182</v>
      </c>
      <c r="AX1179">
        <v>0</v>
      </c>
      <c r="AY1179" t="s">
        <v>312</v>
      </c>
      <c r="AZ1179" t="s">
        <v>199</v>
      </c>
      <c r="BA1179" t="s">
        <v>313</v>
      </c>
      <c r="BB1179" t="s">
        <v>191</v>
      </c>
      <c r="BC1179" t="s">
        <v>182</v>
      </c>
      <c r="BD1179" t="s">
        <v>182</v>
      </c>
      <c r="BE1179" t="s">
        <v>15334</v>
      </c>
      <c r="BF1179">
        <v>0</v>
      </c>
      <c r="BG1179">
        <v>0</v>
      </c>
      <c r="BH1179">
        <v>0</v>
      </c>
      <c r="BI1179" t="s">
        <v>199</v>
      </c>
      <c r="BJ1179" t="s">
        <v>315</v>
      </c>
      <c r="BL1179" t="s">
        <v>2050</v>
      </c>
      <c r="BM1179" t="s">
        <v>286</v>
      </c>
      <c r="BN1179" t="s">
        <v>182</v>
      </c>
      <c r="BO1179" t="s">
        <v>198</v>
      </c>
      <c r="BP1179" t="s">
        <v>198</v>
      </c>
      <c r="BQ1179" t="s">
        <v>198</v>
      </c>
      <c r="BR1179" t="s">
        <v>198</v>
      </c>
      <c r="BS1179" t="s">
        <v>198</v>
      </c>
      <c r="BT1179" t="s">
        <v>198</v>
      </c>
      <c r="BU1179" t="s">
        <v>182</v>
      </c>
      <c r="BV1179" t="s">
        <v>198</v>
      </c>
      <c r="BW1179" t="s">
        <v>198</v>
      </c>
      <c r="BX1179" t="s">
        <v>199</v>
      </c>
      <c r="BY1179" t="s">
        <v>198</v>
      </c>
      <c r="BZ1179" t="s">
        <v>199</v>
      </c>
      <c r="CA1179" t="s">
        <v>199</v>
      </c>
      <c r="CB1179" t="s">
        <v>15318</v>
      </c>
      <c r="CC1179" t="s">
        <v>201</v>
      </c>
      <c r="CD1179" t="s">
        <v>182</v>
      </c>
      <c r="CE1179" t="s">
        <v>15319</v>
      </c>
      <c r="CF1179" t="s">
        <v>5331</v>
      </c>
      <c r="CG1179" t="s">
        <v>177</v>
      </c>
      <c r="CH1179" t="s">
        <v>371</v>
      </c>
      <c r="CI1179" t="s">
        <v>15320</v>
      </c>
      <c r="CJ1179" t="s">
        <v>11545</v>
      </c>
      <c r="CK1179" t="s">
        <v>232</v>
      </c>
      <c r="CL1179" t="s">
        <v>233</v>
      </c>
      <c r="CM1179" t="s">
        <v>15335</v>
      </c>
      <c r="CN1179" t="s">
        <v>482</v>
      </c>
      <c r="CO1179" t="s">
        <v>183</v>
      </c>
      <c r="CP1179" t="s">
        <v>266</v>
      </c>
      <c r="CS1179" t="s">
        <v>198</v>
      </c>
      <c r="CT1179" t="s">
        <v>14819</v>
      </c>
      <c r="CU1179" t="s">
        <v>292</v>
      </c>
      <c r="CV1179" t="s">
        <v>293</v>
      </c>
      <c r="CW1179" t="s">
        <v>15336</v>
      </c>
      <c r="CX1179" t="s">
        <v>482</v>
      </c>
      <c r="CY1179" t="s">
        <v>183</v>
      </c>
      <c r="CZ1179" t="s">
        <v>266</v>
      </c>
      <c r="DC1179" t="s">
        <v>198</v>
      </c>
      <c r="DD1179" t="s">
        <v>14563</v>
      </c>
      <c r="DE1179" t="s">
        <v>267</v>
      </c>
      <c r="DF1179" t="s">
        <v>268</v>
      </c>
      <c r="DG1179" t="s">
        <v>15279</v>
      </c>
      <c r="DH1179" t="s">
        <v>482</v>
      </c>
      <c r="DI1179" t="s">
        <v>183</v>
      </c>
      <c r="DJ1179" t="s">
        <v>266</v>
      </c>
      <c r="DM1179" t="s">
        <v>198</v>
      </c>
      <c r="DN1179" t="s">
        <v>9542</v>
      </c>
      <c r="DO1179" t="s">
        <v>273</v>
      </c>
      <c r="DP1179" t="s">
        <v>274</v>
      </c>
      <c r="DQ1179" t="s">
        <v>15280</v>
      </c>
      <c r="DR1179" t="s">
        <v>440</v>
      </c>
      <c r="DS1179" t="s">
        <v>183</v>
      </c>
      <c r="DT1179" t="s">
        <v>211</v>
      </c>
      <c r="DU1179" t="s">
        <v>298</v>
      </c>
      <c r="DW1179" t="s">
        <v>5907</v>
      </c>
      <c r="DX1179" t="s">
        <v>15337</v>
      </c>
      <c r="DY1179" t="s">
        <v>238</v>
      </c>
      <c r="DZ1179" t="s">
        <v>239</v>
      </c>
      <c r="EA1179" t="s">
        <v>15282</v>
      </c>
      <c r="EB1179" t="s">
        <v>519</v>
      </c>
      <c r="EC1179" t="s">
        <v>183</v>
      </c>
      <c r="ED1179" t="s">
        <v>211</v>
      </c>
      <c r="EE1179" t="s">
        <v>339</v>
      </c>
      <c r="EF1179" t="s">
        <v>271</v>
      </c>
      <c r="EG1179" t="s">
        <v>9123</v>
      </c>
      <c r="EH1179" t="s">
        <v>945</v>
      </c>
      <c r="EI1179" t="s">
        <v>346</v>
      </c>
      <c r="EJ1179" t="s">
        <v>347</v>
      </c>
      <c r="EK1179" t="s">
        <v>15338</v>
      </c>
      <c r="EL1179" t="s">
        <v>1491</v>
      </c>
      <c r="EM1179" t="s">
        <v>183</v>
      </c>
      <c r="EN1179" t="s">
        <v>211</v>
      </c>
      <c r="EO1179" t="s">
        <v>493</v>
      </c>
      <c r="EP1179" t="s">
        <v>271</v>
      </c>
      <c r="EQ1179" t="s">
        <v>9123</v>
      </c>
      <c r="ER1179" t="s">
        <v>12347</v>
      </c>
      <c r="ES1179" t="s">
        <v>207</v>
      </c>
      <c r="ET1179" t="s">
        <v>208</v>
      </c>
      <c r="EU1179" t="s">
        <v>15339</v>
      </c>
      <c r="EV1179" t="s">
        <v>838</v>
      </c>
      <c r="EW1179" t="s">
        <v>183</v>
      </c>
      <c r="EX1179" t="s">
        <v>211</v>
      </c>
      <c r="EZ1179" t="s">
        <v>271</v>
      </c>
      <c r="FA1179" t="s">
        <v>198</v>
      </c>
      <c r="FK1179" t="s">
        <v>198</v>
      </c>
      <c r="FU1179" t="s">
        <v>198</v>
      </c>
    </row>
    <row r="1180" spans="1:177">
      <c r="A1180" s="1" t="str">
        <f>HYPERLINK("http://digipan.lumentumllc.com/apps/getLink/index.php?t=PropLink&amp;p=5246357","PL")</f>
        <v>PL</v>
      </c>
      <c r="B1180" s="1" t="str">
        <f>HYPERLINK("http://digipan.lumentumllc.com/apps/getLink/index.php?t=TaxLink&amp;p=5246357","TL")</f>
        <v>TL</v>
      </c>
      <c r="C1180" s="1" t="str">
        <f>HYPERLINK("http://digipan.lumentumllc.com/apps/getMap/index.php?p=5246357","Map")</f>
        <v>Map</v>
      </c>
      <c r="E1180" t="s">
        <v>177</v>
      </c>
      <c r="F1180" t="s">
        <v>178</v>
      </c>
      <c r="L1180" t="s">
        <v>15340</v>
      </c>
      <c r="N1180" t="s">
        <v>15340</v>
      </c>
      <c r="O1180" t="s">
        <v>15340</v>
      </c>
      <c r="P1180" t="s">
        <v>15341</v>
      </c>
      <c r="Q1180" t="s">
        <v>15340</v>
      </c>
      <c r="V1180">
        <v>1350</v>
      </c>
      <c r="W1180">
        <v>5</v>
      </c>
      <c r="X1180">
        <v>2017</v>
      </c>
      <c r="Y1180">
        <v>2018</v>
      </c>
      <c r="Z1180">
        <v>326.70999999999998</v>
      </c>
      <c r="AB1180" t="s">
        <v>181</v>
      </c>
      <c r="AC1180" t="s">
        <v>182</v>
      </c>
      <c r="AD1180" t="s">
        <v>183</v>
      </c>
      <c r="AE1180">
        <v>3</v>
      </c>
      <c r="AF1180">
        <v>5</v>
      </c>
      <c r="AG1180" t="s">
        <v>1776</v>
      </c>
      <c r="AH1180">
        <v>57</v>
      </c>
      <c r="AI1180">
        <v>1010.18</v>
      </c>
      <c r="AJ1180">
        <v>160.93</v>
      </c>
      <c r="AK1180">
        <v>1171.1099999999999</v>
      </c>
      <c r="AL1180">
        <v>18000</v>
      </c>
      <c r="AM1180">
        <v>18000</v>
      </c>
      <c r="AN1180">
        <v>0</v>
      </c>
      <c r="AO1180">
        <v>284</v>
      </c>
      <c r="AP1180">
        <v>2016</v>
      </c>
      <c r="AQ1180">
        <v>1.82</v>
      </c>
      <c r="AR1180">
        <v>6.51</v>
      </c>
      <c r="AS1180" t="s">
        <v>14388</v>
      </c>
      <c r="AT1180" t="s">
        <v>3210</v>
      </c>
      <c r="AU1180" t="s">
        <v>177</v>
      </c>
      <c r="AV1180" t="s">
        <v>15342</v>
      </c>
      <c r="AW1180" t="s">
        <v>182</v>
      </c>
      <c r="AX1180">
        <v>0</v>
      </c>
      <c r="AY1180" t="s">
        <v>312</v>
      </c>
      <c r="AZ1180" t="s">
        <v>199</v>
      </c>
      <c r="BA1180" t="s">
        <v>313</v>
      </c>
      <c r="BB1180" t="s">
        <v>191</v>
      </c>
      <c r="BC1180" t="s">
        <v>182</v>
      </c>
      <c r="BD1180" t="s">
        <v>182</v>
      </c>
      <c r="BE1180" t="s">
        <v>15343</v>
      </c>
      <c r="BF1180">
        <v>0</v>
      </c>
      <c r="BG1180">
        <v>0</v>
      </c>
      <c r="BH1180">
        <v>0</v>
      </c>
      <c r="BI1180" t="s">
        <v>199</v>
      </c>
      <c r="BJ1180" t="s">
        <v>315</v>
      </c>
      <c r="BL1180" t="s">
        <v>7226</v>
      </c>
      <c r="BM1180" t="s">
        <v>286</v>
      </c>
      <c r="BN1180" t="s">
        <v>182</v>
      </c>
      <c r="BO1180" t="s">
        <v>198</v>
      </c>
      <c r="BP1180" t="s">
        <v>198</v>
      </c>
      <c r="BQ1180" t="s">
        <v>198</v>
      </c>
      <c r="BR1180" t="s">
        <v>198</v>
      </c>
      <c r="BS1180" t="s">
        <v>198</v>
      </c>
      <c r="BT1180" t="s">
        <v>198</v>
      </c>
      <c r="BU1180" t="s">
        <v>182</v>
      </c>
      <c r="BV1180" t="s">
        <v>198</v>
      </c>
      <c r="BW1180" t="s">
        <v>198</v>
      </c>
      <c r="BX1180" t="s">
        <v>199</v>
      </c>
      <c r="BY1180" t="s">
        <v>198</v>
      </c>
      <c r="BZ1180" t="s">
        <v>199</v>
      </c>
      <c r="CA1180" t="s">
        <v>199</v>
      </c>
      <c r="CB1180" t="s">
        <v>15318</v>
      </c>
      <c r="CC1180" t="s">
        <v>201</v>
      </c>
      <c r="CD1180" t="s">
        <v>182</v>
      </c>
      <c r="CE1180" t="s">
        <v>15319</v>
      </c>
      <c r="CF1180" t="s">
        <v>5331</v>
      </c>
      <c r="CG1180" t="s">
        <v>177</v>
      </c>
      <c r="CH1180" t="s">
        <v>371</v>
      </c>
      <c r="CI1180" t="s">
        <v>15344</v>
      </c>
      <c r="CJ1180" t="s">
        <v>6086</v>
      </c>
      <c r="CK1180" t="s">
        <v>232</v>
      </c>
      <c r="CL1180" t="s">
        <v>233</v>
      </c>
      <c r="CM1180" t="s">
        <v>15345</v>
      </c>
      <c r="CN1180" t="s">
        <v>484</v>
      </c>
      <c r="CO1180" t="s">
        <v>183</v>
      </c>
      <c r="CP1180" t="s">
        <v>266</v>
      </c>
      <c r="CS1180" t="s">
        <v>198</v>
      </c>
      <c r="CT1180" t="s">
        <v>14192</v>
      </c>
      <c r="CU1180" t="s">
        <v>292</v>
      </c>
      <c r="CV1180" t="s">
        <v>293</v>
      </c>
      <c r="CW1180" t="s">
        <v>15346</v>
      </c>
      <c r="CX1180" t="s">
        <v>278</v>
      </c>
      <c r="CY1180" t="s">
        <v>183</v>
      </c>
      <c r="CZ1180" t="s">
        <v>266</v>
      </c>
      <c r="DC1180" t="s">
        <v>198</v>
      </c>
      <c r="DD1180" t="s">
        <v>5157</v>
      </c>
      <c r="DE1180" t="s">
        <v>267</v>
      </c>
      <c r="DF1180" t="s">
        <v>268</v>
      </c>
      <c r="DG1180" t="s">
        <v>15347</v>
      </c>
      <c r="DH1180" t="s">
        <v>833</v>
      </c>
      <c r="DI1180" t="s">
        <v>183</v>
      </c>
      <c r="DJ1180" t="s">
        <v>266</v>
      </c>
      <c r="DM1180" t="s">
        <v>198</v>
      </c>
      <c r="DN1180" t="s">
        <v>15348</v>
      </c>
      <c r="DO1180" t="s">
        <v>273</v>
      </c>
      <c r="DP1180" t="s">
        <v>274</v>
      </c>
      <c r="DQ1180" t="s">
        <v>15349</v>
      </c>
      <c r="DR1180" t="s">
        <v>278</v>
      </c>
      <c r="DS1180" t="s">
        <v>183</v>
      </c>
      <c r="DT1180" t="s">
        <v>211</v>
      </c>
      <c r="DU1180" t="s">
        <v>298</v>
      </c>
      <c r="DW1180" t="s">
        <v>5907</v>
      </c>
      <c r="DX1180" t="s">
        <v>13593</v>
      </c>
      <c r="DY1180" t="s">
        <v>302</v>
      </c>
      <c r="DZ1180" t="s">
        <v>303</v>
      </c>
      <c r="EA1180" t="s">
        <v>6262</v>
      </c>
      <c r="EB1180" t="s">
        <v>331</v>
      </c>
      <c r="EC1180" t="s">
        <v>183</v>
      </c>
      <c r="ED1180" t="s">
        <v>211</v>
      </c>
      <c r="EE1180" t="s">
        <v>298</v>
      </c>
      <c r="EG1180" t="s">
        <v>464</v>
      </c>
      <c r="EH1180" t="s">
        <v>6266</v>
      </c>
      <c r="EI1180" t="s">
        <v>238</v>
      </c>
      <c r="EJ1180" t="s">
        <v>239</v>
      </c>
      <c r="EK1180" t="s">
        <v>15350</v>
      </c>
      <c r="EL1180" t="s">
        <v>519</v>
      </c>
      <c r="EM1180" t="s">
        <v>183</v>
      </c>
      <c r="EN1180" t="s">
        <v>211</v>
      </c>
      <c r="EO1180" t="s">
        <v>525</v>
      </c>
      <c r="EQ1180" t="s">
        <v>464</v>
      </c>
      <c r="ER1180" t="s">
        <v>1387</v>
      </c>
      <c r="ES1180" t="s">
        <v>346</v>
      </c>
      <c r="ET1180" t="s">
        <v>347</v>
      </c>
      <c r="EU1180" t="s">
        <v>15351</v>
      </c>
      <c r="EV1180" t="s">
        <v>1491</v>
      </c>
      <c r="EW1180" t="s">
        <v>183</v>
      </c>
      <c r="EX1180" t="s">
        <v>211</v>
      </c>
      <c r="EY1180" t="s">
        <v>493</v>
      </c>
      <c r="FA1180" t="s">
        <v>15352</v>
      </c>
      <c r="FB1180" t="s">
        <v>14668</v>
      </c>
      <c r="FC1180" t="s">
        <v>207</v>
      </c>
      <c r="FD1180" t="s">
        <v>208</v>
      </c>
      <c r="FE1180" t="s">
        <v>15353</v>
      </c>
      <c r="FF1180" t="s">
        <v>1966</v>
      </c>
      <c r="FG1180" t="s">
        <v>183</v>
      </c>
      <c r="FH1180" t="s">
        <v>211</v>
      </c>
      <c r="FI1180" t="s">
        <v>966</v>
      </c>
      <c r="FK1180" t="s">
        <v>15352</v>
      </c>
      <c r="FU1180" t="s">
        <v>198</v>
      </c>
    </row>
    <row r="1181" spans="1:177">
      <c r="A1181" s="1" t="str">
        <f>HYPERLINK("http://digipan.lumentumllc.com/apps/getLink/index.php?t=PropLink&amp;p=5246358","PL")</f>
        <v>PL</v>
      </c>
      <c r="B1181" s="1" t="str">
        <f>HYPERLINK("http://digipan.lumentumllc.com/apps/getLink/index.php?t=TaxLink&amp;p=5246358","TL")</f>
        <v>TL</v>
      </c>
      <c r="C1181" s="1" t="str">
        <f>HYPERLINK("http://digipan.lumentumllc.com/apps/getMap/index.php?p=5246358","Map")</f>
        <v>Map</v>
      </c>
      <c r="E1181" t="s">
        <v>177</v>
      </c>
      <c r="F1181" t="s">
        <v>178</v>
      </c>
      <c r="L1181" t="s">
        <v>15354</v>
      </c>
      <c r="N1181" t="s">
        <v>15354</v>
      </c>
      <c r="O1181" t="s">
        <v>15354</v>
      </c>
      <c r="P1181" t="s">
        <v>15355</v>
      </c>
      <c r="Q1181" t="s">
        <v>15354</v>
      </c>
      <c r="V1181">
        <v>1351</v>
      </c>
      <c r="W1181">
        <v>5</v>
      </c>
      <c r="X1181">
        <v>2017</v>
      </c>
      <c r="Y1181">
        <v>2018</v>
      </c>
      <c r="Z1181">
        <v>114.28</v>
      </c>
      <c r="AB1181" t="s">
        <v>181</v>
      </c>
      <c r="AC1181" t="s">
        <v>182</v>
      </c>
      <c r="AD1181" t="s">
        <v>1037</v>
      </c>
      <c r="AE1181">
        <v>3</v>
      </c>
      <c r="AF1181">
        <v>5</v>
      </c>
      <c r="AG1181" t="s">
        <v>1776</v>
      </c>
      <c r="AH1181">
        <v>57</v>
      </c>
      <c r="AI1181">
        <v>325.75</v>
      </c>
      <c r="AJ1181">
        <v>116.81</v>
      </c>
      <c r="AK1181">
        <v>442.56</v>
      </c>
      <c r="AL1181">
        <v>5025</v>
      </c>
      <c r="AM1181">
        <v>5025</v>
      </c>
      <c r="AN1181">
        <v>0</v>
      </c>
      <c r="AO1181">
        <v>77</v>
      </c>
      <c r="AP1181">
        <v>2016</v>
      </c>
      <c r="AQ1181">
        <v>2.27</v>
      </c>
      <c r="AR1181">
        <v>8.81</v>
      </c>
      <c r="AS1181" t="s">
        <v>14388</v>
      </c>
      <c r="AT1181" t="s">
        <v>3210</v>
      </c>
      <c r="AU1181" t="s">
        <v>177</v>
      </c>
      <c r="AV1181" t="s">
        <v>2334</v>
      </c>
      <c r="AW1181" t="s">
        <v>182</v>
      </c>
      <c r="AX1181">
        <v>0</v>
      </c>
      <c r="AY1181" t="s">
        <v>312</v>
      </c>
      <c r="AZ1181" t="s">
        <v>199</v>
      </c>
      <c r="BA1181" t="s">
        <v>313</v>
      </c>
      <c r="BB1181" t="s">
        <v>191</v>
      </c>
      <c r="BC1181" t="s">
        <v>182</v>
      </c>
      <c r="BD1181" t="s">
        <v>182</v>
      </c>
      <c r="BE1181" t="s">
        <v>498</v>
      </c>
      <c r="BF1181">
        <v>0</v>
      </c>
      <c r="BG1181">
        <v>0</v>
      </c>
      <c r="BH1181">
        <v>0</v>
      </c>
      <c r="BI1181" t="s">
        <v>199</v>
      </c>
      <c r="BJ1181" t="s">
        <v>315</v>
      </c>
      <c r="BL1181" t="s">
        <v>15356</v>
      </c>
      <c r="BM1181" t="s">
        <v>286</v>
      </c>
      <c r="BN1181" t="s">
        <v>182</v>
      </c>
      <c r="BO1181" t="s">
        <v>198</v>
      </c>
      <c r="BP1181" t="s">
        <v>198</v>
      </c>
      <c r="BQ1181" t="s">
        <v>198</v>
      </c>
      <c r="BR1181" t="s">
        <v>198</v>
      </c>
      <c r="BS1181" t="s">
        <v>198</v>
      </c>
      <c r="BT1181" t="s">
        <v>198</v>
      </c>
      <c r="BU1181" t="s">
        <v>182</v>
      </c>
      <c r="BV1181" t="s">
        <v>198</v>
      </c>
      <c r="BW1181" t="s">
        <v>198</v>
      </c>
      <c r="BX1181" t="s">
        <v>199</v>
      </c>
      <c r="BY1181" t="s">
        <v>198</v>
      </c>
      <c r="BZ1181" t="s">
        <v>199</v>
      </c>
      <c r="CA1181" t="s">
        <v>199</v>
      </c>
      <c r="CB1181" t="s">
        <v>15318</v>
      </c>
      <c r="CC1181" t="s">
        <v>201</v>
      </c>
      <c r="CD1181" t="s">
        <v>182</v>
      </c>
      <c r="CE1181" t="s">
        <v>15319</v>
      </c>
      <c r="CF1181" t="s">
        <v>5331</v>
      </c>
      <c r="CG1181" t="s">
        <v>177</v>
      </c>
      <c r="CH1181" t="s">
        <v>371</v>
      </c>
      <c r="CI1181" t="s">
        <v>15357</v>
      </c>
      <c r="CJ1181" t="s">
        <v>11548</v>
      </c>
      <c r="CK1181" t="s">
        <v>232</v>
      </c>
      <c r="CL1181" t="s">
        <v>233</v>
      </c>
      <c r="CM1181" t="s">
        <v>15358</v>
      </c>
      <c r="CN1181" t="s">
        <v>482</v>
      </c>
      <c r="CO1181" t="s">
        <v>5</v>
      </c>
      <c r="CP1181" t="s">
        <v>266</v>
      </c>
      <c r="CS1181" t="s">
        <v>198</v>
      </c>
      <c r="CT1181" t="s">
        <v>14229</v>
      </c>
      <c r="CU1181" t="s">
        <v>292</v>
      </c>
      <c r="CV1181" t="s">
        <v>293</v>
      </c>
      <c r="CW1181" t="s">
        <v>15322</v>
      </c>
      <c r="CX1181" t="s">
        <v>482</v>
      </c>
      <c r="CY1181" t="s">
        <v>183</v>
      </c>
      <c r="CZ1181" t="s">
        <v>266</v>
      </c>
      <c r="DC1181" t="s">
        <v>198</v>
      </c>
      <c r="DD1181" t="s">
        <v>2762</v>
      </c>
      <c r="DE1181" t="s">
        <v>267</v>
      </c>
      <c r="DF1181" t="s">
        <v>268</v>
      </c>
      <c r="DG1181" t="s">
        <v>15287</v>
      </c>
      <c r="DH1181" t="s">
        <v>482</v>
      </c>
      <c r="DI1181" t="s">
        <v>183</v>
      </c>
      <c r="DJ1181" t="s">
        <v>266</v>
      </c>
      <c r="DM1181" t="s">
        <v>198</v>
      </c>
      <c r="DN1181" t="s">
        <v>15359</v>
      </c>
      <c r="DO1181" t="s">
        <v>273</v>
      </c>
      <c r="DP1181" t="s">
        <v>274</v>
      </c>
      <c r="DQ1181" t="s">
        <v>15288</v>
      </c>
      <c r="DR1181" t="s">
        <v>331</v>
      </c>
      <c r="DS1181" t="s">
        <v>183</v>
      </c>
      <c r="DT1181" t="s">
        <v>211</v>
      </c>
      <c r="DU1181" t="s">
        <v>298</v>
      </c>
      <c r="DW1181" t="s">
        <v>5907</v>
      </c>
      <c r="DX1181" t="s">
        <v>2394</v>
      </c>
      <c r="DY1181" t="s">
        <v>302</v>
      </c>
      <c r="DZ1181" t="s">
        <v>303</v>
      </c>
      <c r="EA1181" t="s">
        <v>15289</v>
      </c>
      <c r="EB1181" t="s">
        <v>2515</v>
      </c>
      <c r="EC1181" t="s">
        <v>183</v>
      </c>
      <c r="ED1181" t="s">
        <v>211</v>
      </c>
      <c r="EE1181" t="s">
        <v>298</v>
      </c>
      <c r="EG1181" t="s">
        <v>464</v>
      </c>
      <c r="EH1181" t="s">
        <v>15360</v>
      </c>
      <c r="EI1181" t="s">
        <v>238</v>
      </c>
      <c r="EJ1181" t="s">
        <v>239</v>
      </c>
      <c r="EK1181" t="s">
        <v>15291</v>
      </c>
      <c r="EL1181" t="s">
        <v>482</v>
      </c>
      <c r="EM1181" t="s">
        <v>183</v>
      </c>
      <c r="EN1181" t="s">
        <v>211</v>
      </c>
      <c r="EO1181" t="s">
        <v>525</v>
      </c>
      <c r="EQ1181" t="s">
        <v>464</v>
      </c>
      <c r="ER1181" t="s">
        <v>451</v>
      </c>
      <c r="ES1181" t="s">
        <v>346</v>
      </c>
      <c r="ET1181" t="s">
        <v>347</v>
      </c>
      <c r="EU1181" t="s">
        <v>15323</v>
      </c>
      <c r="EV1181" t="s">
        <v>1491</v>
      </c>
      <c r="EW1181" t="s">
        <v>183</v>
      </c>
      <c r="EX1181" t="s">
        <v>211</v>
      </c>
      <c r="EY1181" t="s">
        <v>493</v>
      </c>
      <c r="FA1181" t="s">
        <v>15352</v>
      </c>
      <c r="FB1181" t="s">
        <v>15361</v>
      </c>
      <c r="FC1181" t="s">
        <v>207</v>
      </c>
      <c r="FD1181" t="s">
        <v>208</v>
      </c>
      <c r="FE1181" t="s">
        <v>15325</v>
      </c>
      <c r="FF1181" t="s">
        <v>235</v>
      </c>
      <c r="FG1181" t="s">
        <v>183</v>
      </c>
      <c r="FH1181" t="s">
        <v>211</v>
      </c>
      <c r="FI1181" t="s">
        <v>966</v>
      </c>
      <c r="FK1181" t="s">
        <v>15352</v>
      </c>
      <c r="FU1181" t="s">
        <v>198</v>
      </c>
    </row>
    <row r="1182" spans="1:177">
      <c r="A1182" s="1" t="str">
        <f>HYPERLINK("http://digipan.lumentumllc.com/apps/getLink/index.php?t=PropLink&amp;p=5246359","PL")</f>
        <v>PL</v>
      </c>
      <c r="B1182" s="1" t="str">
        <f>HYPERLINK("http://digipan.lumentumllc.com/apps/getLink/index.php?t=TaxLink&amp;p=5246359","TL")</f>
        <v>TL</v>
      </c>
      <c r="C1182" s="1" t="str">
        <f>HYPERLINK("http://digipan.lumentumllc.com/apps/getMap/index.php?p=5246359","Map")</f>
        <v>Map</v>
      </c>
      <c r="E1182" t="s">
        <v>177</v>
      </c>
      <c r="F1182" t="s">
        <v>178</v>
      </c>
      <c r="L1182" t="s">
        <v>15362</v>
      </c>
      <c r="N1182" t="s">
        <v>15362</v>
      </c>
      <c r="O1182" t="s">
        <v>15362</v>
      </c>
      <c r="P1182" t="s">
        <v>15363</v>
      </c>
      <c r="Q1182" t="s">
        <v>15362</v>
      </c>
      <c r="V1182">
        <v>1352</v>
      </c>
      <c r="W1182">
        <v>5</v>
      </c>
      <c r="X1182">
        <v>2017</v>
      </c>
      <c r="Y1182">
        <v>2018</v>
      </c>
      <c r="Z1182">
        <v>228.47</v>
      </c>
      <c r="AB1182" t="s">
        <v>181</v>
      </c>
      <c r="AC1182" t="s">
        <v>182</v>
      </c>
      <c r="AD1182" t="s">
        <v>183</v>
      </c>
      <c r="AE1182">
        <v>3</v>
      </c>
      <c r="AF1182">
        <v>5</v>
      </c>
      <c r="AG1182" t="s">
        <v>1776</v>
      </c>
      <c r="AH1182">
        <v>57</v>
      </c>
      <c r="AI1182">
        <v>705.98</v>
      </c>
      <c r="AJ1182">
        <v>108.38</v>
      </c>
      <c r="AK1182">
        <v>814.36</v>
      </c>
      <c r="AL1182">
        <v>12000</v>
      </c>
      <c r="AM1182">
        <v>12000</v>
      </c>
      <c r="AN1182">
        <v>0</v>
      </c>
      <c r="AO1182">
        <v>192</v>
      </c>
      <c r="AP1182">
        <v>2016</v>
      </c>
      <c r="AQ1182">
        <v>1.9</v>
      </c>
      <c r="AR1182">
        <v>6.79</v>
      </c>
      <c r="AS1182" t="s">
        <v>14388</v>
      </c>
      <c r="AT1182" t="s">
        <v>3210</v>
      </c>
      <c r="AU1182" t="s">
        <v>177</v>
      </c>
      <c r="AV1182" t="s">
        <v>2334</v>
      </c>
      <c r="AW1182" t="s">
        <v>182</v>
      </c>
      <c r="AX1182">
        <v>0</v>
      </c>
      <c r="AY1182" t="s">
        <v>312</v>
      </c>
      <c r="AZ1182" t="s">
        <v>199</v>
      </c>
      <c r="BA1182" t="s">
        <v>313</v>
      </c>
      <c r="BB1182" t="s">
        <v>191</v>
      </c>
      <c r="BC1182" t="s">
        <v>182</v>
      </c>
      <c r="BD1182" t="s">
        <v>182</v>
      </c>
      <c r="BE1182" t="s">
        <v>7154</v>
      </c>
      <c r="BF1182">
        <v>0</v>
      </c>
      <c r="BG1182">
        <v>0</v>
      </c>
      <c r="BH1182">
        <v>0</v>
      </c>
      <c r="BI1182" t="s">
        <v>199</v>
      </c>
      <c r="BJ1182" t="s">
        <v>315</v>
      </c>
      <c r="BL1182" t="s">
        <v>15356</v>
      </c>
      <c r="BM1182" t="s">
        <v>286</v>
      </c>
      <c r="BN1182" t="s">
        <v>182</v>
      </c>
      <c r="BO1182" t="s">
        <v>198</v>
      </c>
      <c r="BP1182" t="s">
        <v>198</v>
      </c>
      <c r="BQ1182" t="s">
        <v>198</v>
      </c>
      <c r="BR1182" t="s">
        <v>198</v>
      </c>
      <c r="BS1182" t="s">
        <v>198</v>
      </c>
      <c r="BT1182" t="s">
        <v>198</v>
      </c>
      <c r="BU1182" t="s">
        <v>182</v>
      </c>
      <c r="BV1182" t="s">
        <v>198</v>
      </c>
      <c r="BW1182" t="s">
        <v>198</v>
      </c>
      <c r="BX1182" t="s">
        <v>199</v>
      </c>
      <c r="BY1182" t="s">
        <v>198</v>
      </c>
      <c r="BZ1182" t="s">
        <v>199</v>
      </c>
      <c r="CA1182" t="s">
        <v>199</v>
      </c>
      <c r="CB1182" t="s">
        <v>15318</v>
      </c>
      <c r="CC1182" t="s">
        <v>201</v>
      </c>
      <c r="CD1182" t="s">
        <v>182</v>
      </c>
      <c r="CE1182" t="s">
        <v>15319</v>
      </c>
      <c r="CF1182" t="s">
        <v>5331</v>
      </c>
      <c r="CG1182" t="s">
        <v>177</v>
      </c>
      <c r="CH1182" t="s">
        <v>371</v>
      </c>
      <c r="CI1182" t="s">
        <v>15357</v>
      </c>
      <c r="CJ1182" t="s">
        <v>11565</v>
      </c>
      <c r="CK1182" t="s">
        <v>232</v>
      </c>
      <c r="CL1182" t="s">
        <v>233</v>
      </c>
      <c r="CM1182" t="s">
        <v>15364</v>
      </c>
      <c r="CN1182" t="s">
        <v>484</v>
      </c>
      <c r="CO1182" t="s">
        <v>183</v>
      </c>
      <c r="CP1182" t="s">
        <v>266</v>
      </c>
      <c r="CS1182" t="s">
        <v>198</v>
      </c>
      <c r="CT1182" t="s">
        <v>15365</v>
      </c>
      <c r="CU1182" t="s">
        <v>292</v>
      </c>
      <c r="CV1182" t="s">
        <v>293</v>
      </c>
      <c r="CW1182" t="s">
        <v>15366</v>
      </c>
      <c r="CX1182" t="s">
        <v>235</v>
      </c>
      <c r="CY1182" t="s">
        <v>183</v>
      </c>
      <c r="CZ1182" t="s">
        <v>266</v>
      </c>
      <c r="DC1182" t="s">
        <v>198</v>
      </c>
      <c r="DD1182" t="s">
        <v>5202</v>
      </c>
      <c r="DE1182" t="s">
        <v>267</v>
      </c>
      <c r="DF1182" t="s">
        <v>268</v>
      </c>
      <c r="DG1182" t="s">
        <v>15367</v>
      </c>
      <c r="DH1182" t="s">
        <v>1966</v>
      </c>
      <c r="DI1182" t="s">
        <v>183</v>
      </c>
      <c r="DJ1182" t="s">
        <v>266</v>
      </c>
      <c r="DM1182" t="s">
        <v>198</v>
      </c>
      <c r="DN1182" t="s">
        <v>15368</v>
      </c>
      <c r="DO1182" t="s">
        <v>273</v>
      </c>
      <c r="DP1182" t="s">
        <v>274</v>
      </c>
      <c r="DQ1182" t="s">
        <v>15369</v>
      </c>
      <c r="DR1182" t="s">
        <v>440</v>
      </c>
      <c r="DS1182" t="s">
        <v>183</v>
      </c>
      <c r="DT1182" t="s">
        <v>211</v>
      </c>
      <c r="DU1182" t="s">
        <v>298</v>
      </c>
      <c r="DW1182" t="s">
        <v>5907</v>
      </c>
      <c r="DX1182" t="s">
        <v>10922</v>
      </c>
      <c r="DY1182" t="s">
        <v>302</v>
      </c>
      <c r="DZ1182" t="s">
        <v>303</v>
      </c>
      <c r="EA1182" t="s">
        <v>15370</v>
      </c>
      <c r="EB1182" t="s">
        <v>440</v>
      </c>
      <c r="EC1182" t="s">
        <v>183</v>
      </c>
      <c r="ED1182" t="s">
        <v>211</v>
      </c>
      <c r="EE1182" t="s">
        <v>298</v>
      </c>
      <c r="EG1182" t="s">
        <v>464</v>
      </c>
      <c r="EH1182" t="s">
        <v>7349</v>
      </c>
      <c r="EI1182" t="s">
        <v>238</v>
      </c>
      <c r="EJ1182" t="s">
        <v>239</v>
      </c>
      <c r="EK1182" t="s">
        <v>15371</v>
      </c>
      <c r="EL1182" t="s">
        <v>333</v>
      </c>
      <c r="EM1182" t="s">
        <v>183</v>
      </c>
      <c r="EN1182" t="s">
        <v>211</v>
      </c>
      <c r="EO1182" t="s">
        <v>525</v>
      </c>
      <c r="EQ1182" t="s">
        <v>464</v>
      </c>
      <c r="ER1182" t="s">
        <v>2351</v>
      </c>
      <c r="ES1182" t="s">
        <v>346</v>
      </c>
      <c r="ET1182" t="s">
        <v>347</v>
      </c>
      <c r="EU1182" t="s">
        <v>15372</v>
      </c>
      <c r="EV1182" t="s">
        <v>1491</v>
      </c>
      <c r="EW1182" t="s">
        <v>183</v>
      </c>
      <c r="EX1182" t="s">
        <v>211</v>
      </c>
      <c r="EY1182" t="s">
        <v>493</v>
      </c>
      <c r="FA1182" t="s">
        <v>15352</v>
      </c>
      <c r="FB1182" t="s">
        <v>14689</v>
      </c>
      <c r="FC1182" t="s">
        <v>207</v>
      </c>
      <c r="FD1182" t="s">
        <v>208</v>
      </c>
      <c r="FE1182" t="s">
        <v>15373</v>
      </c>
      <c r="FF1182" t="s">
        <v>1966</v>
      </c>
      <c r="FG1182" t="s">
        <v>183</v>
      </c>
      <c r="FH1182" t="s">
        <v>211</v>
      </c>
      <c r="FI1182" t="s">
        <v>966</v>
      </c>
      <c r="FK1182" t="s">
        <v>15352</v>
      </c>
      <c r="FU1182" t="s">
        <v>198</v>
      </c>
    </row>
    <row r="1183" spans="1:177">
      <c r="A1183" s="1" t="str">
        <f>HYPERLINK("http://digipan.lumentumllc.com/apps/getLink/index.php?t=PropLink&amp;p=4637816","PL")</f>
        <v>PL</v>
      </c>
      <c r="B1183" s="1" t="str">
        <f>HYPERLINK("http://digipan.lumentumllc.com/apps/getLink/index.php?t=TaxLink&amp;p=4637816","TL")</f>
        <v>TL</v>
      </c>
      <c r="C1183" s="1" t="str">
        <f>HYPERLINK("http://digipan.lumentumllc.com/apps/getMap/index.php?p=4637816","Map")</f>
        <v>Map</v>
      </c>
      <c r="E1183" t="s">
        <v>177</v>
      </c>
      <c r="F1183" t="s">
        <v>178</v>
      </c>
      <c r="L1183" t="s">
        <v>15374</v>
      </c>
      <c r="N1183" t="s">
        <v>15374</v>
      </c>
      <c r="O1183" t="s">
        <v>15374</v>
      </c>
      <c r="P1183" t="s">
        <v>15375</v>
      </c>
      <c r="Q1183" t="s">
        <v>15374</v>
      </c>
      <c r="V1183">
        <v>1353</v>
      </c>
      <c r="W1183">
        <v>5</v>
      </c>
      <c r="X1183">
        <v>2017</v>
      </c>
      <c r="Y1183">
        <v>2018</v>
      </c>
      <c r="Z1183">
        <v>485.87</v>
      </c>
      <c r="AB1183" t="s">
        <v>181</v>
      </c>
      <c r="AC1183" t="s">
        <v>182</v>
      </c>
      <c r="AD1183" t="s">
        <v>183</v>
      </c>
      <c r="AE1183">
        <v>1</v>
      </c>
      <c r="AF1183">
        <v>1</v>
      </c>
      <c r="AG1183" t="s">
        <v>2222</v>
      </c>
      <c r="AH1183">
        <v>50</v>
      </c>
      <c r="AI1183">
        <v>479.46</v>
      </c>
      <c r="AJ1183">
        <v>23.97</v>
      </c>
      <c r="AK1183">
        <v>503.43</v>
      </c>
      <c r="AL1183">
        <v>72420</v>
      </c>
      <c r="AM1183">
        <v>25000</v>
      </c>
      <c r="AN1183">
        <v>47420</v>
      </c>
      <c r="AO1183">
        <v>418</v>
      </c>
      <c r="AP1183">
        <v>2016</v>
      </c>
      <c r="AQ1183">
        <v>0.67</v>
      </c>
      <c r="AR1183">
        <v>0.7</v>
      </c>
      <c r="AS1183" t="s">
        <v>15376</v>
      </c>
      <c r="AT1183" t="s">
        <v>15040</v>
      </c>
      <c r="AU1183" t="s">
        <v>177</v>
      </c>
      <c r="AV1183" t="s">
        <v>371</v>
      </c>
      <c r="AW1183" t="s">
        <v>202</v>
      </c>
      <c r="AX1183">
        <v>2</v>
      </c>
      <c r="AY1183" t="s">
        <v>188</v>
      </c>
      <c r="AZ1183" t="s">
        <v>189</v>
      </c>
      <c r="BA1183" t="s">
        <v>190</v>
      </c>
      <c r="BB1183" t="s">
        <v>191</v>
      </c>
      <c r="BC1183" t="s">
        <v>182</v>
      </c>
      <c r="BD1183" t="s">
        <v>182</v>
      </c>
      <c r="BE1183" t="s">
        <v>5431</v>
      </c>
      <c r="BF1183">
        <v>1</v>
      </c>
      <c r="BG1183">
        <v>1</v>
      </c>
      <c r="BH1183">
        <v>1999</v>
      </c>
      <c r="BI1183" t="s">
        <v>839</v>
      </c>
      <c r="BJ1183" t="s">
        <v>396</v>
      </c>
      <c r="BK1183" t="s">
        <v>195</v>
      </c>
      <c r="BL1183" t="s">
        <v>841</v>
      </c>
      <c r="BM1183" t="s">
        <v>501</v>
      </c>
      <c r="BN1183" t="s">
        <v>182</v>
      </c>
      <c r="BO1183" t="s">
        <v>198</v>
      </c>
      <c r="BP1183" t="s">
        <v>198</v>
      </c>
      <c r="BQ1183" t="s">
        <v>198</v>
      </c>
      <c r="BR1183" t="s">
        <v>198</v>
      </c>
      <c r="BS1183" t="s">
        <v>198</v>
      </c>
      <c r="BT1183" t="s">
        <v>198</v>
      </c>
      <c r="BU1183" t="s">
        <v>182</v>
      </c>
      <c r="BV1183" t="s">
        <v>198</v>
      </c>
      <c r="BW1183" t="s">
        <v>198</v>
      </c>
      <c r="BX1183" t="s">
        <v>199</v>
      </c>
      <c r="BY1183" t="s">
        <v>198</v>
      </c>
      <c r="BZ1183" t="s">
        <v>199</v>
      </c>
      <c r="CA1183" t="s">
        <v>199</v>
      </c>
      <c r="CB1183" t="s">
        <v>15377</v>
      </c>
      <c r="CC1183" t="s">
        <v>201</v>
      </c>
      <c r="CD1183" t="s">
        <v>202</v>
      </c>
      <c r="CE1183" t="s">
        <v>15378</v>
      </c>
      <c r="CF1183" t="s">
        <v>5331</v>
      </c>
      <c r="CG1183" t="s">
        <v>177</v>
      </c>
      <c r="CH1183" t="s">
        <v>371</v>
      </c>
      <c r="CI1183" t="s">
        <v>15379</v>
      </c>
      <c r="CJ1183" t="s">
        <v>13923</v>
      </c>
      <c r="CK1183" t="s">
        <v>232</v>
      </c>
      <c r="CL1183" t="s">
        <v>233</v>
      </c>
      <c r="CM1183" t="s">
        <v>15380</v>
      </c>
      <c r="CN1183" t="s">
        <v>235</v>
      </c>
      <c r="CO1183" t="s">
        <v>183</v>
      </c>
      <c r="CP1183" t="s">
        <v>266</v>
      </c>
      <c r="CS1183" t="s">
        <v>198</v>
      </c>
      <c r="CT1183" t="s">
        <v>15381</v>
      </c>
      <c r="CU1183" t="s">
        <v>302</v>
      </c>
      <c r="CV1183" t="s">
        <v>303</v>
      </c>
      <c r="CW1183" t="s">
        <v>15382</v>
      </c>
      <c r="CX1183" t="s">
        <v>235</v>
      </c>
      <c r="CY1183" t="s">
        <v>183</v>
      </c>
      <c r="CZ1183" t="s">
        <v>211</v>
      </c>
      <c r="DA1183" t="s">
        <v>264</v>
      </c>
      <c r="DC1183" t="s">
        <v>2512</v>
      </c>
      <c r="DM1183" t="s">
        <v>198</v>
      </c>
      <c r="DW1183" t="s">
        <v>198</v>
      </c>
      <c r="EG1183" t="s">
        <v>198</v>
      </c>
      <c r="EQ1183" t="s">
        <v>198</v>
      </c>
      <c r="FA1183" t="s">
        <v>198</v>
      </c>
      <c r="FK1183" t="s">
        <v>198</v>
      </c>
      <c r="FU1183" t="s">
        <v>198</v>
      </c>
    </row>
    <row r="1184" spans="1:177">
      <c r="A1184" s="1" t="str">
        <f>HYPERLINK("http://digipan.lumentumllc.com/apps/getLink/index.php?t=PropLink&amp;p=5246633","PL")</f>
        <v>PL</v>
      </c>
      <c r="B1184" s="1" t="str">
        <f>HYPERLINK("http://digipan.lumentumllc.com/apps/getLink/index.php?t=TaxLink&amp;p=5246633","TL")</f>
        <v>TL</v>
      </c>
      <c r="C1184" s="1" t="str">
        <f>HYPERLINK("http://digipan.lumentumllc.com/apps/getMap/index.php?p=5246633","Map")</f>
        <v>Map</v>
      </c>
      <c r="E1184" t="s">
        <v>177</v>
      </c>
      <c r="F1184" t="s">
        <v>178</v>
      </c>
      <c r="L1184" t="s">
        <v>15383</v>
      </c>
      <c r="N1184" t="s">
        <v>15383</v>
      </c>
      <c r="O1184" t="s">
        <v>15383</v>
      </c>
      <c r="P1184" t="s">
        <v>15384</v>
      </c>
      <c r="Q1184" t="s">
        <v>15383</v>
      </c>
      <c r="V1184">
        <v>1354</v>
      </c>
      <c r="W1184">
        <v>5</v>
      </c>
      <c r="X1184">
        <v>2017</v>
      </c>
      <c r="Y1184">
        <v>2018</v>
      </c>
      <c r="Z1184">
        <v>273.82</v>
      </c>
      <c r="AB1184" t="s">
        <v>181</v>
      </c>
      <c r="AC1184" t="s">
        <v>182</v>
      </c>
      <c r="AD1184" t="s">
        <v>183</v>
      </c>
      <c r="AE1184">
        <v>0</v>
      </c>
      <c r="AF1184">
        <v>7</v>
      </c>
      <c r="AG1184" t="s">
        <v>528</v>
      </c>
      <c r="AH1184">
        <v>100</v>
      </c>
      <c r="AK1184">
        <v>0</v>
      </c>
      <c r="AL1184">
        <v>58277</v>
      </c>
      <c r="AM1184">
        <v>25000</v>
      </c>
      <c r="AN1184">
        <v>33277</v>
      </c>
      <c r="AO1184">
        <v>214</v>
      </c>
      <c r="AP1184">
        <v>2016</v>
      </c>
      <c r="AQ1184">
        <v>0.47</v>
      </c>
      <c r="AS1184" t="s">
        <v>15385</v>
      </c>
      <c r="AT1184" t="s">
        <v>15040</v>
      </c>
      <c r="AU1184" t="s">
        <v>177</v>
      </c>
      <c r="AV1184" t="s">
        <v>371</v>
      </c>
      <c r="AW1184" t="s">
        <v>202</v>
      </c>
      <c r="AX1184">
        <v>2</v>
      </c>
      <c r="AY1184" t="s">
        <v>188</v>
      </c>
      <c r="AZ1184" t="s">
        <v>189</v>
      </c>
      <c r="BA1184" t="s">
        <v>190</v>
      </c>
      <c r="BB1184" t="s">
        <v>191</v>
      </c>
      <c r="BC1184" t="s">
        <v>182</v>
      </c>
      <c r="BD1184" t="s">
        <v>182</v>
      </c>
      <c r="BE1184" t="s">
        <v>1884</v>
      </c>
      <c r="BF1184">
        <v>1</v>
      </c>
      <c r="BG1184">
        <v>1</v>
      </c>
      <c r="BH1184">
        <v>1992</v>
      </c>
      <c r="BI1184" t="s">
        <v>14765</v>
      </c>
      <c r="BJ1184" t="s">
        <v>194</v>
      </c>
      <c r="BK1184" t="s">
        <v>195</v>
      </c>
      <c r="BL1184" t="s">
        <v>199</v>
      </c>
      <c r="BM1184" t="s">
        <v>533</v>
      </c>
      <c r="BN1184" t="s">
        <v>182</v>
      </c>
      <c r="BO1184" t="s">
        <v>15386</v>
      </c>
      <c r="BP1184" t="s">
        <v>15387</v>
      </c>
      <c r="BS1184" t="s">
        <v>15388</v>
      </c>
      <c r="BT1184" t="s">
        <v>198</v>
      </c>
      <c r="BU1184" t="s">
        <v>182</v>
      </c>
      <c r="BV1184" t="s">
        <v>198</v>
      </c>
      <c r="BW1184" t="s">
        <v>198</v>
      </c>
      <c r="BX1184" t="s">
        <v>199</v>
      </c>
      <c r="BY1184" t="s">
        <v>198</v>
      </c>
      <c r="BZ1184" t="s">
        <v>199</v>
      </c>
      <c r="CA1184" t="s">
        <v>199</v>
      </c>
      <c r="CB1184" t="s">
        <v>15389</v>
      </c>
      <c r="CC1184" t="s">
        <v>201</v>
      </c>
      <c r="CD1184" t="s">
        <v>182</v>
      </c>
      <c r="CE1184" t="s">
        <v>15390</v>
      </c>
      <c r="CF1184" t="s">
        <v>5331</v>
      </c>
      <c r="CG1184" t="s">
        <v>177</v>
      </c>
      <c r="CH1184" t="s">
        <v>371</v>
      </c>
      <c r="CI1184" t="s">
        <v>15391</v>
      </c>
      <c r="CJ1184" t="s">
        <v>7864</v>
      </c>
      <c r="CK1184" t="s">
        <v>232</v>
      </c>
      <c r="CL1184" t="s">
        <v>233</v>
      </c>
      <c r="CM1184" t="s">
        <v>15392</v>
      </c>
      <c r="CN1184" t="s">
        <v>235</v>
      </c>
      <c r="CO1184" t="s">
        <v>183</v>
      </c>
      <c r="CP1184" t="s">
        <v>211</v>
      </c>
      <c r="CQ1184" t="s">
        <v>329</v>
      </c>
      <c r="CS1184" t="s">
        <v>3482</v>
      </c>
      <c r="CT1184" t="s">
        <v>438</v>
      </c>
      <c r="CU1184" t="s">
        <v>292</v>
      </c>
      <c r="CV1184" t="s">
        <v>293</v>
      </c>
      <c r="CW1184" t="s">
        <v>15393</v>
      </c>
      <c r="CX1184" t="s">
        <v>235</v>
      </c>
      <c r="CY1184" t="s">
        <v>183</v>
      </c>
      <c r="CZ1184" t="s">
        <v>211</v>
      </c>
      <c r="DA1184" t="s">
        <v>298</v>
      </c>
      <c r="DC1184" t="s">
        <v>3482</v>
      </c>
      <c r="DD1184" t="s">
        <v>10779</v>
      </c>
      <c r="DE1184" t="s">
        <v>267</v>
      </c>
      <c r="DF1184" t="s">
        <v>268</v>
      </c>
      <c r="DG1184" t="s">
        <v>15394</v>
      </c>
      <c r="DH1184" t="s">
        <v>235</v>
      </c>
      <c r="DI1184" t="s">
        <v>183</v>
      </c>
      <c r="DJ1184" t="s">
        <v>211</v>
      </c>
      <c r="DK1184" t="s">
        <v>298</v>
      </c>
      <c r="DM1184" t="s">
        <v>1611</v>
      </c>
      <c r="DN1184" t="s">
        <v>12706</v>
      </c>
      <c r="DO1184" t="s">
        <v>273</v>
      </c>
      <c r="DP1184" t="s">
        <v>274</v>
      </c>
      <c r="DQ1184" t="s">
        <v>15395</v>
      </c>
      <c r="DR1184" t="s">
        <v>838</v>
      </c>
      <c r="DS1184" t="s">
        <v>183</v>
      </c>
      <c r="DT1184" t="s">
        <v>211</v>
      </c>
      <c r="DU1184" t="s">
        <v>298</v>
      </c>
      <c r="DW1184" t="s">
        <v>462</v>
      </c>
      <c r="DX1184" t="s">
        <v>15396</v>
      </c>
      <c r="DY1184" t="s">
        <v>302</v>
      </c>
      <c r="DZ1184" t="s">
        <v>303</v>
      </c>
      <c r="EA1184" t="s">
        <v>15397</v>
      </c>
      <c r="EB1184" t="s">
        <v>235</v>
      </c>
      <c r="EC1184" t="s">
        <v>183</v>
      </c>
      <c r="ED1184" t="s">
        <v>211</v>
      </c>
      <c r="EE1184" t="s">
        <v>298</v>
      </c>
      <c r="EG1184" t="s">
        <v>2359</v>
      </c>
      <c r="EH1184" t="s">
        <v>1332</v>
      </c>
      <c r="EI1184" t="s">
        <v>346</v>
      </c>
      <c r="EJ1184" t="s">
        <v>347</v>
      </c>
      <c r="EK1184" t="s">
        <v>15398</v>
      </c>
      <c r="EL1184" t="s">
        <v>247</v>
      </c>
      <c r="EM1184" t="s">
        <v>183</v>
      </c>
      <c r="EN1184" t="s">
        <v>211</v>
      </c>
      <c r="EO1184" t="s">
        <v>298</v>
      </c>
      <c r="EQ1184" t="s">
        <v>1622</v>
      </c>
      <c r="ER1184" t="s">
        <v>14730</v>
      </c>
      <c r="ES1184" t="s">
        <v>207</v>
      </c>
      <c r="ET1184" t="s">
        <v>208</v>
      </c>
      <c r="EU1184" t="s">
        <v>2667</v>
      </c>
      <c r="EV1184" t="s">
        <v>1966</v>
      </c>
      <c r="EW1184" t="s">
        <v>183</v>
      </c>
      <c r="EX1184" t="s">
        <v>211</v>
      </c>
      <c r="EY1184" t="s">
        <v>345</v>
      </c>
      <c r="FA1184" t="s">
        <v>2516</v>
      </c>
      <c r="FK1184" t="s">
        <v>198</v>
      </c>
      <c r="FU1184" t="s">
        <v>198</v>
      </c>
    </row>
    <row r="1185" spans="1:177">
      <c r="A1185" s="1" t="str">
        <f>HYPERLINK("http://digipan.lumentumllc.com/apps/getLink/index.php?t=PropLink&amp;p=5246634","PL")</f>
        <v>PL</v>
      </c>
      <c r="B1185" s="1" t="str">
        <f>HYPERLINK("http://digipan.lumentumllc.com/apps/getLink/index.php?t=TaxLink&amp;p=5246634","TL")</f>
        <v>TL</v>
      </c>
      <c r="C1185" s="1" t="str">
        <f>HYPERLINK("http://digipan.lumentumllc.com/apps/getMap/index.php?p=5246634","Map")</f>
        <v>Map</v>
      </c>
      <c r="E1185" t="s">
        <v>177</v>
      </c>
      <c r="F1185" t="s">
        <v>178</v>
      </c>
      <c r="L1185" t="s">
        <v>15399</v>
      </c>
      <c r="N1185" t="s">
        <v>15399</v>
      </c>
      <c r="O1185" t="s">
        <v>15399</v>
      </c>
      <c r="P1185" t="s">
        <v>15400</v>
      </c>
      <c r="Q1185" t="s">
        <v>15399</v>
      </c>
      <c r="V1185">
        <v>1355</v>
      </c>
      <c r="W1185">
        <v>5</v>
      </c>
      <c r="X1185">
        <v>2017</v>
      </c>
      <c r="Y1185">
        <v>2018</v>
      </c>
      <c r="Z1185">
        <v>413.6</v>
      </c>
      <c r="AB1185" t="s">
        <v>181</v>
      </c>
      <c r="AC1185" t="s">
        <v>182</v>
      </c>
      <c r="AD1185" t="s">
        <v>183</v>
      </c>
      <c r="AE1185">
        <v>0</v>
      </c>
      <c r="AF1185">
        <v>7</v>
      </c>
      <c r="AG1185" t="s">
        <v>528</v>
      </c>
      <c r="AH1185">
        <v>100</v>
      </c>
      <c r="AK1185">
        <v>0</v>
      </c>
      <c r="AL1185">
        <v>25000</v>
      </c>
      <c r="AM1185">
        <v>25000</v>
      </c>
      <c r="AN1185">
        <v>0</v>
      </c>
      <c r="AO1185">
        <v>307</v>
      </c>
      <c r="AP1185">
        <v>2016</v>
      </c>
      <c r="AQ1185">
        <v>1.65</v>
      </c>
      <c r="AS1185" t="s">
        <v>15401</v>
      </c>
      <c r="AT1185" t="s">
        <v>15040</v>
      </c>
      <c r="AU1185" t="s">
        <v>177</v>
      </c>
      <c r="AV1185" t="s">
        <v>371</v>
      </c>
      <c r="AW1185" t="s">
        <v>182</v>
      </c>
      <c r="AX1185">
        <v>0</v>
      </c>
      <c r="AY1185" t="s">
        <v>312</v>
      </c>
      <c r="AZ1185" t="s">
        <v>199</v>
      </c>
      <c r="BA1185" t="s">
        <v>313</v>
      </c>
      <c r="BB1185" t="s">
        <v>191</v>
      </c>
      <c r="BC1185" t="s">
        <v>182</v>
      </c>
      <c r="BD1185" t="s">
        <v>182</v>
      </c>
      <c r="BE1185" t="s">
        <v>3783</v>
      </c>
      <c r="BF1185">
        <v>0</v>
      </c>
      <c r="BG1185">
        <v>0</v>
      </c>
      <c r="BH1185">
        <v>0</v>
      </c>
      <c r="BI1185" t="s">
        <v>199</v>
      </c>
      <c r="BJ1185" t="s">
        <v>248</v>
      </c>
      <c r="BL1185" t="s">
        <v>199</v>
      </c>
      <c r="BM1185" t="s">
        <v>533</v>
      </c>
      <c r="BN1185" t="s">
        <v>182</v>
      </c>
      <c r="BO1185" t="s">
        <v>15402</v>
      </c>
      <c r="BP1185" t="s">
        <v>15403</v>
      </c>
      <c r="BS1185" t="s">
        <v>15404</v>
      </c>
      <c r="BT1185" t="s">
        <v>198</v>
      </c>
      <c r="BU1185" t="s">
        <v>182</v>
      </c>
      <c r="BV1185" t="s">
        <v>198</v>
      </c>
      <c r="BW1185" t="s">
        <v>198</v>
      </c>
      <c r="BX1185" t="s">
        <v>199</v>
      </c>
      <c r="BY1185" t="s">
        <v>198</v>
      </c>
      <c r="BZ1185" t="s">
        <v>199</v>
      </c>
      <c r="CA1185" t="s">
        <v>199</v>
      </c>
      <c r="CB1185" t="s">
        <v>15389</v>
      </c>
      <c r="CC1185" t="s">
        <v>201</v>
      </c>
      <c r="CD1185" t="s">
        <v>182</v>
      </c>
      <c r="CE1185" t="s">
        <v>15390</v>
      </c>
      <c r="CF1185" t="s">
        <v>5331</v>
      </c>
      <c r="CG1185" t="s">
        <v>177</v>
      </c>
      <c r="CH1185" t="s">
        <v>371</v>
      </c>
      <c r="CI1185" t="s">
        <v>15405</v>
      </c>
      <c r="CJ1185" t="s">
        <v>11075</v>
      </c>
      <c r="CK1185" t="s">
        <v>232</v>
      </c>
      <c r="CL1185" t="s">
        <v>233</v>
      </c>
      <c r="CM1185" t="s">
        <v>10395</v>
      </c>
      <c r="CN1185" t="s">
        <v>341</v>
      </c>
      <c r="CO1185" t="s">
        <v>183</v>
      </c>
      <c r="CP1185" t="s">
        <v>211</v>
      </c>
      <c r="CQ1185" t="s">
        <v>329</v>
      </c>
      <c r="CS1185" t="s">
        <v>3482</v>
      </c>
      <c r="CT1185" t="s">
        <v>465</v>
      </c>
      <c r="CU1185" t="s">
        <v>292</v>
      </c>
      <c r="CV1185" t="s">
        <v>293</v>
      </c>
      <c r="CW1185" t="s">
        <v>13539</v>
      </c>
      <c r="CX1185" t="s">
        <v>387</v>
      </c>
      <c r="CY1185" t="s">
        <v>183</v>
      </c>
      <c r="CZ1185" t="s">
        <v>211</v>
      </c>
      <c r="DA1185" t="s">
        <v>298</v>
      </c>
      <c r="DC1185" t="s">
        <v>3482</v>
      </c>
      <c r="DD1185" t="s">
        <v>12295</v>
      </c>
      <c r="DE1185" t="s">
        <v>267</v>
      </c>
      <c r="DF1185" t="s">
        <v>268</v>
      </c>
      <c r="DG1185" t="s">
        <v>14664</v>
      </c>
      <c r="DH1185" t="s">
        <v>331</v>
      </c>
      <c r="DI1185" t="s">
        <v>183</v>
      </c>
      <c r="DJ1185" t="s">
        <v>211</v>
      </c>
      <c r="DK1185" t="s">
        <v>298</v>
      </c>
      <c r="DM1185" t="s">
        <v>1611</v>
      </c>
      <c r="DN1185" t="s">
        <v>10312</v>
      </c>
      <c r="DO1185" t="s">
        <v>273</v>
      </c>
      <c r="DP1185" t="s">
        <v>274</v>
      </c>
      <c r="DQ1185" t="s">
        <v>4608</v>
      </c>
      <c r="DR1185" t="s">
        <v>278</v>
      </c>
      <c r="DS1185" t="s">
        <v>183</v>
      </c>
      <c r="DT1185" t="s">
        <v>211</v>
      </c>
      <c r="DU1185" t="s">
        <v>298</v>
      </c>
      <c r="DW1185" t="s">
        <v>462</v>
      </c>
      <c r="DX1185" t="s">
        <v>15406</v>
      </c>
      <c r="DY1185" t="s">
        <v>302</v>
      </c>
      <c r="DZ1185" t="s">
        <v>303</v>
      </c>
      <c r="EA1185" t="s">
        <v>4609</v>
      </c>
      <c r="EB1185" t="s">
        <v>331</v>
      </c>
      <c r="EC1185" t="s">
        <v>183</v>
      </c>
      <c r="ED1185" t="s">
        <v>211</v>
      </c>
      <c r="EE1185" t="s">
        <v>298</v>
      </c>
      <c r="EG1185" t="s">
        <v>2359</v>
      </c>
      <c r="EH1185" t="s">
        <v>368</v>
      </c>
      <c r="EI1185" t="s">
        <v>346</v>
      </c>
      <c r="EJ1185" t="s">
        <v>347</v>
      </c>
      <c r="EK1185" t="s">
        <v>12413</v>
      </c>
      <c r="EL1185" t="s">
        <v>247</v>
      </c>
      <c r="EM1185" t="s">
        <v>183</v>
      </c>
      <c r="EN1185" t="s">
        <v>211</v>
      </c>
      <c r="EO1185" t="s">
        <v>298</v>
      </c>
      <c r="EQ1185" t="s">
        <v>1622</v>
      </c>
      <c r="ER1185" t="s">
        <v>11870</v>
      </c>
      <c r="ES1185" t="s">
        <v>207</v>
      </c>
      <c r="ET1185" t="s">
        <v>208</v>
      </c>
      <c r="EU1185" t="s">
        <v>11468</v>
      </c>
      <c r="EV1185" t="s">
        <v>1966</v>
      </c>
      <c r="EW1185" t="s">
        <v>183</v>
      </c>
      <c r="EX1185" t="s">
        <v>211</v>
      </c>
      <c r="EY1185" t="s">
        <v>345</v>
      </c>
      <c r="FA1185" t="s">
        <v>2516</v>
      </c>
      <c r="FK1185" t="s">
        <v>198</v>
      </c>
      <c r="FU1185" t="s">
        <v>198</v>
      </c>
    </row>
    <row r="1186" spans="1:177">
      <c r="A1186" s="1" t="str">
        <f>HYPERLINK("http://digipan.lumentumllc.com/apps/getLink/index.php?t=PropLink&amp;p=6461955","PL")</f>
        <v>PL</v>
      </c>
      <c r="B1186" s="1" t="str">
        <f>HYPERLINK("http://digipan.lumentumllc.com/apps/getLink/index.php?t=TaxLink&amp;p=6461955","TL")</f>
        <v>TL</v>
      </c>
      <c r="C1186" s="1" t="str">
        <f>HYPERLINK("http://digipan.lumentumllc.com/apps/getMap/index.php?p=6461955","Map")</f>
        <v>Map</v>
      </c>
      <c r="E1186" t="s">
        <v>177</v>
      </c>
      <c r="F1186" t="s">
        <v>178</v>
      </c>
      <c r="L1186" t="s">
        <v>15407</v>
      </c>
      <c r="N1186" t="s">
        <v>15407</v>
      </c>
      <c r="O1186" t="s">
        <v>15407</v>
      </c>
      <c r="P1186" t="s">
        <v>15408</v>
      </c>
      <c r="Q1186" t="s">
        <v>15407</v>
      </c>
      <c r="V1186">
        <v>1356</v>
      </c>
      <c r="W1186">
        <v>5</v>
      </c>
      <c r="X1186">
        <v>2017</v>
      </c>
      <c r="Y1186">
        <v>2018</v>
      </c>
      <c r="Z1186">
        <v>383.77</v>
      </c>
      <c r="AB1186" t="s">
        <v>181</v>
      </c>
      <c r="AC1186" t="s">
        <v>182</v>
      </c>
      <c r="AD1186" t="s">
        <v>183</v>
      </c>
      <c r="AE1186">
        <v>0</v>
      </c>
      <c r="AF1186">
        <v>2</v>
      </c>
      <c r="AG1186" t="s">
        <v>216</v>
      </c>
      <c r="AH1186">
        <v>100</v>
      </c>
      <c r="AK1186">
        <v>0</v>
      </c>
      <c r="AL1186">
        <v>63312</v>
      </c>
      <c r="AM1186">
        <v>25000</v>
      </c>
      <c r="AN1186">
        <v>38312</v>
      </c>
      <c r="AO1186">
        <v>315</v>
      </c>
      <c r="AP1186">
        <v>2016</v>
      </c>
      <c r="AQ1186">
        <v>0.61</v>
      </c>
      <c r="AS1186" t="s">
        <v>15409</v>
      </c>
      <c r="AT1186" t="s">
        <v>15040</v>
      </c>
      <c r="AU1186" t="s">
        <v>177</v>
      </c>
      <c r="AV1186" t="s">
        <v>371</v>
      </c>
      <c r="AW1186" t="s">
        <v>202</v>
      </c>
      <c r="AX1186">
        <v>2</v>
      </c>
      <c r="AY1186" t="s">
        <v>188</v>
      </c>
      <c r="AZ1186" t="s">
        <v>189</v>
      </c>
      <c r="BA1186" t="s">
        <v>190</v>
      </c>
      <c r="BB1186" t="s">
        <v>191</v>
      </c>
      <c r="BC1186" t="s">
        <v>182</v>
      </c>
      <c r="BD1186" t="s">
        <v>182</v>
      </c>
      <c r="BE1186" t="s">
        <v>899</v>
      </c>
      <c r="BF1186">
        <v>1</v>
      </c>
      <c r="BG1186">
        <v>1</v>
      </c>
      <c r="BH1186">
        <v>1994</v>
      </c>
      <c r="BI1186" t="s">
        <v>450</v>
      </c>
      <c r="BJ1186" t="s">
        <v>194</v>
      </c>
      <c r="BK1186" t="s">
        <v>195</v>
      </c>
      <c r="BL1186" t="s">
        <v>500</v>
      </c>
      <c r="BM1186" t="s">
        <v>1474</v>
      </c>
      <c r="BN1186" t="s">
        <v>182</v>
      </c>
      <c r="BO1186" t="s">
        <v>198</v>
      </c>
      <c r="BP1186" t="s">
        <v>198</v>
      </c>
      <c r="BQ1186" t="s">
        <v>198</v>
      </c>
      <c r="BR1186" t="s">
        <v>198</v>
      </c>
      <c r="BS1186" t="s">
        <v>198</v>
      </c>
      <c r="BT1186" t="s">
        <v>198</v>
      </c>
      <c r="BU1186" t="s">
        <v>182</v>
      </c>
      <c r="BV1186" t="s">
        <v>198</v>
      </c>
      <c r="BW1186" t="s">
        <v>198</v>
      </c>
      <c r="BX1186" t="s">
        <v>199</v>
      </c>
      <c r="BY1186" t="s">
        <v>198</v>
      </c>
      <c r="BZ1186" t="s">
        <v>199</v>
      </c>
      <c r="CA1186" t="s">
        <v>199</v>
      </c>
      <c r="CB1186" t="s">
        <v>15410</v>
      </c>
      <c r="CC1186" t="s">
        <v>201</v>
      </c>
      <c r="CD1186" t="s">
        <v>182</v>
      </c>
      <c r="CE1186" t="s">
        <v>15411</v>
      </c>
      <c r="CF1186" t="s">
        <v>5331</v>
      </c>
      <c r="CG1186" t="s">
        <v>177</v>
      </c>
      <c r="CH1186" t="s">
        <v>371</v>
      </c>
      <c r="CI1186" t="s">
        <v>15412</v>
      </c>
      <c r="CJ1186" t="s">
        <v>490</v>
      </c>
      <c r="CK1186" t="s">
        <v>292</v>
      </c>
      <c r="CL1186" t="s">
        <v>293</v>
      </c>
      <c r="CM1186" t="s">
        <v>15413</v>
      </c>
      <c r="CN1186" t="s">
        <v>235</v>
      </c>
      <c r="CO1186" t="s">
        <v>183</v>
      </c>
      <c r="CP1186" t="s">
        <v>211</v>
      </c>
      <c r="CQ1186" t="s">
        <v>290</v>
      </c>
      <c r="CS1186" t="s">
        <v>15414</v>
      </c>
      <c r="CT1186" t="s">
        <v>12735</v>
      </c>
      <c r="CU1186" t="s">
        <v>273</v>
      </c>
      <c r="CV1186" t="s">
        <v>274</v>
      </c>
      <c r="CW1186" t="s">
        <v>15415</v>
      </c>
      <c r="CX1186" t="s">
        <v>235</v>
      </c>
      <c r="CY1186" t="s">
        <v>183</v>
      </c>
      <c r="CZ1186" t="s">
        <v>211</v>
      </c>
      <c r="DA1186" t="s">
        <v>212</v>
      </c>
      <c r="DC1186" t="s">
        <v>2266</v>
      </c>
      <c r="DM1186" t="s">
        <v>198</v>
      </c>
      <c r="DW1186" t="s">
        <v>198</v>
      </c>
      <c r="EG1186" t="s">
        <v>198</v>
      </c>
      <c r="EQ1186" t="s">
        <v>198</v>
      </c>
      <c r="FA1186" t="s">
        <v>198</v>
      </c>
      <c r="FK1186" t="s">
        <v>198</v>
      </c>
      <c r="FU1186" t="s">
        <v>198</v>
      </c>
    </row>
    <row r="1187" spans="1:177">
      <c r="A1187" s="1" t="str">
        <f>HYPERLINK("http://digipan.lumentumllc.com/apps/getLink/index.php?t=PropLink&amp;p=6594237","PL")</f>
        <v>PL</v>
      </c>
      <c r="B1187" s="1" t="str">
        <f>HYPERLINK("http://digipan.lumentumllc.com/apps/getLink/index.php?t=TaxLink&amp;p=6594237","TL")</f>
        <v>TL</v>
      </c>
      <c r="C1187" s="1" t="str">
        <f>HYPERLINK("http://digipan.lumentumllc.com/apps/getMap/index.php?p=6594237","Map")</f>
        <v>Map</v>
      </c>
      <c r="E1187" t="s">
        <v>177</v>
      </c>
      <c r="F1187" t="s">
        <v>178</v>
      </c>
      <c r="L1187" t="s">
        <v>15416</v>
      </c>
      <c r="N1187" t="s">
        <v>15416</v>
      </c>
      <c r="O1187" t="s">
        <v>15416</v>
      </c>
      <c r="P1187" t="s">
        <v>15417</v>
      </c>
      <c r="Q1187" t="s">
        <v>15416</v>
      </c>
      <c r="V1187">
        <v>1357</v>
      </c>
      <c r="W1187">
        <v>5</v>
      </c>
      <c r="X1187">
        <v>2017</v>
      </c>
      <c r="Y1187">
        <v>2018</v>
      </c>
      <c r="Z1187">
        <v>1185.3399999999999</v>
      </c>
      <c r="AB1187" t="s">
        <v>181</v>
      </c>
      <c r="AC1187" t="s">
        <v>182</v>
      </c>
      <c r="AD1187" t="s">
        <v>183</v>
      </c>
      <c r="AE1187">
        <v>0</v>
      </c>
      <c r="AF1187">
        <v>3</v>
      </c>
      <c r="AG1187" t="s">
        <v>381</v>
      </c>
      <c r="AH1187">
        <v>100</v>
      </c>
      <c r="AK1187">
        <v>0</v>
      </c>
      <c r="AL1187">
        <v>70443</v>
      </c>
      <c r="AM1187">
        <v>23750</v>
      </c>
      <c r="AN1187">
        <v>46693</v>
      </c>
      <c r="AO1187">
        <v>431</v>
      </c>
      <c r="AP1187">
        <v>2016</v>
      </c>
      <c r="AQ1187">
        <v>1.68</v>
      </c>
      <c r="AS1187" t="s">
        <v>15418</v>
      </c>
      <c r="AT1187" t="s">
        <v>15040</v>
      </c>
      <c r="AU1187" t="s">
        <v>177</v>
      </c>
      <c r="AV1187" t="s">
        <v>371</v>
      </c>
      <c r="AW1187" t="s">
        <v>182</v>
      </c>
      <c r="AX1187">
        <v>2</v>
      </c>
      <c r="AY1187" t="s">
        <v>188</v>
      </c>
      <c r="AZ1187" t="s">
        <v>189</v>
      </c>
      <c r="BA1187" t="s">
        <v>190</v>
      </c>
      <c r="BB1187" t="s">
        <v>191</v>
      </c>
      <c r="BC1187" t="s">
        <v>182</v>
      </c>
      <c r="BD1187" t="s">
        <v>182</v>
      </c>
      <c r="BE1187" t="s">
        <v>1385</v>
      </c>
      <c r="BF1187">
        <v>1</v>
      </c>
      <c r="BG1187">
        <v>1</v>
      </c>
      <c r="BH1187">
        <v>1998</v>
      </c>
      <c r="BI1187" t="s">
        <v>9926</v>
      </c>
      <c r="BJ1187" t="s">
        <v>194</v>
      </c>
      <c r="BK1187" t="s">
        <v>195</v>
      </c>
      <c r="BL1187" t="s">
        <v>15419</v>
      </c>
      <c r="BM1187" t="s">
        <v>1825</v>
      </c>
      <c r="BN1187" t="s">
        <v>182</v>
      </c>
      <c r="BO1187" t="s">
        <v>198</v>
      </c>
      <c r="BP1187" t="s">
        <v>198</v>
      </c>
      <c r="BQ1187" t="s">
        <v>198</v>
      </c>
      <c r="BR1187" t="s">
        <v>198</v>
      </c>
      <c r="BS1187" t="s">
        <v>198</v>
      </c>
      <c r="BT1187" t="s">
        <v>198</v>
      </c>
      <c r="BU1187" t="s">
        <v>182</v>
      </c>
      <c r="BV1187" t="s">
        <v>198</v>
      </c>
      <c r="BW1187" t="s">
        <v>198</v>
      </c>
      <c r="BX1187" t="s">
        <v>199</v>
      </c>
      <c r="BY1187" t="s">
        <v>198</v>
      </c>
      <c r="BZ1187" t="s">
        <v>199</v>
      </c>
      <c r="CA1187" t="s">
        <v>199</v>
      </c>
      <c r="CB1187" t="s">
        <v>15420</v>
      </c>
      <c r="CC1187" t="s">
        <v>201</v>
      </c>
      <c r="CD1187" t="s">
        <v>182</v>
      </c>
      <c r="CE1187" t="s">
        <v>15421</v>
      </c>
      <c r="CF1187" t="s">
        <v>5331</v>
      </c>
      <c r="CG1187" t="s">
        <v>177</v>
      </c>
      <c r="CH1187" t="s">
        <v>5332</v>
      </c>
      <c r="CI1187" t="s">
        <v>15422</v>
      </c>
      <c r="CJ1187" t="s">
        <v>2522</v>
      </c>
      <c r="CK1187" t="s">
        <v>292</v>
      </c>
      <c r="CL1187" t="s">
        <v>293</v>
      </c>
      <c r="CM1187" t="s">
        <v>15423</v>
      </c>
      <c r="CN1187" t="s">
        <v>235</v>
      </c>
      <c r="CO1187" t="s">
        <v>183</v>
      </c>
      <c r="CP1187" t="s">
        <v>211</v>
      </c>
      <c r="CQ1187" t="s">
        <v>270</v>
      </c>
      <c r="CS1187" t="s">
        <v>9523</v>
      </c>
      <c r="CT1187" t="s">
        <v>14873</v>
      </c>
      <c r="CU1187" t="s">
        <v>267</v>
      </c>
      <c r="CV1187" t="s">
        <v>268</v>
      </c>
      <c r="CW1187" t="s">
        <v>15424</v>
      </c>
      <c r="CX1187" t="s">
        <v>235</v>
      </c>
      <c r="CY1187" t="s">
        <v>183</v>
      </c>
      <c r="CZ1187" t="s">
        <v>211</v>
      </c>
      <c r="DA1187" t="s">
        <v>337</v>
      </c>
      <c r="DC1187" t="s">
        <v>9523</v>
      </c>
      <c r="DD1187" t="s">
        <v>12782</v>
      </c>
      <c r="DE1187" t="s">
        <v>273</v>
      </c>
      <c r="DF1187" t="s">
        <v>274</v>
      </c>
      <c r="DG1187" t="s">
        <v>15425</v>
      </c>
      <c r="DH1187" t="s">
        <v>235</v>
      </c>
      <c r="DI1187" t="s">
        <v>183</v>
      </c>
      <c r="DJ1187" t="s">
        <v>211</v>
      </c>
      <c r="DK1187" t="s">
        <v>199</v>
      </c>
      <c r="DM1187" t="s">
        <v>15426</v>
      </c>
      <c r="DW1187" t="s">
        <v>198</v>
      </c>
      <c r="EG1187" t="s">
        <v>198</v>
      </c>
      <c r="EQ1187" t="s">
        <v>198</v>
      </c>
      <c r="FA1187" t="s">
        <v>198</v>
      </c>
      <c r="FK1187" t="s">
        <v>198</v>
      </c>
      <c r="FU1187" t="s">
        <v>198</v>
      </c>
    </row>
    <row r="1188" spans="1:177">
      <c r="A1188" s="1" t="str">
        <f>HYPERLINK("http://digipan.lumentumllc.com/apps/getLink/index.php?t=PropLink&amp;p=6129119","PL")</f>
        <v>PL</v>
      </c>
      <c r="B1188" s="1" t="str">
        <f>HYPERLINK("http://digipan.lumentumllc.com/apps/getLink/index.php?t=TaxLink&amp;p=6129119","TL")</f>
        <v>TL</v>
      </c>
      <c r="C1188" s="1" t="str">
        <f>HYPERLINK("http://digipan.lumentumllc.com/apps/getMap/index.php?p=6129119","Map")</f>
        <v>Map</v>
      </c>
      <c r="E1188" t="s">
        <v>177</v>
      </c>
      <c r="F1188" t="s">
        <v>178</v>
      </c>
      <c r="L1188" t="s">
        <v>15427</v>
      </c>
      <c r="N1188" t="s">
        <v>15427</v>
      </c>
      <c r="O1188" t="s">
        <v>15427</v>
      </c>
      <c r="P1188" t="s">
        <v>15428</v>
      </c>
      <c r="Q1188" t="s">
        <v>15427</v>
      </c>
      <c r="V1188">
        <v>1358</v>
      </c>
      <c r="W1188">
        <v>5</v>
      </c>
      <c r="X1188">
        <v>2017</v>
      </c>
      <c r="Y1188">
        <v>2018</v>
      </c>
      <c r="Z1188">
        <v>594.46</v>
      </c>
      <c r="AB1188" t="s">
        <v>181</v>
      </c>
      <c r="AC1188" t="s">
        <v>182</v>
      </c>
      <c r="AD1188" t="s">
        <v>183</v>
      </c>
      <c r="AE1188">
        <v>2</v>
      </c>
      <c r="AF1188">
        <v>2</v>
      </c>
      <c r="AG1188" t="s">
        <v>762</v>
      </c>
      <c r="AH1188">
        <v>50</v>
      </c>
      <c r="AI1188">
        <v>1052.17</v>
      </c>
      <c r="AJ1188">
        <v>191.09</v>
      </c>
      <c r="AK1188">
        <v>1243.26</v>
      </c>
      <c r="AL1188">
        <v>36654</v>
      </c>
      <c r="AM1188">
        <v>25000</v>
      </c>
      <c r="AN1188">
        <v>11654</v>
      </c>
      <c r="AO1188">
        <v>455</v>
      </c>
      <c r="AP1188">
        <v>2016</v>
      </c>
      <c r="AQ1188">
        <v>1.62</v>
      </c>
      <c r="AR1188">
        <v>3.39</v>
      </c>
      <c r="AS1188" t="s">
        <v>15429</v>
      </c>
      <c r="AT1188" t="s">
        <v>15040</v>
      </c>
      <c r="AU1188" t="s">
        <v>177</v>
      </c>
      <c r="AV1188" t="s">
        <v>371</v>
      </c>
      <c r="AW1188" t="s">
        <v>182</v>
      </c>
      <c r="AX1188">
        <v>0</v>
      </c>
      <c r="AY1188" t="s">
        <v>312</v>
      </c>
      <c r="AZ1188" t="s">
        <v>199</v>
      </c>
      <c r="BA1188" t="s">
        <v>313</v>
      </c>
      <c r="BB1188" t="s">
        <v>191</v>
      </c>
      <c r="BC1188" t="s">
        <v>182</v>
      </c>
      <c r="BD1188" t="s">
        <v>182</v>
      </c>
      <c r="BE1188" t="s">
        <v>11441</v>
      </c>
      <c r="BF1188">
        <v>0</v>
      </c>
      <c r="BG1188">
        <v>0</v>
      </c>
      <c r="BH1188">
        <v>0</v>
      </c>
      <c r="BI1188" t="s">
        <v>199</v>
      </c>
      <c r="BJ1188" t="s">
        <v>248</v>
      </c>
      <c r="BL1188" t="s">
        <v>7226</v>
      </c>
      <c r="BM1188" t="s">
        <v>1825</v>
      </c>
      <c r="BN1188" t="s">
        <v>182</v>
      </c>
      <c r="BO1188" t="s">
        <v>198</v>
      </c>
      <c r="BP1188" t="s">
        <v>198</v>
      </c>
      <c r="BQ1188" t="s">
        <v>198</v>
      </c>
      <c r="BR1188" t="s">
        <v>198</v>
      </c>
      <c r="BS1188" t="s">
        <v>198</v>
      </c>
      <c r="BT1188" t="s">
        <v>198</v>
      </c>
      <c r="BU1188" t="s">
        <v>182</v>
      </c>
      <c r="BV1188" t="s">
        <v>198</v>
      </c>
      <c r="BW1188" t="s">
        <v>198</v>
      </c>
      <c r="BX1188" t="s">
        <v>199</v>
      </c>
      <c r="BY1188" t="s">
        <v>198</v>
      </c>
      <c r="BZ1188" t="s">
        <v>199</v>
      </c>
      <c r="CA1188" t="s">
        <v>199</v>
      </c>
      <c r="CB1188" t="s">
        <v>15430</v>
      </c>
      <c r="CC1188" t="s">
        <v>201</v>
      </c>
      <c r="CD1188" t="s">
        <v>182</v>
      </c>
      <c r="CE1188" t="s">
        <v>15431</v>
      </c>
      <c r="CF1188" t="s">
        <v>5331</v>
      </c>
      <c r="CG1188" t="s">
        <v>177</v>
      </c>
      <c r="CH1188" t="s">
        <v>371</v>
      </c>
      <c r="CI1188" t="s">
        <v>15432</v>
      </c>
      <c r="CJ1188" t="s">
        <v>7044</v>
      </c>
      <c r="CK1188" t="s">
        <v>232</v>
      </c>
      <c r="CL1188" t="s">
        <v>233</v>
      </c>
      <c r="CM1188" t="s">
        <v>15433</v>
      </c>
      <c r="CN1188" t="s">
        <v>688</v>
      </c>
      <c r="CO1188" t="s">
        <v>183</v>
      </c>
      <c r="CP1188" t="s">
        <v>266</v>
      </c>
      <c r="CS1188" t="s">
        <v>198</v>
      </c>
      <c r="CT1188" t="s">
        <v>15434</v>
      </c>
      <c r="CU1188" t="s">
        <v>292</v>
      </c>
      <c r="CV1188" t="s">
        <v>293</v>
      </c>
      <c r="CW1188" t="s">
        <v>15435</v>
      </c>
      <c r="CX1188" t="s">
        <v>333</v>
      </c>
      <c r="CY1188" t="s">
        <v>183</v>
      </c>
      <c r="CZ1188" t="s">
        <v>266</v>
      </c>
      <c r="DC1188" t="s">
        <v>198</v>
      </c>
      <c r="DD1188" t="s">
        <v>1921</v>
      </c>
      <c r="DE1188" t="s">
        <v>273</v>
      </c>
      <c r="DF1188" t="s">
        <v>274</v>
      </c>
      <c r="DG1188" t="s">
        <v>15436</v>
      </c>
      <c r="DH1188" t="s">
        <v>278</v>
      </c>
      <c r="DI1188" t="s">
        <v>183</v>
      </c>
      <c r="DJ1188" t="s">
        <v>211</v>
      </c>
      <c r="DK1188" t="s">
        <v>270</v>
      </c>
      <c r="DM1188" t="s">
        <v>4916</v>
      </c>
      <c r="DN1188" t="s">
        <v>15437</v>
      </c>
      <c r="DO1188" t="s">
        <v>302</v>
      </c>
      <c r="DP1188" t="s">
        <v>303</v>
      </c>
      <c r="DQ1188" t="s">
        <v>15438</v>
      </c>
      <c r="DR1188" t="s">
        <v>235</v>
      </c>
      <c r="DS1188" t="s">
        <v>183</v>
      </c>
      <c r="DT1188" t="s">
        <v>211</v>
      </c>
      <c r="DU1188" t="s">
        <v>337</v>
      </c>
      <c r="DW1188" t="s">
        <v>4916</v>
      </c>
      <c r="EG1188" t="s">
        <v>198</v>
      </c>
      <c r="EQ1188" t="s">
        <v>198</v>
      </c>
      <c r="FA1188" t="s">
        <v>198</v>
      </c>
      <c r="FK1188" t="s">
        <v>198</v>
      </c>
      <c r="FU1188" t="s">
        <v>198</v>
      </c>
    </row>
    <row r="1189" spans="1:177">
      <c r="A1189" s="1" t="str">
        <f>HYPERLINK("http://digipan.lumentumllc.com/apps/getLink/index.php?t=PropLink&amp;p=5246641","PL")</f>
        <v>PL</v>
      </c>
      <c r="B1189" s="1" t="str">
        <f>HYPERLINK("http://digipan.lumentumllc.com/apps/getLink/index.php?t=TaxLink&amp;p=5246641","TL")</f>
        <v>TL</v>
      </c>
      <c r="C1189" s="1" t="str">
        <f>HYPERLINK("http://digipan.lumentumllc.com/apps/getMap/index.php?p=5246641","Map")</f>
        <v>Map</v>
      </c>
      <c r="E1189" t="s">
        <v>177</v>
      </c>
      <c r="F1189" t="s">
        <v>178</v>
      </c>
      <c r="L1189" t="s">
        <v>15439</v>
      </c>
      <c r="N1189" t="s">
        <v>15439</v>
      </c>
      <c r="O1189" t="s">
        <v>15439</v>
      </c>
      <c r="P1189" t="s">
        <v>15440</v>
      </c>
      <c r="Q1189" t="s">
        <v>15439</v>
      </c>
      <c r="V1189">
        <v>1359</v>
      </c>
      <c r="W1189">
        <v>5</v>
      </c>
      <c r="X1189">
        <v>2017</v>
      </c>
      <c r="Y1189">
        <v>2018</v>
      </c>
      <c r="Z1189">
        <v>415.34</v>
      </c>
      <c r="AB1189" t="s">
        <v>181</v>
      </c>
      <c r="AC1189" t="s">
        <v>202</v>
      </c>
      <c r="AD1189" t="s">
        <v>183</v>
      </c>
      <c r="AE1189">
        <v>1</v>
      </c>
      <c r="AF1189">
        <v>7</v>
      </c>
      <c r="AG1189" t="s">
        <v>418</v>
      </c>
      <c r="AH1189">
        <v>86</v>
      </c>
      <c r="AI1189">
        <v>360.72</v>
      </c>
      <c r="AJ1189">
        <v>27.05</v>
      </c>
      <c r="AK1189">
        <v>387.77</v>
      </c>
      <c r="AL1189">
        <v>25101</v>
      </c>
      <c r="AM1189">
        <v>25000</v>
      </c>
      <c r="AN1189">
        <v>101</v>
      </c>
      <c r="AO1189">
        <v>309</v>
      </c>
      <c r="AP1189">
        <v>2016</v>
      </c>
      <c r="AQ1189">
        <v>1.65</v>
      </c>
      <c r="AR1189">
        <v>1.54</v>
      </c>
      <c r="AS1189" t="s">
        <v>15441</v>
      </c>
      <c r="AT1189" t="s">
        <v>15040</v>
      </c>
      <c r="AU1189" t="s">
        <v>177</v>
      </c>
      <c r="AV1189" t="s">
        <v>371</v>
      </c>
      <c r="AW1189" t="s">
        <v>182</v>
      </c>
      <c r="AX1189">
        <v>0</v>
      </c>
      <c r="AY1189" t="s">
        <v>312</v>
      </c>
      <c r="AZ1189" t="s">
        <v>199</v>
      </c>
      <c r="BA1189" t="s">
        <v>313</v>
      </c>
      <c r="BB1189" t="s">
        <v>191</v>
      </c>
      <c r="BC1189" t="s">
        <v>182</v>
      </c>
      <c r="BD1189" t="s">
        <v>182</v>
      </c>
      <c r="BE1189" t="s">
        <v>1385</v>
      </c>
      <c r="BF1189">
        <v>0</v>
      </c>
      <c r="BG1189">
        <v>0</v>
      </c>
      <c r="BH1189">
        <v>0</v>
      </c>
      <c r="BI1189" t="s">
        <v>199</v>
      </c>
      <c r="BJ1189" t="s">
        <v>248</v>
      </c>
      <c r="BL1189" t="s">
        <v>15442</v>
      </c>
      <c r="BM1189" t="s">
        <v>1387</v>
      </c>
      <c r="BN1189" t="s">
        <v>182</v>
      </c>
      <c r="BO1189" t="s">
        <v>198</v>
      </c>
      <c r="BP1189" t="s">
        <v>198</v>
      </c>
      <c r="BQ1189" t="s">
        <v>198</v>
      </c>
      <c r="BR1189" t="s">
        <v>198</v>
      </c>
      <c r="BS1189" t="s">
        <v>198</v>
      </c>
      <c r="BT1189" t="s">
        <v>198</v>
      </c>
      <c r="BU1189" t="s">
        <v>182</v>
      </c>
      <c r="BV1189" t="s">
        <v>198</v>
      </c>
      <c r="BW1189" t="s">
        <v>198</v>
      </c>
      <c r="BX1189" t="s">
        <v>199</v>
      </c>
      <c r="BY1189" t="s">
        <v>198</v>
      </c>
      <c r="BZ1189" t="s">
        <v>199</v>
      </c>
      <c r="CA1189" t="s">
        <v>199</v>
      </c>
      <c r="CB1189" t="s">
        <v>15443</v>
      </c>
      <c r="CC1189" t="s">
        <v>201</v>
      </c>
      <c r="CD1189" t="s">
        <v>182</v>
      </c>
      <c r="CE1189" t="s">
        <v>14884</v>
      </c>
      <c r="CF1189" t="s">
        <v>2333</v>
      </c>
      <c r="CG1189" t="s">
        <v>177</v>
      </c>
      <c r="CH1189" t="s">
        <v>2334</v>
      </c>
      <c r="CI1189" t="s">
        <v>10394</v>
      </c>
      <c r="CJ1189" t="s">
        <v>7057</v>
      </c>
      <c r="CK1189" t="s">
        <v>232</v>
      </c>
      <c r="CL1189" t="s">
        <v>233</v>
      </c>
      <c r="CM1189" t="s">
        <v>15444</v>
      </c>
      <c r="CN1189" t="s">
        <v>2515</v>
      </c>
      <c r="CO1189" t="s">
        <v>183</v>
      </c>
      <c r="CP1189" t="s">
        <v>266</v>
      </c>
      <c r="CS1189" t="s">
        <v>198</v>
      </c>
      <c r="CT1189" t="s">
        <v>5095</v>
      </c>
      <c r="CU1189" t="s">
        <v>292</v>
      </c>
      <c r="CV1189" t="s">
        <v>293</v>
      </c>
      <c r="CW1189" t="s">
        <v>15445</v>
      </c>
      <c r="CX1189" t="s">
        <v>387</v>
      </c>
      <c r="CY1189" t="s">
        <v>183</v>
      </c>
      <c r="CZ1189" t="s">
        <v>211</v>
      </c>
      <c r="DA1189" t="s">
        <v>298</v>
      </c>
      <c r="DC1189" t="s">
        <v>1641</v>
      </c>
      <c r="DD1189" t="s">
        <v>14654</v>
      </c>
      <c r="DE1189" t="s">
        <v>267</v>
      </c>
      <c r="DF1189" t="s">
        <v>268</v>
      </c>
      <c r="DG1189" t="s">
        <v>15446</v>
      </c>
      <c r="DH1189" t="s">
        <v>331</v>
      </c>
      <c r="DI1189" t="s">
        <v>183</v>
      </c>
      <c r="DJ1189" t="s">
        <v>211</v>
      </c>
      <c r="DK1189" t="s">
        <v>345</v>
      </c>
      <c r="DM1189" t="s">
        <v>9277</v>
      </c>
      <c r="DN1189" t="s">
        <v>1978</v>
      </c>
      <c r="DO1189" t="s">
        <v>273</v>
      </c>
      <c r="DP1189" t="s">
        <v>274</v>
      </c>
      <c r="DQ1189" t="s">
        <v>15447</v>
      </c>
      <c r="DR1189" t="s">
        <v>278</v>
      </c>
      <c r="DS1189" t="s">
        <v>183</v>
      </c>
      <c r="DT1189" t="s">
        <v>211</v>
      </c>
      <c r="DU1189" t="s">
        <v>296</v>
      </c>
      <c r="DW1189" t="s">
        <v>15448</v>
      </c>
      <c r="DX1189" t="s">
        <v>15449</v>
      </c>
      <c r="DY1189" t="s">
        <v>302</v>
      </c>
      <c r="DZ1189" t="s">
        <v>303</v>
      </c>
      <c r="EA1189" t="s">
        <v>15450</v>
      </c>
      <c r="EB1189" t="s">
        <v>331</v>
      </c>
      <c r="EC1189" t="s">
        <v>183</v>
      </c>
      <c r="ED1189" t="s">
        <v>211</v>
      </c>
      <c r="EE1189" t="s">
        <v>444</v>
      </c>
      <c r="EG1189" t="s">
        <v>15448</v>
      </c>
      <c r="EH1189" t="s">
        <v>13112</v>
      </c>
      <c r="EI1189" t="s">
        <v>238</v>
      </c>
      <c r="EJ1189" t="s">
        <v>239</v>
      </c>
      <c r="EK1189" t="s">
        <v>15451</v>
      </c>
      <c r="EL1189" t="s">
        <v>440</v>
      </c>
      <c r="EM1189" t="s">
        <v>183</v>
      </c>
      <c r="EN1189" t="s">
        <v>211</v>
      </c>
      <c r="EO1189" t="s">
        <v>339</v>
      </c>
      <c r="EQ1189" t="s">
        <v>1566</v>
      </c>
      <c r="ER1189" t="s">
        <v>286</v>
      </c>
      <c r="ES1189" t="s">
        <v>346</v>
      </c>
      <c r="ET1189" t="s">
        <v>347</v>
      </c>
      <c r="EU1189" t="s">
        <v>15452</v>
      </c>
      <c r="EV1189" t="s">
        <v>1491</v>
      </c>
      <c r="EW1189" t="s">
        <v>183</v>
      </c>
      <c r="EX1189" t="s">
        <v>211</v>
      </c>
      <c r="EY1189" t="s">
        <v>493</v>
      </c>
      <c r="FA1189" t="s">
        <v>1566</v>
      </c>
      <c r="FB1189" t="s">
        <v>15453</v>
      </c>
      <c r="FC1189" t="s">
        <v>207</v>
      </c>
      <c r="FD1189" t="s">
        <v>208</v>
      </c>
      <c r="FE1189" t="s">
        <v>15454</v>
      </c>
      <c r="FF1189" t="s">
        <v>1966</v>
      </c>
      <c r="FG1189" t="s">
        <v>183</v>
      </c>
      <c r="FH1189" t="s">
        <v>211</v>
      </c>
      <c r="FI1189" t="s">
        <v>189</v>
      </c>
      <c r="FJ1189" t="s">
        <v>271</v>
      </c>
      <c r="FK1189" t="s">
        <v>9091</v>
      </c>
      <c r="FU1189" t="s">
        <v>198</v>
      </c>
    </row>
    <row r="1190" spans="1:177">
      <c r="A1190" s="1" t="str">
        <f>HYPERLINK("http://digipan.lumentumllc.com/apps/getLink/index.php?t=PropLink&amp;p=5246642","PL")</f>
        <v>PL</v>
      </c>
      <c r="B1190" s="1" t="str">
        <f>HYPERLINK("http://digipan.lumentumllc.com/apps/getLink/index.php?t=TaxLink&amp;p=5246642","TL")</f>
        <v>TL</v>
      </c>
      <c r="C1190" s="1" t="str">
        <f>HYPERLINK("http://digipan.lumentumllc.com/apps/getMap/index.php?p=5246642","Map")</f>
        <v>Map</v>
      </c>
      <c r="E1190" t="s">
        <v>177</v>
      </c>
      <c r="F1190" t="s">
        <v>178</v>
      </c>
      <c r="L1190" t="s">
        <v>15455</v>
      </c>
      <c r="N1190" t="s">
        <v>15455</v>
      </c>
      <c r="O1190" t="s">
        <v>15455</v>
      </c>
      <c r="P1190" t="s">
        <v>15456</v>
      </c>
      <c r="Q1190" t="s">
        <v>15455</v>
      </c>
      <c r="V1190">
        <v>1360</v>
      </c>
      <c r="W1190">
        <v>5</v>
      </c>
      <c r="X1190">
        <v>2017</v>
      </c>
      <c r="Y1190">
        <v>2018</v>
      </c>
      <c r="Z1190">
        <v>839.07</v>
      </c>
      <c r="AB1190" t="s">
        <v>181</v>
      </c>
      <c r="AC1190" t="s">
        <v>182</v>
      </c>
      <c r="AD1190" t="s">
        <v>183</v>
      </c>
      <c r="AE1190">
        <v>1</v>
      </c>
      <c r="AF1190">
        <v>6</v>
      </c>
      <c r="AG1190" t="s">
        <v>322</v>
      </c>
      <c r="AH1190">
        <v>83</v>
      </c>
      <c r="AI1190">
        <v>818.81</v>
      </c>
      <c r="AJ1190">
        <v>40.94</v>
      </c>
      <c r="AK1190">
        <v>859.75</v>
      </c>
      <c r="AL1190">
        <v>92529</v>
      </c>
      <c r="AM1190">
        <v>25000</v>
      </c>
      <c r="AN1190">
        <v>67529</v>
      </c>
      <c r="AO1190">
        <v>732</v>
      </c>
      <c r="AP1190">
        <v>2016</v>
      </c>
      <c r="AQ1190">
        <v>0.91</v>
      </c>
      <c r="AR1190">
        <v>0.93</v>
      </c>
      <c r="AS1190" t="s">
        <v>15457</v>
      </c>
      <c r="AT1190" t="s">
        <v>15040</v>
      </c>
      <c r="AU1190" t="s">
        <v>177</v>
      </c>
      <c r="AV1190" t="s">
        <v>371</v>
      </c>
      <c r="AW1190" t="s">
        <v>202</v>
      </c>
      <c r="AX1190">
        <v>2</v>
      </c>
      <c r="AY1190" t="s">
        <v>188</v>
      </c>
      <c r="AZ1190" t="s">
        <v>189</v>
      </c>
      <c r="BA1190" t="s">
        <v>190</v>
      </c>
      <c r="BB1190" t="s">
        <v>191</v>
      </c>
      <c r="BC1190" t="s">
        <v>182</v>
      </c>
      <c r="BD1190" t="s">
        <v>182</v>
      </c>
      <c r="BE1190" t="s">
        <v>3598</v>
      </c>
      <c r="BF1190">
        <v>1</v>
      </c>
      <c r="BG1190">
        <v>1</v>
      </c>
      <c r="BH1190">
        <v>2007</v>
      </c>
      <c r="BI1190" t="s">
        <v>3570</v>
      </c>
      <c r="BJ1190" t="s">
        <v>194</v>
      </c>
      <c r="BK1190" t="s">
        <v>195</v>
      </c>
      <c r="BL1190" t="s">
        <v>3232</v>
      </c>
      <c r="BM1190" t="s">
        <v>286</v>
      </c>
      <c r="BN1190" t="s">
        <v>182</v>
      </c>
      <c r="BO1190" t="s">
        <v>1204</v>
      </c>
      <c r="BP1190" t="s">
        <v>15458</v>
      </c>
      <c r="BQ1190" t="s">
        <v>800</v>
      </c>
      <c r="BR1190" t="s">
        <v>643</v>
      </c>
      <c r="BS1190" t="s">
        <v>198</v>
      </c>
      <c r="BT1190" t="s">
        <v>15459</v>
      </c>
      <c r="BU1190" t="s">
        <v>182</v>
      </c>
      <c r="BV1190" t="s">
        <v>198</v>
      </c>
      <c r="BW1190" t="s">
        <v>198</v>
      </c>
      <c r="BX1190" t="s">
        <v>199</v>
      </c>
      <c r="BY1190" t="s">
        <v>198</v>
      </c>
      <c r="BZ1190" t="s">
        <v>199</v>
      </c>
      <c r="CA1190" t="s">
        <v>199</v>
      </c>
      <c r="CB1190" t="s">
        <v>15460</v>
      </c>
      <c r="CC1190" t="s">
        <v>201</v>
      </c>
      <c r="CD1190" t="s">
        <v>182</v>
      </c>
      <c r="CE1190" t="s">
        <v>15461</v>
      </c>
      <c r="CF1190" t="s">
        <v>5331</v>
      </c>
      <c r="CG1190" t="s">
        <v>177</v>
      </c>
      <c r="CH1190" t="s">
        <v>371</v>
      </c>
      <c r="CI1190" t="s">
        <v>15462</v>
      </c>
      <c r="CJ1190" t="s">
        <v>15255</v>
      </c>
      <c r="CK1190" t="s">
        <v>232</v>
      </c>
      <c r="CL1190" t="s">
        <v>233</v>
      </c>
      <c r="CM1190" t="s">
        <v>15463</v>
      </c>
      <c r="CN1190" t="s">
        <v>235</v>
      </c>
      <c r="CO1190" t="s">
        <v>183</v>
      </c>
      <c r="CP1190" t="s">
        <v>266</v>
      </c>
      <c r="CS1190" t="s">
        <v>198</v>
      </c>
      <c r="CT1190" t="s">
        <v>14295</v>
      </c>
      <c r="CU1190" t="s">
        <v>292</v>
      </c>
      <c r="CV1190" t="s">
        <v>293</v>
      </c>
      <c r="CW1190" t="s">
        <v>15464</v>
      </c>
      <c r="CX1190" t="s">
        <v>235</v>
      </c>
      <c r="CY1190" t="s">
        <v>183</v>
      </c>
      <c r="CZ1190" t="s">
        <v>211</v>
      </c>
      <c r="DA1190" t="s">
        <v>487</v>
      </c>
      <c r="DC1190" t="s">
        <v>15465</v>
      </c>
      <c r="DD1190" t="s">
        <v>12342</v>
      </c>
      <c r="DE1190" t="s">
        <v>267</v>
      </c>
      <c r="DF1190" t="s">
        <v>268</v>
      </c>
      <c r="DG1190" t="s">
        <v>15466</v>
      </c>
      <c r="DH1190" t="s">
        <v>235</v>
      </c>
      <c r="DI1190" t="s">
        <v>183</v>
      </c>
      <c r="DJ1190" t="s">
        <v>211</v>
      </c>
      <c r="DK1190" t="s">
        <v>523</v>
      </c>
      <c r="DM1190" t="s">
        <v>14176</v>
      </c>
      <c r="DN1190" t="s">
        <v>1992</v>
      </c>
      <c r="DO1190" t="s">
        <v>273</v>
      </c>
      <c r="DP1190" t="s">
        <v>274</v>
      </c>
      <c r="DQ1190" t="s">
        <v>15467</v>
      </c>
      <c r="DR1190" t="s">
        <v>235</v>
      </c>
      <c r="DS1190" t="s">
        <v>183</v>
      </c>
      <c r="DT1190" t="s">
        <v>211</v>
      </c>
      <c r="DU1190" t="s">
        <v>189</v>
      </c>
      <c r="DW1190" t="s">
        <v>15468</v>
      </c>
      <c r="DX1190" t="s">
        <v>15469</v>
      </c>
      <c r="DY1190" t="s">
        <v>238</v>
      </c>
      <c r="DZ1190" t="s">
        <v>239</v>
      </c>
      <c r="EA1190" t="s">
        <v>15470</v>
      </c>
      <c r="EB1190" t="s">
        <v>235</v>
      </c>
      <c r="EC1190" t="s">
        <v>183</v>
      </c>
      <c r="ED1190" t="s">
        <v>211</v>
      </c>
      <c r="EE1190" t="s">
        <v>427</v>
      </c>
      <c r="EG1190" t="s">
        <v>15471</v>
      </c>
      <c r="EH1190" t="s">
        <v>679</v>
      </c>
      <c r="EI1190" t="s">
        <v>346</v>
      </c>
      <c r="EJ1190" t="s">
        <v>347</v>
      </c>
      <c r="EK1190" t="s">
        <v>15472</v>
      </c>
      <c r="EL1190" t="s">
        <v>247</v>
      </c>
      <c r="EM1190" t="s">
        <v>183</v>
      </c>
      <c r="EN1190" t="s">
        <v>211</v>
      </c>
      <c r="EO1190" t="s">
        <v>633</v>
      </c>
      <c r="EQ1190" t="s">
        <v>15471</v>
      </c>
      <c r="ER1190" t="s">
        <v>15473</v>
      </c>
      <c r="ES1190" t="s">
        <v>207</v>
      </c>
      <c r="ET1190" t="s">
        <v>208</v>
      </c>
      <c r="EU1190" t="s">
        <v>15474</v>
      </c>
      <c r="EV1190" t="s">
        <v>235</v>
      </c>
      <c r="EW1190" t="s">
        <v>183</v>
      </c>
      <c r="EX1190" t="s">
        <v>211</v>
      </c>
      <c r="EY1190" t="s">
        <v>199</v>
      </c>
      <c r="FA1190" t="s">
        <v>15475</v>
      </c>
      <c r="FK1190" t="s">
        <v>198</v>
      </c>
      <c r="FU1190" t="s">
        <v>198</v>
      </c>
    </row>
    <row r="1191" spans="1:177">
      <c r="A1191" s="1" t="str">
        <f>HYPERLINK("http://digipan.lumentumllc.com/apps/getLink/index.php?t=PropLink&amp;p=6462018","PL")</f>
        <v>PL</v>
      </c>
      <c r="B1191" s="1" t="str">
        <f>HYPERLINK("http://digipan.lumentumllc.com/apps/getLink/index.php?t=TaxLink&amp;p=6462018","TL")</f>
        <v>TL</v>
      </c>
      <c r="C1191" s="1" t="str">
        <f>HYPERLINK("http://digipan.lumentumllc.com/apps/getMap/index.php?p=6462018","Map")</f>
        <v>Map</v>
      </c>
      <c r="E1191" t="s">
        <v>177</v>
      </c>
      <c r="F1191" t="s">
        <v>178</v>
      </c>
      <c r="L1191" t="s">
        <v>15476</v>
      </c>
      <c r="N1191" t="s">
        <v>15476</v>
      </c>
      <c r="O1191" t="s">
        <v>15476</v>
      </c>
      <c r="P1191" t="s">
        <v>15477</v>
      </c>
      <c r="Q1191" t="s">
        <v>15476</v>
      </c>
      <c r="V1191">
        <v>1361</v>
      </c>
      <c r="W1191">
        <v>5</v>
      </c>
      <c r="X1191">
        <v>2017</v>
      </c>
      <c r="Y1191">
        <v>2018</v>
      </c>
      <c r="Z1191">
        <v>655.01</v>
      </c>
      <c r="AB1191" t="s">
        <v>181</v>
      </c>
      <c r="AC1191" t="s">
        <v>182</v>
      </c>
      <c r="AD1191" t="s">
        <v>183</v>
      </c>
      <c r="AE1191">
        <v>0</v>
      </c>
      <c r="AF1191">
        <v>4</v>
      </c>
      <c r="AG1191" t="s">
        <v>744</v>
      </c>
      <c r="AH1191">
        <v>100</v>
      </c>
      <c r="AK1191">
        <v>0</v>
      </c>
      <c r="AL1191">
        <v>77156</v>
      </c>
      <c r="AM1191">
        <v>58500</v>
      </c>
      <c r="AN1191">
        <v>18656</v>
      </c>
      <c r="AO1191">
        <v>1053</v>
      </c>
      <c r="AP1191">
        <v>2016</v>
      </c>
      <c r="AQ1191">
        <v>0.85</v>
      </c>
      <c r="AS1191" t="s">
        <v>15478</v>
      </c>
      <c r="AT1191" t="s">
        <v>15040</v>
      </c>
      <c r="AU1191" t="s">
        <v>177</v>
      </c>
      <c r="AV1191" t="s">
        <v>371</v>
      </c>
      <c r="AW1191" t="s">
        <v>202</v>
      </c>
      <c r="AX1191">
        <v>2</v>
      </c>
      <c r="AY1191" t="s">
        <v>188</v>
      </c>
      <c r="AZ1191" t="s">
        <v>189</v>
      </c>
      <c r="BA1191" t="s">
        <v>190</v>
      </c>
      <c r="BB1191" t="s">
        <v>191</v>
      </c>
      <c r="BC1191" t="s">
        <v>182</v>
      </c>
      <c r="BD1191" t="s">
        <v>182</v>
      </c>
      <c r="BE1191" t="s">
        <v>7049</v>
      </c>
      <c r="BF1191">
        <v>1</v>
      </c>
      <c r="BG1191">
        <v>1</v>
      </c>
      <c r="BH1191">
        <v>1984</v>
      </c>
      <c r="BI1191" t="s">
        <v>2762</v>
      </c>
      <c r="BJ1191" t="s">
        <v>194</v>
      </c>
      <c r="BK1191" t="s">
        <v>195</v>
      </c>
      <c r="BL1191" t="s">
        <v>199</v>
      </c>
      <c r="BM1191" t="s">
        <v>207</v>
      </c>
      <c r="BN1191" t="s">
        <v>182</v>
      </c>
      <c r="BO1191" t="s">
        <v>198</v>
      </c>
      <c r="BP1191" t="s">
        <v>198</v>
      </c>
      <c r="BQ1191" t="s">
        <v>198</v>
      </c>
      <c r="BR1191" t="s">
        <v>198</v>
      </c>
      <c r="BS1191" t="s">
        <v>198</v>
      </c>
      <c r="BT1191" t="s">
        <v>198</v>
      </c>
      <c r="BU1191" t="s">
        <v>182</v>
      </c>
      <c r="BV1191" t="s">
        <v>198</v>
      </c>
      <c r="BW1191" t="s">
        <v>198</v>
      </c>
      <c r="BX1191" t="s">
        <v>199</v>
      </c>
      <c r="BY1191" t="s">
        <v>198</v>
      </c>
      <c r="BZ1191" t="s">
        <v>199</v>
      </c>
      <c r="CA1191" t="s">
        <v>199</v>
      </c>
      <c r="CB1191" t="s">
        <v>15479</v>
      </c>
      <c r="CC1191" t="s">
        <v>201</v>
      </c>
      <c r="CD1191" t="s">
        <v>182</v>
      </c>
      <c r="CE1191" t="s">
        <v>15480</v>
      </c>
      <c r="CF1191" t="s">
        <v>5331</v>
      </c>
      <c r="CG1191" t="s">
        <v>177</v>
      </c>
      <c r="CH1191" t="s">
        <v>371</v>
      </c>
      <c r="CI1191" t="s">
        <v>4099</v>
      </c>
      <c r="CJ1191" t="s">
        <v>11782</v>
      </c>
      <c r="CK1191" t="s">
        <v>292</v>
      </c>
      <c r="CL1191" t="s">
        <v>293</v>
      </c>
      <c r="CM1191" t="s">
        <v>15481</v>
      </c>
      <c r="CN1191" t="s">
        <v>235</v>
      </c>
      <c r="CO1191" t="s">
        <v>183</v>
      </c>
      <c r="CP1191" t="s">
        <v>211</v>
      </c>
      <c r="CQ1191" t="s">
        <v>206</v>
      </c>
      <c r="CS1191" t="s">
        <v>15482</v>
      </c>
      <c r="CT1191" t="s">
        <v>2168</v>
      </c>
      <c r="CU1191" t="s">
        <v>267</v>
      </c>
      <c r="CV1191" t="s">
        <v>268</v>
      </c>
      <c r="CW1191" t="s">
        <v>15483</v>
      </c>
      <c r="CX1191" t="s">
        <v>235</v>
      </c>
      <c r="CY1191" t="s">
        <v>183</v>
      </c>
      <c r="CZ1191" t="s">
        <v>211</v>
      </c>
      <c r="DA1191" t="s">
        <v>306</v>
      </c>
      <c r="DC1191" t="s">
        <v>15482</v>
      </c>
      <c r="DD1191" t="s">
        <v>5539</v>
      </c>
      <c r="DE1191" t="s">
        <v>273</v>
      </c>
      <c r="DF1191" t="s">
        <v>274</v>
      </c>
      <c r="DG1191" t="s">
        <v>15484</v>
      </c>
      <c r="DH1191" t="s">
        <v>235</v>
      </c>
      <c r="DI1191" t="s">
        <v>183</v>
      </c>
      <c r="DJ1191" t="s">
        <v>211</v>
      </c>
      <c r="DK1191" t="s">
        <v>427</v>
      </c>
      <c r="DM1191" t="s">
        <v>15485</v>
      </c>
      <c r="DN1191" t="s">
        <v>5897</v>
      </c>
      <c r="DO1191" t="s">
        <v>302</v>
      </c>
      <c r="DP1191" t="s">
        <v>303</v>
      </c>
      <c r="DQ1191" t="s">
        <v>15486</v>
      </c>
      <c r="DR1191" t="s">
        <v>235</v>
      </c>
      <c r="DS1191" t="s">
        <v>183</v>
      </c>
      <c r="DT1191" t="s">
        <v>211</v>
      </c>
      <c r="DU1191" t="s">
        <v>270</v>
      </c>
      <c r="DW1191" t="s">
        <v>15487</v>
      </c>
      <c r="EG1191" t="s">
        <v>198</v>
      </c>
      <c r="EQ1191" t="s">
        <v>198</v>
      </c>
      <c r="FA1191" t="s">
        <v>198</v>
      </c>
      <c r="FK1191" t="s">
        <v>198</v>
      </c>
      <c r="FU1191" t="s">
        <v>198</v>
      </c>
    </row>
    <row r="1192" spans="1:177">
      <c r="A1192" s="1" t="str">
        <f>HYPERLINK("http://digipan.lumentumllc.com/apps/getLink/index.php?t=PropLink&amp;p=6129250","PL")</f>
        <v>PL</v>
      </c>
      <c r="B1192" s="1" t="str">
        <f>HYPERLINK("http://digipan.lumentumllc.com/apps/getLink/index.php?t=TaxLink&amp;p=6129250","TL")</f>
        <v>TL</v>
      </c>
      <c r="C1192" s="1" t="str">
        <f>HYPERLINK("http://digipan.lumentumllc.com/apps/getMap/index.php?p=6129250","Map")</f>
        <v>Map</v>
      </c>
      <c r="E1192" t="s">
        <v>177</v>
      </c>
      <c r="F1192" t="s">
        <v>178</v>
      </c>
      <c r="L1192" t="s">
        <v>15488</v>
      </c>
      <c r="N1192" t="s">
        <v>15488</v>
      </c>
      <c r="O1192" t="s">
        <v>15488</v>
      </c>
      <c r="P1192" t="s">
        <v>15489</v>
      </c>
      <c r="Q1192" t="s">
        <v>15488</v>
      </c>
      <c r="V1192">
        <v>1362</v>
      </c>
      <c r="W1192">
        <v>5</v>
      </c>
      <c r="X1192">
        <v>2017</v>
      </c>
      <c r="Y1192">
        <v>2018</v>
      </c>
      <c r="Z1192">
        <v>1765.75</v>
      </c>
      <c r="AB1192" t="s">
        <v>181</v>
      </c>
      <c r="AC1192" t="s">
        <v>182</v>
      </c>
      <c r="AD1192" t="s">
        <v>183</v>
      </c>
      <c r="AE1192">
        <v>0</v>
      </c>
      <c r="AF1192">
        <v>1</v>
      </c>
      <c r="AG1192" t="s">
        <v>821</v>
      </c>
      <c r="AH1192">
        <v>100</v>
      </c>
      <c r="AK1192">
        <v>0</v>
      </c>
      <c r="AL1192">
        <v>107000</v>
      </c>
      <c r="AM1192">
        <v>104000</v>
      </c>
      <c r="AN1192">
        <v>3000</v>
      </c>
      <c r="AO1192">
        <v>1466</v>
      </c>
      <c r="AP1192">
        <v>2016</v>
      </c>
      <c r="AQ1192">
        <v>1.65</v>
      </c>
      <c r="AS1192" t="s">
        <v>15490</v>
      </c>
      <c r="AT1192" t="s">
        <v>15040</v>
      </c>
      <c r="AU1192" t="s">
        <v>177</v>
      </c>
      <c r="AV1192" t="s">
        <v>371</v>
      </c>
      <c r="AW1192" t="s">
        <v>182</v>
      </c>
      <c r="AX1192">
        <v>0</v>
      </c>
      <c r="AY1192" t="s">
        <v>312</v>
      </c>
      <c r="AZ1192" t="s">
        <v>199</v>
      </c>
      <c r="BA1192" t="s">
        <v>313</v>
      </c>
      <c r="BB1192" t="s">
        <v>191</v>
      </c>
      <c r="BC1192" t="s">
        <v>182</v>
      </c>
      <c r="BD1192" t="s">
        <v>182</v>
      </c>
      <c r="BE1192" t="s">
        <v>15491</v>
      </c>
      <c r="BF1192">
        <v>0</v>
      </c>
      <c r="BG1192">
        <v>0</v>
      </c>
      <c r="BH1192">
        <v>0</v>
      </c>
      <c r="BI1192" t="s">
        <v>199</v>
      </c>
      <c r="BJ1192" t="s">
        <v>396</v>
      </c>
      <c r="BL1192" t="s">
        <v>11990</v>
      </c>
      <c r="BM1192" t="s">
        <v>2269</v>
      </c>
      <c r="BN1192" t="s">
        <v>182</v>
      </c>
      <c r="BO1192" t="s">
        <v>198</v>
      </c>
      <c r="BP1192" t="s">
        <v>198</v>
      </c>
      <c r="BQ1192" t="s">
        <v>198</v>
      </c>
      <c r="BR1192" t="s">
        <v>198</v>
      </c>
      <c r="BS1192" t="s">
        <v>198</v>
      </c>
      <c r="BT1192" t="s">
        <v>198</v>
      </c>
      <c r="BU1192" t="s">
        <v>182</v>
      </c>
      <c r="BV1192" t="s">
        <v>198</v>
      </c>
      <c r="BW1192" t="s">
        <v>198</v>
      </c>
      <c r="BX1192" t="s">
        <v>199</v>
      </c>
      <c r="BY1192" t="s">
        <v>198</v>
      </c>
      <c r="BZ1192" t="s">
        <v>199</v>
      </c>
      <c r="CA1192" t="s">
        <v>199</v>
      </c>
      <c r="CB1192" t="s">
        <v>15492</v>
      </c>
      <c r="CC1192" t="s">
        <v>201</v>
      </c>
      <c r="CD1192" t="s">
        <v>182</v>
      </c>
      <c r="CE1192" t="s">
        <v>15493</v>
      </c>
      <c r="CF1192" t="s">
        <v>5331</v>
      </c>
      <c r="CG1192" t="s">
        <v>177</v>
      </c>
      <c r="CH1192" t="s">
        <v>371</v>
      </c>
      <c r="CI1192" t="s">
        <v>15494</v>
      </c>
      <c r="CJ1192" t="s">
        <v>15495</v>
      </c>
      <c r="CK1192" t="s">
        <v>238</v>
      </c>
      <c r="CL1192" t="s">
        <v>239</v>
      </c>
      <c r="CM1192" t="s">
        <v>15496</v>
      </c>
      <c r="CN1192" t="s">
        <v>278</v>
      </c>
      <c r="CO1192" t="s">
        <v>183</v>
      </c>
      <c r="CP1192" t="s">
        <v>211</v>
      </c>
      <c r="CQ1192" t="s">
        <v>298</v>
      </c>
      <c r="CS1192" t="s">
        <v>467</v>
      </c>
      <c r="DC1192" t="s">
        <v>198</v>
      </c>
      <c r="DM1192" t="s">
        <v>198</v>
      </c>
      <c r="DW1192" t="s">
        <v>198</v>
      </c>
      <c r="EG1192" t="s">
        <v>198</v>
      </c>
      <c r="EQ1192" t="s">
        <v>198</v>
      </c>
      <c r="FA1192" t="s">
        <v>198</v>
      </c>
      <c r="FK1192" t="s">
        <v>198</v>
      </c>
      <c r="FU1192" t="s">
        <v>198</v>
      </c>
    </row>
    <row r="1193" spans="1:177">
      <c r="A1193" s="1" t="str">
        <f>HYPERLINK("http://digipan.lumentumllc.com/apps/getLink/index.php?t=PropLink&amp;p=6129251","PL")</f>
        <v>PL</v>
      </c>
      <c r="B1193" s="1" t="str">
        <f>HYPERLINK("http://digipan.lumentumllc.com/apps/getLink/index.php?t=TaxLink&amp;p=6129251","TL")</f>
        <v>TL</v>
      </c>
      <c r="C1193" s="1" t="str">
        <f>HYPERLINK("http://digipan.lumentumllc.com/apps/getMap/index.php?p=6129251","Map")</f>
        <v>Map</v>
      </c>
      <c r="E1193" t="s">
        <v>177</v>
      </c>
      <c r="F1193" t="s">
        <v>178</v>
      </c>
      <c r="L1193" t="s">
        <v>15497</v>
      </c>
      <c r="N1193" t="s">
        <v>15497</v>
      </c>
      <c r="O1193" t="s">
        <v>15497</v>
      </c>
      <c r="P1193" t="s">
        <v>15498</v>
      </c>
      <c r="Q1193" t="s">
        <v>15497</v>
      </c>
      <c r="V1193">
        <v>1363</v>
      </c>
      <c r="W1193">
        <v>5</v>
      </c>
      <c r="X1193">
        <v>2017</v>
      </c>
      <c r="Y1193">
        <v>2018</v>
      </c>
      <c r="Z1193">
        <v>1057.2</v>
      </c>
      <c r="AB1193" t="s">
        <v>181</v>
      </c>
      <c r="AC1193" t="s">
        <v>182</v>
      </c>
      <c r="AD1193" t="s">
        <v>183</v>
      </c>
      <c r="AE1193">
        <v>0</v>
      </c>
      <c r="AF1193">
        <v>1</v>
      </c>
      <c r="AG1193" t="s">
        <v>821</v>
      </c>
      <c r="AH1193">
        <v>100</v>
      </c>
      <c r="AK1193">
        <v>0</v>
      </c>
      <c r="AL1193">
        <v>65000</v>
      </c>
      <c r="AM1193">
        <v>65000</v>
      </c>
      <c r="AN1193">
        <v>0</v>
      </c>
      <c r="AO1193">
        <v>848</v>
      </c>
      <c r="AP1193">
        <v>2016</v>
      </c>
      <c r="AQ1193">
        <v>1.63</v>
      </c>
      <c r="AS1193" t="s">
        <v>15499</v>
      </c>
      <c r="AT1193" t="s">
        <v>15040</v>
      </c>
      <c r="AU1193" t="s">
        <v>177</v>
      </c>
      <c r="AV1193" t="s">
        <v>371</v>
      </c>
      <c r="AW1193" t="s">
        <v>182</v>
      </c>
      <c r="AX1193">
        <v>0</v>
      </c>
      <c r="AY1193" t="s">
        <v>312</v>
      </c>
      <c r="AZ1193" t="s">
        <v>199</v>
      </c>
      <c r="BA1193" t="s">
        <v>313</v>
      </c>
      <c r="BB1193" t="s">
        <v>191</v>
      </c>
      <c r="BC1193" t="s">
        <v>182</v>
      </c>
      <c r="BD1193" t="s">
        <v>182</v>
      </c>
      <c r="BE1193" t="s">
        <v>15500</v>
      </c>
      <c r="BF1193">
        <v>0</v>
      </c>
      <c r="BG1193">
        <v>0</v>
      </c>
      <c r="BH1193">
        <v>0</v>
      </c>
      <c r="BI1193" t="s">
        <v>199</v>
      </c>
      <c r="BJ1193" t="s">
        <v>315</v>
      </c>
      <c r="BL1193" t="s">
        <v>15501</v>
      </c>
      <c r="BM1193" t="s">
        <v>945</v>
      </c>
      <c r="BN1193" t="s">
        <v>182</v>
      </c>
      <c r="BO1193" t="s">
        <v>198</v>
      </c>
      <c r="BP1193" t="s">
        <v>198</v>
      </c>
      <c r="BQ1193" t="s">
        <v>198</v>
      </c>
      <c r="BR1193" t="s">
        <v>198</v>
      </c>
      <c r="BS1193" t="s">
        <v>198</v>
      </c>
      <c r="BT1193" t="s">
        <v>198</v>
      </c>
      <c r="BU1193" t="s">
        <v>182</v>
      </c>
      <c r="BV1193" t="s">
        <v>198</v>
      </c>
      <c r="BW1193" t="s">
        <v>198</v>
      </c>
      <c r="BX1193" t="s">
        <v>199</v>
      </c>
      <c r="BY1193" t="s">
        <v>198</v>
      </c>
      <c r="BZ1193" t="s">
        <v>199</v>
      </c>
      <c r="CA1193" t="s">
        <v>199</v>
      </c>
      <c r="CB1193" t="s">
        <v>15502</v>
      </c>
      <c r="CC1193" t="s">
        <v>201</v>
      </c>
      <c r="CD1193" t="s">
        <v>182</v>
      </c>
      <c r="CE1193" t="s">
        <v>15493</v>
      </c>
      <c r="CF1193" t="s">
        <v>5331</v>
      </c>
      <c r="CG1193" t="s">
        <v>177</v>
      </c>
      <c r="CH1193" t="s">
        <v>371</v>
      </c>
      <c r="CI1193" t="s">
        <v>15503</v>
      </c>
      <c r="CJ1193" t="s">
        <v>15504</v>
      </c>
      <c r="CK1193" t="s">
        <v>238</v>
      </c>
      <c r="CL1193" t="s">
        <v>239</v>
      </c>
      <c r="CM1193" t="s">
        <v>15505</v>
      </c>
      <c r="CN1193" t="s">
        <v>440</v>
      </c>
      <c r="CO1193" t="s">
        <v>183</v>
      </c>
      <c r="CP1193" t="s">
        <v>211</v>
      </c>
      <c r="CQ1193" t="s">
        <v>298</v>
      </c>
      <c r="CS1193" t="s">
        <v>467</v>
      </c>
      <c r="DC1193" t="s">
        <v>198</v>
      </c>
      <c r="DM1193" t="s">
        <v>198</v>
      </c>
      <c r="DW1193" t="s">
        <v>198</v>
      </c>
      <c r="EG1193" t="s">
        <v>198</v>
      </c>
      <c r="EQ1193" t="s">
        <v>198</v>
      </c>
      <c r="FA1193" t="s">
        <v>198</v>
      </c>
      <c r="FK1193" t="s">
        <v>198</v>
      </c>
      <c r="FU1193" t="s">
        <v>198</v>
      </c>
    </row>
    <row r="1194" spans="1:177">
      <c r="A1194" s="1" t="str">
        <f>HYPERLINK("http://digipan.lumentumllc.com/apps/getLink/index.php?t=PropLink&amp;p=15754667","PL")</f>
        <v>PL</v>
      </c>
      <c r="B1194" s="1" t="str">
        <f>HYPERLINK("http://digipan.lumentumllc.com/apps/getLink/index.php?t=TaxLink&amp;p=15754667","TL")</f>
        <v>TL</v>
      </c>
      <c r="C1194" s="1" t="str">
        <f>HYPERLINK("http://digipan.lumentumllc.com/apps/getMap/index.php?p=15754667","Map")</f>
        <v>Map</v>
      </c>
      <c r="E1194" t="s">
        <v>177</v>
      </c>
      <c r="F1194" t="s">
        <v>178</v>
      </c>
      <c r="L1194" t="s">
        <v>15506</v>
      </c>
      <c r="N1194" t="s">
        <v>15506</v>
      </c>
      <c r="O1194" t="s">
        <v>15506</v>
      </c>
      <c r="Q1194" t="s">
        <v>15506</v>
      </c>
      <c r="V1194">
        <v>1364</v>
      </c>
      <c r="W1194">
        <v>5</v>
      </c>
      <c r="X1194">
        <v>2017</v>
      </c>
      <c r="Y1194">
        <v>2018</v>
      </c>
      <c r="Z1194">
        <v>1373.67</v>
      </c>
      <c r="AG1194" t="s">
        <v>184</v>
      </c>
      <c r="AH1194">
        <v>0</v>
      </c>
      <c r="AK1194">
        <v>0</v>
      </c>
      <c r="AL1194">
        <v>81946</v>
      </c>
      <c r="AM1194">
        <v>25000</v>
      </c>
      <c r="AN1194">
        <v>56946</v>
      </c>
      <c r="AO1194">
        <v>1187</v>
      </c>
      <c r="AP1194">
        <v>2016</v>
      </c>
      <c r="AQ1194">
        <v>1.68</v>
      </c>
      <c r="AS1194" t="s">
        <v>15507</v>
      </c>
      <c r="AT1194" t="s">
        <v>15040</v>
      </c>
      <c r="AU1194" t="s">
        <v>177</v>
      </c>
      <c r="AV1194" t="s">
        <v>371</v>
      </c>
      <c r="AW1194" t="s">
        <v>182</v>
      </c>
      <c r="AX1194">
        <v>1</v>
      </c>
      <c r="AY1194" t="s">
        <v>188</v>
      </c>
      <c r="AZ1194" t="s">
        <v>206</v>
      </c>
      <c r="BA1194" t="s">
        <v>355</v>
      </c>
      <c r="BB1194" t="s">
        <v>191</v>
      </c>
      <c r="BC1194" t="s">
        <v>182</v>
      </c>
      <c r="BD1194" t="s">
        <v>182</v>
      </c>
      <c r="BE1194" t="s">
        <v>5145</v>
      </c>
      <c r="BF1194">
        <v>1</v>
      </c>
      <c r="BG1194">
        <v>1</v>
      </c>
      <c r="BH1194">
        <v>1900</v>
      </c>
      <c r="BI1194" t="s">
        <v>8526</v>
      </c>
      <c r="BJ1194" t="s">
        <v>194</v>
      </c>
      <c r="BK1194" t="s">
        <v>195</v>
      </c>
      <c r="BL1194" t="s">
        <v>3087</v>
      </c>
      <c r="BM1194" t="s">
        <v>1779</v>
      </c>
      <c r="BN1194" t="s">
        <v>182</v>
      </c>
      <c r="BO1194" t="s">
        <v>198</v>
      </c>
      <c r="BP1194" t="s">
        <v>198</v>
      </c>
      <c r="BQ1194" t="s">
        <v>198</v>
      </c>
      <c r="BR1194" t="s">
        <v>198</v>
      </c>
      <c r="BS1194" t="s">
        <v>198</v>
      </c>
      <c r="BT1194" t="s">
        <v>198</v>
      </c>
      <c r="BU1194" t="s">
        <v>182</v>
      </c>
      <c r="BV1194" t="s">
        <v>198</v>
      </c>
      <c r="BW1194" t="s">
        <v>198</v>
      </c>
      <c r="BX1194" t="s">
        <v>199</v>
      </c>
      <c r="BY1194" t="s">
        <v>198</v>
      </c>
      <c r="BZ1194" t="s">
        <v>199</v>
      </c>
      <c r="CA1194" t="s">
        <v>199</v>
      </c>
      <c r="CB1194" t="s">
        <v>15508</v>
      </c>
      <c r="CC1194" t="s">
        <v>201</v>
      </c>
      <c r="CD1194" t="s">
        <v>182</v>
      </c>
      <c r="CE1194" t="s">
        <v>15509</v>
      </c>
      <c r="CF1194" t="s">
        <v>5331</v>
      </c>
      <c r="CG1194" t="s">
        <v>177</v>
      </c>
      <c r="CH1194" t="s">
        <v>371</v>
      </c>
      <c r="CI1194" t="s">
        <v>9852</v>
      </c>
      <c r="CS1194" t="s">
        <v>198</v>
      </c>
      <c r="DC1194" t="s">
        <v>198</v>
      </c>
      <c r="DM1194" t="s">
        <v>198</v>
      </c>
      <c r="DW1194" t="s">
        <v>198</v>
      </c>
      <c r="EG1194" t="s">
        <v>198</v>
      </c>
      <c r="EQ1194" t="s">
        <v>198</v>
      </c>
      <c r="FA1194" t="s">
        <v>198</v>
      </c>
      <c r="FK1194" t="s">
        <v>198</v>
      </c>
      <c r="FU1194" t="s">
        <v>198</v>
      </c>
    </row>
    <row r="1195" spans="1:177">
      <c r="A1195" s="1" t="str">
        <f>HYPERLINK("http://digipan.lumentumllc.com/apps/getLink/index.php?t=PropLink&amp;p=5247318","PL")</f>
        <v>PL</v>
      </c>
      <c r="B1195" s="1" t="str">
        <f>HYPERLINK("http://digipan.lumentumllc.com/apps/getLink/index.php?t=TaxLink&amp;p=5247318","TL")</f>
        <v>TL</v>
      </c>
      <c r="C1195" s="1" t="str">
        <f>HYPERLINK("http://digipan.lumentumllc.com/apps/getMap/index.php?p=5247318","Map")</f>
        <v>Map</v>
      </c>
      <c r="E1195" t="s">
        <v>177</v>
      </c>
      <c r="F1195" t="s">
        <v>178</v>
      </c>
      <c r="L1195" t="s">
        <v>15510</v>
      </c>
      <c r="N1195" t="s">
        <v>15510</v>
      </c>
      <c r="O1195" t="s">
        <v>15510</v>
      </c>
      <c r="P1195" t="s">
        <v>15511</v>
      </c>
      <c r="Q1195" t="s">
        <v>15510</v>
      </c>
      <c r="V1195">
        <v>1365</v>
      </c>
      <c r="W1195">
        <v>5</v>
      </c>
      <c r="X1195">
        <v>2017</v>
      </c>
      <c r="Y1195">
        <v>2018</v>
      </c>
      <c r="Z1195">
        <v>283.77</v>
      </c>
      <c r="AB1195" t="s">
        <v>181</v>
      </c>
      <c r="AC1195" t="s">
        <v>182</v>
      </c>
      <c r="AD1195" t="s">
        <v>183</v>
      </c>
      <c r="AE1195">
        <v>0</v>
      </c>
      <c r="AF1195">
        <v>7</v>
      </c>
      <c r="AG1195" t="s">
        <v>528</v>
      </c>
      <c r="AH1195">
        <v>100</v>
      </c>
      <c r="AK1195">
        <v>0</v>
      </c>
      <c r="AL1195">
        <v>56585</v>
      </c>
      <c r="AM1195">
        <v>25000</v>
      </c>
      <c r="AN1195">
        <v>31585</v>
      </c>
      <c r="AO1195">
        <v>223</v>
      </c>
      <c r="AP1195">
        <v>2016</v>
      </c>
      <c r="AQ1195">
        <v>0.5</v>
      </c>
      <c r="AS1195" t="s">
        <v>15512</v>
      </c>
      <c r="AT1195" t="s">
        <v>15040</v>
      </c>
      <c r="AU1195" t="s">
        <v>177</v>
      </c>
      <c r="AV1195" t="s">
        <v>371</v>
      </c>
      <c r="AW1195" t="s">
        <v>202</v>
      </c>
      <c r="AX1195">
        <v>2</v>
      </c>
      <c r="AY1195" t="s">
        <v>188</v>
      </c>
      <c r="AZ1195" t="s">
        <v>189</v>
      </c>
      <c r="BA1195" t="s">
        <v>190</v>
      </c>
      <c r="BB1195" t="s">
        <v>191</v>
      </c>
      <c r="BC1195" t="s">
        <v>182</v>
      </c>
      <c r="BD1195" t="s">
        <v>182</v>
      </c>
      <c r="BE1195" t="s">
        <v>12254</v>
      </c>
      <c r="BF1195">
        <v>1</v>
      </c>
      <c r="BG1195">
        <v>1</v>
      </c>
      <c r="BH1195">
        <v>1991</v>
      </c>
      <c r="BI1195" t="s">
        <v>14204</v>
      </c>
      <c r="BJ1195" t="s">
        <v>194</v>
      </c>
      <c r="BK1195" t="s">
        <v>195</v>
      </c>
      <c r="BL1195" t="s">
        <v>13795</v>
      </c>
      <c r="BM1195" t="s">
        <v>2351</v>
      </c>
      <c r="BN1195" t="s">
        <v>182</v>
      </c>
      <c r="BO1195" t="s">
        <v>1855</v>
      </c>
      <c r="BP1195" t="s">
        <v>15513</v>
      </c>
      <c r="BQ1195" t="s">
        <v>800</v>
      </c>
      <c r="BR1195" t="s">
        <v>6200</v>
      </c>
      <c r="BS1195" t="s">
        <v>198</v>
      </c>
      <c r="BT1195" t="s">
        <v>15514</v>
      </c>
      <c r="BU1195" t="s">
        <v>182</v>
      </c>
      <c r="BV1195" t="s">
        <v>198</v>
      </c>
      <c r="BW1195" t="s">
        <v>198</v>
      </c>
      <c r="BX1195" t="s">
        <v>199</v>
      </c>
      <c r="BY1195" t="s">
        <v>198</v>
      </c>
      <c r="BZ1195" t="s">
        <v>199</v>
      </c>
      <c r="CA1195" t="s">
        <v>199</v>
      </c>
      <c r="CB1195" t="s">
        <v>15515</v>
      </c>
      <c r="CC1195" t="s">
        <v>201</v>
      </c>
      <c r="CD1195" t="s">
        <v>182</v>
      </c>
      <c r="CE1195" t="s">
        <v>15516</v>
      </c>
      <c r="CF1195" t="s">
        <v>5331</v>
      </c>
      <c r="CG1195" t="s">
        <v>177</v>
      </c>
      <c r="CH1195" t="s">
        <v>371</v>
      </c>
      <c r="CI1195" t="s">
        <v>15517</v>
      </c>
      <c r="CJ1195" t="s">
        <v>9232</v>
      </c>
      <c r="CK1195" t="s">
        <v>232</v>
      </c>
      <c r="CL1195" t="s">
        <v>233</v>
      </c>
      <c r="CM1195" t="s">
        <v>15518</v>
      </c>
      <c r="CN1195" t="s">
        <v>235</v>
      </c>
      <c r="CO1195" t="s">
        <v>183</v>
      </c>
      <c r="CP1195" t="s">
        <v>211</v>
      </c>
      <c r="CQ1195" t="s">
        <v>270</v>
      </c>
      <c r="CS1195" t="s">
        <v>540</v>
      </c>
      <c r="CT1195" t="s">
        <v>11833</v>
      </c>
      <c r="CU1195" t="s">
        <v>292</v>
      </c>
      <c r="CV1195" t="s">
        <v>293</v>
      </c>
      <c r="CW1195" t="s">
        <v>15519</v>
      </c>
      <c r="CX1195" t="s">
        <v>235</v>
      </c>
      <c r="CY1195" t="s">
        <v>183</v>
      </c>
      <c r="CZ1195" t="s">
        <v>211</v>
      </c>
      <c r="DA1195" t="s">
        <v>339</v>
      </c>
      <c r="DC1195" t="s">
        <v>15520</v>
      </c>
      <c r="DD1195" t="s">
        <v>8887</v>
      </c>
      <c r="DE1195" t="s">
        <v>267</v>
      </c>
      <c r="DF1195" t="s">
        <v>268</v>
      </c>
      <c r="DG1195" t="s">
        <v>15521</v>
      </c>
      <c r="DH1195" t="s">
        <v>235</v>
      </c>
      <c r="DI1195" t="s">
        <v>183</v>
      </c>
      <c r="DJ1195" t="s">
        <v>211</v>
      </c>
      <c r="DK1195" t="s">
        <v>339</v>
      </c>
      <c r="DM1195" t="s">
        <v>15522</v>
      </c>
      <c r="DN1195" t="s">
        <v>13481</v>
      </c>
      <c r="DO1195" t="s">
        <v>302</v>
      </c>
      <c r="DP1195" t="s">
        <v>303</v>
      </c>
      <c r="DQ1195" t="s">
        <v>15523</v>
      </c>
      <c r="DR1195" t="s">
        <v>235</v>
      </c>
      <c r="DS1195" t="s">
        <v>183</v>
      </c>
      <c r="DT1195" t="s">
        <v>211</v>
      </c>
      <c r="DU1195" t="s">
        <v>264</v>
      </c>
      <c r="DW1195" t="s">
        <v>15524</v>
      </c>
      <c r="DX1195" t="s">
        <v>15525</v>
      </c>
      <c r="DY1195" t="s">
        <v>238</v>
      </c>
      <c r="DZ1195" t="s">
        <v>239</v>
      </c>
      <c r="EA1195" t="s">
        <v>15526</v>
      </c>
      <c r="EB1195" t="s">
        <v>278</v>
      </c>
      <c r="EC1195" t="s">
        <v>183</v>
      </c>
      <c r="ED1195" t="s">
        <v>211</v>
      </c>
      <c r="EE1195" t="s">
        <v>206</v>
      </c>
      <c r="EG1195" t="s">
        <v>14055</v>
      </c>
      <c r="EH1195" t="s">
        <v>197</v>
      </c>
      <c r="EI1195" t="s">
        <v>346</v>
      </c>
      <c r="EJ1195" t="s">
        <v>347</v>
      </c>
      <c r="EK1195" t="s">
        <v>15527</v>
      </c>
      <c r="EL1195" t="s">
        <v>688</v>
      </c>
      <c r="EM1195" t="s">
        <v>183</v>
      </c>
      <c r="EN1195" t="s">
        <v>211</v>
      </c>
      <c r="EO1195" t="s">
        <v>264</v>
      </c>
      <c r="EQ1195" t="s">
        <v>2274</v>
      </c>
      <c r="ER1195" t="s">
        <v>14911</v>
      </c>
      <c r="ES1195" t="s">
        <v>207</v>
      </c>
      <c r="ET1195" t="s">
        <v>208</v>
      </c>
      <c r="EU1195" t="s">
        <v>15528</v>
      </c>
      <c r="EV1195" t="s">
        <v>1966</v>
      </c>
      <c r="EW1195" t="s">
        <v>183</v>
      </c>
      <c r="EX1195" t="s">
        <v>211</v>
      </c>
      <c r="EY1195" t="s">
        <v>206</v>
      </c>
      <c r="FA1195" t="s">
        <v>12578</v>
      </c>
      <c r="FK1195" t="s">
        <v>198</v>
      </c>
      <c r="FU1195" t="s">
        <v>198</v>
      </c>
    </row>
    <row r="1196" spans="1:177">
      <c r="A1196" s="1" t="str">
        <f>HYPERLINK("http://digipan.lumentumllc.com/apps/getLink/index.php?t=PropLink&amp;p=4638217","PL")</f>
        <v>PL</v>
      </c>
      <c r="B1196" s="1" t="str">
        <f>HYPERLINK("http://digipan.lumentumllc.com/apps/getLink/index.php?t=TaxLink&amp;p=4638217","TL")</f>
        <v>TL</v>
      </c>
      <c r="C1196" s="1" t="str">
        <f>HYPERLINK("http://digipan.lumentumllc.com/apps/getMap/index.php?p=4638217","Map")</f>
        <v>Map</v>
      </c>
      <c r="E1196" t="s">
        <v>177</v>
      </c>
      <c r="F1196" t="s">
        <v>178</v>
      </c>
      <c r="L1196" t="s">
        <v>15529</v>
      </c>
      <c r="N1196" t="s">
        <v>15529</v>
      </c>
      <c r="O1196" t="s">
        <v>15529</v>
      </c>
      <c r="P1196" t="s">
        <v>15530</v>
      </c>
      <c r="Q1196" t="s">
        <v>15529</v>
      </c>
      <c r="V1196">
        <v>1366</v>
      </c>
      <c r="W1196">
        <v>5</v>
      </c>
      <c r="X1196">
        <v>2017</v>
      </c>
      <c r="Y1196">
        <v>2018</v>
      </c>
      <c r="Z1196">
        <v>413.6</v>
      </c>
      <c r="AB1196" t="s">
        <v>181</v>
      </c>
      <c r="AC1196" t="s">
        <v>182</v>
      </c>
      <c r="AD1196" t="s">
        <v>183</v>
      </c>
      <c r="AE1196">
        <v>0</v>
      </c>
      <c r="AF1196">
        <v>6</v>
      </c>
      <c r="AG1196" t="s">
        <v>3266</v>
      </c>
      <c r="AH1196">
        <v>100</v>
      </c>
      <c r="AK1196">
        <v>0</v>
      </c>
      <c r="AL1196">
        <v>25000</v>
      </c>
      <c r="AM1196">
        <v>25000</v>
      </c>
      <c r="AN1196">
        <v>0</v>
      </c>
      <c r="AO1196">
        <v>307</v>
      </c>
      <c r="AP1196">
        <v>2016</v>
      </c>
      <c r="AQ1196">
        <v>1.65</v>
      </c>
      <c r="AS1196" t="s">
        <v>15531</v>
      </c>
      <c r="AT1196" t="s">
        <v>15040</v>
      </c>
      <c r="AU1196" t="s">
        <v>177</v>
      </c>
      <c r="AV1196" t="s">
        <v>371</v>
      </c>
      <c r="AW1196" t="s">
        <v>182</v>
      </c>
      <c r="AX1196">
        <v>0</v>
      </c>
      <c r="AY1196" t="s">
        <v>312</v>
      </c>
      <c r="AZ1196" t="s">
        <v>199</v>
      </c>
      <c r="BA1196" t="s">
        <v>313</v>
      </c>
      <c r="BB1196" t="s">
        <v>191</v>
      </c>
      <c r="BC1196" t="s">
        <v>182</v>
      </c>
      <c r="BD1196" t="s">
        <v>182</v>
      </c>
      <c r="BE1196" t="s">
        <v>7246</v>
      </c>
      <c r="BF1196">
        <v>0</v>
      </c>
      <c r="BG1196">
        <v>0</v>
      </c>
      <c r="BH1196">
        <v>0</v>
      </c>
      <c r="BI1196" t="s">
        <v>199</v>
      </c>
      <c r="BJ1196" t="s">
        <v>396</v>
      </c>
      <c r="BL1196" t="s">
        <v>199</v>
      </c>
      <c r="BM1196" t="s">
        <v>1041</v>
      </c>
      <c r="BN1196" t="s">
        <v>182</v>
      </c>
      <c r="BO1196" t="s">
        <v>198</v>
      </c>
      <c r="BP1196" t="s">
        <v>198</v>
      </c>
      <c r="BQ1196" t="s">
        <v>198</v>
      </c>
      <c r="BR1196" t="s">
        <v>198</v>
      </c>
      <c r="BS1196" t="s">
        <v>198</v>
      </c>
      <c r="BT1196" t="s">
        <v>198</v>
      </c>
      <c r="BU1196" t="s">
        <v>182</v>
      </c>
      <c r="BV1196" t="s">
        <v>198</v>
      </c>
      <c r="BW1196" t="s">
        <v>198</v>
      </c>
      <c r="BX1196" t="s">
        <v>199</v>
      </c>
      <c r="BY1196" t="s">
        <v>198</v>
      </c>
      <c r="BZ1196" t="s">
        <v>199</v>
      </c>
      <c r="CA1196" t="s">
        <v>199</v>
      </c>
      <c r="CB1196" t="s">
        <v>15532</v>
      </c>
      <c r="CC1196" t="s">
        <v>201</v>
      </c>
      <c r="CD1196" t="s">
        <v>182</v>
      </c>
      <c r="CE1196" t="s">
        <v>15516</v>
      </c>
      <c r="CF1196" t="s">
        <v>5331</v>
      </c>
      <c r="CG1196" t="s">
        <v>177</v>
      </c>
      <c r="CH1196" t="s">
        <v>371</v>
      </c>
      <c r="CI1196" t="s">
        <v>15533</v>
      </c>
      <c r="CJ1196" t="s">
        <v>14123</v>
      </c>
      <c r="CK1196" t="s">
        <v>232</v>
      </c>
      <c r="CL1196" t="s">
        <v>233</v>
      </c>
      <c r="CM1196" t="s">
        <v>10395</v>
      </c>
      <c r="CN1196" t="s">
        <v>688</v>
      </c>
      <c r="CO1196" t="s">
        <v>183</v>
      </c>
      <c r="CP1196" t="s">
        <v>211</v>
      </c>
      <c r="CQ1196" t="s">
        <v>270</v>
      </c>
      <c r="CS1196" t="s">
        <v>540</v>
      </c>
      <c r="CT1196" t="s">
        <v>11847</v>
      </c>
      <c r="CU1196" t="s">
        <v>292</v>
      </c>
      <c r="CV1196" t="s">
        <v>293</v>
      </c>
      <c r="CW1196" t="s">
        <v>13539</v>
      </c>
      <c r="CX1196" t="s">
        <v>387</v>
      </c>
      <c r="CY1196" t="s">
        <v>183</v>
      </c>
      <c r="CZ1196" t="s">
        <v>211</v>
      </c>
      <c r="DA1196" t="s">
        <v>298</v>
      </c>
      <c r="DC1196" t="s">
        <v>1066</v>
      </c>
      <c r="DD1196" t="s">
        <v>15534</v>
      </c>
      <c r="DE1196" t="s">
        <v>267</v>
      </c>
      <c r="DF1196" t="s">
        <v>268</v>
      </c>
      <c r="DG1196" t="s">
        <v>11412</v>
      </c>
      <c r="DH1196" t="s">
        <v>331</v>
      </c>
      <c r="DI1196" t="s">
        <v>183</v>
      </c>
      <c r="DJ1196" t="s">
        <v>211</v>
      </c>
      <c r="DK1196" t="s">
        <v>298</v>
      </c>
      <c r="DM1196" t="s">
        <v>7501</v>
      </c>
      <c r="DN1196" t="s">
        <v>15535</v>
      </c>
      <c r="DO1196" t="s">
        <v>273</v>
      </c>
      <c r="DP1196" t="s">
        <v>274</v>
      </c>
      <c r="DQ1196" t="s">
        <v>11413</v>
      </c>
      <c r="DR1196" t="s">
        <v>235</v>
      </c>
      <c r="DS1196" t="s">
        <v>183</v>
      </c>
      <c r="DT1196" t="s">
        <v>211</v>
      </c>
      <c r="DU1196" t="s">
        <v>329</v>
      </c>
      <c r="DW1196" t="s">
        <v>15536</v>
      </c>
      <c r="DX1196" t="s">
        <v>15537</v>
      </c>
      <c r="DY1196" t="s">
        <v>238</v>
      </c>
      <c r="DZ1196" t="s">
        <v>239</v>
      </c>
      <c r="EA1196" t="s">
        <v>15538</v>
      </c>
      <c r="EB1196" t="s">
        <v>440</v>
      </c>
      <c r="EC1196" t="s">
        <v>183</v>
      </c>
      <c r="ED1196" t="s">
        <v>211</v>
      </c>
      <c r="EE1196" t="s">
        <v>342</v>
      </c>
      <c r="EG1196" t="s">
        <v>2496</v>
      </c>
      <c r="EH1196" t="s">
        <v>13853</v>
      </c>
      <c r="EI1196" t="s">
        <v>207</v>
      </c>
      <c r="EJ1196" t="s">
        <v>208</v>
      </c>
      <c r="EK1196" t="s">
        <v>11468</v>
      </c>
      <c r="EL1196" t="s">
        <v>1052</v>
      </c>
      <c r="EM1196" t="s">
        <v>183</v>
      </c>
      <c r="EN1196" t="s">
        <v>211</v>
      </c>
      <c r="EO1196" t="s">
        <v>329</v>
      </c>
      <c r="EQ1196" t="s">
        <v>15539</v>
      </c>
      <c r="FA1196" t="s">
        <v>198</v>
      </c>
      <c r="FK1196" t="s">
        <v>198</v>
      </c>
      <c r="FU1196" t="s">
        <v>198</v>
      </c>
    </row>
    <row r="1197" spans="1:177">
      <c r="A1197" s="1" t="str">
        <f>HYPERLINK("http://digipan.lumentumllc.com/apps/getLink/index.php?t=PropLink&amp;p=5247320","PL")</f>
        <v>PL</v>
      </c>
      <c r="B1197" s="1" t="str">
        <f>HYPERLINK("http://digipan.lumentumllc.com/apps/getLink/index.php?t=TaxLink&amp;p=5247320","TL")</f>
        <v>TL</v>
      </c>
      <c r="C1197" s="1" t="str">
        <f>HYPERLINK("http://digipan.lumentumllc.com/apps/getMap/index.php?p=5247320","Map")</f>
        <v>Map</v>
      </c>
      <c r="E1197" t="s">
        <v>177</v>
      </c>
      <c r="F1197" t="s">
        <v>178</v>
      </c>
      <c r="L1197" t="s">
        <v>15540</v>
      </c>
      <c r="N1197" t="s">
        <v>15540</v>
      </c>
      <c r="O1197" t="s">
        <v>15540</v>
      </c>
      <c r="P1197" t="s">
        <v>15541</v>
      </c>
      <c r="Q1197" t="s">
        <v>15540</v>
      </c>
      <c r="V1197">
        <v>1367</v>
      </c>
      <c r="W1197">
        <v>5</v>
      </c>
      <c r="X1197">
        <v>2017</v>
      </c>
      <c r="Y1197">
        <v>2018</v>
      </c>
      <c r="Z1197">
        <v>462.85</v>
      </c>
      <c r="AB1197" t="s">
        <v>181</v>
      </c>
      <c r="AC1197" t="s">
        <v>182</v>
      </c>
      <c r="AD1197" t="s">
        <v>183</v>
      </c>
      <c r="AE1197">
        <v>1</v>
      </c>
      <c r="AF1197">
        <v>7</v>
      </c>
      <c r="AG1197" t="s">
        <v>418</v>
      </c>
      <c r="AH1197">
        <v>86</v>
      </c>
      <c r="AI1197">
        <v>456.22</v>
      </c>
      <c r="AJ1197">
        <v>22.81</v>
      </c>
      <c r="AK1197">
        <v>479.03</v>
      </c>
      <c r="AL1197">
        <v>59312</v>
      </c>
      <c r="AM1197">
        <v>38750</v>
      </c>
      <c r="AN1197">
        <v>20562</v>
      </c>
      <c r="AO1197">
        <v>397</v>
      </c>
      <c r="AP1197">
        <v>2016</v>
      </c>
      <c r="AQ1197">
        <v>0.78</v>
      </c>
      <c r="AR1197">
        <v>0.81</v>
      </c>
      <c r="AS1197" t="s">
        <v>15542</v>
      </c>
      <c r="AT1197" t="s">
        <v>15040</v>
      </c>
      <c r="AU1197" t="s">
        <v>177</v>
      </c>
      <c r="AV1197" t="s">
        <v>371</v>
      </c>
      <c r="AW1197" t="s">
        <v>202</v>
      </c>
      <c r="AX1197">
        <v>1</v>
      </c>
      <c r="AY1197" t="s">
        <v>188</v>
      </c>
      <c r="AZ1197" t="s">
        <v>206</v>
      </c>
      <c r="BA1197" t="s">
        <v>355</v>
      </c>
      <c r="BB1197" t="s">
        <v>191</v>
      </c>
      <c r="BC1197" t="s">
        <v>182</v>
      </c>
      <c r="BD1197" t="s">
        <v>182</v>
      </c>
      <c r="BE1197" t="s">
        <v>1329</v>
      </c>
      <c r="BF1197">
        <v>1</v>
      </c>
      <c r="BG1197">
        <v>1</v>
      </c>
      <c r="BH1197">
        <v>1983</v>
      </c>
      <c r="BI1197" t="s">
        <v>5810</v>
      </c>
      <c r="BJ1197" t="s">
        <v>194</v>
      </c>
      <c r="BK1197" t="s">
        <v>195</v>
      </c>
      <c r="BL1197" t="s">
        <v>199</v>
      </c>
      <c r="BM1197" t="s">
        <v>533</v>
      </c>
      <c r="BN1197" t="s">
        <v>182</v>
      </c>
      <c r="BO1197" t="s">
        <v>198</v>
      </c>
      <c r="BP1197" t="s">
        <v>198</v>
      </c>
      <c r="BQ1197" t="s">
        <v>198</v>
      </c>
      <c r="BR1197" t="s">
        <v>198</v>
      </c>
      <c r="BS1197" t="s">
        <v>198</v>
      </c>
      <c r="BT1197" t="s">
        <v>198</v>
      </c>
      <c r="BU1197" t="s">
        <v>182</v>
      </c>
      <c r="BV1197" t="s">
        <v>198</v>
      </c>
      <c r="BW1197" t="s">
        <v>198</v>
      </c>
      <c r="BX1197" t="s">
        <v>199</v>
      </c>
      <c r="BY1197" t="s">
        <v>198</v>
      </c>
      <c r="BZ1197" t="s">
        <v>199</v>
      </c>
      <c r="CA1197" t="s">
        <v>199</v>
      </c>
      <c r="CB1197" t="s">
        <v>15543</v>
      </c>
      <c r="CC1197" t="s">
        <v>201</v>
      </c>
      <c r="CD1197" t="s">
        <v>182</v>
      </c>
      <c r="CE1197" t="s">
        <v>15544</v>
      </c>
      <c r="CF1197" t="s">
        <v>5331</v>
      </c>
      <c r="CG1197" t="s">
        <v>177</v>
      </c>
      <c r="CH1197" t="s">
        <v>5332</v>
      </c>
      <c r="CI1197" t="s">
        <v>15545</v>
      </c>
      <c r="CJ1197" t="s">
        <v>3824</v>
      </c>
      <c r="CK1197" t="s">
        <v>232</v>
      </c>
      <c r="CL1197" t="s">
        <v>233</v>
      </c>
      <c r="CM1197" t="s">
        <v>15546</v>
      </c>
      <c r="CN1197" t="s">
        <v>235</v>
      </c>
      <c r="CO1197" t="s">
        <v>183</v>
      </c>
      <c r="CP1197" t="s">
        <v>266</v>
      </c>
      <c r="CS1197" t="s">
        <v>198</v>
      </c>
      <c r="CT1197" t="s">
        <v>2751</v>
      </c>
      <c r="CU1197" t="s">
        <v>292</v>
      </c>
      <c r="CV1197" t="s">
        <v>293</v>
      </c>
      <c r="CW1197" t="s">
        <v>15547</v>
      </c>
      <c r="CX1197" t="s">
        <v>235</v>
      </c>
      <c r="CY1197" t="s">
        <v>183</v>
      </c>
      <c r="CZ1197" t="s">
        <v>211</v>
      </c>
      <c r="DA1197" t="s">
        <v>264</v>
      </c>
      <c r="DC1197" t="s">
        <v>15548</v>
      </c>
      <c r="DD1197" t="s">
        <v>2781</v>
      </c>
      <c r="DE1197" t="s">
        <v>267</v>
      </c>
      <c r="DF1197" t="s">
        <v>268</v>
      </c>
      <c r="DG1197" t="s">
        <v>15549</v>
      </c>
      <c r="DH1197" t="s">
        <v>235</v>
      </c>
      <c r="DI1197" t="s">
        <v>183</v>
      </c>
      <c r="DJ1197" t="s">
        <v>211</v>
      </c>
      <c r="DK1197" t="s">
        <v>342</v>
      </c>
      <c r="DM1197" t="s">
        <v>993</v>
      </c>
      <c r="DN1197" t="s">
        <v>7443</v>
      </c>
      <c r="DO1197" t="s">
        <v>273</v>
      </c>
      <c r="DP1197" t="s">
        <v>274</v>
      </c>
      <c r="DQ1197" t="s">
        <v>15550</v>
      </c>
      <c r="DR1197" t="s">
        <v>235</v>
      </c>
      <c r="DS1197" t="s">
        <v>183</v>
      </c>
      <c r="DT1197" t="s">
        <v>211</v>
      </c>
      <c r="DU1197" t="s">
        <v>345</v>
      </c>
      <c r="DW1197" t="s">
        <v>13321</v>
      </c>
      <c r="DX1197" t="s">
        <v>13499</v>
      </c>
      <c r="DY1197" t="s">
        <v>302</v>
      </c>
      <c r="DZ1197" t="s">
        <v>303</v>
      </c>
      <c r="EA1197" t="s">
        <v>15551</v>
      </c>
      <c r="EB1197" t="s">
        <v>235</v>
      </c>
      <c r="EC1197" t="s">
        <v>183</v>
      </c>
      <c r="ED1197" t="s">
        <v>211</v>
      </c>
      <c r="EE1197" t="s">
        <v>189</v>
      </c>
      <c r="EG1197" t="s">
        <v>549</v>
      </c>
      <c r="EH1197" t="s">
        <v>15552</v>
      </c>
      <c r="EI1197" t="s">
        <v>238</v>
      </c>
      <c r="EJ1197" t="s">
        <v>239</v>
      </c>
      <c r="EK1197" t="s">
        <v>15553</v>
      </c>
      <c r="EL1197" t="s">
        <v>440</v>
      </c>
      <c r="EM1197" t="s">
        <v>183</v>
      </c>
      <c r="EN1197" t="s">
        <v>211</v>
      </c>
      <c r="EO1197" t="s">
        <v>329</v>
      </c>
      <c r="EQ1197" t="s">
        <v>878</v>
      </c>
      <c r="ER1197" t="s">
        <v>15554</v>
      </c>
      <c r="ES1197" t="s">
        <v>346</v>
      </c>
      <c r="ET1197" t="s">
        <v>347</v>
      </c>
      <c r="EU1197" t="s">
        <v>15555</v>
      </c>
      <c r="EV1197" t="s">
        <v>688</v>
      </c>
      <c r="EW1197" t="s">
        <v>183</v>
      </c>
      <c r="EX1197" t="s">
        <v>211</v>
      </c>
      <c r="EY1197" t="s">
        <v>298</v>
      </c>
      <c r="FA1197" t="s">
        <v>878</v>
      </c>
      <c r="FB1197" t="s">
        <v>9670</v>
      </c>
      <c r="FC1197" t="s">
        <v>207</v>
      </c>
      <c r="FD1197" t="s">
        <v>208</v>
      </c>
      <c r="FE1197" t="s">
        <v>15556</v>
      </c>
      <c r="FF1197" t="s">
        <v>1966</v>
      </c>
      <c r="FG1197" t="s">
        <v>183</v>
      </c>
      <c r="FH1197" t="s">
        <v>211</v>
      </c>
      <c r="FI1197" t="s">
        <v>270</v>
      </c>
      <c r="FK1197" t="s">
        <v>15557</v>
      </c>
      <c r="FU1197" t="s">
        <v>198</v>
      </c>
    </row>
    <row r="1198" spans="1:177">
      <c r="A1198" s="1" t="str">
        <f>HYPERLINK("http://digipan.lumentumllc.com/apps/getLink/index.php?t=PropLink&amp;p=5247321","PL")</f>
        <v>PL</v>
      </c>
      <c r="B1198" s="1" t="str">
        <f>HYPERLINK("http://digipan.lumentumllc.com/apps/getLink/index.php?t=TaxLink&amp;p=5247321","TL")</f>
        <v>TL</v>
      </c>
      <c r="C1198" s="1" t="str">
        <f>HYPERLINK("http://digipan.lumentumllc.com/apps/getMap/index.php?p=5247321","Map")</f>
        <v>Map</v>
      </c>
      <c r="E1198" t="s">
        <v>177</v>
      </c>
      <c r="F1198" t="s">
        <v>178</v>
      </c>
      <c r="L1198" t="s">
        <v>15558</v>
      </c>
      <c r="N1198" t="s">
        <v>15558</v>
      </c>
      <c r="O1198" t="s">
        <v>15558</v>
      </c>
      <c r="P1198" t="s">
        <v>15559</v>
      </c>
      <c r="Q1198" t="s">
        <v>15558</v>
      </c>
      <c r="V1198">
        <v>1368</v>
      </c>
      <c r="W1198">
        <v>5</v>
      </c>
      <c r="X1198">
        <v>2017</v>
      </c>
      <c r="Y1198">
        <v>2018</v>
      </c>
      <c r="Z1198">
        <v>540.66</v>
      </c>
      <c r="AB1198" t="s">
        <v>181</v>
      </c>
      <c r="AC1198" t="s">
        <v>182</v>
      </c>
      <c r="AD1198" t="s">
        <v>183</v>
      </c>
      <c r="AE1198">
        <v>1</v>
      </c>
      <c r="AF1198">
        <v>7</v>
      </c>
      <c r="AG1198" t="s">
        <v>418</v>
      </c>
      <c r="AH1198">
        <v>86</v>
      </c>
      <c r="AI1198">
        <v>534.69000000000005</v>
      </c>
      <c r="AJ1198">
        <v>26.73</v>
      </c>
      <c r="AK1198">
        <v>561.41999999999996</v>
      </c>
      <c r="AL1198">
        <v>74998</v>
      </c>
      <c r="AM1198">
        <v>25000</v>
      </c>
      <c r="AN1198">
        <v>49998</v>
      </c>
      <c r="AO1198">
        <v>469</v>
      </c>
      <c r="AP1198">
        <v>2016</v>
      </c>
      <c r="AQ1198">
        <v>0.72</v>
      </c>
      <c r="AR1198">
        <v>0.75</v>
      </c>
      <c r="AS1198" t="s">
        <v>15560</v>
      </c>
      <c r="AT1198" t="s">
        <v>15040</v>
      </c>
      <c r="AU1198" t="s">
        <v>177</v>
      </c>
      <c r="AV1198" t="s">
        <v>371</v>
      </c>
      <c r="AW1198" t="s">
        <v>202</v>
      </c>
      <c r="AX1198">
        <v>2</v>
      </c>
      <c r="AY1198" t="s">
        <v>188</v>
      </c>
      <c r="AZ1198" t="s">
        <v>189</v>
      </c>
      <c r="BA1198" t="s">
        <v>190</v>
      </c>
      <c r="BB1198" t="s">
        <v>191</v>
      </c>
      <c r="BC1198" t="s">
        <v>182</v>
      </c>
      <c r="BD1198" t="s">
        <v>182</v>
      </c>
      <c r="BE1198" t="s">
        <v>383</v>
      </c>
      <c r="BF1198">
        <v>1</v>
      </c>
      <c r="BG1198">
        <v>1</v>
      </c>
      <c r="BH1198">
        <v>1998</v>
      </c>
      <c r="BI1198" t="s">
        <v>15561</v>
      </c>
      <c r="BJ1198" t="s">
        <v>194</v>
      </c>
      <c r="BK1198" t="s">
        <v>195</v>
      </c>
      <c r="BL1198" t="s">
        <v>14675</v>
      </c>
      <c r="BM1198" t="s">
        <v>1311</v>
      </c>
      <c r="BN1198" t="s">
        <v>182</v>
      </c>
      <c r="BO1198" t="s">
        <v>198</v>
      </c>
      <c r="BP1198" t="s">
        <v>198</v>
      </c>
      <c r="BQ1198" t="s">
        <v>198</v>
      </c>
      <c r="BR1198" t="s">
        <v>198</v>
      </c>
      <c r="BS1198" t="s">
        <v>198</v>
      </c>
      <c r="BT1198" t="s">
        <v>198</v>
      </c>
      <c r="BU1198" t="s">
        <v>182</v>
      </c>
      <c r="BV1198" t="s">
        <v>198</v>
      </c>
      <c r="BW1198" t="s">
        <v>198</v>
      </c>
      <c r="BX1198" t="s">
        <v>199</v>
      </c>
      <c r="BY1198" t="s">
        <v>198</v>
      </c>
      <c r="BZ1198" t="s">
        <v>199</v>
      </c>
      <c r="CA1198" t="s">
        <v>199</v>
      </c>
      <c r="CB1198" t="s">
        <v>15562</v>
      </c>
      <c r="CC1198" t="s">
        <v>201</v>
      </c>
      <c r="CD1198" t="s">
        <v>182</v>
      </c>
      <c r="CE1198" t="s">
        <v>15563</v>
      </c>
      <c r="CF1198" t="s">
        <v>5331</v>
      </c>
      <c r="CG1198" t="s">
        <v>177</v>
      </c>
      <c r="CH1198" t="s">
        <v>371</v>
      </c>
      <c r="CI1198" t="s">
        <v>15564</v>
      </c>
      <c r="CJ1198" t="s">
        <v>14190</v>
      </c>
      <c r="CK1198" t="s">
        <v>232</v>
      </c>
      <c r="CL1198" t="s">
        <v>233</v>
      </c>
      <c r="CM1198" t="s">
        <v>12728</v>
      </c>
      <c r="CN1198" t="s">
        <v>235</v>
      </c>
      <c r="CO1198" t="s">
        <v>183</v>
      </c>
      <c r="CP1198" t="s">
        <v>266</v>
      </c>
      <c r="CS1198" t="s">
        <v>198</v>
      </c>
      <c r="CT1198" t="s">
        <v>11872</v>
      </c>
      <c r="CU1198" t="s">
        <v>292</v>
      </c>
      <c r="CV1198" t="s">
        <v>293</v>
      </c>
      <c r="CW1198" t="s">
        <v>15565</v>
      </c>
      <c r="CX1198" t="s">
        <v>235</v>
      </c>
      <c r="CY1198" t="s">
        <v>183</v>
      </c>
      <c r="CZ1198" t="s">
        <v>211</v>
      </c>
      <c r="DA1198" t="s">
        <v>298</v>
      </c>
      <c r="DC1198" t="s">
        <v>3703</v>
      </c>
      <c r="DD1198" t="s">
        <v>12414</v>
      </c>
      <c r="DE1198" t="s">
        <v>267</v>
      </c>
      <c r="DF1198" t="s">
        <v>268</v>
      </c>
      <c r="DG1198" t="s">
        <v>15566</v>
      </c>
      <c r="DH1198" t="s">
        <v>235</v>
      </c>
      <c r="DI1198" t="s">
        <v>183</v>
      </c>
      <c r="DJ1198" t="s">
        <v>211</v>
      </c>
      <c r="DK1198" t="s">
        <v>493</v>
      </c>
      <c r="DM1198" t="s">
        <v>15567</v>
      </c>
      <c r="DN1198" t="s">
        <v>7132</v>
      </c>
      <c r="DO1198" t="s">
        <v>273</v>
      </c>
      <c r="DP1198" t="s">
        <v>274</v>
      </c>
      <c r="DQ1198" t="s">
        <v>15568</v>
      </c>
      <c r="DR1198" t="s">
        <v>235</v>
      </c>
      <c r="DS1198" t="s">
        <v>183</v>
      </c>
      <c r="DT1198" t="s">
        <v>211</v>
      </c>
      <c r="DU1198" t="s">
        <v>345</v>
      </c>
      <c r="DW1198" t="s">
        <v>13104</v>
      </c>
      <c r="DX1198" t="s">
        <v>13514</v>
      </c>
      <c r="DY1198" t="s">
        <v>302</v>
      </c>
      <c r="DZ1198" t="s">
        <v>303</v>
      </c>
      <c r="EA1198" t="s">
        <v>15569</v>
      </c>
      <c r="EB1198" t="s">
        <v>235</v>
      </c>
      <c r="EC1198" t="s">
        <v>183</v>
      </c>
      <c r="ED1198" t="s">
        <v>211</v>
      </c>
      <c r="EE1198" t="s">
        <v>298</v>
      </c>
      <c r="EG1198" t="s">
        <v>1071</v>
      </c>
      <c r="EH1198" t="s">
        <v>15570</v>
      </c>
      <c r="EI1198" t="s">
        <v>238</v>
      </c>
      <c r="EJ1198" t="s">
        <v>239</v>
      </c>
      <c r="EK1198" t="s">
        <v>15571</v>
      </c>
      <c r="EL1198" t="s">
        <v>278</v>
      </c>
      <c r="EM1198" t="s">
        <v>183</v>
      </c>
      <c r="EN1198" t="s">
        <v>211</v>
      </c>
      <c r="EO1198" t="s">
        <v>298</v>
      </c>
      <c r="EQ1198" t="s">
        <v>467</v>
      </c>
      <c r="ER1198" t="s">
        <v>15572</v>
      </c>
      <c r="ES1198" t="s">
        <v>346</v>
      </c>
      <c r="ET1198" t="s">
        <v>347</v>
      </c>
      <c r="EU1198" t="s">
        <v>15573</v>
      </c>
      <c r="EV1198" t="s">
        <v>688</v>
      </c>
      <c r="EW1198" t="s">
        <v>183</v>
      </c>
      <c r="EX1198" t="s">
        <v>211</v>
      </c>
      <c r="EY1198" t="s">
        <v>460</v>
      </c>
      <c r="FA1198" t="s">
        <v>15574</v>
      </c>
      <c r="FB1198" t="s">
        <v>14935</v>
      </c>
      <c r="FC1198" t="s">
        <v>207</v>
      </c>
      <c r="FD1198" t="s">
        <v>208</v>
      </c>
      <c r="FE1198" t="s">
        <v>15575</v>
      </c>
      <c r="FF1198" t="s">
        <v>1966</v>
      </c>
      <c r="FG1198" t="s">
        <v>183</v>
      </c>
      <c r="FH1198" t="s">
        <v>211</v>
      </c>
      <c r="FI1198" t="s">
        <v>306</v>
      </c>
      <c r="FK1198" t="s">
        <v>15576</v>
      </c>
      <c r="FU1198" t="s">
        <v>198</v>
      </c>
    </row>
    <row r="1199" spans="1:177">
      <c r="A1199" s="1" t="str">
        <f>HYPERLINK("http://digipan.lumentumllc.com/apps/getLink/index.php?t=PropLink&amp;p=5247322","PL")</f>
        <v>PL</v>
      </c>
      <c r="B1199" s="1" t="str">
        <f>HYPERLINK("http://digipan.lumentumllc.com/apps/getLink/index.php?t=TaxLink&amp;p=5247322","TL")</f>
        <v>TL</v>
      </c>
      <c r="C1199" s="1" t="str">
        <f>HYPERLINK("http://digipan.lumentumllc.com/apps/getMap/index.php?p=5247322","Map")</f>
        <v>Map</v>
      </c>
      <c r="E1199" t="s">
        <v>177</v>
      </c>
      <c r="F1199" t="s">
        <v>178</v>
      </c>
      <c r="L1199" t="s">
        <v>15577</v>
      </c>
      <c r="N1199" t="s">
        <v>15577</v>
      </c>
      <c r="O1199" t="s">
        <v>15577</v>
      </c>
      <c r="P1199" t="s">
        <v>15578</v>
      </c>
      <c r="Q1199" t="s">
        <v>15577</v>
      </c>
      <c r="V1199">
        <v>1369</v>
      </c>
      <c r="W1199">
        <v>5</v>
      </c>
      <c r="X1199">
        <v>2017</v>
      </c>
      <c r="Y1199">
        <v>2018</v>
      </c>
      <c r="Z1199">
        <v>503.03</v>
      </c>
      <c r="AB1199" t="s">
        <v>181</v>
      </c>
      <c r="AC1199" t="s">
        <v>182</v>
      </c>
      <c r="AD1199" t="s">
        <v>183</v>
      </c>
      <c r="AE1199">
        <v>1</v>
      </c>
      <c r="AF1199">
        <v>6</v>
      </c>
      <c r="AG1199" t="s">
        <v>322</v>
      </c>
      <c r="AH1199">
        <v>83</v>
      </c>
      <c r="AI1199">
        <v>496.73</v>
      </c>
      <c r="AJ1199">
        <v>24.84</v>
      </c>
      <c r="AK1199">
        <v>521.57000000000005</v>
      </c>
      <c r="AL1199">
        <v>70285</v>
      </c>
      <c r="AM1199">
        <v>25000</v>
      </c>
      <c r="AN1199">
        <v>45285</v>
      </c>
      <c r="AO1199">
        <v>434</v>
      </c>
      <c r="AP1199">
        <v>2016</v>
      </c>
      <c r="AQ1199">
        <v>0.72</v>
      </c>
      <c r="AR1199">
        <v>0.74</v>
      </c>
      <c r="AS1199" t="s">
        <v>15579</v>
      </c>
      <c r="AT1199" t="s">
        <v>15040</v>
      </c>
      <c r="AU1199" t="s">
        <v>177</v>
      </c>
      <c r="AV1199" t="s">
        <v>371</v>
      </c>
      <c r="AW1199" t="s">
        <v>202</v>
      </c>
      <c r="AX1199">
        <v>2</v>
      </c>
      <c r="AY1199" t="s">
        <v>188</v>
      </c>
      <c r="AZ1199" t="s">
        <v>189</v>
      </c>
      <c r="BA1199" t="s">
        <v>190</v>
      </c>
      <c r="BB1199" t="s">
        <v>191</v>
      </c>
      <c r="BC1199" t="s">
        <v>182</v>
      </c>
      <c r="BD1199" t="s">
        <v>182</v>
      </c>
      <c r="BE1199" t="s">
        <v>3783</v>
      </c>
      <c r="BF1199">
        <v>1</v>
      </c>
      <c r="BG1199">
        <v>1</v>
      </c>
      <c r="BH1199">
        <v>1998</v>
      </c>
      <c r="BI1199" t="s">
        <v>15469</v>
      </c>
      <c r="BJ1199" t="s">
        <v>194</v>
      </c>
      <c r="BK1199" t="s">
        <v>195</v>
      </c>
      <c r="BL1199" t="s">
        <v>199</v>
      </c>
      <c r="BM1199" t="s">
        <v>273</v>
      </c>
      <c r="BN1199" t="s">
        <v>182</v>
      </c>
      <c r="BO1199" t="s">
        <v>198</v>
      </c>
      <c r="BP1199" t="s">
        <v>198</v>
      </c>
      <c r="BQ1199" t="s">
        <v>198</v>
      </c>
      <c r="BR1199" t="s">
        <v>198</v>
      </c>
      <c r="BS1199" t="s">
        <v>198</v>
      </c>
      <c r="BT1199" t="s">
        <v>198</v>
      </c>
      <c r="BU1199" t="s">
        <v>182</v>
      </c>
      <c r="BV1199" t="s">
        <v>198</v>
      </c>
      <c r="BW1199" t="s">
        <v>198</v>
      </c>
      <c r="BX1199" t="s">
        <v>199</v>
      </c>
      <c r="BY1199" t="s">
        <v>198</v>
      </c>
      <c r="BZ1199" t="s">
        <v>199</v>
      </c>
      <c r="CA1199" t="s">
        <v>199</v>
      </c>
      <c r="CB1199" t="s">
        <v>15580</v>
      </c>
      <c r="CC1199" t="s">
        <v>201</v>
      </c>
      <c r="CD1199" t="s">
        <v>182</v>
      </c>
      <c r="CE1199" t="s">
        <v>15581</v>
      </c>
      <c r="CF1199" t="s">
        <v>5331</v>
      </c>
      <c r="CG1199" t="s">
        <v>177</v>
      </c>
      <c r="CH1199" t="s">
        <v>371</v>
      </c>
      <c r="CI1199" t="s">
        <v>10181</v>
      </c>
      <c r="CJ1199" t="s">
        <v>260</v>
      </c>
      <c r="CK1199" t="s">
        <v>232</v>
      </c>
      <c r="CL1199" t="s">
        <v>233</v>
      </c>
      <c r="CM1199" t="s">
        <v>15582</v>
      </c>
      <c r="CN1199" t="s">
        <v>235</v>
      </c>
      <c r="CO1199" t="s">
        <v>183</v>
      </c>
      <c r="CP1199" t="s">
        <v>266</v>
      </c>
      <c r="CS1199" t="s">
        <v>198</v>
      </c>
      <c r="CT1199" t="s">
        <v>14445</v>
      </c>
      <c r="CU1199" t="s">
        <v>292</v>
      </c>
      <c r="CV1199" t="s">
        <v>293</v>
      </c>
      <c r="CW1199" t="s">
        <v>15583</v>
      </c>
      <c r="CX1199" t="s">
        <v>235</v>
      </c>
      <c r="CY1199" t="s">
        <v>183</v>
      </c>
      <c r="CZ1199" t="s">
        <v>211</v>
      </c>
      <c r="DA1199" t="s">
        <v>270</v>
      </c>
      <c r="DC1199" t="s">
        <v>15584</v>
      </c>
      <c r="DD1199" t="s">
        <v>12422</v>
      </c>
      <c r="DE1199" t="s">
        <v>267</v>
      </c>
      <c r="DF1199" t="s">
        <v>268</v>
      </c>
      <c r="DG1199" t="s">
        <v>15585</v>
      </c>
      <c r="DH1199" t="s">
        <v>235</v>
      </c>
      <c r="DI1199" t="s">
        <v>183</v>
      </c>
      <c r="DJ1199" t="s">
        <v>211</v>
      </c>
      <c r="DK1199" t="s">
        <v>212</v>
      </c>
      <c r="DM1199" t="s">
        <v>15586</v>
      </c>
      <c r="DN1199" t="s">
        <v>15587</v>
      </c>
      <c r="DO1199" t="s">
        <v>302</v>
      </c>
      <c r="DP1199" t="s">
        <v>303</v>
      </c>
      <c r="DQ1199" t="s">
        <v>15588</v>
      </c>
      <c r="DR1199" t="s">
        <v>235</v>
      </c>
      <c r="DS1199" t="s">
        <v>183</v>
      </c>
      <c r="DT1199" t="s">
        <v>211</v>
      </c>
      <c r="DU1199" t="s">
        <v>206</v>
      </c>
      <c r="DW1199" t="s">
        <v>15589</v>
      </c>
      <c r="DX1199" t="s">
        <v>15590</v>
      </c>
      <c r="DY1199" t="s">
        <v>238</v>
      </c>
      <c r="DZ1199" t="s">
        <v>239</v>
      </c>
      <c r="EA1199" t="s">
        <v>15591</v>
      </c>
      <c r="EB1199" t="s">
        <v>278</v>
      </c>
      <c r="EC1199" t="s">
        <v>183</v>
      </c>
      <c r="ED1199" t="s">
        <v>211</v>
      </c>
      <c r="EE1199" t="s">
        <v>306</v>
      </c>
      <c r="EG1199" t="s">
        <v>15589</v>
      </c>
      <c r="EH1199" t="s">
        <v>9127</v>
      </c>
      <c r="EI1199" t="s">
        <v>346</v>
      </c>
      <c r="EJ1199" t="s">
        <v>347</v>
      </c>
      <c r="EK1199" t="s">
        <v>15592</v>
      </c>
      <c r="EL1199" t="s">
        <v>688</v>
      </c>
      <c r="EM1199" t="s">
        <v>183</v>
      </c>
      <c r="EN1199" t="s">
        <v>211</v>
      </c>
      <c r="EO1199" t="s">
        <v>298</v>
      </c>
      <c r="EQ1199" t="s">
        <v>3166</v>
      </c>
      <c r="ER1199" t="s">
        <v>15593</v>
      </c>
      <c r="ES1199" t="s">
        <v>207</v>
      </c>
      <c r="ET1199" t="s">
        <v>208</v>
      </c>
      <c r="EU1199" t="s">
        <v>15594</v>
      </c>
      <c r="EV1199" t="s">
        <v>1966</v>
      </c>
      <c r="EW1199" t="s">
        <v>183</v>
      </c>
      <c r="EX1199" t="s">
        <v>211</v>
      </c>
      <c r="EY1199" t="s">
        <v>298</v>
      </c>
      <c r="FA1199" t="s">
        <v>5101</v>
      </c>
      <c r="FK1199" t="s">
        <v>198</v>
      </c>
      <c r="FU1199" t="s">
        <v>198</v>
      </c>
    </row>
    <row r="1200" spans="1:177">
      <c r="A1200" s="1" t="str">
        <f>HYPERLINK("http://digipan.lumentumllc.com/apps/getLink/index.php?t=PropLink&amp;p=5247326","PL")</f>
        <v>PL</v>
      </c>
      <c r="B1200" s="1" t="str">
        <f>HYPERLINK("http://digipan.lumentumllc.com/apps/getLink/index.php?t=TaxLink&amp;p=5247326","TL")</f>
        <v>TL</v>
      </c>
      <c r="C1200" s="1" t="str">
        <f>HYPERLINK("http://digipan.lumentumllc.com/apps/getMap/index.php?p=5247326","Map")</f>
        <v>Map</v>
      </c>
      <c r="E1200" t="s">
        <v>177</v>
      </c>
      <c r="F1200" t="s">
        <v>178</v>
      </c>
      <c r="L1200" t="s">
        <v>15595</v>
      </c>
      <c r="N1200" t="s">
        <v>15595</v>
      </c>
      <c r="O1200" t="s">
        <v>15595</v>
      </c>
      <c r="P1200" t="s">
        <v>15596</v>
      </c>
      <c r="Q1200" t="s">
        <v>15595</v>
      </c>
      <c r="V1200">
        <v>1370</v>
      </c>
      <c r="W1200">
        <v>5</v>
      </c>
      <c r="X1200">
        <v>2017</v>
      </c>
      <c r="Y1200">
        <v>2018</v>
      </c>
      <c r="Z1200">
        <v>1078.8599999999999</v>
      </c>
      <c r="AB1200" t="s">
        <v>181</v>
      </c>
      <c r="AC1200" t="s">
        <v>202</v>
      </c>
      <c r="AD1200" t="s">
        <v>183</v>
      </c>
      <c r="AE1200">
        <v>0</v>
      </c>
      <c r="AF1200">
        <v>7</v>
      </c>
      <c r="AG1200" t="s">
        <v>528</v>
      </c>
      <c r="AH1200">
        <v>100</v>
      </c>
      <c r="AK1200">
        <v>0</v>
      </c>
      <c r="AL1200">
        <v>69446</v>
      </c>
      <c r="AM1200">
        <v>25000</v>
      </c>
      <c r="AN1200">
        <v>44446</v>
      </c>
      <c r="AO1200">
        <v>833</v>
      </c>
      <c r="AP1200">
        <v>2016</v>
      </c>
      <c r="AQ1200">
        <v>1.55</v>
      </c>
      <c r="AS1200" t="s">
        <v>15597</v>
      </c>
      <c r="AT1200" t="s">
        <v>15040</v>
      </c>
      <c r="AU1200" t="s">
        <v>177</v>
      </c>
      <c r="AV1200" t="s">
        <v>371</v>
      </c>
      <c r="AW1200" t="s">
        <v>182</v>
      </c>
      <c r="AX1200">
        <v>2</v>
      </c>
      <c r="AY1200" t="s">
        <v>188</v>
      </c>
      <c r="AZ1200" t="s">
        <v>189</v>
      </c>
      <c r="BA1200" t="s">
        <v>190</v>
      </c>
      <c r="BB1200" t="s">
        <v>191</v>
      </c>
      <c r="BC1200" t="s">
        <v>182</v>
      </c>
      <c r="BD1200" t="s">
        <v>182</v>
      </c>
      <c r="BE1200" t="s">
        <v>1385</v>
      </c>
      <c r="BF1200">
        <v>1</v>
      </c>
      <c r="BG1200">
        <v>1</v>
      </c>
      <c r="BH1200">
        <v>1997</v>
      </c>
      <c r="BI1200" t="s">
        <v>15598</v>
      </c>
      <c r="BJ1200" t="s">
        <v>194</v>
      </c>
      <c r="BK1200" t="s">
        <v>195</v>
      </c>
      <c r="BL1200" t="s">
        <v>6211</v>
      </c>
      <c r="BM1200" t="s">
        <v>1825</v>
      </c>
      <c r="BN1200" t="s">
        <v>182</v>
      </c>
      <c r="BO1200" t="s">
        <v>15599</v>
      </c>
      <c r="BP1200" t="s">
        <v>15600</v>
      </c>
      <c r="BS1200" t="s">
        <v>15601</v>
      </c>
      <c r="BT1200" t="s">
        <v>198</v>
      </c>
      <c r="BU1200" t="s">
        <v>182</v>
      </c>
      <c r="BV1200" t="s">
        <v>198</v>
      </c>
      <c r="BW1200" t="s">
        <v>198</v>
      </c>
      <c r="BX1200" t="s">
        <v>199</v>
      </c>
      <c r="BY1200" t="s">
        <v>198</v>
      </c>
      <c r="BZ1200" t="s">
        <v>199</v>
      </c>
      <c r="CA1200" t="s">
        <v>199</v>
      </c>
      <c r="CB1200" t="s">
        <v>15602</v>
      </c>
      <c r="CC1200" t="s">
        <v>201</v>
      </c>
      <c r="CD1200" t="s">
        <v>182</v>
      </c>
      <c r="CE1200" t="s">
        <v>15603</v>
      </c>
      <c r="CF1200" t="s">
        <v>5331</v>
      </c>
      <c r="CG1200" t="s">
        <v>177</v>
      </c>
      <c r="CH1200" t="s">
        <v>371</v>
      </c>
      <c r="CI1200" t="s">
        <v>15604</v>
      </c>
      <c r="CJ1200" t="s">
        <v>3870</v>
      </c>
      <c r="CK1200" t="s">
        <v>232</v>
      </c>
      <c r="CL1200" t="s">
        <v>233</v>
      </c>
      <c r="CM1200" t="s">
        <v>15605</v>
      </c>
      <c r="CN1200" t="s">
        <v>331</v>
      </c>
      <c r="CO1200" t="s">
        <v>183</v>
      </c>
      <c r="CP1200" t="s">
        <v>211</v>
      </c>
      <c r="CQ1200" t="s">
        <v>206</v>
      </c>
      <c r="CR1200" t="s">
        <v>271</v>
      </c>
      <c r="CS1200" t="s">
        <v>10327</v>
      </c>
      <c r="CT1200" t="s">
        <v>1733</v>
      </c>
      <c r="CU1200" t="s">
        <v>292</v>
      </c>
      <c r="CV1200" t="s">
        <v>293</v>
      </c>
      <c r="CW1200" t="s">
        <v>15606</v>
      </c>
      <c r="CX1200" t="s">
        <v>333</v>
      </c>
      <c r="CY1200" t="s">
        <v>183</v>
      </c>
      <c r="CZ1200" t="s">
        <v>211</v>
      </c>
      <c r="DA1200" t="s">
        <v>306</v>
      </c>
      <c r="DB1200" t="s">
        <v>271</v>
      </c>
      <c r="DC1200" t="s">
        <v>10327</v>
      </c>
      <c r="DD1200" t="s">
        <v>14892</v>
      </c>
      <c r="DE1200" t="s">
        <v>267</v>
      </c>
      <c r="DF1200" t="s">
        <v>268</v>
      </c>
      <c r="DG1200" t="s">
        <v>15607</v>
      </c>
      <c r="DH1200" t="s">
        <v>235</v>
      </c>
      <c r="DI1200" t="s">
        <v>183</v>
      </c>
      <c r="DJ1200" t="s">
        <v>211</v>
      </c>
      <c r="DL1200" t="s">
        <v>271</v>
      </c>
      <c r="DM1200" t="s">
        <v>198</v>
      </c>
      <c r="DN1200" t="s">
        <v>11069</v>
      </c>
      <c r="DO1200" t="s">
        <v>302</v>
      </c>
      <c r="DP1200" t="s">
        <v>303</v>
      </c>
      <c r="DQ1200" t="s">
        <v>15608</v>
      </c>
      <c r="DR1200" t="s">
        <v>235</v>
      </c>
      <c r="DS1200" t="s">
        <v>183</v>
      </c>
      <c r="DT1200" t="s">
        <v>211</v>
      </c>
      <c r="DU1200" t="s">
        <v>212</v>
      </c>
      <c r="DV1200" t="s">
        <v>271</v>
      </c>
      <c r="DW1200" t="s">
        <v>15609</v>
      </c>
      <c r="DX1200" t="s">
        <v>15610</v>
      </c>
      <c r="DY1200" t="s">
        <v>238</v>
      </c>
      <c r="DZ1200" t="s">
        <v>239</v>
      </c>
      <c r="EA1200" t="s">
        <v>15611</v>
      </c>
      <c r="EB1200" t="s">
        <v>482</v>
      </c>
      <c r="EC1200" t="s">
        <v>183</v>
      </c>
      <c r="ED1200" t="s">
        <v>211</v>
      </c>
      <c r="EF1200" t="s">
        <v>271</v>
      </c>
      <c r="EG1200" t="s">
        <v>198</v>
      </c>
      <c r="EH1200" t="s">
        <v>15612</v>
      </c>
      <c r="EI1200" t="s">
        <v>346</v>
      </c>
      <c r="EJ1200" t="s">
        <v>347</v>
      </c>
      <c r="EK1200" t="s">
        <v>15613</v>
      </c>
      <c r="EL1200" t="s">
        <v>688</v>
      </c>
      <c r="EM1200" t="s">
        <v>183</v>
      </c>
      <c r="EN1200" t="s">
        <v>211</v>
      </c>
      <c r="EO1200" t="s">
        <v>337</v>
      </c>
      <c r="EQ1200" t="s">
        <v>5294</v>
      </c>
      <c r="ER1200" t="s">
        <v>15614</v>
      </c>
      <c r="ES1200" t="s">
        <v>207</v>
      </c>
      <c r="ET1200" t="s">
        <v>208</v>
      </c>
      <c r="EU1200" t="s">
        <v>15615</v>
      </c>
      <c r="EV1200" t="s">
        <v>1966</v>
      </c>
      <c r="EW1200" t="s">
        <v>183</v>
      </c>
      <c r="EX1200" t="s">
        <v>211</v>
      </c>
      <c r="EY1200" t="s">
        <v>334</v>
      </c>
      <c r="FA1200" t="s">
        <v>15616</v>
      </c>
      <c r="FK1200" t="s">
        <v>198</v>
      </c>
      <c r="FU1200" t="s">
        <v>198</v>
      </c>
    </row>
    <row r="1201" spans="1:177">
      <c r="A1201" s="1" t="str">
        <f>HYPERLINK("http://digipan.lumentumllc.com/apps/getLink/index.php?t=PropLink&amp;p=6129253","PL")</f>
        <v>PL</v>
      </c>
      <c r="B1201" s="1" t="str">
        <f>HYPERLINK("http://digipan.lumentumllc.com/apps/getLink/index.php?t=TaxLink&amp;p=6129253","TL")</f>
        <v>TL</v>
      </c>
      <c r="C1201" s="1" t="str">
        <f>HYPERLINK("http://digipan.lumentumllc.com/apps/getMap/index.php?p=6129253","Map")</f>
        <v>Map</v>
      </c>
      <c r="E1201" t="s">
        <v>177</v>
      </c>
      <c r="F1201" t="s">
        <v>178</v>
      </c>
      <c r="L1201" t="s">
        <v>15617</v>
      </c>
      <c r="N1201" t="s">
        <v>15617</v>
      </c>
      <c r="O1201" t="s">
        <v>15617</v>
      </c>
      <c r="P1201" t="s">
        <v>15618</v>
      </c>
      <c r="Q1201" t="s">
        <v>15617</v>
      </c>
      <c r="V1201">
        <v>1371</v>
      </c>
      <c r="W1201">
        <v>5</v>
      </c>
      <c r="X1201">
        <v>2017</v>
      </c>
      <c r="Y1201">
        <v>2018</v>
      </c>
      <c r="Z1201">
        <v>290.57</v>
      </c>
      <c r="AB1201" t="s">
        <v>181</v>
      </c>
      <c r="AC1201" t="s">
        <v>182</v>
      </c>
      <c r="AD1201" t="s">
        <v>6467</v>
      </c>
      <c r="AE1201">
        <v>0</v>
      </c>
      <c r="AF1201">
        <v>3</v>
      </c>
      <c r="AG1201" t="s">
        <v>381</v>
      </c>
      <c r="AH1201">
        <v>100</v>
      </c>
      <c r="AK1201">
        <v>0</v>
      </c>
      <c r="AL1201">
        <v>32837</v>
      </c>
      <c r="AM1201">
        <v>25000</v>
      </c>
      <c r="AN1201">
        <v>7837</v>
      </c>
      <c r="AO1201">
        <v>214</v>
      </c>
      <c r="AP1201">
        <v>2016</v>
      </c>
      <c r="AQ1201">
        <v>0.88</v>
      </c>
      <c r="AS1201" t="s">
        <v>15619</v>
      </c>
      <c r="AT1201" t="s">
        <v>15040</v>
      </c>
      <c r="AU1201" t="s">
        <v>177</v>
      </c>
      <c r="AV1201" t="s">
        <v>371</v>
      </c>
      <c r="AW1201" t="s">
        <v>202</v>
      </c>
      <c r="AX1201">
        <v>2</v>
      </c>
      <c r="AY1201" t="s">
        <v>188</v>
      </c>
      <c r="AZ1201" t="s">
        <v>189</v>
      </c>
      <c r="BA1201" t="s">
        <v>190</v>
      </c>
      <c r="BB1201" t="s">
        <v>191</v>
      </c>
      <c r="BC1201" t="s">
        <v>182</v>
      </c>
      <c r="BD1201" t="s">
        <v>182</v>
      </c>
      <c r="BE1201" t="s">
        <v>383</v>
      </c>
      <c r="BF1201">
        <v>1</v>
      </c>
      <c r="BG1201">
        <v>1</v>
      </c>
      <c r="BH1201">
        <v>1981</v>
      </c>
      <c r="BI1201" t="s">
        <v>15620</v>
      </c>
      <c r="BJ1201" t="s">
        <v>194</v>
      </c>
      <c r="BK1201" t="s">
        <v>195</v>
      </c>
      <c r="BL1201" t="s">
        <v>199</v>
      </c>
      <c r="BM1201" t="s">
        <v>267</v>
      </c>
      <c r="BN1201" t="s">
        <v>182</v>
      </c>
      <c r="BO1201" t="s">
        <v>15621</v>
      </c>
      <c r="BP1201" t="s">
        <v>3881</v>
      </c>
      <c r="BQ1201" t="s">
        <v>904</v>
      </c>
      <c r="BR1201" t="s">
        <v>6777</v>
      </c>
      <c r="BS1201" t="s">
        <v>198</v>
      </c>
      <c r="BT1201" t="s">
        <v>15622</v>
      </c>
      <c r="BU1201" t="s">
        <v>182</v>
      </c>
      <c r="BV1201" t="s">
        <v>198</v>
      </c>
      <c r="BW1201" t="s">
        <v>198</v>
      </c>
      <c r="BX1201" t="s">
        <v>199</v>
      </c>
      <c r="BY1201" t="s">
        <v>198</v>
      </c>
      <c r="BZ1201" t="s">
        <v>199</v>
      </c>
      <c r="CA1201" t="s">
        <v>199</v>
      </c>
      <c r="CB1201" t="s">
        <v>15623</v>
      </c>
      <c r="CC1201" t="s">
        <v>201</v>
      </c>
      <c r="CD1201" t="s">
        <v>202</v>
      </c>
      <c r="CE1201" t="s">
        <v>15624</v>
      </c>
      <c r="CF1201" t="s">
        <v>5331</v>
      </c>
      <c r="CG1201" t="s">
        <v>177</v>
      </c>
      <c r="CH1201" t="s">
        <v>371</v>
      </c>
      <c r="CI1201" t="s">
        <v>15625</v>
      </c>
      <c r="CJ1201" t="s">
        <v>3057</v>
      </c>
      <c r="CK1201" t="s">
        <v>267</v>
      </c>
      <c r="CL1201" t="s">
        <v>268</v>
      </c>
      <c r="CM1201" t="s">
        <v>15626</v>
      </c>
      <c r="CN1201" t="s">
        <v>482</v>
      </c>
      <c r="CO1201" t="s">
        <v>5</v>
      </c>
      <c r="CP1201" t="s">
        <v>211</v>
      </c>
      <c r="CQ1201" t="s">
        <v>212</v>
      </c>
      <c r="CS1201" t="s">
        <v>15627</v>
      </c>
      <c r="CT1201" t="s">
        <v>15628</v>
      </c>
      <c r="CU1201" t="s">
        <v>302</v>
      </c>
      <c r="CV1201" t="s">
        <v>303</v>
      </c>
      <c r="CW1201" t="s">
        <v>15629</v>
      </c>
      <c r="CX1201" t="s">
        <v>482</v>
      </c>
      <c r="CY1201" t="s">
        <v>5</v>
      </c>
      <c r="CZ1201" t="s">
        <v>211</v>
      </c>
      <c r="DA1201" t="s">
        <v>339</v>
      </c>
      <c r="DC1201" t="s">
        <v>1587</v>
      </c>
      <c r="DD1201" t="s">
        <v>15630</v>
      </c>
      <c r="DE1201" t="s">
        <v>238</v>
      </c>
      <c r="DF1201" t="s">
        <v>239</v>
      </c>
      <c r="DG1201" t="s">
        <v>15631</v>
      </c>
      <c r="DH1201" t="s">
        <v>482</v>
      </c>
      <c r="DI1201" t="s">
        <v>5</v>
      </c>
      <c r="DJ1201" t="s">
        <v>211</v>
      </c>
      <c r="DK1201" t="s">
        <v>290</v>
      </c>
      <c r="DM1201" t="s">
        <v>15632</v>
      </c>
      <c r="DW1201" t="s">
        <v>198</v>
      </c>
      <c r="EG1201" t="s">
        <v>198</v>
      </c>
      <c r="EQ1201" t="s">
        <v>198</v>
      </c>
      <c r="FA1201" t="s">
        <v>198</v>
      </c>
      <c r="FK1201" t="s">
        <v>198</v>
      </c>
      <c r="FU1201" t="s">
        <v>198</v>
      </c>
    </row>
    <row r="1202" spans="1:177">
      <c r="A1202" s="1" t="str">
        <f>HYPERLINK("http://digipan.lumentumllc.com/apps/getLink/index.php?t=PropLink&amp;p=5247332","PL")</f>
        <v>PL</v>
      </c>
      <c r="B1202" s="1" t="str">
        <f>HYPERLINK("http://digipan.lumentumllc.com/apps/getLink/index.php?t=TaxLink&amp;p=5247332","TL")</f>
        <v>TL</v>
      </c>
      <c r="C1202" s="1" t="str">
        <f>HYPERLINK("http://digipan.lumentumllc.com/apps/getMap/index.php?p=5247332","Map")</f>
        <v>Map</v>
      </c>
      <c r="E1202" t="s">
        <v>177</v>
      </c>
      <c r="F1202" t="s">
        <v>178</v>
      </c>
      <c r="L1202" t="s">
        <v>15633</v>
      </c>
      <c r="N1202" t="s">
        <v>15633</v>
      </c>
      <c r="O1202" t="s">
        <v>15633</v>
      </c>
      <c r="P1202" t="s">
        <v>15634</v>
      </c>
      <c r="Q1202" t="s">
        <v>15633</v>
      </c>
      <c r="V1202">
        <v>1372</v>
      </c>
      <c r="W1202">
        <v>5</v>
      </c>
      <c r="X1202">
        <v>2017</v>
      </c>
      <c r="Y1202">
        <v>2018</v>
      </c>
      <c r="Z1202">
        <v>902.53</v>
      </c>
      <c r="AG1202" t="s">
        <v>184</v>
      </c>
      <c r="AH1202">
        <v>0</v>
      </c>
      <c r="AK1202">
        <v>0</v>
      </c>
      <c r="AL1202">
        <v>53170</v>
      </c>
      <c r="AM1202">
        <v>25000</v>
      </c>
      <c r="AN1202">
        <v>28170</v>
      </c>
      <c r="AO1202">
        <v>0</v>
      </c>
      <c r="AP1202">
        <v>0</v>
      </c>
      <c r="AQ1202">
        <v>1.7</v>
      </c>
      <c r="AS1202" t="s">
        <v>15635</v>
      </c>
      <c r="AT1202" t="s">
        <v>15040</v>
      </c>
      <c r="AU1202" t="s">
        <v>177</v>
      </c>
      <c r="AV1202" t="s">
        <v>371</v>
      </c>
      <c r="AW1202" t="s">
        <v>182</v>
      </c>
      <c r="AX1202">
        <v>2</v>
      </c>
      <c r="AY1202" t="s">
        <v>188</v>
      </c>
      <c r="AZ1202" t="s">
        <v>189</v>
      </c>
      <c r="BA1202" t="s">
        <v>190</v>
      </c>
      <c r="BB1202" t="s">
        <v>191</v>
      </c>
      <c r="BC1202" t="s">
        <v>182</v>
      </c>
      <c r="BD1202" t="s">
        <v>182</v>
      </c>
      <c r="BE1202" t="s">
        <v>383</v>
      </c>
      <c r="BF1202">
        <v>1</v>
      </c>
      <c r="BG1202">
        <v>1</v>
      </c>
      <c r="BH1202">
        <v>1998</v>
      </c>
      <c r="BI1202" t="s">
        <v>2143</v>
      </c>
      <c r="BJ1202" t="s">
        <v>194</v>
      </c>
      <c r="BK1202" t="s">
        <v>195</v>
      </c>
      <c r="BL1202" t="s">
        <v>2050</v>
      </c>
      <c r="BM1202" t="s">
        <v>559</v>
      </c>
      <c r="BN1202" t="s">
        <v>182</v>
      </c>
      <c r="BO1202" t="s">
        <v>1204</v>
      </c>
      <c r="BP1202" t="s">
        <v>15636</v>
      </c>
      <c r="BQ1202" t="s">
        <v>800</v>
      </c>
      <c r="BR1202" t="s">
        <v>563</v>
      </c>
      <c r="BS1202" t="s">
        <v>198</v>
      </c>
      <c r="BT1202" t="s">
        <v>15637</v>
      </c>
      <c r="BU1202" t="s">
        <v>182</v>
      </c>
      <c r="BV1202" t="s">
        <v>198</v>
      </c>
      <c r="BW1202" t="s">
        <v>198</v>
      </c>
      <c r="BX1202" t="s">
        <v>199</v>
      </c>
      <c r="BY1202" t="s">
        <v>198</v>
      </c>
      <c r="BZ1202" t="s">
        <v>199</v>
      </c>
      <c r="CA1202" t="s">
        <v>199</v>
      </c>
      <c r="CB1202" t="s">
        <v>15638</v>
      </c>
      <c r="CC1202" t="s">
        <v>201</v>
      </c>
      <c r="CD1202" t="s">
        <v>182</v>
      </c>
      <c r="CE1202" t="s">
        <v>15639</v>
      </c>
      <c r="CF1202" t="s">
        <v>2333</v>
      </c>
      <c r="CG1202" t="s">
        <v>177</v>
      </c>
      <c r="CH1202" t="s">
        <v>3178</v>
      </c>
      <c r="CI1202" t="s">
        <v>15640</v>
      </c>
      <c r="CS1202" t="s">
        <v>198</v>
      </c>
      <c r="DC1202" t="s">
        <v>198</v>
      </c>
      <c r="DM1202" t="s">
        <v>198</v>
      </c>
      <c r="DW1202" t="s">
        <v>198</v>
      </c>
      <c r="EG1202" t="s">
        <v>198</v>
      </c>
      <c r="EQ1202" t="s">
        <v>198</v>
      </c>
      <c r="FA1202" t="s">
        <v>198</v>
      </c>
      <c r="FK1202" t="s">
        <v>198</v>
      </c>
      <c r="FU1202" t="s">
        <v>198</v>
      </c>
    </row>
    <row r="1203" spans="1:177">
      <c r="A1203" s="1" t="str">
        <f>HYPERLINK("http://digipan.lumentumllc.com/apps/getLink/index.php?t=PropLink&amp;p=5247333","PL")</f>
        <v>PL</v>
      </c>
      <c r="B1203" s="1" t="str">
        <f>HYPERLINK("http://digipan.lumentumllc.com/apps/getLink/index.php?t=TaxLink&amp;p=5247333","TL")</f>
        <v>TL</v>
      </c>
      <c r="C1203" s="1" t="str">
        <f>HYPERLINK("http://digipan.lumentumllc.com/apps/getMap/index.php?p=5247333","Map")</f>
        <v>Map</v>
      </c>
      <c r="E1203" t="s">
        <v>177</v>
      </c>
      <c r="F1203" t="s">
        <v>178</v>
      </c>
      <c r="L1203" t="s">
        <v>15641</v>
      </c>
      <c r="N1203" t="s">
        <v>15641</v>
      </c>
      <c r="O1203" t="s">
        <v>15641</v>
      </c>
      <c r="P1203" t="s">
        <v>15642</v>
      </c>
      <c r="Q1203" t="s">
        <v>15641</v>
      </c>
      <c r="V1203">
        <v>1373</v>
      </c>
      <c r="W1203">
        <v>5</v>
      </c>
      <c r="X1203">
        <v>2017</v>
      </c>
      <c r="Y1203">
        <v>2018</v>
      </c>
      <c r="Z1203">
        <v>546.55999999999995</v>
      </c>
      <c r="AB1203" t="s">
        <v>181</v>
      </c>
      <c r="AC1203" t="s">
        <v>182</v>
      </c>
      <c r="AD1203" t="s">
        <v>183</v>
      </c>
      <c r="AE1203">
        <v>0</v>
      </c>
      <c r="AF1203">
        <v>5</v>
      </c>
      <c r="AG1203" t="s">
        <v>744</v>
      </c>
      <c r="AH1203">
        <v>100</v>
      </c>
      <c r="AK1203">
        <v>0</v>
      </c>
      <c r="AL1203">
        <v>61887</v>
      </c>
      <c r="AM1203">
        <v>25000</v>
      </c>
      <c r="AN1203">
        <v>36887</v>
      </c>
      <c r="AO1203">
        <v>473</v>
      </c>
      <c r="AP1203">
        <v>2016</v>
      </c>
      <c r="AQ1203">
        <v>0.88</v>
      </c>
      <c r="AS1203" t="s">
        <v>15643</v>
      </c>
      <c r="AT1203" t="s">
        <v>15040</v>
      </c>
      <c r="AU1203" t="s">
        <v>177</v>
      </c>
      <c r="AV1203" t="s">
        <v>371</v>
      </c>
      <c r="AW1203" t="s">
        <v>202</v>
      </c>
      <c r="AX1203">
        <v>2</v>
      </c>
      <c r="AY1203" t="s">
        <v>188</v>
      </c>
      <c r="AZ1203" t="s">
        <v>189</v>
      </c>
      <c r="BA1203" t="s">
        <v>190</v>
      </c>
      <c r="BB1203" t="s">
        <v>191</v>
      </c>
      <c r="BC1203" t="s">
        <v>182</v>
      </c>
      <c r="BD1203" t="s">
        <v>182</v>
      </c>
      <c r="BE1203" t="s">
        <v>1385</v>
      </c>
      <c r="BF1203">
        <v>2</v>
      </c>
      <c r="BG1203">
        <v>2</v>
      </c>
      <c r="BH1203">
        <v>1983</v>
      </c>
      <c r="BI1203" t="s">
        <v>15644</v>
      </c>
      <c r="BJ1203" t="s">
        <v>194</v>
      </c>
      <c r="BK1203" t="s">
        <v>195</v>
      </c>
      <c r="BL1203" t="s">
        <v>944</v>
      </c>
      <c r="BM1203" t="s">
        <v>1779</v>
      </c>
      <c r="BN1203" t="s">
        <v>182</v>
      </c>
      <c r="BO1203" t="s">
        <v>198</v>
      </c>
      <c r="BP1203" t="s">
        <v>198</v>
      </c>
      <c r="BQ1203" t="s">
        <v>198</v>
      </c>
      <c r="BR1203" t="s">
        <v>198</v>
      </c>
      <c r="BS1203" t="s">
        <v>198</v>
      </c>
      <c r="BT1203" t="s">
        <v>198</v>
      </c>
      <c r="BU1203" t="s">
        <v>182</v>
      </c>
      <c r="BV1203" t="s">
        <v>198</v>
      </c>
      <c r="BW1203" t="s">
        <v>198</v>
      </c>
      <c r="BX1203" t="s">
        <v>199</v>
      </c>
      <c r="BY1203" t="s">
        <v>198</v>
      </c>
      <c r="BZ1203" t="s">
        <v>199</v>
      </c>
      <c r="CA1203" t="s">
        <v>199</v>
      </c>
      <c r="CB1203" t="s">
        <v>15645</v>
      </c>
      <c r="CC1203" t="s">
        <v>201</v>
      </c>
      <c r="CD1203" t="s">
        <v>182</v>
      </c>
      <c r="CE1203" t="s">
        <v>15646</v>
      </c>
      <c r="CF1203" t="s">
        <v>5331</v>
      </c>
      <c r="CG1203" t="s">
        <v>177</v>
      </c>
      <c r="CH1203" t="s">
        <v>371</v>
      </c>
      <c r="CI1203" t="s">
        <v>15647</v>
      </c>
      <c r="CJ1203" t="s">
        <v>13069</v>
      </c>
      <c r="CK1203" t="s">
        <v>273</v>
      </c>
      <c r="CL1203" t="s">
        <v>274</v>
      </c>
      <c r="CM1203" t="s">
        <v>15648</v>
      </c>
      <c r="CN1203" t="s">
        <v>235</v>
      </c>
      <c r="CO1203" t="s">
        <v>183</v>
      </c>
      <c r="CP1203" t="s">
        <v>211</v>
      </c>
      <c r="CQ1203" t="s">
        <v>290</v>
      </c>
      <c r="CS1203" t="s">
        <v>7807</v>
      </c>
      <c r="CT1203" t="s">
        <v>11102</v>
      </c>
      <c r="CU1203" t="s">
        <v>302</v>
      </c>
      <c r="CV1203" t="s">
        <v>303</v>
      </c>
      <c r="CW1203" t="s">
        <v>15649</v>
      </c>
      <c r="CX1203" t="s">
        <v>235</v>
      </c>
      <c r="CY1203" t="s">
        <v>183</v>
      </c>
      <c r="CZ1203" t="s">
        <v>211</v>
      </c>
      <c r="DA1203" t="s">
        <v>290</v>
      </c>
      <c r="DC1203" t="s">
        <v>2157</v>
      </c>
      <c r="DD1203" t="s">
        <v>15650</v>
      </c>
      <c r="DE1203" t="s">
        <v>238</v>
      </c>
      <c r="DF1203" t="s">
        <v>239</v>
      </c>
      <c r="DG1203" t="s">
        <v>15651</v>
      </c>
      <c r="DH1203" t="s">
        <v>278</v>
      </c>
      <c r="DI1203" t="s">
        <v>183</v>
      </c>
      <c r="DJ1203" t="s">
        <v>211</v>
      </c>
      <c r="DK1203" t="s">
        <v>342</v>
      </c>
      <c r="DM1203" t="s">
        <v>15652</v>
      </c>
      <c r="DN1203" t="s">
        <v>15653</v>
      </c>
      <c r="DO1203" t="s">
        <v>346</v>
      </c>
      <c r="DP1203" t="s">
        <v>347</v>
      </c>
      <c r="DQ1203" t="s">
        <v>15654</v>
      </c>
      <c r="DR1203" t="s">
        <v>688</v>
      </c>
      <c r="DS1203" t="s">
        <v>183</v>
      </c>
      <c r="DT1203" t="s">
        <v>211</v>
      </c>
      <c r="DU1203" t="s">
        <v>290</v>
      </c>
      <c r="DW1203" t="s">
        <v>15655</v>
      </c>
      <c r="DX1203" t="s">
        <v>1309</v>
      </c>
      <c r="DY1203" t="s">
        <v>207</v>
      </c>
      <c r="DZ1203" t="s">
        <v>208</v>
      </c>
      <c r="EA1203" t="s">
        <v>15656</v>
      </c>
      <c r="EB1203" t="s">
        <v>1966</v>
      </c>
      <c r="EC1203" t="s">
        <v>183</v>
      </c>
      <c r="ED1203" t="s">
        <v>211</v>
      </c>
      <c r="EE1203" t="s">
        <v>342</v>
      </c>
      <c r="EG1203" t="s">
        <v>6588</v>
      </c>
      <c r="EQ1203" t="s">
        <v>198</v>
      </c>
      <c r="FA1203" t="s">
        <v>198</v>
      </c>
      <c r="FK1203" t="s">
        <v>198</v>
      </c>
      <c r="FU1203" t="s">
        <v>198</v>
      </c>
    </row>
    <row r="1204" spans="1:177">
      <c r="A1204" s="1" t="str">
        <f>HYPERLINK("http://digipan.lumentumllc.com/apps/getLink/index.php?t=PropLink&amp;p=6462019","PL")</f>
        <v>PL</v>
      </c>
      <c r="B1204" s="1" t="str">
        <f>HYPERLINK("http://digipan.lumentumllc.com/apps/getLink/index.php?t=TaxLink&amp;p=6462019","TL")</f>
        <v>TL</v>
      </c>
      <c r="C1204" s="1" t="str">
        <f>HYPERLINK("http://digipan.lumentumllc.com/apps/getMap/index.php?p=6462019","Map")</f>
        <v>Map</v>
      </c>
      <c r="E1204" t="s">
        <v>177</v>
      </c>
      <c r="F1204" t="s">
        <v>178</v>
      </c>
      <c r="L1204" t="s">
        <v>15657</v>
      </c>
      <c r="N1204" t="s">
        <v>15657</v>
      </c>
      <c r="O1204" t="s">
        <v>15657</v>
      </c>
      <c r="P1204" t="s">
        <v>15658</v>
      </c>
      <c r="Q1204" t="s">
        <v>15657</v>
      </c>
      <c r="V1204">
        <v>1374</v>
      </c>
      <c r="W1204">
        <v>5</v>
      </c>
      <c r="X1204">
        <v>2017</v>
      </c>
      <c r="Y1204">
        <v>2018</v>
      </c>
      <c r="Z1204">
        <v>909.78</v>
      </c>
      <c r="AB1204" t="s">
        <v>181</v>
      </c>
      <c r="AC1204" t="s">
        <v>182</v>
      </c>
      <c r="AD1204" t="s">
        <v>183</v>
      </c>
      <c r="AE1204">
        <v>1</v>
      </c>
      <c r="AF1204">
        <v>4</v>
      </c>
      <c r="AG1204" t="s">
        <v>951</v>
      </c>
      <c r="AH1204">
        <v>80</v>
      </c>
      <c r="AI1204">
        <v>769.64</v>
      </c>
      <c r="AJ1204">
        <v>38.479999999999997</v>
      </c>
      <c r="AK1204">
        <v>808.12</v>
      </c>
      <c r="AL1204">
        <v>59320</v>
      </c>
      <c r="AM1204">
        <v>25000</v>
      </c>
      <c r="AN1204">
        <v>34320</v>
      </c>
      <c r="AO1204">
        <v>687</v>
      </c>
      <c r="AP1204">
        <v>2016</v>
      </c>
      <c r="AQ1204">
        <v>1.53</v>
      </c>
      <c r="AR1204">
        <v>1.36</v>
      </c>
      <c r="AS1204" t="s">
        <v>15659</v>
      </c>
      <c r="AT1204" t="s">
        <v>15040</v>
      </c>
      <c r="AU1204" t="s">
        <v>177</v>
      </c>
      <c r="AV1204" t="s">
        <v>371</v>
      </c>
      <c r="AW1204" t="s">
        <v>182</v>
      </c>
      <c r="AX1204">
        <v>2</v>
      </c>
      <c r="AY1204" t="s">
        <v>188</v>
      </c>
      <c r="AZ1204" t="s">
        <v>189</v>
      </c>
      <c r="BA1204" t="s">
        <v>190</v>
      </c>
      <c r="BB1204" t="s">
        <v>191</v>
      </c>
      <c r="BC1204" t="s">
        <v>182</v>
      </c>
      <c r="BD1204" t="s">
        <v>182</v>
      </c>
      <c r="BE1204" t="s">
        <v>15660</v>
      </c>
      <c r="BF1204">
        <v>1</v>
      </c>
      <c r="BG1204">
        <v>1</v>
      </c>
      <c r="BH1204">
        <v>1996</v>
      </c>
      <c r="BI1204" t="s">
        <v>3333</v>
      </c>
      <c r="BJ1204" t="s">
        <v>194</v>
      </c>
      <c r="BK1204" t="s">
        <v>195</v>
      </c>
      <c r="BL1204" t="s">
        <v>15661</v>
      </c>
      <c r="BM1204" t="s">
        <v>302</v>
      </c>
      <c r="BN1204" t="s">
        <v>182</v>
      </c>
      <c r="BO1204" t="s">
        <v>15662</v>
      </c>
      <c r="BP1204" t="s">
        <v>5560</v>
      </c>
      <c r="BS1204" t="s">
        <v>15663</v>
      </c>
      <c r="BT1204" t="s">
        <v>198</v>
      </c>
      <c r="BU1204" t="s">
        <v>182</v>
      </c>
      <c r="BV1204" t="s">
        <v>198</v>
      </c>
      <c r="BW1204" t="s">
        <v>198</v>
      </c>
      <c r="BX1204" t="s">
        <v>199</v>
      </c>
      <c r="BY1204" t="s">
        <v>198</v>
      </c>
      <c r="BZ1204" t="s">
        <v>199</v>
      </c>
      <c r="CA1204" t="s">
        <v>199</v>
      </c>
      <c r="CB1204" t="s">
        <v>15664</v>
      </c>
      <c r="CC1204" t="s">
        <v>201</v>
      </c>
      <c r="CD1204" t="s">
        <v>182</v>
      </c>
      <c r="CE1204" t="s">
        <v>15665</v>
      </c>
      <c r="CF1204" t="s">
        <v>5331</v>
      </c>
      <c r="CG1204" t="s">
        <v>177</v>
      </c>
      <c r="CH1204" t="s">
        <v>371</v>
      </c>
      <c r="CI1204" t="s">
        <v>15666</v>
      </c>
      <c r="CJ1204" t="s">
        <v>2143</v>
      </c>
      <c r="CK1204" t="s">
        <v>232</v>
      </c>
      <c r="CL1204" t="s">
        <v>233</v>
      </c>
      <c r="CM1204" t="s">
        <v>15667</v>
      </c>
      <c r="CN1204" t="s">
        <v>305</v>
      </c>
      <c r="CO1204" t="s">
        <v>183</v>
      </c>
      <c r="CP1204" t="s">
        <v>266</v>
      </c>
      <c r="CS1204" t="s">
        <v>198</v>
      </c>
      <c r="CT1204" t="s">
        <v>499</v>
      </c>
      <c r="CU1204" t="s">
        <v>292</v>
      </c>
      <c r="CV1204" t="s">
        <v>293</v>
      </c>
      <c r="CW1204" t="s">
        <v>15668</v>
      </c>
      <c r="CX1204" t="s">
        <v>14474</v>
      </c>
      <c r="CY1204" t="s">
        <v>183</v>
      </c>
      <c r="CZ1204" t="s">
        <v>211</v>
      </c>
      <c r="DA1204" t="s">
        <v>298</v>
      </c>
      <c r="DC1204" t="s">
        <v>4914</v>
      </c>
      <c r="DD1204" t="s">
        <v>10320</v>
      </c>
      <c r="DE1204" t="s">
        <v>267</v>
      </c>
      <c r="DF1204" t="s">
        <v>268</v>
      </c>
      <c r="DG1204" t="s">
        <v>14521</v>
      </c>
      <c r="DH1204" t="s">
        <v>235</v>
      </c>
      <c r="DI1204" t="s">
        <v>183</v>
      </c>
      <c r="DJ1204" t="s">
        <v>211</v>
      </c>
      <c r="DK1204" t="s">
        <v>298</v>
      </c>
      <c r="DM1204" t="s">
        <v>1611</v>
      </c>
      <c r="DN1204" t="s">
        <v>10452</v>
      </c>
      <c r="DO1204" t="s">
        <v>273</v>
      </c>
      <c r="DP1204" t="s">
        <v>274</v>
      </c>
      <c r="DQ1204" t="s">
        <v>15669</v>
      </c>
      <c r="DR1204" t="s">
        <v>235</v>
      </c>
      <c r="DS1204" t="s">
        <v>183</v>
      </c>
      <c r="DT1204" t="s">
        <v>211</v>
      </c>
      <c r="DU1204" t="s">
        <v>250</v>
      </c>
      <c r="DW1204" t="s">
        <v>15670</v>
      </c>
      <c r="DX1204" t="s">
        <v>11126</v>
      </c>
      <c r="DY1204" t="s">
        <v>302</v>
      </c>
      <c r="DZ1204" t="s">
        <v>303</v>
      </c>
      <c r="EA1204" t="s">
        <v>15671</v>
      </c>
      <c r="EB1204" t="s">
        <v>235</v>
      </c>
      <c r="EC1204" t="s">
        <v>183</v>
      </c>
      <c r="ED1204" t="s">
        <v>211</v>
      </c>
      <c r="EE1204" t="s">
        <v>487</v>
      </c>
      <c r="EG1204" t="s">
        <v>15670</v>
      </c>
      <c r="EQ1204" t="s">
        <v>198</v>
      </c>
      <c r="FA1204" t="s">
        <v>198</v>
      </c>
      <c r="FK1204" t="s">
        <v>198</v>
      </c>
      <c r="FU1204" t="s">
        <v>198</v>
      </c>
    </row>
    <row r="1205" spans="1:177">
      <c r="A1205" s="1" t="str">
        <f>HYPERLINK("http://digipan.lumentumllc.com/apps/getLink/index.php?t=PropLink&amp;p=6886799","PL")</f>
        <v>PL</v>
      </c>
      <c r="B1205" s="1" t="str">
        <f>HYPERLINK("http://digipan.lumentumllc.com/apps/getLink/index.php?t=TaxLink&amp;p=6886799","TL")</f>
        <v>TL</v>
      </c>
      <c r="C1205" s="1" t="str">
        <f>HYPERLINK("http://digipan.lumentumllc.com/apps/getMap/index.php?p=6886799","Map")</f>
        <v>Map</v>
      </c>
      <c r="E1205" t="s">
        <v>177</v>
      </c>
      <c r="F1205" t="s">
        <v>178</v>
      </c>
      <c r="L1205" t="s">
        <v>15672</v>
      </c>
      <c r="N1205" t="s">
        <v>15672</v>
      </c>
      <c r="O1205" t="s">
        <v>15672</v>
      </c>
      <c r="P1205" t="s">
        <v>15673</v>
      </c>
      <c r="Q1205" t="s">
        <v>15672</v>
      </c>
      <c r="V1205">
        <v>1375</v>
      </c>
      <c r="W1205">
        <v>5</v>
      </c>
      <c r="X1205">
        <v>2017</v>
      </c>
      <c r="Y1205">
        <v>2018</v>
      </c>
      <c r="Z1205">
        <v>356.37</v>
      </c>
      <c r="AB1205" t="s">
        <v>181</v>
      </c>
      <c r="AC1205" t="s">
        <v>182</v>
      </c>
      <c r="AD1205" t="s">
        <v>183</v>
      </c>
      <c r="AE1205">
        <v>3</v>
      </c>
      <c r="AF1205">
        <v>0</v>
      </c>
      <c r="AG1205" t="s">
        <v>6413</v>
      </c>
      <c r="AH1205">
        <v>0</v>
      </c>
      <c r="AI1205">
        <v>1005.51</v>
      </c>
      <c r="AJ1205">
        <v>177.77</v>
      </c>
      <c r="AK1205">
        <v>1183.28</v>
      </c>
      <c r="AL1205">
        <v>21250</v>
      </c>
      <c r="AM1205">
        <v>21250</v>
      </c>
      <c r="AN1205">
        <v>0</v>
      </c>
      <c r="AO1205">
        <v>261</v>
      </c>
      <c r="AP1205">
        <v>2016</v>
      </c>
      <c r="AQ1205">
        <v>1.68</v>
      </c>
      <c r="AR1205">
        <v>5.57</v>
      </c>
      <c r="AS1205" t="s">
        <v>15674</v>
      </c>
      <c r="AT1205" t="s">
        <v>15040</v>
      </c>
      <c r="AU1205" t="s">
        <v>177</v>
      </c>
      <c r="AV1205" t="s">
        <v>371</v>
      </c>
      <c r="AW1205" t="s">
        <v>182</v>
      </c>
      <c r="AX1205">
        <v>0</v>
      </c>
      <c r="AY1205" t="s">
        <v>312</v>
      </c>
      <c r="AZ1205" t="s">
        <v>199</v>
      </c>
      <c r="BA1205" t="s">
        <v>313</v>
      </c>
      <c r="BB1205" t="s">
        <v>191</v>
      </c>
      <c r="BC1205" t="s">
        <v>182</v>
      </c>
      <c r="BD1205" t="s">
        <v>182</v>
      </c>
      <c r="BE1205" t="s">
        <v>1516</v>
      </c>
      <c r="BF1205">
        <v>0</v>
      </c>
      <c r="BG1205">
        <v>0</v>
      </c>
      <c r="BH1205">
        <v>0</v>
      </c>
      <c r="BI1205" t="s">
        <v>199</v>
      </c>
      <c r="BJ1205" t="s">
        <v>315</v>
      </c>
      <c r="BL1205" t="s">
        <v>199</v>
      </c>
      <c r="BM1205" t="s">
        <v>273</v>
      </c>
      <c r="BN1205" t="s">
        <v>182</v>
      </c>
      <c r="BO1205" t="s">
        <v>198</v>
      </c>
      <c r="BP1205" t="s">
        <v>198</v>
      </c>
      <c r="BQ1205" t="s">
        <v>198</v>
      </c>
      <c r="BR1205" t="s">
        <v>198</v>
      </c>
      <c r="BS1205" t="s">
        <v>198</v>
      </c>
      <c r="BT1205" t="s">
        <v>198</v>
      </c>
      <c r="BU1205" t="s">
        <v>182</v>
      </c>
      <c r="BV1205" t="s">
        <v>198</v>
      </c>
      <c r="BW1205" t="s">
        <v>198</v>
      </c>
      <c r="BX1205" t="s">
        <v>199</v>
      </c>
      <c r="BY1205" t="s">
        <v>198</v>
      </c>
      <c r="BZ1205" t="s">
        <v>199</v>
      </c>
      <c r="CA1205" t="s">
        <v>199</v>
      </c>
      <c r="CB1205" t="s">
        <v>15675</v>
      </c>
      <c r="CC1205" t="s">
        <v>201</v>
      </c>
      <c r="CD1205" t="s">
        <v>182</v>
      </c>
      <c r="CE1205" t="s">
        <v>15676</v>
      </c>
      <c r="CF1205" t="s">
        <v>2333</v>
      </c>
      <c r="CG1205" t="s">
        <v>177</v>
      </c>
      <c r="CH1205" t="s">
        <v>2334</v>
      </c>
      <c r="CI1205" t="s">
        <v>15677</v>
      </c>
      <c r="CJ1205" t="s">
        <v>4987</v>
      </c>
      <c r="CK1205" t="s">
        <v>232</v>
      </c>
      <c r="CL1205" t="s">
        <v>233</v>
      </c>
      <c r="CM1205" t="s">
        <v>12323</v>
      </c>
      <c r="CN1205" t="s">
        <v>295</v>
      </c>
      <c r="CO1205" t="s">
        <v>183</v>
      </c>
      <c r="CP1205" t="s">
        <v>266</v>
      </c>
      <c r="CS1205" t="s">
        <v>198</v>
      </c>
      <c r="CT1205" t="s">
        <v>15132</v>
      </c>
      <c r="CU1205" t="s">
        <v>292</v>
      </c>
      <c r="CV1205" t="s">
        <v>293</v>
      </c>
      <c r="CW1205" t="s">
        <v>15678</v>
      </c>
      <c r="CX1205" t="s">
        <v>387</v>
      </c>
      <c r="CY1205" t="s">
        <v>183</v>
      </c>
      <c r="CZ1205" t="s">
        <v>266</v>
      </c>
      <c r="DC1205" t="s">
        <v>198</v>
      </c>
      <c r="DD1205" t="s">
        <v>12483</v>
      </c>
      <c r="DE1205" t="s">
        <v>267</v>
      </c>
      <c r="DF1205" t="s">
        <v>268</v>
      </c>
      <c r="DG1205" t="s">
        <v>15679</v>
      </c>
      <c r="DH1205" t="s">
        <v>1164</v>
      </c>
      <c r="DI1205" t="s">
        <v>183</v>
      </c>
      <c r="DJ1205" t="s">
        <v>266</v>
      </c>
      <c r="DM1205" t="s">
        <v>198</v>
      </c>
      <c r="DW1205" t="s">
        <v>198</v>
      </c>
      <c r="EG1205" t="s">
        <v>198</v>
      </c>
      <c r="EQ1205" t="s">
        <v>198</v>
      </c>
      <c r="FA1205" t="s">
        <v>198</v>
      </c>
      <c r="FK1205" t="s">
        <v>198</v>
      </c>
      <c r="FU1205" t="s">
        <v>198</v>
      </c>
    </row>
    <row r="1206" spans="1:177">
      <c r="A1206" s="1" t="str">
        <f>HYPERLINK("http://digipan.lumentumllc.com/apps/getLink/index.php?t=PropLink&amp;p=15755660","PL")</f>
        <v>PL</v>
      </c>
      <c r="B1206" s="1" t="str">
        <f>HYPERLINK("http://digipan.lumentumllc.com/apps/getLink/index.php?t=TaxLink&amp;p=15755660","TL")</f>
        <v>TL</v>
      </c>
      <c r="C1206" s="1" t="str">
        <f>HYPERLINK("http://digipan.lumentumllc.com/apps/getMap/index.php?p=15755660","Map")</f>
        <v>Map</v>
      </c>
      <c r="E1206" t="s">
        <v>177</v>
      </c>
      <c r="F1206" t="s">
        <v>178</v>
      </c>
      <c r="L1206" t="s">
        <v>15680</v>
      </c>
      <c r="N1206" t="s">
        <v>15680</v>
      </c>
      <c r="O1206" t="s">
        <v>15680</v>
      </c>
      <c r="Q1206" t="s">
        <v>15680</v>
      </c>
      <c r="V1206">
        <v>1376</v>
      </c>
      <c r="W1206">
        <v>5</v>
      </c>
      <c r="X1206">
        <v>2017</v>
      </c>
      <c r="Y1206">
        <v>2018</v>
      </c>
      <c r="Z1206">
        <v>40.32</v>
      </c>
      <c r="AG1206" t="s">
        <v>184</v>
      </c>
      <c r="AH1206">
        <v>0</v>
      </c>
      <c r="AK1206">
        <v>0</v>
      </c>
      <c r="AL1206">
        <v>507</v>
      </c>
      <c r="AM1206">
        <v>507</v>
      </c>
      <c r="AN1206">
        <v>0</v>
      </c>
      <c r="AO1206">
        <v>8</v>
      </c>
      <c r="AP1206">
        <v>2016</v>
      </c>
      <c r="AQ1206">
        <v>7.95</v>
      </c>
      <c r="AS1206" t="s">
        <v>15681</v>
      </c>
      <c r="AT1206" t="s">
        <v>3210</v>
      </c>
      <c r="AU1206" t="s">
        <v>177</v>
      </c>
      <c r="AV1206" t="s">
        <v>2334</v>
      </c>
      <c r="AW1206" t="s">
        <v>182</v>
      </c>
      <c r="AX1206">
        <v>96</v>
      </c>
      <c r="AY1206" t="s">
        <v>1575</v>
      </c>
      <c r="AZ1206" t="s">
        <v>790</v>
      </c>
      <c r="BA1206" t="s">
        <v>15682</v>
      </c>
      <c r="BB1206" t="s">
        <v>191</v>
      </c>
      <c r="BC1206" t="s">
        <v>182</v>
      </c>
      <c r="BD1206" t="s">
        <v>1528</v>
      </c>
      <c r="BE1206" t="s">
        <v>15683</v>
      </c>
      <c r="BF1206">
        <v>0</v>
      </c>
      <c r="BG1206">
        <v>0</v>
      </c>
      <c r="BH1206">
        <v>0</v>
      </c>
      <c r="BI1206" t="s">
        <v>199</v>
      </c>
      <c r="BJ1206" t="s">
        <v>248</v>
      </c>
      <c r="BL1206" t="s">
        <v>15684</v>
      </c>
      <c r="BM1206" t="s">
        <v>410</v>
      </c>
      <c r="BN1206" t="s">
        <v>182</v>
      </c>
      <c r="BO1206" t="s">
        <v>198</v>
      </c>
      <c r="BP1206" t="s">
        <v>198</v>
      </c>
      <c r="BQ1206" t="s">
        <v>198</v>
      </c>
      <c r="BR1206" t="s">
        <v>198</v>
      </c>
      <c r="BS1206" t="s">
        <v>198</v>
      </c>
      <c r="BT1206" t="s">
        <v>198</v>
      </c>
      <c r="BU1206" t="s">
        <v>182</v>
      </c>
      <c r="BV1206" t="s">
        <v>198</v>
      </c>
      <c r="BW1206" t="s">
        <v>198</v>
      </c>
      <c r="BX1206" t="s">
        <v>199</v>
      </c>
      <c r="BY1206" t="s">
        <v>198</v>
      </c>
      <c r="BZ1206" t="s">
        <v>199</v>
      </c>
      <c r="CA1206" t="s">
        <v>199</v>
      </c>
      <c r="CB1206" t="s">
        <v>15685</v>
      </c>
      <c r="CC1206" t="s">
        <v>201</v>
      </c>
      <c r="CD1206" t="s">
        <v>182</v>
      </c>
      <c r="CE1206" t="s">
        <v>15686</v>
      </c>
      <c r="CF1206" t="s">
        <v>15687</v>
      </c>
      <c r="CG1206" t="s">
        <v>2769</v>
      </c>
      <c r="CH1206" t="s">
        <v>15688</v>
      </c>
      <c r="CI1206" t="s">
        <v>15689</v>
      </c>
      <c r="CS1206" t="s">
        <v>198</v>
      </c>
      <c r="DC1206" t="s">
        <v>198</v>
      </c>
      <c r="DM1206" t="s">
        <v>198</v>
      </c>
      <c r="DW1206" t="s">
        <v>198</v>
      </c>
      <c r="EG1206" t="s">
        <v>198</v>
      </c>
      <c r="EQ1206" t="s">
        <v>198</v>
      </c>
      <c r="FA1206" t="s">
        <v>198</v>
      </c>
      <c r="FK1206" t="s">
        <v>198</v>
      </c>
      <c r="FU1206" t="s">
        <v>198</v>
      </c>
    </row>
    <row r="1207" spans="1:177">
      <c r="A1207" s="1" t="str">
        <f>HYPERLINK("http://digipan.lumentumllc.com/apps/getLink/index.php?t=PropLink&amp;p=6129432","PL")</f>
        <v>PL</v>
      </c>
      <c r="B1207" s="1" t="str">
        <f>HYPERLINK("http://digipan.lumentumllc.com/apps/getLink/index.php?t=TaxLink&amp;p=6129432","TL")</f>
        <v>TL</v>
      </c>
      <c r="C1207" s="1" t="str">
        <f>HYPERLINK("http://digipan.lumentumllc.com/apps/getMap/index.php?p=6129432","Map")</f>
        <v>Map</v>
      </c>
      <c r="E1207" t="s">
        <v>177</v>
      </c>
      <c r="F1207" t="s">
        <v>178</v>
      </c>
      <c r="L1207" t="s">
        <v>15690</v>
      </c>
      <c r="N1207" t="s">
        <v>15690</v>
      </c>
      <c r="O1207" t="s">
        <v>15690</v>
      </c>
      <c r="P1207" t="s">
        <v>15691</v>
      </c>
      <c r="Q1207" t="s">
        <v>15690</v>
      </c>
      <c r="V1207">
        <v>1377</v>
      </c>
      <c r="W1207">
        <v>5</v>
      </c>
      <c r="X1207">
        <v>2017</v>
      </c>
      <c r="Y1207">
        <v>2018</v>
      </c>
      <c r="Z1207">
        <v>3477.43</v>
      </c>
      <c r="AB1207" t="s">
        <v>181</v>
      </c>
      <c r="AC1207" t="s">
        <v>202</v>
      </c>
      <c r="AD1207" t="s">
        <v>183</v>
      </c>
      <c r="AE1207">
        <v>1</v>
      </c>
      <c r="AF1207">
        <v>4</v>
      </c>
      <c r="AG1207" t="s">
        <v>951</v>
      </c>
      <c r="AH1207">
        <v>80</v>
      </c>
      <c r="AI1207">
        <v>3524.76</v>
      </c>
      <c r="AJ1207">
        <v>176.24</v>
      </c>
      <c r="AK1207">
        <v>3701</v>
      </c>
      <c r="AL1207">
        <v>210439</v>
      </c>
      <c r="AM1207">
        <v>121766</v>
      </c>
      <c r="AN1207">
        <v>88673</v>
      </c>
      <c r="AO1207">
        <v>3234</v>
      </c>
      <c r="AP1207">
        <v>2016</v>
      </c>
      <c r="AQ1207">
        <v>1.65</v>
      </c>
      <c r="AR1207">
        <v>1.76</v>
      </c>
      <c r="AS1207" t="s">
        <v>15692</v>
      </c>
      <c r="AT1207" t="s">
        <v>3210</v>
      </c>
      <c r="AU1207" t="s">
        <v>177</v>
      </c>
      <c r="AV1207" t="s">
        <v>2334</v>
      </c>
      <c r="AW1207" t="s">
        <v>182</v>
      </c>
      <c r="AX1207">
        <v>25</v>
      </c>
      <c r="AY1207" t="s">
        <v>3641</v>
      </c>
      <c r="AZ1207" t="s">
        <v>808</v>
      </c>
      <c r="BA1207" t="s">
        <v>10620</v>
      </c>
      <c r="BB1207" t="s">
        <v>191</v>
      </c>
      <c r="BC1207" t="s">
        <v>182</v>
      </c>
      <c r="BD1207" t="s">
        <v>182</v>
      </c>
      <c r="BE1207" t="s">
        <v>10639</v>
      </c>
      <c r="BF1207">
        <v>2</v>
      </c>
      <c r="BG1207">
        <v>1</v>
      </c>
      <c r="BH1207">
        <v>1956</v>
      </c>
      <c r="BI1207" t="s">
        <v>15693</v>
      </c>
      <c r="BJ1207" t="s">
        <v>194</v>
      </c>
      <c r="BK1207" t="s">
        <v>195</v>
      </c>
      <c r="BL1207" t="s">
        <v>15694</v>
      </c>
      <c r="BM1207" t="s">
        <v>302</v>
      </c>
      <c r="BN1207" t="s">
        <v>182</v>
      </c>
      <c r="BO1207" t="s">
        <v>15695</v>
      </c>
      <c r="BP1207" t="s">
        <v>15696</v>
      </c>
      <c r="BS1207" t="s">
        <v>15697</v>
      </c>
      <c r="BT1207" t="s">
        <v>198</v>
      </c>
      <c r="BU1207" t="s">
        <v>182</v>
      </c>
      <c r="BV1207" t="s">
        <v>198</v>
      </c>
      <c r="BW1207" t="s">
        <v>198</v>
      </c>
      <c r="BX1207" t="s">
        <v>199</v>
      </c>
      <c r="BY1207" t="s">
        <v>198</v>
      </c>
      <c r="BZ1207" t="s">
        <v>199</v>
      </c>
      <c r="CA1207" t="s">
        <v>199</v>
      </c>
      <c r="CB1207" t="s">
        <v>15698</v>
      </c>
      <c r="CC1207" t="s">
        <v>201</v>
      </c>
      <c r="CD1207" t="s">
        <v>182</v>
      </c>
      <c r="CE1207" t="s">
        <v>15699</v>
      </c>
      <c r="CF1207" t="s">
        <v>204</v>
      </c>
      <c r="CG1207" t="s">
        <v>177</v>
      </c>
      <c r="CH1207" t="s">
        <v>187</v>
      </c>
      <c r="CI1207" t="s">
        <v>15700</v>
      </c>
      <c r="CJ1207" t="s">
        <v>14163</v>
      </c>
      <c r="CK1207" t="s">
        <v>232</v>
      </c>
      <c r="CL1207" t="s">
        <v>233</v>
      </c>
      <c r="CM1207" t="s">
        <v>15701</v>
      </c>
      <c r="CN1207" t="s">
        <v>235</v>
      </c>
      <c r="CO1207" t="s">
        <v>183</v>
      </c>
      <c r="CP1207" t="s">
        <v>266</v>
      </c>
      <c r="CS1207" t="s">
        <v>198</v>
      </c>
      <c r="CT1207" t="s">
        <v>1766</v>
      </c>
      <c r="CU1207" t="s">
        <v>267</v>
      </c>
      <c r="CV1207" t="s">
        <v>268</v>
      </c>
      <c r="CW1207" t="s">
        <v>15702</v>
      </c>
      <c r="CX1207" t="s">
        <v>235</v>
      </c>
      <c r="CY1207" t="s">
        <v>183</v>
      </c>
      <c r="CZ1207" t="s">
        <v>211</v>
      </c>
      <c r="DA1207" t="s">
        <v>270</v>
      </c>
      <c r="DB1207" t="s">
        <v>271</v>
      </c>
      <c r="DC1207" t="s">
        <v>272</v>
      </c>
      <c r="DD1207" t="s">
        <v>7986</v>
      </c>
      <c r="DE1207" t="s">
        <v>273</v>
      </c>
      <c r="DF1207" t="s">
        <v>274</v>
      </c>
      <c r="DG1207" t="s">
        <v>15703</v>
      </c>
      <c r="DH1207" t="s">
        <v>235</v>
      </c>
      <c r="DI1207" t="s">
        <v>183</v>
      </c>
      <c r="DJ1207" t="s">
        <v>211</v>
      </c>
      <c r="DL1207" t="s">
        <v>271</v>
      </c>
      <c r="DM1207" t="s">
        <v>198</v>
      </c>
      <c r="DN1207" t="s">
        <v>11183</v>
      </c>
      <c r="DO1207" t="s">
        <v>302</v>
      </c>
      <c r="DP1207" t="s">
        <v>303</v>
      </c>
      <c r="DQ1207" t="s">
        <v>15704</v>
      </c>
      <c r="DR1207" t="s">
        <v>235</v>
      </c>
      <c r="DS1207" t="s">
        <v>183</v>
      </c>
      <c r="DT1207" t="s">
        <v>211</v>
      </c>
      <c r="DU1207" t="s">
        <v>270</v>
      </c>
      <c r="DW1207" t="s">
        <v>2971</v>
      </c>
      <c r="DX1207" t="s">
        <v>15705</v>
      </c>
      <c r="DY1207" t="s">
        <v>238</v>
      </c>
      <c r="DZ1207" t="s">
        <v>239</v>
      </c>
      <c r="EA1207" t="s">
        <v>15706</v>
      </c>
      <c r="EB1207" t="s">
        <v>235</v>
      </c>
      <c r="EC1207" t="s">
        <v>183</v>
      </c>
      <c r="ED1207" t="s">
        <v>211</v>
      </c>
      <c r="EE1207" t="s">
        <v>189</v>
      </c>
      <c r="EG1207" t="s">
        <v>15697</v>
      </c>
      <c r="EQ1207" t="s">
        <v>198</v>
      </c>
      <c r="FA1207" t="s">
        <v>198</v>
      </c>
      <c r="FK1207" t="s">
        <v>198</v>
      </c>
      <c r="FU1207" t="s">
        <v>198</v>
      </c>
    </row>
    <row r="1208" spans="1:177">
      <c r="A1208" s="1" t="str">
        <f>HYPERLINK("http://digipan.lumentumllc.com/apps/getLink/index.php?t=PropLink&amp;p=5247548","PL")</f>
        <v>PL</v>
      </c>
      <c r="B1208" s="1" t="str">
        <f>HYPERLINK("http://digipan.lumentumllc.com/apps/getLink/index.php?t=TaxLink&amp;p=5247548","TL")</f>
        <v>TL</v>
      </c>
      <c r="C1208" s="1" t="str">
        <f>HYPERLINK("http://digipan.lumentumllc.com/apps/getMap/index.php?p=5247548","Map")</f>
        <v>Map</v>
      </c>
      <c r="E1208" t="s">
        <v>177</v>
      </c>
      <c r="F1208" t="s">
        <v>178</v>
      </c>
      <c r="L1208" t="s">
        <v>15707</v>
      </c>
      <c r="N1208" t="s">
        <v>15707</v>
      </c>
      <c r="O1208" t="s">
        <v>15707</v>
      </c>
      <c r="P1208" t="s">
        <v>15708</v>
      </c>
      <c r="Q1208" t="s">
        <v>15707</v>
      </c>
      <c r="V1208">
        <v>1378</v>
      </c>
      <c r="W1208">
        <v>5</v>
      </c>
      <c r="X1208">
        <v>2017</v>
      </c>
      <c r="Y1208">
        <v>2018</v>
      </c>
      <c r="Z1208">
        <v>761.05</v>
      </c>
      <c r="AB1208" t="s">
        <v>181</v>
      </c>
      <c r="AC1208" t="s">
        <v>182</v>
      </c>
      <c r="AD1208" t="s">
        <v>183</v>
      </c>
      <c r="AE1208">
        <v>1</v>
      </c>
      <c r="AF1208">
        <v>5</v>
      </c>
      <c r="AG1208" t="s">
        <v>951</v>
      </c>
      <c r="AH1208">
        <v>80</v>
      </c>
      <c r="AI1208">
        <v>692.54</v>
      </c>
      <c r="AJ1208">
        <v>62.33</v>
      </c>
      <c r="AK1208">
        <v>754.87</v>
      </c>
      <c r="AL1208">
        <v>45088</v>
      </c>
      <c r="AM1208">
        <v>29920</v>
      </c>
      <c r="AN1208">
        <v>15168</v>
      </c>
      <c r="AO1208">
        <v>615</v>
      </c>
      <c r="AP1208">
        <v>2016</v>
      </c>
      <c r="AQ1208">
        <v>1.69</v>
      </c>
      <c r="AR1208">
        <v>1.67</v>
      </c>
      <c r="AS1208" t="s">
        <v>15709</v>
      </c>
      <c r="AT1208" t="s">
        <v>3210</v>
      </c>
      <c r="AU1208" t="s">
        <v>177</v>
      </c>
      <c r="AV1208" t="s">
        <v>2334</v>
      </c>
      <c r="AW1208" t="s">
        <v>182</v>
      </c>
      <c r="AX1208">
        <v>0</v>
      </c>
      <c r="AY1208" t="s">
        <v>312</v>
      </c>
      <c r="AZ1208" t="s">
        <v>199</v>
      </c>
      <c r="BA1208" t="s">
        <v>313</v>
      </c>
      <c r="BB1208" t="s">
        <v>191</v>
      </c>
      <c r="BC1208" t="s">
        <v>182</v>
      </c>
      <c r="BD1208" t="s">
        <v>182</v>
      </c>
      <c r="BE1208" t="s">
        <v>11617</v>
      </c>
      <c r="BF1208">
        <v>1</v>
      </c>
      <c r="BG1208">
        <v>0</v>
      </c>
      <c r="BH1208">
        <v>0</v>
      </c>
      <c r="BI1208" t="s">
        <v>199</v>
      </c>
      <c r="BJ1208" t="s">
        <v>248</v>
      </c>
      <c r="BL1208" t="s">
        <v>199</v>
      </c>
      <c r="BM1208" t="s">
        <v>679</v>
      </c>
      <c r="BN1208" t="s">
        <v>182</v>
      </c>
      <c r="BO1208" t="s">
        <v>198</v>
      </c>
      <c r="BP1208" t="s">
        <v>198</v>
      </c>
      <c r="BQ1208" t="s">
        <v>198</v>
      </c>
      <c r="BR1208" t="s">
        <v>198</v>
      </c>
      <c r="BS1208" t="s">
        <v>198</v>
      </c>
      <c r="BT1208" t="s">
        <v>198</v>
      </c>
      <c r="BU1208" t="s">
        <v>182</v>
      </c>
      <c r="BV1208" t="s">
        <v>198</v>
      </c>
      <c r="BW1208" t="s">
        <v>198</v>
      </c>
      <c r="BX1208" t="s">
        <v>199</v>
      </c>
      <c r="BY1208" t="s">
        <v>198</v>
      </c>
      <c r="BZ1208" t="s">
        <v>199</v>
      </c>
      <c r="CA1208" t="s">
        <v>199</v>
      </c>
      <c r="CB1208" t="s">
        <v>15710</v>
      </c>
      <c r="CC1208" t="s">
        <v>201</v>
      </c>
      <c r="CD1208" t="s">
        <v>182</v>
      </c>
      <c r="CE1208" t="s">
        <v>15711</v>
      </c>
      <c r="CF1208" t="s">
        <v>2333</v>
      </c>
      <c r="CG1208" t="s">
        <v>177</v>
      </c>
      <c r="CH1208" t="s">
        <v>2334</v>
      </c>
      <c r="CI1208" t="s">
        <v>15712</v>
      </c>
      <c r="CJ1208" t="s">
        <v>14819</v>
      </c>
      <c r="CK1208" t="s">
        <v>232</v>
      </c>
      <c r="CL1208" t="s">
        <v>233</v>
      </c>
      <c r="CM1208" t="s">
        <v>15713</v>
      </c>
      <c r="CN1208" t="s">
        <v>1966</v>
      </c>
      <c r="CO1208" t="s">
        <v>183</v>
      </c>
      <c r="CP1208" t="s">
        <v>266</v>
      </c>
      <c r="CS1208" t="s">
        <v>198</v>
      </c>
      <c r="CT1208" t="s">
        <v>12112</v>
      </c>
      <c r="CU1208" t="s">
        <v>292</v>
      </c>
      <c r="CV1208" t="s">
        <v>293</v>
      </c>
      <c r="CW1208" t="s">
        <v>15714</v>
      </c>
      <c r="CX1208" t="s">
        <v>331</v>
      </c>
      <c r="CY1208" t="s">
        <v>183</v>
      </c>
      <c r="CZ1208" t="s">
        <v>211</v>
      </c>
      <c r="DA1208" t="s">
        <v>298</v>
      </c>
      <c r="DC1208" t="s">
        <v>3482</v>
      </c>
      <c r="DD1208" t="s">
        <v>1813</v>
      </c>
      <c r="DE1208" t="s">
        <v>267</v>
      </c>
      <c r="DF1208" t="s">
        <v>268</v>
      </c>
      <c r="DG1208" t="s">
        <v>15715</v>
      </c>
      <c r="DH1208" t="s">
        <v>235</v>
      </c>
      <c r="DI1208" t="s">
        <v>183</v>
      </c>
      <c r="DJ1208" t="s">
        <v>211</v>
      </c>
      <c r="DK1208" t="s">
        <v>525</v>
      </c>
      <c r="DM1208" t="s">
        <v>3482</v>
      </c>
      <c r="DN1208" t="s">
        <v>15716</v>
      </c>
      <c r="DO1208" t="s">
        <v>238</v>
      </c>
      <c r="DP1208" t="s">
        <v>239</v>
      </c>
      <c r="DQ1208" t="s">
        <v>15717</v>
      </c>
      <c r="DR1208" t="s">
        <v>278</v>
      </c>
      <c r="DS1208" t="s">
        <v>183</v>
      </c>
      <c r="DT1208" t="s">
        <v>211</v>
      </c>
      <c r="DU1208" t="s">
        <v>189</v>
      </c>
      <c r="DW1208" t="s">
        <v>887</v>
      </c>
      <c r="DX1208" t="s">
        <v>15718</v>
      </c>
      <c r="DY1208" t="s">
        <v>346</v>
      </c>
      <c r="DZ1208" t="s">
        <v>347</v>
      </c>
      <c r="EA1208" t="s">
        <v>15719</v>
      </c>
      <c r="EB1208" t="s">
        <v>688</v>
      </c>
      <c r="EC1208" t="s">
        <v>183</v>
      </c>
      <c r="ED1208" t="s">
        <v>211</v>
      </c>
      <c r="EE1208" t="s">
        <v>460</v>
      </c>
      <c r="EG1208" t="s">
        <v>887</v>
      </c>
      <c r="EH1208" t="s">
        <v>15720</v>
      </c>
      <c r="EI1208" t="s">
        <v>207</v>
      </c>
      <c r="EJ1208" t="s">
        <v>208</v>
      </c>
      <c r="EK1208" t="s">
        <v>15721</v>
      </c>
      <c r="EL1208" t="s">
        <v>1966</v>
      </c>
      <c r="EM1208" t="s">
        <v>183</v>
      </c>
      <c r="EN1208" t="s">
        <v>211</v>
      </c>
      <c r="EO1208" t="s">
        <v>212</v>
      </c>
      <c r="EQ1208" t="s">
        <v>11511</v>
      </c>
      <c r="FA1208" t="s">
        <v>198</v>
      </c>
      <c r="FK1208" t="s">
        <v>198</v>
      </c>
      <c r="FU1208" t="s">
        <v>198</v>
      </c>
    </row>
    <row r="1209" spans="1:177">
      <c r="A1209" s="1" t="str">
        <f>HYPERLINK("http://digipan.lumentumllc.com/apps/getLink/index.php?t=PropLink&amp;p=5247549","PL")</f>
        <v>PL</v>
      </c>
      <c r="B1209" s="1" t="str">
        <f>HYPERLINK("http://digipan.lumentumllc.com/apps/getLink/index.php?t=TaxLink&amp;p=5247549","TL")</f>
        <v>TL</v>
      </c>
      <c r="C1209" s="1" t="str">
        <f>HYPERLINK("http://digipan.lumentumllc.com/apps/getMap/index.php?p=5247549","Map")</f>
        <v>Map</v>
      </c>
      <c r="E1209" t="s">
        <v>177</v>
      </c>
      <c r="F1209" t="s">
        <v>178</v>
      </c>
      <c r="L1209" t="s">
        <v>15722</v>
      </c>
      <c r="N1209" t="s">
        <v>15722</v>
      </c>
      <c r="O1209" t="s">
        <v>15722</v>
      </c>
      <c r="P1209" t="s">
        <v>15723</v>
      </c>
      <c r="Q1209" t="s">
        <v>15722</v>
      </c>
      <c r="V1209">
        <v>1379</v>
      </c>
      <c r="W1209">
        <v>5</v>
      </c>
      <c r="X1209">
        <v>2017</v>
      </c>
      <c r="Y1209">
        <v>2018</v>
      </c>
      <c r="Z1209">
        <v>2317.5500000000002</v>
      </c>
      <c r="AB1209" t="s">
        <v>181</v>
      </c>
      <c r="AC1209" t="s">
        <v>202</v>
      </c>
      <c r="AD1209" t="s">
        <v>183</v>
      </c>
      <c r="AE1209">
        <v>1</v>
      </c>
      <c r="AF1209">
        <v>6</v>
      </c>
      <c r="AG1209" t="s">
        <v>322</v>
      </c>
      <c r="AH1209">
        <v>83</v>
      </c>
      <c r="AI1209">
        <v>2344.56</v>
      </c>
      <c r="AJ1209">
        <v>117.23</v>
      </c>
      <c r="AK1209">
        <v>2461.79</v>
      </c>
      <c r="AL1209">
        <v>139595</v>
      </c>
      <c r="AM1209">
        <v>124740</v>
      </c>
      <c r="AN1209">
        <v>14855</v>
      </c>
      <c r="AO1209">
        <v>2143</v>
      </c>
      <c r="AP1209">
        <v>2016</v>
      </c>
      <c r="AQ1209">
        <v>1.66</v>
      </c>
      <c r="AR1209">
        <v>1.76</v>
      </c>
      <c r="AS1209" t="s">
        <v>15724</v>
      </c>
      <c r="AT1209" t="s">
        <v>3210</v>
      </c>
      <c r="AU1209" t="s">
        <v>177</v>
      </c>
      <c r="AV1209" t="s">
        <v>2334</v>
      </c>
      <c r="AW1209" t="s">
        <v>182</v>
      </c>
      <c r="AX1209">
        <v>1</v>
      </c>
      <c r="AY1209" t="s">
        <v>188</v>
      </c>
      <c r="AZ1209" t="s">
        <v>206</v>
      </c>
      <c r="BA1209" t="s">
        <v>355</v>
      </c>
      <c r="BB1209" t="s">
        <v>191</v>
      </c>
      <c r="BC1209" t="s">
        <v>182</v>
      </c>
      <c r="BD1209" t="s">
        <v>182</v>
      </c>
      <c r="BE1209" t="s">
        <v>15725</v>
      </c>
      <c r="BF1209">
        <v>2</v>
      </c>
      <c r="BG1209">
        <v>1</v>
      </c>
      <c r="BH1209">
        <v>1900</v>
      </c>
      <c r="BI1209" t="s">
        <v>7960</v>
      </c>
      <c r="BJ1209" t="s">
        <v>315</v>
      </c>
      <c r="BK1209" t="s">
        <v>195</v>
      </c>
      <c r="BL1209" t="s">
        <v>199</v>
      </c>
      <c r="BM1209" t="s">
        <v>1156</v>
      </c>
      <c r="BN1209" t="s">
        <v>182</v>
      </c>
      <c r="BO1209" t="s">
        <v>198</v>
      </c>
      <c r="BP1209" t="s">
        <v>198</v>
      </c>
      <c r="BQ1209" t="s">
        <v>198</v>
      </c>
      <c r="BR1209" t="s">
        <v>198</v>
      </c>
      <c r="BS1209" t="s">
        <v>198</v>
      </c>
      <c r="BT1209" t="s">
        <v>198</v>
      </c>
      <c r="BU1209" t="s">
        <v>182</v>
      </c>
      <c r="BV1209" t="s">
        <v>198</v>
      </c>
      <c r="BW1209" t="s">
        <v>198</v>
      </c>
      <c r="BX1209" t="s">
        <v>199</v>
      </c>
      <c r="BY1209" t="s">
        <v>198</v>
      </c>
      <c r="BZ1209" t="s">
        <v>199</v>
      </c>
      <c r="CA1209" t="s">
        <v>199</v>
      </c>
      <c r="CB1209" t="s">
        <v>15726</v>
      </c>
      <c r="CC1209" t="s">
        <v>201</v>
      </c>
      <c r="CD1209" t="s">
        <v>202</v>
      </c>
      <c r="CE1209" t="s">
        <v>5937</v>
      </c>
      <c r="CF1209" t="s">
        <v>2333</v>
      </c>
      <c r="CG1209" t="s">
        <v>177</v>
      </c>
      <c r="CH1209" t="s">
        <v>3178</v>
      </c>
      <c r="CI1209" t="s">
        <v>15727</v>
      </c>
      <c r="CJ1209" t="s">
        <v>14192</v>
      </c>
      <c r="CK1209" t="s">
        <v>232</v>
      </c>
      <c r="CL1209" t="s">
        <v>233</v>
      </c>
      <c r="CM1209" t="s">
        <v>15728</v>
      </c>
      <c r="CN1209" t="s">
        <v>235</v>
      </c>
      <c r="CO1209" t="s">
        <v>183</v>
      </c>
      <c r="CP1209" t="s">
        <v>266</v>
      </c>
      <c r="CS1209" t="s">
        <v>198</v>
      </c>
      <c r="CT1209" t="s">
        <v>1838</v>
      </c>
      <c r="CU1209" t="s">
        <v>267</v>
      </c>
      <c r="CV1209" t="s">
        <v>268</v>
      </c>
      <c r="CW1209" t="s">
        <v>15729</v>
      </c>
      <c r="CX1209" t="s">
        <v>235</v>
      </c>
      <c r="CY1209" t="s">
        <v>183</v>
      </c>
      <c r="CZ1209" t="s">
        <v>211</v>
      </c>
      <c r="DA1209" t="s">
        <v>270</v>
      </c>
      <c r="DB1209" t="s">
        <v>271</v>
      </c>
      <c r="DC1209" t="s">
        <v>512</v>
      </c>
      <c r="DD1209" t="s">
        <v>8010</v>
      </c>
      <c r="DE1209" t="s">
        <v>273</v>
      </c>
      <c r="DF1209" t="s">
        <v>274</v>
      </c>
      <c r="DG1209" t="s">
        <v>15730</v>
      </c>
      <c r="DH1209" t="s">
        <v>235</v>
      </c>
      <c r="DI1209" t="s">
        <v>183</v>
      </c>
      <c r="DJ1209" t="s">
        <v>211</v>
      </c>
      <c r="DL1209" t="s">
        <v>271</v>
      </c>
      <c r="DM1209" t="s">
        <v>198</v>
      </c>
      <c r="DN1209" t="s">
        <v>10283</v>
      </c>
      <c r="DO1209" t="s">
        <v>302</v>
      </c>
      <c r="DP1209" t="s">
        <v>303</v>
      </c>
      <c r="DQ1209" t="s">
        <v>15731</v>
      </c>
      <c r="DR1209" t="s">
        <v>235</v>
      </c>
      <c r="DS1209" t="s">
        <v>183</v>
      </c>
      <c r="DT1209" t="s">
        <v>211</v>
      </c>
      <c r="DU1209" t="s">
        <v>345</v>
      </c>
      <c r="DW1209" t="s">
        <v>2490</v>
      </c>
      <c r="DX1209" t="s">
        <v>3323</v>
      </c>
      <c r="DY1209" t="s">
        <v>238</v>
      </c>
      <c r="DZ1209" t="s">
        <v>239</v>
      </c>
      <c r="EA1209" t="s">
        <v>15732</v>
      </c>
      <c r="EB1209" t="s">
        <v>254</v>
      </c>
      <c r="EC1209" t="s">
        <v>183</v>
      </c>
      <c r="ED1209" t="s">
        <v>211</v>
      </c>
      <c r="EE1209" t="s">
        <v>345</v>
      </c>
      <c r="EG1209" t="s">
        <v>2753</v>
      </c>
      <c r="EH1209" t="s">
        <v>15733</v>
      </c>
      <c r="EI1209" t="s">
        <v>346</v>
      </c>
      <c r="EJ1209" t="s">
        <v>347</v>
      </c>
      <c r="EK1209" t="s">
        <v>15734</v>
      </c>
      <c r="EL1209" t="s">
        <v>331</v>
      </c>
      <c r="EM1209" t="s">
        <v>183</v>
      </c>
      <c r="EN1209" t="s">
        <v>211</v>
      </c>
      <c r="EO1209" t="s">
        <v>212</v>
      </c>
      <c r="EQ1209" t="s">
        <v>9783</v>
      </c>
      <c r="ER1209" t="s">
        <v>15735</v>
      </c>
      <c r="ES1209" t="s">
        <v>207</v>
      </c>
      <c r="ET1209" t="s">
        <v>208</v>
      </c>
      <c r="EU1209" t="s">
        <v>15736</v>
      </c>
      <c r="EV1209" t="s">
        <v>235</v>
      </c>
      <c r="EW1209" t="s">
        <v>183</v>
      </c>
      <c r="EX1209" t="s">
        <v>211</v>
      </c>
      <c r="EY1209" t="s">
        <v>865</v>
      </c>
      <c r="FA1209" t="s">
        <v>3391</v>
      </c>
      <c r="FK1209" t="s">
        <v>198</v>
      </c>
      <c r="FU1209" t="s">
        <v>198</v>
      </c>
    </row>
    <row r="1210" spans="1:177">
      <c r="A1210" s="1" t="str">
        <f>HYPERLINK("http://digipan.lumentumllc.com/apps/getLink/index.php?t=PropLink&amp;p=5247550","PL")</f>
        <v>PL</v>
      </c>
      <c r="B1210" s="1" t="str">
        <f>HYPERLINK("http://digipan.lumentumllc.com/apps/getLink/index.php?t=TaxLink&amp;p=5247550","TL")</f>
        <v>TL</v>
      </c>
      <c r="C1210" s="1" t="str">
        <f>HYPERLINK("http://digipan.lumentumllc.com/apps/getMap/index.php?p=5247550","Map")</f>
        <v>Map</v>
      </c>
      <c r="E1210" t="s">
        <v>177</v>
      </c>
      <c r="F1210" t="s">
        <v>178</v>
      </c>
      <c r="L1210" t="s">
        <v>15737</v>
      </c>
      <c r="N1210" t="s">
        <v>15737</v>
      </c>
      <c r="O1210" t="s">
        <v>15737</v>
      </c>
      <c r="P1210" t="s">
        <v>15738</v>
      </c>
      <c r="Q1210" t="s">
        <v>15737</v>
      </c>
      <c r="V1210">
        <v>1380</v>
      </c>
      <c r="W1210">
        <v>5</v>
      </c>
      <c r="X1210">
        <v>2017</v>
      </c>
      <c r="Y1210">
        <v>2018</v>
      </c>
      <c r="Z1210">
        <v>2487.89</v>
      </c>
      <c r="AB1210" t="s">
        <v>181</v>
      </c>
      <c r="AC1210" t="s">
        <v>182</v>
      </c>
      <c r="AD1210" t="s">
        <v>183</v>
      </c>
      <c r="AE1210">
        <v>1</v>
      </c>
      <c r="AF1210">
        <v>7</v>
      </c>
      <c r="AG1210" t="s">
        <v>418</v>
      </c>
      <c r="AH1210">
        <v>86</v>
      </c>
      <c r="AI1210">
        <v>2517.31</v>
      </c>
      <c r="AJ1210">
        <v>125.87</v>
      </c>
      <c r="AK1210">
        <v>2643.18</v>
      </c>
      <c r="AL1210">
        <v>150000</v>
      </c>
      <c r="AM1210">
        <v>150000</v>
      </c>
      <c r="AN1210">
        <v>0</v>
      </c>
      <c r="AO1210">
        <v>2303</v>
      </c>
      <c r="AP1210">
        <v>2016</v>
      </c>
      <c r="AQ1210">
        <v>1.66</v>
      </c>
      <c r="AR1210">
        <v>1.76</v>
      </c>
      <c r="AS1210" t="s">
        <v>15739</v>
      </c>
      <c r="AT1210" t="s">
        <v>3210</v>
      </c>
      <c r="AU1210" t="s">
        <v>177</v>
      </c>
      <c r="AV1210" t="s">
        <v>2334</v>
      </c>
      <c r="AW1210" t="s">
        <v>182</v>
      </c>
      <c r="AX1210">
        <v>0</v>
      </c>
      <c r="AY1210" t="s">
        <v>312</v>
      </c>
      <c r="AZ1210" t="s">
        <v>199</v>
      </c>
      <c r="BA1210" t="s">
        <v>313</v>
      </c>
      <c r="BB1210" t="s">
        <v>191</v>
      </c>
      <c r="BC1210" t="s">
        <v>182</v>
      </c>
      <c r="BD1210" t="s">
        <v>182</v>
      </c>
      <c r="BE1210" t="s">
        <v>365</v>
      </c>
      <c r="BF1210">
        <v>0</v>
      </c>
      <c r="BG1210">
        <v>0</v>
      </c>
      <c r="BH1210">
        <v>0</v>
      </c>
      <c r="BI1210" t="s">
        <v>199</v>
      </c>
      <c r="BJ1210" t="s">
        <v>315</v>
      </c>
      <c r="BL1210" t="s">
        <v>199</v>
      </c>
      <c r="BM1210" t="s">
        <v>1156</v>
      </c>
      <c r="BN1210" t="s">
        <v>182</v>
      </c>
      <c r="BO1210" t="s">
        <v>198</v>
      </c>
      <c r="BP1210" t="s">
        <v>198</v>
      </c>
      <c r="BQ1210" t="s">
        <v>198</v>
      </c>
      <c r="BR1210" t="s">
        <v>198</v>
      </c>
      <c r="BS1210" t="s">
        <v>198</v>
      </c>
      <c r="BT1210" t="s">
        <v>198</v>
      </c>
      <c r="BU1210" t="s">
        <v>182</v>
      </c>
      <c r="BV1210" t="s">
        <v>198</v>
      </c>
      <c r="BW1210" t="s">
        <v>198</v>
      </c>
      <c r="BX1210" t="s">
        <v>199</v>
      </c>
      <c r="BY1210" t="s">
        <v>198</v>
      </c>
      <c r="BZ1210" t="s">
        <v>199</v>
      </c>
      <c r="CA1210" t="s">
        <v>199</v>
      </c>
      <c r="CB1210" t="s">
        <v>15726</v>
      </c>
      <c r="CC1210" t="s">
        <v>201</v>
      </c>
      <c r="CD1210" t="s">
        <v>202</v>
      </c>
      <c r="CE1210" t="s">
        <v>5937</v>
      </c>
      <c r="CF1210" t="s">
        <v>2333</v>
      </c>
      <c r="CG1210" t="s">
        <v>177</v>
      </c>
      <c r="CH1210" t="s">
        <v>3178</v>
      </c>
      <c r="CI1210" t="s">
        <v>15740</v>
      </c>
      <c r="CJ1210" t="s">
        <v>14229</v>
      </c>
      <c r="CK1210" t="s">
        <v>232</v>
      </c>
      <c r="CL1210" t="s">
        <v>233</v>
      </c>
      <c r="CM1210" t="s">
        <v>15741</v>
      </c>
      <c r="CN1210" t="s">
        <v>235</v>
      </c>
      <c r="CO1210" t="s">
        <v>183</v>
      </c>
      <c r="CP1210" t="s">
        <v>266</v>
      </c>
      <c r="CS1210" t="s">
        <v>198</v>
      </c>
      <c r="CT1210" t="s">
        <v>14596</v>
      </c>
      <c r="CU1210" t="s">
        <v>292</v>
      </c>
      <c r="CV1210" t="s">
        <v>293</v>
      </c>
      <c r="CW1210" t="s">
        <v>15742</v>
      </c>
      <c r="CX1210" t="s">
        <v>331</v>
      </c>
      <c r="CY1210" t="s">
        <v>183</v>
      </c>
      <c r="CZ1210" t="s">
        <v>211</v>
      </c>
      <c r="DA1210" t="s">
        <v>345</v>
      </c>
      <c r="DC1210" t="s">
        <v>1609</v>
      </c>
      <c r="DD1210" t="s">
        <v>12576</v>
      </c>
      <c r="DE1210" t="s">
        <v>267</v>
      </c>
      <c r="DF1210" t="s">
        <v>268</v>
      </c>
      <c r="DG1210" t="s">
        <v>15743</v>
      </c>
      <c r="DH1210" t="s">
        <v>331</v>
      </c>
      <c r="DI1210" t="s">
        <v>183</v>
      </c>
      <c r="DJ1210" t="s">
        <v>211</v>
      </c>
      <c r="DK1210" t="s">
        <v>337</v>
      </c>
      <c r="DM1210" t="s">
        <v>13826</v>
      </c>
      <c r="DN1210" t="s">
        <v>13107</v>
      </c>
      <c r="DO1210" t="s">
        <v>273</v>
      </c>
      <c r="DP1210" t="s">
        <v>274</v>
      </c>
      <c r="DQ1210" t="s">
        <v>15744</v>
      </c>
      <c r="DR1210" t="s">
        <v>278</v>
      </c>
      <c r="DS1210" t="s">
        <v>183</v>
      </c>
      <c r="DT1210" t="s">
        <v>211</v>
      </c>
      <c r="DU1210" t="s">
        <v>909</v>
      </c>
      <c r="DW1210" t="s">
        <v>13826</v>
      </c>
      <c r="DX1210" t="s">
        <v>6645</v>
      </c>
      <c r="DY1210" t="s">
        <v>302</v>
      </c>
      <c r="DZ1210" t="s">
        <v>303</v>
      </c>
      <c r="EA1210" t="s">
        <v>15745</v>
      </c>
      <c r="EB1210" t="s">
        <v>235</v>
      </c>
      <c r="EC1210" t="s">
        <v>183</v>
      </c>
      <c r="ED1210" t="s">
        <v>211</v>
      </c>
      <c r="EE1210" t="s">
        <v>334</v>
      </c>
      <c r="EG1210" t="s">
        <v>15746</v>
      </c>
      <c r="EH1210" t="s">
        <v>3325</v>
      </c>
      <c r="EI1210" t="s">
        <v>238</v>
      </c>
      <c r="EJ1210" t="s">
        <v>239</v>
      </c>
      <c r="EK1210" t="s">
        <v>15747</v>
      </c>
      <c r="EL1210" t="s">
        <v>254</v>
      </c>
      <c r="EM1210" t="s">
        <v>183</v>
      </c>
      <c r="EN1210" t="s">
        <v>211</v>
      </c>
      <c r="EO1210" t="s">
        <v>345</v>
      </c>
      <c r="EQ1210" t="s">
        <v>2753</v>
      </c>
      <c r="ER1210" t="s">
        <v>15748</v>
      </c>
      <c r="ES1210" t="s">
        <v>346</v>
      </c>
      <c r="ET1210" t="s">
        <v>347</v>
      </c>
      <c r="EU1210" t="s">
        <v>15749</v>
      </c>
      <c r="EV1210" t="s">
        <v>1491</v>
      </c>
      <c r="EW1210" t="s">
        <v>183</v>
      </c>
      <c r="EX1210" t="s">
        <v>211</v>
      </c>
      <c r="EY1210" t="s">
        <v>212</v>
      </c>
      <c r="FA1210" t="s">
        <v>9783</v>
      </c>
      <c r="FB1210" t="s">
        <v>15750</v>
      </c>
      <c r="FC1210" t="s">
        <v>207</v>
      </c>
      <c r="FD1210" t="s">
        <v>208</v>
      </c>
      <c r="FE1210" t="s">
        <v>15751</v>
      </c>
      <c r="FF1210" t="s">
        <v>1966</v>
      </c>
      <c r="FG1210" t="s">
        <v>183</v>
      </c>
      <c r="FH1210" t="s">
        <v>211</v>
      </c>
      <c r="FI1210" t="s">
        <v>865</v>
      </c>
      <c r="FK1210" t="s">
        <v>3391</v>
      </c>
      <c r="FU1210" t="s">
        <v>198</v>
      </c>
    </row>
    <row r="1211" spans="1:177">
      <c r="A1211" s="1" t="str">
        <f>HYPERLINK("http://digipan.lumentumllc.com/apps/getLink/index.php?t=PropLink&amp;p=6594336","PL")</f>
        <v>PL</v>
      </c>
      <c r="B1211" s="1" t="str">
        <f>HYPERLINK("http://digipan.lumentumllc.com/apps/getLink/index.php?t=TaxLink&amp;p=6594336","TL")</f>
        <v>TL</v>
      </c>
      <c r="C1211" s="1" t="str">
        <f>HYPERLINK("http://digipan.lumentumllc.com/apps/getMap/index.php?p=6594336","Map")</f>
        <v>Map</v>
      </c>
      <c r="E1211" t="s">
        <v>177</v>
      </c>
      <c r="F1211" t="s">
        <v>178</v>
      </c>
      <c r="L1211" t="s">
        <v>15752</v>
      </c>
      <c r="N1211" t="s">
        <v>15752</v>
      </c>
      <c r="O1211" t="s">
        <v>15752</v>
      </c>
      <c r="P1211" t="s">
        <v>15753</v>
      </c>
      <c r="Q1211" t="s">
        <v>15752</v>
      </c>
      <c r="V1211">
        <v>1381</v>
      </c>
      <c r="W1211">
        <v>5</v>
      </c>
      <c r="X1211">
        <v>2017</v>
      </c>
      <c r="Y1211">
        <v>2018</v>
      </c>
      <c r="Z1211">
        <v>1905.17</v>
      </c>
      <c r="AB1211" t="s">
        <v>181</v>
      </c>
      <c r="AC1211" t="s">
        <v>182</v>
      </c>
      <c r="AD1211" t="s">
        <v>183</v>
      </c>
      <c r="AE1211">
        <v>1</v>
      </c>
      <c r="AF1211">
        <v>2</v>
      </c>
      <c r="AG1211" t="s">
        <v>363</v>
      </c>
      <c r="AH1211">
        <v>67</v>
      </c>
      <c r="AI1211">
        <v>1936.7</v>
      </c>
      <c r="AJ1211">
        <v>96.84</v>
      </c>
      <c r="AK1211">
        <v>2033.54</v>
      </c>
      <c r="AL1211">
        <v>114409</v>
      </c>
      <c r="AM1211">
        <v>32000</v>
      </c>
      <c r="AN1211">
        <v>82409</v>
      </c>
      <c r="AO1211">
        <v>1766</v>
      </c>
      <c r="AP1211">
        <v>2016</v>
      </c>
      <c r="AQ1211">
        <v>1.67</v>
      </c>
      <c r="AR1211">
        <v>1.78</v>
      </c>
      <c r="AS1211" t="s">
        <v>15754</v>
      </c>
      <c r="AT1211" t="s">
        <v>3210</v>
      </c>
      <c r="AU1211" t="s">
        <v>177</v>
      </c>
      <c r="AV1211" t="s">
        <v>2334</v>
      </c>
      <c r="AW1211" t="s">
        <v>182</v>
      </c>
      <c r="AX1211">
        <v>1</v>
      </c>
      <c r="AY1211" t="s">
        <v>188</v>
      </c>
      <c r="AZ1211" t="s">
        <v>206</v>
      </c>
      <c r="BA1211" t="s">
        <v>355</v>
      </c>
      <c r="BB1211" t="s">
        <v>191</v>
      </c>
      <c r="BC1211" t="s">
        <v>182</v>
      </c>
      <c r="BD1211" t="s">
        <v>182</v>
      </c>
      <c r="BE1211" t="s">
        <v>365</v>
      </c>
      <c r="BF1211">
        <v>1</v>
      </c>
      <c r="BG1211">
        <v>1</v>
      </c>
      <c r="BH1211">
        <v>1973</v>
      </c>
      <c r="BI1211" t="s">
        <v>15755</v>
      </c>
      <c r="BJ1211" t="s">
        <v>194</v>
      </c>
      <c r="BK1211" t="s">
        <v>195</v>
      </c>
      <c r="BL1211" t="s">
        <v>199</v>
      </c>
      <c r="BM1211" t="s">
        <v>1003</v>
      </c>
      <c r="BN1211" t="s">
        <v>182</v>
      </c>
      <c r="BO1211" t="s">
        <v>198</v>
      </c>
      <c r="BP1211" t="s">
        <v>198</v>
      </c>
      <c r="BQ1211" t="s">
        <v>198</v>
      </c>
      <c r="BR1211" t="s">
        <v>198</v>
      </c>
      <c r="BS1211" t="s">
        <v>198</v>
      </c>
      <c r="BT1211" t="s">
        <v>198</v>
      </c>
      <c r="BU1211" t="s">
        <v>182</v>
      </c>
      <c r="BV1211" t="s">
        <v>198</v>
      </c>
      <c r="BW1211" t="s">
        <v>198</v>
      </c>
      <c r="BX1211" t="s">
        <v>199</v>
      </c>
      <c r="BY1211" t="s">
        <v>198</v>
      </c>
      <c r="BZ1211" t="s">
        <v>199</v>
      </c>
      <c r="CA1211" t="s">
        <v>199</v>
      </c>
      <c r="CB1211" t="s">
        <v>15756</v>
      </c>
      <c r="CC1211" t="s">
        <v>201</v>
      </c>
      <c r="CD1211" t="s">
        <v>182</v>
      </c>
      <c r="CE1211" t="s">
        <v>15757</v>
      </c>
      <c r="CF1211" t="s">
        <v>15758</v>
      </c>
      <c r="CG1211" t="s">
        <v>1602</v>
      </c>
      <c r="CH1211" t="s">
        <v>15759</v>
      </c>
      <c r="CI1211" t="s">
        <v>15760</v>
      </c>
      <c r="CJ1211" t="s">
        <v>15365</v>
      </c>
      <c r="CK1211" t="s">
        <v>232</v>
      </c>
      <c r="CL1211" t="s">
        <v>233</v>
      </c>
      <c r="CM1211" t="s">
        <v>15761</v>
      </c>
      <c r="CN1211" t="s">
        <v>235</v>
      </c>
      <c r="CO1211" t="s">
        <v>183</v>
      </c>
      <c r="CP1211" t="s">
        <v>266</v>
      </c>
      <c r="CS1211" t="s">
        <v>198</v>
      </c>
      <c r="CT1211" t="s">
        <v>14425</v>
      </c>
      <c r="CU1211" t="s">
        <v>292</v>
      </c>
      <c r="CV1211" t="s">
        <v>293</v>
      </c>
      <c r="CW1211" t="s">
        <v>15762</v>
      </c>
      <c r="CX1211" t="s">
        <v>235</v>
      </c>
      <c r="CY1211" t="s">
        <v>183</v>
      </c>
      <c r="CZ1211" t="s">
        <v>211</v>
      </c>
      <c r="DA1211" t="s">
        <v>345</v>
      </c>
      <c r="DC1211" t="s">
        <v>8004</v>
      </c>
      <c r="DD1211" t="s">
        <v>1685</v>
      </c>
      <c r="DE1211" t="s">
        <v>267</v>
      </c>
      <c r="DF1211" t="s">
        <v>268</v>
      </c>
      <c r="DG1211" t="s">
        <v>15763</v>
      </c>
      <c r="DH1211" t="s">
        <v>235</v>
      </c>
      <c r="DI1211" t="s">
        <v>183</v>
      </c>
      <c r="DJ1211" t="s">
        <v>211</v>
      </c>
      <c r="DK1211" t="s">
        <v>345</v>
      </c>
      <c r="DM1211" t="s">
        <v>6162</v>
      </c>
      <c r="DW1211" t="s">
        <v>198</v>
      </c>
      <c r="EG1211" t="s">
        <v>198</v>
      </c>
      <c r="EQ1211" t="s">
        <v>198</v>
      </c>
      <c r="FA1211" t="s">
        <v>198</v>
      </c>
      <c r="FK1211" t="s">
        <v>198</v>
      </c>
      <c r="FU1211" t="s">
        <v>198</v>
      </c>
    </row>
    <row r="1212" spans="1:177">
      <c r="A1212" s="1" t="str">
        <f>HYPERLINK("http://digipan.lumentumllc.com/apps/getLink/index.php?t=PropLink&amp;p=5247552","PL")</f>
        <v>PL</v>
      </c>
      <c r="B1212" s="1" t="str">
        <f>HYPERLINK("http://digipan.lumentumllc.com/apps/getLink/index.php?t=TaxLink&amp;p=5247552","TL")</f>
        <v>TL</v>
      </c>
      <c r="C1212" s="1" t="str">
        <f>HYPERLINK("http://digipan.lumentumllc.com/apps/getMap/index.php?p=5247552","Map")</f>
        <v>Map</v>
      </c>
      <c r="E1212" t="s">
        <v>177</v>
      </c>
      <c r="F1212" t="s">
        <v>178</v>
      </c>
      <c r="L1212" t="s">
        <v>15764</v>
      </c>
      <c r="N1212" t="s">
        <v>15764</v>
      </c>
      <c r="O1212" t="s">
        <v>15764</v>
      </c>
      <c r="P1212" t="s">
        <v>15765</v>
      </c>
      <c r="Q1212" t="s">
        <v>15764</v>
      </c>
      <c r="V1212">
        <v>1382</v>
      </c>
      <c r="W1212">
        <v>5</v>
      </c>
      <c r="X1212">
        <v>2017</v>
      </c>
      <c r="Y1212">
        <v>2018</v>
      </c>
      <c r="Z1212">
        <v>9444.1299999999992</v>
      </c>
      <c r="AB1212" t="s">
        <v>181</v>
      </c>
      <c r="AC1212" t="s">
        <v>182</v>
      </c>
      <c r="AD1212" t="s">
        <v>183</v>
      </c>
      <c r="AE1212">
        <v>1</v>
      </c>
      <c r="AF1212">
        <v>6</v>
      </c>
      <c r="AG1212" t="s">
        <v>322</v>
      </c>
      <c r="AH1212">
        <v>83</v>
      </c>
      <c r="AI1212">
        <v>9602.31</v>
      </c>
      <c r="AJ1212">
        <v>480.12</v>
      </c>
      <c r="AK1212">
        <v>10082.43</v>
      </c>
      <c r="AL1212">
        <v>574870</v>
      </c>
      <c r="AM1212">
        <v>480928</v>
      </c>
      <c r="AN1212">
        <v>93942</v>
      </c>
      <c r="AO1212">
        <v>8854</v>
      </c>
      <c r="AP1212">
        <v>2016</v>
      </c>
      <c r="AQ1212">
        <v>1.64</v>
      </c>
      <c r="AR1212">
        <v>1.75</v>
      </c>
      <c r="AS1212" t="s">
        <v>15766</v>
      </c>
      <c r="AT1212" t="s">
        <v>3210</v>
      </c>
      <c r="AU1212" t="s">
        <v>177</v>
      </c>
      <c r="AV1212" t="s">
        <v>2334</v>
      </c>
      <c r="AW1212" t="s">
        <v>182</v>
      </c>
      <c r="AX1212">
        <v>27</v>
      </c>
      <c r="AY1212" t="s">
        <v>3641</v>
      </c>
      <c r="AZ1212" t="s">
        <v>616</v>
      </c>
      <c r="BA1212" t="s">
        <v>6072</v>
      </c>
      <c r="BB1212" t="s">
        <v>191</v>
      </c>
      <c r="BC1212" t="s">
        <v>182</v>
      </c>
      <c r="BD1212" t="s">
        <v>182</v>
      </c>
      <c r="BE1212" t="s">
        <v>15767</v>
      </c>
      <c r="BF1212">
        <v>3</v>
      </c>
      <c r="BG1212">
        <v>1</v>
      </c>
      <c r="BH1212">
        <v>1973</v>
      </c>
      <c r="BI1212" t="s">
        <v>15768</v>
      </c>
      <c r="BJ1212" t="s">
        <v>194</v>
      </c>
      <c r="BK1212" t="s">
        <v>195</v>
      </c>
      <c r="BL1212" t="s">
        <v>15769</v>
      </c>
      <c r="BM1212" t="s">
        <v>232</v>
      </c>
      <c r="BN1212" t="s">
        <v>182</v>
      </c>
      <c r="BO1212" t="s">
        <v>8618</v>
      </c>
      <c r="BP1212" t="s">
        <v>15770</v>
      </c>
      <c r="BQ1212" t="s">
        <v>5784</v>
      </c>
      <c r="BS1212" t="s">
        <v>15771</v>
      </c>
      <c r="BT1212" t="s">
        <v>198</v>
      </c>
      <c r="BU1212" t="s">
        <v>182</v>
      </c>
      <c r="BV1212" t="s">
        <v>198</v>
      </c>
      <c r="BW1212" t="s">
        <v>198</v>
      </c>
      <c r="BX1212" t="s">
        <v>199</v>
      </c>
      <c r="BY1212" t="s">
        <v>198</v>
      </c>
      <c r="BZ1212" t="s">
        <v>199</v>
      </c>
      <c r="CA1212" t="s">
        <v>199</v>
      </c>
      <c r="CB1212" t="s">
        <v>15772</v>
      </c>
      <c r="CC1212" t="s">
        <v>201</v>
      </c>
      <c r="CD1212" t="s">
        <v>202</v>
      </c>
      <c r="CE1212" t="s">
        <v>15773</v>
      </c>
      <c r="CF1212" t="s">
        <v>2333</v>
      </c>
      <c r="CG1212" t="s">
        <v>177</v>
      </c>
      <c r="CH1212" t="s">
        <v>2334</v>
      </c>
      <c r="CI1212" t="s">
        <v>15774</v>
      </c>
      <c r="CJ1212" t="s">
        <v>1530</v>
      </c>
      <c r="CK1212" t="s">
        <v>232</v>
      </c>
      <c r="CL1212" t="s">
        <v>233</v>
      </c>
      <c r="CM1212" t="s">
        <v>15775</v>
      </c>
      <c r="CN1212" t="s">
        <v>235</v>
      </c>
      <c r="CO1212" t="s">
        <v>183</v>
      </c>
      <c r="CP1212" t="s">
        <v>266</v>
      </c>
      <c r="CS1212" t="s">
        <v>198</v>
      </c>
      <c r="CT1212" t="s">
        <v>4776</v>
      </c>
      <c r="CU1212" t="s">
        <v>267</v>
      </c>
      <c r="CV1212" t="s">
        <v>268</v>
      </c>
      <c r="CW1212" t="s">
        <v>15776</v>
      </c>
      <c r="CX1212" t="s">
        <v>922</v>
      </c>
      <c r="CY1212" t="s">
        <v>183</v>
      </c>
      <c r="CZ1212" t="s">
        <v>211</v>
      </c>
      <c r="DA1212" t="s">
        <v>199</v>
      </c>
      <c r="DC1212" t="s">
        <v>6004</v>
      </c>
      <c r="DD1212" t="s">
        <v>1291</v>
      </c>
      <c r="DE1212" t="s">
        <v>273</v>
      </c>
      <c r="DF1212" t="s">
        <v>274</v>
      </c>
      <c r="DG1212" t="s">
        <v>15777</v>
      </c>
      <c r="DH1212" t="s">
        <v>235</v>
      </c>
      <c r="DI1212" t="s">
        <v>183</v>
      </c>
      <c r="DJ1212" t="s">
        <v>211</v>
      </c>
      <c r="DK1212" t="s">
        <v>427</v>
      </c>
      <c r="DM1212" t="s">
        <v>6004</v>
      </c>
      <c r="DN1212" t="s">
        <v>15778</v>
      </c>
      <c r="DO1212" t="s">
        <v>302</v>
      </c>
      <c r="DP1212" t="s">
        <v>303</v>
      </c>
      <c r="DQ1212" t="s">
        <v>15779</v>
      </c>
      <c r="DR1212" t="s">
        <v>235</v>
      </c>
      <c r="DS1212" t="s">
        <v>183</v>
      </c>
      <c r="DT1212" t="s">
        <v>211</v>
      </c>
      <c r="DU1212" t="s">
        <v>633</v>
      </c>
      <c r="DW1212" t="s">
        <v>6004</v>
      </c>
      <c r="DX1212" t="s">
        <v>15780</v>
      </c>
      <c r="DY1212" t="s">
        <v>238</v>
      </c>
      <c r="DZ1212" t="s">
        <v>239</v>
      </c>
      <c r="EA1212" t="s">
        <v>15781</v>
      </c>
      <c r="EB1212" t="s">
        <v>278</v>
      </c>
      <c r="EC1212" t="s">
        <v>183</v>
      </c>
      <c r="ED1212" t="s">
        <v>211</v>
      </c>
      <c r="EE1212" t="s">
        <v>199</v>
      </c>
      <c r="EG1212" t="s">
        <v>2922</v>
      </c>
      <c r="EH1212" t="s">
        <v>15782</v>
      </c>
      <c r="EI1212" t="s">
        <v>346</v>
      </c>
      <c r="EJ1212" t="s">
        <v>347</v>
      </c>
      <c r="EK1212" t="s">
        <v>15783</v>
      </c>
      <c r="EL1212" t="s">
        <v>247</v>
      </c>
      <c r="EM1212" t="s">
        <v>183</v>
      </c>
      <c r="EN1212" t="s">
        <v>211</v>
      </c>
      <c r="EO1212" t="s">
        <v>427</v>
      </c>
      <c r="EQ1212" t="s">
        <v>2922</v>
      </c>
      <c r="ER1212" t="s">
        <v>10953</v>
      </c>
      <c r="ES1212" t="s">
        <v>207</v>
      </c>
      <c r="ET1212" t="s">
        <v>208</v>
      </c>
      <c r="EU1212" t="s">
        <v>15784</v>
      </c>
      <c r="EV1212" t="s">
        <v>254</v>
      </c>
      <c r="EW1212" t="s">
        <v>183</v>
      </c>
      <c r="EX1212" t="s">
        <v>211</v>
      </c>
      <c r="EY1212" t="s">
        <v>633</v>
      </c>
      <c r="FA1212" t="s">
        <v>2922</v>
      </c>
      <c r="FK1212" t="s">
        <v>198</v>
      </c>
      <c r="FU1212" t="s">
        <v>198</v>
      </c>
    </row>
    <row r="1213" spans="1:177">
      <c r="A1213" s="1" t="str">
        <f>HYPERLINK("http://digipan.lumentumllc.com/apps/getLink/index.php?t=PropLink&amp;p=5247555","PL")</f>
        <v>PL</v>
      </c>
      <c r="B1213" s="1" t="str">
        <f>HYPERLINK("http://digipan.lumentumllc.com/apps/getLink/index.php?t=TaxLink&amp;p=5247555","TL")</f>
        <v>TL</v>
      </c>
      <c r="C1213" s="1" t="str">
        <f>HYPERLINK("http://digipan.lumentumllc.com/apps/getMap/index.php?p=5247555","Map")</f>
        <v>Map</v>
      </c>
      <c r="E1213" t="s">
        <v>177</v>
      </c>
      <c r="F1213" t="s">
        <v>178</v>
      </c>
      <c r="L1213" t="s">
        <v>15785</v>
      </c>
      <c r="N1213" t="s">
        <v>15785</v>
      </c>
      <c r="O1213" t="s">
        <v>15785</v>
      </c>
      <c r="P1213" t="s">
        <v>15786</v>
      </c>
      <c r="Q1213" t="s">
        <v>15785</v>
      </c>
      <c r="V1213">
        <v>1384</v>
      </c>
      <c r="W1213">
        <v>5</v>
      </c>
      <c r="X1213">
        <v>2017</v>
      </c>
      <c r="Y1213">
        <v>2018</v>
      </c>
      <c r="Z1213">
        <v>763.75</v>
      </c>
      <c r="AB1213" t="s">
        <v>181</v>
      </c>
      <c r="AC1213" t="s">
        <v>182</v>
      </c>
      <c r="AD1213" t="s">
        <v>183</v>
      </c>
      <c r="AE1213">
        <v>0</v>
      </c>
      <c r="AF1213">
        <v>5</v>
      </c>
      <c r="AG1213" t="s">
        <v>744</v>
      </c>
      <c r="AH1213">
        <v>100</v>
      </c>
      <c r="AK1213">
        <v>0</v>
      </c>
      <c r="AL1213">
        <v>76999</v>
      </c>
      <c r="AM1213">
        <v>29400</v>
      </c>
      <c r="AN1213">
        <v>47599</v>
      </c>
      <c r="AO1213">
        <v>606</v>
      </c>
      <c r="AP1213">
        <v>2016</v>
      </c>
      <c r="AQ1213">
        <v>0.99</v>
      </c>
      <c r="AS1213" t="s">
        <v>15787</v>
      </c>
      <c r="AT1213" t="s">
        <v>3210</v>
      </c>
      <c r="AU1213" t="s">
        <v>177</v>
      </c>
      <c r="AV1213" t="s">
        <v>2334</v>
      </c>
      <c r="AW1213" t="s">
        <v>202</v>
      </c>
      <c r="AX1213">
        <v>2</v>
      </c>
      <c r="AY1213" t="s">
        <v>188</v>
      </c>
      <c r="AZ1213" t="s">
        <v>189</v>
      </c>
      <c r="BA1213" t="s">
        <v>190</v>
      </c>
      <c r="BB1213" t="s">
        <v>191</v>
      </c>
      <c r="BC1213" t="s">
        <v>182</v>
      </c>
      <c r="BD1213" t="s">
        <v>182</v>
      </c>
      <c r="BE1213" t="s">
        <v>15788</v>
      </c>
      <c r="BF1213">
        <v>1</v>
      </c>
      <c r="BG1213">
        <v>1</v>
      </c>
      <c r="BH1213">
        <v>1996</v>
      </c>
      <c r="BI1213" t="s">
        <v>6235</v>
      </c>
      <c r="BJ1213" t="s">
        <v>194</v>
      </c>
      <c r="BK1213" t="s">
        <v>195</v>
      </c>
      <c r="BL1213" t="s">
        <v>199</v>
      </c>
      <c r="BM1213" t="s">
        <v>267</v>
      </c>
      <c r="BN1213" t="s">
        <v>182</v>
      </c>
      <c r="BO1213" t="s">
        <v>198</v>
      </c>
      <c r="BP1213" t="s">
        <v>198</v>
      </c>
      <c r="BQ1213" t="s">
        <v>198</v>
      </c>
      <c r="BR1213" t="s">
        <v>198</v>
      </c>
      <c r="BS1213" t="s">
        <v>198</v>
      </c>
      <c r="BT1213" t="s">
        <v>198</v>
      </c>
      <c r="BU1213" t="s">
        <v>182</v>
      </c>
      <c r="BV1213" t="s">
        <v>198</v>
      </c>
      <c r="BW1213" t="s">
        <v>198</v>
      </c>
      <c r="BX1213" t="s">
        <v>199</v>
      </c>
      <c r="BY1213" t="s">
        <v>198</v>
      </c>
      <c r="BZ1213" t="s">
        <v>199</v>
      </c>
      <c r="CA1213" t="s">
        <v>199</v>
      </c>
      <c r="CB1213" t="s">
        <v>15789</v>
      </c>
      <c r="CC1213" t="s">
        <v>201</v>
      </c>
      <c r="CD1213" t="s">
        <v>202</v>
      </c>
      <c r="CE1213" t="s">
        <v>15790</v>
      </c>
      <c r="CF1213" t="s">
        <v>2333</v>
      </c>
      <c r="CG1213" t="s">
        <v>177</v>
      </c>
      <c r="CH1213" t="s">
        <v>2334</v>
      </c>
      <c r="CI1213" t="s">
        <v>15791</v>
      </c>
      <c r="CJ1213" t="s">
        <v>12114</v>
      </c>
      <c r="CK1213" t="s">
        <v>292</v>
      </c>
      <c r="CL1213" t="s">
        <v>293</v>
      </c>
      <c r="CM1213" t="s">
        <v>15792</v>
      </c>
      <c r="CN1213" t="s">
        <v>235</v>
      </c>
      <c r="CO1213" t="s">
        <v>183</v>
      </c>
      <c r="CP1213" t="s">
        <v>211</v>
      </c>
      <c r="CQ1213" t="s">
        <v>427</v>
      </c>
      <c r="CS1213" t="s">
        <v>7467</v>
      </c>
      <c r="CT1213" t="s">
        <v>12308</v>
      </c>
      <c r="CU1213" t="s">
        <v>267</v>
      </c>
      <c r="CV1213" t="s">
        <v>268</v>
      </c>
      <c r="CW1213" t="s">
        <v>15793</v>
      </c>
      <c r="CX1213" t="s">
        <v>235</v>
      </c>
      <c r="CY1213" t="s">
        <v>183</v>
      </c>
      <c r="CZ1213" t="s">
        <v>211</v>
      </c>
      <c r="DA1213" t="s">
        <v>298</v>
      </c>
      <c r="DC1213" t="s">
        <v>7501</v>
      </c>
      <c r="DD1213" t="s">
        <v>5250</v>
      </c>
      <c r="DE1213" t="s">
        <v>273</v>
      </c>
      <c r="DF1213" t="s">
        <v>274</v>
      </c>
      <c r="DG1213" t="s">
        <v>15794</v>
      </c>
      <c r="DH1213" t="s">
        <v>235</v>
      </c>
      <c r="DI1213" t="s">
        <v>183</v>
      </c>
      <c r="DJ1213" t="s">
        <v>211</v>
      </c>
      <c r="DK1213" t="s">
        <v>298</v>
      </c>
      <c r="DM1213" t="s">
        <v>1069</v>
      </c>
      <c r="DN1213" t="s">
        <v>5386</v>
      </c>
      <c r="DO1213" t="s">
        <v>346</v>
      </c>
      <c r="DP1213" t="s">
        <v>347</v>
      </c>
      <c r="DQ1213" t="s">
        <v>15795</v>
      </c>
      <c r="DR1213" t="s">
        <v>688</v>
      </c>
      <c r="DS1213" t="s">
        <v>183</v>
      </c>
      <c r="DT1213" t="s">
        <v>211</v>
      </c>
      <c r="DU1213" t="s">
        <v>212</v>
      </c>
      <c r="DW1213" t="s">
        <v>15796</v>
      </c>
      <c r="DX1213" t="s">
        <v>15797</v>
      </c>
      <c r="DY1213" t="s">
        <v>207</v>
      </c>
      <c r="DZ1213" t="s">
        <v>208</v>
      </c>
      <c r="EA1213" t="s">
        <v>15798</v>
      </c>
      <c r="EB1213" t="s">
        <v>1966</v>
      </c>
      <c r="EC1213" t="s">
        <v>183</v>
      </c>
      <c r="ED1213" t="s">
        <v>211</v>
      </c>
      <c r="EE1213" t="s">
        <v>298</v>
      </c>
      <c r="EG1213" t="s">
        <v>11169</v>
      </c>
      <c r="EQ1213" t="s">
        <v>198</v>
      </c>
      <c r="FA1213" t="s">
        <v>198</v>
      </c>
      <c r="FK1213" t="s">
        <v>198</v>
      </c>
      <c r="FU1213" t="s">
        <v>198</v>
      </c>
    </row>
    <row r="1214" spans="1:177">
      <c r="A1214" s="1" t="str">
        <f>HYPERLINK("http://digipan.lumentumllc.com/apps/getLink/index.php?t=PropLink&amp;p=7112553","PL")</f>
        <v>PL</v>
      </c>
      <c r="B1214" s="1" t="str">
        <f>HYPERLINK("http://digipan.lumentumllc.com/apps/getLink/index.php?t=TaxLink&amp;p=7112553","TL")</f>
        <v>TL</v>
      </c>
      <c r="C1214" s="1" t="str">
        <f>HYPERLINK("http://digipan.lumentumllc.com/apps/getMap/index.php?p=7112553","Map")</f>
        <v>Map</v>
      </c>
      <c r="E1214" t="s">
        <v>177</v>
      </c>
      <c r="F1214" t="s">
        <v>178</v>
      </c>
      <c r="L1214" t="s">
        <v>15799</v>
      </c>
      <c r="N1214" t="s">
        <v>15799</v>
      </c>
      <c r="O1214" t="s">
        <v>15799</v>
      </c>
      <c r="P1214" t="s">
        <v>15800</v>
      </c>
      <c r="Q1214" t="s">
        <v>15799</v>
      </c>
      <c r="V1214">
        <v>1386</v>
      </c>
      <c r="W1214">
        <v>5</v>
      </c>
      <c r="X1214">
        <v>2017</v>
      </c>
      <c r="Y1214">
        <v>2018</v>
      </c>
      <c r="Z1214">
        <v>100.75</v>
      </c>
      <c r="AB1214" t="s">
        <v>181</v>
      </c>
      <c r="AC1214" t="s">
        <v>182</v>
      </c>
      <c r="AD1214" t="s">
        <v>183</v>
      </c>
      <c r="AE1214">
        <v>2</v>
      </c>
      <c r="AF1214">
        <v>0</v>
      </c>
      <c r="AG1214" t="s">
        <v>1737</v>
      </c>
      <c r="AH1214">
        <v>0</v>
      </c>
      <c r="AI1214">
        <v>183.43</v>
      </c>
      <c r="AJ1214">
        <v>47.59</v>
      </c>
      <c r="AK1214">
        <v>231.02</v>
      </c>
      <c r="AL1214">
        <v>4200</v>
      </c>
      <c r="AM1214">
        <v>4200</v>
      </c>
      <c r="AN1214">
        <v>0</v>
      </c>
      <c r="AO1214">
        <v>61</v>
      </c>
      <c r="AP1214">
        <v>2016</v>
      </c>
      <c r="AQ1214">
        <v>2.4</v>
      </c>
      <c r="AR1214">
        <v>5.5</v>
      </c>
      <c r="AS1214" t="s">
        <v>15801</v>
      </c>
      <c r="AT1214" t="s">
        <v>3210</v>
      </c>
      <c r="AU1214" t="s">
        <v>177</v>
      </c>
      <c r="AV1214" t="s">
        <v>2334</v>
      </c>
      <c r="AW1214" t="s">
        <v>182</v>
      </c>
      <c r="AX1214">
        <v>91</v>
      </c>
      <c r="AY1214" t="s">
        <v>1575</v>
      </c>
      <c r="AZ1214" t="s">
        <v>1728</v>
      </c>
      <c r="BA1214" t="s">
        <v>15802</v>
      </c>
      <c r="BB1214" t="s">
        <v>191</v>
      </c>
      <c r="BC1214" t="s">
        <v>182</v>
      </c>
      <c r="BD1214" t="s">
        <v>182</v>
      </c>
      <c r="BE1214" t="s">
        <v>5985</v>
      </c>
      <c r="BF1214">
        <v>0</v>
      </c>
      <c r="BG1214">
        <v>0</v>
      </c>
      <c r="BH1214">
        <v>0</v>
      </c>
      <c r="BI1214" t="s">
        <v>199</v>
      </c>
      <c r="BJ1214" t="s">
        <v>315</v>
      </c>
      <c r="BL1214" t="s">
        <v>15803</v>
      </c>
      <c r="BM1214" t="s">
        <v>533</v>
      </c>
      <c r="BN1214" t="s">
        <v>182</v>
      </c>
      <c r="BO1214" t="s">
        <v>198</v>
      </c>
      <c r="BP1214" t="s">
        <v>198</v>
      </c>
      <c r="BQ1214" t="s">
        <v>198</v>
      </c>
      <c r="BR1214" t="s">
        <v>198</v>
      </c>
      <c r="BS1214" t="s">
        <v>198</v>
      </c>
      <c r="BT1214" t="s">
        <v>198</v>
      </c>
      <c r="BU1214" t="s">
        <v>182</v>
      </c>
      <c r="BV1214" t="s">
        <v>198</v>
      </c>
      <c r="BW1214" t="s">
        <v>198</v>
      </c>
      <c r="BX1214" t="s">
        <v>199</v>
      </c>
      <c r="BY1214" t="s">
        <v>198</v>
      </c>
      <c r="BZ1214" t="s">
        <v>199</v>
      </c>
      <c r="CA1214" t="s">
        <v>199</v>
      </c>
      <c r="CB1214" t="s">
        <v>15804</v>
      </c>
      <c r="CC1214" t="s">
        <v>201</v>
      </c>
      <c r="CD1214" t="s">
        <v>182</v>
      </c>
      <c r="CE1214" t="s">
        <v>15805</v>
      </c>
      <c r="CF1214" t="s">
        <v>5331</v>
      </c>
      <c r="CG1214" t="s">
        <v>177</v>
      </c>
      <c r="CH1214" t="s">
        <v>371</v>
      </c>
      <c r="CI1214" t="s">
        <v>15806</v>
      </c>
      <c r="CJ1214" t="s">
        <v>490</v>
      </c>
      <c r="CK1214" t="s">
        <v>232</v>
      </c>
      <c r="CL1214" t="s">
        <v>233</v>
      </c>
      <c r="CM1214" t="s">
        <v>15807</v>
      </c>
      <c r="CN1214" t="s">
        <v>1074</v>
      </c>
      <c r="CO1214" t="s">
        <v>183</v>
      </c>
      <c r="CP1214" t="s">
        <v>266</v>
      </c>
      <c r="CS1214" t="s">
        <v>198</v>
      </c>
      <c r="CT1214" t="s">
        <v>1931</v>
      </c>
      <c r="CU1214" t="s">
        <v>292</v>
      </c>
      <c r="CV1214" t="s">
        <v>293</v>
      </c>
      <c r="CW1214" t="s">
        <v>15808</v>
      </c>
      <c r="CX1214" t="s">
        <v>482</v>
      </c>
      <c r="CY1214" t="s">
        <v>183</v>
      </c>
      <c r="CZ1214" t="s">
        <v>266</v>
      </c>
      <c r="DC1214" t="s">
        <v>198</v>
      </c>
      <c r="DM1214" t="s">
        <v>198</v>
      </c>
      <c r="DW1214" t="s">
        <v>198</v>
      </c>
      <c r="EG1214" t="s">
        <v>198</v>
      </c>
      <c r="EQ1214" t="s">
        <v>198</v>
      </c>
      <c r="FA1214" t="s">
        <v>198</v>
      </c>
      <c r="FK1214" t="s">
        <v>198</v>
      </c>
      <c r="FU1214" t="s">
        <v>198</v>
      </c>
    </row>
    <row r="1215" spans="1:177">
      <c r="A1215" s="1" t="str">
        <f>HYPERLINK("http://digipan.lumentumllc.com/apps/getLink/index.php?t=PropLink&amp;p=6886821","PL")</f>
        <v>PL</v>
      </c>
      <c r="B1215" s="1" t="str">
        <f>HYPERLINK("http://digipan.lumentumllc.com/apps/getLink/index.php?t=TaxLink&amp;p=6886821","TL")</f>
        <v>TL</v>
      </c>
      <c r="C1215" s="1" t="str">
        <f>HYPERLINK("http://digipan.lumentumllc.com/apps/getMap/index.php?p=6886821","Map")</f>
        <v>Map</v>
      </c>
      <c r="E1215" t="s">
        <v>177</v>
      </c>
      <c r="F1215" t="s">
        <v>178</v>
      </c>
      <c r="L1215" t="s">
        <v>15809</v>
      </c>
      <c r="N1215" t="s">
        <v>15809</v>
      </c>
      <c r="O1215" t="s">
        <v>15809</v>
      </c>
      <c r="P1215" t="s">
        <v>15810</v>
      </c>
      <c r="Q1215" t="s">
        <v>15809</v>
      </c>
      <c r="V1215">
        <v>1387</v>
      </c>
      <c r="W1215">
        <v>5</v>
      </c>
      <c r="X1215">
        <v>2017</v>
      </c>
      <c r="Y1215">
        <v>2018</v>
      </c>
      <c r="Z1215">
        <v>913.1</v>
      </c>
      <c r="AB1215" t="s">
        <v>181</v>
      </c>
      <c r="AC1215" t="s">
        <v>182</v>
      </c>
      <c r="AD1215" t="s">
        <v>183</v>
      </c>
      <c r="AE1215">
        <v>0</v>
      </c>
      <c r="AF1215">
        <v>1</v>
      </c>
      <c r="AG1215" t="s">
        <v>821</v>
      </c>
      <c r="AH1215">
        <v>100</v>
      </c>
      <c r="AK1215">
        <v>0</v>
      </c>
      <c r="AL1215">
        <v>104526</v>
      </c>
      <c r="AM1215">
        <v>26775</v>
      </c>
      <c r="AN1215">
        <v>77751</v>
      </c>
      <c r="AO1215">
        <v>799</v>
      </c>
      <c r="AP1215">
        <v>2016</v>
      </c>
      <c r="AQ1215">
        <v>0.87</v>
      </c>
      <c r="AS1215" t="s">
        <v>15811</v>
      </c>
      <c r="AT1215" t="s">
        <v>3210</v>
      </c>
      <c r="AU1215" t="s">
        <v>177</v>
      </c>
      <c r="AV1215" t="s">
        <v>2334</v>
      </c>
      <c r="AW1215" t="s">
        <v>202</v>
      </c>
      <c r="AX1215">
        <v>1</v>
      </c>
      <c r="AY1215" t="s">
        <v>188</v>
      </c>
      <c r="AZ1215" t="s">
        <v>206</v>
      </c>
      <c r="BA1215" t="s">
        <v>355</v>
      </c>
      <c r="BB1215" t="s">
        <v>191</v>
      </c>
      <c r="BC1215" t="s">
        <v>182</v>
      </c>
      <c r="BD1215" t="s">
        <v>182</v>
      </c>
      <c r="BE1215" t="s">
        <v>6986</v>
      </c>
      <c r="BF1215">
        <v>1</v>
      </c>
      <c r="BG1215">
        <v>1</v>
      </c>
      <c r="BH1215">
        <v>1997</v>
      </c>
      <c r="BI1215" t="s">
        <v>11069</v>
      </c>
      <c r="BJ1215" t="s">
        <v>194</v>
      </c>
      <c r="BK1215" t="s">
        <v>195</v>
      </c>
      <c r="BL1215" t="s">
        <v>1720</v>
      </c>
      <c r="BM1215" t="s">
        <v>1825</v>
      </c>
      <c r="BN1215" t="s">
        <v>182</v>
      </c>
      <c r="BO1215" t="s">
        <v>198</v>
      </c>
      <c r="BP1215" t="s">
        <v>198</v>
      </c>
      <c r="BQ1215" t="s">
        <v>198</v>
      </c>
      <c r="BR1215" t="s">
        <v>198</v>
      </c>
      <c r="BS1215" t="s">
        <v>198</v>
      </c>
      <c r="BT1215" t="s">
        <v>198</v>
      </c>
      <c r="BU1215" t="s">
        <v>182</v>
      </c>
      <c r="BV1215" t="s">
        <v>198</v>
      </c>
      <c r="BW1215" t="s">
        <v>198</v>
      </c>
      <c r="BX1215" t="s">
        <v>199</v>
      </c>
      <c r="BY1215" t="s">
        <v>198</v>
      </c>
      <c r="BZ1215" t="s">
        <v>199</v>
      </c>
      <c r="CA1215" t="s">
        <v>199</v>
      </c>
      <c r="CB1215" t="s">
        <v>15812</v>
      </c>
      <c r="CC1215" t="s">
        <v>201</v>
      </c>
      <c r="CD1215" t="s">
        <v>182</v>
      </c>
      <c r="CE1215" t="s">
        <v>15813</v>
      </c>
      <c r="CF1215" t="s">
        <v>2333</v>
      </c>
      <c r="CG1215" t="s">
        <v>177</v>
      </c>
      <c r="CH1215" t="s">
        <v>2334</v>
      </c>
      <c r="CI1215" t="s">
        <v>4082</v>
      </c>
      <c r="CJ1215" t="s">
        <v>14990</v>
      </c>
      <c r="CK1215" t="s">
        <v>267</v>
      </c>
      <c r="CL1215" t="s">
        <v>268</v>
      </c>
      <c r="CM1215" t="s">
        <v>15814</v>
      </c>
      <c r="CN1215" t="s">
        <v>235</v>
      </c>
      <c r="CO1215" t="s">
        <v>183</v>
      </c>
      <c r="CP1215" t="s">
        <v>211</v>
      </c>
      <c r="CQ1215" t="s">
        <v>212</v>
      </c>
      <c r="CS1215" t="s">
        <v>5556</v>
      </c>
      <c r="DC1215" t="s">
        <v>198</v>
      </c>
      <c r="DM1215" t="s">
        <v>198</v>
      </c>
      <c r="DW1215" t="s">
        <v>198</v>
      </c>
      <c r="EG1215" t="s">
        <v>198</v>
      </c>
      <c r="EQ1215" t="s">
        <v>198</v>
      </c>
      <c r="FA1215" t="s">
        <v>198</v>
      </c>
      <c r="FK1215" t="s">
        <v>198</v>
      </c>
      <c r="FU1215" t="s">
        <v>198</v>
      </c>
    </row>
    <row r="1216" spans="1:177">
      <c r="A1216" s="1" t="str">
        <f>HYPERLINK("http://digipan.lumentumllc.com/apps/getLink/index.php?t=PropLink&amp;p=6129437","PL")</f>
        <v>PL</v>
      </c>
      <c r="B1216" s="1" t="str">
        <f>HYPERLINK("http://digipan.lumentumllc.com/apps/getLink/index.php?t=TaxLink&amp;p=6129437","TL")</f>
        <v>TL</v>
      </c>
      <c r="C1216" s="1" t="str">
        <f>HYPERLINK("http://digipan.lumentumllc.com/apps/getMap/index.php?p=6129437","Map")</f>
        <v>Map</v>
      </c>
      <c r="E1216" t="s">
        <v>177</v>
      </c>
      <c r="F1216" t="s">
        <v>178</v>
      </c>
      <c r="L1216" t="s">
        <v>15815</v>
      </c>
      <c r="N1216" t="s">
        <v>15815</v>
      </c>
      <c r="O1216" t="s">
        <v>15815</v>
      </c>
      <c r="P1216" t="s">
        <v>15816</v>
      </c>
      <c r="Q1216" t="s">
        <v>15815</v>
      </c>
      <c r="V1216">
        <v>1388</v>
      </c>
      <c r="W1216">
        <v>5</v>
      </c>
      <c r="X1216">
        <v>2017</v>
      </c>
      <c r="Y1216">
        <v>2018</v>
      </c>
      <c r="Z1216">
        <v>2397.83</v>
      </c>
      <c r="AB1216" t="s">
        <v>181</v>
      </c>
      <c r="AC1216" t="s">
        <v>182</v>
      </c>
      <c r="AD1216" t="s">
        <v>183</v>
      </c>
      <c r="AE1216">
        <v>0</v>
      </c>
      <c r="AF1216">
        <v>4</v>
      </c>
      <c r="AG1216" t="s">
        <v>381</v>
      </c>
      <c r="AH1216">
        <v>100</v>
      </c>
      <c r="AK1216">
        <v>0</v>
      </c>
      <c r="AL1216">
        <v>150000</v>
      </c>
      <c r="AM1216">
        <v>150000</v>
      </c>
      <c r="AN1216">
        <v>0</v>
      </c>
      <c r="AO1216">
        <v>1957</v>
      </c>
      <c r="AP1216">
        <v>2016</v>
      </c>
      <c r="AQ1216">
        <v>1.6</v>
      </c>
      <c r="AS1216" t="s">
        <v>15817</v>
      </c>
      <c r="AT1216" t="s">
        <v>3210</v>
      </c>
      <c r="AU1216" t="s">
        <v>177</v>
      </c>
      <c r="AV1216" t="s">
        <v>2334</v>
      </c>
      <c r="AW1216" t="s">
        <v>182</v>
      </c>
      <c r="AX1216">
        <v>0</v>
      </c>
      <c r="AY1216" t="s">
        <v>312</v>
      </c>
      <c r="AZ1216" t="s">
        <v>199</v>
      </c>
      <c r="BA1216" t="s">
        <v>313</v>
      </c>
      <c r="BB1216" t="s">
        <v>191</v>
      </c>
      <c r="BC1216" t="s">
        <v>182</v>
      </c>
      <c r="BD1216" t="s">
        <v>182</v>
      </c>
      <c r="BE1216" t="s">
        <v>10485</v>
      </c>
      <c r="BF1216">
        <v>0</v>
      </c>
      <c r="BG1216">
        <v>0</v>
      </c>
      <c r="BH1216">
        <v>0</v>
      </c>
      <c r="BI1216" t="s">
        <v>199</v>
      </c>
      <c r="BJ1216" t="s">
        <v>396</v>
      </c>
      <c r="BL1216" t="s">
        <v>15818</v>
      </c>
      <c r="BM1216" t="s">
        <v>2351</v>
      </c>
      <c r="BN1216" t="s">
        <v>182</v>
      </c>
      <c r="BO1216" t="s">
        <v>198</v>
      </c>
      <c r="BP1216" t="s">
        <v>198</v>
      </c>
      <c r="BQ1216" t="s">
        <v>198</v>
      </c>
      <c r="BR1216" t="s">
        <v>198</v>
      </c>
      <c r="BS1216" t="s">
        <v>198</v>
      </c>
      <c r="BT1216" t="s">
        <v>198</v>
      </c>
      <c r="BU1216" t="s">
        <v>182</v>
      </c>
      <c r="BV1216" t="s">
        <v>198</v>
      </c>
      <c r="BW1216" t="s">
        <v>198</v>
      </c>
      <c r="BX1216" t="s">
        <v>199</v>
      </c>
      <c r="BY1216" t="s">
        <v>198</v>
      </c>
      <c r="BZ1216" t="s">
        <v>199</v>
      </c>
      <c r="CA1216" t="s">
        <v>199</v>
      </c>
      <c r="CB1216" t="s">
        <v>15819</v>
      </c>
      <c r="CC1216" t="s">
        <v>201</v>
      </c>
      <c r="CD1216" t="s">
        <v>182</v>
      </c>
      <c r="CE1216" t="s">
        <v>15820</v>
      </c>
      <c r="CF1216" t="s">
        <v>5331</v>
      </c>
      <c r="CG1216" t="s">
        <v>177</v>
      </c>
      <c r="CH1216" t="s">
        <v>371</v>
      </c>
      <c r="CI1216" t="s">
        <v>15821</v>
      </c>
      <c r="CJ1216" t="s">
        <v>15822</v>
      </c>
      <c r="CK1216" t="s">
        <v>273</v>
      </c>
      <c r="CL1216" t="s">
        <v>274</v>
      </c>
      <c r="CM1216" t="s">
        <v>15823</v>
      </c>
      <c r="CN1216" t="s">
        <v>796</v>
      </c>
      <c r="CO1216" t="s">
        <v>183</v>
      </c>
      <c r="CP1216" t="s">
        <v>211</v>
      </c>
      <c r="CQ1216" t="s">
        <v>298</v>
      </c>
      <c r="CS1216" t="s">
        <v>462</v>
      </c>
      <c r="CT1216" t="s">
        <v>11304</v>
      </c>
      <c r="CU1216" t="s">
        <v>302</v>
      </c>
      <c r="CV1216" t="s">
        <v>303</v>
      </c>
      <c r="CW1216" t="s">
        <v>15824</v>
      </c>
      <c r="CX1216" t="s">
        <v>235</v>
      </c>
      <c r="CY1216" t="s">
        <v>183</v>
      </c>
      <c r="CZ1216" t="s">
        <v>211</v>
      </c>
      <c r="DA1216" t="s">
        <v>298</v>
      </c>
      <c r="DC1216" t="s">
        <v>464</v>
      </c>
      <c r="DD1216" t="s">
        <v>15825</v>
      </c>
      <c r="DE1216" t="s">
        <v>238</v>
      </c>
      <c r="DF1216" t="s">
        <v>239</v>
      </c>
      <c r="DG1216" t="s">
        <v>15826</v>
      </c>
      <c r="DH1216" t="s">
        <v>440</v>
      </c>
      <c r="DI1216" t="s">
        <v>183</v>
      </c>
      <c r="DJ1216" t="s">
        <v>211</v>
      </c>
      <c r="DK1216" t="s">
        <v>342</v>
      </c>
      <c r="DM1216" t="s">
        <v>8421</v>
      </c>
      <c r="DN1216" t="s">
        <v>15827</v>
      </c>
      <c r="DO1216" t="s">
        <v>207</v>
      </c>
      <c r="DP1216" t="s">
        <v>208</v>
      </c>
      <c r="DQ1216" t="s">
        <v>15828</v>
      </c>
      <c r="DR1216" t="s">
        <v>1966</v>
      </c>
      <c r="DS1216" t="s">
        <v>183</v>
      </c>
      <c r="DT1216" t="s">
        <v>211</v>
      </c>
      <c r="DU1216" t="s">
        <v>298</v>
      </c>
      <c r="DW1216" t="s">
        <v>5492</v>
      </c>
      <c r="EG1216" t="s">
        <v>198</v>
      </c>
      <c r="EQ1216" t="s">
        <v>198</v>
      </c>
      <c r="FA1216" t="s">
        <v>198</v>
      </c>
      <c r="FK1216" t="s">
        <v>198</v>
      </c>
      <c r="FU1216" t="s">
        <v>198</v>
      </c>
    </row>
    <row r="1217" spans="1:177">
      <c r="A1217" s="1" t="str">
        <f>HYPERLINK("http://digipan.lumentumllc.com/apps/getLink/index.php?t=PropLink&amp;p=15757139","PL")</f>
        <v>PL</v>
      </c>
      <c r="B1217" s="1" t="str">
        <f>HYPERLINK("http://digipan.lumentumllc.com/apps/getLink/index.php?t=TaxLink&amp;p=15757139","TL")</f>
        <v>TL</v>
      </c>
      <c r="C1217" s="1" t="str">
        <f>HYPERLINK("http://digipan.lumentumllc.com/apps/getMap/index.php?p=15757139","Map")</f>
        <v>Map</v>
      </c>
      <c r="E1217" t="s">
        <v>177</v>
      </c>
      <c r="F1217" t="s">
        <v>178</v>
      </c>
      <c r="L1217" t="s">
        <v>15829</v>
      </c>
      <c r="N1217" t="s">
        <v>15829</v>
      </c>
      <c r="O1217" t="s">
        <v>15829</v>
      </c>
      <c r="Q1217" t="s">
        <v>15829</v>
      </c>
      <c r="V1217">
        <v>1389</v>
      </c>
      <c r="W1217">
        <v>5</v>
      </c>
      <c r="X1217">
        <v>2017</v>
      </c>
      <c r="Y1217">
        <v>2018</v>
      </c>
      <c r="Z1217">
        <v>787.04</v>
      </c>
      <c r="AG1217" t="s">
        <v>184</v>
      </c>
      <c r="AH1217">
        <v>0</v>
      </c>
      <c r="AK1217">
        <v>0</v>
      </c>
      <c r="AL1217">
        <v>172547</v>
      </c>
      <c r="AM1217">
        <v>35000</v>
      </c>
      <c r="AN1217">
        <v>137547</v>
      </c>
      <c r="AO1217">
        <v>2302</v>
      </c>
      <c r="AP1217">
        <v>2016</v>
      </c>
      <c r="AQ1217">
        <v>0.46</v>
      </c>
      <c r="AS1217" t="s">
        <v>15830</v>
      </c>
      <c r="AT1217" t="s">
        <v>3210</v>
      </c>
      <c r="AU1217" t="s">
        <v>177</v>
      </c>
      <c r="AV1217" t="s">
        <v>2334</v>
      </c>
      <c r="AW1217" t="s">
        <v>182</v>
      </c>
      <c r="AX1217">
        <v>1</v>
      </c>
      <c r="AY1217" t="s">
        <v>188</v>
      </c>
      <c r="AZ1217" t="s">
        <v>206</v>
      </c>
      <c r="BA1217" t="s">
        <v>355</v>
      </c>
      <c r="BB1217" t="s">
        <v>191</v>
      </c>
      <c r="BC1217" t="s">
        <v>182</v>
      </c>
      <c r="BD1217" t="s">
        <v>182</v>
      </c>
      <c r="BE1217" t="s">
        <v>235</v>
      </c>
      <c r="BF1217">
        <v>1</v>
      </c>
      <c r="BG1217">
        <v>1</v>
      </c>
      <c r="BH1217">
        <v>2002</v>
      </c>
      <c r="BI1217" t="s">
        <v>15831</v>
      </c>
      <c r="BJ1217" t="s">
        <v>248</v>
      </c>
      <c r="BK1217" t="s">
        <v>195</v>
      </c>
      <c r="BL1217" t="s">
        <v>1458</v>
      </c>
      <c r="BM1217" t="s">
        <v>273</v>
      </c>
      <c r="BN1217" t="s">
        <v>182</v>
      </c>
      <c r="BO1217" t="s">
        <v>15832</v>
      </c>
      <c r="BP1217" t="s">
        <v>15833</v>
      </c>
      <c r="BQ1217" t="s">
        <v>581</v>
      </c>
      <c r="BR1217" t="s">
        <v>563</v>
      </c>
      <c r="BS1217" t="s">
        <v>198</v>
      </c>
      <c r="BT1217" t="s">
        <v>10256</v>
      </c>
      <c r="BU1217" t="s">
        <v>182</v>
      </c>
      <c r="BV1217" t="s">
        <v>198</v>
      </c>
      <c r="BW1217" t="s">
        <v>198</v>
      </c>
      <c r="BX1217" t="s">
        <v>199</v>
      </c>
      <c r="BY1217" t="s">
        <v>198</v>
      </c>
      <c r="BZ1217" t="s">
        <v>199</v>
      </c>
      <c r="CA1217" t="s">
        <v>199</v>
      </c>
      <c r="CB1217" t="s">
        <v>15834</v>
      </c>
      <c r="CC1217" t="s">
        <v>201</v>
      </c>
      <c r="CD1217" t="s">
        <v>182</v>
      </c>
      <c r="CE1217" t="s">
        <v>12887</v>
      </c>
      <c r="CF1217" t="s">
        <v>15835</v>
      </c>
      <c r="CG1217" t="s">
        <v>1602</v>
      </c>
      <c r="CH1217" t="s">
        <v>15836</v>
      </c>
      <c r="CI1217" t="s">
        <v>15218</v>
      </c>
      <c r="CS1217" t="s">
        <v>198</v>
      </c>
      <c r="DC1217" t="s">
        <v>198</v>
      </c>
      <c r="DM1217" t="s">
        <v>198</v>
      </c>
      <c r="DW1217" t="s">
        <v>198</v>
      </c>
      <c r="EG1217" t="s">
        <v>198</v>
      </c>
      <c r="EQ1217" t="s">
        <v>198</v>
      </c>
      <c r="FA1217" t="s">
        <v>198</v>
      </c>
      <c r="FK1217" t="s">
        <v>198</v>
      </c>
      <c r="FU1217" t="s">
        <v>198</v>
      </c>
    </row>
    <row r="1218" spans="1:177">
      <c r="A1218" s="1" t="str">
        <f>HYPERLINK("http://digipan.lumentumllc.com/apps/getLink/index.php?t=PropLink&amp;p=15757331","PL")</f>
        <v>PL</v>
      </c>
      <c r="B1218" s="1" t="str">
        <f>HYPERLINK("http://digipan.lumentumllc.com/apps/getLink/index.php?t=TaxLink&amp;p=15757331","TL")</f>
        <v>TL</v>
      </c>
      <c r="C1218" s="1" t="str">
        <f>HYPERLINK("http://digipan.lumentumllc.com/apps/getMap/index.php?p=15757331","Map")</f>
        <v>Map</v>
      </c>
      <c r="E1218" t="s">
        <v>177</v>
      </c>
      <c r="F1218" t="s">
        <v>178</v>
      </c>
      <c r="L1218" t="s">
        <v>15837</v>
      </c>
      <c r="N1218" t="s">
        <v>15837</v>
      </c>
      <c r="O1218" t="s">
        <v>15837</v>
      </c>
      <c r="Q1218" t="s">
        <v>15837</v>
      </c>
      <c r="V1218">
        <v>1390</v>
      </c>
      <c r="W1218">
        <v>5</v>
      </c>
      <c r="X1218">
        <v>2017</v>
      </c>
      <c r="Y1218">
        <v>2018</v>
      </c>
      <c r="Z1218">
        <v>773.26</v>
      </c>
      <c r="AG1218" t="s">
        <v>184</v>
      </c>
      <c r="AH1218">
        <v>0</v>
      </c>
      <c r="AK1218">
        <v>0</v>
      </c>
      <c r="AL1218">
        <v>46550</v>
      </c>
      <c r="AM1218">
        <v>46550</v>
      </c>
      <c r="AN1218">
        <v>0</v>
      </c>
      <c r="AO1218">
        <v>661</v>
      </c>
      <c r="AP1218">
        <v>2016</v>
      </c>
      <c r="AQ1218">
        <v>1.66</v>
      </c>
      <c r="AS1218" t="s">
        <v>15838</v>
      </c>
      <c r="AT1218" t="s">
        <v>3210</v>
      </c>
      <c r="AU1218" t="s">
        <v>177</v>
      </c>
      <c r="AV1218" t="s">
        <v>2334</v>
      </c>
      <c r="AW1218" t="s">
        <v>182</v>
      </c>
      <c r="AX1218">
        <v>0</v>
      </c>
      <c r="AY1218" t="s">
        <v>312</v>
      </c>
      <c r="AZ1218" t="s">
        <v>199</v>
      </c>
      <c r="BA1218" t="s">
        <v>313</v>
      </c>
      <c r="BB1218" t="s">
        <v>191</v>
      </c>
      <c r="BC1218" t="s">
        <v>182</v>
      </c>
      <c r="BD1218" t="s">
        <v>182</v>
      </c>
      <c r="BE1218" t="s">
        <v>15839</v>
      </c>
      <c r="BF1218">
        <v>0</v>
      </c>
      <c r="BG1218">
        <v>0</v>
      </c>
      <c r="BH1218">
        <v>0</v>
      </c>
      <c r="BI1218" t="s">
        <v>199</v>
      </c>
      <c r="BJ1218" t="s">
        <v>315</v>
      </c>
      <c r="BL1218" t="s">
        <v>15840</v>
      </c>
      <c r="BM1218" t="s">
        <v>679</v>
      </c>
      <c r="BN1218" t="s">
        <v>182</v>
      </c>
      <c r="BO1218" t="s">
        <v>15841</v>
      </c>
      <c r="BP1218" t="s">
        <v>15842</v>
      </c>
      <c r="BQ1218" t="s">
        <v>562</v>
      </c>
      <c r="BR1218" t="s">
        <v>563</v>
      </c>
      <c r="BS1218" t="s">
        <v>198</v>
      </c>
      <c r="BT1218" t="s">
        <v>15843</v>
      </c>
      <c r="BU1218" t="s">
        <v>182</v>
      </c>
      <c r="BV1218" t="s">
        <v>198</v>
      </c>
      <c r="BW1218" t="s">
        <v>198</v>
      </c>
      <c r="BX1218" t="s">
        <v>199</v>
      </c>
      <c r="BY1218" t="s">
        <v>198</v>
      </c>
      <c r="BZ1218" t="s">
        <v>199</v>
      </c>
      <c r="CA1218" t="s">
        <v>199</v>
      </c>
      <c r="CB1218" t="s">
        <v>15844</v>
      </c>
      <c r="CC1218" t="s">
        <v>201</v>
      </c>
      <c r="CD1218" t="s">
        <v>202</v>
      </c>
      <c r="CE1218" t="s">
        <v>15845</v>
      </c>
      <c r="CF1218" t="s">
        <v>2333</v>
      </c>
      <c r="CG1218" t="s">
        <v>177</v>
      </c>
      <c r="CH1218" t="s">
        <v>2334</v>
      </c>
      <c r="CI1218" t="s">
        <v>4045</v>
      </c>
      <c r="CS1218" t="s">
        <v>198</v>
      </c>
      <c r="DC1218" t="s">
        <v>198</v>
      </c>
      <c r="DM1218" t="s">
        <v>198</v>
      </c>
      <c r="DW1218" t="s">
        <v>198</v>
      </c>
      <c r="EG1218" t="s">
        <v>198</v>
      </c>
      <c r="EQ1218" t="s">
        <v>198</v>
      </c>
      <c r="FA1218" t="s">
        <v>198</v>
      </c>
      <c r="FK1218" t="s">
        <v>198</v>
      </c>
      <c r="FU1218" t="s">
        <v>198</v>
      </c>
    </row>
    <row r="1219" spans="1:177">
      <c r="A1219" s="1" t="str">
        <f>HYPERLINK("http://digipan.lumentumllc.com/apps/getLink/index.php?t=PropLink&amp;p=5247798","PL")</f>
        <v>PL</v>
      </c>
      <c r="B1219" s="1" t="str">
        <f>HYPERLINK("http://digipan.lumentumllc.com/apps/getLink/index.php?t=TaxLink&amp;p=5247798","TL")</f>
        <v>TL</v>
      </c>
      <c r="C1219" s="1" t="str">
        <f>HYPERLINK("http://digipan.lumentumllc.com/apps/getMap/index.php?p=5247798","Map")</f>
        <v>Map</v>
      </c>
      <c r="E1219" t="s">
        <v>177</v>
      </c>
      <c r="F1219" t="s">
        <v>178</v>
      </c>
      <c r="L1219" t="s">
        <v>15846</v>
      </c>
      <c r="N1219" t="s">
        <v>15846</v>
      </c>
      <c r="O1219" t="s">
        <v>15846</v>
      </c>
      <c r="P1219" t="s">
        <v>15847</v>
      </c>
      <c r="Q1219" t="s">
        <v>15846</v>
      </c>
      <c r="V1219">
        <v>1392</v>
      </c>
      <c r="W1219">
        <v>5</v>
      </c>
      <c r="X1219">
        <v>2017</v>
      </c>
      <c r="Y1219">
        <v>2018</v>
      </c>
      <c r="Z1219">
        <v>1927.02</v>
      </c>
      <c r="AB1219" t="s">
        <v>181</v>
      </c>
      <c r="AC1219" t="s">
        <v>202</v>
      </c>
      <c r="AD1219" t="s">
        <v>183</v>
      </c>
      <c r="AE1219">
        <v>0</v>
      </c>
      <c r="AF1219">
        <v>6</v>
      </c>
      <c r="AG1219" t="s">
        <v>528</v>
      </c>
      <c r="AH1219">
        <v>100</v>
      </c>
      <c r="AK1219">
        <v>0</v>
      </c>
      <c r="AL1219">
        <v>117699</v>
      </c>
      <c r="AM1219">
        <v>49104</v>
      </c>
      <c r="AN1219">
        <v>68595</v>
      </c>
      <c r="AO1219">
        <v>1594</v>
      </c>
      <c r="AP1219">
        <v>2016</v>
      </c>
      <c r="AQ1219">
        <v>1.64</v>
      </c>
      <c r="AS1219" t="s">
        <v>15848</v>
      </c>
      <c r="AT1219" t="s">
        <v>3210</v>
      </c>
      <c r="AU1219" t="s">
        <v>177</v>
      </c>
      <c r="AV1219" t="s">
        <v>2334</v>
      </c>
      <c r="AW1219" t="s">
        <v>182</v>
      </c>
      <c r="AX1219">
        <v>2</v>
      </c>
      <c r="AY1219" t="s">
        <v>188</v>
      </c>
      <c r="AZ1219" t="s">
        <v>189</v>
      </c>
      <c r="BA1219" t="s">
        <v>190</v>
      </c>
      <c r="BB1219" t="s">
        <v>191</v>
      </c>
      <c r="BC1219" t="s">
        <v>182</v>
      </c>
      <c r="BD1219" t="s">
        <v>182</v>
      </c>
      <c r="BE1219" t="s">
        <v>15849</v>
      </c>
      <c r="BF1219">
        <v>1</v>
      </c>
      <c r="BG1219">
        <v>1</v>
      </c>
      <c r="BH1219">
        <v>1999</v>
      </c>
      <c r="BI1219" t="s">
        <v>15850</v>
      </c>
      <c r="BJ1219" t="s">
        <v>1945</v>
      </c>
      <c r="BK1219" t="s">
        <v>195</v>
      </c>
      <c r="BL1219" t="s">
        <v>199</v>
      </c>
      <c r="BM1219" t="s">
        <v>273</v>
      </c>
      <c r="BN1219" t="s">
        <v>182</v>
      </c>
      <c r="BO1219" t="s">
        <v>198</v>
      </c>
      <c r="BP1219" t="s">
        <v>198</v>
      </c>
      <c r="BQ1219" t="s">
        <v>198</v>
      </c>
      <c r="BR1219" t="s">
        <v>198</v>
      </c>
      <c r="BS1219" t="s">
        <v>198</v>
      </c>
      <c r="BT1219" t="s">
        <v>198</v>
      </c>
      <c r="BU1219" t="s">
        <v>182</v>
      </c>
      <c r="BV1219" t="s">
        <v>198</v>
      </c>
      <c r="BW1219" t="s">
        <v>198</v>
      </c>
      <c r="BX1219" t="s">
        <v>199</v>
      </c>
      <c r="BY1219" t="s">
        <v>198</v>
      </c>
      <c r="BZ1219" t="s">
        <v>199</v>
      </c>
      <c r="CA1219" t="s">
        <v>199</v>
      </c>
      <c r="CB1219" t="s">
        <v>15851</v>
      </c>
      <c r="CC1219" t="s">
        <v>201</v>
      </c>
      <c r="CD1219" t="s">
        <v>182</v>
      </c>
      <c r="CE1219" t="s">
        <v>15852</v>
      </c>
      <c r="CF1219" t="s">
        <v>2333</v>
      </c>
      <c r="CG1219" t="s">
        <v>177</v>
      </c>
      <c r="CH1219" t="s">
        <v>2334</v>
      </c>
      <c r="CI1219" t="s">
        <v>15853</v>
      </c>
      <c r="CJ1219" t="s">
        <v>14563</v>
      </c>
      <c r="CK1219" t="s">
        <v>292</v>
      </c>
      <c r="CL1219" t="s">
        <v>293</v>
      </c>
      <c r="CM1219" t="s">
        <v>15854</v>
      </c>
      <c r="CN1219" t="s">
        <v>235</v>
      </c>
      <c r="CO1219" t="s">
        <v>183</v>
      </c>
      <c r="CP1219" t="s">
        <v>211</v>
      </c>
      <c r="CQ1219" t="s">
        <v>270</v>
      </c>
      <c r="CR1219" t="s">
        <v>271</v>
      </c>
      <c r="CS1219" t="s">
        <v>4800</v>
      </c>
      <c r="CT1219" t="s">
        <v>12678</v>
      </c>
      <c r="CU1219" t="s">
        <v>267</v>
      </c>
      <c r="CV1219" t="s">
        <v>268</v>
      </c>
      <c r="CW1219" t="s">
        <v>15855</v>
      </c>
      <c r="CX1219" t="s">
        <v>331</v>
      </c>
      <c r="CY1219" t="s">
        <v>183</v>
      </c>
      <c r="CZ1219" t="s">
        <v>211</v>
      </c>
      <c r="DB1219" t="s">
        <v>271</v>
      </c>
      <c r="DC1219" t="s">
        <v>198</v>
      </c>
      <c r="DD1219" t="s">
        <v>10772</v>
      </c>
      <c r="DE1219" t="s">
        <v>273</v>
      </c>
      <c r="DF1219" t="s">
        <v>274</v>
      </c>
      <c r="DG1219" t="s">
        <v>15856</v>
      </c>
      <c r="DH1219" t="s">
        <v>235</v>
      </c>
      <c r="DI1219" t="s">
        <v>183</v>
      </c>
      <c r="DJ1219" t="s">
        <v>211</v>
      </c>
      <c r="DK1219" t="s">
        <v>427</v>
      </c>
      <c r="DM1219" t="s">
        <v>3445</v>
      </c>
      <c r="DN1219" t="s">
        <v>15857</v>
      </c>
      <c r="DO1219" t="s">
        <v>302</v>
      </c>
      <c r="DP1219" t="s">
        <v>303</v>
      </c>
      <c r="DQ1219" t="s">
        <v>15858</v>
      </c>
      <c r="DR1219" t="s">
        <v>235</v>
      </c>
      <c r="DS1219" t="s">
        <v>183</v>
      </c>
      <c r="DT1219" t="s">
        <v>211</v>
      </c>
      <c r="DU1219" t="s">
        <v>206</v>
      </c>
      <c r="DW1219" t="s">
        <v>12765</v>
      </c>
      <c r="DX1219" t="s">
        <v>15859</v>
      </c>
      <c r="DY1219" t="s">
        <v>238</v>
      </c>
      <c r="DZ1219" t="s">
        <v>239</v>
      </c>
      <c r="EA1219" t="s">
        <v>15860</v>
      </c>
      <c r="EB1219" t="s">
        <v>440</v>
      </c>
      <c r="EC1219" t="s">
        <v>183</v>
      </c>
      <c r="ED1219" t="s">
        <v>211</v>
      </c>
      <c r="EE1219" t="s">
        <v>306</v>
      </c>
      <c r="EG1219" t="s">
        <v>12765</v>
      </c>
      <c r="EH1219" t="s">
        <v>15861</v>
      </c>
      <c r="EI1219" t="s">
        <v>346</v>
      </c>
      <c r="EJ1219" t="s">
        <v>347</v>
      </c>
      <c r="EK1219" t="s">
        <v>15862</v>
      </c>
      <c r="EL1219" t="s">
        <v>688</v>
      </c>
      <c r="EM1219" t="s">
        <v>183</v>
      </c>
      <c r="EN1219" t="s">
        <v>211</v>
      </c>
      <c r="EO1219" t="s">
        <v>298</v>
      </c>
      <c r="EQ1219" t="s">
        <v>15863</v>
      </c>
      <c r="FA1219" t="s">
        <v>198</v>
      </c>
      <c r="FK1219" t="s">
        <v>198</v>
      </c>
      <c r="FU1219" t="s">
        <v>198</v>
      </c>
    </row>
    <row r="1220" spans="1:177">
      <c r="A1220" s="1" t="str">
        <f>HYPERLINK("http://digipan.lumentumllc.com/apps/getLink/index.php?t=PropLink&amp;p=15758544","PL")</f>
        <v>PL</v>
      </c>
      <c r="B1220" s="1" t="str">
        <f>HYPERLINK("http://digipan.lumentumllc.com/apps/getLink/index.php?t=TaxLink&amp;p=15758544","TL")</f>
        <v>TL</v>
      </c>
      <c r="C1220" s="1" t="str">
        <f>HYPERLINK("http://digipan.lumentumllc.com/apps/getMap/index.php?p=15758544","Map")</f>
        <v>Map</v>
      </c>
      <c r="E1220" t="s">
        <v>177</v>
      </c>
      <c r="F1220" t="s">
        <v>178</v>
      </c>
      <c r="L1220" t="s">
        <v>15864</v>
      </c>
      <c r="N1220" t="s">
        <v>15864</v>
      </c>
      <c r="O1220" t="s">
        <v>15864</v>
      </c>
      <c r="Q1220" t="s">
        <v>15864</v>
      </c>
      <c r="V1220">
        <v>1393</v>
      </c>
      <c r="W1220">
        <v>5</v>
      </c>
      <c r="X1220">
        <v>2017</v>
      </c>
      <c r="Y1220">
        <v>2018</v>
      </c>
      <c r="Z1220">
        <v>311.99</v>
      </c>
      <c r="AG1220" t="s">
        <v>184</v>
      </c>
      <c r="AH1220">
        <v>0</v>
      </c>
      <c r="AK1220">
        <v>0</v>
      </c>
      <c r="AL1220">
        <v>17100</v>
      </c>
      <c r="AM1220">
        <v>17100</v>
      </c>
      <c r="AN1220">
        <v>0</v>
      </c>
      <c r="AO1220">
        <v>9</v>
      </c>
      <c r="AP1220">
        <v>2016</v>
      </c>
      <c r="AQ1220">
        <v>1.82</v>
      </c>
      <c r="AS1220" t="s">
        <v>15865</v>
      </c>
      <c r="AT1220" t="s">
        <v>3210</v>
      </c>
      <c r="AU1220" t="s">
        <v>177</v>
      </c>
      <c r="AV1220" t="s">
        <v>2334</v>
      </c>
      <c r="AW1220" t="s">
        <v>182</v>
      </c>
      <c r="AX1220">
        <v>0</v>
      </c>
      <c r="AY1220" t="s">
        <v>312</v>
      </c>
      <c r="AZ1220" t="s">
        <v>199</v>
      </c>
      <c r="BA1220" t="s">
        <v>313</v>
      </c>
      <c r="BB1220" t="s">
        <v>191</v>
      </c>
      <c r="BC1220" t="s">
        <v>182</v>
      </c>
      <c r="BD1220" t="s">
        <v>182</v>
      </c>
      <c r="BE1220" t="s">
        <v>11471</v>
      </c>
      <c r="BF1220">
        <v>0</v>
      </c>
      <c r="BG1220">
        <v>0</v>
      </c>
      <c r="BH1220">
        <v>0</v>
      </c>
      <c r="BI1220" t="s">
        <v>199</v>
      </c>
      <c r="BJ1220" t="s">
        <v>315</v>
      </c>
      <c r="BL1220" t="s">
        <v>199</v>
      </c>
      <c r="BM1220" t="s">
        <v>232</v>
      </c>
      <c r="BN1220" t="s">
        <v>182</v>
      </c>
      <c r="BO1220" t="s">
        <v>198</v>
      </c>
      <c r="BP1220" t="s">
        <v>198</v>
      </c>
      <c r="BQ1220" t="s">
        <v>198</v>
      </c>
      <c r="BR1220" t="s">
        <v>198</v>
      </c>
      <c r="BS1220" t="s">
        <v>198</v>
      </c>
      <c r="BT1220" t="s">
        <v>198</v>
      </c>
      <c r="BU1220" t="s">
        <v>182</v>
      </c>
      <c r="BV1220" t="s">
        <v>198</v>
      </c>
      <c r="BW1220" t="s">
        <v>198</v>
      </c>
      <c r="BX1220" t="s">
        <v>199</v>
      </c>
      <c r="BY1220" t="s">
        <v>198</v>
      </c>
      <c r="BZ1220" t="s">
        <v>199</v>
      </c>
      <c r="CA1220" t="s">
        <v>199</v>
      </c>
      <c r="CB1220" t="s">
        <v>15866</v>
      </c>
      <c r="CC1220" t="s">
        <v>201</v>
      </c>
      <c r="CD1220" t="s">
        <v>202</v>
      </c>
      <c r="CE1220" t="s">
        <v>15867</v>
      </c>
      <c r="CF1220" t="s">
        <v>2333</v>
      </c>
      <c r="CG1220" t="s">
        <v>177</v>
      </c>
      <c r="CH1220" t="s">
        <v>2334</v>
      </c>
      <c r="CI1220" t="s">
        <v>15868</v>
      </c>
      <c r="CS1220" t="s">
        <v>198</v>
      </c>
      <c r="DC1220" t="s">
        <v>198</v>
      </c>
      <c r="DM1220" t="s">
        <v>198</v>
      </c>
      <c r="DW1220" t="s">
        <v>198</v>
      </c>
      <c r="EG1220" t="s">
        <v>198</v>
      </c>
      <c r="EQ1220" t="s">
        <v>198</v>
      </c>
      <c r="FA1220" t="s">
        <v>198</v>
      </c>
      <c r="FK1220" t="s">
        <v>198</v>
      </c>
      <c r="FU1220" t="s">
        <v>198</v>
      </c>
    </row>
    <row r="1221" spans="1:177">
      <c r="A1221" s="1" t="str">
        <f>HYPERLINK("http://digipan.lumentumllc.com/apps/getLink/index.php?t=PropLink&amp;p=15758553","PL")</f>
        <v>PL</v>
      </c>
      <c r="B1221" s="1" t="str">
        <f>HYPERLINK("http://digipan.lumentumllc.com/apps/getLink/index.php?t=TaxLink&amp;p=15758553","TL")</f>
        <v>TL</v>
      </c>
      <c r="C1221" s="1" t="str">
        <f>HYPERLINK("http://digipan.lumentumllc.com/apps/getMap/index.php?p=15758553","Map")</f>
        <v>Map</v>
      </c>
      <c r="E1221" t="s">
        <v>177</v>
      </c>
      <c r="F1221" t="s">
        <v>178</v>
      </c>
      <c r="L1221" t="s">
        <v>15869</v>
      </c>
      <c r="N1221" t="s">
        <v>15869</v>
      </c>
      <c r="O1221" t="s">
        <v>15869</v>
      </c>
      <c r="Q1221" t="s">
        <v>15869</v>
      </c>
      <c r="V1221">
        <v>1394</v>
      </c>
      <c r="W1221">
        <v>5</v>
      </c>
      <c r="X1221">
        <v>2017</v>
      </c>
      <c r="Y1221">
        <v>2018</v>
      </c>
      <c r="Z1221">
        <v>3774.02</v>
      </c>
      <c r="AG1221" t="s">
        <v>184</v>
      </c>
      <c r="AH1221">
        <v>0</v>
      </c>
      <c r="AK1221">
        <v>0</v>
      </c>
      <c r="AL1221">
        <v>228554</v>
      </c>
      <c r="AM1221">
        <v>73500</v>
      </c>
      <c r="AN1221">
        <v>155054</v>
      </c>
      <c r="AO1221">
        <v>3532</v>
      </c>
      <c r="AP1221">
        <v>2016</v>
      </c>
      <c r="AQ1221">
        <v>1.65</v>
      </c>
      <c r="AS1221" t="s">
        <v>15870</v>
      </c>
      <c r="AT1221" t="s">
        <v>3210</v>
      </c>
      <c r="AU1221" t="s">
        <v>177</v>
      </c>
      <c r="AV1221" t="s">
        <v>2334</v>
      </c>
      <c r="AW1221" t="s">
        <v>182</v>
      </c>
      <c r="AX1221">
        <v>41</v>
      </c>
      <c r="AY1221" t="s">
        <v>5663</v>
      </c>
      <c r="AZ1221" t="s">
        <v>1006</v>
      </c>
      <c r="BA1221" t="s">
        <v>5664</v>
      </c>
      <c r="BB1221" t="s">
        <v>191</v>
      </c>
      <c r="BC1221" t="s">
        <v>182</v>
      </c>
      <c r="BD1221" t="s">
        <v>182</v>
      </c>
      <c r="BE1221" t="s">
        <v>15871</v>
      </c>
      <c r="BF1221">
        <v>2</v>
      </c>
      <c r="BG1221">
        <v>0</v>
      </c>
      <c r="BH1221">
        <v>1993</v>
      </c>
      <c r="BI1221" t="s">
        <v>15872</v>
      </c>
      <c r="BJ1221" t="s">
        <v>194</v>
      </c>
      <c r="BK1221" t="s">
        <v>840</v>
      </c>
      <c r="BL1221" t="s">
        <v>15873</v>
      </c>
      <c r="BM1221" t="s">
        <v>197</v>
      </c>
      <c r="BN1221" t="s">
        <v>182</v>
      </c>
      <c r="BO1221" t="s">
        <v>15874</v>
      </c>
      <c r="BP1221" t="s">
        <v>15875</v>
      </c>
      <c r="BQ1221" t="s">
        <v>800</v>
      </c>
      <c r="BR1221" t="s">
        <v>563</v>
      </c>
      <c r="BS1221" t="s">
        <v>198</v>
      </c>
      <c r="BT1221" t="s">
        <v>3752</v>
      </c>
      <c r="BU1221" t="s">
        <v>182</v>
      </c>
      <c r="BV1221" t="s">
        <v>198</v>
      </c>
      <c r="BW1221" t="s">
        <v>198</v>
      </c>
      <c r="BX1221" t="s">
        <v>199</v>
      </c>
      <c r="BY1221" t="s">
        <v>198</v>
      </c>
      <c r="BZ1221" t="s">
        <v>199</v>
      </c>
      <c r="CA1221" t="s">
        <v>199</v>
      </c>
      <c r="CB1221" t="s">
        <v>15876</v>
      </c>
      <c r="CC1221" t="s">
        <v>201</v>
      </c>
      <c r="CD1221" t="s">
        <v>202</v>
      </c>
      <c r="CE1221" t="s">
        <v>15877</v>
      </c>
      <c r="CF1221" t="s">
        <v>5331</v>
      </c>
      <c r="CG1221" t="s">
        <v>177</v>
      </c>
      <c r="CH1221" t="s">
        <v>371</v>
      </c>
      <c r="CI1221" t="s">
        <v>15878</v>
      </c>
      <c r="CS1221" t="s">
        <v>198</v>
      </c>
      <c r="DC1221" t="s">
        <v>198</v>
      </c>
      <c r="DM1221" t="s">
        <v>198</v>
      </c>
      <c r="DW1221" t="s">
        <v>198</v>
      </c>
      <c r="EG1221" t="s">
        <v>198</v>
      </c>
      <c r="EQ1221" t="s">
        <v>198</v>
      </c>
      <c r="FA1221" t="s">
        <v>198</v>
      </c>
      <c r="FK1221" t="s">
        <v>198</v>
      </c>
      <c r="FU1221" t="s">
        <v>198</v>
      </c>
    </row>
    <row r="1222" spans="1:177">
      <c r="A1222" s="1" t="str">
        <f>HYPERLINK("http://digipan.lumentumllc.com/apps/getLink/index.php?t=PropLink&amp;p=5247806","PL")</f>
        <v>PL</v>
      </c>
      <c r="B1222" s="1" t="str">
        <f>HYPERLINK("http://digipan.lumentumllc.com/apps/getLink/index.php?t=TaxLink&amp;p=5247806","TL")</f>
        <v>TL</v>
      </c>
      <c r="C1222" s="1" t="str">
        <f>HYPERLINK("http://digipan.lumentumllc.com/apps/getMap/index.php?p=5247806","Map")</f>
        <v>Map</v>
      </c>
      <c r="E1222" t="s">
        <v>177</v>
      </c>
      <c r="F1222" t="s">
        <v>178</v>
      </c>
      <c r="L1222" t="s">
        <v>15879</v>
      </c>
      <c r="N1222" t="s">
        <v>15879</v>
      </c>
      <c r="O1222" t="s">
        <v>15879</v>
      </c>
      <c r="P1222" t="s">
        <v>15880</v>
      </c>
      <c r="Q1222" t="s">
        <v>15879</v>
      </c>
      <c r="V1222">
        <v>1395</v>
      </c>
      <c r="W1222">
        <v>5</v>
      </c>
      <c r="X1222">
        <v>2017</v>
      </c>
      <c r="Y1222">
        <v>2018</v>
      </c>
      <c r="Z1222">
        <v>2709.65</v>
      </c>
      <c r="AB1222" t="s">
        <v>181</v>
      </c>
      <c r="AC1222" t="s">
        <v>182</v>
      </c>
      <c r="AD1222" t="s">
        <v>183</v>
      </c>
      <c r="AE1222">
        <v>1</v>
      </c>
      <c r="AF1222">
        <v>6</v>
      </c>
      <c r="AG1222" t="s">
        <v>322</v>
      </c>
      <c r="AH1222">
        <v>83</v>
      </c>
      <c r="AI1222">
        <v>2539.38</v>
      </c>
      <c r="AJ1222">
        <v>126.97</v>
      </c>
      <c r="AK1222">
        <v>2666.35</v>
      </c>
      <c r="AL1222">
        <v>163544</v>
      </c>
      <c r="AM1222">
        <v>97120</v>
      </c>
      <c r="AN1222">
        <v>66424</v>
      </c>
      <c r="AO1222">
        <v>2323</v>
      </c>
      <c r="AP1222">
        <v>2016</v>
      </c>
      <c r="AQ1222">
        <v>1.66</v>
      </c>
      <c r="AR1222">
        <v>1.63</v>
      </c>
      <c r="AS1222" t="s">
        <v>15881</v>
      </c>
      <c r="AT1222" t="s">
        <v>3210</v>
      </c>
      <c r="AU1222" t="s">
        <v>177</v>
      </c>
      <c r="AV1222" t="s">
        <v>2334</v>
      </c>
      <c r="AW1222" t="s">
        <v>182</v>
      </c>
      <c r="AX1222">
        <v>2</v>
      </c>
      <c r="AY1222" t="s">
        <v>188</v>
      </c>
      <c r="AZ1222" t="s">
        <v>189</v>
      </c>
      <c r="BA1222" t="s">
        <v>190</v>
      </c>
      <c r="BB1222" t="s">
        <v>191</v>
      </c>
      <c r="BC1222" t="s">
        <v>182</v>
      </c>
      <c r="BD1222" t="s">
        <v>182</v>
      </c>
      <c r="BE1222" t="s">
        <v>927</v>
      </c>
      <c r="BF1222">
        <v>2</v>
      </c>
      <c r="BG1222">
        <v>2</v>
      </c>
      <c r="BH1222">
        <v>1999</v>
      </c>
      <c r="BI1222" t="s">
        <v>15882</v>
      </c>
      <c r="BJ1222" t="s">
        <v>194</v>
      </c>
      <c r="BK1222" t="s">
        <v>195</v>
      </c>
      <c r="BL1222" t="s">
        <v>5405</v>
      </c>
      <c r="BM1222" t="s">
        <v>1041</v>
      </c>
      <c r="BN1222" t="s">
        <v>182</v>
      </c>
      <c r="BO1222" t="s">
        <v>3842</v>
      </c>
      <c r="BP1222" t="s">
        <v>15883</v>
      </c>
      <c r="BR1222" t="s">
        <v>1461</v>
      </c>
      <c r="BS1222" t="s">
        <v>15884</v>
      </c>
      <c r="BT1222" t="s">
        <v>198</v>
      </c>
      <c r="BU1222" t="s">
        <v>182</v>
      </c>
      <c r="BV1222" t="s">
        <v>198</v>
      </c>
      <c r="BW1222" t="s">
        <v>198</v>
      </c>
      <c r="BX1222" t="s">
        <v>199</v>
      </c>
      <c r="BY1222" t="s">
        <v>198</v>
      </c>
      <c r="BZ1222" t="s">
        <v>199</v>
      </c>
      <c r="CA1222" t="s">
        <v>199</v>
      </c>
      <c r="CB1222" t="s">
        <v>15885</v>
      </c>
      <c r="CC1222" t="s">
        <v>201</v>
      </c>
      <c r="CD1222" t="s">
        <v>202</v>
      </c>
      <c r="CE1222" t="s">
        <v>15886</v>
      </c>
      <c r="CF1222" t="s">
        <v>5331</v>
      </c>
      <c r="CG1222" t="s">
        <v>177</v>
      </c>
      <c r="CH1222" t="s">
        <v>5332</v>
      </c>
      <c r="CI1222" t="s">
        <v>15887</v>
      </c>
      <c r="CJ1222" t="s">
        <v>11833</v>
      </c>
      <c r="CK1222" t="s">
        <v>232</v>
      </c>
      <c r="CL1222" t="s">
        <v>233</v>
      </c>
      <c r="CM1222" t="s">
        <v>15888</v>
      </c>
      <c r="CN1222" t="s">
        <v>235</v>
      </c>
      <c r="CO1222" t="s">
        <v>183</v>
      </c>
      <c r="CP1222" t="s">
        <v>266</v>
      </c>
      <c r="CS1222" t="s">
        <v>198</v>
      </c>
      <c r="CT1222" t="s">
        <v>12295</v>
      </c>
      <c r="CU1222" t="s">
        <v>292</v>
      </c>
      <c r="CV1222" t="s">
        <v>293</v>
      </c>
      <c r="CW1222" t="s">
        <v>15889</v>
      </c>
      <c r="CX1222" t="s">
        <v>235</v>
      </c>
      <c r="CY1222" t="s">
        <v>183</v>
      </c>
      <c r="CZ1222" t="s">
        <v>211</v>
      </c>
      <c r="DA1222" t="s">
        <v>337</v>
      </c>
      <c r="DC1222" t="s">
        <v>540</v>
      </c>
      <c r="DD1222" t="s">
        <v>12737</v>
      </c>
      <c r="DE1222" t="s">
        <v>267</v>
      </c>
      <c r="DF1222" t="s">
        <v>268</v>
      </c>
      <c r="DG1222" t="s">
        <v>15890</v>
      </c>
      <c r="DH1222" t="s">
        <v>235</v>
      </c>
      <c r="DI1222" t="s">
        <v>183</v>
      </c>
      <c r="DJ1222" t="s">
        <v>211</v>
      </c>
      <c r="DK1222" t="s">
        <v>345</v>
      </c>
      <c r="DM1222" t="s">
        <v>542</v>
      </c>
      <c r="DN1222" t="s">
        <v>13640</v>
      </c>
      <c r="DO1222" t="s">
        <v>273</v>
      </c>
      <c r="DP1222" t="s">
        <v>274</v>
      </c>
      <c r="DQ1222" t="s">
        <v>15891</v>
      </c>
      <c r="DR1222" t="s">
        <v>235</v>
      </c>
      <c r="DS1222" t="s">
        <v>183</v>
      </c>
      <c r="DT1222" t="s">
        <v>211</v>
      </c>
      <c r="DU1222" t="s">
        <v>345</v>
      </c>
      <c r="DW1222" t="s">
        <v>7476</v>
      </c>
      <c r="DX1222" t="s">
        <v>15892</v>
      </c>
      <c r="DY1222" t="s">
        <v>238</v>
      </c>
      <c r="DZ1222" t="s">
        <v>239</v>
      </c>
      <c r="EA1222" t="s">
        <v>15893</v>
      </c>
      <c r="EB1222" t="s">
        <v>278</v>
      </c>
      <c r="EC1222" t="s">
        <v>183</v>
      </c>
      <c r="ED1222" t="s">
        <v>211</v>
      </c>
      <c r="EE1222" t="s">
        <v>487</v>
      </c>
      <c r="EG1222" t="s">
        <v>15894</v>
      </c>
      <c r="EH1222" t="s">
        <v>15895</v>
      </c>
      <c r="EI1222" t="s">
        <v>346</v>
      </c>
      <c r="EJ1222" t="s">
        <v>347</v>
      </c>
      <c r="EK1222" t="s">
        <v>15896</v>
      </c>
      <c r="EL1222" t="s">
        <v>688</v>
      </c>
      <c r="EM1222" t="s">
        <v>183</v>
      </c>
      <c r="EN1222" t="s">
        <v>211</v>
      </c>
      <c r="EO1222" t="s">
        <v>616</v>
      </c>
      <c r="EQ1222" t="s">
        <v>15894</v>
      </c>
      <c r="ER1222" t="s">
        <v>15897</v>
      </c>
      <c r="ES1222" t="s">
        <v>207</v>
      </c>
      <c r="ET1222" t="s">
        <v>208</v>
      </c>
      <c r="EU1222" t="s">
        <v>15898</v>
      </c>
      <c r="EV1222" t="s">
        <v>235</v>
      </c>
      <c r="EW1222" t="s">
        <v>183</v>
      </c>
      <c r="EX1222" t="s">
        <v>211</v>
      </c>
      <c r="EY1222" t="s">
        <v>345</v>
      </c>
      <c r="FA1222" t="s">
        <v>7861</v>
      </c>
      <c r="FK1222" t="s">
        <v>198</v>
      </c>
      <c r="FU1222" t="s">
        <v>198</v>
      </c>
    </row>
    <row r="1223" spans="1:177">
      <c r="A1223" s="1" t="str">
        <f>HYPERLINK("http://digipan.lumentumllc.com/apps/getLink/index.php?t=PropLink&amp;p=7112570","PL")</f>
        <v>PL</v>
      </c>
      <c r="B1223" s="1" t="str">
        <f>HYPERLINK("http://digipan.lumentumllc.com/apps/getLink/index.php?t=TaxLink&amp;p=7112570","TL")</f>
        <v>TL</v>
      </c>
      <c r="C1223" s="1" t="str">
        <f>HYPERLINK("http://digipan.lumentumllc.com/apps/getMap/index.php?p=7112570","Map")</f>
        <v>Map</v>
      </c>
      <c r="E1223" t="s">
        <v>177</v>
      </c>
      <c r="F1223" t="s">
        <v>178</v>
      </c>
      <c r="L1223" t="s">
        <v>15899</v>
      </c>
      <c r="N1223" t="s">
        <v>15899</v>
      </c>
      <c r="O1223" t="s">
        <v>15899</v>
      </c>
      <c r="P1223" t="s">
        <v>15900</v>
      </c>
      <c r="Q1223" t="s">
        <v>15899</v>
      </c>
      <c r="V1223">
        <v>1396</v>
      </c>
      <c r="W1223">
        <v>5</v>
      </c>
      <c r="X1223">
        <v>2017</v>
      </c>
      <c r="Y1223">
        <v>2018</v>
      </c>
      <c r="Z1223">
        <v>221.85</v>
      </c>
      <c r="AB1223" t="s">
        <v>181</v>
      </c>
      <c r="AC1223" t="s">
        <v>182</v>
      </c>
      <c r="AD1223" t="s">
        <v>183</v>
      </c>
      <c r="AE1223">
        <v>1</v>
      </c>
      <c r="AF1223">
        <v>1</v>
      </c>
      <c r="AG1223" t="s">
        <v>2222</v>
      </c>
      <c r="AH1223">
        <v>50</v>
      </c>
      <c r="AI1223">
        <v>219.75</v>
      </c>
      <c r="AJ1223">
        <v>19.23</v>
      </c>
      <c r="AK1223">
        <v>238.98</v>
      </c>
      <c r="AL1223">
        <v>11595</v>
      </c>
      <c r="AM1223">
        <v>8750</v>
      </c>
      <c r="AN1223">
        <v>2845</v>
      </c>
      <c r="AO1223">
        <v>178</v>
      </c>
      <c r="AP1223">
        <v>2016</v>
      </c>
      <c r="AQ1223">
        <v>1.91</v>
      </c>
      <c r="AR1223">
        <v>2.06</v>
      </c>
      <c r="AS1223" t="s">
        <v>15901</v>
      </c>
      <c r="AT1223" t="s">
        <v>3210</v>
      </c>
      <c r="AU1223" t="s">
        <v>177</v>
      </c>
      <c r="AV1223" t="s">
        <v>2334</v>
      </c>
      <c r="AW1223" t="s">
        <v>182</v>
      </c>
      <c r="AX1223">
        <v>2</v>
      </c>
      <c r="AY1223" t="s">
        <v>188</v>
      </c>
      <c r="AZ1223" t="s">
        <v>189</v>
      </c>
      <c r="BA1223" t="s">
        <v>190</v>
      </c>
      <c r="BB1223" t="s">
        <v>191</v>
      </c>
      <c r="BC1223" t="s">
        <v>182</v>
      </c>
      <c r="BD1223" t="s">
        <v>182</v>
      </c>
      <c r="BE1223" t="s">
        <v>3930</v>
      </c>
      <c r="BF1223">
        <v>1</v>
      </c>
      <c r="BG1223">
        <v>1</v>
      </c>
      <c r="BH1223">
        <v>1970</v>
      </c>
      <c r="BI1223" t="s">
        <v>6258</v>
      </c>
      <c r="BJ1223" t="s">
        <v>285</v>
      </c>
      <c r="BK1223" t="s">
        <v>195</v>
      </c>
      <c r="BL1223" t="s">
        <v>199</v>
      </c>
      <c r="BM1223" t="s">
        <v>1332</v>
      </c>
      <c r="BN1223" t="s">
        <v>182</v>
      </c>
      <c r="BO1223" t="s">
        <v>198</v>
      </c>
      <c r="BP1223" t="s">
        <v>198</v>
      </c>
      <c r="BQ1223" t="s">
        <v>198</v>
      </c>
      <c r="BR1223" t="s">
        <v>198</v>
      </c>
      <c r="BS1223" t="s">
        <v>198</v>
      </c>
      <c r="BT1223" t="s">
        <v>198</v>
      </c>
      <c r="BU1223" t="s">
        <v>182</v>
      </c>
      <c r="BV1223" t="s">
        <v>198</v>
      </c>
      <c r="BW1223" t="s">
        <v>198</v>
      </c>
      <c r="BX1223" t="s">
        <v>199</v>
      </c>
      <c r="BY1223" t="s">
        <v>198</v>
      </c>
      <c r="BZ1223" t="s">
        <v>199</v>
      </c>
      <c r="CA1223" t="s">
        <v>199</v>
      </c>
      <c r="CB1223" t="s">
        <v>15902</v>
      </c>
      <c r="CC1223" t="s">
        <v>201</v>
      </c>
      <c r="CD1223" t="s">
        <v>202</v>
      </c>
      <c r="CE1223" t="s">
        <v>15903</v>
      </c>
      <c r="CF1223" t="s">
        <v>2333</v>
      </c>
      <c r="CG1223" t="s">
        <v>177</v>
      </c>
      <c r="CH1223" t="s">
        <v>2334</v>
      </c>
      <c r="CI1223" t="s">
        <v>15868</v>
      </c>
      <c r="CJ1223" t="s">
        <v>11872</v>
      </c>
      <c r="CK1223" t="s">
        <v>232</v>
      </c>
      <c r="CL1223" t="s">
        <v>233</v>
      </c>
      <c r="CM1223" t="s">
        <v>15904</v>
      </c>
      <c r="CN1223" t="s">
        <v>254</v>
      </c>
      <c r="CO1223" t="s">
        <v>183</v>
      </c>
      <c r="CP1223" t="s">
        <v>266</v>
      </c>
      <c r="CS1223" t="s">
        <v>198</v>
      </c>
      <c r="CT1223" t="s">
        <v>12311</v>
      </c>
      <c r="CU1223" t="s">
        <v>292</v>
      </c>
      <c r="CV1223" t="s">
        <v>293</v>
      </c>
      <c r="CW1223" t="s">
        <v>15905</v>
      </c>
      <c r="CX1223" t="s">
        <v>519</v>
      </c>
      <c r="CY1223" t="s">
        <v>183</v>
      </c>
      <c r="CZ1223" t="s">
        <v>211</v>
      </c>
      <c r="DA1223" t="s">
        <v>298</v>
      </c>
      <c r="DC1223" t="s">
        <v>1760</v>
      </c>
      <c r="DM1223" t="s">
        <v>198</v>
      </c>
      <c r="DW1223" t="s">
        <v>198</v>
      </c>
      <c r="EG1223" t="s">
        <v>198</v>
      </c>
      <c r="EQ1223" t="s">
        <v>198</v>
      </c>
      <c r="FA1223" t="s">
        <v>198</v>
      </c>
      <c r="FK1223" t="s">
        <v>198</v>
      </c>
      <c r="FU1223" t="s">
        <v>198</v>
      </c>
    </row>
    <row r="1224" spans="1:177">
      <c r="A1224" s="1" t="str">
        <f>HYPERLINK("http://digipan.lumentumllc.com/apps/getLink/index.php?t=PropLink&amp;p=6129473","PL")</f>
        <v>PL</v>
      </c>
      <c r="B1224" s="1" t="str">
        <f>HYPERLINK("http://digipan.lumentumllc.com/apps/getLink/index.php?t=TaxLink&amp;p=6129473","TL")</f>
        <v>TL</v>
      </c>
      <c r="C1224" s="1" t="str">
        <f>HYPERLINK("http://digipan.lumentumllc.com/apps/getMap/index.php?p=6129473","Map")</f>
        <v>Map</v>
      </c>
      <c r="E1224" t="s">
        <v>177</v>
      </c>
      <c r="F1224" t="s">
        <v>178</v>
      </c>
      <c r="L1224" t="s">
        <v>15906</v>
      </c>
      <c r="N1224" t="s">
        <v>15906</v>
      </c>
      <c r="O1224" t="s">
        <v>15906</v>
      </c>
      <c r="P1224" t="s">
        <v>15907</v>
      </c>
      <c r="Q1224" t="s">
        <v>15906</v>
      </c>
      <c r="V1224">
        <v>1397</v>
      </c>
      <c r="W1224">
        <v>5</v>
      </c>
      <c r="X1224">
        <v>2017</v>
      </c>
      <c r="Y1224">
        <v>2018</v>
      </c>
      <c r="Z1224">
        <v>413.48</v>
      </c>
      <c r="AB1224" t="s">
        <v>181</v>
      </c>
      <c r="AC1224" t="s">
        <v>182</v>
      </c>
      <c r="AD1224" t="s">
        <v>183</v>
      </c>
      <c r="AE1224">
        <v>0</v>
      </c>
      <c r="AF1224">
        <v>5</v>
      </c>
      <c r="AG1224" t="s">
        <v>744</v>
      </c>
      <c r="AH1224">
        <v>100</v>
      </c>
      <c r="AK1224">
        <v>0</v>
      </c>
      <c r="AL1224">
        <v>23552</v>
      </c>
      <c r="AM1224">
        <v>14506</v>
      </c>
      <c r="AN1224">
        <v>9046</v>
      </c>
      <c r="AO1224">
        <v>322</v>
      </c>
      <c r="AP1224">
        <v>2016</v>
      </c>
      <c r="AQ1224">
        <v>1.76</v>
      </c>
      <c r="AS1224" t="s">
        <v>15908</v>
      </c>
      <c r="AT1224" t="s">
        <v>3210</v>
      </c>
      <c r="AU1224" t="s">
        <v>177</v>
      </c>
      <c r="AV1224" t="s">
        <v>2334</v>
      </c>
      <c r="AW1224" t="s">
        <v>182</v>
      </c>
      <c r="AX1224">
        <v>2</v>
      </c>
      <c r="AY1224" t="s">
        <v>188</v>
      </c>
      <c r="AZ1224" t="s">
        <v>189</v>
      </c>
      <c r="BA1224" t="s">
        <v>190</v>
      </c>
      <c r="BB1224" t="s">
        <v>191</v>
      </c>
      <c r="BC1224" t="s">
        <v>182</v>
      </c>
      <c r="BD1224" t="s">
        <v>182</v>
      </c>
      <c r="BE1224" t="s">
        <v>7188</v>
      </c>
      <c r="BF1224">
        <v>1</v>
      </c>
      <c r="BG1224">
        <v>1</v>
      </c>
      <c r="BH1224">
        <v>1990</v>
      </c>
      <c r="BI1224" t="s">
        <v>2742</v>
      </c>
      <c r="BJ1224" t="s">
        <v>285</v>
      </c>
      <c r="BK1224" t="s">
        <v>195</v>
      </c>
      <c r="BL1224" t="s">
        <v>199</v>
      </c>
      <c r="BM1224" t="s">
        <v>346</v>
      </c>
      <c r="BN1224" t="s">
        <v>182</v>
      </c>
      <c r="BO1224" t="s">
        <v>15909</v>
      </c>
      <c r="BP1224" t="s">
        <v>15910</v>
      </c>
      <c r="BQ1224" t="s">
        <v>581</v>
      </c>
      <c r="BR1224" t="s">
        <v>563</v>
      </c>
      <c r="BS1224" t="s">
        <v>198</v>
      </c>
      <c r="BT1224" t="s">
        <v>228</v>
      </c>
      <c r="BU1224" t="s">
        <v>182</v>
      </c>
      <c r="BV1224" t="s">
        <v>198</v>
      </c>
      <c r="BW1224" t="s">
        <v>198</v>
      </c>
      <c r="BX1224" t="s">
        <v>199</v>
      </c>
      <c r="BY1224" t="s">
        <v>198</v>
      </c>
      <c r="BZ1224" t="s">
        <v>199</v>
      </c>
      <c r="CA1224" t="s">
        <v>199</v>
      </c>
      <c r="CB1224" t="s">
        <v>15911</v>
      </c>
      <c r="CC1224" t="s">
        <v>201</v>
      </c>
      <c r="CD1224" t="s">
        <v>202</v>
      </c>
      <c r="CE1224" t="s">
        <v>15908</v>
      </c>
      <c r="CF1224" t="s">
        <v>2333</v>
      </c>
      <c r="CG1224" t="s">
        <v>177</v>
      </c>
      <c r="CH1224" t="s">
        <v>2334</v>
      </c>
      <c r="CI1224" t="s">
        <v>15868</v>
      </c>
      <c r="CJ1224" t="s">
        <v>1733</v>
      </c>
      <c r="CK1224" t="s">
        <v>232</v>
      </c>
      <c r="CL1224" t="s">
        <v>233</v>
      </c>
      <c r="CM1224" t="s">
        <v>15912</v>
      </c>
      <c r="CN1224" t="s">
        <v>1164</v>
      </c>
      <c r="CO1224" t="s">
        <v>183</v>
      </c>
      <c r="CP1224" t="s">
        <v>211</v>
      </c>
      <c r="CQ1224" t="s">
        <v>264</v>
      </c>
      <c r="CS1224" t="s">
        <v>8584</v>
      </c>
      <c r="CT1224" t="s">
        <v>12481</v>
      </c>
      <c r="CU1224" t="s">
        <v>267</v>
      </c>
      <c r="CV1224" t="s">
        <v>268</v>
      </c>
      <c r="CW1224" t="s">
        <v>15913</v>
      </c>
      <c r="CX1224" t="s">
        <v>927</v>
      </c>
      <c r="CY1224" t="s">
        <v>183</v>
      </c>
      <c r="CZ1224" t="s">
        <v>211</v>
      </c>
      <c r="DA1224" t="s">
        <v>342</v>
      </c>
      <c r="DC1224" t="s">
        <v>7428</v>
      </c>
      <c r="DD1224" t="s">
        <v>15914</v>
      </c>
      <c r="DE1224" t="s">
        <v>302</v>
      </c>
      <c r="DF1224" t="s">
        <v>303</v>
      </c>
      <c r="DG1224" t="s">
        <v>15915</v>
      </c>
      <c r="DH1224" t="s">
        <v>235</v>
      </c>
      <c r="DI1224" t="s">
        <v>183</v>
      </c>
      <c r="DJ1224" t="s">
        <v>211</v>
      </c>
      <c r="DK1224" t="s">
        <v>189</v>
      </c>
      <c r="DM1224" t="s">
        <v>15916</v>
      </c>
      <c r="DN1224" t="s">
        <v>15917</v>
      </c>
      <c r="DO1224" t="s">
        <v>238</v>
      </c>
      <c r="DP1224" t="s">
        <v>239</v>
      </c>
      <c r="DQ1224" t="s">
        <v>15918</v>
      </c>
      <c r="DR1224" t="s">
        <v>278</v>
      </c>
      <c r="DS1224" t="s">
        <v>183</v>
      </c>
      <c r="DT1224" t="s">
        <v>211</v>
      </c>
      <c r="DU1224" t="s">
        <v>206</v>
      </c>
      <c r="DW1224" t="s">
        <v>15919</v>
      </c>
      <c r="DX1224" t="s">
        <v>12174</v>
      </c>
      <c r="DY1224" t="s">
        <v>207</v>
      </c>
      <c r="DZ1224" t="s">
        <v>208</v>
      </c>
      <c r="EA1224" t="s">
        <v>15920</v>
      </c>
      <c r="EB1224" t="s">
        <v>2515</v>
      </c>
      <c r="EC1224" t="s">
        <v>183</v>
      </c>
      <c r="ED1224" t="s">
        <v>211</v>
      </c>
      <c r="EE1224" t="s">
        <v>808</v>
      </c>
      <c r="EG1224" t="s">
        <v>15919</v>
      </c>
      <c r="EQ1224" t="s">
        <v>198</v>
      </c>
      <c r="FA1224" t="s">
        <v>198</v>
      </c>
      <c r="FK1224" t="s">
        <v>198</v>
      </c>
      <c r="FU1224" t="s">
        <v>198</v>
      </c>
    </row>
    <row r="1225" spans="1:177">
      <c r="A1225" s="1" t="str">
        <f>HYPERLINK("http://digipan.lumentumllc.com/apps/getLink/index.php?t=PropLink&amp;p=5247814","PL")</f>
        <v>PL</v>
      </c>
      <c r="B1225" s="1" t="str">
        <f>HYPERLINK("http://digipan.lumentumllc.com/apps/getLink/index.php?t=TaxLink&amp;p=5247814","TL")</f>
        <v>TL</v>
      </c>
      <c r="C1225" s="1" t="str">
        <f>HYPERLINK("http://digipan.lumentumllc.com/apps/getMap/index.php?p=5247814","Map")</f>
        <v>Map</v>
      </c>
      <c r="E1225" t="s">
        <v>177</v>
      </c>
      <c r="F1225" t="s">
        <v>178</v>
      </c>
      <c r="L1225" t="s">
        <v>15921</v>
      </c>
      <c r="N1225" t="s">
        <v>15921</v>
      </c>
      <c r="O1225" t="s">
        <v>15921</v>
      </c>
      <c r="P1225" t="s">
        <v>15922</v>
      </c>
      <c r="Q1225" t="s">
        <v>15921</v>
      </c>
      <c r="V1225">
        <v>1398</v>
      </c>
      <c r="W1225">
        <v>5</v>
      </c>
      <c r="X1225">
        <v>2017</v>
      </c>
      <c r="Y1225">
        <v>2018</v>
      </c>
      <c r="Z1225">
        <v>966.86</v>
      </c>
      <c r="AB1225" t="s">
        <v>181</v>
      </c>
      <c r="AC1225" t="s">
        <v>182</v>
      </c>
      <c r="AD1225" t="s">
        <v>183</v>
      </c>
      <c r="AE1225">
        <v>1</v>
      </c>
      <c r="AF1225">
        <v>6</v>
      </c>
      <c r="AG1225" t="s">
        <v>322</v>
      </c>
      <c r="AH1225">
        <v>83</v>
      </c>
      <c r="AI1225">
        <v>949.8</v>
      </c>
      <c r="AJ1225">
        <v>47.49</v>
      </c>
      <c r="AK1225">
        <v>997.29</v>
      </c>
      <c r="AL1225">
        <v>57099</v>
      </c>
      <c r="AM1225">
        <v>35875</v>
      </c>
      <c r="AN1225">
        <v>21224</v>
      </c>
      <c r="AO1225">
        <v>853</v>
      </c>
      <c r="AP1225">
        <v>2016</v>
      </c>
      <c r="AQ1225">
        <v>1.69</v>
      </c>
      <c r="AR1225">
        <v>1.75</v>
      </c>
      <c r="AS1225" t="s">
        <v>15923</v>
      </c>
      <c r="AT1225" t="s">
        <v>3210</v>
      </c>
      <c r="AU1225" t="s">
        <v>177</v>
      </c>
      <c r="AV1225" t="s">
        <v>2334</v>
      </c>
      <c r="AW1225" t="s">
        <v>182</v>
      </c>
      <c r="AX1225">
        <v>1</v>
      </c>
      <c r="AY1225" t="s">
        <v>188</v>
      </c>
      <c r="AZ1225" t="s">
        <v>206</v>
      </c>
      <c r="BA1225" t="s">
        <v>355</v>
      </c>
      <c r="BB1225" t="s">
        <v>191</v>
      </c>
      <c r="BC1225" t="s">
        <v>182</v>
      </c>
      <c r="BD1225" t="s">
        <v>182</v>
      </c>
      <c r="BE1225" t="s">
        <v>4972</v>
      </c>
      <c r="BF1225">
        <v>1</v>
      </c>
      <c r="BG1225">
        <v>1</v>
      </c>
      <c r="BH1225">
        <v>1940</v>
      </c>
      <c r="BI1225" t="s">
        <v>13840</v>
      </c>
      <c r="BJ1225" t="s">
        <v>285</v>
      </c>
      <c r="BK1225" t="s">
        <v>195</v>
      </c>
      <c r="BL1225" t="s">
        <v>199</v>
      </c>
      <c r="BM1225" t="s">
        <v>286</v>
      </c>
      <c r="BN1225" t="s">
        <v>182</v>
      </c>
      <c r="BO1225" t="s">
        <v>15924</v>
      </c>
      <c r="BP1225" t="s">
        <v>15925</v>
      </c>
      <c r="BS1225" t="s">
        <v>15926</v>
      </c>
      <c r="BT1225" t="s">
        <v>198</v>
      </c>
      <c r="BU1225" t="s">
        <v>182</v>
      </c>
      <c r="BV1225" t="s">
        <v>198</v>
      </c>
      <c r="BW1225" t="s">
        <v>198</v>
      </c>
      <c r="BX1225" t="s">
        <v>199</v>
      </c>
      <c r="BY1225" t="s">
        <v>198</v>
      </c>
      <c r="BZ1225" t="s">
        <v>199</v>
      </c>
      <c r="CA1225" t="s">
        <v>199</v>
      </c>
      <c r="CB1225" t="s">
        <v>15927</v>
      </c>
      <c r="CC1225" t="s">
        <v>201</v>
      </c>
      <c r="CD1225" t="s">
        <v>182</v>
      </c>
      <c r="CE1225" t="s">
        <v>15928</v>
      </c>
      <c r="CF1225" t="s">
        <v>15929</v>
      </c>
      <c r="CG1225" t="s">
        <v>177</v>
      </c>
      <c r="CH1225" t="s">
        <v>15930</v>
      </c>
      <c r="CI1225" t="s">
        <v>15868</v>
      </c>
      <c r="CJ1225" t="s">
        <v>14341</v>
      </c>
      <c r="CK1225" t="s">
        <v>232</v>
      </c>
      <c r="CL1225" t="s">
        <v>233</v>
      </c>
      <c r="CM1225" t="s">
        <v>15931</v>
      </c>
      <c r="CN1225" t="s">
        <v>235</v>
      </c>
      <c r="CO1225" t="s">
        <v>183</v>
      </c>
      <c r="CP1225" t="s">
        <v>266</v>
      </c>
      <c r="CS1225" t="s">
        <v>198</v>
      </c>
      <c r="CT1225" t="s">
        <v>14684</v>
      </c>
      <c r="CU1225" t="s">
        <v>292</v>
      </c>
      <c r="CV1225" t="s">
        <v>293</v>
      </c>
      <c r="CW1225" t="s">
        <v>15932</v>
      </c>
      <c r="CX1225" t="s">
        <v>235</v>
      </c>
      <c r="CY1225" t="s">
        <v>183</v>
      </c>
      <c r="CZ1225" t="s">
        <v>211</v>
      </c>
      <c r="DA1225" t="s">
        <v>345</v>
      </c>
      <c r="DC1225" t="s">
        <v>1609</v>
      </c>
      <c r="DD1225" t="s">
        <v>15103</v>
      </c>
      <c r="DE1225" t="s">
        <v>273</v>
      </c>
      <c r="DF1225" t="s">
        <v>274</v>
      </c>
      <c r="DG1225" t="s">
        <v>15933</v>
      </c>
      <c r="DH1225" t="s">
        <v>235</v>
      </c>
      <c r="DI1225" t="s">
        <v>183</v>
      </c>
      <c r="DJ1225" t="s">
        <v>211</v>
      </c>
      <c r="DK1225" t="s">
        <v>329</v>
      </c>
      <c r="DM1225" t="s">
        <v>3024</v>
      </c>
      <c r="DN1225" t="s">
        <v>15934</v>
      </c>
      <c r="DO1225" t="s">
        <v>302</v>
      </c>
      <c r="DP1225" t="s">
        <v>303</v>
      </c>
      <c r="DQ1225" t="s">
        <v>15935</v>
      </c>
      <c r="DR1225" t="s">
        <v>235</v>
      </c>
      <c r="DS1225" t="s">
        <v>183</v>
      </c>
      <c r="DT1225" t="s">
        <v>211</v>
      </c>
      <c r="DU1225" t="s">
        <v>298</v>
      </c>
      <c r="DW1225" t="s">
        <v>3024</v>
      </c>
      <c r="DX1225" t="s">
        <v>15936</v>
      </c>
      <c r="DY1225" t="s">
        <v>238</v>
      </c>
      <c r="DZ1225" t="s">
        <v>239</v>
      </c>
      <c r="EA1225" t="s">
        <v>15937</v>
      </c>
      <c r="EB1225" t="s">
        <v>1966</v>
      </c>
      <c r="EC1225" t="s">
        <v>183</v>
      </c>
      <c r="ED1225" t="s">
        <v>211</v>
      </c>
      <c r="EE1225" t="s">
        <v>345</v>
      </c>
      <c r="EG1225" t="s">
        <v>3825</v>
      </c>
      <c r="EH1225" t="s">
        <v>15938</v>
      </c>
      <c r="EI1225" t="s">
        <v>346</v>
      </c>
      <c r="EJ1225" t="s">
        <v>347</v>
      </c>
      <c r="EK1225" t="s">
        <v>15939</v>
      </c>
      <c r="EL1225" t="s">
        <v>2515</v>
      </c>
      <c r="EM1225" t="s">
        <v>183</v>
      </c>
      <c r="EN1225" t="s">
        <v>211</v>
      </c>
      <c r="EO1225" t="s">
        <v>345</v>
      </c>
      <c r="EQ1225" t="s">
        <v>3391</v>
      </c>
      <c r="ER1225" t="s">
        <v>15940</v>
      </c>
      <c r="ES1225" t="s">
        <v>207</v>
      </c>
      <c r="ET1225" t="s">
        <v>208</v>
      </c>
      <c r="EU1225" t="s">
        <v>15941</v>
      </c>
      <c r="EV1225" t="s">
        <v>1966</v>
      </c>
      <c r="EW1225" t="s">
        <v>183</v>
      </c>
      <c r="EX1225" t="s">
        <v>211</v>
      </c>
      <c r="EY1225" t="s">
        <v>865</v>
      </c>
      <c r="FA1225" t="s">
        <v>3391</v>
      </c>
      <c r="FK1225" t="s">
        <v>198</v>
      </c>
      <c r="FU1225" t="s">
        <v>198</v>
      </c>
    </row>
    <row r="1226" spans="1:177">
      <c r="A1226" s="1" t="str">
        <f>HYPERLINK("http://digipan.lumentumllc.com/apps/getLink/index.php?t=PropLink&amp;p=5247815","PL")</f>
        <v>PL</v>
      </c>
      <c r="B1226" s="1" t="str">
        <f>HYPERLINK("http://digipan.lumentumllc.com/apps/getLink/index.php?t=TaxLink&amp;p=5247815","TL")</f>
        <v>TL</v>
      </c>
      <c r="C1226" s="1" t="str">
        <f>HYPERLINK("http://digipan.lumentumllc.com/apps/getMap/index.php?p=5247815","Map")</f>
        <v>Map</v>
      </c>
      <c r="E1226" t="s">
        <v>177</v>
      </c>
      <c r="F1226" t="s">
        <v>178</v>
      </c>
      <c r="L1226" t="s">
        <v>15942</v>
      </c>
      <c r="N1226" t="s">
        <v>15942</v>
      </c>
      <c r="O1226" t="s">
        <v>15942</v>
      </c>
      <c r="P1226" t="s">
        <v>15943</v>
      </c>
      <c r="Q1226" t="s">
        <v>15942</v>
      </c>
      <c r="V1226">
        <v>1400</v>
      </c>
      <c r="W1226">
        <v>5</v>
      </c>
      <c r="X1226">
        <v>2017</v>
      </c>
      <c r="Y1226">
        <v>2018</v>
      </c>
      <c r="Z1226">
        <v>236.68</v>
      </c>
      <c r="AB1226" t="s">
        <v>181</v>
      </c>
      <c r="AC1226" t="s">
        <v>182</v>
      </c>
      <c r="AD1226" t="s">
        <v>1037</v>
      </c>
      <c r="AE1226">
        <v>7</v>
      </c>
      <c r="AF1226">
        <v>0</v>
      </c>
      <c r="AG1226" t="s">
        <v>1038</v>
      </c>
      <c r="AH1226">
        <v>0</v>
      </c>
      <c r="AI1226">
        <v>1707.23</v>
      </c>
      <c r="AJ1226">
        <v>1149.17</v>
      </c>
      <c r="AK1226">
        <v>2856.4</v>
      </c>
      <c r="AL1226">
        <v>12500</v>
      </c>
      <c r="AM1226">
        <v>12500</v>
      </c>
      <c r="AN1226">
        <v>0</v>
      </c>
      <c r="AO1226">
        <v>192</v>
      </c>
      <c r="AP1226">
        <v>2016</v>
      </c>
      <c r="AQ1226">
        <v>1.89</v>
      </c>
      <c r="AR1226">
        <v>22.85</v>
      </c>
      <c r="AS1226" t="s">
        <v>15944</v>
      </c>
      <c r="AT1226" t="s">
        <v>3210</v>
      </c>
      <c r="AU1226" t="s">
        <v>177</v>
      </c>
      <c r="AV1226" t="s">
        <v>2334</v>
      </c>
      <c r="AW1226" t="s">
        <v>182</v>
      </c>
      <c r="AX1226">
        <v>0</v>
      </c>
      <c r="AY1226" t="s">
        <v>312</v>
      </c>
      <c r="AZ1226" t="s">
        <v>199</v>
      </c>
      <c r="BA1226" t="s">
        <v>313</v>
      </c>
      <c r="BB1226" t="s">
        <v>191</v>
      </c>
      <c r="BC1226" t="s">
        <v>182</v>
      </c>
      <c r="BD1226" t="s">
        <v>182</v>
      </c>
      <c r="BE1226" t="s">
        <v>3907</v>
      </c>
      <c r="BF1226">
        <v>0</v>
      </c>
      <c r="BG1226">
        <v>0</v>
      </c>
      <c r="BH1226">
        <v>0</v>
      </c>
      <c r="BI1226" t="s">
        <v>199</v>
      </c>
      <c r="BJ1226" t="s">
        <v>248</v>
      </c>
      <c r="BL1226" t="s">
        <v>199</v>
      </c>
      <c r="BM1226" t="s">
        <v>358</v>
      </c>
      <c r="BN1226" t="s">
        <v>182</v>
      </c>
      <c r="BO1226" t="s">
        <v>198</v>
      </c>
      <c r="BP1226" t="s">
        <v>198</v>
      </c>
      <c r="BQ1226" t="s">
        <v>198</v>
      </c>
      <c r="BR1226" t="s">
        <v>198</v>
      </c>
      <c r="BS1226" t="s">
        <v>198</v>
      </c>
      <c r="BT1226" t="s">
        <v>198</v>
      </c>
      <c r="BU1226" t="s">
        <v>182</v>
      </c>
      <c r="BV1226" t="s">
        <v>198</v>
      </c>
      <c r="BW1226" t="s">
        <v>198</v>
      </c>
      <c r="BX1226" t="s">
        <v>199</v>
      </c>
      <c r="BY1226" t="s">
        <v>198</v>
      </c>
      <c r="BZ1226" t="s">
        <v>199</v>
      </c>
      <c r="CA1226" t="s">
        <v>199</v>
      </c>
      <c r="CB1226" t="s">
        <v>15945</v>
      </c>
      <c r="CC1226" t="s">
        <v>201</v>
      </c>
      <c r="CD1226" t="s">
        <v>202</v>
      </c>
      <c r="CE1226" t="s">
        <v>15946</v>
      </c>
      <c r="CF1226" t="s">
        <v>2333</v>
      </c>
      <c r="CG1226" t="s">
        <v>177</v>
      </c>
      <c r="CH1226" t="s">
        <v>2334</v>
      </c>
      <c r="CI1226" t="s">
        <v>15947</v>
      </c>
      <c r="CJ1226" t="s">
        <v>499</v>
      </c>
      <c r="CK1226" t="s">
        <v>232</v>
      </c>
      <c r="CL1226" t="s">
        <v>233</v>
      </c>
      <c r="CM1226" t="s">
        <v>15948</v>
      </c>
      <c r="CN1226" t="s">
        <v>482</v>
      </c>
      <c r="CO1226" t="s">
        <v>183</v>
      </c>
      <c r="CP1226" t="s">
        <v>266</v>
      </c>
      <c r="CS1226" t="s">
        <v>198</v>
      </c>
      <c r="CT1226" t="s">
        <v>14713</v>
      </c>
      <c r="CU1226" t="s">
        <v>292</v>
      </c>
      <c r="CV1226" t="s">
        <v>293</v>
      </c>
      <c r="CW1226" t="s">
        <v>15949</v>
      </c>
      <c r="CX1226" t="s">
        <v>482</v>
      </c>
      <c r="CY1226" t="s">
        <v>5</v>
      </c>
      <c r="CZ1226" t="s">
        <v>266</v>
      </c>
      <c r="DC1226" t="s">
        <v>198</v>
      </c>
      <c r="DD1226" t="s">
        <v>15302</v>
      </c>
      <c r="DE1226" t="s">
        <v>267</v>
      </c>
      <c r="DF1226" t="s">
        <v>268</v>
      </c>
      <c r="DG1226" t="s">
        <v>13132</v>
      </c>
      <c r="DH1226" t="s">
        <v>482</v>
      </c>
      <c r="DI1226" t="s">
        <v>183</v>
      </c>
      <c r="DJ1226" t="s">
        <v>266</v>
      </c>
      <c r="DM1226" t="s">
        <v>198</v>
      </c>
      <c r="DN1226" t="s">
        <v>15125</v>
      </c>
      <c r="DO1226" t="s">
        <v>273</v>
      </c>
      <c r="DP1226" t="s">
        <v>274</v>
      </c>
      <c r="DQ1226" t="s">
        <v>13133</v>
      </c>
      <c r="DR1226" t="s">
        <v>1491</v>
      </c>
      <c r="DS1226" t="s">
        <v>183</v>
      </c>
      <c r="DT1226" t="s">
        <v>266</v>
      </c>
      <c r="DW1226" t="s">
        <v>198</v>
      </c>
      <c r="DX1226" t="s">
        <v>13812</v>
      </c>
      <c r="DY1226" t="s">
        <v>302</v>
      </c>
      <c r="DZ1226" t="s">
        <v>303</v>
      </c>
      <c r="EA1226" t="s">
        <v>13134</v>
      </c>
      <c r="EB1226" t="s">
        <v>1615</v>
      </c>
      <c r="EC1226" t="s">
        <v>183</v>
      </c>
      <c r="ED1226" t="s">
        <v>266</v>
      </c>
      <c r="EG1226" t="s">
        <v>198</v>
      </c>
      <c r="EH1226" t="s">
        <v>15950</v>
      </c>
      <c r="EI1226" t="s">
        <v>238</v>
      </c>
      <c r="EJ1226" t="s">
        <v>239</v>
      </c>
      <c r="EK1226" t="s">
        <v>15951</v>
      </c>
      <c r="EL1226" t="s">
        <v>482</v>
      </c>
      <c r="EM1226" t="s">
        <v>183</v>
      </c>
      <c r="EN1226" t="s">
        <v>266</v>
      </c>
      <c r="EQ1226" t="s">
        <v>198</v>
      </c>
      <c r="ER1226" t="s">
        <v>15952</v>
      </c>
      <c r="ES1226" t="s">
        <v>346</v>
      </c>
      <c r="ET1226" t="s">
        <v>347</v>
      </c>
      <c r="EU1226" t="s">
        <v>15953</v>
      </c>
      <c r="EV1226" t="s">
        <v>482</v>
      </c>
      <c r="EW1226" t="s">
        <v>183</v>
      </c>
      <c r="EX1226" t="s">
        <v>266</v>
      </c>
      <c r="FA1226" t="s">
        <v>198</v>
      </c>
      <c r="FK1226" t="s">
        <v>198</v>
      </c>
      <c r="FU1226" t="s">
        <v>198</v>
      </c>
    </row>
    <row r="1227" spans="1:177">
      <c r="A1227" s="1" t="str">
        <f>HYPERLINK("http://digipan.lumentumllc.com/apps/getLink/index.php?t=PropLink&amp;p=5247816","PL")</f>
        <v>PL</v>
      </c>
      <c r="B1227" s="1" t="str">
        <f>HYPERLINK("http://digipan.lumentumllc.com/apps/getLink/index.php?t=TaxLink&amp;p=5247816","TL")</f>
        <v>TL</v>
      </c>
      <c r="C1227" s="1" t="str">
        <f>HYPERLINK("http://digipan.lumentumllc.com/apps/getMap/index.php?p=5247816","Map")</f>
        <v>Map</v>
      </c>
      <c r="E1227" t="s">
        <v>177</v>
      </c>
      <c r="F1227" t="s">
        <v>178</v>
      </c>
      <c r="L1227" t="s">
        <v>15954</v>
      </c>
      <c r="N1227" t="s">
        <v>15954</v>
      </c>
      <c r="O1227" t="s">
        <v>15954</v>
      </c>
      <c r="P1227" t="s">
        <v>15955</v>
      </c>
      <c r="Q1227" t="s">
        <v>15954</v>
      </c>
      <c r="V1227">
        <v>1401</v>
      </c>
      <c r="W1227">
        <v>5</v>
      </c>
      <c r="X1227">
        <v>2017</v>
      </c>
      <c r="Y1227">
        <v>2018</v>
      </c>
      <c r="Z1227">
        <v>478.65</v>
      </c>
      <c r="AB1227" t="s">
        <v>181</v>
      </c>
      <c r="AC1227" t="s">
        <v>182</v>
      </c>
      <c r="AD1227" t="s">
        <v>183</v>
      </c>
      <c r="AE1227">
        <v>1</v>
      </c>
      <c r="AF1227">
        <v>4</v>
      </c>
      <c r="AG1227" t="s">
        <v>951</v>
      </c>
      <c r="AH1227">
        <v>80</v>
      </c>
      <c r="AI1227">
        <v>480.53</v>
      </c>
      <c r="AJ1227">
        <v>24.03</v>
      </c>
      <c r="AK1227">
        <v>504.56</v>
      </c>
      <c r="AL1227">
        <v>27281</v>
      </c>
      <c r="AM1227">
        <v>15000</v>
      </c>
      <c r="AN1227">
        <v>12281</v>
      </c>
      <c r="AO1227">
        <v>419</v>
      </c>
      <c r="AP1227">
        <v>2016</v>
      </c>
      <c r="AQ1227">
        <v>1.75</v>
      </c>
      <c r="AR1227">
        <v>1.85</v>
      </c>
      <c r="AS1227" t="s">
        <v>15946</v>
      </c>
      <c r="AT1227" t="s">
        <v>3210</v>
      </c>
      <c r="AU1227" t="s">
        <v>177</v>
      </c>
      <c r="AV1227" t="s">
        <v>2334</v>
      </c>
      <c r="AW1227" t="s">
        <v>182</v>
      </c>
      <c r="AX1227">
        <v>2</v>
      </c>
      <c r="AY1227" t="s">
        <v>188</v>
      </c>
      <c r="AZ1227" t="s">
        <v>189</v>
      </c>
      <c r="BA1227" t="s">
        <v>190</v>
      </c>
      <c r="BB1227" t="s">
        <v>191</v>
      </c>
      <c r="BC1227" t="s">
        <v>182</v>
      </c>
      <c r="BD1227" t="s">
        <v>182</v>
      </c>
      <c r="BE1227" t="s">
        <v>15725</v>
      </c>
      <c r="BF1227">
        <v>1</v>
      </c>
      <c r="BG1227">
        <v>1</v>
      </c>
      <c r="BH1227">
        <v>1990</v>
      </c>
      <c r="BI1227" t="s">
        <v>7960</v>
      </c>
      <c r="BJ1227" t="s">
        <v>194</v>
      </c>
      <c r="BK1227" t="s">
        <v>195</v>
      </c>
      <c r="BL1227" t="s">
        <v>199</v>
      </c>
      <c r="BM1227" t="s">
        <v>267</v>
      </c>
      <c r="BN1227" t="s">
        <v>182</v>
      </c>
      <c r="BO1227" t="s">
        <v>198</v>
      </c>
      <c r="BP1227" t="s">
        <v>198</v>
      </c>
      <c r="BQ1227" t="s">
        <v>198</v>
      </c>
      <c r="BR1227" t="s">
        <v>198</v>
      </c>
      <c r="BS1227" t="s">
        <v>198</v>
      </c>
      <c r="BT1227" t="s">
        <v>198</v>
      </c>
      <c r="BU1227" t="s">
        <v>182</v>
      </c>
      <c r="BV1227" t="s">
        <v>198</v>
      </c>
      <c r="BW1227" t="s">
        <v>198</v>
      </c>
      <c r="BX1227" t="s">
        <v>199</v>
      </c>
      <c r="BY1227" t="s">
        <v>198</v>
      </c>
      <c r="BZ1227" t="s">
        <v>199</v>
      </c>
      <c r="CA1227" t="s">
        <v>199</v>
      </c>
      <c r="CB1227" t="s">
        <v>15956</v>
      </c>
      <c r="CC1227" t="s">
        <v>201</v>
      </c>
      <c r="CD1227" t="s">
        <v>202</v>
      </c>
      <c r="CE1227" t="s">
        <v>15957</v>
      </c>
      <c r="CF1227" t="s">
        <v>2333</v>
      </c>
      <c r="CG1227" t="s">
        <v>177</v>
      </c>
      <c r="CH1227" t="s">
        <v>2334</v>
      </c>
      <c r="CI1227" t="s">
        <v>15958</v>
      </c>
      <c r="CJ1227" t="s">
        <v>12015</v>
      </c>
      <c r="CK1227" t="s">
        <v>232</v>
      </c>
      <c r="CL1227" t="s">
        <v>233</v>
      </c>
      <c r="CM1227" t="s">
        <v>15959</v>
      </c>
      <c r="CN1227" t="s">
        <v>331</v>
      </c>
      <c r="CO1227" t="s">
        <v>183</v>
      </c>
      <c r="CP1227" t="s">
        <v>266</v>
      </c>
      <c r="CS1227" t="s">
        <v>198</v>
      </c>
      <c r="CT1227" t="s">
        <v>15137</v>
      </c>
      <c r="CU1227" t="s">
        <v>273</v>
      </c>
      <c r="CV1227" t="s">
        <v>274</v>
      </c>
      <c r="CW1227" t="s">
        <v>15960</v>
      </c>
      <c r="CX1227" t="s">
        <v>235</v>
      </c>
      <c r="CY1227" t="s">
        <v>183</v>
      </c>
      <c r="CZ1227" t="s">
        <v>211</v>
      </c>
      <c r="DA1227" t="s">
        <v>523</v>
      </c>
      <c r="DC1227" t="s">
        <v>15961</v>
      </c>
      <c r="DD1227" t="s">
        <v>9253</v>
      </c>
      <c r="DE1227" t="s">
        <v>302</v>
      </c>
      <c r="DF1227" t="s">
        <v>303</v>
      </c>
      <c r="DG1227" t="s">
        <v>15962</v>
      </c>
      <c r="DH1227" t="s">
        <v>235</v>
      </c>
      <c r="DI1227" t="s">
        <v>183</v>
      </c>
      <c r="DJ1227" t="s">
        <v>211</v>
      </c>
      <c r="DK1227" t="s">
        <v>471</v>
      </c>
      <c r="DM1227" t="s">
        <v>5277</v>
      </c>
      <c r="DN1227" t="s">
        <v>15963</v>
      </c>
      <c r="DO1227" t="s">
        <v>238</v>
      </c>
      <c r="DP1227" t="s">
        <v>239</v>
      </c>
      <c r="DQ1227" t="s">
        <v>15964</v>
      </c>
      <c r="DR1227" t="s">
        <v>440</v>
      </c>
      <c r="DS1227" t="s">
        <v>183</v>
      </c>
      <c r="DT1227" t="s">
        <v>211</v>
      </c>
      <c r="DU1227" t="s">
        <v>298</v>
      </c>
      <c r="DW1227" t="s">
        <v>9167</v>
      </c>
      <c r="DX1227" t="s">
        <v>15965</v>
      </c>
      <c r="DY1227" t="s">
        <v>346</v>
      </c>
      <c r="DZ1227" t="s">
        <v>347</v>
      </c>
      <c r="EA1227" t="s">
        <v>15966</v>
      </c>
      <c r="EB1227" t="s">
        <v>295</v>
      </c>
      <c r="EC1227" t="s">
        <v>183</v>
      </c>
      <c r="ED1227" t="s">
        <v>211</v>
      </c>
      <c r="EE1227" t="s">
        <v>345</v>
      </c>
      <c r="EG1227" t="s">
        <v>15967</v>
      </c>
      <c r="EQ1227" t="s">
        <v>198</v>
      </c>
      <c r="FA1227" t="s">
        <v>198</v>
      </c>
      <c r="FK1227" t="s">
        <v>198</v>
      </c>
      <c r="FU1227" t="s">
        <v>198</v>
      </c>
    </row>
    <row r="1228" spans="1:177">
      <c r="A1228" s="1" t="str">
        <f>HYPERLINK("http://digipan.lumentumllc.com/apps/getLink/index.php?t=PropLink&amp;p=5247818","PL")</f>
        <v>PL</v>
      </c>
      <c r="B1228" s="1" t="str">
        <f>HYPERLINK("http://digipan.lumentumllc.com/apps/getLink/index.php?t=TaxLink&amp;p=5247818","TL")</f>
        <v>TL</v>
      </c>
      <c r="C1228" s="1" t="str">
        <f>HYPERLINK("http://digipan.lumentumllc.com/apps/getMap/index.php?p=5247818","Map")</f>
        <v>Map</v>
      </c>
      <c r="E1228" t="s">
        <v>177</v>
      </c>
      <c r="F1228" t="s">
        <v>178</v>
      </c>
      <c r="L1228" t="s">
        <v>15968</v>
      </c>
      <c r="N1228" t="s">
        <v>15968</v>
      </c>
      <c r="O1228" t="s">
        <v>15968</v>
      </c>
      <c r="P1228" t="s">
        <v>15969</v>
      </c>
      <c r="Q1228" t="s">
        <v>15968</v>
      </c>
      <c r="V1228">
        <v>1402</v>
      </c>
      <c r="W1228">
        <v>5</v>
      </c>
      <c r="X1228">
        <v>2017</v>
      </c>
      <c r="Y1228">
        <v>2018</v>
      </c>
      <c r="Z1228">
        <v>413.07</v>
      </c>
      <c r="AB1228" t="s">
        <v>181</v>
      </c>
      <c r="AC1228" t="s">
        <v>182</v>
      </c>
      <c r="AD1228" t="s">
        <v>183</v>
      </c>
      <c r="AE1228">
        <v>1</v>
      </c>
      <c r="AF1228">
        <v>7</v>
      </c>
      <c r="AG1228" t="s">
        <v>418</v>
      </c>
      <c r="AH1228">
        <v>86</v>
      </c>
      <c r="AI1228">
        <v>375.65</v>
      </c>
      <c r="AJ1228">
        <v>30.99</v>
      </c>
      <c r="AK1228">
        <v>406.64</v>
      </c>
      <c r="AL1228">
        <v>23500</v>
      </c>
      <c r="AM1228">
        <v>16000</v>
      </c>
      <c r="AN1228">
        <v>7500</v>
      </c>
      <c r="AO1228">
        <v>322</v>
      </c>
      <c r="AP1228">
        <v>2016</v>
      </c>
      <c r="AQ1228">
        <v>1.76</v>
      </c>
      <c r="AR1228">
        <v>1.73</v>
      </c>
      <c r="AS1228" t="s">
        <v>15970</v>
      </c>
      <c r="AT1228" t="s">
        <v>3210</v>
      </c>
      <c r="AU1228" t="s">
        <v>177</v>
      </c>
      <c r="AV1228" t="s">
        <v>2334</v>
      </c>
      <c r="AW1228" t="s">
        <v>182</v>
      </c>
      <c r="AX1228">
        <v>0</v>
      </c>
      <c r="AY1228" t="s">
        <v>312</v>
      </c>
      <c r="AZ1228" t="s">
        <v>199</v>
      </c>
      <c r="BA1228" t="s">
        <v>313</v>
      </c>
      <c r="BB1228" t="s">
        <v>191</v>
      </c>
      <c r="BC1228" t="s">
        <v>182</v>
      </c>
      <c r="BD1228" t="s">
        <v>182</v>
      </c>
      <c r="BE1228" t="s">
        <v>15971</v>
      </c>
      <c r="BF1228">
        <v>0</v>
      </c>
      <c r="BG1228">
        <v>0</v>
      </c>
      <c r="BH1228">
        <v>0</v>
      </c>
      <c r="BI1228" t="s">
        <v>199</v>
      </c>
      <c r="BJ1228" t="s">
        <v>396</v>
      </c>
      <c r="BL1228" t="s">
        <v>199</v>
      </c>
      <c r="BM1228" t="s">
        <v>358</v>
      </c>
      <c r="BN1228" t="s">
        <v>182</v>
      </c>
      <c r="BO1228" t="s">
        <v>198</v>
      </c>
      <c r="BP1228" t="s">
        <v>198</v>
      </c>
      <c r="BQ1228" t="s">
        <v>198</v>
      </c>
      <c r="BR1228" t="s">
        <v>198</v>
      </c>
      <c r="BS1228" t="s">
        <v>198</v>
      </c>
      <c r="BT1228" t="s">
        <v>198</v>
      </c>
      <c r="BU1228" t="s">
        <v>182</v>
      </c>
      <c r="BV1228" t="s">
        <v>198</v>
      </c>
      <c r="BW1228" t="s">
        <v>198</v>
      </c>
      <c r="BX1228" t="s">
        <v>199</v>
      </c>
      <c r="BY1228" t="s">
        <v>198</v>
      </c>
      <c r="BZ1228" t="s">
        <v>199</v>
      </c>
      <c r="CA1228" t="s">
        <v>199</v>
      </c>
      <c r="CB1228" t="s">
        <v>15972</v>
      </c>
      <c r="CC1228" t="s">
        <v>201</v>
      </c>
      <c r="CD1228" t="s">
        <v>202</v>
      </c>
      <c r="CE1228" t="s">
        <v>15973</v>
      </c>
      <c r="CF1228" t="s">
        <v>15974</v>
      </c>
      <c r="CG1228" t="s">
        <v>1602</v>
      </c>
      <c r="CH1228" t="s">
        <v>15975</v>
      </c>
      <c r="CI1228" t="s">
        <v>15976</v>
      </c>
      <c r="CJ1228" t="s">
        <v>15132</v>
      </c>
      <c r="CK1228" t="s">
        <v>232</v>
      </c>
      <c r="CL1228" t="s">
        <v>233</v>
      </c>
      <c r="CM1228" t="s">
        <v>15977</v>
      </c>
      <c r="CN1228" t="s">
        <v>615</v>
      </c>
      <c r="CO1228" t="s">
        <v>183</v>
      </c>
      <c r="CP1228" t="s">
        <v>266</v>
      </c>
      <c r="CS1228" t="s">
        <v>198</v>
      </c>
      <c r="CT1228" t="s">
        <v>8887</v>
      </c>
      <c r="CU1228" t="s">
        <v>292</v>
      </c>
      <c r="CV1228" t="s">
        <v>293</v>
      </c>
      <c r="CW1228" t="s">
        <v>15978</v>
      </c>
      <c r="CX1228" t="s">
        <v>235</v>
      </c>
      <c r="CY1228" t="s">
        <v>183</v>
      </c>
      <c r="CZ1228" t="s">
        <v>211</v>
      </c>
      <c r="DA1228" t="s">
        <v>298</v>
      </c>
      <c r="DC1228" t="s">
        <v>4914</v>
      </c>
      <c r="DD1228" t="s">
        <v>15308</v>
      </c>
      <c r="DE1228" t="s">
        <v>267</v>
      </c>
      <c r="DF1228" t="s">
        <v>268</v>
      </c>
      <c r="DG1228" t="s">
        <v>15979</v>
      </c>
      <c r="DH1228" t="s">
        <v>331</v>
      </c>
      <c r="DI1228" t="s">
        <v>183</v>
      </c>
      <c r="DJ1228" t="s">
        <v>211</v>
      </c>
      <c r="DK1228" t="s">
        <v>199</v>
      </c>
      <c r="DM1228" t="s">
        <v>3445</v>
      </c>
      <c r="DN1228" t="s">
        <v>15980</v>
      </c>
      <c r="DO1228" t="s">
        <v>273</v>
      </c>
      <c r="DP1228" t="s">
        <v>274</v>
      </c>
      <c r="DQ1228" t="s">
        <v>15981</v>
      </c>
      <c r="DR1228" t="s">
        <v>1491</v>
      </c>
      <c r="DS1228" t="s">
        <v>183</v>
      </c>
      <c r="DT1228" t="s">
        <v>211</v>
      </c>
      <c r="DU1228" t="s">
        <v>212</v>
      </c>
      <c r="DW1228" t="s">
        <v>4892</v>
      </c>
      <c r="DX1228" t="s">
        <v>11370</v>
      </c>
      <c r="DY1228" t="s">
        <v>302</v>
      </c>
      <c r="DZ1228" t="s">
        <v>303</v>
      </c>
      <c r="EA1228" t="s">
        <v>15982</v>
      </c>
      <c r="EB1228" t="s">
        <v>331</v>
      </c>
      <c r="EC1228" t="s">
        <v>183</v>
      </c>
      <c r="ED1228" t="s">
        <v>211</v>
      </c>
      <c r="EE1228" t="s">
        <v>487</v>
      </c>
      <c r="EG1228" t="s">
        <v>15983</v>
      </c>
      <c r="EH1228" t="s">
        <v>15984</v>
      </c>
      <c r="EI1228" t="s">
        <v>238</v>
      </c>
      <c r="EJ1228" t="s">
        <v>239</v>
      </c>
      <c r="EK1228" t="s">
        <v>15985</v>
      </c>
      <c r="EL1228" t="s">
        <v>278</v>
      </c>
      <c r="EM1228" t="s">
        <v>183</v>
      </c>
      <c r="EN1228" t="s">
        <v>211</v>
      </c>
      <c r="EO1228" t="s">
        <v>342</v>
      </c>
      <c r="EQ1228" t="s">
        <v>15986</v>
      </c>
      <c r="ER1228" t="s">
        <v>15987</v>
      </c>
      <c r="ES1228" t="s">
        <v>346</v>
      </c>
      <c r="ET1228" t="s">
        <v>347</v>
      </c>
      <c r="EU1228" t="s">
        <v>4535</v>
      </c>
      <c r="EV1228" t="s">
        <v>1491</v>
      </c>
      <c r="EW1228" t="s">
        <v>183</v>
      </c>
      <c r="EX1228" t="s">
        <v>211</v>
      </c>
      <c r="EY1228" t="s">
        <v>345</v>
      </c>
      <c r="FA1228" t="s">
        <v>15986</v>
      </c>
      <c r="FB1228" t="s">
        <v>5031</v>
      </c>
      <c r="FC1228" t="s">
        <v>207</v>
      </c>
      <c r="FD1228" t="s">
        <v>208</v>
      </c>
      <c r="FE1228" t="s">
        <v>15988</v>
      </c>
      <c r="FF1228" t="s">
        <v>1966</v>
      </c>
      <c r="FG1228" t="s">
        <v>183</v>
      </c>
      <c r="FH1228" t="s">
        <v>211</v>
      </c>
      <c r="FI1228" t="s">
        <v>298</v>
      </c>
      <c r="FK1228" t="s">
        <v>1167</v>
      </c>
      <c r="FU1228" t="s">
        <v>198</v>
      </c>
    </row>
    <row r="1229" spans="1:177">
      <c r="A1229" s="1" t="str">
        <f>HYPERLINK("http://digipan.lumentumllc.com/apps/getLink/index.php?t=PropLink&amp;p=5247819","PL")</f>
        <v>PL</v>
      </c>
      <c r="B1229" s="1" t="str">
        <f>HYPERLINK("http://digipan.lumentumllc.com/apps/getLink/index.php?t=TaxLink&amp;p=5247819","TL")</f>
        <v>TL</v>
      </c>
      <c r="C1229" s="1" t="str">
        <f>HYPERLINK("http://digipan.lumentumllc.com/apps/getMap/index.php?p=5247819","Map")</f>
        <v>Map</v>
      </c>
      <c r="E1229" t="s">
        <v>177</v>
      </c>
      <c r="F1229" t="s">
        <v>178</v>
      </c>
      <c r="L1229" t="s">
        <v>15989</v>
      </c>
      <c r="N1229" t="s">
        <v>15989</v>
      </c>
      <c r="O1229" t="s">
        <v>15989</v>
      </c>
      <c r="P1229" t="s">
        <v>15990</v>
      </c>
      <c r="Q1229" t="s">
        <v>15989</v>
      </c>
      <c r="V1229">
        <v>1403</v>
      </c>
      <c r="W1229">
        <v>5</v>
      </c>
      <c r="X1229">
        <v>2017</v>
      </c>
      <c r="Y1229">
        <v>2018</v>
      </c>
      <c r="Z1229">
        <v>293.95999999999998</v>
      </c>
      <c r="AB1229" t="s">
        <v>181</v>
      </c>
      <c r="AC1229" t="s">
        <v>182</v>
      </c>
      <c r="AD1229" t="s">
        <v>183</v>
      </c>
      <c r="AE1229">
        <v>5</v>
      </c>
      <c r="AF1229">
        <v>2</v>
      </c>
      <c r="AG1229" t="s">
        <v>15991</v>
      </c>
      <c r="AH1229">
        <v>29</v>
      </c>
      <c r="AI1229">
        <v>1283.24</v>
      </c>
      <c r="AJ1229">
        <v>278.02999999999997</v>
      </c>
      <c r="AK1229">
        <v>1561.27</v>
      </c>
      <c r="AL1229">
        <v>16000</v>
      </c>
      <c r="AM1229">
        <v>16000</v>
      </c>
      <c r="AN1229">
        <v>0</v>
      </c>
      <c r="AO1229">
        <v>245</v>
      </c>
      <c r="AP1229">
        <v>2016</v>
      </c>
      <c r="AQ1229">
        <v>1.84</v>
      </c>
      <c r="AR1229">
        <v>9.76</v>
      </c>
      <c r="AS1229" t="s">
        <v>15944</v>
      </c>
      <c r="AT1229" t="s">
        <v>3210</v>
      </c>
      <c r="AU1229" t="s">
        <v>177</v>
      </c>
      <c r="AV1229" t="s">
        <v>2334</v>
      </c>
      <c r="AW1229" t="s">
        <v>182</v>
      </c>
      <c r="AX1229">
        <v>0</v>
      </c>
      <c r="AY1229" t="s">
        <v>312</v>
      </c>
      <c r="AZ1229" t="s">
        <v>199</v>
      </c>
      <c r="BA1229" t="s">
        <v>313</v>
      </c>
      <c r="BB1229" t="s">
        <v>191</v>
      </c>
      <c r="BC1229" t="s">
        <v>182</v>
      </c>
      <c r="BD1229" t="s">
        <v>182</v>
      </c>
      <c r="BE1229" t="s">
        <v>6073</v>
      </c>
      <c r="BF1229">
        <v>0</v>
      </c>
      <c r="BG1229">
        <v>0</v>
      </c>
      <c r="BH1229">
        <v>0</v>
      </c>
      <c r="BI1229" t="s">
        <v>199</v>
      </c>
      <c r="BJ1229" t="s">
        <v>248</v>
      </c>
      <c r="BL1229" t="s">
        <v>199</v>
      </c>
      <c r="BM1229" t="s">
        <v>358</v>
      </c>
      <c r="BN1229" t="s">
        <v>182</v>
      </c>
      <c r="BO1229" t="s">
        <v>198</v>
      </c>
      <c r="BP1229" t="s">
        <v>198</v>
      </c>
      <c r="BQ1229" t="s">
        <v>198</v>
      </c>
      <c r="BR1229" t="s">
        <v>198</v>
      </c>
      <c r="BS1229" t="s">
        <v>198</v>
      </c>
      <c r="BT1229" t="s">
        <v>198</v>
      </c>
      <c r="BU1229" t="s">
        <v>182</v>
      </c>
      <c r="BV1229" t="s">
        <v>198</v>
      </c>
      <c r="BW1229" t="s">
        <v>198</v>
      </c>
      <c r="BX1229" t="s">
        <v>199</v>
      </c>
      <c r="BY1229" t="s">
        <v>198</v>
      </c>
      <c r="BZ1229" t="s">
        <v>199</v>
      </c>
      <c r="CA1229" t="s">
        <v>199</v>
      </c>
      <c r="CB1229" t="s">
        <v>15992</v>
      </c>
      <c r="CC1229" t="s">
        <v>201</v>
      </c>
      <c r="CD1229" t="s">
        <v>202</v>
      </c>
      <c r="CE1229" t="s">
        <v>15993</v>
      </c>
      <c r="CF1229" t="s">
        <v>2333</v>
      </c>
      <c r="CG1229" t="s">
        <v>177</v>
      </c>
      <c r="CH1229" t="s">
        <v>2334</v>
      </c>
      <c r="CI1229" t="s">
        <v>15994</v>
      </c>
      <c r="CJ1229" t="s">
        <v>5137</v>
      </c>
      <c r="CK1229" t="s">
        <v>232</v>
      </c>
      <c r="CL1229" t="s">
        <v>233</v>
      </c>
      <c r="CM1229" t="s">
        <v>15995</v>
      </c>
      <c r="CN1229" t="s">
        <v>389</v>
      </c>
      <c r="CO1229" t="s">
        <v>183</v>
      </c>
      <c r="CP1229" t="s">
        <v>266</v>
      </c>
      <c r="CS1229" t="s">
        <v>198</v>
      </c>
      <c r="CT1229" t="s">
        <v>15534</v>
      </c>
      <c r="CU1229" t="s">
        <v>292</v>
      </c>
      <c r="CV1229" t="s">
        <v>293</v>
      </c>
      <c r="CW1229" t="s">
        <v>15996</v>
      </c>
      <c r="CX1229" t="s">
        <v>482</v>
      </c>
      <c r="CY1229" t="s">
        <v>183</v>
      </c>
      <c r="CZ1229" t="s">
        <v>266</v>
      </c>
      <c r="DC1229" t="s">
        <v>198</v>
      </c>
      <c r="DD1229" t="s">
        <v>12558</v>
      </c>
      <c r="DE1229" t="s">
        <v>267</v>
      </c>
      <c r="DF1229" t="s">
        <v>268</v>
      </c>
      <c r="DG1229" t="s">
        <v>15997</v>
      </c>
      <c r="DH1229" t="s">
        <v>1341</v>
      </c>
      <c r="DI1229" t="s">
        <v>183</v>
      </c>
      <c r="DJ1229" t="s">
        <v>266</v>
      </c>
      <c r="DM1229" t="s">
        <v>198</v>
      </c>
      <c r="DN1229" t="s">
        <v>15169</v>
      </c>
      <c r="DO1229" t="s">
        <v>273</v>
      </c>
      <c r="DP1229" t="s">
        <v>274</v>
      </c>
      <c r="DQ1229" t="s">
        <v>15998</v>
      </c>
      <c r="DR1229" t="s">
        <v>796</v>
      </c>
      <c r="DS1229" t="s">
        <v>183</v>
      </c>
      <c r="DT1229" t="s">
        <v>266</v>
      </c>
      <c r="DW1229" t="s">
        <v>198</v>
      </c>
      <c r="DX1229" t="s">
        <v>13724</v>
      </c>
      <c r="DY1229" t="s">
        <v>302</v>
      </c>
      <c r="DZ1229" t="s">
        <v>303</v>
      </c>
      <c r="EA1229" t="s">
        <v>15999</v>
      </c>
      <c r="EB1229" t="s">
        <v>278</v>
      </c>
      <c r="EC1229" t="s">
        <v>183</v>
      </c>
      <c r="ED1229" t="s">
        <v>266</v>
      </c>
      <c r="EG1229" t="s">
        <v>198</v>
      </c>
      <c r="EH1229" t="s">
        <v>16000</v>
      </c>
      <c r="EI1229" t="s">
        <v>238</v>
      </c>
      <c r="EJ1229" t="s">
        <v>239</v>
      </c>
      <c r="EK1229" t="s">
        <v>16001</v>
      </c>
      <c r="EL1229" t="s">
        <v>278</v>
      </c>
      <c r="EM1229" t="s">
        <v>183</v>
      </c>
      <c r="EN1229" t="s">
        <v>211</v>
      </c>
      <c r="EO1229" t="s">
        <v>345</v>
      </c>
      <c r="EQ1229" t="s">
        <v>1097</v>
      </c>
      <c r="ER1229" t="s">
        <v>15495</v>
      </c>
      <c r="ES1229" t="s">
        <v>346</v>
      </c>
      <c r="ET1229" t="s">
        <v>347</v>
      </c>
      <c r="EU1229" t="s">
        <v>16002</v>
      </c>
      <c r="EV1229" t="s">
        <v>1491</v>
      </c>
      <c r="EW1229" t="s">
        <v>183</v>
      </c>
      <c r="EX1229" t="s">
        <v>211</v>
      </c>
      <c r="EY1229" t="s">
        <v>865</v>
      </c>
      <c r="FA1229" t="s">
        <v>1097</v>
      </c>
      <c r="FK1229" t="s">
        <v>198</v>
      </c>
      <c r="FU1229" t="s">
        <v>198</v>
      </c>
    </row>
    <row r="1230" spans="1:177">
      <c r="A1230" s="1" t="str">
        <f>HYPERLINK("http://digipan.lumentumllc.com/apps/getLink/index.php?t=PropLink&amp;p=6462055","PL")</f>
        <v>PL</v>
      </c>
      <c r="B1230" s="1" t="str">
        <f>HYPERLINK("http://digipan.lumentumllc.com/apps/getLink/index.php?t=TaxLink&amp;p=6462055","TL")</f>
        <v>TL</v>
      </c>
      <c r="C1230" s="1" t="str">
        <f>HYPERLINK("http://digipan.lumentumllc.com/apps/getMap/index.php?p=6462055","Map")</f>
        <v>Map</v>
      </c>
      <c r="E1230" t="s">
        <v>177</v>
      </c>
      <c r="F1230" t="s">
        <v>178</v>
      </c>
      <c r="L1230" t="s">
        <v>16003</v>
      </c>
      <c r="N1230" t="s">
        <v>16003</v>
      </c>
      <c r="O1230" t="s">
        <v>16003</v>
      </c>
      <c r="P1230" t="s">
        <v>16004</v>
      </c>
      <c r="Q1230" t="s">
        <v>16003</v>
      </c>
      <c r="V1230">
        <v>1404</v>
      </c>
      <c r="W1230">
        <v>5</v>
      </c>
      <c r="X1230">
        <v>2017</v>
      </c>
      <c r="Y1230">
        <v>2018</v>
      </c>
      <c r="Z1230">
        <v>332.87</v>
      </c>
      <c r="AB1230" t="s">
        <v>181</v>
      </c>
      <c r="AC1230" t="s">
        <v>182</v>
      </c>
      <c r="AD1230" t="s">
        <v>183</v>
      </c>
      <c r="AE1230">
        <v>2</v>
      </c>
      <c r="AF1230">
        <v>2</v>
      </c>
      <c r="AG1230" t="s">
        <v>762</v>
      </c>
      <c r="AH1230">
        <v>50</v>
      </c>
      <c r="AI1230">
        <v>666.55</v>
      </c>
      <c r="AJ1230">
        <v>40.799999999999997</v>
      </c>
      <c r="AK1230">
        <v>707.35</v>
      </c>
      <c r="AL1230">
        <v>18375</v>
      </c>
      <c r="AM1230">
        <v>18375</v>
      </c>
      <c r="AN1230">
        <v>0</v>
      </c>
      <c r="AO1230">
        <v>282</v>
      </c>
      <c r="AP1230">
        <v>2016</v>
      </c>
      <c r="AQ1230">
        <v>1.81</v>
      </c>
      <c r="AR1230">
        <v>3.85</v>
      </c>
      <c r="AS1230" t="s">
        <v>16005</v>
      </c>
      <c r="AT1230" t="s">
        <v>3210</v>
      </c>
      <c r="AU1230" t="s">
        <v>177</v>
      </c>
      <c r="AV1230" t="s">
        <v>2334</v>
      </c>
      <c r="AW1230" t="s">
        <v>182</v>
      </c>
      <c r="AX1230">
        <v>0</v>
      </c>
      <c r="AY1230" t="s">
        <v>312</v>
      </c>
      <c r="AZ1230" t="s">
        <v>199</v>
      </c>
      <c r="BA1230" t="s">
        <v>313</v>
      </c>
      <c r="BB1230" t="s">
        <v>191</v>
      </c>
      <c r="BC1230" t="s">
        <v>182</v>
      </c>
      <c r="BD1230" t="s">
        <v>182</v>
      </c>
      <c r="BE1230" t="s">
        <v>11206</v>
      </c>
      <c r="BF1230">
        <v>0</v>
      </c>
      <c r="BG1230">
        <v>0</v>
      </c>
      <c r="BH1230">
        <v>0</v>
      </c>
      <c r="BI1230" t="s">
        <v>199</v>
      </c>
      <c r="BJ1230" t="s">
        <v>315</v>
      </c>
      <c r="BL1230" t="s">
        <v>199</v>
      </c>
      <c r="BM1230" t="s">
        <v>2582</v>
      </c>
      <c r="BN1230" t="s">
        <v>182</v>
      </c>
      <c r="BO1230" t="s">
        <v>198</v>
      </c>
      <c r="BP1230" t="s">
        <v>198</v>
      </c>
      <c r="BQ1230" t="s">
        <v>198</v>
      </c>
      <c r="BR1230" t="s">
        <v>198</v>
      </c>
      <c r="BS1230" t="s">
        <v>198</v>
      </c>
      <c r="BT1230" t="s">
        <v>198</v>
      </c>
      <c r="BU1230" t="s">
        <v>182</v>
      </c>
      <c r="BV1230" t="s">
        <v>198</v>
      </c>
      <c r="BW1230" t="s">
        <v>198</v>
      </c>
      <c r="BX1230" t="s">
        <v>199</v>
      </c>
      <c r="BY1230" t="s">
        <v>198</v>
      </c>
      <c r="BZ1230" t="s">
        <v>199</v>
      </c>
      <c r="CA1230" t="s">
        <v>199</v>
      </c>
      <c r="CB1230" t="s">
        <v>16006</v>
      </c>
      <c r="CC1230" t="s">
        <v>201</v>
      </c>
      <c r="CD1230" t="s">
        <v>202</v>
      </c>
      <c r="CE1230" t="s">
        <v>4031</v>
      </c>
      <c r="CF1230" t="s">
        <v>2333</v>
      </c>
      <c r="CG1230" t="s">
        <v>177</v>
      </c>
      <c r="CH1230" t="s">
        <v>3178</v>
      </c>
      <c r="CI1230" t="s">
        <v>16007</v>
      </c>
      <c r="CJ1230" t="s">
        <v>12112</v>
      </c>
      <c r="CK1230" t="s">
        <v>232</v>
      </c>
      <c r="CL1230" t="s">
        <v>233</v>
      </c>
      <c r="CM1230" t="s">
        <v>16008</v>
      </c>
      <c r="CN1230" t="s">
        <v>833</v>
      </c>
      <c r="CO1230" t="s">
        <v>183</v>
      </c>
      <c r="CP1230" t="s">
        <v>266</v>
      </c>
      <c r="CS1230" t="s">
        <v>198</v>
      </c>
      <c r="CT1230" t="s">
        <v>12422</v>
      </c>
      <c r="CU1230" t="s">
        <v>292</v>
      </c>
      <c r="CV1230" t="s">
        <v>293</v>
      </c>
      <c r="CW1230" t="s">
        <v>16009</v>
      </c>
      <c r="CX1230" t="s">
        <v>235</v>
      </c>
      <c r="CY1230" t="s">
        <v>183</v>
      </c>
      <c r="CZ1230" t="s">
        <v>266</v>
      </c>
      <c r="DC1230" t="s">
        <v>198</v>
      </c>
      <c r="DD1230" t="s">
        <v>15348</v>
      </c>
      <c r="DE1230" t="s">
        <v>267</v>
      </c>
      <c r="DF1230" t="s">
        <v>268</v>
      </c>
      <c r="DG1230" t="s">
        <v>16010</v>
      </c>
      <c r="DH1230" t="s">
        <v>922</v>
      </c>
      <c r="DI1230" t="s">
        <v>183</v>
      </c>
      <c r="DJ1230" t="s">
        <v>211</v>
      </c>
      <c r="DK1230" t="s">
        <v>329</v>
      </c>
      <c r="DM1230" t="s">
        <v>6014</v>
      </c>
      <c r="DN1230" t="s">
        <v>8055</v>
      </c>
      <c r="DO1230" t="s">
        <v>273</v>
      </c>
      <c r="DP1230" t="s">
        <v>274</v>
      </c>
      <c r="DQ1230" t="s">
        <v>16011</v>
      </c>
      <c r="DR1230" t="s">
        <v>1491</v>
      </c>
      <c r="DS1230" t="s">
        <v>183</v>
      </c>
      <c r="DT1230" t="s">
        <v>211</v>
      </c>
      <c r="DU1230" t="s">
        <v>298</v>
      </c>
      <c r="DW1230" t="s">
        <v>6014</v>
      </c>
      <c r="EG1230" t="s">
        <v>198</v>
      </c>
      <c r="EQ1230" t="s">
        <v>198</v>
      </c>
      <c r="FA1230" t="s">
        <v>198</v>
      </c>
      <c r="FK1230" t="s">
        <v>198</v>
      </c>
      <c r="FU1230" t="s">
        <v>198</v>
      </c>
    </row>
    <row r="1231" spans="1:177">
      <c r="A1231" s="1" t="str">
        <f>HYPERLINK("http://digipan.lumentumllc.com/apps/getLink/index.php?t=PropLink&amp;p=6462056","PL")</f>
        <v>PL</v>
      </c>
      <c r="B1231" s="1" t="str">
        <f>HYPERLINK("http://digipan.lumentumllc.com/apps/getLink/index.php?t=TaxLink&amp;p=6462056","TL")</f>
        <v>TL</v>
      </c>
      <c r="C1231" s="1" t="str">
        <f>HYPERLINK("http://digipan.lumentumllc.com/apps/getMap/index.php?p=6462056","Map")</f>
        <v>Map</v>
      </c>
      <c r="E1231" t="s">
        <v>177</v>
      </c>
      <c r="F1231" t="s">
        <v>178</v>
      </c>
      <c r="L1231" t="s">
        <v>16012</v>
      </c>
      <c r="N1231" t="s">
        <v>16012</v>
      </c>
      <c r="O1231" t="s">
        <v>16012</v>
      </c>
      <c r="P1231" t="s">
        <v>16013</v>
      </c>
      <c r="Q1231" t="s">
        <v>16012</v>
      </c>
      <c r="V1231">
        <v>1405</v>
      </c>
      <c r="W1231">
        <v>5</v>
      </c>
      <c r="X1231">
        <v>2017</v>
      </c>
      <c r="Y1231">
        <v>2018</v>
      </c>
      <c r="Z1231">
        <v>208.99</v>
      </c>
      <c r="AB1231" t="s">
        <v>181</v>
      </c>
      <c r="AC1231" t="s">
        <v>182</v>
      </c>
      <c r="AD1231" t="s">
        <v>183</v>
      </c>
      <c r="AE1231">
        <v>2</v>
      </c>
      <c r="AF1231">
        <v>4</v>
      </c>
      <c r="AG1231" t="s">
        <v>282</v>
      </c>
      <c r="AH1231">
        <v>67</v>
      </c>
      <c r="AI1231">
        <v>412.31</v>
      </c>
      <c r="AJ1231">
        <v>27.84</v>
      </c>
      <c r="AK1231">
        <v>440.15</v>
      </c>
      <c r="AL1231">
        <v>10810</v>
      </c>
      <c r="AM1231">
        <v>10710</v>
      </c>
      <c r="AN1231">
        <v>100</v>
      </c>
      <c r="AO1231">
        <v>166</v>
      </c>
      <c r="AP1231">
        <v>2016</v>
      </c>
      <c r="AQ1231">
        <v>1.93</v>
      </c>
      <c r="AR1231">
        <v>4.07</v>
      </c>
      <c r="AS1231" t="s">
        <v>16005</v>
      </c>
      <c r="AT1231" t="s">
        <v>3210</v>
      </c>
      <c r="AU1231" t="s">
        <v>177</v>
      </c>
      <c r="AV1231" t="s">
        <v>2334</v>
      </c>
      <c r="AW1231" t="s">
        <v>182</v>
      </c>
      <c r="AX1231">
        <v>0</v>
      </c>
      <c r="AY1231" t="s">
        <v>312</v>
      </c>
      <c r="AZ1231" t="s">
        <v>199</v>
      </c>
      <c r="BA1231" t="s">
        <v>313</v>
      </c>
      <c r="BB1231" t="s">
        <v>191</v>
      </c>
      <c r="BC1231" t="s">
        <v>182</v>
      </c>
      <c r="BD1231" t="s">
        <v>182</v>
      </c>
      <c r="BE1231" t="s">
        <v>3930</v>
      </c>
      <c r="BF1231">
        <v>0</v>
      </c>
      <c r="BG1231">
        <v>0</v>
      </c>
      <c r="BH1231">
        <v>0</v>
      </c>
      <c r="BI1231" t="s">
        <v>199</v>
      </c>
      <c r="BJ1231" t="s">
        <v>315</v>
      </c>
      <c r="BL1231" t="s">
        <v>199</v>
      </c>
      <c r="BM1231" t="s">
        <v>358</v>
      </c>
      <c r="BN1231" t="s">
        <v>182</v>
      </c>
      <c r="BO1231" t="s">
        <v>198</v>
      </c>
      <c r="BP1231" t="s">
        <v>198</v>
      </c>
      <c r="BQ1231" t="s">
        <v>198</v>
      </c>
      <c r="BR1231" t="s">
        <v>198</v>
      </c>
      <c r="BS1231" t="s">
        <v>198</v>
      </c>
      <c r="BT1231" t="s">
        <v>198</v>
      </c>
      <c r="BU1231" t="s">
        <v>182</v>
      </c>
      <c r="BV1231" t="s">
        <v>198</v>
      </c>
      <c r="BW1231" t="s">
        <v>198</v>
      </c>
      <c r="BX1231" t="s">
        <v>199</v>
      </c>
      <c r="BY1231" t="s">
        <v>198</v>
      </c>
      <c r="BZ1231" t="s">
        <v>199</v>
      </c>
      <c r="CA1231" t="s">
        <v>199</v>
      </c>
      <c r="CB1231" t="s">
        <v>16014</v>
      </c>
      <c r="CC1231" t="s">
        <v>201</v>
      </c>
      <c r="CD1231" t="s">
        <v>202</v>
      </c>
      <c r="CE1231" t="s">
        <v>4031</v>
      </c>
      <c r="CF1231" t="s">
        <v>2333</v>
      </c>
      <c r="CG1231" t="s">
        <v>177</v>
      </c>
      <c r="CH1231" t="s">
        <v>3178</v>
      </c>
      <c r="CI1231" t="s">
        <v>16007</v>
      </c>
      <c r="CJ1231" t="s">
        <v>14596</v>
      </c>
      <c r="CK1231" t="s">
        <v>232</v>
      </c>
      <c r="CL1231" t="s">
        <v>233</v>
      </c>
      <c r="CM1231" t="s">
        <v>16015</v>
      </c>
      <c r="CN1231" t="s">
        <v>2679</v>
      </c>
      <c r="CO1231" t="s">
        <v>183</v>
      </c>
      <c r="CP1231" t="s">
        <v>266</v>
      </c>
      <c r="CS1231" t="s">
        <v>198</v>
      </c>
      <c r="CT1231" t="s">
        <v>14892</v>
      </c>
      <c r="CU1231" t="s">
        <v>292</v>
      </c>
      <c r="CV1231" t="s">
        <v>293</v>
      </c>
      <c r="CW1231" t="s">
        <v>16016</v>
      </c>
      <c r="CX1231" t="s">
        <v>235</v>
      </c>
      <c r="CY1231" t="s">
        <v>183</v>
      </c>
      <c r="CZ1231" t="s">
        <v>266</v>
      </c>
      <c r="DC1231" t="s">
        <v>198</v>
      </c>
      <c r="DD1231" t="s">
        <v>15359</v>
      </c>
      <c r="DE1231" t="s">
        <v>267</v>
      </c>
      <c r="DF1231" t="s">
        <v>268</v>
      </c>
      <c r="DG1231" t="s">
        <v>16017</v>
      </c>
      <c r="DH1231" t="s">
        <v>922</v>
      </c>
      <c r="DI1231" t="s">
        <v>183</v>
      </c>
      <c r="DJ1231" t="s">
        <v>211</v>
      </c>
      <c r="DK1231" t="s">
        <v>329</v>
      </c>
      <c r="DM1231" t="s">
        <v>6014</v>
      </c>
      <c r="DN1231" t="s">
        <v>15115</v>
      </c>
      <c r="DO1231" t="s">
        <v>273</v>
      </c>
      <c r="DP1231" t="s">
        <v>274</v>
      </c>
      <c r="DQ1231" t="s">
        <v>16018</v>
      </c>
      <c r="DR1231" t="s">
        <v>511</v>
      </c>
      <c r="DS1231" t="s">
        <v>183</v>
      </c>
      <c r="DT1231" t="s">
        <v>211</v>
      </c>
      <c r="DU1231" t="s">
        <v>298</v>
      </c>
      <c r="DW1231" t="s">
        <v>6014</v>
      </c>
      <c r="DX1231" t="s">
        <v>15290</v>
      </c>
      <c r="DY1231" t="s">
        <v>302</v>
      </c>
      <c r="DZ1231" t="s">
        <v>303</v>
      </c>
      <c r="EA1231" t="s">
        <v>16019</v>
      </c>
      <c r="EB1231" t="s">
        <v>2515</v>
      </c>
      <c r="EC1231" t="s">
        <v>183</v>
      </c>
      <c r="ED1231" t="s">
        <v>211</v>
      </c>
      <c r="EE1231" t="s">
        <v>525</v>
      </c>
      <c r="EG1231" t="s">
        <v>6014</v>
      </c>
      <c r="EH1231" t="s">
        <v>16020</v>
      </c>
      <c r="EI1231" t="s">
        <v>238</v>
      </c>
      <c r="EJ1231" t="s">
        <v>303</v>
      </c>
      <c r="EK1231" t="s">
        <v>16021</v>
      </c>
      <c r="EL1231" t="s">
        <v>278</v>
      </c>
      <c r="EM1231" t="s">
        <v>183</v>
      </c>
      <c r="EN1231" t="s">
        <v>211</v>
      </c>
      <c r="EO1231" t="s">
        <v>525</v>
      </c>
      <c r="EQ1231" t="s">
        <v>6014</v>
      </c>
      <c r="FA1231" t="s">
        <v>198</v>
      </c>
      <c r="FK1231" t="s">
        <v>198</v>
      </c>
      <c r="FU1231" t="s">
        <v>198</v>
      </c>
    </row>
    <row r="1232" spans="1:177">
      <c r="A1232" s="1" t="str">
        <f>HYPERLINK("http://digipan.lumentumllc.com/apps/getLink/index.php?t=PropLink&amp;p=6886838","PL")</f>
        <v>PL</v>
      </c>
      <c r="B1232" s="1" t="str">
        <f>HYPERLINK("http://digipan.lumentumllc.com/apps/getLink/index.php?t=TaxLink&amp;p=6886838","TL")</f>
        <v>TL</v>
      </c>
      <c r="C1232" s="1" t="str">
        <f>HYPERLINK("http://digipan.lumentumllc.com/apps/getMap/index.php?p=6886838","Map")</f>
        <v>Map</v>
      </c>
      <c r="E1232" t="s">
        <v>177</v>
      </c>
      <c r="F1232" t="s">
        <v>178</v>
      </c>
      <c r="L1232" t="s">
        <v>16022</v>
      </c>
      <c r="N1232" t="s">
        <v>16022</v>
      </c>
      <c r="O1232" t="s">
        <v>16022</v>
      </c>
      <c r="P1232" t="s">
        <v>16023</v>
      </c>
      <c r="Q1232" t="s">
        <v>16022</v>
      </c>
      <c r="V1232">
        <v>1406</v>
      </c>
      <c r="W1232">
        <v>5</v>
      </c>
      <c r="X1232">
        <v>2017</v>
      </c>
      <c r="Y1232">
        <v>2018</v>
      </c>
      <c r="Z1232">
        <v>322.67</v>
      </c>
      <c r="AB1232" t="s">
        <v>181</v>
      </c>
      <c r="AC1232" t="s">
        <v>182</v>
      </c>
      <c r="AD1232" t="s">
        <v>183</v>
      </c>
      <c r="AE1232">
        <v>1</v>
      </c>
      <c r="AF1232">
        <v>1</v>
      </c>
      <c r="AG1232" t="s">
        <v>2222</v>
      </c>
      <c r="AH1232">
        <v>50</v>
      </c>
      <c r="AI1232">
        <v>288.87</v>
      </c>
      <c r="AJ1232">
        <v>24.55</v>
      </c>
      <c r="AK1232">
        <v>313.42</v>
      </c>
      <c r="AL1232">
        <v>18274</v>
      </c>
      <c r="AM1232">
        <v>10710</v>
      </c>
      <c r="AN1232">
        <v>7564</v>
      </c>
      <c r="AO1232">
        <v>242</v>
      </c>
      <c r="AP1232">
        <v>2016</v>
      </c>
      <c r="AQ1232">
        <v>1.77</v>
      </c>
      <c r="AR1232">
        <v>1.72</v>
      </c>
      <c r="AS1232" t="s">
        <v>16024</v>
      </c>
      <c r="AT1232" t="s">
        <v>3210</v>
      </c>
      <c r="AU1232" t="s">
        <v>177</v>
      </c>
      <c r="AV1232" t="s">
        <v>2334</v>
      </c>
      <c r="AW1232" t="s">
        <v>182</v>
      </c>
      <c r="AX1232">
        <v>0</v>
      </c>
      <c r="AY1232" t="s">
        <v>312</v>
      </c>
      <c r="AZ1232" t="s">
        <v>199</v>
      </c>
      <c r="BA1232" t="s">
        <v>313</v>
      </c>
      <c r="BB1232" t="s">
        <v>191</v>
      </c>
      <c r="BC1232" t="s">
        <v>182</v>
      </c>
      <c r="BD1232" t="s">
        <v>182</v>
      </c>
      <c r="BE1232" t="s">
        <v>3930</v>
      </c>
      <c r="BF1232">
        <v>1</v>
      </c>
      <c r="BG1232">
        <v>0</v>
      </c>
      <c r="BH1232">
        <v>0</v>
      </c>
      <c r="BI1232" t="s">
        <v>199</v>
      </c>
      <c r="BJ1232" t="s">
        <v>248</v>
      </c>
      <c r="BL1232" t="s">
        <v>199</v>
      </c>
      <c r="BM1232" t="s">
        <v>273</v>
      </c>
      <c r="BN1232" t="s">
        <v>182</v>
      </c>
      <c r="BO1232" t="s">
        <v>198</v>
      </c>
      <c r="BP1232" t="s">
        <v>198</v>
      </c>
      <c r="BQ1232" t="s">
        <v>198</v>
      </c>
      <c r="BR1232" t="s">
        <v>198</v>
      </c>
      <c r="BS1232" t="s">
        <v>198</v>
      </c>
      <c r="BT1232" t="s">
        <v>198</v>
      </c>
      <c r="BU1232" t="s">
        <v>182</v>
      </c>
      <c r="BV1232" t="s">
        <v>198</v>
      </c>
      <c r="BW1232" t="s">
        <v>198</v>
      </c>
      <c r="BX1232" t="s">
        <v>199</v>
      </c>
      <c r="BY1232" t="s">
        <v>198</v>
      </c>
      <c r="BZ1232" t="s">
        <v>199</v>
      </c>
      <c r="CA1232" t="s">
        <v>199</v>
      </c>
      <c r="CB1232" t="s">
        <v>16025</v>
      </c>
      <c r="CC1232" t="s">
        <v>201</v>
      </c>
      <c r="CD1232" t="s">
        <v>202</v>
      </c>
      <c r="CE1232" t="s">
        <v>16026</v>
      </c>
      <c r="CF1232" t="s">
        <v>2333</v>
      </c>
      <c r="CG1232" t="s">
        <v>177</v>
      </c>
      <c r="CH1232" t="s">
        <v>2334</v>
      </c>
      <c r="CI1232" t="s">
        <v>16007</v>
      </c>
      <c r="CJ1232" t="s">
        <v>14425</v>
      </c>
      <c r="CK1232" t="s">
        <v>232</v>
      </c>
      <c r="CL1232" t="s">
        <v>233</v>
      </c>
      <c r="CM1232" t="s">
        <v>16027</v>
      </c>
      <c r="CN1232" t="s">
        <v>2679</v>
      </c>
      <c r="CO1232" t="s">
        <v>183</v>
      </c>
      <c r="CP1232" t="s">
        <v>266</v>
      </c>
      <c r="CS1232" t="s">
        <v>198</v>
      </c>
      <c r="CT1232" t="s">
        <v>15368</v>
      </c>
      <c r="CU1232" t="s">
        <v>267</v>
      </c>
      <c r="CV1232" t="s">
        <v>268</v>
      </c>
      <c r="CW1232" t="s">
        <v>16028</v>
      </c>
      <c r="CX1232" t="s">
        <v>1164</v>
      </c>
      <c r="CY1232" t="s">
        <v>183</v>
      </c>
      <c r="CZ1232" t="s">
        <v>211</v>
      </c>
      <c r="DA1232" t="s">
        <v>329</v>
      </c>
      <c r="DC1232" t="s">
        <v>1645</v>
      </c>
      <c r="DM1232" t="s">
        <v>198</v>
      </c>
      <c r="DW1232" t="s">
        <v>198</v>
      </c>
      <c r="EG1232" t="s">
        <v>198</v>
      </c>
      <c r="EQ1232" t="s">
        <v>198</v>
      </c>
      <c r="FA1232" t="s">
        <v>198</v>
      </c>
      <c r="FK1232" t="s">
        <v>198</v>
      </c>
      <c r="FU1232" t="s">
        <v>198</v>
      </c>
    </row>
    <row r="1233" spans="1:177">
      <c r="A1233" s="1" t="str">
        <f>HYPERLINK("http://digipan.lumentumllc.com/apps/getLink/index.php?t=PropLink&amp;p=6462057","PL")</f>
        <v>PL</v>
      </c>
      <c r="B1233" s="1" t="str">
        <f>HYPERLINK("http://digipan.lumentumllc.com/apps/getLink/index.php?t=TaxLink&amp;p=6462057","TL")</f>
        <v>TL</v>
      </c>
      <c r="C1233" s="1" t="str">
        <f>HYPERLINK("http://digipan.lumentumllc.com/apps/getMap/index.php?p=6462057","Map")</f>
        <v>Map</v>
      </c>
      <c r="E1233" t="s">
        <v>177</v>
      </c>
      <c r="F1233" t="s">
        <v>178</v>
      </c>
      <c r="L1233" t="s">
        <v>16029</v>
      </c>
      <c r="N1233" t="s">
        <v>16029</v>
      </c>
      <c r="O1233" t="s">
        <v>16029</v>
      </c>
      <c r="P1233" t="s">
        <v>16030</v>
      </c>
      <c r="Q1233" t="s">
        <v>16029</v>
      </c>
      <c r="V1233">
        <v>1407</v>
      </c>
      <c r="W1233">
        <v>5</v>
      </c>
      <c r="X1233">
        <v>2017</v>
      </c>
      <c r="Y1233">
        <v>2018</v>
      </c>
      <c r="Z1233">
        <v>1639.91</v>
      </c>
      <c r="AB1233" t="s">
        <v>181</v>
      </c>
      <c r="AC1233" t="s">
        <v>182</v>
      </c>
      <c r="AD1233" t="s">
        <v>183</v>
      </c>
      <c r="AE1233">
        <v>2</v>
      </c>
      <c r="AF1233">
        <v>3</v>
      </c>
      <c r="AG1233" t="s">
        <v>2376</v>
      </c>
      <c r="AH1233">
        <v>60</v>
      </c>
      <c r="AI1233">
        <v>2520.85</v>
      </c>
      <c r="AJ1233">
        <v>126.04</v>
      </c>
      <c r="AK1233">
        <v>2646.89</v>
      </c>
      <c r="AL1233">
        <v>98207</v>
      </c>
      <c r="AM1233">
        <v>54000</v>
      </c>
      <c r="AN1233">
        <v>44207</v>
      </c>
      <c r="AO1233">
        <v>1511</v>
      </c>
      <c r="AP1233">
        <v>2016</v>
      </c>
      <c r="AQ1233">
        <v>1.67</v>
      </c>
      <c r="AR1233">
        <v>2.7</v>
      </c>
      <c r="AS1233" t="s">
        <v>16031</v>
      </c>
      <c r="AT1233" t="s">
        <v>3210</v>
      </c>
      <c r="AU1233" t="s">
        <v>177</v>
      </c>
      <c r="AV1233" t="s">
        <v>2334</v>
      </c>
      <c r="AW1233" t="s">
        <v>182</v>
      </c>
      <c r="AX1233">
        <v>1</v>
      </c>
      <c r="AY1233" t="s">
        <v>188</v>
      </c>
      <c r="AZ1233" t="s">
        <v>206</v>
      </c>
      <c r="BA1233" t="s">
        <v>355</v>
      </c>
      <c r="BB1233" t="s">
        <v>191</v>
      </c>
      <c r="BC1233" t="s">
        <v>182</v>
      </c>
      <c r="BD1233" t="s">
        <v>182</v>
      </c>
      <c r="BE1233" t="s">
        <v>11735</v>
      </c>
      <c r="BF1233">
        <v>1</v>
      </c>
      <c r="BG1233">
        <v>1</v>
      </c>
      <c r="BH1233">
        <v>1945</v>
      </c>
      <c r="BI1233" t="s">
        <v>3941</v>
      </c>
      <c r="BJ1233" t="s">
        <v>285</v>
      </c>
      <c r="BK1233" t="s">
        <v>195</v>
      </c>
      <c r="BL1233" t="s">
        <v>13795</v>
      </c>
      <c r="BM1233" t="s">
        <v>4554</v>
      </c>
      <c r="BN1233" t="s">
        <v>182</v>
      </c>
      <c r="BO1233" t="s">
        <v>198</v>
      </c>
      <c r="BP1233" t="s">
        <v>198</v>
      </c>
      <c r="BQ1233" t="s">
        <v>198</v>
      </c>
      <c r="BR1233" t="s">
        <v>198</v>
      </c>
      <c r="BS1233" t="s">
        <v>198</v>
      </c>
      <c r="BT1233" t="s">
        <v>198</v>
      </c>
      <c r="BU1233" t="s">
        <v>182</v>
      </c>
      <c r="BV1233" t="s">
        <v>198</v>
      </c>
      <c r="BW1233" t="s">
        <v>198</v>
      </c>
      <c r="BX1233" t="s">
        <v>199</v>
      </c>
      <c r="BY1233" t="s">
        <v>198</v>
      </c>
      <c r="BZ1233" t="s">
        <v>199</v>
      </c>
      <c r="CA1233" t="s">
        <v>199</v>
      </c>
      <c r="CB1233" t="s">
        <v>16032</v>
      </c>
      <c r="CC1233" t="s">
        <v>201</v>
      </c>
      <c r="CD1233" t="s">
        <v>202</v>
      </c>
      <c r="CE1233" t="s">
        <v>4031</v>
      </c>
      <c r="CF1233" t="s">
        <v>2333</v>
      </c>
      <c r="CG1233" t="s">
        <v>177</v>
      </c>
      <c r="CH1233" t="s">
        <v>3178</v>
      </c>
      <c r="CI1233" t="s">
        <v>16033</v>
      </c>
      <c r="CJ1233" t="s">
        <v>12095</v>
      </c>
      <c r="CK1233" t="s">
        <v>232</v>
      </c>
      <c r="CL1233" t="s">
        <v>233</v>
      </c>
      <c r="CM1233" t="s">
        <v>16034</v>
      </c>
      <c r="CN1233" t="s">
        <v>235</v>
      </c>
      <c r="CO1233" t="s">
        <v>183</v>
      </c>
      <c r="CP1233" t="s">
        <v>266</v>
      </c>
      <c r="CS1233" t="s">
        <v>198</v>
      </c>
      <c r="CT1233" t="s">
        <v>12429</v>
      </c>
      <c r="CU1233" t="s">
        <v>292</v>
      </c>
      <c r="CV1233" t="s">
        <v>293</v>
      </c>
      <c r="CW1233" t="s">
        <v>16035</v>
      </c>
      <c r="CX1233" t="s">
        <v>235</v>
      </c>
      <c r="CY1233" t="s">
        <v>183</v>
      </c>
      <c r="CZ1233" t="s">
        <v>266</v>
      </c>
      <c r="DC1233" t="s">
        <v>198</v>
      </c>
      <c r="DD1233" t="s">
        <v>9565</v>
      </c>
      <c r="DE1233" t="s">
        <v>267</v>
      </c>
      <c r="DF1233" t="s">
        <v>268</v>
      </c>
      <c r="DG1233" t="s">
        <v>16036</v>
      </c>
      <c r="DH1233" t="s">
        <v>235</v>
      </c>
      <c r="DI1233" t="s">
        <v>183</v>
      </c>
      <c r="DJ1233" t="s">
        <v>211</v>
      </c>
      <c r="DK1233" t="s">
        <v>329</v>
      </c>
      <c r="DM1233" t="s">
        <v>6014</v>
      </c>
      <c r="DN1233" t="s">
        <v>13715</v>
      </c>
      <c r="DO1233" t="s">
        <v>273</v>
      </c>
      <c r="DP1233" t="s">
        <v>274</v>
      </c>
      <c r="DQ1233" t="s">
        <v>16037</v>
      </c>
      <c r="DR1233" t="s">
        <v>235</v>
      </c>
      <c r="DS1233" t="s">
        <v>183</v>
      </c>
      <c r="DT1233" t="s">
        <v>211</v>
      </c>
      <c r="DU1233" t="s">
        <v>298</v>
      </c>
      <c r="DW1233" t="s">
        <v>6014</v>
      </c>
      <c r="DX1233" t="s">
        <v>14177</v>
      </c>
      <c r="DY1233" t="s">
        <v>302</v>
      </c>
      <c r="DZ1233" t="s">
        <v>303</v>
      </c>
      <c r="EA1233" t="s">
        <v>16038</v>
      </c>
      <c r="EB1233" t="s">
        <v>235</v>
      </c>
      <c r="EC1233" t="s">
        <v>183</v>
      </c>
      <c r="ED1233" t="s">
        <v>211</v>
      </c>
      <c r="EE1233" t="s">
        <v>525</v>
      </c>
      <c r="EG1233" t="s">
        <v>6014</v>
      </c>
      <c r="EQ1233" t="s">
        <v>198</v>
      </c>
      <c r="FA1233" t="s">
        <v>198</v>
      </c>
      <c r="FK1233" t="s">
        <v>198</v>
      </c>
      <c r="FU1233" t="s">
        <v>198</v>
      </c>
    </row>
    <row r="1234" spans="1:177">
      <c r="A1234" s="1" t="str">
        <f>HYPERLINK("http://digipan.lumentumllc.com/apps/getLink/index.php?t=PropLink&amp;p=4638459","PL")</f>
        <v>PL</v>
      </c>
      <c r="B1234" s="1" t="str">
        <f>HYPERLINK("http://digipan.lumentumllc.com/apps/getLink/index.php?t=TaxLink&amp;p=4638459","TL")</f>
        <v>TL</v>
      </c>
      <c r="C1234" s="1" t="str">
        <f>HYPERLINK("http://digipan.lumentumllc.com/apps/getMap/index.php?p=4638459","Map")</f>
        <v>Map</v>
      </c>
      <c r="E1234" t="s">
        <v>177</v>
      </c>
      <c r="F1234" t="s">
        <v>178</v>
      </c>
      <c r="L1234" t="s">
        <v>16039</v>
      </c>
      <c r="N1234" t="s">
        <v>16039</v>
      </c>
      <c r="O1234" t="s">
        <v>16039</v>
      </c>
      <c r="P1234" t="s">
        <v>16040</v>
      </c>
      <c r="Q1234" t="s">
        <v>16039</v>
      </c>
      <c r="V1234">
        <v>1408</v>
      </c>
      <c r="W1234">
        <v>5</v>
      </c>
      <c r="X1234">
        <v>2017</v>
      </c>
      <c r="Y1234">
        <v>2018</v>
      </c>
      <c r="Z1234">
        <v>153.78</v>
      </c>
      <c r="AB1234" t="s">
        <v>181</v>
      </c>
      <c r="AC1234" t="s">
        <v>202</v>
      </c>
      <c r="AD1234" t="s">
        <v>1037</v>
      </c>
      <c r="AE1234">
        <v>6</v>
      </c>
      <c r="AF1234">
        <v>1</v>
      </c>
      <c r="AG1234" t="s">
        <v>3955</v>
      </c>
      <c r="AH1234">
        <v>0</v>
      </c>
      <c r="AI1234">
        <v>805.14</v>
      </c>
      <c r="AJ1234">
        <v>363.3</v>
      </c>
      <c r="AK1234">
        <v>1168.44</v>
      </c>
      <c r="AL1234">
        <v>7437</v>
      </c>
      <c r="AM1234">
        <v>7437</v>
      </c>
      <c r="AN1234">
        <v>0</v>
      </c>
      <c r="AO1234">
        <v>114</v>
      </c>
      <c r="AP1234">
        <v>2016</v>
      </c>
      <c r="AQ1234">
        <v>2.0699999999999998</v>
      </c>
      <c r="AR1234">
        <v>15.71</v>
      </c>
      <c r="AS1234" t="s">
        <v>16041</v>
      </c>
      <c r="AT1234" t="s">
        <v>3210</v>
      </c>
      <c r="AU1234" t="s">
        <v>177</v>
      </c>
      <c r="AV1234" t="s">
        <v>2334</v>
      </c>
      <c r="AW1234" t="s">
        <v>182</v>
      </c>
      <c r="AX1234">
        <v>0</v>
      </c>
      <c r="AY1234" t="s">
        <v>312</v>
      </c>
      <c r="AZ1234" t="s">
        <v>199</v>
      </c>
      <c r="BA1234" t="s">
        <v>313</v>
      </c>
      <c r="BB1234" t="s">
        <v>191</v>
      </c>
      <c r="BC1234" t="s">
        <v>182</v>
      </c>
      <c r="BD1234" t="s">
        <v>182</v>
      </c>
      <c r="BE1234" t="s">
        <v>3930</v>
      </c>
      <c r="BF1234">
        <v>0</v>
      </c>
      <c r="BG1234">
        <v>0</v>
      </c>
      <c r="BH1234">
        <v>0</v>
      </c>
      <c r="BI1234" t="s">
        <v>199</v>
      </c>
      <c r="BJ1234" t="s">
        <v>315</v>
      </c>
      <c r="BL1234" t="s">
        <v>199</v>
      </c>
      <c r="BM1234" t="s">
        <v>358</v>
      </c>
      <c r="BN1234" t="s">
        <v>182</v>
      </c>
      <c r="BO1234" t="s">
        <v>198</v>
      </c>
      <c r="BP1234" t="s">
        <v>198</v>
      </c>
      <c r="BQ1234" t="s">
        <v>198</v>
      </c>
      <c r="BR1234" t="s">
        <v>198</v>
      </c>
      <c r="BS1234" t="s">
        <v>198</v>
      </c>
      <c r="BT1234" t="s">
        <v>198</v>
      </c>
      <c r="BU1234" t="s">
        <v>182</v>
      </c>
      <c r="BV1234" t="s">
        <v>198</v>
      </c>
      <c r="BW1234" t="s">
        <v>198</v>
      </c>
      <c r="BX1234" t="s">
        <v>199</v>
      </c>
      <c r="BY1234" t="s">
        <v>198</v>
      </c>
      <c r="BZ1234" t="s">
        <v>199</v>
      </c>
      <c r="CA1234" t="s">
        <v>199</v>
      </c>
      <c r="CB1234" t="s">
        <v>16042</v>
      </c>
      <c r="CC1234" t="s">
        <v>201</v>
      </c>
      <c r="CD1234" t="s">
        <v>202</v>
      </c>
      <c r="CE1234" t="s">
        <v>16043</v>
      </c>
      <c r="CF1234" t="s">
        <v>2333</v>
      </c>
      <c r="CG1234" t="s">
        <v>177</v>
      </c>
      <c r="CH1234" t="s">
        <v>3178</v>
      </c>
      <c r="CI1234" t="s">
        <v>16033</v>
      </c>
      <c r="CJ1234" t="s">
        <v>12114</v>
      </c>
      <c r="CK1234" t="s">
        <v>232</v>
      </c>
      <c r="CL1234" t="s">
        <v>233</v>
      </c>
      <c r="CM1234" t="s">
        <v>16044</v>
      </c>
      <c r="CN1234" t="s">
        <v>486</v>
      </c>
      <c r="CO1234" t="s">
        <v>183</v>
      </c>
      <c r="CP1234" t="s">
        <v>266</v>
      </c>
      <c r="CS1234" t="s">
        <v>198</v>
      </c>
      <c r="CT1234" t="s">
        <v>10320</v>
      </c>
      <c r="CU1234" t="s">
        <v>292</v>
      </c>
      <c r="CV1234" t="s">
        <v>293</v>
      </c>
      <c r="CW1234" t="s">
        <v>16045</v>
      </c>
      <c r="CX1234" t="s">
        <v>482</v>
      </c>
      <c r="CY1234" t="s">
        <v>5</v>
      </c>
      <c r="CZ1234" t="s">
        <v>266</v>
      </c>
      <c r="DC1234" t="s">
        <v>198</v>
      </c>
      <c r="DD1234" t="s">
        <v>12691</v>
      </c>
      <c r="DE1234" t="s">
        <v>267</v>
      </c>
      <c r="DF1234" t="s">
        <v>268</v>
      </c>
      <c r="DG1234" t="s">
        <v>16046</v>
      </c>
      <c r="DH1234" t="s">
        <v>482</v>
      </c>
      <c r="DI1234" t="s">
        <v>183</v>
      </c>
      <c r="DJ1234" t="s">
        <v>266</v>
      </c>
      <c r="DM1234" t="s">
        <v>198</v>
      </c>
      <c r="DN1234" t="s">
        <v>15135</v>
      </c>
      <c r="DO1234" t="s">
        <v>273</v>
      </c>
      <c r="DP1234" t="s">
        <v>274</v>
      </c>
      <c r="DQ1234" t="s">
        <v>16047</v>
      </c>
      <c r="DR1234" t="s">
        <v>511</v>
      </c>
      <c r="DS1234" t="s">
        <v>183</v>
      </c>
      <c r="DT1234" t="s">
        <v>266</v>
      </c>
      <c r="DW1234" t="s">
        <v>198</v>
      </c>
      <c r="DX1234" t="s">
        <v>14195</v>
      </c>
      <c r="DY1234" t="s">
        <v>302</v>
      </c>
      <c r="DZ1234" t="s">
        <v>303</v>
      </c>
      <c r="EA1234" t="s">
        <v>9044</v>
      </c>
      <c r="EB1234" t="s">
        <v>341</v>
      </c>
      <c r="EC1234" t="s">
        <v>183</v>
      </c>
      <c r="ED1234" t="s">
        <v>266</v>
      </c>
      <c r="EG1234" t="s">
        <v>198</v>
      </c>
      <c r="EH1234" t="s">
        <v>16048</v>
      </c>
      <c r="EI1234" t="s">
        <v>238</v>
      </c>
      <c r="EJ1234" t="s">
        <v>239</v>
      </c>
      <c r="EK1234" t="s">
        <v>13106</v>
      </c>
      <c r="EL1234" t="s">
        <v>387</v>
      </c>
      <c r="EM1234" t="s">
        <v>183</v>
      </c>
      <c r="EN1234" t="s">
        <v>266</v>
      </c>
      <c r="EQ1234" t="s">
        <v>198</v>
      </c>
      <c r="ER1234" t="s">
        <v>16049</v>
      </c>
      <c r="ES1234" t="s">
        <v>207</v>
      </c>
      <c r="ET1234" t="s">
        <v>208</v>
      </c>
      <c r="EU1234" t="s">
        <v>16050</v>
      </c>
      <c r="EV1234" t="s">
        <v>482</v>
      </c>
      <c r="EW1234" t="s">
        <v>183</v>
      </c>
      <c r="EX1234" t="s">
        <v>211</v>
      </c>
      <c r="EY1234" t="s">
        <v>290</v>
      </c>
      <c r="EZ1234" t="s">
        <v>271</v>
      </c>
      <c r="FA1234" t="s">
        <v>16051</v>
      </c>
      <c r="FK1234" t="s">
        <v>198</v>
      </c>
      <c r="FU1234" t="s">
        <v>198</v>
      </c>
    </row>
    <row r="1235" spans="1:177">
      <c r="A1235" s="1" t="str">
        <f>HYPERLINK("http://digipan.lumentumllc.com/apps/getLink/index.php?t=PropLink&amp;p=5247822","PL")</f>
        <v>PL</v>
      </c>
      <c r="B1235" s="1" t="str">
        <f>HYPERLINK("http://digipan.lumentumllc.com/apps/getLink/index.php?t=TaxLink&amp;p=5247822","TL")</f>
        <v>TL</v>
      </c>
      <c r="C1235" s="1" t="str">
        <f>HYPERLINK("http://digipan.lumentumllc.com/apps/getMap/index.php?p=5247822","Map")</f>
        <v>Map</v>
      </c>
      <c r="E1235" t="s">
        <v>177</v>
      </c>
      <c r="F1235" t="s">
        <v>178</v>
      </c>
      <c r="L1235" t="s">
        <v>16052</v>
      </c>
      <c r="N1235" t="s">
        <v>16052</v>
      </c>
      <c r="O1235" t="s">
        <v>16052</v>
      </c>
      <c r="P1235" t="s">
        <v>16053</v>
      </c>
      <c r="Q1235" t="s">
        <v>16052</v>
      </c>
      <c r="V1235">
        <v>1409</v>
      </c>
      <c r="W1235">
        <v>5</v>
      </c>
      <c r="X1235">
        <v>2017</v>
      </c>
      <c r="Y1235">
        <v>2018</v>
      </c>
      <c r="Z1235">
        <v>61.22</v>
      </c>
      <c r="AB1235" t="s">
        <v>181</v>
      </c>
      <c r="AC1235" t="s">
        <v>182</v>
      </c>
      <c r="AD1235" t="s">
        <v>1037</v>
      </c>
      <c r="AE1235">
        <v>1</v>
      </c>
      <c r="AF1235">
        <v>7</v>
      </c>
      <c r="AG1235" t="s">
        <v>418</v>
      </c>
      <c r="AH1235">
        <v>86</v>
      </c>
      <c r="AI1235">
        <v>56.59</v>
      </c>
      <c r="AJ1235">
        <v>10.039999999999999</v>
      </c>
      <c r="AK1235">
        <v>66.63</v>
      </c>
      <c r="AL1235">
        <v>1785</v>
      </c>
      <c r="AM1235">
        <v>1785</v>
      </c>
      <c r="AN1235">
        <v>0</v>
      </c>
      <c r="AO1235">
        <v>27</v>
      </c>
      <c r="AP1235">
        <v>2016</v>
      </c>
      <c r="AQ1235">
        <v>3.43</v>
      </c>
      <c r="AR1235">
        <v>3.73</v>
      </c>
      <c r="AS1235" t="s">
        <v>16054</v>
      </c>
      <c r="AT1235" t="s">
        <v>3210</v>
      </c>
      <c r="AU1235" t="s">
        <v>177</v>
      </c>
      <c r="AV1235" t="s">
        <v>2334</v>
      </c>
      <c r="AW1235" t="s">
        <v>182</v>
      </c>
      <c r="AX1235">
        <v>0</v>
      </c>
      <c r="AY1235" t="s">
        <v>312</v>
      </c>
      <c r="AZ1235" t="s">
        <v>199</v>
      </c>
      <c r="BA1235" t="s">
        <v>313</v>
      </c>
      <c r="BB1235" t="s">
        <v>191</v>
      </c>
      <c r="BC1235" t="s">
        <v>182</v>
      </c>
      <c r="BD1235" t="s">
        <v>182</v>
      </c>
      <c r="BE1235" t="s">
        <v>11821</v>
      </c>
      <c r="BF1235">
        <v>0</v>
      </c>
      <c r="BG1235">
        <v>0</v>
      </c>
      <c r="BH1235">
        <v>0</v>
      </c>
      <c r="BI1235" t="s">
        <v>199</v>
      </c>
      <c r="BJ1235" t="s">
        <v>315</v>
      </c>
      <c r="BL1235" t="s">
        <v>9116</v>
      </c>
      <c r="BM1235" t="s">
        <v>1779</v>
      </c>
      <c r="BN1235" t="s">
        <v>182</v>
      </c>
      <c r="BO1235" t="s">
        <v>16055</v>
      </c>
      <c r="BP1235" t="s">
        <v>2145</v>
      </c>
      <c r="BS1235" t="s">
        <v>16056</v>
      </c>
      <c r="BT1235" t="s">
        <v>198</v>
      </c>
      <c r="BU1235" t="s">
        <v>182</v>
      </c>
      <c r="BV1235" t="s">
        <v>198</v>
      </c>
      <c r="BW1235" t="s">
        <v>198</v>
      </c>
      <c r="BX1235" t="s">
        <v>199</v>
      </c>
      <c r="BY1235" t="s">
        <v>198</v>
      </c>
      <c r="BZ1235" t="s">
        <v>199</v>
      </c>
      <c r="CA1235" t="s">
        <v>199</v>
      </c>
      <c r="CB1235" t="s">
        <v>16057</v>
      </c>
      <c r="CC1235" t="s">
        <v>201</v>
      </c>
      <c r="CD1235" t="s">
        <v>202</v>
      </c>
      <c r="CE1235" t="s">
        <v>16058</v>
      </c>
      <c r="CF1235" t="s">
        <v>2333</v>
      </c>
      <c r="CG1235" t="s">
        <v>177</v>
      </c>
      <c r="CH1235" t="s">
        <v>3178</v>
      </c>
      <c r="CI1235" t="s">
        <v>16033</v>
      </c>
      <c r="CJ1235" t="s">
        <v>14617</v>
      </c>
      <c r="CK1235" t="s">
        <v>232</v>
      </c>
      <c r="CL1235" t="s">
        <v>233</v>
      </c>
      <c r="CM1235" t="s">
        <v>16059</v>
      </c>
      <c r="CN1235" t="s">
        <v>486</v>
      </c>
      <c r="CO1235" t="s">
        <v>183</v>
      </c>
      <c r="CP1235" t="s">
        <v>266</v>
      </c>
      <c r="CS1235" t="s">
        <v>198</v>
      </c>
      <c r="CT1235" t="s">
        <v>12483</v>
      </c>
      <c r="CU1235" t="s">
        <v>292</v>
      </c>
      <c r="CV1235" t="s">
        <v>293</v>
      </c>
      <c r="CW1235" t="s">
        <v>16060</v>
      </c>
      <c r="CX1235" t="s">
        <v>482</v>
      </c>
      <c r="CY1235" t="s">
        <v>5</v>
      </c>
      <c r="CZ1235" t="s">
        <v>211</v>
      </c>
      <c r="DA1235" t="s">
        <v>206</v>
      </c>
      <c r="DC1235" t="s">
        <v>16061</v>
      </c>
      <c r="DD1235" t="s">
        <v>12706</v>
      </c>
      <c r="DE1235" t="s">
        <v>267</v>
      </c>
      <c r="DF1235" t="s">
        <v>268</v>
      </c>
      <c r="DG1235" t="s">
        <v>16062</v>
      </c>
      <c r="DH1235" t="s">
        <v>482</v>
      </c>
      <c r="DI1235" t="s">
        <v>5</v>
      </c>
      <c r="DJ1235" t="s">
        <v>211</v>
      </c>
      <c r="DK1235" t="s">
        <v>306</v>
      </c>
      <c r="DM1235" t="s">
        <v>16061</v>
      </c>
      <c r="DN1235" t="s">
        <v>16063</v>
      </c>
      <c r="DO1235" t="s">
        <v>273</v>
      </c>
      <c r="DP1235" t="s">
        <v>274</v>
      </c>
      <c r="DQ1235" t="s">
        <v>16064</v>
      </c>
      <c r="DR1235" t="s">
        <v>482</v>
      </c>
      <c r="DS1235" t="s">
        <v>5</v>
      </c>
      <c r="DT1235" t="s">
        <v>211</v>
      </c>
      <c r="DU1235" t="s">
        <v>808</v>
      </c>
      <c r="DW1235" t="s">
        <v>16061</v>
      </c>
      <c r="DX1235" t="s">
        <v>14204</v>
      </c>
      <c r="DY1235" t="s">
        <v>302</v>
      </c>
      <c r="DZ1235" t="s">
        <v>303</v>
      </c>
      <c r="EA1235" t="s">
        <v>16065</v>
      </c>
      <c r="EB1235" t="s">
        <v>1615</v>
      </c>
      <c r="EC1235" t="s">
        <v>183</v>
      </c>
      <c r="ED1235" t="s">
        <v>211</v>
      </c>
      <c r="EE1235" t="s">
        <v>1089</v>
      </c>
      <c r="EG1235" t="s">
        <v>16061</v>
      </c>
      <c r="EH1235" t="s">
        <v>16066</v>
      </c>
      <c r="EI1235" t="s">
        <v>238</v>
      </c>
      <c r="EJ1235" t="s">
        <v>239</v>
      </c>
      <c r="EK1235" t="s">
        <v>16067</v>
      </c>
      <c r="EL1235" t="s">
        <v>482</v>
      </c>
      <c r="EM1235" t="s">
        <v>183</v>
      </c>
      <c r="EN1235" t="s">
        <v>211</v>
      </c>
      <c r="EO1235" t="s">
        <v>671</v>
      </c>
      <c r="EQ1235" t="s">
        <v>16061</v>
      </c>
      <c r="ER1235" t="s">
        <v>16068</v>
      </c>
      <c r="ES1235" t="s">
        <v>346</v>
      </c>
      <c r="ET1235" t="s">
        <v>347</v>
      </c>
      <c r="EU1235" t="s">
        <v>16069</v>
      </c>
      <c r="EV1235" t="s">
        <v>1491</v>
      </c>
      <c r="EW1235" t="s">
        <v>183</v>
      </c>
      <c r="EX1235" t="s">
        <v>211</v>
      </c>
      <c r="EY1235" t="s">
        <v>1317</v>
      </c>
      <c r="FA1235" t="s">
        <v>16061</v>
      </c>
      <c r="FB1235" t="s">
        <v>16070</v>
      </c>
      <c r="FC1235" t="s">
        <v>207</v>
      </c>
      <c r="FD1235" t="s">
        <v>208</v>
      </c>
      <c r="FE1235" t="s">
        <v>16071</v>
      </c>
      <c r="FF1235" t="s">
        <v>235</v>
      </c>
      <c r="FG1235" t="s">
        <v>183</v>
      </c>
      <c r="FH1235" t="s">
        <v>211</v>
      </c>
      <c r="FI1235" t="s">
        <v>1480</v>
      </c>
      <c r="FK1235" t="s">
        <v>16061</v>
      </c>
      <c r="FU1235" t="s">
        <v>198</v>
      </c>
    </row>
    <row r="1236" spans="1:177">
      <c r="A1236" s="1" t="str">
        <f>HYPERLINK("http://digipan.lumentumllc.com/apps/getLink/index.php?t=PropLink&amp;p=5247825","PL")</f>
        <v>PL</v>
      </c>
      <c r="B1236" s="1" t="str">
        <f>HYPERLINK("http://digipan.lumentumllc.com/apps/getLink/index.php?t=TaxLink&amp;p=5247825","TL")</f>
        <v>TL</v>
      </c>
      <c r="C1236" s="1" t="str">
        <f>HYPERLINK("http://digipan.lumentumllc.com/apps/getMap/index.php?p=5247825","Map")</f>
        <v>Map</v>
      </c>
      <c r="E1236" t="s">
        <v>177</v>
      </c>
      <c r="F1236" t="s">
        <v>178</v>
      </c>
      <c r="L1236" t="s">
        <v>16072</v>
      </c>
      <c r="N1236" t="s">
        <v>16072</v>
      </c>
      <c r="O1236" t="s">
        <v>16072</v>
      </c>
      <c r="P1236" t="s">
        <v>16073</v>
      </c>
      <c r="Q1236" t="s">
        <v>16072</v>
      </c>
      <c r="V1236">
        <v>1410</v>
      </c>
      <c r="W1236">
        <v>5</v>
      </c>
      <c r="X1236">
        <v>2017</v>
      </c>
      <c r="Y1236">
        <v>2018</v>
      </c>
      <c r="Z1236">
        <v>352.39</v>
      </c>
      <c r="AB1236" t="s">
        <v>181</v>
      </c>
      <c r="AC1236" t="s">
        <v>182</v>
      </c>
      <c r="AD1236" t="s">
        <v>183</v>
      </c>
      <c r="AE1236">
        <v>2</v>
      </c>
      <c r="AF1236">
        <v>2</v>
      </c>
      <c r="AG1236" t="s">
        <v>762</v>
      </c>
      <c r="AH1236">
        <v>50</v>
      </c>
      <c r="AI1236">
        <v>645.69000000000005</v>
      </c>
      <c r="AJ1236">
        <v>37.119999999999997</v>
      </c>
      <c r="AK1236">
        <v>682.81</v>
      </c>
      <c r="AL1236">
        <v>19583</v>
      </c>
      <c r="AM1236">
        <v>10000</v>
      </c>
      <c r="AN1236">
        <v>9583</v>
      </c>
      <c r="AO1236">
        <v>273</v>
      </c>
      <c r="AP1236">
        <v>2016</v>
      </c>
      <c r="AQ1236">
        <v>1.8</v>
      </c>
      <c r="AR1236">
        <v>3.49</v>
      </c>
      <c r="AS1236" t="s">
        <v>16074</v>
      </c>
      <c r="AT1236" t="s">
        <v>3210</v>
      </c>
      <c r="AU1236" t="s">
        <v>177</v>
      </c>
      <c r="AV1236" t="s">
        <v>2334</v>
      </c>
      <c r="AW1236" t="s">
        <v>182</v>
      </c>
      <c r="AX1236">
        <v>2</v>
      </c>
      <c r="AY1236" t="s">
        <v>188</v>
      </c>
      <c r="AZ1236" t="s">
        <v>189</v>
      </c>
      <c r="BA1236" t="s">
        <v>190</v>
      </c>
      <c r="BB1236" t="s">
        <v>191</v>
      </c>
      <c r="BC1236" t="s">
        <v>182</v>
      </c>
      <c r="BD1236" t="s">
        <v>182</v>
      </c>
      <c r="BE1236" t="s">
        <v>11279</v>
      </c>
      <c r="BF1236">
        <v>1</v>
      </c>
      <c r="BG1236">
        <v>1</v>
      </c>
      <c r="BH1236">
        <v>1980</v>
      </c>
      <c r="BI1236" t="s">
        <v>4471</v>
      </c>
      <c r="BJ1236" t="s">
        <v>285</v>
      </c>
      <c r="BK1236" t="s">
        <v>195</v>
      </c>
      <c r="BL1236" t="s">
        <v>199</v>
      </c>
      <c r="BM1236" t="s">
        <v>3957</v>
      </c>
      <c r="BN1236" t="s">
        <v>182</v>
      </c>
      <c r="BO1236" t="s">
        <v>198</v>
      </c>
      <c r="BP1236" t="s">
        <v>198</v>
      </c>
      <c r="BQ1236" t="s">
        <v>198</v>
      </c>
      <c r="BR1236" t="s">
        <v>198</v>
      </c>
      <c r="BS1236" t="s">
        <v>198</v>
      </c>
      <c r="BT1236" t="s">
        <v>198</v>
      </c>
      <c r="BU1236" t="s">
        <v>182</v>
      </c>
      <c r="BV1236" t="s">
        <v>198</v>
      </c>
      <c r="BW1236" t="s">
        <v>198</v>
      </c>
      <c r="BX1236" t="s">
        <v>199</v>
      </c>
      <c r="BY1236" t="s">
        <v>198</v>
      </c>
      <c r="BZ1236" t="s">
        <v>199</v>
      </c>
      <c r="CA1236" t="s">
        <v>199</v>
      </c>
      <c r="CB1236" t="s">
        <v>16075</v>
      </c>
      <c r="CC1236" t="s">
        <v>201</v>
      </c>
      <c r="CD1236" t="s">
        <v>182</v>
      </c>
      <c r="CE1236" t="s">
        <v>12156</v>
      </c>
      <c r="CF1236" t="s">
        <v>2333</v>
      </c>
      <c r="CG1236" t="s">
        <v>177</v>
      </c>
      <c r="CH1236" t="s">
        <v>3178</v>
      </c>
      <c r="CI1236" t="s">
        <v>16076</v>
      </c>
      <c r="CJ1236" t="s">
        <v>3924</v>
      </c>
      <c r="CK1236" t="s">
        <v>232</v>
      </c>
      <c r="CL1236" t="s">
        <v>233</v>
      </c>
      <c r="CM1236" t="s">
        <v>16077</v>
      </c>
      <c r="CN1236" t="s">
        <v>688</v>
      </c>
      <c r="CO1236" t="s">
        <v>183</v>
      </c>
      <c r="CP1236" t="s">
        <v>266</v>
      </c>
      <c r="CS1236" t="s">
        <v>198</v>
      </c>
      <c r="CT1236" t="s">
        <v>1766</v>
      </c>
      <c r="CU1236" t="s">
        <v>292</v>
      </c>
      <c r="CV1236" t="s">
        <v>293</v>
      </c>
      <c r="CW1236" t="s">
        <v>16078</v>
      </c>
      <c r="CX1236" t="s">
        <v>235</v>
      </c>
      <c r="CY1236" t="s">
        <v>183</v>
      </c>
      <c r="CZ1236" t="s">
        <v>266</v>
      </c>
      <c r="DC1236" t="s">
        <v>198</v>
      </c>
      <c r="DD1236" t="s">
        <v>12735</v>
      </c>
      <c r="DE1236" t="s">
        <v>267</v>
      </c>
      <c r="DF1236" t="s">
        <v>268</v>
      </c>
      <c r="DG1236" t="s">
        <v>16079</v>
      </c>
      <c r="DH1236" t="s">
        <v>389</v>
      </c>
      <c r="DI1236" t="s">
        <v>183</v>
      </c>
      <c r="DJ1236" t="s">
        <v>211</v>
      </c>
      <c r="DK1236" t="s">
        <v>345</v>
      </c>
      <c r="DM1236" t="s">
        <v>2917</v>
      </c>
      <c r="DN1236" t="s">
        <v>517</v>
      </c>
      <c r="DO1236" t="s">
        <v>273</v>
      </c>
      <c r="DP1236" t="s">
        <v>274</v>
      </c>
      <c r="DQ1236" t="s">
        <v>16080</v>
      </c>
      <c r="DR1236" t="s">
        <v>235</v>
      </c>
      <c r="DS1236" t="s">
        <v>183</v>
      </c>
      <c r="DT1236" t="s">
        <v>211</v>
      </c>
      <c r="DU1236" t="s">
        <v>298</v>
      </c>
      <c r="DW1236" t="s">
        <v>1069</v>
      </c>
      <c r="EG1236" t="s">
        <v>198</v>
      </c>
      <c r="EQ1236" t="s">
        <v>198</v>
      </c>
      <c r="FA1236" t="s">
        <v>198</v>
      </c>
      <c r="FK1236" t="s">
        <v>198</v>
      </c>
      <c r="FU1236" t="s">
        <v>198</v>
      </c>
    </row>
    <row r="1237" spans="1:177">
      <c r="A1237" s="1" t="str">
        <f>HYPERLINK("http://digipan.lumentumllc.com/apps/getLink/index.php?t=PropLink&amp;p=5247830","PL")</f>
        <v>PL</v>
      </c>
      <c r="B1237" s="1" t="str">
        <f>HYPERLINK("http://digipan.lumentumllc.com/apps/getLink/index.php?t=TaxLink&amp;p=5247830","TL")</f>
        <v>TL</v>
      </c>
      <c r="C1237" s="1" t="str">
        <f>HYPERLINK("http://digipan.lumentumllc.com/apps/getMap/index.php?p=5247830","Map")</f>
        <v>Map</v>
      </c>
      <c r="E1237" t="s">
        <v>177</v>
      </c>
      <c r="F1237" t="s">
        <v>178</v>
      </c>
      <c r="L1237" t="s">
        <v>16081</v>
      </c>
      <c r="N1237" t="s">
        <v>16081</v>
      </c>
      <c r="O1237" t="s">
        <v>16081</v>
      </c>
      <c r="P1237" t="s">
        <v>16082</v>
      </c>
      <c r="Q1237" t="s">
        <v>16081</v>
      </c>
      <c r="V1237">
        <v>1413</v>
      </c>
      <c r="W1237">
        <v>5</v>
      </c>
      <c r="X1237">
        <v>2017</v>
      </c>
      <c r="Y1237">
        <v>2018</v>
      </c>
      <c r="Z1237">
        <v>1294.52</v>
      </c>
      <c r="AB1237" t="s">
        <v>181</v>
      </c>
      <c r="AC1237" t="s">
        <v>202</v>
      </c>
      <c r="AD1237" t="s">
        <v>183</v>
      </c>
      <c r="AE1237">
        <v>1</v>
      </c>
      <c r="AF1237">
        <v>6</v>
      </c>
      <c r="AG1237" t="s">
        <v>322</v>
      </c>
      <c r="AH1237">
        <v>83</v>
      </c>
      <c r="AI1237">
        <v>1294.68</v>
      </c>
      <c r="AJ1237">
        <v>64.73</v>
      </c>
      <c r="AK1237">
        <v>1359.41</v>
      </c>
      <c r="AL1237">
        <v>77111</v>
      </c>
      <c r="AM1237">
        <v>46500</v>
      </c>
      <c r="AN1237">
        <v>30611</v>
      </c>
      <c r="AO1237">
        <v>1172</v>
      </c>
      <c r="AP1237">
        <v>2016</v>
      </c>
      <c r="AQ1237">
        <v>1.68</v>
      </c>
      <c r="AR1237">
        <v>1.76</v>
      </c>
      <c r="AS1237" t="s">
        <v>16083</v>
      </c>
      <c r="AT1237" t="s">
        <v>3210</v>
      </c>
      <c r="AU1237" t="s">
        <v>177</v>
      </c>
      <c r="AV1237" t="s">
        <v>2334</v>
      </c>
      <c r="AW1237" t="s">
        <v>182</v>
      </c>
      <c r="AX1237">
        <v>11</v>
      </c>
      <c r="AY1237" t="s">
        <v>3641</v>
      </c>
      <c r="AZ1237" t="s">
        <v>212</v>
      </c>
      <c r="BA1237" t="s">
        <v>5959</v>
      </c>
      <c r="BB1237" t="s">
        <v>9158</v>
      </c>
      <c r="BC1237" t="s">
        <v>182</v>
      </c>
      <c r="BD1237" t="s">
        <v>182</v>
      </c>
      <c r="BE1237" t="s">
        <v>4230</v>
      </c>
      <c r="BF1237">
        <v>1</v>
      </c>
      <c r="BG1237">
        <v>0</v>
      </c>
      <c r="BH1237">
        <v>1958</v>
      </c>
      <c r="BI1237" t="s">
        <v>3593</v>
      </c>
      <c r="BJ1237" t="s">
        <v>285</v>
      </c>
      <c r="BK1237" t="s">
        <v>840</v>
      </c>
      <c r="BL1237" t="s">
        <v>16084</v>
      </c>
      <c r="BM1237" t="s">
        <v>501</v>
      </c>
      <c r="BN1237" t="s">
        <v>182</v>
      </c>
      <c r="BO1237" t="s">
        <v>8618</v>
      </c>
      <c r="BP1237" t="s">
        <v>16085</v>
      </c>
      <c r="BQ1237" t="s">
        <v>5784</v>
      </c>
      <c r="BS1237" t="s">
        <v>16086</v>
      </c>
      <c r="BT1237" t="s">
        <v>198</v>
      </c>
      <c r="BU1237" t="s">
        <v>182</v>
      </c>
      <c r="BV1237" t="s">
        <v>198</v>
      </c>
      <c r="BW1237" t="s">
        <v>198</v>
      </c>
      <c r="BX1237" t="s">
        <v>199</v>
      </c>
      <c r="BY1237" t="s">
        <v>198</v>
      </c>
      <c r="BZ1237" t="s">
        <v>199</v>
      </c>
      <c r="CA1237" t="s">
        <v>199</v>
      </c>
      <c r="CB1237" t="s">
        <v>16087</v>
      </c>
      <c r="CC1237" t="s">
        <v>201</v>
      </c>
      <c r="CD1237" t="s">
        <v>182</v>
      </c>
      <c r="CE1237" t="s">
        <v>5901</v>
      </c>
      <c r="CF1237" t="s">
        <v>2333</v>
      </c>
      <c r="CG1237" t="s">
        <v>177</v>
      </c>
      <c r="CH1237" t="s">
        <v>3178</v>
      </c>
      <c r="CI1237" t="s">
        <v>16088</v>
      </c>
      <c r="CJ1237" t="s">
        <v>14665</v>
      </c>
      <c r="CK1237" t="s">
        <v>232</v>
      </c>
      <c r="CL1237" t="s">
        <v>233</v>
      </c>
      <c r="CM1237" t="s">
        <v>16089</v>
      </c>
      <c r="CN1237" t="s">
        <v>235</v>
      </c>
      <c r="CO1237" t="s">
        <v>183</v>
      </c>
      <c r="CP1237" t="s">
        <v>266</v>
      </c>
      <c r="CS1237" t="s">
        <v>198</v>
      </c>
      <c r="CT1237" t="s">
        <v>11663</v>
      </c>
      <c r="CU1237" t="s">
        <v>267</v>
      </c>
      <c r="CV1237" t="s">
        <v>268</v>
      </c>
      <c r="CW1237" t="s">
        <v>16090</v>
      </c>
      <c r="CX1237" t="s">
        <v>331</v>
      </c>
      <c r="CY1237" t="s">
        <v>183</v>
      </c>
      <c r="CZ1237" t="s">
        <v>211</v>
      </c>
      <c r="DA1237" t="s">
        <v>264</v>
      </c>
      <c r="DB1237" t="s">
        <v>271</v>
      </c>
      <c r="DC1237" t="s">
        <v>6043</v>
      </c>
      <c r="DD1237" t="s">
        <v>2615</v>
      </c>
      <c r="DE1237" t="s">
        <v>273</v>
      </c>
      <c r="DF1237" t="s">
        <v>274</v>
      </c>
      <c r="DG1237" t="s">
        <v>16091</v>
      </c>
      <c r="DH1237" t="s">
        <v>235</v>
      </c>
      <c r="DI1237" t="s">
        <v>183</v>
      </c>
      <c r="DJ1237" t="s">
        <v>211</v>
      </c>
      <c r="DK1237" t="s">
        <v>471</v>
      </c>
      <c r="DL1237" t="s">
        <v>271</v>
      </c>
      <c r="DM1237" t="s">
        <v>6043</v>
      </c>
      <c r="DN1237" t="s">
        <v>11154</v>
      </c>
      <c r="DO1237" t="s">
        <v>302</v>
      </c>
      <c r="DP1237" t="s">
        <v>303</v>
      </c>
      <c r="DQ1237" t="s">
        <v>16092</v>
      </c>
      <c r="DR1237" t="s">
        <v>235</v>
      </c>
      <c r="DS1237" t="s">
        <v>183</v>
      </c>
      <c r="DT1237" t="s">
        <v>211</v>
      </c>
      <c r="DV1237" t="s">
        <v>271</v>
      </c>
      <c r="DW1237" t="s">
        <v>198</v>
      </c>
      <c r="DX1237" t="s">
        <v>9719</v>
      </c>
      <c r="DY1237" t="s">
        <v>238</v>
      </c>
      <c r="DZ1237" t="s">
        <v>239</v>
      </c>
      <c r="EA1237" t="s">
        <v>16093</v>
      </c>
      <c r="EB1237" t="s">
        <v>331</v>
      </c>
      <c r="EC1237" t="s">
        <v>183</v>
      </c>
      <c r="ED1237" t="s">
        <v>211</v>
      </c>
      <c r="EE1237" t="s">
        <v>298</v>
      </c>
      <c r="EG1237" t="s">
        <v>467</v>
      </c>
      <c r="EH1237" t="s">
        <v>15570</v>
      </c>
      <c r="EI1237" t="s">
        <v>346</v>
      </c>
      <c r="EJ1237" t="s">
        <v>347</v>
      </c>
      <c r="EK1237" t="s">
        <v>16094</v>
      </c>
      <c r="EL1237" t="s">
        <v>247</v>
      </c>
      <c r="EM1237" t="s">
        <v>183</v>
      </c>
      <c r="EN1237" t="s">
        <v>211</v>
      </c>
      <c r="EO1237" t="s">
        <v>345</v>
      </c>
      <c r="EQ1237" t="s">
        <v>3391</v>
      </c>
      <c r="ER1237" t="s">
        <v>16095</v>
      </c>
      <c r="ES1237" t="s">
        <v>207</v>
      </c>
      <c r="ET1237" t="s">
        <v>208</v>
      </c>
      <c r="EU1237" t="s">
        <v>16096</v>
      </c>
      <c r="EV1237" t="s">
        <v>1966</v>
      </c>
      <c r="EW1237" t="s">
        <v>183</v>
      </c>
      <c r="EX1237" t="s">
        <v>211</v>
      </c>
      <c r="EY1237" t="s">
        <v>296</v>
      </c>
      <c r="FA1237" t="s">
        <v>9836</v>
      </c>
      <c r="FK1237" t="s">
        <v>198</v>
      </c>
      <c r="FU1237" t="s">
        <v>198</v>
      </c>
    </row>
    <row r="1238" spans="1:177">
      <c r="A1238" s="1" t="str">
        <f>HYPERLINK("http://digipan.lumentumllc.com/apps/getLink/index.php?t=PropLink&amp;p=15758676","PL")</f>
        <v>PL</v>
      </c>
      <c r="B1238" s="1" t="str">
        <f>HYPERLINK("http://digipan.lumentumllc.com/apps/getLink/index.php?t=TaxLink&amp;p=15758676","TL")</f>
        <v>TL</v>
      </c>
      <c r="C1238" s="1" t="str">
        <f>HYPERLINK("http://digipan.lumentumllc.com/apps/getMap/index.php?p=15758676","Map")</f>
        <v>Map</v>
      </c>
      <c r="E1238" t="s">
        <v>177</v>
      </c>
      <c r="F1238" t="s">
        <v>178</v>
      </c>
      <c r="L1238" t="s">
        <v>16097</v>
      </c>
      <c r="N1238" t="s">
        <v>16097</v>
      </c>
      <c r="O1238" t="s">
        <v>16097</v>
      </c>
      <c r="Q1238" t="s">
        <v>16097</v>
      </c>
      <c r="V1238">
        <v>1414</v>
      </c>
      <c r="W1238">
        <v>5</v>
      </c>
      <c r="X1238">
        <v>2017</v>
      </c>
      <c r="Y1238">
        <v>2018</v>
      </c>
      <c r="Z1238">
        <v>1759.64</v>
      </c>
      <c r="AG1238" t="s">
        <v>184</v>
      </c>
      <c r="AH1238">
        <v>0</v>
      </c>
      <c r="AK1238">
        <v>0</v>
      </c>
      <c r="AL1238">
        <v>105520</v>
      </c>
      <c r="AM1238">
        <v>98020</v>
      </c>
      <c r="AN1238">
        <v>7500</v>
      </c>
      <c r="AO1238">
        <v>1581</v>
      </c>
      <c r="AP1238">
        <v>2016</v>
      </c>
      <c r="AQ1238">
        <v>1.67</v>
      </c>
      <c r="AS1238" t="s">
        <v>16098</v>
      </c>
      <c r="AT1238" t="s">
        <v>3210</v>
      </c>
      <c r="AU1238" t="s">
        <v>177</v>
      </c>
      <c r="AV1238" t="s">
        <v>2334</v>
      </c>
      <c r="AW1238" t="s">
        <v>182</v>
      </c>
      <c r="AX1238">
        <v>0</v>
      </c>
      <c r="AY1238" t="s">
        <v>312</v>
      </c>
      <c r="AZ1238" t="s">
        <v>199</v>
      </c>
      <c r="BA1238" t="s">
        <v>313</v>
      </c>
      <c r="BB1238" t="s">
        <v>191</v>
      </c>
      <c r="BC1238" t="s">
        <v>182</v>
      </c>
      <c r="BD1238" t="s">
        <v>182</v>
      </c>
      <c r="BE1238" t="s">
        <v>2938</v>
      </c>
      <c r="BF1238">
        <v>0</v>
      </c>
      <c r="BG1238">
        <v>0</v>
      </c>
      <c r="BH1238">
        <v>0</v>
      </c>
      <c r="BI1238" t="s">
        <v>199</v>
      </c>
      <c r="BJ1238" t="s">
        <v>248</v>
      </c>
      <c r="BK1238" t="s">
        <v>2350</v>
      </c>
      <c r="BL1238" t="s">
        <v>199</v>
      </c>
      <c r="BM1238" t="s">
        <v>679</v>
      </c>
      <c r="BN1238" t="s">
        <v>182</v>
      </c>
      <c r="BO1238" t="s">
        <v>198</v>
      </c>
      <c r="BP1238" t="s">
        <v>198</v>
      </c>
      <c r="BQ1238" t="s">
        <v>198</v>
      </c>
      <c r="BR1238" t="s">
        <v>198</v>
      </c>
      <c r="BS1238" t="s">
        <v>198</v>
      </c>
      <c r="BT1238" t="s">
        <v>198</v>
      </c>
      <c r="BU1238" t="s">
        <v>182</v>
      </c>
      <c r="BV1238" t="s">
        <v>198</v>
      </c>
      <c r="BW1238" t="s">
        <v>198</v>
      </c>
      <c r="BX1238" t="s">
        <v>199</v>
      </c>
      <c r="BY1238" t="s">
        <v>198</v>
      </c>
      <c r="BZ1238" t="s">
        <v>199</v>
      </c>
      <c r="CA1238" t="s">
        <v>199</v>
      </c>
      <c r="CB1238" t="s">
        <v>16099</v>
      </c>
      <c r="CC1238" t="s">
        <v>201</v>
      </c>
      <c r="CD1238" t="s">
        <v>202</v>
      </c>
      <c r="CE1238" t="s">
        <v>16100</v>
      </c>
      <c r="CF1238" t="s">
        <v>2333</v>
      </c>
      <c r="CG1238" t="s">
        <v>177</v>
      </c>
      <c r="CH1238" t="s">
        <v>2334</v>
      </c>
      <c r="CI1238" t="s">
        <v>16101</v>
      </c>
      <c r="CS1238" t="s">
        <v>198</v>
      </c>
      <c r="DC1238" t="s">
        <v>198</v>
      </c>
      <c r="DM1238" t="s">
        <v>198</v>
      </c>
      <c r="DW1238" t="s">
        <v>198</v>
      </c>
      <c r="EG1238" t="s">
        <v>198</v>
      </c>
      <c r="EQ1238" t="s">
        <v>198</v>
      </c>
      <c r="FA1238" t="s">
        <v>198</v>
      </c>
      <c r="FK1238" t="s">
        <v>198</v>
      </c>
      <c r="FU1238" t="s">
        <v>198</v>
      </c>
    </row>
    <row r="1239" spans="1:177">
      <c r="A1239" s="1" t="str">
        <f>HYPERLINK("http://digipan.lumentumllc.com/apps/getLink/index.php?t=PropLink&amp;p=7112571","PL")</f>
        <v>PL</v>
      </c>
      <c r="B1239" s="1" t="str">
        <f>HYPERLINK("http://digipan.lumentumllc.com/apps/getLink/index.php?t=TaxLink&amp;p=7112571","TL")</f>
        <v>TL</v>
      </c>
      <c r="C1239" s="1" t="str">
        <f>HYPERLINK("http://digipan.lumentumllc.com/apps/getMap/index.php?p=7112571","Map")</f>
        <v>Map</v>
      </c>
      <c r="E1239" t="s">
        <v>177</v>
      </c>
      <c r="F1239" t="s">
        <v>178</v>
      </c>
      <c r="L1239" t="s">
        <v>16102</v>
      </c>
      <c r="N1239" t="s">
        <v>16102</v>
      </c>
      <c r="O1239" t="s">
        <v>16102</v>
      </c>
      <c r="P1239" t="s">
        <v>16103</v>
      </c>
      <c r="Q1239" t="s">
        <v>16102</v>
      </c>
      <c r="V1239">
        <v>1415</v>
      </c>
      <c r="W1239">
        <v>5</v>
      </c>
      <c r="X1239">
        <v>2017</v>
      </c>
      <c r="Y1239">
        <v>2018</v>
      </c>
      <c r="Z1239">
        <v>3507.27</v>
      </c>
      <c r="AG1239" t="s">
        <v>184</v>
      </c>
      <c r="AH1239">
        <v>0</v>
      </c>
      <c r="AK1239">
        <v>0</v>
      </c>
      <c r="AL1239">
        <v>212261</v>
      </c>
      <c r="AM1239">
        <v>146250</v>
      </c>
      <c r="AN1239">
        <v>66011</v>
      </c>
      <c r="AO1239">
        <v>3221</v>
      </c>
      <c r="AP1239">
        <v>2016</v>
      </c>
      <c r="AQ1239">
        <v>1.65</v>
      </c>
      <c r="AS1239" t="s">
        <v>16104</v>
      </c>
      <c r="AT1239" t="s">
        <v>3210</v>
      </c>
      <c r="AU1239" t="s">
        <v>177</v>
      </c>
      <c r="AV1239" t="s">
        <v>2334</v>
      </c>
      <c r="AW1239" t="s">
        <v>182</v>
      </c>
      <c r="AX1239">
        <v>1</v>
      </c>
      <c r="AY1239" t="s">
        <v>188</v>
      </c>
      <c r="AZ1239" t="s">
        <v>206</v>
      </c>
      <c r="BA1239" t="s">
        <v>355</v>
      </c>
      <c r="BB1239" t="s">
        <v>191</v>
      </c>
      <c r="BC1239" t="s">
        <v>182</v>
      </c>
      <c r="BD1239" t="s">
        <v>182</v>
      </c>
      <c r="BE1239" t="s">
        <v>796</v>
      </c>
      <c r="BF1239">
        <v>2</v>
      </c>
      <c r="BG1239">
        <v>2</v>
      </c>
      <c r="BH1239">
        <v>1955</v>
      </c>
      <c r="BI1239" t="s">
        <v>16105</v>
      </c>
      <c r="BJ1239" t="s">
        <v>194</v>
      </c>
      <c r="BK1239" t="s">
        <v>195</v>
      </c>
      <c r="BL1239" t="s">
        <v>199</v>
      </c>
      <c r="BM1239" t="s">
        <v>292</v>
      </c>
      <c r="BN1239" t="s">
        <v>182</v>
      </c>
      <c r="BO1239" t="s">
        <v>198</v>
      </c>
      <c r="BP1239" t="s">
        <v>198</v>
      </c>
      <c r="BQ1239" t="s">
        <v>198</v>
      </c>
      <c r="BR1239" t="s">
        <v>198</v>
      </c>
      <c r="BS1239" t="s">
        <v>198</v>
      </c>
      <c r="BT1239" t="s">
        <v>198</v>
      </c>
      <c r="BU1239" t="s">
        <v>182</v>
      </c>
      <c r="BV1239" t="s">
        <v>198</v>
      </c>
      <c r="BW1239" t="s">
        <v>198</v>
      </c>
      <c r="BX1239" t="s">
        <v>199</v>
      </c>
      <c r="BY1239" t="s">
        <v>198</v>
      </c>
      <c r="BZ1239" t="s">
        <v>199</v>
      </c>
      <c r="CA1239" t="s">
        <v>199</v>
      </c>
      <c r="CB1239" t="s">
        <v>16106</v>
      </c>
      <c r="CC1239" t="s">
        <v>1407</v>
      </c>
      <c r="CD1239" t="s">
        <v>202</v>
      </c>
      <c r="CE1239" t="s">
        <v>16107</v>
      </c>
      <c r="CF1239" t="s">
        <v>2333</v>
      </c>
      <c r="CG1239" t="s">
        <v>177</v>
      </c>
      <c r="CH1239" t="s">
        <v>2334</v>
      </c>
      <c r="CI1239" t="s">
        <v>16108</v>
      </c>
      <c r="CS1239" t="s">
        <v>198</v>
      </c>
      <c r="DC1239" t="s">
        <v>198</v>
      </c>
      <c r="DM1239" t="s">
        <v>198</v>
      </c>
      <c r="DW1239" t="s">
        <v>198</v>
      </c>
      <c r="EG1239" t="s">
        <v>198</v>
      </c>
      <c r="EQ1239" t="s">
        <v>198</v>
      </c>
      <c r="FA1239" t="s">
        <v>198</v>
      </c>
      <c r="FK1239" t="s">
        <v>198</v>
      </c>
      <c r="FU1239" t="s">
        <v>198</v>
      </c>
    </row>
    <row r="1240" spans="1:177">
      <c r="A1240" s="1" t="str">
        <f>HYPERLINK("http://digipan.lumentumllc.com/apps/getLink/index.php?t=PropLink&amp;p=15758687","PL")</f>
        <v>PL</v>
      </c>
      <c r="B1240" s="1" t="str">
        <f>HYPERLINK("http://digipan.lumentumllc.com/apps/getLink/index.php?t=TaxLink&amp;p=15758687","TL")</f>
        <v>TL</v>
      </c>
      <c r="C1240" s="1" t="str">
        <f>HYPERLINK("http://digipan.lumentumllc.com/apps/getMap/index.php?p=15758687","Map")</f>
        <v>Map</v>
      </c>
      <c r="E1240" t="s">
        <v>177</v>
      </c>
      <c r="F1240" t="s">
        <v>178</v>
      </c>
      <c r="L1240" t="s">
        <v>16109</v>
      </c>
      <c r="N1240" t="s">
        <v>16109</v>
      </c>
      <c r="O1240" t="s">
        <v>16109</v>
      </c>
      <c r="Q1240" t="s">
        <v>16109</v>
      </c>
      <c r="V1240">
        <v>1416</v>
      </c>
      <c r="W1240">
        <v>5</v>
      </c>
      <c r="X1240">
        <v>2017</v>
      </c>
      <c r="Y1240">
        <v>2018</v>
      </c>
      <c r="Z1240">
        <v>1147.32</v>
      </c>
      <c r="AG1240" t="s">
        <v>184</v>
      </c>
      <c r="AH1240">
        <v>0</v>
      </c>
      <c r="AK1240">
        <v>0</v>
      </c>
      <c r="AL1240">
        <v>116169</v>
      </c>
      <c r="AM1240">
        <v>28000</v>
      </c>
      <c r="AN1240">
        <v>88169</v>
      </c>
      <c r="AO1240">
        <v>1014</v>
      </c>
      <c r="AP1240">
        <v>2016</v>
      </c>
      <c r="AQ1240">
        <v>0.99</v>
      </c>
      <c r="AS1240" t="s">
        <v>16110</v>
      </c>
      <c r="AT1240" t="s">
        <v>3210</v>
      </c>
      <c r="AU1240" t="s">
        <v>177</v>
      </c>
      <c r="AV1240" t="s">
        <v>2334</v>
      </c>
      <c r="AW1240" t="s">
        <v>202</v>
      </c>
      <c r="AX1240">
        <v>1</v>
      </c>
      <c r="AY1240" t="s">
        <v>188</v>
      </c>
      <c r="AZ1240" t="s">
        <v>206</v>
      </c>
      <c r="BA1240" t="s">
        <v>355</v>
      </c>
      <c r="BB1240" t="s">
        <v>191</v>
      </c>
      <c r="BC1240" t="s">
        <v>182</v>
      </c>
      <c r="BD1240" t="s">
        <v>182</v>
      </c>
      <c r="BE1240" t="s">
        <v>383</v>
      </c>
      <c r="BF1240">
        <v>2</v>
      </c>
      <c r="BG1240">
        <v>1</v>
      </c>
      <c r="BH1240">
        <v>1977</v>
      </c>
      <c r="BI1240" t="s">
        <v>16111</v>
      </c>
      <c r="BJ1240" t="s">
        <v>194</v>
      </c>
      <c r="BK1240" t="s">
        <v>195</v>
      </c>
      <c r="BL1240" t="s">
        <v>199</v>
      </c>
      <c r="BM1240" t="s">
        <v>559</v>
      </c>
      <c r="BN1240" t="s">
        <v>182</v>
      </c>
      <c r="BO1240" t="s">
        <v>8739</v>
      </c>
      <c r="BP1240" t="s">
        <v>5327</v>
      </c>
      <c r="BQ1240" t="s">
        <v>1285</v>
      </c>
      <c r="BR1240" t="s">
        <v>563</v>
      </c>
      <c r="BS1240" t="s">
        <v>198</v>
      </c>
      <c r="BT1240" t="s">
        <v>16112</v>
      </c>
      <c r="BU1240" t="s">
        <v>182</v>
      </c>
      <c r="BV1240" t="s">
        <v>198</v>
      </c>
      <c r="BW1240" t="s">
        <v>198</v>
      </c>
      <c r="BX1240" t="s">
        <v>199</v>
      </c>
      <c r="BY1240" t="s">
        <v>198</v>
      </c>
      <c r="BZ1240" t="s">
        <v>199</v>
      </c>
      <c r="CA1240" t="s">
        <v>199</v>
      </c>
      <c r="CB1240" t="s">
        <v>16113</v>
      </c>
      <c r="CC1240" t="s">
        <v>201</v>
      </c>
      <c r="CD1240" t="s">
        <v>182</v>
      </c>
      <c r="CE1240" t="s">
        <v>16114</v>
      </c>
      <c r="CF1240" t="s">
        <v>2333</v>
      </c>
      <c r="CG1240" t="s">
        <v>177</v>
      </c>
      <c r="CH1240" t="s">
        <v>2334</v>
      </c>
      <c r="CI1240" t="s">
        <v>16115</v>
      </c>
      <c r="CS1240" t="s">
        <v>198</v>
      </c>
      <c r="DC1240" t="s">
        <v>198</v>
      </c>
      <c r="DM1240" t="s">
        <v>198</v>
      </c>
      <c r="DW1240" t="s">
        <v>198</v>
      </c>
      <c r="EG1240" t="s">
        <v>198</v>
      </c>
      <c r="EQ1240" t="s">
        <v>198</v>
      </c>
      <c r="FA1240" t="s">
        <v>198</v>
      </c>
      <c r="FK1240" t="s">
        <v>198</v>
      </c>
      <c r="FU1240" t="s">
        <v>198</v>
      </c>
    </row>
    <row r="1241" spans="1:177">
      <c r="A1241" s="1" t="str">
        <f>HYPERLINK("http://digipan.lumentumllc.com/apps/getLink/index.php?t=PropLink&amp;p=5247838","PL")</f>
        <v>PL</v>
      </c>
      <c r="B1241" s="1" t="str">
        <f>HYPERLINK("http://digipan.lumentumllc.com/apps/getLink/index.php?t=TaxLink&amp;p=5247838","TL")</f>
        <v>TL</v>
      </c>
      <c r="C1241" s="1" t="str">
        <f>HYPERLINK("http://digipan.lumentumllc.com/apps/getMap/index.php?p=5247838","Map")</f>
        <v>Map</v>
      </c>
      <c r="E1241" t="s">
        <v>177</v>
      </c>
      <c r="F1241" t="s">
        <v>178</v>
      </c>
      <c r="L1241" t="s">
        <v>16116</v>
      </c>
      <c r="N1241" t="s">
        <v>16116</v>
      </c>
      <c r="O1241" t="s">
        <v>16116</v>
      </c>
      <c r="P1241" t="s">
        <v>16117</v>
      </c>
      <c r="Q1241" t="s">
        <v>16116</v>
      </c>
      <c r="V1241">
        <v>1417</v>
      </c>
      <c r="W1241">
        <v>5</v>
      </c>
      <c r="X1241">
        <v>2017</v>
      </c>
      <c r="Y1241">
        <v>2018</v>
      </c>
      <c r="Z1241">
        <v>1220.78</v>
      </c>
      <c r="AB1241" t="s">
        <v>181</v>
      </c>
      <c r="AC1241" t="s">
        <v>182</v>
      </c>
      <c r="AD1241" t="s">
        <v>183</v>
      </c>
      <c r="AE1241">
        <v>0</v>
      </c>
      <c r="AF1241">
        <v>6</v>
      </c>
      <c r="AG1241" t="s">
        <v>3266</v>
      </c>
      <c r="AH1241">
        <v>100</v>
      </c>
      <c r="AK1241">
        <v>0</v>
      </c>
      <c r="AL1241">
        <v>72608</v>
      </c>
      <c r="AM1241">
        <v>72608</v>
      </c>
      <c r="AN1241">
        <v>0</v>
      </c>
      <c r="AO1241">
        <v>1993</v>
      </c>
      <c r="AP1241">
        <v>2016</v>
      </c>
      <c r="AQ1241">
        <v>1.68</v>
      </c>
      <c r="AS1241" t="s">
        <v>14388</v>
      </c>
      <c r="AT1241" t="s">
        <v>3210</v>
      </c>
      <c r="AU1241" t="s">
        <v>177</v>
      </c>
      <c r="AV1241" t="s">
        <v>2334</v>
      </c>
      <c r="AW1241" t="s">
        <v>182</v>
      </c>
      <c r="AX1241">
        <v>10</v>
      </c>
      <c r="AY1241" t="s">
        <v>3211</v>
      </c>
      <c r="AZ1241" t="s">
        <v>270</v>
      </c>
      <c r="BA1241" t="s">
        <v>3212</v>
      </c>
      <c r="BB1241" t="s">
        <v>191</v>
      </c>
      <c r="BC1241" t="s">
        <v>182</v>
      </c>
      <c r="BD1241" t="s">
        <v>1528</v>
      </c>
      <c r="BE1241" t="s">
        <v>16118</v>
      </c>
      <c r="BF1241">
        <v>0</v>
      </c>
      <c r="BG1241">
        <v>0</v>
      </c>
      <c r="BH1241">
        <v>0</v>
      </c>
      <c r="BI1241" t="s">
        <v>199</v>
      </c>
      <c r="BJ1241" t="s">
        <v>315</v>
      </c>
      <c r="BL1241" t="s">
        <v>8160</v>
      </c>
      <c r="BM1241" t="s">
        <v>197</v>
      </c>
      <c r="BN1241" t="s">
        <v>182</v>
      </c>
      <c r="BO1241" t="s">
        <v>198</v>
      </c>
      <c r="BP1241" t="s">
        <v>198</v>
      </c>
      <c r="BQ1241" t="s">
        <v>198</v>
      </c>
      <c r="BR1241" t="s">
        <v>198</v>
      </c>
      <c r="BS1241" t="s">
        <v>198</v>
      </c>
      <c r="BT1241" t="s">
        <v>198</v>
      </c>
      <c r="BU1241" t="s">
        <v>182</v>
      </c>
      <c r="BV1241" t="s">
        <v>198</v>
      </c>
      <c r="BW1241" t="s">
        <v>198</v>
      </c>
      <c r="BX1241" t="s">
        <v>199</v>
      </c>
      <c r="BY1241" t="s">
        <v>198</v>
      </c>
      <c r="BZ1241" t="s">
        <v>199</v>
      </c>
      <c r="CA1241" t="s">
        <v>199</v>
      </c>
      <c r="CB1241" t="s">
        <v>16119</v>
      </c>
      <c r="CC1241" t="s">
        <v>201</v>
      </c>
      <c r="CD1241" t="s">
        <v>202</v>
      </c>
      <c r="CE1241" t="s">
        <v>16120</v>
      </c>
      <c r="CF1241" t="s">
        <v>413</v>
      </c>
      <c r="CG1241" t="s">
        <v>177</v>
      </c>
      <c r="CH1241" t="s">
        <v>8952</v>
      </c>
      <c r="CI1241" t="s">
        <v>16121</v>
      </c>
      <c r="CJ1241" t="s">
        <v>4776</v>
      </c>
      <c r="CK1241" t="s">
        <v>292</v>
      </c>
      <c r="CL1241" t="s">
        <v>293</v>
      </c>
      <c r="CM1241" t="s">
        <v>16122</v>
      </c>
      <c r="CN1241" t="s">
        <v>235</v>
      </c>
      <c r="CO1241" t="s">
        <v>183</v>
      </c>
      <c r="CP1241" t="s">
        <v>211</v>
      </c>
      <c r="CQ1241" t="s">
        <v>270</v>
      </c>
      <c r="CS1241" t="s">
        <v>4800</v>
      </c>
      <c r="CT1241" t="s">
        <v>1978</v>
      </c>
      <c r="CU1241" t="s">
        <v>267</v>
      </c>
      <c r="CV1241" t="s">
        <v>268</v>
      </c>
      <c r="CW1241" t="s">
        <v>16123</v>
      </c>
      <c r="CX1241" t="s">
        <v>235</v>
      </c>
      <c r="CY1241" t="s">
        <v>183</v>
      </c>
      <c r="CZ1241" t="s">
        <v>211</v>
      </c>
      <c r="DA1241" t="s">
        <v>298</v>
      </c>
      <c r="DC1241" t="s">
        <v>7501</v>
      </c>
      <c r="DD1241" t="s">
        <v>7349</v>
      </c>
      <c r="DE1241" t="s">
        <v>302</v>
      </c>
      <c r="DF1241" t="s">
        <v>303</v>
      </c>
      <c r="DG1241" t="s">
        <v>16124</v>
      </c>
      <c r="DH1241" t="s">
        <v>838</v>
      </c>
      <c r="DI1241" t="s">
        <v>183</v>
      </c>
      <c r="DJ1241" t="s">
        <v>211</v>
      </c>
      <c r="DK1241" t="s">
        <v>339</v>
      </c>
      <c r="DM1241" t="s">
        <v>16125</v>
      </c>
      <c r="DN1241" t="s">
        <v>16126</v>
      </c>
      <c r="DO1241" t="s">
        <v>238</v>
      </c>
      <c r="DP1241" t="s">
        <v>239</v>
      </c>
      <c r="DQ1241" t="s">
        <v>16127</v>
      </c>
      <c r="DR1241" t="s">
        <v>278</v>
      </c>
      <c r="DS1241" t="s">
        <v>183</v>
      </c>
      <c r="DT1241" t="s">
        <v>211</v>
      </c>
      <c r="DU1241" t="s">
        <v>493</v>
      </c>
      <c r="DW1241" t="s">
        <v>16125</v>
      </c>
      <c r="DX1241" t="s">
        <v>16128</v>
      </c>
      <c r="DY1241" t="s">
        <v>346</v>
      </c>
      <c r="DZ1241" t="s">
        <v>347</v>
      </c>
      <c r="EA1241" t="s">
        <v>16129</v>
      </c>
      <c r="EB1241" t="s">
        <v>295</v>
      </c>
      <c r="EC1241" t="s">
        <v>183</v>
      </c>
      <c r="ED1241" t="s">
        <v>211</v>
      </c>
      <c r="EE1241" t="s">
        <v>966</v>
      </c>
      <c r="EG1241" t="s">
        <v>16125</v>
      </c>
      <c r="EH1241" t="s">
        <v>16130</v>
      </c>
      <c r="EI1241" t="s">
        <v>207</v>
      </c>
      <c r="EJ1241" t="s">
        <v>208</v>
      </c>
      <c r="EK1241" t="s">
        <v>16131</v>
      </c>
      <c r="EL1241" t="s">
        <v>1966</v>
      </c>
      <c r="EM1241" t="s">
        <v>183</v>
      </c>
      <c r="EN1241" t="s">
        <v>211</v>
      </c>
      <c r="EO1241" t="s">
        <v>1032</v>
      </c>
      <c r="EQ1241" t="s">
        <v>16125</v>
      </c>
      <c r="FA1241" t="s">
        <v>198</v>
      </c>
      <c r="FK1241" t="s">
        <v>198</v>
      </c>
      <c r="FU1241" t="s">
        <v>198</v>
      </c>
    </row>
    <row r="1242" spans="1:177">
      <c r="A1242" s="1" t="str">
        <f>HYPERLINK("http://digipan.lumentumllc.com/apps/getLink/index.php?t=PropLink&amp;p=5247840","PL")</f>
        <v>PL</v>
      </c>
      <c r="B1242" s="1" t="str">
        <f>HYPERLINK("http://digipan.lumentumllc.com/apps/getLink/index.php?t=TaxLink&amp;p=5247840","TL")</f>
        <v>TL</v>
      </c>
      <c r="C1242" s="1" t="str">
        <f>HYPERLINK("http://digipan.lumentumllc.com/apps/getMap/index.php?p=5247840","Map")</f>
        <v>Map</v>
      </c>
      <c r="E1242" t="s">
        <v>177</v>
      </c>
      <c r="F1242" t="s">
        <v>178</v>
      </c>
      <c r="L1242" t="s">
        <v>16132</v>
      </c>
      <c r="N1242" t="s">
        <v>16132</v>
      </c>
      <c r="O1242" t="s">
        <v>16132</v>
      </c>
      <c r="P1242" t="s">
        <v>16133</v>
      </c>
      <c r="Q1242" t="s">
        <v>16132</v>
      </c>
      <c r="V1242">
        <v>1418</v>
      </c>
      <c r="W1242">
        <v>5</v>
      </c>
      <c r="X1242">
        <v>2017</v>
      </c>
      <c r="Y1242">
        <v>2018</v>
      </c>
      <c r="Z1242">
        <v>1260.69</v>
      </c>
      <c r="AB1242" t="s">
        <v>181</v>
      </c>
      <c r="AC1242" t="s">
        <v>202</v>
      </c>
      <c r="AD1242" t="s">
        <v>183</v>
      </c>
      <c r="AE1242">
        <v>0</v>
      </c>
      <c r="AF1242">
        <v>6</v>
      </c>
      <c r="AG1242" t="s">
        <v>3266</v>
      </c>
      <c r="AH1242">
        <v>100</v>
      </c>
      <c r="AK1242">
        <v>0</v>
      </c>
      <c r="AL1242">
        <v>75046</v>
      </c>
      <c r="AM1242">
        <v>75046</v>
      </c>
      <c r="AN1242">
        <v>0</v>
      </c>
      <c r="AO1242">
        <v>1152</v>
      </c>
      <c r="AP1242">
        <v>2016</v>
      </c>
      <c r="AQ1242">
        <v>1.68</v>
      </c>
      <c r="AS1242" t="s">
        <v>14388</v>
      </c>
      <c r="AT1242" t="s">
        <v>3210</v>
      </c>
      <c r="AU1242" t="s">
        <v>177</v>
      </c>
      <c r="AV1242" t="s">
        <v>2334</v>
      </c>
      <c r="AW1242" t="s">
        <v>182</v>
      </c>
      <c r="AX1242">
        <v>10</v>
      </c>
      <c r="AY1242" t="s">
        <v>3211</v>
      </c>
      <c r="AZ1242" t="s">
        <v>270</v>
      </c>
      <c r="BA1242" t="s">
        <v>3212</v>
      </c>
      <c r="BB1242" t="s">
        <v>191</v>
      </c>
      <c r="BC1242" t="s">
        <v>182</v>
      </c>
      <c r="BD1242" t="s">
        <v>182</v>
      </c>
      <c r="BE1242" t="s">
        <v>899</v>
      </c>
      <c r="BF1242">
        <v>0</v>
      </c>
      <c r="BG1242">
        <v>0</v>
      </c>
      <c r="BH1242">
        <v>0</v>
      </c>
      <c r="BI1242" t="s">
        <v>199</v>
      </c>
      <c r="BJ1242" t="s">
        <v>315</v>
      </c>
      <c r="BL1242" t="s">
        <v>16134</v>
      </c>
      <c r="BM1242" t="s">
        <v>302</v>
      </c>
      <c r="BN1242" t="s">
        <v>182</v>
      </c>
      <c r="BO1242" t="s">
        <v>198</v>
      </c>
      <c r="BP1242" t="s">
        <v>198</v>
      </c>
      <c r="BQ1242" t="s">
        <v>198</v>
      </c>
      <c r="BR1242" t="s">
        <v>198</v>
      </c>
      <c r="BS1242" t="s">
        <v>198</v>
      </c>
      <c r="BT1242" t="s">
        <v>198</v>
      </c>
      <c r="BU1242" t="s">
        <v>182</v>
      </c>
      <c r="BV1242" t="s">
        <v>198</v>
      </c>
      <c r="BW1242" t="s">
        <v>198</v>
      </c>
      <c r="BX1242" t="s">
        <v>199</v>
      </c>
      <c r="BY1242" t="s">
        <v>198</v>
      </c>
      <c r="BZ1242" t="s">
        <v>199</v>
      </c>
      <c r="CA1242" t="s">
        <v>199</v>
      </c>
      <c r="CB1242" t="s">
        <v>16135</v>
      </c>
      <c r="CC1242" t="s">
        <v>201</v>
      </c>
      <c r="CD1242" t="s">
        <v>202</v>
      </c>
      <c r="CE1242" t="s">
        <v>16120</v>
      </c>
      <c r="CF1242" t="s">
        <v>413</v>
      </c>
      <c r="CG1242" t="s">
        <v>177</v>
      </c>
      <c r="CH1242" t="s">
        <v>8952</v>
      </c>
      <c r="CI1242" t="s">
        <v>16136</v>
      </c>
      <c r="CJ1242" t="s">
        <v>12308</v>
      </c>
      <c r="CK1242" t="s">
        <v>292</v>
      </c>
      <c r="CL1242" t="s">
        <v>293</v>
      </c>
      <c r="CM1242" t="s">
        <v>16137</v>
      </c>
      <c r="CN1242" t="s">
        <v>331</v>
      </c>
      <c r="CO1242" t="s">
        <v>183</v>
      </c>
      <c r="CP1242" t="s">
        <v>211</v>
      </c>
      <c r="CQ1242" t="s">
        <v>270</v>
      </c>
      <c r="CS1242" t="s">
        <v>4800</v>
      </c>
      <c r="CT1242" t="s">
        <v>2004</v>
      </c>
      <c r="CU1242" t="s">
        <v>267</v>
      </c>
      <c r="CV1242" t="s">
        <v>268</v>
      </c>
      <c r="CW1242" t="s">
        <v>16138</v>
      </c>
      <c r="CX1242" t="s">
        <v>331</v>
      </c>
      <c r="CY1242" t="s">
        <v>183</v>
      </c>
      <c r="CZ1242" t="s">
        <v>211</v>
      </c>
      <c r="DA1242" t="s">
        <v>298</v>
      </c>
      <c r="DC1242" t="s">
        <v>7501</v>
      </c>
      <c r="DD1242" t="s">
        <v>2554</v>
      </c>
      <c r="DE1242" t="s">
        <v>302</v>
      </c>
      <c r="DF1242" t="s">
        <v>303</v>
      </c>
      <c r="DG1242" t="s">
        <v>16139</v>
      </c>
      <c r="DH1242" t="s">
        <v>235</v>
      </c>
      <c r="DI1242" t="s">
        <v>183</v>
      </c>
      <c r="DJ1242" t="s">
        <v>211</v>
      </c>
      <c r="DK1242" t="s">
        <v>329</v>
      </c>
      <c r="DM1242" t="s">
        <v>12480</v>
      </c>
      <c r="DN1242" t="s">
        <v>16140</v>
      </c>
      <c r="DO1242" t="s">
        <v>238</v>
      </c>
      <c r="DP1242" t="s">
        <v>239</v>
      </c>
      <c r="DQ1242" t="s">
        <v>16141</v>
      </c>
      <c r="DR1242" t="s">
        <v>278</v>
      </c>
      <c r="DS1242" t="s">
        <v>183</v>
      </c>
      <c r="DT1242" t="s">
        <v>211</v>
      </c>
      <c r="DU1242" t="s">
        <v>199</v>
      </c>
      <c r="DV1242" t="s">
        <v>6042</v>
      </c>
      <c r="DW1242" t="s">
        <v>241</v>
      </c>
      <c r="DX1242" t="s">
        <v>7665</v>
      </c>
      <c r="DY1242" t="s">
        <v>346</v>
      </c>
      <c r="DZ1242" t="s">
        <v>347</v>
      </c>
      <c r="EA1242" t="s">
        <v>16142</v>
      </c>
      <c r="EB1242" t="s">
        <v>295</v>
      </c>
      <c r="EC1242" t="s">
        <v>183</v>
      </c>
      <c r="ED1242" t="s">
        <v>211</v>
      </c>
      <c r="EE1242" t="s">
        <v>427</v>
      </c>
      <c r="EF1242" t="s">
        <v>6042</v>
      </c>
      <c r="EG1242" t="s">
        <v>241</v>
      </c>
      <c r="EH1242" t="s">
        <v>16143</v>
      </c>
      <c r="EI1242" t="s">
        <v>207</v>
      </c>
      <c r="EJ1242" t="s">
        <v>208</v>
      </c>
      <c r="EK1242" t="s">
        <v>16144</v>
      </c>
      <c r="EL1242" t="s">
        <v>1966</v>
      </c>
      <c r="EM1242" t="s">
        <v>183</v>
      </c>
      <c r="EN1242" t="s">
        <v>211</v>
      </c>
      <c r="EP1242" t="s">
        <v>6042</v>
      </c>
      <c r="EQ1242" t="s">
        <v>198</v>
      </c>
      <c r="FA1242" t="s">
        <v>198</v>
      </c>
      <c r="FK1242" t="s">
        <v>198</v>
      </c>
      <c r="FU1242" t="s">
        <v>198</v>
      </c>
    </row>
    <row r="1243" spans="1:177">
      <c r="A1243" s="1" t="str">
        <f>HYPERLINK("http://digipan.lumentumllc.com/apps/getLink/index.php?t=PropLink&amp;p=6129475","PL")</f>
        <v>PL</v>
      </c>
      <c r="B1243" s="1" t="str">
        <f>HYPERLINK("http://digipan.lumentumllc.com/apps/getLink/index.php?t=TaxLink&amp;p=6129475","TL")</f>
        <v>TL</v>
      </c>
      <c r="C1243" s="1" t="str">
        <f>HYPERLINK("http://digipan.lumentumllc.com/apps/getMap/index.php?p=6129475","Map")</f>
        <v>Map</v>
      </c>
      <c r="E1243" t="s">
        <v>177</v>
      </c>
      <c r="F1243" t="s">
        <v>178</v>
      </c>
      <c r="L1243" t="s">
        <v>16145</v>
      </c>
      <c r="N1243" t="s">
        <v>16145</v>
      </c>
      <c r="O1243" t="s">
        <v>16145</v>
      </c>
      <c r="P1243" t="s">
        <v>16146</v>
      </c>
      <c r="Q1243" t="s">
        <v>16145</v>
      </c>
      <c r="V1243">
        <v>1419</v>
      </c>
      <c r="W1243">
        <v>5</v>
      </c>
      <c r="X1243">
        <v>2017</v>
      </c>
      <c r="Y1243">
        <v>2018</v>
      </c>
      <c r="Z1243">
        <v>522.4</v>
      </c>
      <c r="AB1243" t="s">
        <v>181</v>
      </c>
      <c r="AC1243" t="s">
        <v>182</v>
      </c>
      <c r="AD1243" t="s">
        <v>183</v>
      </c>
      <c r="AE1243">
        <v>1</v>
      </c>
      <c r="AF1243">
        <v>3</v>
      </c>
      <c r="AG1243" t="s">
        <v>257</v>
      </c>
      <c r="AH1243">
        <v>75</v>
      </c>
      <c r="AI1243">
        <v>644.74</v>
      </c>
      <c r="AJ1243">
        <v>32.24</v>
      </c>
      <c r="AK1243">
        <v>676.98</v>
      </c>
      <c r="AL1243">
        <v>29953</v>
      </c>
      <c r="AM1243">
        <v>10000</v>
      </c>
      <c r="AN1243">
        <v>19953</v>
      </c>
      <c r="AO1243">
        <v>571</v>
      </c>
      <c r="AP1243">
        <v>2016</v>
      </c>
      <c r="AQ1243">
        <v>1.74</v>
      </c>
      <c r="AR1243">
        <v>2.2599999999999998</v>
      </c>
      <c r="AS1243" t="s">
        <v>16147</v>
      </c>
      <c r="AT1243" t="s">
        <v>3210</v>
      </c>
      <c r="AU1243" t="s">
        <v>177</v>
      </c>
      <c r="AV1243" t="s">
        <v>2334</v>
      </c>
      <c r="AW1243" t="s">
        <v>182</v>
      </c>
      <c r="AX1243">
        <v>1</v>
      </c>
      <c r="AY1243" t="s">
        <v>188</v>
      </c>
      <c r="AZ1243" t="s">
        <v>206</v>
      </c>
      <c r="BA1243" t="s">
        <v>355</v>
      </c>
      <c r="BB1243" t="s">
        <v>191</v>
      </c>
      <c r="BC1243" t="s">
        <v>182</v>
      </c>
      <c r="BD1243" t="s">
        <v>182</v>
      </c>
      <c r="BE1243" t="s">
        <v>11684</v>
      </c>
      <c r="BF1243">
        <v>1</v>
      </c>
      <c r="BG1243">
        <v>1</v>
      </c>
      <c r="BH1243">
        <v>1935</v>
      </c>
      <c r="BI1243" t="s">
        <v>6258</v>
      </c>
      <c r="BJ1243" t="s">
        <v>194</v>
      </c>
      <c r="BK1243" t="s">
        <v>195</v>
      </c>
      <c r="BL1243" t="s">
        <v>199</v>
      </c>
      <c r="BM1243" t="s">
        <v>273</v>
      </c>
      <c r="BN1243" t="s">
        <v>182</v>
      </c>
      <c r="BO1243" t="s">
        <v>198</v>
      </c>
      <c r="BP1243" t="s">
        <v>198</v>
      </c>
      <c r="BQ1243" t="s">
        <v>198</v>
      </c>
      <c r="BR1243" t="s">
        <v>198</v>
      </c>
      <c r="BS1243" t="s">
        <v>198</v>
      </c>
      <c r="BT1243" t="s">
        <v>198</v>
      </c>
      <c r="BU1243" t="s">
        <v>182</v>
      </c>
      <c r="BV1243" t="s">
        <v>198</v>
      </c>
      <c r="BW1243" t="s">
        <v>198</v>
      </c>
      <c r="BX1243" t="s">
        <v>199</v>
      </c>
      <c r="BY1243" t="s">
        <v>198</v>
      </c>
      <c r="BZ1243" t="s">
        <v>199</v>
      </c>
      <c r="CA1243" t="s">
        <v>199</v>
      </c>
      <c r="CB1243" t="s">
        <v>16148</v>
      </c>
      <c r="CC1243" t="s">
        <v>201</v>
      </c>
      <c r="CD1243" t="s">
        <v>202</v>
      </c>
      <c r="CE1243" t="s">
        <v>16149</v>
      </c>
      <c r="CF1243" t="s">
        <v>2333</v>
      </c>
      <c r="CG1243" t="s">
        <v>177</v>
      </c>
      <c r="CH1243" t="s">
        <v>2334</v>
      </c>
      <c r="CI1243" t="s">
        <v>16150</v>
      </c>
      <c r="CJ1243" t="s">
        <v>12236</v>
      </c>
      <c r="CK1243" t="s">
        <v>232</v>
      </c>
      <c r="CL1243" t="s">
        <v>233</v>
      </c>
      <c r="CM1243" t="s">
        <v>16151</v>
      </c>
      <c r="CN1243" t="s">
        <v>235</v>
      </c>
      <c r="CO1243" t="s">
        <v>183</v>
      </c>
      <c r="CP1243" t="s">
        <v>266</v>
      </c>
      <c r="CS1243" t="s">
        <v>198</v>
      </c>
      <c r="CT1243" t="s">
        <v>15281</v>
      </c>
      <c r="CU1243" t="s">
        <v>273</v>
      </c>
      <c r="CV1243" t="s">
        <v>274</v>
      </c>
      <c r="CW1243" t="s">
        <v>16152</v>
      </c>
      <c r="CX1243" t="s">
        <v>235</v>
      </c>
      <c r="CY1243" t="s">
        <v>183</v>
      </c>
      <c r="CZ1243" t="s">
        <v>211</v>
      </c>
      <c r="DA1243" t="s">
        <v>847</v>
      </c>
      <c r="DC1243" t="s">
        <v>16153</v>
      </c>
      <c r="DD1243" t="s">
        <v>2571</v>
      </c>
      <c r="DE1243" t="s">
        <v>302</v>
      </c>
      <c r="DF1243" t="s">
        <v>303</v>
      </c>
      <c r="DG1243" t="s">
        <v>16154</v>
      </c>
      <c r="DH1243" t="s">
        <v>235</v>
      </c>
      <c r="DI1243" t="s">
        <v>183</v>
      </c>
      <c r="DJ1243" t="s">
        <v>211</v>
      </c>
      <c r="DK1243" t="s">
        <v>1085</v>
      </c>
      <c r="DM1243" t="s">
        <v>7547</v>
      </c>
      <c r="DN1243" t="s">
        <v>16155</v>
      </c>
      <c r="DO1243" t="s">
        <v>238</v>
      </c>
      <c r="DP1243" t="s">
        <v>239</v>
      </c>
      <c r="DQ1243" t="s">
        <v>16156</v>
      </c>
      <c r="DR1243" t="s">
        <v>331</v>
      </c>
      <c r="DS1243" t="s">
        <v>183</v>
      </c>
      <c r="DT1243" t="s">
        <v>211</v>
      </c>
      <c r="DU1243" t="s">
        <v>337</v>
      </c>
      <c r="DW1243" t="s">
        <v>5026</v>
      </c>
      <c r="EG1243" t="s">
        <v>198</v>
      </c>
      <c r="EQ1243" t="s">
        <v>198</v>
      </c>
      <c r="FA1243" t="s">
        <v>198</v>
      </c>
      <c r="FK1243" t="s">
        <v>198</v>
      </c>
      <c r="FU1243" t="s">
        <v>198</v>
      </c>
    </row>
    <row r="1244" spans="1:177">
      <c r="A1244" s="1" t="str">
        <f>HYPERLINK("http://digipan.lumentumllc.com/apps/getLink/index.php?t=PropLink&amp;p=6129476","PL")</f>
        <v>PL</v>
      </c>
      <c r="B1244" s="1" t="str">
        <f>HYPERLINK("http://digipan.lumentumllc.com/apps/getLink/index.php?t=TaxLink&amp;p=6129476","TL")</f>
        <v>TL</v>
      </c>
      <c r="C1244" s="1" t="str">
        <f>HYPERLINK("http://digipan.lumentumllc.com/apps/getMap/index.php?p=6129476","Map")</f>
        <v>Map</v>
      </c>
      <c r="E1244" t="s">
        <v>177</v>
      </c>
      <c r="F1244" t="s">
        <v>178</v>
      </c>
      <c r="L1244" t="s">
        <v>16157</v>
      </c>
      <c r="N1244" t="s">
        <v>16157</v>
      </c>
      <c r="O1244" t="s">
        <v>16157</v>
      </c>
      <c r="P1244" t="s">
        <v>16158</v>
      </c>
      <c r="Q1244" t="s">
        <v>16157</v>
      </c>
      <c r="V1244">
        <v>1420</v>
      </c>
      <c r="W1244">
        <v>5</v>
      </c>
      <c r="X1244">
        <v>2017</v>
      </c>
      <c r="Y1244">
        <v>2018</v>
      </c>
      <c r="Z1244">
        <v>456.18</v>
      </c>
      <c r="AB1244" t="s">
        <v>181</v>
      </c>
      <c r="AC1244" t="s">
        <v>182</v>
      </c>
      <c r="AD1244" t="s">
        <v>183</v>
      </c>
      <c r="AE1244">
        <v>1</v>
      </c>
      <c r="AF1244">
        <v>1</v>
      </c>
      <c r="AG1244" t="s">
        <v>2222</v>
      </c>
      <c r="AH1244">
        <v>50</v>
      </c>
      <c r="AI1244">
        <v>449.46</v>
      </c>
      <c r="AJ1244">
        <v>22.47</v>
      </c>
      <c r="AK1244">
        <v>471.93</v>
      </c>
      <c r="AL1244">
        <v>58430</v>
      </c>
      <c r="AM1244">
        <v>12000</v>
      </c>
      <c r="AN1244">
        <v>46430</v>
      </c>
      <c r="AO1244">
        <v>391</v>
      </c>
      <c r="AP1244">
        <v>2016</v>
      </c>
      <c r="AQ1244">
        <v>0.78</v>
      </c>
      <c r="AR1244">
        <v>0.81</v>
      </c>
      <c r="AS1244" t="s">
        <v>16159</v>
      </c>
      <c r="AT1244" t="s">
        <v>3210</v>
      </c>
      <c r="AU1244" t="s">
        <v>177</v>
      </c>
      <c r="AV1244" t="s">
        <v>2334</v>
      </c>
      <c r="AW1244" t="s">
        <v>202</v>
      </c>
      <c r="AX1244">
        <v>2</v>
      </c>
      <c r="AY1244" t="s">
        <v>188</v>
      </c>
      <c r="AZ1244" t="s">
        <v>189</v>
      </c>
      <c r="BA1244" t="s">
        <v>190</v>
      </c>
      <c r="BB1244" t="s">
        <v>191</v>
      </c>
      <c r="BC1244" t="s">
        <v>182</v>
      </c>
      <c r="BD1244" t="s">
        <v>182</v>
      </c>
      <c r="BE1244" t="s">
        <v>16160</v>
      </c>
      <c r="BF1244">
        <v>1</v>
      </c>
      <c r="BG1244">
        <v>1</v>
      </c>
      <c r="BH1244">
        <v>1997</v>
      </c>
      <c r="BI1244" t="s">
        <v>14305</v>
      </c>
      <c r="BJ1244" t="s">
        <v>194</v>
      </c>
      <c r="BK1244" t="s">
        <v>195</v>
      </c>
      <c r="BL1244" t="s">
        <v>199</v>
      </c>
      <c r="BM1244" t="s">
        <v>559</v>
      </c>
      <c r="BN1244" t="s">
        <v>182</v>
      </c>
      <c r="BO1244" t="s">
        <v>2976</v>
      </c>
      <c r="BP1244" t="s">
        <v>16161</v>
      </c>
      <c r="BQ1244" t="s">
        <v>800</v>
      </c>
      <c r="BR1244" t="s">
        <v>643</v>
      </c>
      <c r="BS1244" t="s">
        <v>198</v>
      </c>
      <c r="BT1244" t="s">
        <v>16162</v>
      </c>
      <c r="BU1244" t="s">
        <v>182</v>
      </c>
      <c r="BV1244" t="s">
        <v>198</v>
      </c>
      <c r="BW1244" t="s">
        <v>198</v>
      </c>
      <c r="BX1244" t="s">
        <v>199</v>
      </c>
      <c r="BY1244" t="s">
        <v>198</v>
      </c>
      <c r="BZ1244" t="s">
        <v>199</v>
      </c>
      <c r="CA1244" t="s">
        <v>199</v>
      </c>
      <c r="CB1244" t="s">
        <v>16163</v>
      </c>
      <c r="CC1244" t="s">
        <v>201</v>
      </c>
      <c r="CD1244" t="s">
        <v>182</v>
      </c>
      <c r="CE1244" t="s">
        <v>16164</v>
      </c>
      <c r="CF1244" t="s">
        <v>2333</v>
      </c>
      <c r="CG1244" t="s">
        <v>177</v>
      </c>
      <c r="CH1244" t="s">
        <v>2334</v>
      </c>
      <c r="CI1244" t="s">
        <v>15868</v>
      </c>
      <c r="CJ1244" t="s">
        <v>3969</v>
      </c>
      <c r="CK1244" t="s">
        <v>232</v>
      </c>
      <c r="CL1244" t="s">
        <v>233</v>
      </c>
      <c r="CM1244" t="s">
        <v>16165</v>
      </c>
      <c r="CN1244" t="s">
        <v>235</v>
      </c>
      <c r="CO1244" t="s">
        <v>183</v>
      </c>
      <c r="CP1244" t="s">
        <v>266</v>
      </c>
      <c r="CS1244" t="s">
        <v>198</v>
      </c>
      <c r="CT1244" t="s">
        <v>14990</v>
      </c>
      <c r="CU1244" t="s">
        <v>292</v>
      </c>
      <c r="CV1244" t="s">
        <v>293</v>
      </c>
      <c r="CW1244" t="s">
        <v>16166</v>
      </c>
      <c r="CX1244" t="s">
        <v>235</v>
      </c>
      <c r="CY1244" t="s">
        <v>183</v>
      </c>
      <c r="CZ1244" t="s">
        <v>211</v>
      </c>
      <c r="DA1244" t="s">
        <v>345</v>
      </c>
      <c r="DC1244" t="s">
        <v>8184</v>
      </c>
      <c r="DM1244" t="s">
        <v>198</v>
      </c>
      <c r="DW1244" t="s">
        <v>198</v>
      </c>
      <c r="EG1244" t="s">
        <v>198</v>
      </c>
      <c r="EQ1244" t="s">
        <v>198</v>
      </c>
      <c r="FA1244" t="s">
        <v>198</v>
      </c>
      <c r="FK1244" t="s">
        <v>198</v>
      </c>
      <c r="FU1244" t="s">
        <v>198</v>
      </c>
    </row>
    <row r="1245" spans="1:177">
      <c r="A1245" s="1" t="str">
        <f>HYPERLINK("http://digipan.lumentumllc.com/apps/getLink/index.php?t=PropLink&amp;p=6129477","PL")</f>
        <v>PL</v>
      </c>
      <c r="B1245" s="1" t="str">
        <f>HYPERLINK("http://digipan.lumentumllc.com/apps/getLink/index.php?t=TaxLink&amp;p=6129477","TL")</f>
        <v>TL</v>
      </c>
      <c r="C1245" s="1" t="str">
        <f>HYPERLINK("http://digipan.lumentumllc.com/apps/getMap/index.php?p=6129477","Map")</f>
        <v>Map</v>
      </c>
      <c r="E1245" t="s">
        <v>177</v>
      </c>
      <c r="F1245" t="s">
        <v>178</v>
      </c>
      <c r="L1245" t="s">
        <v>16167</v>
      </c>
      <c r="N1245" t="s">
        <v>16167</v>
      </c>
      <c r="O1245" t="s">
        <v>16167</v>
      </c>
      <c r="P1245" t="s">
        <v>16168</v>
      </c>
      <c r="Q1245" t="s">
        <v>16167</v>
      </c>
      <c r="V1245">
        <v>1421</v>
      </c>
      <c r="W1245">
        <v>5</v>
      </c>
      <c r="X1245">
        <v>2017</v>
      </c>
      <c r="Y1245">
        <v>2018</v>
      </c>
      <c r="Z1245">
        <v>367.17</v>
      </c>
      <c r="AB1245" t="s">
        <v>181</v>
      </c>
      <c r="AC1245" t="s">
        <v>182</v>
      </c>
      <c r="AD1245" t="s">
        <v>1037</v>
      </c>
      <c r="AE1245">
        <v>1</v>
      </c>
      <c r="AF1245">
        <v>2</v>
      </c>
      <c r="AG1245" t="s">
        <v>363</v>
      </c>
      <c r="AH1245">
        <v>67</v>
      </c>
      <c r="AI1245">
        <v>354.37</v>
      </c>
      <c r="AJ1245">
        <v>17.72</v>
      </c>
      <c r="AK1245">
        <v>372.09</v>
      </c>
      <c r="AL1245">
        <v>32174</v>
      </c>
      <c r="AM1245">
        <v>27200</v>
      </c>
      <c r="AN1245">
        <v>4974</v>
      </c>
      <c r="AO1245">
        <v>303</v>
      </c>
      <c r="AP1245">
        <v>2016</v>
      </c>
      <c r="AQ1245">
        <v>1.1399999999999999</v>
      </c>
      <c r="AR1245">
        <v>1.1599999999999999</v>
      </c>
      <c r="AS1245" t="s">
        <v>16169</v>
      </c>
      <c r="AT1245" t="s">
        <v>3210</v>
      </c>
      <c r="AU1245" t="s">
        <v>177</v>
      </c>
      <c r="AV1245" t="s">
        <v>2334</v>
      </c>
      <c r="AW1245" t="s">
        <v>202</v>
      </c>
      <c r="AX1245">
        <v>2</v>
      </c>
      <c r="AY1245" t="s">
        <v>188</v>
      </c>
      <c r="AZ1245" t="s">
        <v>189</v>
      </c>
      <c r="BA1245" t="s">
        <v>190</v>
      </c>
      <c r="BB1245" t="s">
        <v>191</v>
      </c>
      <c r="BC1245" t="s">
        <v>182</v>
      </c>
      <c r="BD1245" t="s">
        <v>182</v>
      </c>
      <c r="BE1245" t="s">
        <v>5030</v>
      </c>
      <c r="BF1245">
        <v>1</v>
      </c>
      <c r="BG1245">
        <v>1</v>
      </c>
      <c r="BH1245">
        <v>1972</v>
      </c>
      <c r="BI1245" t="s">
        <v>10425</v>
      </c>
      <c r="BJ1245" t="s">
        <v>194</v>
      </c>
      <c r="BK1245" t="s">
        <v>195</v>
      </c>
      <c r="BL1245" t="s">
        <v>199</v>
      </c>
      <c r="BM1245" t="s">
        <v>232</v>
      </c>
      <c r="BN1245" t="s">
        <v>182</v>
      </c>
      <c r="BO1245" t="s">
        <v>198</v>
      </c>
      <c r="BP1245" t="s">
        <v>198</v>
      </c>
      <c r="BQ1245" t="s">
        <v>198</v>
      </c>
      <c r="BR1245" t="s">
        <v>198</v>
      </c>
      <c r="BS1245" t="s">
        <v>198</v>
      </c>
      <c r="BT1245" t="s">
        <v>198</v>
      </c>
      <c r="BU1245" t="s">
        <v>182</v>
      </c>
      <c r="BV1245" t="s">
        <v>198</v>
      </c>
      <c r="BW1245" t="s">
        <v>198</v>
      </c>
      <c r="BX1245" t="s">
        <v>199</v>
      </c>
      <c r="BY1245" t="s">
        <v>198</v>
      </c>
      <c r="BZ1245" t="s">
        <v>199</v>
      </c>
      <c r="CA1245" t="s">
        <v>199</v>
      </c>
      <c r="CB1245" t="s">
        <v>16170</v>
      </c>
      <c r="CC1245" t="s">
        <v>201</v>
      </c>
      <c r="CD1245" t="s">
        <v>202</v>
      </c>
      <c r="CE1245" t="s">
        <v>16171</v>
      </c>
      <c r="CF1245" t="s">
        <v>2333</v>
      </c>
      <c r="CG1245" t="s">
        <v>177</v>
      </c>
      <c r="CH1245" t="s">
        <v>2334</v>
      </c>
      <c r="CI1245" t="s">
        <v>15868</v>
      </c>
      <c r="CJ1245" t="s">
        <v>14563</v>
      </c>
      <c r="CK1245" t="s">
        <v>232</v>
      </c>
      <c r="CL1245" t="s">
        <v>233</v>
      </c>
      <c r="CM1245" t="s">
        <v>16172</v>
      </c>
      <c r="CN1245" t="s">
        <v>235</v>
      </c>
      <c r="CO1245" t="s">
        <v>183</v>
      </c>
      <c r="CP1245" t="s">
        <v>266</v>
      </c>
      <c r="CS1245" t="s">
        <v>198</v>
      </c>
      <c r="CT1245" t="s">
        <v>13093</v>
      </c>
      <c r="CU1245" t="s">
        <v>267</v>
      </c>
      <c r="CV1245" t="s">
        <v>268</v>
      </c>
      <c r="CW1245" t="s">
        <v>16173</v>
      </c>
      <c r="CX1245" t="s">
        <v>482</v>
      </c>
      <c r="CY1245" t="s">
        <v>5</v>
      </c>
      <c r="CZ1245" t="s">
        <v>211</v>
      </c>
      <c r="DA1245" t="s">
        <v>329</v>
      </c>
      <c r="DC1245" t="s">
        <v>3727</v>
      </c>
      <c r="DD1245" t="s">
        <v>16174</v>
      </c>
      <c r="DE1245" t="s">
        <v>273</v>
      </c>
      <c r="DF1245" t="s">
        <v>274</v>
      </c>
      <c r="DG1245" t="s">
        <v>16175</v>
      </c>
      <c r="DH1245" t="s">
        <v>482</v>
      </c>
      <c r="DI1245" t="s">
        <v>5</v>
      </c>
      <c r="DJ1245" t="s">
        <v>211</v>
      </c>
      <c r="DK1245" t="s">
        <v>298</v>
      </c>
      <c r="DM1245" t="s">
        <v>3727</v>
      </c>
      <c r="DW1245" t="s">
        <v>198</v>
      </c>
      <c r="EG1245" t="s">
        <v>198</v>
      </c>
      <c r="EQ1245" t="s">
        <v>198</v>
      </c>
      <c r="FA1245" t="s">
        <v>198</v>
      </c>
      <c r="FK1245" t="s">
        <v>198</v>
      </c>
      <c r="FU1245" t="s">
        <v>198</v>
      </c>
    </row>
    <row r="1246" spans="1:177">
      <c r="A1246" s="1" t="str">
        <f>HYPERLINK("http://digipan.lumentumllc.com/apps/getLink/index.php?t=PropLink&amp;p=4638462","PL")</f>
        <v>PL</v>
      </c>
      <c r="B1246" s="1" t="str">
        <f>HYPERLINK("http://digipan.lumentumllc.com/apps/getLink/index.php?t=TaxLink&amp;p=4638462","TL")</f>
        <v>TL</v>
      </c>
      <c r="C1246" s="1" t="str">
        <f>HYPERLINK("http://digipan.lumentumllc.com/apps/getMap/index.php?p=4638462","Map")</f>
        <v>Map</v>
      </c>
      <c r="E1246" t="s">
        <v>177</v>
      </c>
      <c r="F1246" t="s">
        <v>178</v>
      </c>
      <c r="L1246" t="s">
        <v>16176</v>
      </c>
      <c r="N1246" t="s">
        <v>16176</v>
      </c>
      <c r="O1246" t="s">
        <v>16176</v>
      </c>
      <c r="P1246" t="s">
        <v>16177</v>
      </c>
      <c r="Q1246" t="s">
        <v>16176</v>
      </c>
      <c r="V1246">
        <v>1422</v>
      </c>
      <c r="W1246">
        <v>5</v>
      </c>
      <c r="X1246">
        <v>2017</v>
      </c>
      <c r="Y1246">
        <v>2018</v>
      </c>
      <c r="Z1246">
        <v>130.22999999999999</v>
      </c>
      <c r="AB1246" t="s">
        <v>181</v>
      </c>
      <c r="AC1246" t="s">
        <v>182</v>
      </c>
      <c r="AD1246" t="s">
        <v>183</v>
      </c>
      <c r="AE1246">
        <v>1</v>
      </c>
      <c r="AF1246">
        <v>2</v>
      </c>
      <c r="AG1246" t="s">
        <v>363</v>
      </c>
      <c r="AH1246">
        <v>67</v>
      </c>
      <c r="AI1246">
        <v>126.61</v>
      </c>
      <c r="AJ1246">
        <v>19.940000000000001</v>
      </c>
      <c r="AK1246">
        <v>146.55000000000001</v>
      </c>
      <c r="AL1246">
        <v>6000</v>
      </c>
      <c r="AM1246">
        <v>6000</v>
      </c>
      <c r="AN1246">
        <v>0</v>
      </c>
      <c r="AO1246">
        <v>92</v>
      </c>
      <c r="AP1246">
        <v>2016</v>
      </c>
      <c r="AQ1246">
        <v>2.17</v>
      </c>
      <c r="AR1246">
        <v>2.44</v>
      </c>
      <c r="AS1246" t="s">
        <v>16178</v>
      </c>
      <c r="AT1246" t="s">
        <v>3210</v>
      </c>
      <c r="AU1246" t="s">
        <v>177</v>
      </c>
      <c r="AV1246" t="s">
        <v>2334</v>
      </c>
      <c r="AW1246" t="s">
        <v>182</v>
      </c>
      <c r="AX1246">
        <v>0</v>
      </c>
      <c r="AY1246" t="s">
        <v>312</v>
      </c>
      <c r="AZ1246" t="s">
        <v>199</v>
      </c>
      <c r="BA1246" t="s">
        <v>313</v>
      </c>
      <c r="BB1246" t="s">
        <v>191</v>
      </c>
      <c r="BC1246" t="s">
        <v>182</v>
      </c>
      <c r="BD1246" t="s">
        <v>182</v>
      </c>
      <c r="BE1246" t="s">
        <v>5689</v>
      </c>
      <c r="BF1246">
        <v>0</v>
      </c>
      <c r="BG1246">
        <v>0</v>
      </c>
      <c r="BH1246">
        <v>0</v>
      </c>
      <c r="BI1246" t="s">
        <v>199</v>
      </c>
      <c r="BJ1246" t="s">
        <v>396</v>
      </c>
      <c r="BL1246" t="s">
        <v>199</v>
      </c>
      <c r="BM1246" t="s">
        <v>501</v>
      </c>
      <c r="BN1246" t="s">
        <v>182</v>
      </c>
      <c r="BO1246" t="s">
        <v>198</v>
      </c>
      <c r="BP1246" t="s">
        <v>198</v>
      </c>
      <c r="BQ1246" t="s">
        <v>198</v>
      </c>
      <c r="BR1246" t="s">
        <v>198</v>
      </c>
      <c r="BS1246" t="s">
        <v>198</v>
      </c>
      <c r="BT1246" t="s">
        <v>198</v>
      </c>
      <c r="BU1246" t="s">
        <v>182</v>
      </c>
      <c r="BV1246" t="s">
        <v>198</v>
      </c>
      <c r="BW1246" t="s">
        <v>198</v>
      </c>
      <c r="BX1246" t="s">
        <v>199</v>
      </c>
      <c r="BY1246" t="s">
        <v>198</v>
      </c>
      <c r="BZ1246" t="s">
        <v>199</v>
      </c>
      <c r="CA1246" t="s">
        <v>199</v>
      </c>
      <c r="CB1246" t="s">
        <v>16148</v>
      </c>
      <c r="CC1246" t="s">
        <v>201</v>
      </c>
      <c r="CD1246" t="s">
        <v>182</v>
      </c>
      <c r="CE1246" t="s">
        <v>16149</v>
      </c>
      <c r="CF1246" t="s">
        <v>2333</v>
      </c>
      <c r="CG1246" t="s">
        <v>177</v>
      </c>
      <c r="CH1246" t="s">
        <v>2334</v>
      </c>
      <c r="CI1246" t="s">
        <v>15868</v>
      </c>
      <c r="CJ1246" t="s">
        <v>5157</v>
      </c>
      <c r="CK1246" t="s">
        <v>232</v>
      </c>
      <c r="CL1246" t="s">
        <v>233</v>
      </c>
      <c r="CM1246" t="s">
        <v>7842</v>
      </c>
      <c r="CN1246" t="s">
        <v>389</v>
      </c>
      <c r="CO1246" t="s">
        <v>183</v>
      </c>
      <c r="CP1246" t="s">
        <v>266</v>
      </c>
      <c r="CS1246" t="s">
        <v>198</v>
      </c>
      <c r="CT1246" t="s">
        <v>2471</v>
      </c>
      <c r="CU1246" t="s">
        <v>292</v>
      </c>
      <c r="CV1246" t="s">
        <v>293</v>
      </c>
      <c r="CW1246" t="s">
        <v>16179</v>
      </c>
      <c r="CX1246" t="s">
        <v>482</v>
      </c>
      <c r="CY1246" t="s">
        <v>183</v>
      </c>
      <c r="CZ1246" t="s">
        <v>211</v>
      </c>
      <c r="DA1246" t="s">
        <v>298</v>
      </c>
      <c r="DC1246" t="s">
        <v>3204</v>
      </c>
      <c r="DD1246" t="s">
        <v>16180</v>
      </c>
      <c r="DE1246" t="s">
        <v>238</v>
      </c>
      <c r="DF1246" t="s">
        <v>239</v>
      </c>
      <c r="DG1246" t="s">
        <v>16181</v>
      </c>
      <c r="DH1246" t="s">
        <v>387</v>
      </c>
      <c r="DI1246" t="s">
        <v>183</v>
      </c>
      <c r="DJ1246" t="s">
        <v>211</v>
      </c>
      <c r="DK1246" t="s">
        <v>444</v>
      </c>
      <c r="DM1246" t="s">
        <v>10042</v>
      </c>
      <c r="DW1246" t="s">
        <v>198</v>
      </c>
      <c r="EG1246" t="s">
        <v>198</v>
      </c>
      <c r="EQ1246" t="s">
        <v>198</v>
      </c>
      <c r="FA1246" t="s">
        <v>198</v>
      </c>
      <c r="FK1246" t="s">
        <v>198</v>
      </c>
      <c r="FU1246" t="s">
        <v>198</v>
      </c>
    </row>
    <row r="1247" spans="1:177">
      <c r="A1247" s="1" t="str">
        <f>HYPERLINK("http://digipan.lumentumllc.com/apps/getLink/index.php?t=PropLink&amp;p=15758717","PL")</f>
        <v>PL</v>
      </c>
      <c r="B1247" s="1" t="str">
        <f>HYPERLINK("http://digipan.lumentumllc.com/apps/getLink/index.php?t=TaxLink&amp;p=15758717","TL")</f>
        <v>TL</v>
      </c>
      <c r="C1247" s="1" t="str">
        <f>HYPERLINK("http://digipan.lumentumllc.com/apps/getMap/index.php?p=15758717","Map")</f>
        <v>Map</v>
      </c>
      <c r="E1247" t="s">
        <v>177</v>
      </c>
      <c r="F1247" t="s">
        <v>178</v>
      </c>
      <c r="L1247" t="s">
        <v>16182</v>
      </c>
      <c r="N1247" t="s">
        <v>16182</v>
      </c>
      <c r="O1247" t="s">
        <v>16182</v>
      </c>
      <c r="Q1247" t="s">
        <v>16182</v>
      </c>
      <c r="V1247">
        <v>1423</v>
      </c>
      <c r="W1247">
        <v>5</v>
      </c>
      <c r="X1247">
        <v>2017</v>
      </c>
      <c r="Y1247">
        <v>2018</v>
      </c>
      <c r="Z1247">
        <v>26813.95</v>
      </c>
      <c r="AG1247" t="s">
        <v>184</v>
      </c>
      <c r="AH1247">
        <v>0</v>
      </c>
      <c r="AK1247">
        <v>0</v>
      </c>
      <c r="AL1247">
        <v>1635778</v>
      </c>
      <c r="AM1247">
        <v>467820</v>
      </c>
      <c r="AN1247">
        <v>1167958</v>
      </c>
      <c r="AO1247">
        <v>28122</v>
      </c>
      <c r="AP1247">
        <v>2016</v>
      </c>
      <c r="AQ1247">
        <v>1.64</v>
      </c>
      <c r="AS1247" t="s">
        <v>16183</v>
      </c>
      <c r="AT1247" t="s">
        <v>3210</v>
      </c>
      <c r="AU1247" t="s">
        <v>177</v>
      </c>
      <c r="AV1247" t="s">
        <v>2334</v>
      </c>
      <c r="AW1247" t="s">
        <v>182</v>
      </c>
      <c r="AX1247">
        <v>27</v>
      </c>
      <c r="AY1247" t="s">
        <v>3641</v>
      </c>
      <c r="AZ1247" t="s">
        <v>616</v>
      </c>
      <c r="BA1247" t="s">
        <v>6072</v>
      </c>
      <c r="BB1247" t="s">
        <v>191</v>
      </c>
      <c r="BC1247" t="s">
        <v>182</v>
      </c>
      <c r="BD1247" t="s">
        <v>182</v>
      </c>
      <c r="BE1247" t="s">
        <v>12534</v>
      </c>
      <c r="BF1247">
        <v>1</v>
      </c>
      <c r="BG1247">
        <v>0</v>
      </c>
      <c r="BH1247">
        <v>2009</v>
      </c>
      <c r="BI1247" t="s">
        <v>16184</v>
      </c>
      <c r="BJ1247" t="s">
        <v>194</v>
      </c>
      <c r="BK1247" t="s">
        <v>3643</v>
      </c>
      <c r="BL1247" t="s">
        <v>199</v>
      </c>
      <c r="BM1247" t="s">
        <v>232</v>
      </c>
      <c r="BN1247" t="s">
        <v>182</v>
      </c>
      <c r="BO1247" t="s">
        <v>198</v>
      </c>
      <c r="BP1247" t="s">
        <v>198</v>
      </c>
      <c r="BQ1247" t="s">
        <v>198</v>
      </c>
      <c r="BR1247" t="s">
        <v>198</v>
      </c>
      <c r="BS1247" t="s">
        <v>198</v>
      </c>
      <c r="BT1247" t="s">
        <v>198</v>
      </c>
      <c r="BU1247" t="s">
        <v>182</v>
      </c>
      <c r="BV1247" t="s">
        <v>198</v>
      </c>
      <c r="BW1247" t="s">
        <v>198</v>
      </c>
      <c r="BX1247" t="s">
        <v>199</v>
      </c>
      <c r="BY1247" t="s">
        <v>198</v>
      </c>
      <c r="BZ1247" t="s">
        <v>199</v>
      </c>
      <c r="CA1247" t="s">
        <v>199</v>
      </c>
      <c r="CB1247" t="s">
        <v>16185</v>
      </c>
      <c r="CC1247" t="s">
        <v>201</v>
      </c>
      <c r="CD1247" t="s">
        <v>202</v>
      </c>
      <c r="CE1247" t="s">
        <v>16186</v>
      </c>
      <c r="CF1247" t="s">
        <v>16187</v>
      </c>
      <c r="CG1247" t="s">
        <v>1602</v>
      </c>
      <c r="CH1247" t="s">
        <v>16188</v>
      </c>
      <c r="CI1247" t="s">
        <v>16189</v>
      </c>
      <c r="CS1247" t="s">
        <v>198</v>
      </c>
      <c r="DC1247" t="s">
        <v>198</v>
      </c>
      <c r="DM1247" t="s">
        <v>198</v>
      </c>
      <c r="DW1247" t="s">
        <v>198</v>
      </c>
      <c r="EG1247" t="s">
        <v>198</v>
      </c>
      <c r="EQ1247" t="s">
        <v>198</v>
      </c>
      <c r="FA1247" t="s">
        <v>198</v>
      </c>
      <c r="FK1247" t="s">
        <v>198</v>
      </c>
      <c r="FU1247" t="s">
        <v>198</v>
      </c>
    </row>
    <row r="1248" spans="1:177">
      <c r="A1248" s="1" t="str">
        <f>HYPERLINK("http://digipan.lumentumllc.com/apps/getLink/index.php?t=PropLink&amp;p=15758720","PL")</f>
        <v>PL</v>
      </c>
      <c r="B1248" s="1" t="str">
        <f>HYPERLINK("http://digipan.lumentumllc.com/apps/getLink/index.php?t=TaxLink&amp;p=15758720","TL")</f>
        <v>TL</v>
      </c>
      <c r="C1248" s="1" t="str">
        <f>HYPERLINK("http://digipan.lumentumllc.com/apps/getMap/index.php?p=15758720","Map")</f>
        <v>Map</v>
      </c>
      <c r="E1248" t="s">
        <v>177</v>
      </c>
      <c r="F1248" t="s">
        <v>178</v>
      </c>
      <c r="L1248" t="s">
        <v>16190</v>
      </c>
      <c r="N1248" t="s">
        <v>16190</v>
      </c>
      <c r="O1248" t="s">
        <v>16190</v>
      </c>
      <c r="Q1248" t="s">
        <v>16190</v>
      </c>
      <c r="V1248">
        <v>1424</v>
      </c>
      <c r="W1248">
        <v>5</v>
      </c>
      <c r="X1248">
        <v>2017</v>
      </c>
      <c r="Y1248">
        <v>2018</v>
      </c>
      <c r="Z1248">
        <v>1496.73</v>
      </c>
      <c r="AG1248" t="s">
        <v>184</v>
      </c>
      <c r="AH1248">
        <v>0</v>
      </c>
      <c r="AK1248">
        <v>0</v>
      </c>
      <c r="AL1248">
        <v>89463</v>
      </c>
      <c r="AM1248">
        <v>28000</v>
      </c>
      <c r="AN1248">
        <v>61463</v>
      </c>
      <c r="AO1248">
        <v>1251</v>
      </c>
      <c r="AP1248">
        <v>2016</v>
      </c>
      <c r="AQ1248">
        <v>1.67</v>
      </c>
      <c r="AS1248" t="s">
        <v>16191</v>
      </c>
      <c r="AT1248" t="s">
        <v>3210</v>
      </c>
      <c r="AU1248" t="s">
        <v>177</v>
      </c>
      <c r="AV1248" t="s">
        <v>2334</v>
      </c>
      <c r="AW1248" t="s">
        <v>182</v>
      </c>
      <c r="AX1248">
        <v>1</v>
      </c>
      <c r="AY1248" t="s">
        <v>188</v>
      </c>
      <c r="AZ1248" t="s">
        <v>206</v>
      </c>
      <c r="BA1248" t="s">
        <v>355</v>
      </c>
      <c r="BB1248" t="s">
        <v>191</v>
      </c>
      <c r="BC1248" t="s">
        <v>182</v>
      </c>
      <c r="BD1248" t="s">
        <v>182</v>
      </c>
      <c r="BE1248" t="s">
        <v>6618</v>
      </c>
      <c r="BF1248">
        <v>1</v>
      </c>
      <c r="BG1248">
        <v>1</v>
      </c>
      <c r="BH1248">
        <v>1955</v>
      </c>
      <c r="BI1248" t="s">
        <v>16192</v>
      </c>
      <c r="BJ1248" t="s">
        <v>194</v>
      </c>
      <c r="BK1248" t="s">
        <v>840</v>
      </c>
      <c r="BL1248" t="s">
        <v>3374</v>
      </c>
      <c r="BM1248" t="s">
        <v>533</v>
      </c>
      <c r="BN1248" t="s">
        <v>182</v>
      </c>
      <c r="BO1248" t="s">
        <v>10061</v>
      </c>
      <c r="BP1248" t="s">
        <v>16193</v>
      </c>
      <c r="BQ1248" t="s">
        <v>1520</v>
      </c>
      <c r="BR1248" t="s">
        <v>582</v>
      </c>
      <c r="BS1248" t="s">
        <v>198</v>
      </c>
      <c r="BT1248" t="s">
        <v>8998</v>
      </c>
      <c r="BU1248" t="s">
        <v>182</v>
      </c>
      <c r="BV1248" t="s">
        <v>198</v>
      </c>
      <c r="BW1248" t="s">
        <v>198</v>
      </c>
      <c r="BX1248" t="s">
        <v>199</v>
      </c>
      <c r="BY1248" t="s">
        <v>198</v>
      </c>
      <c r="BZ1248" t="s">
        <v>199</v>
      </c>
      <c r="CA1248" t="s">
        <v>199</v>
      </c>
      <c r="CB1248" t="s">
        <v>16194</v>
      </c>
      <c r="CC1248" t="s">
        <v>1407</v>
      </c>
      <c r="CD1248" t="s">
        <v>182</v>
      </c>
      <c r="CE1248" t="s">
        <v>16195</v>
      </c>
      <c r="CF1248" t="s">
        <v>5331</v>
      </c>
      <c r="CG1248" t="s">
        <v>177</v>
      </c>
      <c r="CH1248" t="s">
        <v>371</v>
      </c>
      <c r="CI1248" t="s">
        <v>610</v>
      </c>
      <c r="CS1248" t="s">
        <v>198</v>
      </c>
      <c r="DC1248" t="s">
        <v>198</v>
      </c>
      <c r="DM1248" t="s">
        <v>198</v>
      </c>
      <c r="DW1248" t="s">
        <v>198</v>
      </c>
      <c r="EG1248" t="s">
        <v>198</v>
      </c>
      <c r="EQ1248" t="s">
        <v>198</v>
      </c>
      <c r="FA1248" t="s">
        <v>198</v>
      </c>
      <c r="FK1248" t="s">
        <v>198</v>
      </c>
      <c r="FU1248" t="s">
        <v>198</v>
      </c>
    </row>
    <row r="1249" spans="1:177">
      <c r="A1249" s="1" t="str">
        <f>HYPERLINK("http://digipan.lumentumllc.com/apps/getLink/index.php?t=PropLink&amp;p=5247844","PL")</f>
        <v>PL</v>
      </c>
      <c r="B1249" s="1" t="str">
        <f>HYPERLINK("http://digipan.lumentumllc.com/apps/getLink/index.php?t=TaxLink&amp;p=5247844","TL")</f>
        <v>TL</v>
      </c>
      <c r="C1249" s="1" t="str">
        <f>HYPERLINK("http://digipan.lumentumllc.com/apps/getMap/index.php?p=5247844","Map")</f>
        <v>Map</v>
      </c>
      <c r="E1249" t="s">
        <v>177</v>
      </c>
      <c r="F1249" t="s">
        <v>178</v>
      </c>
      <c r="L1249" t="s">
        <v>16196</v>
      </c>
      <c r="N1249" t="s">
        <v>16196</v>
      </c>
      <c r="O1249" t="s">
        <v>16196</v>
      </c>
      <c r="P1249" t="s">
        <v>16197</v>
      </c>
      <c r="Q1249" t="s">
        <v>16196</v>
      </c>
      <c r="V1249">
        <v>1425</v>
      </c>
      <c r="W1249">
        <v>5</v>
      </c>
      <c r="X1249">
        <v>2017</v>
      </c>
      <c r="Y1249">
        <v>2018</v>
      </c>
      <c r="Z1249">
        <v>350.17</v>
      </c>
      <c r="AB1249" t="s">
        <v>181</v>
      </c>
      <c r="AC1249" t="s">
        <v>182</v>
      </c>
      <c r="AD1249" t="s">
        <v>183</v>
      </c>
      <c r="AE1249">
        <v>0</v>
      </c>
      <c r="AF1249">
        <v>7</v>
      </c>
      <c r="AG1249" t="s">
        <v>528</v>
      </c>
      <c r="AH1249">
        <v>100</v>
      </c>
      <c r="AK1249">
        <v>0</v>
      </c>
      <c r="AL1249">
        <v>67692</v>
      </c>
      <c r="AM1249">
        <v>28000</v>
      </c>
      <c r="AN1249">
        <v>39692</v>
      </c>
      <c r="AO1249">
        <v>284</v>
      </c>
      <c r="AP1249">
        <v>2016</v>
      </c>
      <c r="AQ1249">
        <v>0.52</v>
      </c>
      <c r="AS1249" t="s">
        <v>16198</v>
      </c>
      <c r="AT1249" t="s">
        <v>3210</v>
      </c>
      <c r="AU1249" t="s">
        <v>177</v>
      </c>
      <c r="AV1249" t="s">
        <v>2334</v>
      </c>
      <c r="AW1249" t="s">
        <v>202</v>
      </c>
      <c r="AX1249">
        <v>2</v>
      </c>
      <c r="AY1249" t="s">
        <v>188</v>
      </c>
      <c r="AZ1249" t="s">
        <v>189</v>
      </c>
      <c r="BA1249" t="s">
        <v>190</v>
      </c>
      <c r="BB1249" t="s">
        <v>191</v>
      </c>
      <c r="BC1249" t="s">
        <v>182</v>
      </c>
      <c r="BD1249" t="s">
        <v>182</v>
      </c>
      <c r="BE1249" t="s">
        <v>6618</v>
      </c>
      <c r="BF1249">
        <v>1</v>
      </c>
      <c r="BG1249">
        <v>1</v>
      </c>
      <c r="BH1249">
        <v>1992</v>
      </c>
      <c r="BI1249" t="s">
        <v>15735</v>
      </c>
      <c r="BJ1249" t="s">
        <v>194</v>
      </c>
      <c r="BK1249" t="s">
        <v>195</v>
      </c>
      <c r="BL1249" t="s">
        <v>199</v>
      </c>
      <c r="BM1249" t="s">
        <v>945</v>
      </c>
      <c r="BN1249" t="s">
        <v>182</v>
      </c>
      <c r="BO1249" t="s">
        <v>16199</v>
      </c>
      <c r="BP1249" t="s">
        <v>14485</v>
      </c>
      <c r="BS1249" t="s">
        <v>16200</v>
      </c>
      <c r="BT1249" t="s">
        <v>198</v>
      </c>
      <c r="BU1249" t="s">
        <v>182</v>
      </c>
      <c r="BV1249" t="s">
        <v>198</v>
      </c>
      <c r="BW1249" t="s">
        <v>198</v>
      </c>
      <c r="BX1249" t="s">
        <v>199</v>
      </c>
      <c r="BY1249" t="s">
        <v>198</v>
      </c>
      <c r="BZ1249" t="s">
        <v>199</v>
      </c>
      <c r="CA1249" t="s">
        <v>199</v>
      </c>
      <c r="CB1249" t="s">
        <v>16201</v>
      </c>
      <c r="CC1249" t="s">
        <v>201</v>
      </c>
      <c r="CD1249" t="s">
        <v>182</v>
      </c>
      <c r="CE1249" t="s">
        <v>16202</v>
      </c>
      <c r="CF1249" t="s">
        <v>2333</v>
      </c>
      <c r="CG1249" t="s">
        <v>177</v>
      </c>
      <c r="CH1249" t="s">
        <v>2334</v>
      </c>
      <c r="CI1249" t="s">
        <v>1127</v>
      </c>
      <c r="CJ1249" t="s">
        <v>5202</v>
      </c>
      <c r="CK1249" t="s">
        <v>232</v>
      </c>
      <c r="CL1249" t="s">
        <v>233</v>
      </c>
      <c r="CM1249" t="s">
        <v>16203</v>
      </c>
      <c r="CN1249" t="s">
        <v>235</v>
      </c>
      <c r="CO1249" t="s">
        <v>183</v>
      </c>
      <c r="CP1249" t="s">
        <v>211</v>
      </c>
      <c r="CQ1249" t="s">
        <v>270</v>
      </c>
      <c r="CS1249" t="s">
        <v>10862</v>
      </c>
      <c r="CT1249" t="s">
        <v>9295</v>
      </c>
      <c r="CU1249" t="s">
        <v>292</v>
      </c>
      <c r="CV1249" t="s">
        <v>293</v>
      </c>
      <c r="CW1249" t="s">
        <v>16204</v>
      </c>
      <c r="CX1249" t="s">
        <v>235</v>
      </c>
      <c r="CY1249" t="s">
        <v>183</v>
      </c>
      <c r="CZ1249" t="s">
        <v>211</v>
      </c>
      <c r="DA1249" t="s">
        <v>298</v>
      </c>
      <c r="DC1249" t="s">
        <v>1760</v>
      </c>
      <c r="DD1249" t="s">
        <v>12905</v>
      </c>
      <c r="DE1249" t="s">
        <v>267</v>
      </c>
      <c r="DF1249" t="s">
        <v>268</v>
      </c>
      <c r="DG1249" t="s">
        <v>16205</v>
      </c>
      <c r="DH1249" t="s">
        <v>235</v>
      </c>
      <c r="DI1249" t="s">
        <v>183</v>
      </c>
      <c r="DJ1249" t="s">
        <v>211</v>
      </c>
      <c r="DK1249" t="s">
        <v>270</v>
      </c>
      <c r="DM1249" t="s">
        <v>16206</v>
      </c>
      <c r="DN1249" t="s">
        <v>10146</v>
      </c>
      <c r="DO1249" t="s">
        <v>273</v>
      </c>
      <c r="DP1249" t="s">
        <v>274</v>
      </c>
      <c r="DQ1249" t="s">
        <v>2186</v>
      </c>
      <c r="DR1249" t="s">
        <v>235</v>
      </c>
      <c r="DS1249" t="s">
        <v>183</v>
      </c>
      <c r="DT1249" t="s">
        <v>211</v>
      </c>
      <c r="DU1249" t="s">
        <v>296</v>
      </c>
      <c r="DW1249" t="s">
        <v>4786</v>
      </c>
      <c r="DX1249" t="s">
        <v>861</v>
      </c>
      <c r="DY1249" t="s">
        <v>302</v>
      </c>
      <c r="DZ1249" t="s">
        <v>303</v>
      </c>
      <c r="EA1249" t="s">
        <v>16207</v>
      </c>
      <c r="EB1249" t="s">
        <v>235</v>
      </c>
      <c r="EC1249" t="s">
        <v>183</v>
      </c>
      <c r="ED1249" t="s">
        <v>211</v>
      </c>
      <c r="EE1249" t="s">
        <v>270</v>
      </c>
      <c r="EG1249" t="s">
        <v>16208</v>
      </c>
      <c r="EH1249" t="s">
        <v>16209</v>
      </c>
      <c r="EI1249" t="s">
        <v>238</v>
      </c>
      <c r="EJ1249" t="s">
        <v>239</v>
      </c>
      <c r="EK1249" t="s">
        <v>5397</v>
      </c>
      <c r="EL1249" t="s">
        <v>278</v>
      </c>
      <c r="EM1249" t="s">
        <v>183</v>
      </c>
      <c r="EN1249" t="s">
        <v>211</v>
      </c>
      <c r="EO1249" t="s">
        <v>298</v>
      </c>
      <c r="EQ1249" t="s">
        <v>1619</v>
      </c>
      <c r="ER1249" t="s">
        <v>16210</v>
      </c>
      <c r="ES1249" t="s">
        <v>207</v>
      </c>
      <c r="ET1249" t="s">
        <v>208</v>
      </c>
      <c r="EU1249" t="s">
        <v>16211</v>
      </c>
      <c r="EV1249" t="s">
        <v>1966</v>
      </c>
      <c r="EW1249" t="s">
        <v>183</v>
      </c>
      <c r="EX1249" t="s">
        <v>211</v>
      </c>
      <c r="EY1249" t="s">
        <v>270</v>
      </c>
      <c r="FA1249" t="s">
        <v>9280</v>
      </c>
      <c r="FK1249" t="s">
        <v>198</v>
      </c>
      <c r="FU1249" t="s">
        <v>198</v>
      </c>
    </row>
    <row r="1250" spans="1:177">
      <c r="A1250" s="1" t="str">
        <f>HYPERLINK("http://digipan.lumentumllc.com/apps/getLink/index.php?t=PropLink&amp;p=4638464","PL")</f>
        <v>PL</v>
      </c>
      <c r="B1250" s="1" t="str">
        <f>HYPERLINK("http://digipan.lumentumllc.com/apps/getLink/index.php?t=TaxLink&amp;p=4638464","TL")</f>
        <v>TL</v>
      </c>
      <c r="C1250" s="1" t="str">
        <f>HYPERLINK("http://digipan.lumentumllc.com/apps/getMap/index.php?p=4638464","Map")</f>
        <v>Map</v>
      </c>
      <c r="E1250" t="s">
        <v>177</v>
      </c>
      <c r="F1250" t="s">
        <v>178</v>
      </c>
      <c r="L1250" t="s">
        <v>16212</v>
      </c>
      <c r="N1250" t="s">
        <v>16212</v>
      </c>
      <c r="O1250" t="s">
        <v>16212</v>
      </c>
      <c r="P1250" t="s">
        <v>16213</v>
      </c>
      <c r="Q1250" t="s">
        <v>16212</v>
      </c>
      <c r="V1250">
        <v>1426</v>
      </c>
      <c r="W1250">
        <v>5</v>
      </c>
      <c r="X1250">
        <v>2017</v>
      </c>
      <c r="Y1250">
        <v>2018</v>
      </c>
      <c r="Z1250">
        <v>416.38</v>
      </c>
      <c r="AB1250" t="s">
        <v>181</v>
      </c>
      <c r="AC1250" t="s">
        <v>182</v>
      </c>
      <c r="AD1250" t="s">
        <v>183</v>
      </c>
      <c r="AE1250">
        <v>0</v>
      </c>
      <c r="AF1250">
        <v>1</v>
      </c>
      <c r="AG1250" t="s">
        <v>821</v>
      </c>
      <c r="AH1250">
        <v>100</v>
      </c>
      <c r="AK1250">
        <v>0</v>
      </c>
      <c r="AL1250">
        <v>53836</v>
      </c>
      <c r="AM1250">
        <v>28000</v>
      </c>
      <c r="AN1250">
        <v>25836</v>
      </c>
      <c r="AO1250">
        <v>291</v>
      </c>
      <c r="AP1250">
        <v>2016</v>
      </c>
      <c r="AQ1250">
        <v>0.77</v>
      </c>
      <c r="AS1250" t="s">
        <v>16214</v>
      </c>
      <c r="AT1250" t="s">
        <v>3210</v>
      </c>
      <c r="AU1250" t="s">
        <v>177</v>
      </c>
      <c r="AV1250" t="s">
        <v>2334</v>
      </c>
      <c r="AW1250" t="s">
        <v>202</v>
      </c>
      <c r="AX1250">
        <v>2</v>
      </c>
      <c r="AY1250" t="s">
        <v>188</v>
      </c>
      <c r="AZ1250" t="s">
        <v>189</v>
      </c>
      <c r="BA1250" t="s">
        <v>190</v>
      </c>
      <c r="BB1250" t="s">
        <v>191</v>
      </c>
      <c r="BC1250" t="s">
        <v>182</v>
      </c>
      <c r="BD1250" t="s">
        <v>182</v>
      </c>
      <c r="BE1250" t="s">
        <v>13050</v>
      </c>
      <c r="BF1250">
        <v>1</v>
      </c>
      <c r="BG1250">
        <v>1</v>
      </c>
      <c r="BH1250">
        <v>1991</v>
      </c>
      <c r="BI1250" t="s">
        <v>1291</v>
      </c>
      <c r="BJ1250" t="s">
        <v>194</v>
      </c>
      <c r="BK1250" t="s">
        <v>195</v>
      </c>
      <c r="BL1250" t="s">
        <v>199</v>
      </c>
      <c r="BM1250" t="s">
        <v>945</v>
      </c>
      <c r="BN1250" t="s">
        <v>182</v>
      </c>
      <c r="BO1250" t="s">
        <v>198</v>
      </c>
      <c r="BP1250" t="s">
        <v>198</v>
      </c>
      <c r="BQ1250" t="s">
        <v>198</v>
      </c>
      <c r="BR1250" t="s">
        <v>198</v>
      </c>
      <c r="BS1250" t="s">
        <v>198</v>
      </c>
      <c r="BT1250" t="s">
        <v>198</v>
      </c>
      <c r="BU1250" t="s">
        <v>182</v>
      </c>
      <c r="BV1250" t="s">
        <v>198</v>
      </c>
      <c r="BW1250" t="s">
        <v>198</v>
      </c>
      <c r="BX1250" t="s">
        <v>199</v>
      </c>
      <c r="BY1250" t="s">
        <v>198</v>
      </c>
      <c r="BZ1250" t="s">
        <v>199</v>
      </c>
      <c r="CA1250" t="s">
        <v>199</v>
      </c>
      <c r="CB1250" t="s">
        <v>16215</v>
      </c>
      <c r="CC1250" t="s">
        <v>201</v>
      </c>
      <c r="CD1250" t="s">
        <v>202</v>
      </c>
      <c r="CE1250" t="s">
        <v>16216</v>
      </c>
      <c r="CF1250" t="s">
        <v>2333</v>
      </c>
      <c r="CG1250" t="s">
        <v>177</v>
      </c>
      <c r="CH1250" t="s">
        <v>2334</v>
      </c>
      <c r="CI1250" t="s">
        <v>10240</v>
      </c>
      <c r="CJ1250" t="s">
        <v>12678</v>
      </c>
      <c r="CK1250" t="s">
        <v>292</v>
      </c>
      <c r="CL1250" t="s">
        <v>293</v>
      </c>
      <c r="CM1250" t="s">
        <v>16217</v>
      </c>
      <c r="CN1250" t="s">
        <v>235</v>
      </c>
      <c r="CO1250" t="s">
        <v>183</v>
      </c>
      <c r="CP1250" t="s">
        <v>211</v>
      </c>
      <c r="CQ1250" t="s">
        <v>270</v>
      </c>
      <c r="CS1250" t="s">
        <v>16218</v>
      </c>
      <c r="DC1250" t="s">
        <v>198</v>
      </c>
      <c r="DM1250" t="s">
        <v>198</v>
      </c>
      <c r="DW1250" t="s">
        <v>198</v>
      </c>
      <c r="EG1250" t="s">
        <v>198</v>
      </c>
      <c r="EQ1250" t="s">
        <v>198</v>
      </c>
      <c r="FA1250" t="s">
        <v>198</v>
      </c>
      <c r="FK1250" t="s">
        <v>198</v>
      </c>
      <c r="FU1250" t="s">
        <v>198</v>
      </c>
    </row>
    <row r="1251" spans="1:177">
      <c r="A1251" s="1" t="str">
        <f>HYPERLINK("http://digipan.lumentumllc.com/apps/getLink/index.php?t=PropLink&amp;p=4638466","PL")</f>
        <v>PL</v>
      </c>
      <c r="B1251" s="1" t="str">
        <f>HYPERLINK("http://digipan.lumentumllc.com/apps/getLink/index.php?t=TaxLink&amp;p=4638466","TL")</f>
        <v>TL</v>
      </c>
      <c r="C1251" s="1" t="str">
        <f>HYPERLINK("http://digipan.lumentumllc.com/apps/getMap/index.php?p=4638466","Map")</f>
        <v>Map</v>
      </c>
      <c r="E1251" t="s">
        <v>177</v>
      </c>
      <c r="F1251" t="s">
        <v>178</v>
      </c>
      <c r="L1251" t="s">
        <v>16219</v>
      </c>
      <c r="N1251" t="s">
        <v>16219</v>
      </c>
      <c r="O1251" t="s">
        <v>16219</v>
      </c>
      <c r="P1251" t="s">
        <v>16220</v>
      </c>
      <c r="Q1251" t="s">
        <v>16219</v>
      </c>
      <c r="V1251">
        <v>1428</v>
      </c>
      <c r="W1251">
        <v>5</v>
      </c>
      <c r="X1251">
        <v>2017</v>
      </c>
      <c r="Y1251">
        <v>2018</v>
      </c>
      <c r="Z1251">
        <v>275.55</v>
      </c>
      <c r="AB1251" t="s">
        <v>181</v>
      </c>
      <c r="AC1251" t="s">
        <v>182</v>
      </c>
      <c r="AD1251" t="s">
        <v>183</v>
      </c>
      <c r="AE1251">
        <v>2</v>
      </c>
      <c r="AF1251">
        <v>5</v>
      </c>
      <c r="AG1251" t="s">
        <v>282</v>
      </c>
      <c r="AH1251">
        <v>67</v>
      </c>
      <c r="AI1251">
        <v>536.12</v>
      </c>
      <c r="AJ1251">
        <v>121.12</v>
      </c>
      <c r="AK1251">
        <v>657.24</v>
      </c>
      <c r="AL1251">
        <v>14875</v>
      </c>
      <c r="AM1251">
        <v>14875</v>
      </c>
      <c r="AN1251">
        <v>0</v>
      </c>
      <c r="AO1251">
        <v>228</v>
      </c>
      <c r="AP1251">
        <v>2016</v>
      </c>
      <c r="AQ1251">
        <v>1.85</v>
      </c>
      <c r="AR1251">
        <v>4.42</v>
      </c>
      <c r="AS1251" t="s">
        <v>16221</v>
      </c>
      <c r="AT1251" t="s">
        <v>3210</v>
      </c>
      <c r="AU1251" t="s">
        <v>177</v>
      </c>
      <c r="AV1251" t="s">
        <v>2334</v>
      </c>
      <c r="AW1251" t="s">
        <v>182</v>
      </c>
      <c r="AX1251">
        <v>0</v>
      </c>
      <c r="AY1251" t="s">
        <v>312</v>
      </c>
      <c r="AZ1251" t="s">
        <v>199</v>
      </c>
      <c r="BA1251" t="s">
        <v>313</v>
      </c>
      <c r="BB1251" t="s">
        <v>191</v>
      </c>
      <c r="BC1251" t="s">
        <v>182</v>
      </c>
      <c r="BD1251" t="s">
        <v>182</v>
      </c>
      <c r="BE1251" t="s">
        <v>13126</v>
      </c>
      <c r="BF1251">
        <v>0</v>
      </c>
      <c r="BG1251">
        <v>0</v>
      </c>
      <c r="BH1251">
        <v>0</v>
      </c>
      <c r="BI1251" t="s">
        <v>199</v>
      </c>
      <c r="BJ1251" t="s">
        <v>315</v>
      </c>
      <c r="BL1251" t="s">
        <v>199</v>
      </c>
      <c r="BM1251" t="s">
        <v>358</v>
      </c>
      <c r="BN1251" t="s">
        <v>182</v>
      </c>
      <c r="BO1251" t="s">
        <v>198</v>
      </c>
      <c r="BP1251" t="s">
        <v>198</v>
      </c>
      <c r="BQ1251" t="s">
        <v>198</v>
      </c>
      <c r="BR1251" t="s">
        <v>198</v>
      </c>
      <c r="BS1251" t="s">
        <v>198</v>
      </c>
      <c r="BT1251" t="s">
        <v>198</v>
      </c>
      <c r="BU1251" t="s">
        <v>182</v>
      </c>
      <c r="BV1251" t="s">
        <v>198</v>
      </c>
      <c r="BW1251" t="s">
        <v>198</v>
      </c>
      <c r="BX1251" t="s">
        <v>199</v>
      </c>
      <c r="BY1251" t="s">
        <v>198</v>
      </c>
      <c r="BZ1251" t="s">
        <v>199</v>
      </c>
      <c r="CA1251" t="s">
        <v>199</v>
      </c>
      <c r="CB1251" t="s">
        <v>16222</v>
      </c>
      <c r="CC1251" t="s">
        <v>201</v>
      </c>
      <c r="CD1251" t="s">
        <v>182</v>
      </c>
      <c r="CE1251" t="s">
        <v>16223</v>
      </c>
      <c r="CF1251" t="s">
        <v>413</v>
      </c>
      <c r="CG1251" t="s">
        <v>177</v>
      </c>
      <c r="CH1251" t="s">
        <v>414</v>
      </c>
      <c r="CI1251" t="s">
        <v>4843</v>
      </c>
      <c r="CJ1251" t="s">
        <v>10660</v>
      </c>
      <c r="CK1251" t="s">
        <v>232</v>
      </c>
      <c r="CL1251" t="s">
        <v>233</v>
      </c>
      <c r="CM1251" t="s">
        <v>16224</v>
      </c>
      <c r="CN1251" t="s">
        <v>341</v>
      </c>
      <c r="CO1251" t="s">
        <v>183</v>
      </c>
      <c r="CP1251" t="s">
        <v>266</v>
      </c>
      <c r="CS1251" t="s">
        <v>198</v>
      </c>
      <c r="CT1251" t="s">
        <v>10031</v>
      </c>
      <c r="CU1251" t="s">
        <v>292</v>
      </c>
      <c r="CV1251" t="s">
        <v>293</v>
      </c>
      <c r="CW1251" t="s">
        <v>16225</v>
      </c>
      <c r="CX1251" t="s">
        <v>482</v>
      </c>
      <c r="CY1251" t="s">
        <v>183</v>
      </c>
      <c r="CZ1251" t="s">
        <v>266</v>
      </c>
      <c r="DC1251" t="s">
        <v>198</v>
      </c>
      <c r="DD1251" t="s">
        <v>8946</v>
      </c>
      <c r="DE1251" t="s">
        <v>267</v>
      </c>
      <c r="DF1251" t="s">
        <v>268</v>
      </c>
      <c r="DG1251" t="s">
        <v>16226</v>
      </c>
      <c r="DH1251" t="s">
        <v>1966</v>
      </c>
      <c r="DI1251" t="s">
        <v>183</v>
      </c>
      <c r="DJ1251" t="s">
        <v>211</v>
      </c>
      <c r="DK1251" t="s">
        <v>298</v>
      </c>
      <c r="DM1251" t="s">
        <v>2096</v>
      </c>
      <c r="DN1251" t="s">
        <v>16227</v>
      </c>
      <c r="DO1251" t="s">
        <v>273</v>
      </c>
      <c r="DP1251" t="s">
        <v>274</v>
      </c>
      <c r="DQ1251" t="s">
        <v>16228</v>
      </c>
      <c r="DR1251" t="s">
        <v>400</v>
      </c>
      <c r="DS1251" t="s">
        <v>183</v>
      </c>
      <c r="DT1251" t="s">
        <v>211</v>
      </c>
      <c r="DU1251" t="s">
        <v>525</v>
      </c>
      <c r="DW1251" t="s">
        <v>2096</v>
      </c>
      <c r="DX1251" t="s">
        <v>16229</v>
      </c>
      <c r="DY1251" t="s">
        <v>302</v>
      </c>
      <c r="DZ1251" t="s">
        <v>303</v>
      </c>
      <c r="EA1251" t="s">
        <v>4649</v>
      </c>
      <c r="EB1251" t="s">
        <v>278</v>
      </c>
      <c r="EC1251" t="s">
        <v>183</v>
      </c>
      <c r="ED1251" t="s">
        <v>211</v>
      </c>
      <c r="EE1251" t="s">
        <v>342</v>
      </c>
      <c r="EG1251" t="s">
        <v>1097</v>
      </c>
      <c r="EH1251" t="s">
        <v>16230</v>
      </c>
      <c r="EI1251" t="s">
        <v>238</v>
      </c>
      <c r="EJ1251" t="s">
        <v>239</v>
      </c>
      <c r="EK1251" t="s">
        <v>16231</v>
      </c>
      <c r="EL1251" t="s">
        <v>922</v>
      </c>
      <c r="EM1251" t="s">
        <v>183</v>
      </c>
      <c r="EN1251" t="s">
        <v>211</v>
      </c>
      <c r="EO1251" t="s">
        <v>345</v>
      </c>
      <c r="EQ1251" t="s">
        <v>1097</v>
      </c>
      <c r="ER1251" t="s">
        <v>16232</v>
      </c>
      <c r="ES1251" t="s">
        <v>207</v>
      </c>
      <c r="ET1251" t="s">
        <v>208</v>
      </c>
      <c r="EU1251" t="s">
        <v>16233</v>
      </c>
      <c r="EV1251" t="s">
        <v>1966</v>
      </c>
      <c r="EW1251" t="s">
        <v>183</v>
      </c>
      <c r="EX1251" t="s">
        <v>211</v>
      </c>
      <c r="EY1251" t="s">
        <v>339</v>
      </c>
      <c r="FA1251" t="s">
        <v>16234</v>
      </c>
      <c r="FK1251" t="s">
        <v>198</v>
      </c>
      <c r="FU1251" t="s">
        <v>198</v>
      </c>
    </row>
    <row r="1252" spans="1:177">
      <c r="A1252" s="1" t="str">
        <f>HYPERLINK("http://digipan.lumentumllc.com/apps/getLink/index.php?t=PropLink&amp;p=4638467","PL")</f>
        <v>PL</v>
      </c>
      <c r="B1252" s="1" t="str">
        <f>HYPERLINK("http://digipan.lumentumllc.com/apps/getLink/index.php?t=TaxLink&amp;p=4638467","TL")</f>
        <v>TL</v>
      </c>
      <c r="C1252" s="1" t="str">
        <f>HYPERLINK("http://digipan.lumentumllc.com/apps/getMap/index.php?p=4638467","Map")</f>
        <v>Map</v>
      </c>
      <c r="E1252" t="s">
        <v>177</v>
      </c>
      <c r="F1252" t="s">
        <v>178</v>
      </c>
      <c r="L1252" t="s">
        <v>16235</v>
      </c>
      <c r="N1252" t="s">
        <v>16235</v>
      </c>
      <c r="O1252" t="s">
        <v>16235</v>
      </c>
      <c r="P1252" t="s">
        <v>16236</v>
      </c>
      <c r="Q1252" t="s">
        <v>16235</v>
      </c>
      <c r="V1252">
        <v>1429</v>
      </c>
      <c r="W1252">
        <v>5</v>
      </c>
      <c r="X1252">
        <v>2017</v>
      </c>
      <c r="Y1252">
        <v>2018</v>
      </c>
      <c r="Z1252">
        <v>372.97</v>
      </c>
      <c r="AB1252" t="s">
        <v>181</v>
      </c>
      <c r="AC1252" t="s">
        <v>182</v>
      </c>
      <c r="AD1252" t="s">
        <v>183</v>
      </c>
      <c r="AE1252">
        <v>2</v>
      </c>
      <c r="AF1252">
        <v>5</v>
      </c>
      <c r="AG1252" t="s">
        <v>282</v>
      </c>
      <c r="AH1252">
        <v>67</v>
      </c>
      <c r="AI1252">
        <v>730.95</v>
      </c>
      <c r="AJ1252">
        <v>165.35</v>
      </c>
      <c r="AK1252">
        <v>896.3</v>
      </c>
      <c r="AL1252">
        <v>20825</v>
      </c>
      <c r="AM1252">
        <v>20825</v>
      </c>
      <c r="AN1252">
        <v>0</v>
      </c>
      <c r="AO1252">
        <v>320</v>
      </c>
      <c r="AP1252">
        <v>2016</v>
      </c>
      <c r="AQ1252">
        <v>1.79</v>
      </c>
      <c r="AR1252">
        <v>4.3</v>
      </c>
      <c r="AS1252" t="s">
        <v>16237</v>
      </c>
      <c r="AT1252" t="s">
        <v>3210</v>
      </c>
      <c r="AU1252" t="s">
        <v>177</v>
      </c>
      <c r="AV1252" t="s">
        <v>2334</v>
      </c>
      <c r="AW1252" t="s">
        <v>182</v>
      </c>
      <c r="AX1252">
        <v>0</v>
      </c>
      <c r="AY1252" t="s">
        <v>312</v>
      </c>
      <c r="AZ1252" t="s">
        <v>199</v>
      </c>
      <c r="BA1252" t="s">
        <v>313</v>
      </c>
      <c r="BB1252" t="s">
        <v>191</v>
      </c>
      <c r="BC1252" t="s">
        <v>182</v>
      </c>
      <c r="BD1252" t="s">
        <v>182</v>
      </c>
      <c r="BE1252" t="s">
        <v>3956</v>
      </c>
      <c r="BF1252">
        <v>0</v>
      </c>
      <c r="BG1252">
        <v>0</v>
      </c>
      <c r="BH1252">
        <v>0</v>
      </c>
      <c r="BI1252" t="s">
        <v>199</v>
      </c>
      <c r="BJ1252" t="s">
        <v>396</v>
      </c>
      <c r="BL1252" t="s">
        <v>199</v>
      </c>
      <c r="BM1252" t="s">
        <v>358</v>
      </c>
      <c r="BN1252" t="s">
        <v>182</v>
      </c>
      <c r="BO1252" t="s">
        <v>198</v>
      </c>
      <c r="BP1252" t="s">
        <v>198</v>
      </c>
      <c r="BQ1252" t="s">
        <v>198</v>
      </c>
      <c r="BR1252" t="s">
        <v>198</v>
      </c>
      <c r="BS1252" t="s">
        <v>198</v>
      </c>
      <c r="BT1252" t="s">
        <v>198</v>
      </c>
      <c r="BU1252" t="s">
        <v>182</v>
      </c>
      <c r="BV1252" t="s">
        <v>198</v>
      </c>
      <c r="BW1252" t="s">
        <v>198</v>
      </c>
      <c r="BX1252" t="s">
        <v>199</v>
      </c>
      <c r="BY1252" t="s">
        <v>198</v>
      </c>
      <c r="BZ1252" t="s">
        <v>199</v>
      </c>
      <c r="CA1252" t="s">
        <v>199</v>
      </c>
      <c r="CB1252" t="s">
        <v>16222</v>
      </c>
      <c r="CC1252" t="s">
        <v>201</v>
      </c>
      <c r="CD1252" t="s">
        <v>182</v>
      </c>
      <c r="CE1252" t="s">
        <v>16223</v>
      </c>
      <c r="CF1252" t="s">
        <v>413</v>
      </c>
      <c r="CG1252" t="s">
        <v>177</v>
      </c>
      <c r="CH1252" t="s">
        <v>414</v>
      </c>
      <c r="CI1252" t="s">
        <v>7898</v>
      </c>
      <c r="CJ1252" t="s">
        <v>10779</v>
      </c>
      <c r="CK1252" t="s">
        <v>232</v>
      </c>
      <c r="CL1252" t="s">
        <v>233</v>
      </c>
      <c r="CM1252" t="s">
        <v>16238</v>
      </c>
      <c r="CN1252" t="s">
        <v>341</v>
      </c>
      <c r="CO1252" t="s">
        <v>183</v>
      </c>
      <c r="CP1252" t="s">
        <v>266</v>
      </c>
      <c r="CS1252" t="s">
        <v>198</v>
      </c>
      <c r="CT1252" t="s">
        <v>12708</v>
      </c>
      <c r="CU1252" t="s">
        <v>292</v>
      </c>
      <c r="CV1252" t="s">
        <v>293</v>
      </c>
      <c r="CW1252" t="s">
        <v>16239</v>
      </c>
      <c r="CX1252" t="s">
        <v>482</v>
      </c>
      <c r="CY1252" t="s">
        <v>183</v>
      </c>
      <c r="CZ1252" t="s">
        <v>266</v>
      </c>
      <c r="DC1252" t="s">
        <v>198</v>
      </c>
      <c r="DD1252" t="s">
        <v>15535</v>
      </c>
      <c r="DE1252" t="s">
        <v>267</v>
      </c>
      <c r="DF1252" t="s">
        <v>268</v>
      </c>
      <c r="DG1252" t="s">
        <v>16240</v>
      </c>
      <c r="DH1252" t="s">
        <v>1966</v>
      </c>
      <c r="DI1252" t="s">
        <v>183</v>
      </c>
      <c r="DJ1252" t="s">
        <v>211</v>
      </c>
      <c r="DK1252" t="s">
        <v>298</v>
      </c>
      <c r="DM1252" t="s">
        <v>2096</v>
      </c>
      <c r="DN1252" t="s">
        <v>15303</v>
      </c>
      <c r="DO1252" t="s">
        <v>273</v>
      </c>
      <c r="DP1252" t="s">
        <v>274</v>
      </c>
      <c r="DQ1252" t="s">
        <v>16241</v>
      </c>
      <c r="DR1252" t="s">
        <v>400</v>
      </c>
      <c r="DS1252" t="s">
        <v>183</v>
      </c>
      <c r="DT1252" t="s">
        <v>211</v>
      </c>
      <c r="DU1252" t="s">
        <v>525</v>
      </c>
      <c r="DW1252" t="s">
        <v>2096</v>
      </c>
      <c r="DX1252" t="s">
        <v>16242</v>
      </c>
      <c r="DY1252" t="s">
        <v>302</v>
      </c>
      <c r="DZ1252" t="s">
        <v>303</v>
      </c>
      <c r="EA1252" t="s">
        <v>16243</v>
      </c>
      <c r="EB1252" t="s">
        <v>278</v>
      </c>
      <c r="EC1252" t="s">
        <v>183</v>
      </c>
      <c r="ED1252" t="s">
        <v>211</v>
      </c>
      <c r="EE1252" t="s">
        <v>342</v>
      </c>
      <c r="EG1252" t="s">
        <v>1097</v>
      </c>
      <c r="EH1252" t="s">
        <v>16244</v>
      </c>
      <c r="EI1252" t="s">
        <v>238</v>
      </c>
      <c r="EJ1252" t="s">
        <v>239</v>
      </c>
      <c r="EK1252" t="s">
        <v>16245</v>
      </c>
      <c r="EL1252" t="s">
        <v>278</v>
      </c>
      <c r="EM1252" t="s">
        <v>183</v>
      </c>
      <c r="EN1252" t="s">
        <v>211</v>
      </c>
      <c r="EO1252" t="s">
        <v>345</v>
      </c>
      <c r="EQ1252" t="s">
        <v>1097</v>
      </c>
      <c r="ER1252" t="s">
        <v>16246</v>
      </c>
      <c r="ES1252" t="s">
        <v>207</v>
      </c>
      <c r="ET1252" t="s">
        <v>208</v>
      </c>
      <c r="EU1252" t="s">
        <v>16247</v>
      </c>
      <c r="EV1252" t="s">
        <v>1966</v>
      </c>
      <c r="EW1252" t="s">
        <v>183</v>
      </c>
      <c r="EX1252" t="s">
        <v>211</v>
      </c>
      <c r="EY1252" t="s">
        <v>339</v>
      </c>
      <c r="FA1252" t="s">
        <v>16234</v>
      </c>
      <c r="FK1252" t="s">
        <v>198</v>
      </c>
      <c r="FU1252" t="s">
        <v>198</v>
      </c>
    </row>
    <row r="1253" spans="1:177">
      <c r="A1253" s="1" t="str">
        <f>HYPERLINK("http://digipan.lumentumllc.com/apps/getLink/index.php?t=PropLink&amp;p=5247847","PL")</f>
        <v>PL</v>
      </c>
      <c r="B1253" s="1" t="str">
        <f>HYPERLINK("http://digipan.lumentumllc.com/apps/getLink/index.php?t=TaxLink&amp;p=5247847","TL")</f>
        <v>TL</v>
      </c>
      <c r="C1253" s="1" t="str">
        <f>HYPERLINK("http://digipan.lumentumllc.com/apps/getMap/index.php?p=5247847","Map")</f>
        <v>Map</v>
      </c>
      <c r="E1253" t="s">
        <v>177</v>
      </c>
      <c r="F1253" t="s">
        <v>178</v>
      </c>
      <c r="L1253" t="s">
        <v>16248</v>
      </c>
      <c r="N1253" t="s">
        <v>16248</v>
      </c>
      <c r="O1253" t="s">
        <v>16248</v>
      </c>
      <c r="P1253" t="s">
        <v>16249</v>
      </c>
      <c r="Q1253" t="s">
        <v>16248</v>
      </c>
      <c r="V1253">
        <v>1430</v>
      </c>
      <c r="W1253">
        <v>5</v>
      </c>
      <c r="X1253">
        <v>2017</v>
      </c>
      <c r="Y1253">
        <v>2018</v>
      </c>
      <c r="Z1253">
        <v>509.76</v>
      </c>
      <c r="AB1253" t="s">
        <v>181</v>
      </c>
      <c r="AC1253" t="s">
        <v>182</v>
      </c>
      <c r="AD1253" t="s">
        <v>183</v>
      </c>
      <c r="AE1253">
        <v>1</v>
      </c>
      <c r="AF1253">
        <v>7</v>
      </c>
      <c r="AG1253" t="s">
        <v>418</v>
      </c>
      <c r="AH1253">
        <v>86</v>
      </c>
      <c r="AI1253">
        <v>511.45</v>
      </c>
      <c r="AJ1253">
        <v>25.57</v>
      </c>
      <c r="AK1253">
        <v>537.02</v>
      </c>
      <c r="AL1253">
        <v>29181</v>
      </c>
      <c r="AM1253">
        <v>12390</v>
      </c>
      <c r="AN1253">
        <v>16791</v>
      </c>
      <c r="AO1253">
        <v>448</v>
      </c>
      <c r="AP1253">
        <v>2016</v>
      </c>
      <c r="AQ1253">
        <v>1.75</v>
      </c>
      <c r="AR1253">
        <v>1.84</v>
      </c>
      <c r="AS1253" t="s">
        <v>16250</v>
      </c>
      <c r="AT1253" t="s">
        <v>3210</v>
      </c>
      <c r="AU1253" t="s">
        <v>177</v>
      </c>
      <c r="AV1253" t="s">
        <v>2334</v>
      </c>
      <c r="AW1253" t="s">
        <v>182</v>
      </c>
      <c r="AX1253">
        <v>1</v>
      </c>
      <c r="AY1253" t="s">
        <v>188</v>
      </c>
      <c r="AZ1253" t="s">
        <v>206</v>
      </c>
      <c r="BA1253" t="s">
        <v>355</v>
      </c>
      <c r="BB1253" t="s">
        <v>191</v>
      </c>
      <c r="BC1253" t="s">
        <v>182</v>
      </c>
      <c r="BD1253" t="s">
        <v>182</v>
      </c>
      <c r="BE1253" t="s">
        <v>7407</v>
      </c>
      <c r="BF1253">
        <v>1</v>
      </c>
      <c r="BG1253">
        <v>1</v>
      </c>
      <c r="BH1253">
        <v>1966</v>
      </c>
      <c r="BI1253" t="s">
        <v>12421</v>
      </c>
      <c r="BJ1253" t="s">
        <v>194</v>
      </c>
      <c r="BK1253" t="s">
        <v>195</v>
      </c>
      <c r="BL1253" t="s">
        <v>199</v>
      </c>
      <c r="BM1253" t="s">
        <v>4973</v>
      </c>
      <c r="BN1253" t="s">
        <v>182</v>
      </c>
      <c r="BO1253" t="s">
        <v>198</v>
      </c>
      <c r="BP1253" t="s">
        <v>198</v>
      </c>
      <c r="BQ1253" t="s">
        <v>198</v>
      </c>
      <c r="BR1253" t="s">
        <v>198</v>
      </c>
      <c r="BS1253" t="s">
        <v>198</v>
      </c>
      <c r="BT1253" t="s">
        <v>198</v>
      </c>
      <c r="BU1253" t="s">
        <v>182</v>
      </c>
      <c r="BV1253" t="s">
        <v>198</v>
      </c>
      <c r="BW1253" t="s">
        <v>198</v>
      </c>
      <c r="BX1253" t="s">
        <v>199</v>
      </c>
      <c r="BY1253" t="s">
        <v>198</v>
      </c>
      <c r="BZ1253" t="s">
        <v>199</v>
      </c>
      <c r="CA1253" t="s">
        <v>199</v>
      </c>
      <c r="CB1253" t="s">
        <v>15726</v>
      </c>
      <c r="CC1253" t="s">
        <v>201</v>
      </c>
      <c r="CD1253" t="s">
        <v>202</v>
      </c>
      <c r="CE1253" t="s">
        <v>5937</v>
      </c>
      <c r="CF1253" t="s">
        <v>2333</v>
      </c>
      <c r="CG1253" t="s">
        <v>177</v>
      </c>
      <c r="CH1253" t="s">
        <v>3178</v>
      </c>
      <c r="CI1253" t="s">
        <v>13764</v>
      </c>
      <c r="CJ1253" t="s">
        <v>12295</v>
      </c>
      <c r="CK1253" t="s">
        <v>232</v>
      </c>
      <c r="CL1253" t="s">
        <v>233</v>
      </c>
      <c r="CM1253" t="s">
        <v>16251</v>
      </c>
      <c r="CN1253" t="s">
        <v>331</v>
      </c>
      <c r="CO1253" t="s">
        <v>183</v>
      </c>
      <c r="CP1253" t="s">
        <v>266</v>
      </c>
      <c r="CS1253" t="s">
        <v>198</v>
      </c>
      <c r="CT1253" t="s">
        <v>12737</v>
      </c>
      <c r="CU1253" t="s">
        <v>292</v>
      </c>
      <c r="CV1253" t="s">
        <v>293</v>
      </c>
      <c r="CW1253" t="s">
        <v>16252</v>
      </c>
      <c r="CX1253" t="s">
        <v>333</v>
      </c>
      <c r="CY1253" t="s">
        <v>183</v>
      </c>
      <c r="CZ1253" t="s">
        <v>211</v>
      </c>
      <c r="DA1253" t="s">
        <v>345</v>
      </c>
      <c r="DC1253" t="s">
        <v>1609</v>
      </c>
      <c r="DD1253" t="s">
        <v>2491</v>
      </c>
      <c r="DE1253" t="s">
        <v>267</v>
      </c>
      <c r="DF1253" t="s">
        <v>268</v>
      </c>
      <c r="DG1253" t="s">
        <v>16253</v>
      </c>
      <c r="DH1253" t="s">
        <v>235</v>
      </c>
      <c r="DI1253" t="s">
        <v>183</v>
      </c>
      <c r="DJ1253" t="s">
        <v>211</v>
      </c>
      <c r="DK1253" t="s">
        <v>635</v>
      </c>
      <c r="DM1253" t="s">
        <v>5312</v>
      </c>
      <c r="DN1253" t="s">
        <v>10875</v>
      </c>
      <c r="DO1253" t="s">
        <v>273</v>
      </c>
      <c r="DP1253" t="s">
        <v>274</v>
      </c>
      <c r="DQ1253" t="s">
        <v>16254</v>
      </c>
      <c r="DR1253" t="s">
        <v>235</v>
      </c>
      <c r="DS1253" t="s">
        <v>183</v>
      </c>
      <c r="DT1253" t="s">
        <v>211</v>
      </c>
      <c r="DU1253" t="s">
        <v>345</v>
      </c>
      <c r="DW1253" t="s">
        <v>7476</v>
      </c>
      <c r="DX1253" t="s">
        <v>11387</v>
      </c>
      <c r="DY1253" t="s">
        <v>302</v>
      </c>
      <c r="DZ1253" t="s">
        <v>303</v>
      </c>
      <c r="EA1253" t="s">
        <v>16255</v>
      </c>
      <c r="EB1253" t="s">
        <v>235</v>
      </c>
      <c r="EC1253" t="s">
        <v>183</v>
      </c>
      <c r="ED1253" t="s">
        <v>211</v>
      </c>
      <c r="EE1253" t="s">
        <v>298</v>
      </c>
      <c r="EG1253" t="s">
        <v>1616</v>
      </c>
      <c r="EH1253" t="s">
        <v>15803</v>
      </c>
      <c r="EI1253" t="s">
        <v>238</v>
      </c>
      <c r="EJ1253" t="s">
        <v>239</v>
      </c>
      <c r="EK1253" t="s">
        <v>16256</v>
      </c>
      <c r="EL1253" t="s">
        <v>927</v>
      </c>
      <c r="EM1253" t="s">
        <v>183</v>
      </c>
      <c r="EN1253" t="s">
        <v>211</v>
      </c>
      <c r="EO1253" t="s">
        <v>345</v>
      </c>
      <c r="EQ1253" t="s">
        <v>2753</v>
      </c>
      <c r="ER1253" t="s">
        <v>5911</v>
      </c>
      <c r="ES1253" t="s">
        <v>346</v>
      </c>
      <c r="ET1253" t="s">
        <v>347</v>
      </c>
      <c r="EU1253" t="s">
        <v>16257</v>
      </c>
      <c r="EV1253" t="s">
        <v>1491</v>
      </c>
      <c r="EW1253" t="s">
        <v>183</v>
      </c>
      <c r="EX1253" t="s">
        <v>211</v>
      </c>
      <c r="EY1253" t="s">
        <v>345</v>
      </c>
      <c r="FA1253" t="s">
        <v>3391</v>
      </c>
      <c r="FB1253" t="s">
        <v>422</v>
      </c>
      <c r="FC1253" t="s">
        <v>207</v>
      </c>
      <c r="FD1253" t="s">
        <v>208</v>
      </c>
      <c r="FE1253" t="s">
        <v>16258</v>
      </c>
      <c r="FF1253" t="s">
        <v>391</v>
      </c>
      <c r="FG1253" t="s">
        <v>183</v>
      </c>
      <c r="FH1253" t="s">
        <v>211</v>
      </c>
      <c r="FI1253" t="s">
        <v>337</v>
      </c>
      <c r="FK1253" t="s">
        <v>4656</v>
      </c>
      <c r="FU1253" t="s">
        <v>198</v>
      </c>
    </row>
    <row r="1254" spans="1:177">
      <c r="A1254" s="1" t="str">
        <f>HYPERLINK("http://digipan.lumentumllc.com/apps/getLink/index.php?t=PropLink&amp;p=5247850","PL")</f>
        <v>PL</v>
      </c>
      <c r="B1254" s="1" t="str">
        <f>HYPERLINK("http://digipan.lumentumllc.com/apps/getLink/index.php?t=TaxLink&amp;p=5247850","TL")</f>
        <v>TL</v>
      </c>
      <c r="C1254" s="1" t="str">
        <f>HYPERLINK("http://digipan.lumentumllc.com/apps/getMap/index.php?p=5247850","Map")</f>
        <v>Map</v>
      </c>
      <c r="E1254" t="s">
        <v>177</v>
      </c>
      <c r="F1254" t="s">
        <v>178</v>
      </c>
      <c r="L1254" t="s">
        <v>16259</v>
      </c>
      <c r="N1254" t="s">
        <v>16259</v>
      </c>
      <c r="O1254" t="s">
        <v>16259</v>
      </c>
      <c r="P1254" t="s">
        <v>16260</v>
      </c>
      <c r="Q1254" t="s">
        <v>16259</v>
      </c>
      <c r="V1254">
        <v>1431</v>
      </c>
      <c r="W1254">
        <v>5</v>
      </c>
      <c r="X1254">
        <v>2017</v>
      </c>
      <c r="Y1254">
        <v>2018</v>
      </c>
      <c r="Z1254">
        <v>613.83000000000004</v>
      </c>
      <c r="AB1254" t="s">
        <v>181</v>
      </c>
      <c r="AC1254" t="s">
        <v>182</v>
      </c>
      <c r="AD1254" t="s">
        <v>183</v>
      </c>
      <c r="AE1254">
        <v>0</v>
      </c>
      <c r="AF1254">
        <v>1</v>
      </c>
      <c r="AG1254" t="s">
        <v>821</v>
      </c>
      <c r="AH1254">
        <v>100</v>
      </c>
      <c r="AK1254">
        <v>0</v>
      </c>
      <c r="AL1254">
        <v>77379</v>
      </c>
      <c r="AM1254">
        <v>19682</v>
      </c>
      <c r="AN1254">
        <v>57697</v>
      </c>
      <c r="AO1254">
        <v>538</v>
      </c>
      <c r="AP1254">
        <v>2016</v>
      </c>
      <c r="AQ1254">
        <v>0.79</v>
      </c>
      <c r="AS1254" t="s">
        <v>16261</v>
      </c>
      <c r="AT1254" t="s">
        <v>3210</v>
      </c>
      <c r="AU1254" t="s">
        <v>177</v>
      </c>
      <c r="AV1254" t="s">
        <v>2334</v>
      </c>
      <c r="AW1254" t="s">
        <v>202</v>
      </c>
      <c r="AX1254">
        <v>1</v>
      </c>
      <c r="AY1254" t="s">
        <v>188</v>
      </c>
      <c r="AZ1254" t="s">
        <v>206</v>
      </c>
      <c r="BA1254" t="s">
        <v>355</v>
      </c>
      <c r="BB1254" t="s">
        <v>191</v>
      </c>
      <c r="BC1254" t="s">
        <v>182</v>
      </c>
      <c r="BD1254" t="s">
        <v>182</v>
      </c>
      <c r="BE1254" t="s">
        <v>14278</v>
      </c>
      <c r="BF1254">
        <v>1</v>
      </c>
      <c r="BG1254">
        <v>1</v>
      </c>
      <c r="BH1254">
        <v>1973</v>
      </c>
      <c r="BI1254" t="s">
        <v>11855</v>
      </c>
      <c r="BJ1254" t="s">
        <v>194</v>
      </c>
      <c r="BK1254" t="s">
        <v>195</v>
      </c>
      <c r="BL1254" t="s">
        <v>16262</v>
      </c>
      <c r="BM1254" t="s">
        <v>3957</v>
      </c>
      <c r="BN1254" t="s">
        <v>182</v>
      </c>
      <c r="BO1254" t="s">
        <v>198</v>
      </c>
      <c r="BP1254" t="s">
        <v>198</v>
      </c>
      <c r="BQ1254" t="s">
        <v>198</v>
      </c>
      <c r="BR1254" t="s">
        <v>198</v>
      </c>
      <c r="BS1254" t="s">
        <v>198</v>
      </c>
      <c r="BT1254" t="s">
        <v>198</v>
      </c>
      <c r="BU1254" t="s">
        <v>182</v>
      </c>
      <c r="BV1254" t="s">
        <v>198</v>
      </c>
      <c r="BW1254" t="s">
        <v>198</v>
      </c>
      <c r="BX1254" t="s">
        <v>199</v>
      </c>
      <c r="BY1254" t="s">
        <v>198</v>
      </c>
      <c r="BZ1254" t="s">
        <v>199</v>
      </c>
      <c r="CA1254" t="s">
        <v>199</v>
      </c>
      <c r="CB1254" t="s">
        <v>16263</v>
      </c>
      <c r="CC1254" t="s">
        <v>201</v>
      </c>
      <c r="CD1254" t="s">
        <v>202</v>
      </c>
      <c r="CE1254" t="s">
        <v>16264</v>
      </c>
      <c r="CF1254" t="s">
        <v>2333</v>
      </c>
      <c r="CG1254" t="s">
        <v>177</v>
      </c>
      <c r="CH1254" t="s">
        <v>2334</v>
      </c>
      <c r="CI1254" t="s">
        <v>16265</v>
      </c>
      <c r="CJ1254" t="s">
        <v>14644</v>
      </c>
      <c r="CK1254" t="s">
        <v>346</v>
      </c>
      <c r="CL1254" t="s">
        <v>347</v>
      </c>
      <c r="CM1254" t="s">
        <v>16266</v>
      </c>
      <c r="CN1254" t="s">
        <v>235</v>
      </c>
      <c r="CO1254" t="s">
        <v>183</v>
      </c>
      <c r="CP1254" t="s">
        <v>211</v>
      </c>
      <c r="CQ1254" t="s">
        <v>264</v>
      </c>
      <c r="CS1254" t="s">
        <v>16267</v>
      </c>
      <c r="DC1254" t="s">
        <v>198</v>
      </c>
      <c r="DM1254" t="s">
        <v>198</v>
      </c>
      <c r="DW1254" t="s">
        <v>198</v>
      </c>
      <c r="EG1254" t="s">
        <v>198</v>
      </c>
      <c r="EQ1254" t="s">
        <v>198</v>
      </c>
      <c r="FA1254" t="s">
        <v>198</v>
      </c>
      <c r="FK1254" t="s">
        <v>198</v>
      </c>
      <c r="FU1254" t="s">
        <v>198</v>
      </c>
    </row>
    <row r="1255" spans="1:177">
      <c r="A1255" s="1" t="str">
        <f>HYPERLINK("http://digipan.lumentumllc.com/apps/getLink/index.php?t=PropLink&amp;p=6129481","PL")</f>
        <v>PL</v>
      </c>
      <c r="B1255" s="1" t="str">
        <f>HYPERLINK("http://digipan.lumentumllc.com/apps/getLink/index.php?t=TaxLink&amp;p=6129481","TL")</f>
        <v>TL</v>
      </c>
      <c r="C1255" s="1" t="str">
        <f>HYPERLINK("http://digipan.lumentumllc.com/apps/getMap/index.php?p=6129481","Map")</f>
        <v>Map</v>
      </c>
      <c r="E1255" t="s">
        <v>177</v>
      </c>
      <c r="F1255" t="s">
        <v>178</v>
      </c>
      <c r="L1255" t="s">
        <v>16268</v>
      </c>
      <c r="N1255" t="s">
        <v>16268</v>
      </c>
      <c r="O1255" t="s">
        <v>16268</v>
      </c>
      <c r="P1255" t="s">
        <v>16269</v>
      </c>
      <c r="Q1255" t="s">
        <v>16268</v>
      </c>
      <c r="V1255">
        <v>1432</v>
      </c>
      <c r="W1255">
        <v>5</v>
      </c>
      <c r="X1255">
        <v>2017</v>
      </c>
      <c r="Y1255">
        <v>2018</v>
      </c>
      <c r="Z1255">
        <v>465.67</v>
      </c>
      <c r="AB1255" t="s">
        <v>181</v>
      </c>
      <c r="AC1255" t="s">
        <v>182</v>
      </c>
      <c r="AD1255" t="s">
        <v>183</v>
      </c>
      <c r="AE1255">
        <v>0</v>
      </c>
      <c r="AF1255">
        <v>5</v>
      </c>
      <c r="AG1255" t="s">
        <v>3266</v>
      </c>
      <c r="AH1255">
        <v>100</v>
      </c>
      <c r="AK1255">
        <v>0</v>
      </c>
      <c r="AL1255">
        <v>26487</v>
      </c>
      <c r="AM1255">
        <v>26487</v>
      </c>
      <c r="AN1255">
        <v>0</v>
      </c>
      <c r="AO1255">
        <v>407</v>
      </c>
      <c r="AP1255">
        <v>2016</v>
      </c>
      <c r="AQ1255">
        <v>1.76</v>
      </c>
      <c r="AS1255" t="s">
        <v>16270</v>
      </c>
      <c r="AT1255" t="s">
        <v>3210</v>
      </c>
      <c r="AU1255" t="s">
        <v>177</v>
      </c>
      <c r="AV1255" t="s">
        <v>2334</v>
      </c>
      <c r="AW1255" t="s">
        <v>182</v>
      </c>
      <c r="AX1255">
        <v>0</v>
      </c>
      <c r="AY1255" t="s">
        <v>312</v>
      </c>
      <c r="AZ1255" t="s">
        <v>199</v>
      </c>
      <c r="BA1255" t="s">
        <v>313</v>
      </c>
      <c r="BB1255" t="s">
        <v>191</v>
      </c>
      <c r="BC1255" t="s">
        <v>182</v>
      </c>
      <c r="BD1255" t="s">
        <v>182</v>
      </c>
      <c r="BE1255" t="s">
        <v>16271</v>
      </c>
      <c r="BF1255">
        <v>0</v>
      </c>
      <c r="BG1255">
        <v>0</v>
      </c>
      <c r="BH1255">
        <v>0</v>
      </c>
      <c r="BI1255" t="s">
        <v>199</v>
      </c>
      <c r="BJ1255" t="s">
        <v>194</v>
      </c>
      <c r="BL1255" t="s">
        <v>938</v>
      </c>
      <c r="BM1255" t="s">
        <v>286</v>
      </c>
      <c r="BN1255" t="s">
        <v>182</v>
      </c>
      <c r="BO1255" t="s">
        <v>1668</v>
      </c>
      <c r="BP1255" t="s">
        <v>16272</v>
      </c>
      <c r="BS1255" t="s">
        <v>16273</v>
      </c>
      <c r="BT1255" t="s">
        <v>198</v>
      </c>
      <c r="BU1255" t="s">
        <v>182</v>
      </c>
      <c r="BV1255" t="s">
        <v>198</v>
      </c>
      <c r="BW1255" t="s">
        <v>198</v>
      </c>
      <c r="BX1255" t="s">
        <v>199</v>
      </c>
      <c r="BY1255" t="s">
        <v>198</v>
      </c>
      <c r="BZ1255" t="s">
        <v>199</v>
      </c>
      <c r="CA1255" t="s">
        <v>199</v>
      </c>
      <c r="CB1255" t="s">
        <v>16274</v>
      </c>
      <c r="CC1255" t="s">
        <v>201</v>
      </c>
      <c r="CD1255" t="s">
        <v>182</v>
      </c>
      <c r="CE1255" t="s">
        <v>16275</v>
      </c>
      <c r="CF1255" t="s">
        <v>2333</v>
      </c>
      <c r="CG1255" t="s">
        <v>177</v>
      </c>
      <c r="CH1255" t="s">
        <v>2334</v>
      </c>
      <c r="CI1255" t="s">
        <v>16276</v>
      </c>
      <c r="CJ1255" t="s">
        <v>14853</v>
      </c>
      <c r="CK1255" t="s">
        <v>232</v>
      </c>
      <c r="CL1255" t="s">
        <v>233</v>
      </c>
      <c r="CM1255" t="s">
        <v>16277</v>
      </c>
      <c r="CN1255" t="s">
        <v>331</v>
      </c>
      <c r="CO1255" t="s">
        <v>183</v>
      </c>
      <c r="CP1255" t="s">
        <v>211</v>
      </c>
      <c r="CQ1255" t="s">
        <v>296</v>
      </c>
      <c r="CS1255" t="s">
        <v>16278</v>
      </c>
      <c r="CT1255" t="s">
        <v>12421</v>
      </c>
      <c r="CU1255" t="s">
        <v>292</v>
      </c>
      <c r="CV1255" t="s">
        <v>293</v>
      </c>
      <c r="CW1255" t="s">
        <v>16279</v>
      </c>
      <c r="CX1255" t="s">
        <v>235</v>
      </c>
      <c r="CY1255" t="s">
        <v>183</v>
      </c>
      <c r="CZ1255" t="s">
        <v>211</v>
      </c>
      <c r="DA1255" t="s">
        <v>199</v>
      </c>
      <c r="DC1255" t="s">
        <v>13759</v>
      </c>
      <c r="DD1255" t="s">
        <v>7132</v>
      </c>
      <c r="DE1255" t="s">
        <v>267</v>
      </c>
      <c r="DF1255" t="s">
        <v>268</v>
      </c>
      <c r="DG1255" t="s">
        <v>16280</v>
      </c>
      <c r="DH1255" t="s">
        <v>1966</v>
      </c>
      <c r="DI1255" t="s">
        <v>183</v>
      </c>
      <c r="DJ1255" t="s">
        <v>211</v>
      </c>
      <c r="DK1255" t="s">
        <v>199</v>
      </c>
      <c r="DM1255" t="s">
        <v>5413</v>
      </c>
      <c r="DN1255" t="s">
        <v>2394</v>
      </c>
      <c r="DO1255" t="s">
        <v>273</v>
      </c>
      <c r="DP1255" t="s">
        <v>274</v>
      </c>
      <c r="DQ1255" t="s">
        <v>16281</v>
      </c>
      <c r="DR1255" t="s">
        <v>3395</v>
      </c>
      <c r="DS1255" t="s">
        <v>183</v>
      </c>
      <c r="DT1255" t="s">
        <v>211</v>
      </c>
      <c r="DU1255" t="s">
        <v>427</v>
      </c>
      <c r="DW1255" t="s">
        <v>5413</v>
      </c>
      <c r="DX1255" t="s">
        <v>16282</v>
      </c>
      <c r="DY1255" t="s">
        <v>238</v>
      </c>
      <c r="DZ1255" t="s">
        <v>239</v>
      </c>
      <c r="EA1255" t="s">
        <v>16283</v>
      </c>
      <c r="EB1255" t="s">
        <v>331</v>
      </c>
      <c r="EC1255" t="s">
        <v>183</v>
      </c>
      <c r="ED1255" t="s">
        <v>211</v>
      </c>
      <c r="EE1255" t="s">
        <v>189</v>
      </c>
      <c r="EG1255" t="s">
        <v>16284</v>
      </c>
      <c r="EQ1255" t="s">
        <v>198</v>
      </c>
      <c r="FA1255" t="s">
        <v>198</v>
      </c>
      <c r="FK1255" t="s">
        <v>198</v>
      </c>
      <c r="FU1255" t="s">
        <v>198</v>
      </c>
    </row>
    <row r="1256" spans="1:177">
      <c r="A1256" s="1" t="str">
        <f>HYPERLINK("http://digipan.lumentumllc.com/apps/getLink/index.php?t=PropLink&amp;p=5247853","PL")</f>
        <v>PL</v>
      </c>
      <c r="B1256" s="1" t="str">
        <f>HYPERLINK("http://digipan.lumentumllc.com/apps/getLink/index.php?t=TaxLink&amp;p=5247853","TL")</f>
        <v>TL</v>
      </c>
      <c r="C1256" s="1" t="str">
        <f>HYPERLINK("http://digipan.lumentumllc.com/apps/getMap/index.php?p=5247853","Map")</f>
        <v>Map</v>
      </c>
      <c r="E1256" t="s">
        <v>177</v>
      </c>
      <c r="F1256" t="s">
        <v>178</v>
      </c>
      <c r="L1256" t="s">
        <v>16285</v>
      </c>
      <c r="N1256" t="s">
        <v>16285</v>
      </c>
      <c r="O1256" t="s">
        <v>16285</v>
      </c>
      <c r="P1256" t="s">
        <v>16286</v>
      </c>
      <c r="Q1256" t="s">
        <v>16285</v>
      </c>
      <c r="V1256">
        <v>1433</v>
      </c>
      <c r="W1256">
        <v>5</v>
      </c>
      <c r="X1256">
        <v>2017</v>
      </c>
      <c r="Y1256">
        <v>2018</v>
      </c>
      <c r="Z1256">
        <v>787</v>
      </c>
      <c r="AB1256" t="s">
        <v>181</v>
      </c>
      <c r="AC1256" t="s">
        <v>182</v>
      </c>
      <c r="AD1256" t="s">
        <v>183</v>
      </c>
      <c r="AE1256">
        <v>0</v>
      </c>
      <c r="AF1256">
        <v>6</v>
      </c>
      <c r="AG1256" t="s">
        <v>528</v>
      </c>
      <c r="AH1256">
        <v>100</v>
      </c>
      <c r="AK1256">
        <v>0</v>
      </c>
      <c r="AL1256">
        <v>46114</v>
      </c>
      <c r="AM1256">
        <v>35487</v>
      </c>
      <c r="AN1256">
        <v>10627</v>
      </c>
      <c r="AO1256">
        <v>708</v>
      </c>
      <c r="AP1256">
        <v>2016</v>
      </c>
      <c r="AQ1256">
        <v>1.71</v>
      </c>
      <c r="AS1256" t="s">
        <v>16287</v>
      </c>
      <c r="AT1256" t="s">
        <v>3210</v>
      </c>
      <c r="AU1256" t="s">
        <v>177</v>
      </c>
      <c r="AV1256" t="s">
        <v>2334</v>
      </c>
      <c r="AW1256" t="s">
        <v>182</v>
      </c>
      <c r="AX1256">
        <v>2</v>
      </c>
      <c r="AY1256" t="s">
        <v>188</v>
      </c>
      <c r="AZ1256" t="s">
        <v>189</v>
      </c>
      <c r="BA1256" t="s">
        <v>190</v>
      </c>
      <c r="BB1256" t="s">
        <v>191</v>
      </c>
      <c r="BC1256" t="s">
        <v>182</v>
      </c>
      <c r="BD1256" t="s">
        <v>182</v>
      </c>
      <c r="BE1256" t="s">
        <v>16288</v>
      </c>
      <c r="BF1256">
        <v>1</v>
      </c>
      <c r="BG1256">
        <v>1</v>
      </c>
      <c r="BH1256">
        <v>1971</v>
      </c>
      <c r="BI1256" t="s">
        <v>11507</v>
      </c>
      <c r="BJ1256" t="s">
        <v>194</v>
      </c>
      <c r="BK1256" t="s">
        <v>195</v>
      </c>
      <c r="BL1256" t="s">
        <v>938</v>
      </c>
      <c r="BM1256" t="s">
        <v>286</v>
      </c>
      <c r="BN1256" t="s">
        <v>182</v>
      </c>
      <c r="BO1256" t="s">
        <v>3012</v>
      </c>
      <c r="BP1256" t="s">
        <v>16289</v>
      </c>
      <c r="BQ1256" t="s">
        <v>581</v>
      </c>
      <c r="BR1256" t="s">
        <v>16290</v>
      </c>
      <c r="BS1256" t="s">
        <v>198</v>
      </c>
      <c r="BT1256" t="s">
        <v>16291</v>
      </c>
      <c r="BU1256" t="s">
        <v>182</v>
      </c>
      <c r="BV1256" t="s">
        <v>198</v>
      </c>
      <c r="BW1256" t="s">
        <v>198</v>
      </c>
      <c r="BX1256" t="s">
        <v>199</v>
      </c>
      <c r="BY1256" t="s">
        <v>198</v>
      </c>
      <c r="BZ1256" t="s">
        <v>199</v>
      </c>
      <c r="CA1256" t="s">
        <v>199</v>
      </c>
      <c r="CB1256" t="s">
        <v>16274</v>
      </c>
      <c r="CC1256" t="s">
        <v>201</v>
      </c>
      <c r="CD1256" t="s">
        <v>182</v>
      </c>
      <c r="CE1256" t="s">
        <v>16275</v>
      </c>
      <c r="CF1256" t="s">
        <v>2333</v>
      </c>
      <c r="CG1256" t="s">
        <v>177</v>
      </c>
      <c r="CH1256" t="s">
        <v>2334</v>
      </c>
      <c r="CI1256" t="s">
        <v>16292</v>
      </c>
      <c r="CJ1256" t="s">
        <v>14873</v>
      </c>
      <c r="CK1256" t="s">
        <v>232</v>
      </c>
      <c r="CL1256" t="s">
        <v>233</v>
      </c>
      <c r="CM1256" t="s">
        <v>16293</v>
      </c>
      <c r="CN1256" t="s">
        <v>235</v>
      </c>
      <c r="CO1256" t="s">
        <v>183</v>
      </c>
      <c r="CP1256" t="s">
        <v>211</v>
      </c>
      <c r="CQ1256" t="s">
        <v>296</v>
      </c>
      <c r="CS1256" t="s">
        <v>16278</v>
      </c>
      <c r="CT1256" t="s">
        <v>7006</v>
      </c>
      <c r="CU1256" t="s">
        <v>292</v>
      </c>
      <c r="CV1256" t="s">
        <v>293</v>
      </c>
      <c r="CW1256" t="s">
        <v>16294</v>
      </c>
      <c r="CX1256" t="s">
        <v>235</v>
      </c>
      <c r="CY1256" t="s">
        <v>183</v>
      </c>
      <c r="CZ1256" t="s">
        <v>211</v>
      </c>
      <c r="DA1256" t="s">
        <v>199</v>
      </c>
      <c r="DC1256" t="s">
        <v>13759</v>
      </c>
      <c r="DD1256" t="s">
        <v>7147</v>
      </c>
      <c r="DE1256" t="s">
        <v>267</v>
      </c>
      <c r="DF1256" t="s">
        <v>268</v>
      </c>
      <c r="DG1256" t="s">
        <v>16295</v>
      </c>
      <c r="DH1256" t="s">
        <v>235</v>
      </c>
      <c r="DI1256" t="s">
        <v>183</v>
      </c>
      <c r="DJ1256" t="s">
        <v>211</v>
      </c>
      <c r="DK1256" t="s">
        <v>199</v>
      </c>
      <c r="DM1256" t="s">
        <v>5413</v>
      </c>
      <c r="DN1256" t="s">
        <v>11426</v>
      </c>
      <c r="DO1256" t="s">
        <v>302</v>
      </c>
      <c r="DP1256" t="s">
        <v>303</v>
      </c>
      <c r="DQ1256" t="s">
        <v>16296</v>
      </c>
      <c r="DR1256" t="s">
        <v>511</v>
      </c>
      <c r="DS1256" t="s">
        <v>183</v>
      </c>
      <c r="DT1256" t="s">
        <v>211</v>
      </c>
      <c r="DU1256" t="s">
        <v>212</v>
      </c>
      <c r="DW1256" t="s">
        <v>12023</v>
      </c>
      <c r="DX1256" t="s">
        <v>16297</v>
      </c>
      <c r="DY1256" t="s">
        <v>238</v>
      </c>
      <c r="DZ1256" t="s">
        <v>239</v>
      </c>
      <c r="EA1256" t="s">
        <v>16298</v>
      </c>
      <c r="EB1256" t="s">
        <v>440</v>
      </c>
      <c r="EC1256" t="s">
        <v>183</v>
      </c>
      <c r="ED1256" t="s">
        <v>211</v>
      </c>
      <c r="EE1256" t="s">
        <v>189</v>
      </c>
      <c r="EG1256" t="s">
        <v>16284</v>
      </c>
      <c r="EH1256" t="s">
        <v>16299</v>
      </c>
      <c r="EI1256" t="s">
        <v>346</v>
      </c>
      <c r="EJ1256" t="s">
        <v>347</v>
      </c>
      <c r="EK1256" t="s">
        <v>16300</v>
      </c>
      <c r="EL1256" t="s">
        <v>247</v>
      </c>
      <c r="EM1256" t="s">
        <v>183</v>
      </c>
      <c r="EN1256" t="s">
        <v>211</v>
      </c>
      <c r="EO1256" t="s">
        <v>189</v>
      </c>
      <c r="EQ1256" t="s">
        <v>16301</v>
      </c>
      <c r="FA1256" t="s">
        <v>198</v>
      </c>
      <c r="FK1256" t="s">
        <v>198</v>
      </c>
      <c r="FU1256" t="s">
        <v>198</v>
      </c>
    </row>
    <row r="1257" spans="1:177">
      <c r="A1257" s="1" t="str">
        <f>HYPERLINK("http://digipan.lumentumllc.com/apps/getLink/index.php?t=PropLink&amp;p=5247855","PL")</f>
        <v>PL</v>
      </c>
      <c r="B1257" s="1" t="str">
        <f>HYPERLINK("http://digipan.lumentumllc.com/apps/getLink/index.php?t=TaxLink&amp;p=5247855","TL")</f>
        <v>TL</v>
      </c>
      <c r="C1257" s="1" t="str">
        <f>HYPERLINK("http://digipan.lumentumllc.com/apps/getMap/index.php?p=5247855","Map")</f>
        <v>Map</v>
      </c>
      <c r="E1257" t="s">
        <v>177</v>
      </c>
      <c r="F1257" t="s">
        <v>178</v>
      </c>
      <c r="L1257" t="s">
        <v>16302</v>
      </c>
      <c r="N1257" t="s">
        <v>16302</v>
      </c>
      <c r="O1257" t="s">
        <v>16302</v>
      </c>
      <c r="P1257" t="s">
        <v>16303</v>
      </c>
      <c r="Q1257" t="s">
        <v>16302</v>
      </c>
      <c r="V1257">
        <v>1434</v>
      </c>
      <c r="W1257">
        <v>5</v>
      </c>
      <c r="X1257">
        <v>2017</v>
      </c>
      <c r="Y1257">
        <v>2018</v>
      </c>
      <c r="Z1257">
        <v>917.76</v>
      </c>
      <c r="AB1257" t="s">
        <v>181</v>
      </c>
      <c r="AC1257" t="s">
        <v>182</v>
      </c>
      <c r="AD1257" t="s">
        <v>183</v>
      </c>
      <c r="AE1257">
        <v>0</v>
      </c>
      <c r="AF1257">
        <v>7</v>
      </c>
      <c r="AG1257" t="s">
        <v>528</v>
      </c>
      <c r="AH1257">
        <v>100</v>
      </c>
      <c r="AK1257">
        <v>0</v>
      </c>
      <c r="AL1257">
        <v>54100</v>
      </c>
      <c r="AM1257">
        <v>54100</v>
      </c>
      <c r="AN1257">
        <v>0</v>
      </c>
      <c r="AO1257">
        <v>830</v>
      </c>
      <c r="AP1257">
        <v>2016</v>
      </c>
      <c r="AQ1257">
        <v>1.7</v>
      </c>
      <c r="AS1257" t="s">
        <v>16098</v>
      </c>
      <c r="AT1257" t="s">
        <v>3210</v>
      </c>
      <c r="AU1257" t="s">
        <v>177</v>
      </c>
      <c r="AV1257" t="s">
        <v>2334</v>
      </c>
      <c r="AW1257" t="s">
        <v>182</v>
      </c>
      <c r="AX1257">
        <v>10</v>
      </c>
      <c r="AY1257" t="s">
        <v>3211</v>
      </c>
      <c r="AZ1257" t="s">
        <v>270</v>
      </c>
      <c r="BA1257" t="s">
        <v>3212</v>
      </c>
      <c r="BB1257" t="s">
        <v>191</v>
      </c>
      <c r="BC1257" t="s">
        <v>182</v>
      </c>
      <c r="BD1257" t="s">
        <v>182</v>
      </c>
      <c r="BE1257" t="s">
        <v>4604</v>
      </c>
      <c r="BF1257">
        <v>0</v>
      </c>
      <c r="BG1257">
        <v>0</v>
      </c>
      <c r="BH1257">
        <v>0</v>
      </c>
      <c r="BI1257" t="s">
        <v>199</v>
      </c>
      <c r="BJ1257" t="s">
        <v>315</v>
      </c>
      <c r="BL1257" t="s">
        <v>2050</v>
      </c>
      <c r="BM1257" t="s">
        <v>1332</v>
      </c>
      <c r="BN1257" t="s">
        <v>182</v>
      </c>
      <c r="BO1257" t="s">
        <v>198</v>
      </c>
      <c r="BP1257" t="s">
        <v>198</v>
      </c>
      <c r="BQ1257" t="s">
        <v>198</v>
      </c>
      <c r="BR1257" t="s">
        <v>198</v>
      </c>
      <c r="BS1257" t="s">
        <v>198</v>
      </c>
      <c r="BT1257" t="s">
        <v>198</v>
      </c>
      <c r="BU1257" t="s">
        <v>182</v>
      </c>
      <c r="BV1257" t="s">
        <v>198</v>
      </c>
      <c r="BW1257" t="s">
        <v>198</v>
      </c>
      <c r="BX1257" t="s">
        <v>199</v>
      </c>
      <c r="BY1257" t="s">
        <v>198</v>
      </c>
      <c r="BZ1257" t="s">
        <v>199</v>
      </c>
      <c r="CA1257" t="s">
        <v>199</v>
      </c>
      <c r="CB1257" t="s">
        <v>16304</v>
      </c>
      <c r="CC1257" t="s">
        <v>201</v>
      </c>
      <c r="CD1257" t="s">
        <v>182</v>
      </c>
      <c r="CE1257" t="s">
        <v>16305</v>
      </c>
      <c r="CF1257" t="s">
        <v>2333</v>
      </c>
      <c r="CG1257" t="s">
        <v>177</v>
      </c>
      <c r="CH1257" t="s">
        <v>2334</v>
      </c>
      <c r="CI1257" t="s">
        <v>14885</v>
      </c>
      <c r="CJ1257" t="s">
        <v>12784</v>
      </c>
      <c r="CK1257" t="s">
        <v>292</v>
      </c>
      <c r="CL1257" t="s">
        <v>293</v>
      </c>
      <c r="CM1257" t="s">
        <v>16306</v>
      </c>
      <c r="CN1257" t="s">
        <v>235</v>
      </c>
      <c r="CO1257" t="s">
        <v>183</v>
      </c>
      <c r="CP1257" t="s">
        <v>211</v>
      </c>
      <c r="CQ1257" t="s">
        <v>199</v>
      </c>
      <c r="CS1257" t="s">
        <v>6152</v>
      </c>
      <c r="CT1257" t="s">
        <v>532</v>
      </c>
      <c r="CU1257" t="s">
        <v>267</v>
      </c>
      <c r="CV1257" t="s">
        <v>268</v>
      </c>
      <c r="CW1257" t="s">
        <v>16307</v>
      </c>
      <c r="CX1257" t="s">
        <v>331</v>
      </c>
      <c r="CY1257" t="s">
        <v>183</v>
      </c>
      <c r="CZ1257" t="s">
        <v>211</v>
      </c>
      <c r="DA1257" t="s">
        <v>427</v>
      </c>
      <c r="DC1257" t="s">
        <v>6152</v>
      </c>
      <c r="DD1257" t="s">
        <v>10922</v>
      </c>
      <c r="DE1257" t="s">
        <v>273</v>
      </c>
      <c r="DF1257" t="s">
        <v>274</v>
      </c>
      <c r="DG1257" t="s">
        <v>16308</v>
      </c>
      <c r="DH1257" t="s">
        <v>235</v>
      </c>
      <c r="DI1257" t="s">
        <v>183</v>
      </c>
      <c r="DJ1257" t="s">
        <v>211</v>
      </c>
      <c r="DK1257" t="s">
        <v>342</v>
      </c>
      <c r="DM1257" t="s">
        <v>8604</v>
      </c>
      <c r="DN1257" t="s">
        <v>16309</v>
      </c>
      <c r="DO1257" t="s">
        <v>302</v>
      </c>
      <c r="DP1257" t="s">
        <v>303</v>
      </c>
      <c r="DQ1257" t="s">
        <v>16310</v>
      </c>
      <c r="DR1257" t="s">
        <v>838</v>
      </c>
      <c r="DS1257" t="s">
        <v>183</v>
      </c>
      <c r="DT1257" t="s">
        <v>211</v>
      </c>
      <c r="DU1257" t="s">
        <v>345</v>
      </c>
      <c r="DW1257" t="s">
        <v>8604</v>
      </c>
      <c r="DX1257" t="s">
        <v>16311</v>
      </c>
      <c r="DY1257" t="s">
        <v>238</v>
      </c>
      <c r="DZ1257" t="s">
        <v>239</v>
      </c>
      <c r="EA1257" t="s">
        <v>16312</v>
      </c>
      <c r="EB1257" t="s">
        <v>440</v>
      </c>
      <c r="EC1257" t="s">
        <v>183</v>
      </c>
      <c r="ED1257" t="s">
        <v>211</v>
      </c>
      <c r="EE1257" t="s">
        <v>345</v>
      </c>
      <c r="EG1257" t="s">
        <v>3388</v>
      </c>
      <c r="EH1257" t="s">
        <v>9702</v>
      </c>
      <c r="EI1257" t="s">
        <v>346</v>
      </c>
      <c r="EJ1257" t="s">
        <v>347</v>
      </c>
      <c r="EK1257" t="s">
        <v>16313</v>
      </c>
      <c r="EL1257" t="s">
        <v>295</v>
      </c>
      <c r="EM1257" t="s">
        <v>183</v>
      </c>
      <c r="EN1257" t="s">
        <v>211</v>
      </c>
      <c r="EO1257" t="s">
        <v>633</v>
      </c>
      <c r="EQ1257" t="s">
        <v>9371</v>
      </c>
      <c r="ER1257" t="s">
        <v>16314</v>
      </c>
      <c r="ES1257" t="s">
        <v>207</v>
      </c>
      <c r="ET1257" t="s">
        <v>208</v>
      </c>
      <c r="EU1257" t="s">
        <v>16315</v>
      </c>
      <c r="EV1257" t="s">
        <v>1966</v>
      </c>
      <c r="EW1257" t="s">
        <v>183</v>
      </c>
      <c r="EX1257" t="s">
        <v>211</v>
      </c>
      <c r="EY1257" t="s">
        <v>847</v>
      </c>
      <c r="FA1257" t="s">
        <v>1111</v>
      </c>
      <c r="FK1257" t="s">
        <v>198</v>
      </c>
      <c r="FU1257" t="s">
        <v>198</v>
      </c>
    </row>
    <row r="1258" spans="1:177">
      <c r="A1258" s="1" t="str">
        <f>HYPERLINK("http://digipan.lumentumllc.com/apps/getLink/index.php?t=PropLink&amp;p=6886839","PL")</f>
        <v>PL</v>
      </c>
      <c r="B1258" s="1" t="str">
        <f>HYPERLINK("http://digipan.lumentumllc.com/apps/getLink/index.php?t=TaxLink&amp;p=6886839","TL")</f>
        <v>TL</v>
      </c>
      <c r="C1258" s="1" t="str">
        <f>HYPERLINK("http://digipan.lumentumllc.com/apps/getMap/index.php?p=6886839","Map")</f>
        <v>Map</v>
      </c>
      <c r="E1258" t="s">
        <v>177</v>
      </c>
      <c r="F1258" t="s">
        <v>178</v>
      </c>
      <c r="L1258" t="s">
        <v>16316</v>
      </c>
      <c r="N1258" t="s">
        <v>16316</v>
      </c>
      <c r="O1258" t="s">
        <v>16316</v>
      </c>
      <c r="P1258" t="s">
        <v>16317</v>
      </c>
      <c r="Q1258" t="s">
        <v>16316</v>
      </c>
      <c r="V1258">
        <v>1435</v>
      </c>
      <c r="W1258">
        <v>5</v>
      </c>
      <c r="X1258">
        <v>2017</v>
      </c>
      <c r="Y1258">
        <v>2018</v>
      </c>
      <c r="Z1258">
        <v>1367.48</v>
      </c>
      <c r="AB1258" t="s">
        <v>181</v>
      </c>
      <c r="AC1258" t="s">
        <v>182</v>
      </c>
      <c r="AD1258" t="s">
        <v>183</v>
      </c>
      <c r="AE1258">
        <v>1</v>
      </c>
      <c r="AF1258">
        <v>2</v>
      </c>
      <c r="AG1258" t="s">
        <v>363</v>
      </c>
      <c r="AH1258">
        <v>67</v>
      </c>
      <c r="AI1258">
        <v>1384.92</v>
      </c>
      <c r="AJ1258">
        <v>69.25</v>
      </c>
      <c r="AK1258">
        <v>1454.17</v>
      </c>
      <c r="AL1258">
        <v>81568</v>
      </c>
      <c r="AM1258">
        <v>24546</v>
      </c>
      <c r="AN1258">
        <v>57022</v>
      </c>
      <c r="AO1258">
        <v>1256</v>
      </c>
      <c r="AP1258">
        <v>2016</v>
      </c>
      <c r="AQ1258">
        <v>1.68</v>
      </c>
      <c r="AR1258">
        <v>1.78</v>
      </c>
      <c r="AS1258" t="s">
        <v>16318</v>
      </c>
      <c r="AT1258" t="s">
        <v>3210</v>
      </c>
      <c r="AU1258" t="s">
        <v>177</v>
      </c>
      <c r="AV1258" t="s">
        <v>2334</v>
      </c>
      <c r="AW1258" t="s">
        <v>182</v>
      </c>
      <c r="AX1258">
        <v>1</v>
      </c>
      <c r="AY1258" t="s">
        <v>188</v>
      </c>
      <c r="AZ1258" t="s">
        <v>206</v>
      </c>
      <c r="BA1258" t="s">
        <v>355</v>
      </c>
      <c r="BB1258" t="s">
        <v>191</v>
      </c>
      <c r="BC1258" t="s">
        <v>182</v>
      </c>
      <c r="BD1258" t="s">
        <v>182</v>
      </c>
      <c r="BE1258" t="s">
        <v>3682</v>
      </c>
      <c r="BF1258">
        <v>2</v>
      </c>
      <c r="BG1258">
        <v>1</v>
      </c>
      <c r="BH1258">
        <v>1954</v>
      </c>
      <c r="BI1258" t="s">
        <v>15895</v>
      </c>
      <c r="BJ1258" t="s">
        <v>194</v>
      </c>
      <c r="BK1258" t="s">
        <v>195</v>
      </c>
      <c r="BL1258" t="s">
        <v>5405</v>
      </c>
      <c r="BM1258" t="s">
        <v>286</v>
      </c>
      <c r="BN1258" t="s">
        <v>182</v>
      </c>
      <c r="BO1258" t="s">
        <v>16319</v>
      </c>
      <c r="BP1258" t="s">
        <v>14842</v>
      </c>
      <c r="BQ1258" t="s">
        <v>562</v>
      </c>
      <c r="BS1258" t="s">
        <v>198</v>
      </c>
      <c r="BT1258" t="s">
        <v>14486</v>
      </c>
      <c r="BU1258" t="s">
        <v>182</v>
      </c>
      <c r="BV1258" t="s">
        <v>198</v>
      </c>
      <c r="BW1258" t="s">
        <v>198</v>
      </c>
      <c r="BX1258" t="s">
        <v>199</v>
      </c>
      <c r="BY1258" t="s">
        <v>198</v>
      </c>
      <c r="BZ1258" t="s">
        <v>199</v>
      </c>
      <c r="CA1258" t="s">
        <v>199</v>
      </c>
      <c r="CB1258" t="s">
        <v>16320</v>
      </c>
      <c r="CC1258" t="s">
        <v>201</v>
      </c>
      <c r="CD1258" t="s">
        <v>182</v>
      </c>
      <c r="CE1258" t="s">
        <v>16321</v>
      </c>
      <c r="CF1258" t="s">
        <v>16322</v>
      </c>
      <c r="CG1258" t="s">
        <v>177</v>
      </c>
      <c r="CH1258" t="s">
        <v>16323</v>
      </c>
      <c r="CI1258" t="s">
        <v>16324</v>
      </c>
      <c r="CJ1258" t="s">
        <v>12311</v>
      </c>
      <c r="CK1258" t="s">
        <v>232</v>
      </c>
      <c r="CL1258" t="s">
        <v>233</v>
      </c>
      <c r="CM1258" t="s">
        <v>16325</v>
      </c>
      <c r="CN1258" t="s">
        <v>235</v>
      </c>
      <c r="CO1258" t="s">
        <v>183</v>
      </c>
      <c r="CP1258" t="s">
        <v>266</v>
      </c>
      <c r="CS1258" t="s">
        <v>198</v>
      </c>
      <c r="CT1258" t="s">
        <v>12481</v>
      </c>
      <c r="CU1258" t="s">
        <v>292</v>
      </c>
      <c r="CV1258" t="s">
        <v>293</v>
      </c>
      <c r="CW1258" t="s">
        <v>16326</v>
      </c>
      <c r="CX1258" t="s">
        <v>235</v>
      </c>
      <c r="CY1258" t="s">
        <v>183</v>
      </c>
      <c r="CZ1258" t="s">
        <v>211</v>
      </c>
      <c r="DA1258" t="s">
        <v>298</v>
      </c>
      <c r="DC1258" t="s">
        <v>3204</v>
      </c>
      <c r="DD1258" t="s">
        <v>13056</v>
      </c>
      <c r="DE1258" t="s">
        <v>267</v>
      </c>
      <c r="DF1258" t="s">
        <v>268</v>
      </c>
      <c r="DG1258" t="s">
        <v>16327</v>
      </c>
      <c r="DH1258" t="s">
        <v>235</v>
      </c>
      <c r="DI1258" t="s">
        <v>183</v>
      </c>
      <c r="DJ1258" t="s">
        <v>211</v>
      </c>
      <c r="DK1258" t="s">
        <v>298</v>
      </c>
      <c r="DM1258" t="s">
        <v>459</v>
      </c>
      <c r="DW1258" t="s">
        <v>198</v>
      </c>
      <c r="EG1258" t="s">
        <v>198</v>
      </c>
      <c r="EQ1258" t="s">
        <v>198</v>
      </c>
      <c r="FA1258" t="s">
        <v>198</v>
      </c>
      <c r="FK1258" t="s">
        <v>198</v>
      </c>
      <c r="FU1258" t="s">
        <v>198</v>
      </c>
    </row>
    <row r="1259" spans="1:177">
      <c r="A1259" s="1" t="str">
        <f>HYPERLINK("http://digipan.lumentumllc.com/apps/getLink/index.php?t=PropLink&amp;p=15758788","PL")</f>
        <v>PL</v>
      </c>
      <c r="B1259" s="1" t="str">
        <f>HYPERLINK("http://digipan.lumentumllc.com/apps/getLink/index.php?t=TaxLink&amp;p=15758788","TL")</f>
        <v>TL</v>
      </c>
      <c r="C1259" s="1" t="str">
        <f>HYPERLINK("http://digipan.lumentumllc.com/apps/getMap/index.php?p=15758788","Map")</f>
        <v>Map</v>
      </c>
      <c r="E1259" t="s">
        <v>177</v>
      </c>
      <c r="F1259" t="s">
        <v>178</v>
      </c>
      <c r="L1259" t="s">
        <v>16328</v>
      </c>
      <c r="N1259" t="s">
        <v>16328</v>
      </c>
      <c r="O1259" t="s">
        <v>16328</v>
      </c>
      <c r="Q1259" t="s">
        <v>16328</v>
      </c>
      <c r="V1259">
        <v>1436</v>
      </c>
      <c r="W1259">
        <v>5</v>
      </c>
      <c r="X1259">
        <v>2017</v>
      </c>
      <c r="Y1259">
        <v>2018</v>
      </c>
      <c r="Z1259">
        <v>544.87</v>
      </c>
      <c r="AG1259" t="s">
        <v>184</v>
      </c>
      <c r="AH1259">
        <v>0</v>
      </c>
      <c r="AK1259">
        <v>0</v>
      </c>
      <c r="AL1259">
        <v>65660</v>
      </c>
      <c r="AM1259">
        <v>20709</v>
      </c>
      <c r="AN1259">
        <v>44951</v>
      </c>
      <c r="AO1259">
        <v>156</v>
      </c>
      <c r="AP1259">
        <v>2016</v>
      </c>
      <c r="AQ1259">
        <v>0.83</v>
      </c>
      <c r="AS1259" t="s">
        <v>16329</v>
      </c>
      <c r="AT1259" t="s">
        <v>3210</v>
      </c>
      <c r="AU1259" t="s">
        <v>177</v>
      </c>
      <c r="AV1259" t="s">
        <v>2334</v>
      </c>
      <c r="AW1259" t="s">
        <v>202</v>
      </c>
      <c r="AX1259">
        <v>1</v>
      </c>
      <c r="AY1259" t="s">
        <v>188</v>
      </c>
      <c r="AZ1259" t="s">
        <v>206</v>
      </c>
      <c r="BA1259" t="s">
        <v>355</v>
      </c>
      <c r="BB1259" t="s">
        <v>191</v>
      </c>
      <c r="BC1259" t="s">
        <v>182</v>
      </c>
      <c r="BD1259" t="s">
        <v>182</v>
      </c>
      <c r="BE1259" t="s">
        <v>3831</v>
      </c>
      <c r="BF1259">
        <v>1</v>
      </c>
      <c r="BG1259">
        <v>1</v>
      </c>
      <c r="BH1259">
        <v>1954</v>
      </c>
      <c r="BI1259" t="s">
        <v>11402</v>
      </c>
      <c r="BJ1259" t="s">
        <v>194</v>
      </c>
      <c r="BK1259" t="s">
        <v>195</v>
      </c>
      <c r="BL1259" t="s">
        <v>2191</v>
      </c>
      <c r="BM1259" t="s">
        <v>2604</v>
      </c>
      <c r="BN1259" t="s">
        <v>182</v>
      </c>
      <c r="BO1259" t="s">
        <v>198</v>
      </c>
      <c r="BP1259" t="s">
        <v>198</v>
      </c>
      <c r="BQ1259" t="s">
        <v>198</v>
      </c>
      <c r="BR1259" t="s">
        <v>198</v>
      </c>
      <c r="BS1259" t="s">
        <v>198</v>
      </c>
      <c r="BT1259" t="s">
        <v>198</v>
      </c>
      <c r="BU1259" t="s">
        <v>182</v>
      </c>
      <c r="BV1259" t="s">
        <v>198</v>
      </c>
      <c r="BW1259" t="s">
        <v>198</v>
      </c>
      <c r="BX1259" t="s">
        <v>199</v>
      </c>
      <c r="BY1259" t="s">
        <v>198</v>
      </c>
      <c r="BZ1259" t="s">
        <v>199</v>
      </c>
      <c r="CA1259" t="s">
        <v>199</v>
      </c>
      <c r="CB1259" t="s">
        <v>16330</v>
      </c>
      <c r="CC1259" t="s">
        <v>201</v>
      </c>
      <c r="CD1259" t="s">
        <v>202</v>
      </c>
      <c r="CE1259" t="s">
        <v>12068</v>
      </c>
      <c r="CF1259" t="s">
        <v>2333</v>
      </c>
      <c r="CG1259" t="s">
        <v>177</v>
      </c>
      <c r="CH1259" t="s">
        <v>3178</v>
      </c>
      <c r="CI1259" t="s">
        <v>16331</v>
      </c>
      <c r="CS1259" t="s">
        <v>198</v>
      </c>
      <c r="DC1259" t="s">
        <v>198</v>
      </c>
      <c r="DM1259" t="s">
        <v>198</v>
      </c>
      <c r="DW1259" t="s">
        <v>198</v>
      </c>
      <c r="EG1259" t="s">
        <v>198</v>
      </c>
      <c r="EQ1259" t="s">
        <v>198</v>
      </c>
      <c r="FA1259" t="s">
        <v>198</v>
      </c>
      <c r="FK1259" t="s">
        <v>198</v>
      </c>
      <c r="FU1259" t="s">
        <v>198</v>
      </c>
    </row>
    <row r="1260" spans="1:177">
      <c r="A1260" s="1" t="str">
        <f>HYPERLINK("http://digipan.lumentumllc.com/apps/getLink/index.php?t=PropLink&amp;p=5247858","PL")</f>
        <v>PL</v>
      </c>
      <c r="B1260" s="1" t="str">
        <f>HYPERLINK("http://digipan.lumentumllc.com/apps/getLink/index.php?t=TaxLink&amp;p=5247858","TL")</f>
        <v>TL</v>
      </c>
      <c r="C1260" s="1" t="str">
        <f>HYPERLINK("http://digipan.lumentumllc.com/apps/getMap/index.php?p=5247858","Map")</f>
        <v>Map</v>
      </c>
      <c r="E1260" t="s">
        <v>177</v>
      </c>
      <c r="F1260" t="s">
        <v>178</v>
      </c>
      <c r="L1260" t="s">
        <v>16332</v>
      </c>
      <c r="N1260" t="s">
        <v>16332</v>
      </c>
      <c r="O1260" t="s">
        <v>16332</v>
      </c>
      <c r="P1260" t="s">
        <v>16333</v>
      </c>
      <c r="Q1260" t="s">
        <v>16332</v>
      </c>
      <c r="V1260">
        <v>1438</v>
      </c>
      <c r="W1260">
        <v>5</v>
      </c>
      <c r="X1260">
        <v>2017</v>
      </c>
      <c r="Y1260">
        <v>2018</v>
      </c>
      <c r="Z1260">
        <v>286.99</v>
      </c>
      <c r="AB1260" t="s">
        <v>181</v>
      </c>
      <c r="AC1260" t="s">
        <v>202</v>
      </c>
      <c r="AD1260" t="s">
        <v>183</v>
      </c>
      <c r="AE1260">
        <v>1</v>
      </c>
      <c r="AF1260">
        <v>6</v>
      </c>
      <c r="AG1260" t="s">
        <v>322</v>
      </c>
      <c r="AH1260">
        <v>83</v>
      </c>
      <c r="AI1260">
        <v>285.57</v>
      </c>
      <c r="AJ1260">
        <v>24.27</v>
      </c>
      <c r="AK1260">
        <v>309.83999999999997</v>
      </c>
      <c r="AL1260">
        <v>15575</v>
      </c>
      <c r="AM1260">
        <v>15575</v>
      </c>
      <c r="AN1260">
        <v>0</v>
      </c>
      <c r="AO1260">
        <v>239</v>
      </c>
      <c r="AP1260">
        <v>2016</v>
      </c>
      <c r="AQ1260">
        <v>1.84</v>
      </c>
      <c r="AR1260">
        <v>1.99</v>
      </c>
      <c r="AS1260" t="s">
        <v>16334</v>
      </c>
      <c r="AT1260" t="s">
        <v>3210</v>
      </c>
      <c r="AU1260" t="s">
        <v>177</v>
      </c>
      <c r="AV1260" t="s">
        <v>2334</v>
      </c>
      <c r="AW1260" t="s">
        <v>182</v>
      </c>
      <c r="AX1260">
        <v>0</v>
      </c>
      <c r="AY1260" t="s">
        <v>312</v>
      </c>
      <c r="AZ1260" t="s">
        <v>199</v>
      </c>
      <c r="BA1260" t="s">
        <v>313</v>
      </c>
      <c r="BB1260" t="s">
        <v>191</v>
      </c>
      <c r="BC1260" t="s">
        <v>182</v>
      </c>
      <c r="BD1260" t="s">
        <v>182</v>
      </c>
      <c r="BE1260" t="s">
        <v>6986</v>
      </c>
      <c r="BF1260">
        <v>0</v>
      </c>
      <c r="BG1260">
        <v>0</v>
      </c>
      <c r="BH1260">
        <v>0</v>
      </c>
      <c r="BI1260" t="s">
        <v>199</v>
      </c>
      <c r="BJ1260" t="s">
        <v>315</v>
      </c>
      <c r="BL1260" t="s">
        <v>11970</v>
      </c>
      <c r="BM1260" t="s">
        <v>4724</v>
      </c>
      <c r="BN1260" t="s">
        <v>182</v>
      </c>
      <c r="BO1260" t="s">
        <v>16335</v>
      </c>
      <c r="BP1260" t="s">
        <v>5459</v>
      </c>
      <c r="BQ1260" t="s">
        <v>904</v>
      </c>
      <c r="BR1260" t="s">
        <v>563</v>
      </c>
      <c r="BS1260" t="s">
        <v>198</v>
      </c>
      <c r="BT1260" t="s">
        <v>228</v>
      </c>
      <c r="BU1260" t="s">
        <v>182</v>
      </c>
      <c r="BV1260" t="s">
        <v>198</v>
      </c>
      <c r="BW1260" t="s">
        <v>198</v>
      </c>
      <c r="BX1260" t="s">
        <v>199</v>
      </c>
      <c r="BY1260" t="s">
        <v>198</v>
      </c>
      <c r="BZ1260" t="s">
        <v>199</v>
      </c>
      <c r="CA1260" t="s">
        <v>199</v>
      </c>
      <c r="CB1260" t="s">
        <v>16336</v>
      </c>
      <c r="CC1260" t="s">
        <v>201</v>
      </c>
      <c r="CD1260" t="s">
        <v>202</v>
      </c>
      <c r="CE1260" t="s">
        <v>16337</v>
      </c>
      <c r="CF1260" t="s">
        <v>5331</v>
      </c>
      <c r="CG1260" t="s">
        <v>177</v>
      </c>
      <c r="CH1260" t="s">
        <v>371</v>
      </c>
      <c r="CI1260" t="s">
        <v>1127</v>
      </c>
      <c r="CJ1260" t="s">
        <v>12342</v>
      </c>
      <c r="CK1260" t="s">
        <v>232</v>
      </c>
      <c r="CL1260" t="s">
        <v>233</v>
      </c>
      <c r="CM1260" t="s">
        <v>16338</v>
      </c>
      <c r="CN1260" t="s">
        <v>2679</v>
      </c>
      <c r="CO1260" t="s">
        <v>183</v>
      </c>
      <c r="CP1260" t="s">
        <v>266</v>
      </c>
      <c r="CS1260" t="s">
        <v>198</v>
      </c>
      <c r="CT1260" t="s">
        <v>10452</v>
      </c>
      <c r="CU1260" t="s">
        <v>267</v>
      </c>
      <c r="CV1260" t="s">
        <v>268</v>
      </c>
      <c r="CW1260" t="s">
        <v>16339</v>
      </c>
      <c r="CX1260" t="s">
        <v>482</v>
      </c>
      <c r="CY1260" t="s">
        <v>183</v>
      </c>
      <c r="CZ1260" t="s">
        <v>211</v>
      </c>
      <c r="DA1260" t="s">
        <v>270</v>
      </c>
      <c r="DB1260" t="s">
        <v>271</v>
      </c>
      <c r="DC1260" t="s">
        <v>3650</v>
      </c>
      <c r="DD1260" t="s">
        <v>16340</v>
      </c>
      <c r="DE1260" t="s">
        <v>273</v>
      </c>
      <c r="DF1260" t="s">
        <v>274</v>
      </c>
      <c r="DG1260" t="s">
        <v>16341</v>
      </c>
      <c r="DH1260" t="s">
        <v>341</v>
      </c>
      <c r="DI1260" t="s">
        <v>183</v>
      </c>
      <c r="DJ1260" t="s">
        <v>211</v>
      </c>
      <c r="DK1260" t="s">
        <v>337</v>
      </c>
      <c r="DL1260" t="s">
        <v>271</v>
      </c>
      <c r="DM1260" t="s">
        <v>3650</v>
      </c>
      <c r="DN1260" t="s">
        <v>16342</v>
      </c>
      <c r="DO1260" t="s">
        <v>302</v>
      </c>
      <c r="DP1260" t="s">
        <v>303</v>
      </c>
      <c r="DQ1260" t="s">
        <v>16343</v>
      </c>
      <c r="DR1260" t="s">
        <v>1615</v>
      </c>
      <c r="DS1260" t="s">
        <v>183</v>
      </c>
      <c r="DT1260" t="s">
        <v>211</v>
      </c>
      <c r="DU1260" t="s">
        <v>909</v>
      </c>
      <c r="DV1260" t="s">
        <v>271</v>
      </c>
      <c r="DW1260" t="s">
        <v>3650</v>
      </c>
      <c r="DX1260" t="s">
        <v>16344</v>
      </c>
      <c r="DY1260" t="s">
        <v>238</v>
      </c>
      <c r="DZ1260" t="s">
        <v>239</v>
      </c>
      <c r="EA1260" t="s">
        <v>16345</v>
      </c>
      <c r="EB1260" t="s">
        <v>482</v>
      </c>
      <c r="EC1260" t="s">
        <v>183</v>
      </c>
      <c r="ED1260" t="s">
        <v>211</v>
      </c>
      <c r="EE1260" t="s">
        <v>1128</v>
      </c>
      <c r="EF1260" t="s">
        <v>271</v>
      </c>
      <c r="EG1260" t="s">
        <v>3650</v>
      </c>
      <c r="EH1260" t="s">
        <v>16346</v>
      </c>
      <c r="EI1260" t="s">
        <v>346</v>
      </c>
      <c r="EJ1260" t="s">
        <v>347</v>
      </c>
      <c r="EK1260" t="s">
        <v>16347</v>
      </c>
      <c r="EL1260" t="s">
        <v>4595</v>
      </c>
      <c r="EM1260" t="s">
        <v>183</v>
      </c>
      <c r="EN1260" t="s">
        <v>211</v>
      </c>
      <c r="EO1260" t="s">
        <v>1253</v>
      </c>
      <c r="EP1260" t="s">
        <v>271</v>
      </c>
      <c r="EQ1260" t="s">
        <v>3650</v>
      </c>
      <c r="ER1260" t="s">
        <v>16348</v>
      </c>
      <c r="ES1260" t="s">
        <v>207</v>
      </c>
      <c r="ET1260" t="s">
        <v>208</v>
      </c>
      <c r="EU1260" t="s">
        <v>16349</v>
      </c>
      <c r="EV1260" t="s">
        <v>482</v>
      </c>
      <c r="EW1260" t="s">
        <v>183</v>
      </c>
      <c r="EX1260" t="s">
        <v>211</v>
      </c>
      <c r="EY1260" t="s">
        <v>1443</v>
      </c>
      <c r="EZ1260" t="s">
        <v>271</v>
      </c>
      <c r="FA1260" t="s">
        <v>3650</v>
      </c>
      <c r="FK1260" t="s">
        <v>198</v>
      </c>
      <c r="FU1260" t="s">
        <v>198</v>
      </c>
    </row>
    <row r="1261" spans="1:177">
      <c r="A1261" s="1" t="str">
        <f>HYPERLINK("http://digipan.lumentumllc.com/apps/getLink/index.php?t=PropLink&amp;p=5247859","PL")</f>
        <v>PL</v>
      </c>
      <c r="B1261" s="1" t="str">
        <f>HYPERLINK("http://digipan.lumentumllc.com/apps/getLink/index.php?t=TaxLink&amp;p=5247859","TL")</f>
        <v>TL</v>
      </c>
      <c r="C1261" s="1" t="str">
        <f>HYPERLINK("http://digipan.lumentumllc.com/apps/getMap/index.php?p=5247859","Map")</f>
        <v>Map</v>
      </c>
      <c r="E1261" t="s">
        <v>177</v>
      </c>
      <c r="F1261" t="s">
        <v>178</v>
      </c>
      <c r="L1261" t="s">
        <v>16350</v>
      </c>
      <c r="N1261" t="s">
        <v>16350</v>
      </c>
      <c r="O1261" t="s">
        <v>16350</v>
      </c>
      <c r="P1261" t="s">
        <v>16351</v>
      </c>
      <c r="Q1261" t="s">
        <v>16350</v>
      </c>
      <c r="V1261">
        <v>1439</v>
      </c>
      <c r="W1261">
        <v>5</v>
      </c>
      <c r="X1261">
        <v>2017</v>
      </c>
      <c r="Y1261">
        <v>2018</v>
      </c>
      <c r="Z1261">
        <v>286.99</v>
      </c>
      <c r="AB1261" t="s">
        <v>181</v>
      </c>
      <c r="AC1261" t="s">
        <v>202</v>
      </c>
      <c r="AD1261" t="s">
        <v>183</v>
      </c>
      <c r="AE1261">
        <v>1</v>
      </c>
      <c r="AF1261">
        <v>6</v>
      </c>
      <c r="AG1261" t="s">
        <v>322</v>
      </c>
      <c r="AH1261">
        <v>83</v>
      </c>
      <c r="AI1261">
        <v>285.57</v>
      </c>
      <c r="AJ1261">
        <v>24.27</v>
      </c>
      <c r="AK1261">
        <v>309.83999999999997</v>
      </c>
      <c r="AL1261">
        <v>15575</v>
      </c>
      <c r="AM1261">
        <v>15575</v>
      </c>
      <c r="AN1261">
        <v>0</v>
      </c>
      <c r="AO1261">
        <v>239</v>
      </c>
      <c r="AP1261">
        <v>2016</v>
      </c>
      <c r="AQ1261">
        <v>1.84</v>
      </c>
      <c r="AR1261">
        <v>1.99</v>
      </c>
      <c r="AS1261" t="s">
        <v>16334</v>
      </c>
      <c r="AT1261" t="s">
        <v>3210</v>
      </c>
      <c r="AU1261" t="s">
        <v>177</v>
      </c>
      <c r="AV1261" t="s">
        <v>2334</v>
      </c>
      <c r="AW1261" t="s">
        <v>182</v>
      </c>
      <c r="AX1261">
        <v>0</v>
      </c>
      <c r="AY1261" t="s">
        <v>312</v>
      </c>
      <c r="AZ1261" t="s">
        <v>199</v>
      </c>
      <c r="BA1261" t="s">
        <v>313</v>
      </c>
      <c r="BB1261" t="s">
        <v>191</v>
      </c>
      <c r="BC1261" t="s">
        <v>182</v>
      </c>
      <c r="BD1261" t="s">
        <v>182</v>
      </c>
      <c r="BE1261" t="s">
        <v>6986</v>
      </c>
      <c r="BF1261">
        <v>0</v>
      </c>
      <c r="BG1261">
        <v>0</v>
      </c>
      <c r="BH1261">
        <v>0</v>
      </c>
      <c r="BI1261" t="s">
        <v>199</v>
      </c>
      <c r="BJ1261" t="s">
        <v>315</v>
      </c>
      <c r="BL1261" t="s">
        <v>11970</v>
      </c>
      <c r="BM1261" t="s">
        <v>4724</v>
      </c>
      <c r="BN1261" t="s">
        <v>182</v>
      </c>
      <c r="BO1261" t="s">
        <v>16335</v>
      </c>
      <c r="BP1261" t="s">
        <v>5459</v>
      </c>
      <c r="BQ1261" t="s">
        <v>904</v>
      </c>
      <c r="BR1261" t="s">
        <v>563</v>
      </c>
      <c r="BS1261" t="s">
        <v>198</v>
      </c>
      <c r="BT1261" t="s">
        <v>228</v>
      </c>
      <c r="BU1261" t="s">
        <v>182</v>
      </c>
      <c r="BV1261" t="s">
        <v>198</v>
      </c>
      <c r="BW1261" t="s">
        <v>198</v>
      </c>
      <c r="BX1261" t="s">
        <v>199</v>
      </c>
      <c r="BY1261" t="s">
        <v>198</v>
      </c>
      <c r="BZ1261" t="s">
        <v>199</v>
      </c>
      <c r="CA1261" t="s">
        <v>199</v>
      </c>
      <c r="CB1261" t="s">
        <v>16336</v>
      </c>
      <c r="CC1261" t="s">
        <v>201</v>
      </c>
      <c r="CD1261" t="s">
        <v>202</v>
      </c>
      <c r="CE1261" t="s">
        <v>16337</v>
      </c>
      <c r="CF1261" t="s">
        <v>5331</v>
      </c>
      <c r="CG1261" t="s">
        <v>177</v>
      </c>
      <c r="CH1261" t="s">
        <v>371</v>
      </c>
      <c r="CI1261" t="s">
        <v>16352</v>
      </c>
      <c r="CJ1261" t="s">
        <v>14684</v>
      </c>
      <c r="CK1261" t="s">
        <v>232</v>
      </c>
      <c r="CL1261" t="s">
        <v>233</v>
      </c>
      <c r="CM1261" t="s">
        <v>16338</v>
      </c>
      <c r="CN1261" t="s">
        <v>2679</v>
      </c>
      <c r="CO1261" t="s">
        <v>183</v>
      </c>
      <c r="CP1261" t="s">
        <v>266</v>
      </c>
      <c r="CS1261" t="s">
        <v>198</v>
      </c>
      <c r="CT1261" t="s">
        <v>7986</v>
      </c>
      <c r="CU1261" t="s">
        <v>267</v>
      </c>
      <c r="CV1261" t="s">
        <v>268</v>
      </c>
      <c r="CW1261" t="s">
        <v>16339</v>
      </c>
      <c r="CX1261" t="s">
        <v>482</v>
      </c>
      <c r="CY1261" t="s">
        <v>183</v>
      </c>
      <c r="CZ1261" t="s">
        <v>211</v>
      </c>
      <c r="DA1261" t="s">
        <v>270</v>
      </c>
      <c r="DB1261" t="s">
        <v>271</v>
      </c>
      <c r="DC1261" t="s">
        <v>3650</v>
      </c>
      <c r="DD1261" t="s">
        <v>15381</v>
      </c>
      <c r="DE1261" t="s">
        <v>273</v>
      </c>
      <c r="DF1261" t="s">
        <v>274</v>
      </c>
      <c r="DG1261" t="s">
        <v>16341</v>
      </c>
      <c r="DH1261" t="s">
        <v>341</v>
      </c>
      <c r="DI1261" t="s">
        <v>183</v>
      </c>
      <c r="DJ1261" t="s">
        <v>211</v>
      </c>
      <c r="DK1261" t="s">
        <v>337</v>
      </c>
      <c r="DL1261" t="s">
        <v>271</v>
      </c>
      <c r="DM1261" t="s">
        <v>3650</v>
      </c>
      <c r="DN1261" t="s">
        <v>7434</v>
      </c>
      <c r="DO1261" t="s">
        <v>302</v>
      </c>
      <c r="DP1261" t="s">
        <v>303</v>
      </c>
      <c r="DQ1261" t="s">
        <v>16343</v>
      </c>
      <c r="DR1261" t="s">
        <v>1615</v>
      </c>
      <c r="DS1261" t="s">
        <v>183</v>
      </c>
      <c r="DT1261" t="s">
        <v>211</v>
      </c>
      <c r="DU1261" t="s">
        <v>909</v>
      </c>
      <c r="DV1261" t="s">
        <v>271</v>
      </c>
      <c r="DW1261" t="s">
        <v>3650</v>
      </c>
      <c r="DX1261" t="s">
        <v>16353</v>
      </c>
      <c r="DY1261" t="s">
        <v>238</v>
      </c>
      <c r="DZ1261" t="s">
        <v>239</v>
      </c>
      <c r="EA1261" t="s">
        <v>16345</v>
      </c>
      <c r="EB1261" t="s">
        <v>482</v>
      </c>
      <c r="EC1261" t="s">
        <v>183</v>
      </c>
      <c r="ED1261" t="s">
        <v>211</v>
      </c>
      <c r="EE1261" t="s">
        <v>1128</v>
      </c>
      <c r="EF1261" t="s">
        <v>271</v>
      </c>
      <c r="EG1261" t="s">
        <v>3650</v>
      </c>
      <c r="EH1261" t="s">
        <v>16354</v>
      </c>
      <c r="EI1261" t="s">
        <v>346</v>
      </c>
      <c r="EJ1261" t="s">
        <v>347</v>
      </c>
      <c r="EK1261" t="s">
        <v>16347</v>
      </c>
      <c r="EL1261" t="s">
        <v>2679</v>
      </c>
      <c r="EM1261" t="s">
        <v>183</v>
      </c>
      <c r="EN1261" t="s">
        <v>211</v>
      </c>
      <c r="EO1261" t="s">
        <v>616</v>
      </c>
      <c r="EQ1261" t="s">
        <v>16355</v>
      </c>
      <c r="ER1261" t="s">
        <v>16356</v>
      </c>
      <c r="ES1261" t="s">
        <v>207</v>
      </c>
      <c r="ET1261" t="s">
        <v>208</v>
      </c>
      <c r="EU1261" t="s">
        <v>16357</v>
      </c>
      <c r="EV1261" t="s">
        <v>1966</v>
      </c>
      <c r="EW1261" t="s">
        <v>183</v>
      </c>
      <c r="EX1261" t="s">
        <v>211</v>
      </c>
      <c r="EY1261" t="s">
        <v>1443</v>
      </c>
      <c r="EZ1261" t="s">
        <v>271</v>
      </c>
      <c r="FA1261" t="s">
        <v>3650</v>
      </c>
      <c r="FK1261" t="s">
        <v>198</v>
      </c>
      <c r="FU1261" t="s">
        <v>198</v>
      </c>
    </row>
    <row r="1262" spans="1:177">
      <c r="A1262" s="1" t="str">
        <f>HYPERLINK("http://digipan.lumentumllc.com/apps/getLink/index.php?t=PropLink&amp;p=5247860","PL")</f>
        <v>PL</v>
      </c>
      <c r="B1262" s="1" t="str">
        <f>HYPERLINK("http://digipan.lumentumllc.com/apps/getLink/index.php?t=TaxLink&amp;p=5247860","TL")</f>
        <v>TL</v>
      </c>
      <c r="C1262" s="1" t="str">
        <f>HYPERLINK("http://digipan.lumentumllc.com/apps/getMap/index.php?p=5247860","Map")</f>
        <v>Map</v>
      </c>
      <c r="E1262" t="s">
        <v>177</v>
      </c>
      <c r="F1262" t="s">
        <v>178</v>
      </c>
      <c r="L1262" t="s">
        <v>16358</v>
      </c>
      <c r="N1262" t="s">
        <v>16358</v>
      </c>
      <c r="O1262" t="s">
        <v>16358</v>
      </c>
      <c r="P1262" t="s">
        <v>16359</v>
      </c>
      <c r="Q1262" t="s">
        <v>16358</v>
      </c>
      <c r="V1262">
        <v>1440</v>
      </c>
      <c r="W1262">
        <v>5</v>
      </c>
      <c r="X1262">
        <v>2017</v>
      </c>
      <c r="Y1262">
        <v>2018</v>
      </c>
      <c r="Z1262">
        <v>376.73</v>
      </c>
      <c r="AB1262" t="s">
        <v>181</v>
      </c>
      <c r="AC1262" t="s">
        <v>202</v>
      </c>
      <c r="AD1262" t="s">
        <v>183</v>
      </c>
      <c r="AE1262">
        <v>1</v>
      </c>
      <c r="AF1262">
        <v>6</v>
      </c>
      <c r="AG1262" t="s">
        <v>322</v>
      </c>
      <c r="AH1262">
        <v>83</v>
      </c>
      <c r="AI1262">
        <v>376.57</v>
      </c>
      <c r="AJ1262">
        <v>20.71</v>
      </c>
      <c r="AK1262">
        <v>397.28</v>
      </c>
      <c r="AL1262">
        <v>21056</v>
      </c>
      <c r="AM1262">
        <v>15925</v>
      </c>
      <c r="AN1262">
        <v>5131</v>
      </c>
      <c r="AO1262">
        <v>323</v>
      </c>
      <c r="AP1262">
        <v>2016</v>
      </c>
      <c r="AQ1262">
        <v>1.79</v>
      </c>
      <c r="AR1262">
        <v>1.89</v>
      </c>
      <c r="AS1262" t="s">
        <v>16360</v>
      </c>
      <c r="AT1262" t="s">
        <v>3210</v>
      </c>
      <c r="AU1262" t="s">
        <v>177</v>
      </c>
      <c r="AV1262" t="s">
        <v>2334</v>
      </c>
      <c r="AW1262" t="s">
        <v>182</v>
      </c>
      <c r="AX1262">
        <v>1</v>
      </c>
      <c r="AY1262" t="s">
        <v>188</v>
      </c>
      <c r="AZ1262" t="s">
        <v>206</v>
      </c>
      <c r="BA1262" t="s">
        <v>355</v>
      </c>
      <c r="BB1262" t="s">
        <v>191</v>
      </c>
      <c r="BC1262" t="s">
        <v>182</v>
      </c>
      <c r="BD1262" t="s">
        <v>182</v>
      </c>
      <c r="BE1262" t="s">
        <v>5608</v>
      </c>
      <c r="BF1262">
        <v>1</v>
      </c>
      <c r="BG1262">
        <v>1</v>
      </c>
      <c r="BH1262">
        <v>1960</v>
      </c>
      <c r="BI1262" t="s">
        <v>8038</v>
      </c>
      <c r="BJ1262" t="s">
        <v>285</v>
      </c>
      <c r="BK1262" t="s">
        <v>195</v>
      </c>
      <c r="BL1262" t="s">
        <v>11970</v>
      </c>
      <c r="BM1262" t="s">
        <v>4724</v>
      </c>
      <c r="BN1262" t="s">
        <v>182</v>
      </c>
      <c r="BO1262" t="s">
        <v>16335</v>
      </c>
      <c r="BP1262" t="s">
        <v>5459</v>
      </c>
      <c r="BQ1262" t="s">
        <v>904</v>
      </c>
      <c r="BR1262" t="s">
        <v>563</v>
      </c>
      <c r="BS1262" t="s">
        <v>198</v>
      </c>
      <c r="BT1262" t="s">
        <v>228</v>
      </c>
      <c r="BU1262" t="s">
        <v>182</v>
      </c>
      <c r="BV1262" t="s">
        <v>198</v>
      </c>
      <c r="BW1262" t="s">
        <v>198</v>
      </c>
      <c r="BX1262" t="s">
        <v>199</v>
      </c>
      <c r="BY1262" t="s">
        <v>198</v>
      </c>
      <c r="BZ1262" t="s">
        <v>199</v>
      </c>
      <c r="CA1262" t="s">
        <v>199</v>
      </c>
      <c r="CB1262" t="s">
        <v>16336</v>
      </c>
      <c r="CC1262" t="s">
        <v>201</v>
      </c>
      <c r="CD1262" t="s">
        <v>202</v>
      </c>
      <c r="CE1262" t="s">
        <v>16337</v>
      </c>
      <c r="CF1262" t="s">
        <v>5331</v>
      </c>
      <c r="CG1262" t="s">
        <v>177</v>
      </c>
      <c r="CH1262" t="s">
        <v>371</v>
      </c>
      <c r="CI1262" t="s">
        <v>15503</v>
      </c>
      <c r="CJ1262" t="s">
        <v>2168</v>
      </c>
      <c r="CK1262" t="s">
        <v>232</v>
      </c>
      <c r="CL1262" t="s">
        <v>233</v>
      </c>
      <c r="CM1262" t="s">
        <v>16361</v>
      </c>
      <c r="CN1262" t="s">
        <v>1164</v>
      </c>
      <c r="CO1262" t="s">
        <v>183</v>
      </c>
      <c r="CP1262" t="s">
        <v>266</v>
      </c>
      <c r="CS1262" t="s">
        <v>198</v>
      </c>
      <c r="CT1262" t="s">
        <v>8010</v>
      </c>
      <c r="CU1262" t="s">
        <v>267</v>
      </c>
      <c r="CV1262" t="s">
        <v>268</v>
      </c>
      <c r="CW1262" t="s">
        <v>16362</v>
      </c>
      <c r="CX1262" t="s">
        <v>482</v>
      </c>
      <c r="CY1262" t="s">
        <v>183</v>
      </c>
      <c r="CZ1262" t="s">
        <v>211</v>
      </c>
      <c r="DA1262" t="s">
        <v>270</v>
      </c>
      <c r="DB1262" t="s">
        <v>271</v>
      </c>
      <c r="DC1262" t="s">
        <v>3650</v>
      </c>
      <c r="DD1262" t="s">
        <v>13008</v>
      </c>
      <c r="DE1262" t="s">
        <v>273</v>
      </c>
      <c r="DF1262" t="s">
        <v>274</v>
      </c>
      <c r="DG1262" t="s">
        <v>16363</v>
      </c>
      <c r="DH1262" t="s">
        <v>341</v>
      </c>
      <c r="DI1262" t="s">
        <v>183</v>
      </c>
      <c r="DJ1262" t="s">
        <v>211</v>
      </c>
      <c r="DK1262" t="s">
        <v>337</v>
      </c>
      <c r="DL1262" t="s">
        <v>271</v>
      </c>
      <c r="DM1262" t="s">
        <v>3650</v>
      </c>
      <c r="DN1262" t="s">
        <v>16364</v>
      </c>
      <c r="DO1262" t="s">
        <v>302</v>
      </c>
      <c r="DP1262" t="s">
        <v>303</v>
      </c>
      <c r="DQ1262" t="s">
        <v>16365</v>
      </c>
      <c r="DR1262" t="s">
        <v>1615</v>
      </c>
      <c r="DS1262" t="s">
        <v>183</v>
      </c>
      <c r="DT1262" t="s">
        <v>211</v>
      </c>
      <c r="DU1262" t="s">
        <v>909</v>
      </c>
      <c r="DV1262" t="s">
        <v>271</v>
      </c>
      <c r="DW1262" t="s">
        <v>3650</v>
      </c>
      <c r="DX1262" t="s">
        <v>16366</v>
      </c>
      <c r="DY1262" t="s">
        <v>238</v>
      </c>
      <c r="DZ1262" t="s">
        <v>239</v>
      </c>
      <c r="EA1262" t="s">
        <v>16367</v>
      </c>
      <c r="EB1262" t="s">
        <v>482</v>
      </c>
      <c r="EC1262" t="s">
        <v>183</v>
      </c>
      <c r="ED1262" t="s">
        <v>211</v>
      </c>
      <c r="EE1262" t="s">
        <v>1128</v>
      </c>
      <c r="EF1262" t="s">
        <v>271</v>
      </c>
      <c r="EG1262" t="s">
        <v>3650</v>
      </c>
      <c r="EH1262" t="s">
        <v>16368</v>
      </c>
      <c r="EI1262" t="s">
        <v>346</v>
      </c>
      <c r="EJ1262" t="s">
        <v>347</v>
      </c>
      <c r="EK1262" t="s">
        <v>16369</v>
      </c>
      <c r="EL1262" t="s">
        <v>4595</v>
      </c>
      <c r="EM1262" t="s">
        <v>183</v>
      </c>
      <c r="EN1262" t="s">
        <v>211</v>
      </c>
      <c r="EO1262" t="s">
        <v>1253</v>
      </c>
      <c r="EP1262" t="s">
        <v>271</v>
      </c>
      <c r="EQ1262" t="s">
        <v>3650</v>
      </c>
      <c r="ER1262" t="s">
        <v>16370</v>
      </c>
      <c r="ES1262" t="s">
        <v>207</v>
      </c>
      <c r="ET1262" t="s">
        <v>208</v>
      </c>
      <c r="EU1262" t="s">
        <v>16371</v>
      </c>
      <c r="EV1262" t="s">
        <v>1966</v>
      </c>
      <c r="EW1262" t="s">
        <v>183</v>
      </c>
      <c r="EX1262" t="s">
        <v>211</v>
      </c>
      <c r="EY1262" t="s">
        <v>1443</v>
      </c>
      <c r="EZ1262" t="s">
        <v>271</v>
      </c>
      <c r="FA1262" t="s">
        <v>3650</v>
      </c>
      <c r="FK1262" t="s">
        <v>198</v>
      </c>
      <c r="FU1262" t="s">
        <v>198</v>
      </c>
    </row>
    <row r="1263" spans="1:177">
      <c r="A1263" s="1" t="str">
        <f>HYPERLINK("http://digipan.lumentumllc.com/apps/getLink/index.php?t=PropLink&amp;p=5247861","PL")</f>
        <v>PL</v>
      </c>
      <c r="B1263" s="1" t="str">
        <f>HYPERLINK("http://digipan.lumentumllc.com/apps/getLink/index.php?t=TaxLink&amp;p=5247861","TL")</f>
        <v>TL</v>
      </c>
      <c r="C1263" s="1" t="str">
        <f>HYPERLINK("http://digipan.lumentumllc.com/apps/getMap/index.php?p=5247861","Map")</f>
        <v>Map</v>
      </c>
      <c r="E1263" t="s">
        <v>177</v>
      </c>
      <c r="F1263" t="s">
        <v>178</v>
      </c>
      <c r="L1263" t="s">
        <v>16372</v>
      </c>
      <c r="N1263" t="s">
        <v>16372</v>
      </c>
      <c r="O1263" t="s">
        <v>16372</v>
      </c>
      <c r="P1263" t="s">
        <v>16373</v>
      </c>
      <c r="Q1263" t="s">
        <v>16372</v>
      </c>
      <c r="V1263">
        <v>1441</v>
      </c>
      <c r="W1263">
        <v>5</v>
      </c>
      <c r="X1263">
        <v>2017</v>
      </c>
      <c r="Y1263">
        <v>2018</v>
      </c>
      <c r="Z1263">
        <v>458.43</v>
      </c>
      <c r="AB1263" t="s">
        <v>181</v>
      </c>
      <c r="AC1263" t="s">
        <v>202</v>
      </c>
      <c r="AD1263" t="s">
        <v>183</v>
      </c>
      <c r="AE1263">
        <v>0</v>
      </c>
      <c r="AF1263">
        <v>6</v>
      </c>
      <c r="AG1263" t="s">
        <v>3266</v>
      </c>
      <c r="AH1263">
        <v>100</v>
      </c>
      <c r="AK1263">
        <v>0</v>
      </c>
      <c r="AL1263">
        <v>26046</v>
      </c>
      <c r="AM1263">
        <v>16121</v>
      </c>
      <c r="AN1263">
        <v>9925</v>
      </c>
      <c r="AO1263">
        <v>409</v>
      </c>
      <c r="AP1263">
        <v>2016</v>
      </c>
      <c r="AQ1263">
        <v>1.76</v>
      </c>
      <c r="AS1263" t="s">
        <v>16374</v>
      </c>
      <c r="AT1263" t="s">
        <v>3210</v>
      </c>
      <c r="AU1263" t="s">
        <v>177</v>
      </c>
      <c r="AV1263" t="s">
        <v>2334</v>
      </c>
      <c r="AW1263" t="s">
        <v>182</v>
      </c>
      <c r="AX1263">
        <v>2</v>
      </c>
      <c r="AY1263" t="s">
        <v>188</v>
      </c>
      <c r="AZ1263" t="s">
        <v>189</v>
      </c>
      <c r="BA1263" t="s">
        <v>190</v>
      </c>
      <c r="BB1263" t="s">
        <v>191</v>
      </c>
      <c r="BC1263" t="s">
        <v>182</v>
      </c>
      <c r="BD1263" t="s">
        <v>182</v>
      </c>
      <c r="BE1263" t="s">
        <v>5608</v>
      </c>
      <c r="BF1263">
        <v>1</v>
      </c>
      <c r="BG1263">
        <v>1</v>
      </c>
      <c r="BH1263">
        <v>1985</v>
      </c>
      <c r="BI1263" t="s">
        <v>2209</v>
      </c>
      <c r="BJ1263" t="s">
        <v>194</v>
      </c>
      <c r="BK1263" t="s">
        <v>195</v>
      </c>
      <c r="BL1263" t="s">
        <v>1144</v>
      </c>
      <c r="BM1263" t="s">
        <v>679</v>
      </c>
      <c r="BN1263" t="s">
        <v>182</v>
      </c>
      <c r="BO1263" t="s">
        <v>198</v>
      </c>
      <c r="BP1263" t="s">
        <v>198</v>
      </c>
      <c r="BQ1263" t="s">
        <v>198</v>
      </c>
      <c r="BR1263" t="s">
        <v>198</v>
      </c>
      <c r="BS1263" t="s">
        <v>198</v>
      </c>
      <c r="BT1263" t="s">
        <v>198</v>
      </c>
      <c r="BU1263" t="s">
        <v>182</v>
      </c>
      <c r="BV1263" t="s">
        <v>198</v>
      </c>
      <c r="BW1263" t="s">
        <v>198</v>
      </c>
      <c r="BX1263" t="s">
        <v>199</v>
      </c>
      <c r="BY1263" t="s">
        <v>198</v>
      </c>
      <c r="BZ1263" t="s">
        <v>199</v>
      </c>
      <c r="CA1263" t="s">
        <v>199</v>
      </c>
      <c r="CB1263" t="s">
        <v>16375</v>
      </c>
      <c r="CC1263" t="s">
        <v>201</v>
      </c>
      <c r="CD1263" t="s">
        <v>202</v>
      </c>
      <c r="CE1263" t="s">
        <v>16376</v>
      </c>
      <c r="CF1263" t="s">
        <v>2333</v>
      </c>
      <c r="CG1263" t="s">
        <v>177</v>
      </c>
      <c r="CH1263" t="s">
        <v>2334</v>
      </c>
      <c r="CI1263" t="s">
        <v>16377</v>
      </c>
      <c r="CJ1263" t="s">
        <v>12529</v>
      </c>
      <c r="CK1263" t="s">
        <v>292</v>
      </c>
      <c r="CL1263" t="s">
        <v>293</v>
      </c>
      <c r="CM1263" t="s">
        <v>16378</v>
      </c>
      <c r="CN1263" t="s">
        <v>482</v>
      </c>
      <c r="CO1263" t="s">
        <v>183</v>
      </c>
      <c r="CP1263" t="s">
        <v>211</v>
      </c>
      <c r="CQ1263" t="s">
        <v>270</v>
      </c>
      <c r="CR1263" t="s">
        <v>271</v>
      </c>
      <c r="CS1263" t="s">
        <v>4800</v>
      </c>
      <c r="CT1263" t="s">
        <v>13107</v>
      </c>
      <c r="CU1263" t="s">
        <v>267</v>
      </c>
      <c r="CV1263" t="s">
        <v>268</v>
      </c>
      <c r="CW1263" t="s">
        <v>16379</v>
      </c>
      <c r="CX1263" t="s">
        <v>511</v>
      </c>
      <c r="CY1263" t="s">
        <v>183</v>
      </c>
      <c r="CZ1263" t="s">
        <v>211</v>
      </c>
      <c r="DB1263" t="s">
        <v>271</v>
      </c>
      <c r="DC1263" t="s">
        <v>198</v>
      </c>
      <c r="DD1263" t="s">
        <v>14484</v>
      </c>
      <c r="DE1263" t="s">
        <v>302</v>
      </c>
      <c r="DF1263" t="s">
        <v>303</v>
      </c>
      <c r="DG1263" t="s">
        <v>16380</v>
      </c>
      <c r="DH1263" t="s">
        <v>511</v>
      </c>
      <c r="DI1263" t="s">
        <v>183</v>
      </c>
      <c r="DJ1263" t="s">
        <v>211</v>
      </c>
      <c r="DK1263" t="s">
        <v>212</v>
      </c>
      <c r="DL1263" t="s">
        <v>271</v>
      </c>
      <c r="DM1263" t="s">
        <v>15609</v>
      </c>
      <c r="DN1263" t="s">
        <v>9224</v>
      </c>
      <c r="DO1263" t="s">
        <v>238</v>
      </c>
      <c r="DP1263" t="s">
        <v>239</v>
      </c>
      <c r="DQ1263" t="s">
        <v>16381</v>
      </c>
      <c r="DR1263" t="s">
        <v>482</v>
      </c>
      <c r="DS1263" t="s">
        <v>183</v>
      </c>
      <c r="DT1263" t="s">
        <v>211</v>
      </c>
      <c r="DV1263" t="s">
        <v>271</v>
      </c>
      <c r="DW1263" t="s">
        <v>198</v>
      </c>
      <c r="DX1263" t="s">
        <v>16382</v>
      </c>
      <c r="DY1263" t="s">
        <v>346</v>
      </c>
      <c r="DZ1263" t="s">
        <v>347</v>
      </c>
      <c r="EA1263" t="s">
        <v>16383</v>
      </c>
      <c r="EB1263" t="s">
        <v>2515</v>
      </c>
      <c r="EC1263" t="s">
        <v>183</v>
      </c>
      <c r="ED1263" t="s">
        <v>211</v>
      </c>
      <c r="EE1263" t="s">
        <v>1067</v>
      </c>
      <c r="EF1263" t="s">
        <v>271</v>
      </c>
      <c r="EG1263" t="s">
        <v>15609</v>
      </c>
      <c r="EH1263" t="s">
        <v>16384</v>
      </c>
      <c r="EI1263" t="s">
        <v>207</v>
      </c>
      <c r="EJ1263" t="s">
        <v>208</v>
      </c>
      <c r="EK1263" t="s">
        <v>16385</v>
      </c>
      <c r="EL1263" t="s">
        <v>1966</v>
      </c>
      <c r="EM1263" t="s">
        <v>183</v>
      </c>
      <c r="EN1263" t="s">
        <v>211</v>
      </c>
      <c r="EO1263" t="s">
        <v>1368</v>
      </c>
      <c r="EP1263" t="s">
        <v>271</v>
      </c>
      <c r="EQ1263" t="s">
        <v>15609</v>
      </c>
      <c r="FA1263" t="s">
        <v>198</v>
      </c>
      <c r="FK1263" t="s">
        <v>198</v>
      </c>
      <c r="FU1263" t="s">
        <v>198</v>
      </c>
    </row>
    <row r="1264" spans="1:177">
      <c r="A1264" s="1" t="str">
        <f>HYPERLINK("http://digipan.lumentumllc.com/apps/getLink/index.php?t=PropLink&amp;p=5247862","PL")</f>
        <v>PL</v>
      </c>
      <c r="B1264" s="1" t="str">
        <f>HYPERLINK("http://digipan.lumentumllc.com/apps/getLink/index.php?t=TaxLink&amp;p=5247862","TL")</f>
        <v>TL</v>
      </c>
      <c r="C1264" s="1" t="str">
        <f>HYPERLINK("http://digipan.lumentumllc.com/apps/getMap/index.php?p=5247862","Map")</f>
        <v>Map</v>
      </c>
      <c r="E1264" t="s">
        <v>177</v>
      </c>
      <c r="F1264" t="s">
        <v>178</v>
      </c>
      <c r="L1264" t="s">
        <v>16386</v>
      </c>
      <c r="N1264" t="s">
        <v>16386</v>
      </c>
      <c r="O1264" t="s">
        <v>16386</v>
      </c>
      <c r="P1264" t="s">
        <v>16387</v>
      </c>
      <c r="Q1264" t="s">
        <v>16386</v>
      </c>
      <c r="V1264">
        <v>1442</v>
      </c>
      <c r="W1264">
        <v>5</v>
      </c>
      <c r="X1264">
        <v>2017</v>
      </c>
      <c r="Y1264">
        <v>2018</v>
      </c>
      <c r="Z1264">
        <v>668.79</v>
      </c>
      <c r="AB1264" t="s">
        <v>181</v>
      </c>
      <c r="AC1264" t="s">
        <v>202</v>
      </c>
      <c r="AD1264" t="s">
        <v>183</v>
      </c>
      <c r="AE1264">
        <v>1</v>
      </c>
      <c r="AF1264">
        <v>7</v>
      </c>
      <c r="AG1264" t="s">
        <v>418</v>
      </c>
      <c r="AH1264">
        <v>86</v>
      </c>
      <c r="AI1264">
        <v>661.73</v>
      </c>
      <c r="AJ1264">
        <v>33.090000000000003</v>
      </c>
      <c r="AK1264">
        <v>694.82</v>
      </c>
      <c r="AL1264">
        <v>38895</v>
      </c>
      <c r="AM1264">
        <v>15092</v>
      </c>
      <c r="AN1264">
        <v>23803</v>
      </c>
      <c r="AO1264">
        <v>587</v>
      </c>
      <c r="AP1264">
        <v>2016</v>
      </c>
      <c r="AQ1264">
        <v>1.72</v>
      </c>
      <c r="AR1264">
        <v>1.79</v>
      </c>
      <c r="AS1264" t="s">
        <v>16388</v>
      </c>
      <c r="AT1264" t="s">
        <v>3210</v>
      </c>
      <c r="AU1264" t="s">
        <v>177</v>
      </c>
      <c r="AV1264" t="s">
        <v>2334</v>
      </c>
      <c r="AW1264" t="s">
        <v>182</v>
      </c>
      <c r="AX1264">
        <v>1</v>
      </c>
      <c r="AY1264" t="s">
        <v>188</v>
      </c>
      <c r="AZ1264" t="s">
        <v>206</v>
      </c>
      <c r="BA1264" t="s">
        <v>355</v>
      </c>
      <c r="BB1264" t="s">
        <v>191</v>
      </c>
      <c r="BC1264" t="s">
        <v>182</v>
      </c>
      <c r="BD1264" t="s">
        <v>182</v>
      </c>
      <c r="BE1264" t="s">
        <v>6986</v>
      </c>
      <c r="BF1264">
        <v>1</v>
      </c>
      <c r="BG1264">
        <v>1</v>
      </c>
      <c r="BH1264">
        <v>1960</v>
      </c>
      <c r="BI1264" t="s">
        <v>11628</v>
      </c>
      <c r="BJ1264" t="s">
        <v>285</v>
      </c>
      <c r="BK1264" t="s">
        <v>195</v>
      </c>
      <c r="BL1264" t="s">
        <v>11970</v>
      </c>
      <c r="BM1264" t="s">
        <v>4724</v>
      </c>
      <c r="BN1264" t="s">
        <v>182</v>
      </c>
      <c r="BO1264" t="s">
        <v>16335</v>
      </c>
      <c r="BP1264" t="s">
        <v>5459</v>
      </c>
      <c r="BQ1264" t="s">
        <v>904</v>
      </c>
      <c r="BR1264" t="s">
        <v>563</v>
      </c>
      <c r="BS1264" t="s">
        <v>198</v>
      </c>
      <c r="BT1264" t="s">
        <v>228</v>
      </c>
      <c r="BU1264" t="s">
        <v>182</v>
      </c>
      <c r="BV1264" t="s">
        <v>198</v>
      </c>
      <c r="BW1264" t="s">
        <v>198</v>
      </c>
      <c r="BX1264" t="s">
        <v>199</v>
      </c>
      <c r="BY1264" t="s">
        <v>198</v>
      </c>
      <c r="BZ1264" t="s">
        <v>199</v>
      </c>
      <c r="CA1264" t="s">
        <v>199</v>
      </c>
      <c r="CB1264" t="s">
        <v>16336</v>
      </c>
      <c r="CC1264" t="s">
        <v>201</v>
      </c>
      <c r="CD1264" t="s">
        <v>202</v>
      </c>
      <c r="CE1264" t="s">
        <v>16337</v>
      </c>
      <c r="CF1264" t="s">
        <v>5331</v>
      </c>
      <c r="CG1264" t="s">
        <v>177</v>
      </c>
      <c r="CH1264" t="s">
        <v>371</v>
      </c>
      <c r="CI1264" t="s">
        <v>15163</v>
      </c>
      <c r="CJ1264" t="s">
        <v>14713</v>
      </c>
      <c r="CK1264" t="s">
        <v>232</v>
      </c>
      <c r="CL1264" t="s">
        <v>233</v>
      </c>
      <c r="CM1264" t="s">
        <v>16389</v>
      </c>
      <c r="CN1264" t="s">
        <v>235</v>
      </c>
      <c r="CO1264" t="s">
        <v>183</v>
      </c>
      <c r="CP1264" t="s">
        <v>266</v>
      </c>
      <c r="CS1264" t="s">
        <v>198</v>
      </c>
      <c r="CT1264" t="s">
        <v>15302</v>
      </c>
      <c r="CU1264" t="s">
        <v>292</v>
      </c>
      <c r="CV1264" t="s">
        <v>293</v>
      </c>
      <c r="CW1264" t="s">
        <v>16390</v>
      </c>
      <c r="CX1264" t="s">
        <v>235</v>
      </c>
      <c r="CY1264" t="s">
        <v>183</v>
      </c>
      <c r="CZ1264" t="s">
        <v>211</v>
      </c>
      <c r="DA1264" t="s">
        <v>337</v>
      </c>
      <c r="DC1264" t="s">
        <v>16391</v>
      </c>
      <c r="DD1264" t="s">
        <v>1291</v>
      </c>
      <c r="DE1264" t="s">
        <v>267</v>
      </c>
      <c r="DF1264" t="s">
        <v>268</v>
      </c>
      <c r="DG1264" t="s">
        <v>16392</v>
      </c>
      <c r="DH1264" t="s">
        <v>482</v>
      </c>
      <c r="DI1264" t="s">
        <v>183</v>
      </c>
      <c r="DJ1264" t="s">
        <v>211</v>
      </c>
      <c r="DL1264" t="s">
        <v>271</v>
      </c>
      <c r="DM1264" t="s">
        <v>198</v>
      </c>
      <c r="DN1264" t="s">
        <v>15396</v>
      </c>
      <c r="DO1264" t="s">
        <v>273</v>
      </c>
      <c r="DP1264" t="s">
        <v>274</v>
      </c>
      <c r="DQ1264" t="s">
        <v>16393</v>
      </c>
      <c r="DR1264" t="s">
        <v>341</v>
      </c>
      <c r="DS1264" t="s">
        <v>183</v>
      </c>
      <c r="DT1264" t="s">
        <v>211</v>
      </c>
      <c r="DV1264" t="s">
        <v>271</v>
      </c>
      <c r="DW1264" t="s">
        <v>198</v>
      </c>
      <c r="DX1264" t="s">
        <v>3096</v>
      </c>
      <c r="DY1264" t="s">
        <v>302</v>
      </c>
      <c r="DZ1264" t="s">
        <v>303</v>
      </c>
      <c r="EA1264" t="s">
        <v>16394</v>
      </c>
      <c r="EB1264" t="s">
        <v>436</v>
      </c>
      <c r="EC1264" t="s">
        <v>183</v>
      </c>
      <c r="ED1264" t="s">
        <v>211</v>
      </c>
      <c r="EF1264" t="s">
        <v>271</v>
      </c>
      <c r="EG1264" t="s">
        <v>198</v>
      </c>
      <c r="EH1264" t="s">
        <v>16395</v>
      </c>
      <c r="EI1264" t="s">
        <v>238</v>
      </c>
      <c r="EJ1264" t="s">
        <v>239</v>
      </c>
      <c r="EK1264" t="s">
        <v>16396</v>
      </c>
      <c r="EL1264" t="s">
        <v>482</v>
      </c>
      <c r="EM1264" t="s">
        <v>183</v>
      </c>
      <c r="EN1264" t="s">
        <v>211</v>
      </c>
      <c r="EO1264" t="s">
        <v>963</v>
      </c>
      <c r="EP1264" t="s">
        <v>271</v>
      </c>
      <c r="EQ1264" t="s">
        <v>14197</v>
      </c>
      <c r="ER1264" t="s">
        <v>4143</v>
      </c>
      <c r="ES1264" t="s">
        <v>346</v>
      </c>
      <c r="ET1264" t="s">
        <v>347</v>
      </c>
      <c r="EU1264" t="s">
        <v>16397</v>
      </c>
      <c r="EV1264" t="s">
        <v>440</v>
      </c>
      <c r="EW1264" t="s">
        <v>183</v>
      </c>
      <c r="EX1264" t="s">
        <v>211</v>
      </c>
      <c r="EY1264" t="s">
        <v>1064</v>
      </c>
      <c r="FA1264" t="s">
        <v>2359</v>
      </c>
      <c r="FB1264" t="s">
        <v>16398</v>
      </c>
      <c r="FC1264" t="s">
        <v>207</v>
      </c>
      <c r="FD1264" t="s">
        <v>208</v>
      </c>
      <c r="FE1264" t="s">
        <v>16399</v>
      </c>
      <c r="FF1264" t="s">
        <v>576</v>
      </c>
      <c r="FG1264" t="s">
        <v>183</v>
      </c>
      <c r="FH1264" t="s">
        <v>211</v>
      </c>
      <c r="FI1264" t="s">
        <v>616</v>
      </c>
      <c r="FK1264" t="s">
        <v>16400</v>
      </c>
      <c r="FU1264" t="s">
        <v>198</v>
      </c>
    </row>
    <row r="1265" spans="1:177">
      <c r="A1265" s="1" t="str">
        <f>HYPERLINK("http://digipan.lumentumllc.com/apps/getLink/index.php?t=PropLink&amp;p=4638468","PL")</f>
        <v>PL</v>
      </c>
      <c r="B1265" s="1" t="str">
        <f>HYPERLINK("http://digipan.lumentumllc.com/apps/getLink/index.php?t=TaxLink&amp;p=4638468","TL")</f>
        <v>TL</v>
      </c>
      <c r="C1265" s="1" t="str">
        <f>HYPERLINK("http://digipan.lumentumllc.com/apps/getMap/index.php?p=4638468","Map")</f>
        <v>Map</v>
      </c>
      <c r="E1265" t="s">
        <v>177</v>
      </c>
      <c r="F1265" t="s">
        <v>178</v>
      </c>
      <c r="L1265" t="s">
        <v>16401</v>
      </c>
      <c r="N1265" t="s">
        <v>16401</v>
      </c>
      <c r="O1265" t="s">
        <v>16401</v>
      </c>
      <c r="P1265" t="s">
        <v>16402</v>
      </c>
      <c r="Q1265" t="s">
        <v>16401</v>
      </c>
      <c r="V1265">
        <v>1443</v>
      </c>
      <c r="W1265">
        <v>5</v>
      </c>
      <c r="X1265">
        <v>2017</v>
      </c>
      <c r="Y1265">
        <v>2018</v>
      </c>
      <c r="Z1265">
        <v>918.22</v>
      </c>
      <c r="AB1265" t="s">
        <v>181</v>
      </c>
      <c r="AC1265" t="s">
        <v>202</v>
      </c>
      <c r="AD1265" t="s">
        <v>183</v>
      </c>
      <c r="AE1265">
        <v>1</v>
      </c>
      <c r="AF1265">
        <v>6</v>
      </c>
      <c r="AG1265" t="s">
        <v>322</v>
      </c>
      <c r="AH1265">
        <v>83</v>
      </c>
      <c r="AI1265">
        <v>881.76</v>
      </c>
      <c r="AJ1265">
        <v>44.09</v>
      </c>
      <c r="AK1265">
        <v>925.85</v>
      </c>
      <c r="AL1265">
        <v>54586</v>
      </c>
      <c r="AM1265">
        <v>15092</v>
      </c>
      <c r="AN1265">
        <v>39494</v>
      </c>
      <c r="AO1265">
        <v>790</v>
      </c>
      <c r="AP1265">
        <v>2016</v>
      </c>
      <c r="AQ1265">
        <v>1.68</v>
      </c>
      <c r="AR1265">
        <v>1.7</v>
      </c>
      <c r="AS1265" t="s">
        <v>16403</v>
      </c>
      <c r="AT1265" t="s">
        <v>3210</v>
      </c>
      <c r="AU1265" t="s">
        <v>177</v>
      </c>
      <c r="AV1265" t="s">
        <v>2334</v>
      </c>
      <c r="AW1265" t="s">
        <v>182</v>
      </c>
      <c r="AX1265">
        <v>1</v>
      </c>
      <c r="AY1265" t="s">
        <v>188</v>
      </c>
      <c r="AZ1265" t="s">
        <v>206</v>
      </c>
      <c r="BA1265" t="s">
        <v>355</v>
      </c>
      <c r="BB1265" t="s">
        <v>191</v>
      </c>
      <c r="BC1265" t="s">
        <v>182</v>
      </c>
      <c r="BD1265" t="s">
        <v>182</v>
      </c>
      <c r="BE1265" t="s">
        <v>6986</v>
      </c>
      <c r="BF1265">
        <v>1</v>
      </c>
      <c r="BG1265">
        <v>1</v>
      </c>
      <c r="BH1265">
        <v>1965</v>
      </c>
      <c r="BI1265" t="s">
        <v>9871</v>
      </c>
      <c r="BJ1265" t="s">
        <v>285</v>
      </c>
      <c r="BK1265" t="s">
        <v>195</v>
      </c>
      <c r="BL1265" t="s">
        <v>11970</v>
      </c>
      <c r="BM1265" t="s">
        <v>4724</v>
      </c>
      <c r="BN1265" t="s">
        <v>182</v>
      </c>
      <c r="BO1265" t="s">
        <v>16335</v>
      </c>
      <c r="BP1265" t="s">
        <v>5459</v>
      </c>
      <c r="BQ1265" t="s">
        <v>904</v>
      </c>
      <c r="BR1265" t="s">
        <v>563</v>
      </c>
      <c r="BS1265" t="s">
        <v>198</v>
      </c>
      <c r="BT1265" t="s">
        <v>228</v>
      </c>
      <c r="BU1265" t="s">
        <v>182</v>
      </c>
      <c r="BV1265" t="s">
        <v>198</v>
      </c>
      <c r="BW1265" t="s">
        <v>198</v>
      </c>
      <c r="BX1265" t="s">
        <v>199</v>
      </c>
      <c r="BY1265" t="s">
        <v>198</v>
      </c>
      <c r="BZ1265" t="s">
        <v>199</v>
      </c>
      <c r="CA1265" t="s">
        <v>199</v>
      </c>
      <c r="CB1265" t="s">
        <v>16336</v>
      </c>
      <c r="CC1265" t="s">
        <v>201</v>
      </c>
      <c r="CD1265" t="s">
        <v>202</v>
      </c>
      <c r="CE1265" t="s">
        <v>16337</v>
      </c>
      <c r="CF1265" t="s">
        <v>5331</v>
      </c>
      <c r="CG1265" t="s">
        <v>177</v>
      </c>
      <c r="CH1265" t="s">
        <v>371</v>
      </c>
      <c r="CI1265" t="s">
        <v>10240</v>
      </c>
      <c r="CJ1265" t="s">
        <v>8887</v>
      </c>
      <c r="CK1265" t="s">
        <v>232</v>
      </c>
      <c r="CL1265" t="s">
        <v>233</v>
      </c>
      <c r="CM1265" t="s">
        <v>16404</v>
      </c>
      <c r="CN1265" t="s">
        <v>235</v>
      </c>
      <c r="CO1265" t="s">
        <v>183</v>
      </c>
      <c r="CP1265" t="s">
        <v>266</v>
      </c>
      <c r="CS1265" t="s">
        <v>198</v>
      </c>
      <c r="CT1265" t="s">
        <v>15308</v>
      </c>
      <c r="CU1265" t="s">
        <v>292</v>
      </c>
      <c r="CV1265" t="s">
        <v>293</v>
      </c>
      <c r="CW1265" t="s">
        <v>16405</v>
      </c>
      <c r="CX1265" t="s">
        <v>482</v>
      </c>
      <c r="CY1265" t="s">
        <v>183</v>
      </c>
      <c r="CZ1265" t="s">
        <v>211</v>
      </c>
      <c r="DA1265" t="s">
        <v>337</v>
      </c>
      <c r="DC1265" t="s">
        <v>16391</v>
      </c>
      <c r="DD1265" t="s">
        <v>5250</v>
      </c>
      <c r="DE1265" t="s">
        <v>267</v>
      </c>
      <c r="DF1265" t="s">
        <v>268</v>
      </c>
      <c r="DG1265" t="s">
        <v>16406</v>
      </c>
      <c r="DH1265" t="s">
        <v>331</v>
      </c>
      <c r="DI1265" t="s">
        <v>183</v>
      </c>
      <c r="DJ1265" t="s">
        <v>211</v>
      </c>
      <c r="DK1265" t="s">
        <v>337</v>
      </c>
      <c r="DM1265" t="s">
        <v>15584</v>
      </c>
      <c r="DN1265" t="s">
        <v>15406</v>
      </c>
      <c r="DO1265" t="s">
        <v>273</v>
      </c>
      <c r="DP1265" t="s">
        <v>274</v>
      </c>
      <c r="DQ1265" t="s">
        <v>16407</v>
      </c>
      <c r="DR1265" t="s">
        <v>3342</v>
      </c>
      <c r="DS1265" t="s">
        <v>183</v>
      </c>
      <c r="DT1265" t="s">
        <v>211</v>
      </c>
      <c r="DU1265" t="s">
        <v>808</v>
      </c>
      <c r="DW1265" t="s">
        <v>12325</v>
      </c>
      <c r="DX1265" t="s">
        <v>16408</v>
      </c>
      <c r="DY1265" t="s">
        <v>302</v>
      </c>
      <c r="DZ1265" t="s">
        <v>303</v>
      </c>
      <c r="EA1265" t="s">
        <v>16409</v>
      </c>
      <c r="EB1265" t="s">
        <v>235</v>
      </c>
      <c r="EC1265" t="s">
        <v>183</v>
      </c>
      <c r="ED1265" t="s">
        <v>211</v>
      </c>
      <c r="EE1265" t="s">
        <v>1089</v>
      </c>
      <c r="EG1265" t="s">
        <v>12325</v>
      </c>
      <c r="EH1265" t="s">
        <v>16410</v>
      </c>
      <c r="EI1265" t="s">
        <v>238</v>
      </c>
      <c r="EJ1265" t="s">
        <v>239</v>
      </c>
      <c r="EK1265" t="s">
        <v>16411</v>
      </c>
      <c r="EL1265" t="s">
        <v>331</v>
      </c>
      <c r="EM1265" t="s">
        <v>183</v>
      </c>
      <c r="EN1265" t="s">
        <v>211</v>
      </c>
      <c r="EO1265" t="s">
        <v>671</v>
      </c>
      <c r="EQ1265" t="s">
        <v>12325</v>
      </c>
      <c r="ER1265" t="s">
        <v>13693</v>
      </c>
      <c r="ES1265" t="s">
        <v>207</v>
      </c>
      <c r="ET1265" t="s">
        <v>208</v>
      </c>
      <c r="EU1265" t="s">
        <v>3409</v>
      </c>
      <c r="EV1265" t="s">
        <v>1966</v>
      </c>
      <c r="EW1265" t="s">
        <v>183</v>
      </c>
      <c r="EX1265" t="s">
        <v>211</v>
      </c>
      <c r="EY1265" t="s">
        <v>290</v>
      </c>
      <c r="EZ1265" t="s">
        <v>271</v>
      </c>
      <c r="FA1265" t="s">
        <v>5686</v>
      </c>
      <c r="FK1265" t="s">
        <v>198</v>
      </c>
      <c r="FU1265" t="s">
        <v>198</v>
      </c>
    </row>
    <row r="1266" spans="1:177">
      <c r="A1266" s="1" t="str">
        <f>HYPERLINK("http://digipan.lumentumllc.com/apps/getLink/index.php?t=PropLink&amp;p=15759011","PL")</f>
        <v>PL</v>
      </c>
      <c r="B1266" s="1" t="str">
        <f>HYPERLINK("http://digipan.lumentumllc.com/apps/getLink/index.php?t=TaxLink&amp;p=15759011","TL")</f>
        <v>TL</v>
      </c>
      <c r="C1266" s="1" t="str">
        <f>HYPERLINK("http://digipan.lumentumllc.com/apps/getMap/index.php?p=15759011","Map")</f>
        <v>Map</v>
      </c>
      <c r="E1266" t="s">
        <v>177</v>
      </c>
      <c r="F1266" t="s">
        <v>178</v>
      </c>
      <c r="L1266" t="s">
        <v>16412</v>
      </c>
      <c r="N1266" t="s">
        <v>16412</v>
      </c>
      <c r="O1266" t="s">
        <v>16412</v>
      </c>
      <c r="Q1266" t="s">
        <v>16412</v>
      </c>
      <c r="V1266">
        <v>1444</v>
      </c>
      <c r="W1266">
        <v>5</v>
      </c>
      <c r="X1266">
        <v>2017</v>
      </c>
      <c r="Y1266">
        <v>2018</v>
      </c>
      <c r="Z1266">
        <v>2331.35</v>
      </c>
      <c r="AG1266" t="s">
        <v>184</v>
      </c>
      <c r="AH1266">
        <v>0</v>
      </c>
      <c r="AK1266">
        <v>0</v>
      </c>
      <c r="AL1266">
        <v>211369</v>
      </c>
      <c r="AM1266">
        <v>30000</v>
      </c>
      <c r="AN1266">
        <v>181369</v>
      </c>
      <c r="AO1266">
        <v>2102</v>
      </c>
      <c r="AP1266">
        <v>2016</v>
      </c>
      <c r="AQ1266">
        <v>1.1000000000000001</v>
      </c>
      <c r="AS1266" t="s">
        <v>16413</v>
      </c>
      <c r="AT1266" t="s">
        <v>3210</v>
      </c>
      <c r="AU1266" t="s">
        <v>177</v>
      </c>
      <c r="AV1266" t="s">
        <v>2334</v>
      </c>
      <c r="AW1266" t="s">
        <v>202</v>
      </c>
      <c r="AX1266">
        <v>1</v>
      </c>
      <c r="AY1266" t="s">
        <v>188</v>
      </c>
      <c r="AZ1266" t="s">
        <v>206</v>
      </c>
      <c r="BA1266" t="s">
        <v>355</v>
      </c>
      <c r="BB1266" t="s">
        <v>191</v>
      </c>
      <c r="BC1266" t="s">
        <v>182</v>
      </c>
      <c r="BD1266" t="s">
        <v>182</v>
      </c>
      <c r="BE1266" t="s">
        <v>3956</v>
      </c>
      <c r="BF1266">
        <v>1</v>
      </c>
      <c r="BG1266">
        <v>1</v>
      </c>
      <c r="BH1266">
        <v>2007</v>
      </c>
      <c r="BI1266" t="s">
        <v>11115</v>
      </c>
      <c r="BJ1266" t="s">
        <v>315</v>
      </c>
      <c r="BK1266" t="s">
        <v>195</v>
      </c>
      <c r="BL1266" t="s">
        <v>16414</v>
      </c>
      <c r="BM1266" t="s">
        <v>286</v>
      </c>
      <c r="BN1266" t="s">
        <v>182</v>
      </c>
      <c r="BO1266" t="s">
        <v>1855</v>
      </c>
      <c r="BP1266" t="s">
        <v>16415</v>
      </c>
      <c r="BQ1266" t="s">
        <v>800</v>
      </c>
      <c r="BR1266" t="s">
        <v>582</v>
      </c>
      <c r="BS1266" t="s">
        <v>198</v>
      </c>
      <c r="BT1266" t="s">
        <v>16416</v>
      </c>
      <c r="BU1266" t="s">
        <v>182</v>
      </c>
      <c r="BV1266" t="s">
        <v>198</v>
      </c>
      <c r="BW1266" t="s">
        <v>198</v>
      </c>
      <c r="BX1266" t="s">
        <v>199</v>
      </c>
      <c r="BY1266" t="s">
        <v>198</v>
      </c>
      <c r="BZ1266" t="s">
        <v>199</v>
      </c>
      <c r="CA1266" t="s">
        <v>199</v>
      </c>
      <c r="CB1266" t="s">
        <v>16417</v>
      </c>
      <c r="CC1266" t="s">
        <v>201</v>
      </c>
      <c r="CD1266" t="s">
        <v>182</v>
      </c>
      <c r="CE1266" t="s">
        <v>7878</v>
      </c>
      <c r="CF1266" t="s">
        <v>2333</v>
      </c>
      <c r="CG1266" t="s">
        <v>177</v>
      </c>
      <c r="CH1266" t="s">
        <v>3178</v>
      </c>
      <c r="CI1266" t="s">
        <v>16418</v>
      </c>
      <c r="CS1266" t="s">
        <v>198</v>
      </c>
      <c r="DC1266" t="s">
        <v>198</v>
      </c>
      <c r="DM1266" t="s">
        <v>198</v>
      </c>
      <c r="DW1266" t="s">
        <v>198</v>
      </c>
      <c r="EG1266" t="s">
        <v>198</v>
      </c>
      <c r="EQ1266" t="s">
        <v>198</v>
      </c>
      <c r="FA1266" t="s">
        <v>198</v>
      </c>
      <c r="FK1266" t="s">
        <v>198</v>
      </c>
      <c r="FU1266" t="s">
        <v>198</v>
      </c>
    </row>
    <row r="1267" spans="1:177">
      <c r="A1267" s="1" t="str">
        <f>HYPERLINK("http://digipan.lumentumllc.com/apps/getLink/index.php?t=PropLink&amp;p=5247866","PL")</f>
        <v>PL</v>
      </c>
      <c r="B1267" s="1" t="str">
        <f>HYPERLINK("http://digipan.lumentumllc.com/apps/getLink/index.php?t=TaxLink&amp;p=5247866","TL")</f>
        <v>TL</v>
      </c>
      <c r="C1267" s="1" t="str">
        <f>HYPERLINK("http://digipan.lumentumllc.com/apps/getMap/index.php?p=5247866","Map")</f>
        <v>Map</v>
      </c>
      <c r="E1267" t="s">
        <v>177</v>
      </c>
      <c r="F1267" t="s">
        <v>178</v>
      </c>
      <c r="L1267" t="s">
        <v>16419</v>
      </c>
      <c r="N1267" t="s">
        <v>16419</v>
      </c>
      <c r="O1267" t="s">
        <v>16419</v>
      </c>
      <c r="P1267" t="s">
        <v>16420</v>
      </c>
      <c r="Q1267" t="s">
        <v>16419</v>
      </c>
      <c r="V1267">
        <v>1445</v>
      </c>
      <c r="W1267">
        <v>5</v>
      </c>
      <c r="X1267">
        <v>2017</v>
      </c>
      <c r="Y1267">
        <v>2018</v>
      </c>
      <c r="Z1267">
        <v>545.91</v>
      </c>
      <c r="AB1267" t="s">
        <v>181</v>
      </c>
      <c r="AC1267" t="s">
        <v>182</v>
      </c>
      <c r="AD1267" t="s">
        <v>1037</v>
      </c>
      <c r="AE1267">
        <v>0</v>
      </c>
      <c r="AF1267">
        <v>5</v>
      </c>
      <c r="AG1267" t="s">
        <v>3266</v>
      </c>
      <c r="AH1267">
        <v>100</v>
      </c>
      <c r="AK1267">
        <v>0</v>
      </c>
      <c r="AL1267">
        <v>67076</v>
      </c>
      <c r="AM1267">
        <v>24897</v>
      </c>
      <c r="AN1267">
        <v>42179</v>
      </c>
      <c r="AO1267">
        <v>474</v>
      </c>
      <c r="AP1267">
        <v>2016</v>
      </c>
      <c r="AQ1267">
        <v>0.81</v>
      </c>
      <c r="AS1267" t="s">
        <v>16421</v>
      </c>
      <c r="AT1267" t="s">
        <v>3210</v>
      </c>
      <c r="AU1267" t="s">
        <v>177</v>
      </c>
      <c r="AV1267" t="s">
        <v>2334</v>
      </c>
      <c r="AW1267" t="s">
        <v>202</v>
      </c>
      <c r="AX1267">
        <v>1</v>
      </c>
      <c r="AY1267" t="s">
        <v>188</v>
      </c>
      <c r="AZ1267" t="s">
        <v>206</v>
      </c>
      <c r="BA1267" t="s">
        <v>355</v>
      </c>
      <c r="BB1267" t="s">
        <v>191</v>
      </c>
      <c r="BC1267" t="s">
        <v>182</v>
      </c>
      <c r="BD1267" t="s">
        <v>182</v>
      </c>
      <c r="BE1267" t="s">
        <v>3831</v>
      </c>
      <c r="BF1267">
        <v>1</v>
      </c>
      <c r="BG1267">
        <v>1</v>
      </c>
      <c r="BH1267">
        <v>1940</v>
      </c>
      <c r="BI1267" t="s">
        <v>13215</v>
      </c>
      <c r="BJ1267" t="s">
        <v>194</v>
      </c>
      <c r="BK1267" t="s">
        <v>195</v>
      </c>
      <c r="BL1267" t="s">
        <v>1225</v>
      </c>
      <c r="BM1267" t="s">
        <v>451</v>
      </c>
      <c r="BN1267" t="s">
        <v>182</v>
      </c>
      <c r="BO1267" t="s">
        <v>198</v>
      </c>
      <c r="BP1267" t="s">
        <v>198</v>
      </c>
      <c r="BQ1267" t="s">
        <v>198</v>
      </c>
      <c r="BR1267" t="s">
        <v>198</v>
      </c>
      <c r="BS1267" t="s">
        <v>198</v>
      </c>
      <c r="BT1267" t="s">
        <v>198</v>
      </c>
      <c r="BU1267" t="s">
        <v>182</v>
      </c>
      <c r="BV1267" t="s">
        <v>198</v>
      </c>
      <c r="BW1267" t="s">
        <v>198</v>
      </c>
      <c r="BX1267" t="s">
        <v>199</v>
      </c>
      <c r="BY1267" t="s">
        <v>198</v>
      </c>
      <c r="BZ1267" t="s">
        <v>199</v>
      </c>
      <c r="CA1267" t="s">
        <v>199</v>
      </c>
      <c r="CB1267" t="s">
        <v>16422</v>
      </c>
      <c r="CC1267" t="s">
        <v>201</v>
      </c>
      <c r="CD1267" t="s">
        <v>182</v>
      </c>
      <c r="CE1267" t="s">
        <v>16423</v>
      </c>
      <c r="CF1267" t="s">
        <v>2333</v>
      </c>
      <c r="CG1267" t="s">
        <v>177</v>
      </c>
      <c r="CH1267" t="s">
        <v>2334</v>
      </c>
      <c r="CI1267" t="s">
        <v>16424</v>
      </c>
      <c r="CJ1267" t="s">
        <v>2781</v>
      </c>
      <c r="CK1267" t="s">
        <v>232</v>
      </c>
      <c r="CL1267" t="s">
        <v>233</v>
      </c>
      <c r="CM1267" t="s">
        <v>16425</v>
      </c>
      <c r="CN1267" t="s">
        <v>235</v>
      </c>
      <c r="CO1267" t="s">
        <v>183</v>
      </c>
      <c r="CP1267" t="s">
        <v>211</v>
      </c>
      <c r="CQ1267" t="s">
        <v>270</v>
      </c>
      <c r="CS1267" t="s">
        <v>16426</v>
      </c>
      <c r="CT1267" t="s">
        <v>9504</v>
      </c>
      <c r="CU1267" t="s">
        <v>292</v>
      </c>
      <c r="CV1267" t="s">
        <v>293</v>
      </c>
      <c r="CW1267" t="s">
        <v>16427</v>
      </c>
      <c r="CX1267" t="s">
        <v>235</v>
      </c>
      <c r="CY1267" t="s">
        <v>183</v>
      </c>
      <c r="CZ1267" t="s">
        <v>211</v>
      </c>
      <c r="DA1267" t="s">
        <v>199</v>
      </c>
      <c r="DC1267" t="s">
        <v>3992</v>
      </c>
      <c r="DD1267" t="s">
        <v>13199</v>
      </c>
      <c r="DE1267" t="s">
        <v>267</v>
      </c>
      <c r="DF1267" t="s">
        <v>268</v>
      </c>
      <c r="DG1267" t="s">
        <v>16428</v>
      </c>
      <c r="DH1267" t="s">
        <v>482</v>
      </c>
      <c r="DI1267" t="s">
        <v>5</v>
      </c>
      <c r="DJ1267" t="s">
        <v>211</v>
      </c>
      <c r="DK1267" t="s">
        <v>206</v>
      </c>
      <c r="DM1267" t="s">
        <v>2899</v>
      </c>
      <c r="DN1267" t="s">
        <v>16429</v>
      </c>
      <c r="DO1267" t="s">
        <v>302</v>
      </c>
      <c r="DP1267" t="s">
        <v>303</v>
      </c>
      <c r="DQ1267" t="s">
        <v>16430</v>
      </c>
      <c r="DR1267" t="s">
        <v>482</v>
      </c>
      <c r="DS1267" t="s">
        <v>5</v>
      </c>
      <c r="DT1267" t="s">
        <v>211</v>
      </c>
      <c r="DU1267" t="s">
        <v>212</v>
      </c>
      <c r="DW1267" t="s">
        <v>16431</v>
      </c>
      <c r="DX1267" t="s">
        <v>9780</v>
      </c>
      <c r="DY1267" t="s">
        <v>346</v>
      </c>
      <c r="DZ1267" t="s">
        <v>347</v>
      </c>
      <c r="EA1267" t="s">
        <v>10822</v>
      </c>
      <c r="EB1267" t="s">
        <v>1491</v>
      </c>
      <c r="EC1267" t="s">
        <v>183</v>
      </c>
      <c r="ED1267" t="s">
        <v>211</v>
      </c>
      <c r="EE1267" t="s">
        <v>270</v>
      </c>
      <c r="EG1267" t="s">
        <v>1398</v>
      </c>
      <c r="EQ1267" t="s">
        <v>198</v>
      </c>
      <c r="FA1267" t="s">
        <v>198</v>
      </c>
      <c r="FK1267" t="s">
        <v>198</v>
      </c>
      <c r="FU1267" t="s">
        <v>198</v>
      </c>
    </row>
    <row r="1268" spans="1:177">
      <c r="A1268" s="1" t="str">
        <f>HYPERLINK("http://digipan.lumentumllc.com/apps/getLink/index.php?t=PropLink&amp;p=5247907","PL")</f>
        <v>PL</v>
      </c>
      <c r="B1268" s="1" t="str">
        <f>HYPERLINK("http://digipan.lumentumllc.com/apps/getLink/index.php?t=TaxLink&amp;p=5247907","TL")</f>
        <v>TL</v>
      </c>
      <c r="C1268" s="1" t="str">
        <f>HYPERLINK("http://digipan.lumentumllc.com/apps/getMap/index.php?p=5247907","Map")</f>
        <v>Map</v>
      </c>
      <c r="E1268" t="s">
        <v>177</v>
      </c>
      <c r="F1268" t="s">
        <v>178</v>
      </c>
      <c r="L1268" t="s">
        <v>16432</v>
      </c>
      <c r="N1268" t="s">
        <v>16432</v>
      </c>
      <c r="O1268" t="s">
        <v>16432</v>
      </c>
      <c r="P1268" t="s">
        <v>16433</v>
      </c>
      <c r="Q1268" t="s">
        <v>16432</v>
      </c>
      <c r="V1268">
        <v>1446</v>
      </c>
      <c r="W1268">
        <v>5</v>
      </c>
      <c r="X1268">
        <v>2017</v>
      </c>
      <c r="Y1268">
        <v>2018</v>
      </c>
      <c r="Z1268">
        <v>482.01</v>
      </c>
      <c r="AB1268" t="s">
        <v>181</v>
      </c>
      <c r="AC1268" t="s">
        <v>182</v>
      </c>
      <c r="AD1268" t="s">
        <v>183</v>
      </c>
      <c r="AE1268">
        <v>1</v>
      </c>
      <c r="AF1268">
        <v>6</v>
      </c>
      <c r="AG1268" t="s">
        <v>322</v>
      </c>
      <c r="AH1268">
        <v>83</v>
      </c>
      <c r="AI1268">
        <v>475.54</v>
      </c>
      <c r="AJ1268">
        <v>23.78</v>
      </c>
      <c r="AK1268">
        <v>499.32</v>
      </c>
      <c r="AL1268">
        <v>65000</v>
      </c>
      <c r="AM1268">
        <v>25000</v>
      </c>
      <c r="AN1268">
        <v>40000</v>
      </c>
      <c r="AO1268">
        <v>415</v>
      </c>
      <c r="AP1268">
        <v>2016</v>
      </c>
      <c r="AQ1268">
        <v>0.74</v>
      </c>
      <c r="AR1268">
        <v>0.77</v>
      </c>
      <c r="AS1268" t="s">
        <v>16434</v>
      </c>
      <c r="AT1268" t="s">
        <v>3210</v>
      </c>
      <c r="AU1268" t="s">
        <v>177</v>
      </c>
      <c r="AV1268" t="s">
        <v>2334</v>
      </c>
      <c r="AW1268" t="s">
        <v>202</v>
      </c>
      <c r="AX1268">
        <v>2</v>
      </c>
      <c r="AY1268" t="s">
        <v>188</v>
      </c>
      <c r="AZ1268" t="s">
        <v>189</v>
      </c>
      <c r="BA1268" t="s">
        <v>190</v>
      </c>
      <c r="BB1268" t="s">
        <v>191</v>
      </c>
      <c r="BC1268" t="s">
        <v>182</v>
      </c>
      <c r="BD1268" t="s">
        <v>182</v>
      </c>
      <c r="BE1268" t="s">
        <v>14278</v>
      </c>
      <c r="BF1268">
        <v>1</v>
      </c>
      <c r="BG1268">
        <v>1</v>
      </c>
      <c r="BH1268">
        <v>1999</v>
      </c>
      <c r="BI1268" t="s">
        <v>14067</v>
      </c>
      <c r="BJ1268" t="s">
        <v>194</v>
      </c>
      <c r="BK1268" t="s">
        <v>195</v>
      </c>
      <c r="BL1268" t="s">
        <v>3175</v>
      </c>
      <c r="BM1268" t="s">
        <v>1332</v>
      </c>
      <c r="BN1268" t="s">
        <v>182</v>
      </c>
      <c r="BO1268" t="s">
        <v>4995</v>
      </c>
      <c r="BP1268" t="s">
        <v>16435</v>
      </c>
      <c r="BQ1268" t="s">
        <v>2227</v>
      </c>
      <c r="BS1268" t="s">
        <v>198</v>
      </c>
      <c r="BT1268" t="s">
        <v>16436</v>
      </c>
      <c r="BU1268" t="s">
        <v>182</v>
      </c>
      <c r="BV1268" t="s">
        <v>198</v>
      </c>
      <c r="BW1268" t="s">
        <v>198</v>
      </c>
      <c r="BX1268" t="s">
        <v>199</v>
      </c>
      <c r="BY1268" t="s">
        <v>198</v>
      </c>
      <c r="BZ1268" t="s">
        <v>199</v>
      </c>
      <c r="CA1268" t="s">
        <v>199</v>
      </c>
      <c r="CB1268" t="s">
        <v>16437</v>
      </c>
      <c r="CC1268" t="s">
        <v>201</v>
      </c>
      <c r="CD1268" t="s">
        <v>182</v>
      </c>
      <c r="CE1268" t="s">
        <v>16438</v>
      </c>
      <c r="CF1268" t="s">
        <v>2333</v>
      </c>
      <c r="CG1268" t="s">
        <v>177</v>
      </c>
      <c r="CH1268" t="s">
        <v>2334</v>
      </c>
      <c r="CI1268" t="s">
        <v>2399</v>
      </c>
      <c r="CJ1268" t="s">
        <v>12414</v>
      </c>
      <c r="CK1268" t="s">
        <v>232</v>
      </c>
      <c r="CL1268" t="s">
        <v>233</v>
      </c>
      <c r="CM1268" t="s">
        <v>16439</v>
      </c>
      <c r="CN1268" t="s">
        <v>235</v>
      </c>
      <c r="CO1268" t="s">
        <v>183</v>
      </c>
      <c r="CP1268" t="s">
        <v>266</v>
      </c>
      <c r="CS1268" t="s">
        <v>198</v>
      </c>
      <c r="CT1268" t="s">
        <v>12852</v>
      </c>
      <c r="CU1268" t="s">
        <v>292</v>
      </c>
      <c r="CV1268" t="s">
        <v>293</v>
      </c>
      <c r="CW1268" t="s">
        <v>16440</v>
      </c>
      <c r="CX1268" t="s">
        <v>235</v>
      </c>
      <c r="CY1268" t="s">
        <v>183</v>
      </c>
      <c r="CZ1268" t="s">
        <v>211</v>
      </c>
      <c r="DA1268" t="s">
        <v>298</v>
      </c>
      <c r="DC1268" t="s">
        <v>3482</v>
      </c>
      <c r="DD1268" t="s">
        <v>1373</v>
      </c>
      <c r="DE1268" t="s">
        <v>267</v>
      </c>
      <c r="DF1268" t="s">
        <v>268</v>
      </c>
      <c r="DG1268" t="s">
        <v>16441</v>
      </c>
      <c r="DH1268" t="s">
        <v>235</v>
      </c>
      <c r="DI1268" t="s">
        <v>183</v>
      </c>
      <c r="DJ1268" t="s">
        <v>211</v>
      </c>
      <c r="DK1268" t="s">
        <v>298</v>
      </c>
      <c r="DM1268" t="s">
        <v>2151</v>
      </c>
      <c r="DN1268" t="s">
        <v>16442</v>
      </c>
      <c r="DO1268" t="s">
        <v>273</v>
      </c>
      <c r="DP1268" t="s">
        <v>274</v>
      </c>
      <c r="DQ1268" t="s">
        <v>16443</v>
      </c>
      <c r="DR1268" t="s">
        <v>235</v>
      </c>
      <c r="DS1268" t="s">
        <v>183</v>
      </c>
      <c r="DT1268" t="s">
        <v>211</v>
      </c>
      <c r="DU1268" t="s">
        <v>493</v>
      </c>
      <c r="DW1268" t="s">
        <v>16444</v>
      </c>
      <c r="DX1268" t="s">
        <v>16445</v>
      </c>
      <c r="DY1268" t="s">
        <v>302</v>
      </c>
      <c r="DZ1268" t="s">
        <v>303</v>
      </c>
      <c r="EA1268" t="s">
        <v>7828</v>
      </c>
      <c r="EB1268" t="s">
        <v>235</v>
      </c>
      <c r="EC1268" t="s">
        <v>183</v>
      </c>
      <c r="ED1268" t="s">
        <v>211</v>
      </c>
      <c r="EE1268" t="s">
        <v>298</v>
      </c>
      <c r="EG1268" t="s">
        <v>8657</v>
      </c>
      <c r="EH1268" t="s">
        <v>2136</v>
      </c>
      <c r="EI1268" t="s">
        <v>346</v>
      </c>
      <c r="EJ1268" t="s">
        <v>347</v>
      </c>
      <c r="EK1268" t="s">
        <v>16446</v>
      </c>
      <c r="EL1268" t="s">
        <v>2515</v>
      </c>
      <c r="EM1268" t="s">
        <v>183</v>
      </c>
      <c r="EN1268" t="s">
        <v>211</v>
      </c>
      <c r="EO1268" t="s">
        <v>342</v>
      </c>
      <c r="EQ1268" t="s">
        <v>4520</v>
      </c>
      <c r="ER1268" t="s">
        <v>1414</v>
      </c>
      <c r="ES1268" t="s">
        <v>207</v>
      </c>
      <c r="ET1268" t="s">
        <v>208</v>
      </c>
      <c r="EU1268" t="s">
        <v>16447</v>
      </c>
      <c r="EV1268" t="s">
        <v>1966</v>
      </c>
      <c r="EW1268" t="s">
        <v>183</v>
      </c>
      <c r="EX1268" t="s">
        <v>211</v>
      </c>
      <c r="EY1268" t="s">
        <v>345</v>
      </c>
      <c r="FA1268" t="s">
        <v>4520</v>
      </c>
      <c r="FK1268" t="s">
        <v>198</v>
      </c>
      <c r="FU1268" t="s">
        <v>198</v>
      </c>
    </row>
    <row r="1269" spans="1:177">
      <c r="A1269" s="1" t="str">
        <f>HYPERLINK("http://digipan.lumentumllc.com/apps/getLink/index.php?t=PropLink&amp;p=6462063","PL")</f>
        <v>PL</v>
      </c>
      <c r="B1269" s="1" t="str">
        <f>HYPERLINK("http://digipan.lumentumllc.com/apps/getLink/index.php?t=TaxLink&amp;p=6462063","TL")</f>
        <v>TL</v>
      </c>
      <c r="C1269" s="1" t="str">
        <f>HYPERLINK("http://digipan.lumentumllc.com/apps/getMap/index.php?p=6462063","Map")</f>
        <v>Map</v>
      </c>
      <c r="E1269" t="s">
        <v>177</v>
      </c>
      <c r="F1269" t="s">
        <v>178</v>
      </c>
      <c r="L1269" t="s">
        <v>16448</v>
      </c>
      <c r="N1269" t="s">
        <v>16448</v>
      </c>
      <c r="O1269" t="s">
        <v>16448</v>
      </c>
      <c r="P1269" t="s">
        <v>16449</v>
      </c>
      <c r="Q1269" t="s">
        <v>16448</v>
      </c>
      <c r="V1269">
        <v>1447</v>
      </c>
      <c r="W1269">
        <v>5</v>
      </c>
      <c r="X1269">
        <v>2017</v>
      </c>
      <c r="Y1269">
        <v>2018</v>
      </c>
      <c r="Z1269">
        <v>3667.37</v>
      </c>
      <c r="AG1269" t="s">
        <v>184</v>
      </c>
      <c r="AH1269">
        <v>0</v>
      </c>
      <c r="AK1269">
        <v>0</v>
      </c>
      <c r="AL1269">
        <v>222040</v>
      </c>
      <c r="AM1269">
        <v>222040</v>
      </c>
      <c r="AN1269">
        <v>0</v>
      </c>
      <c r="AO1269">
        <v>3409</v>
      </c>
      <c r="AP1269">
        <v>2016</v>
      </c>
      <c r="AQ1269">
        <v>1.65</v>
      </c>
      <c r="AS1269" t="s">
        <v>14388</v>
      </c>
      <c r="AT1269" t="s">
        <v>3210</v>
      </c>
      <c r="AU1269" t="s">
        <v>177</v>
      </c>
      <c r="AV1269" t="s">
        <v>2334</v>
      </c>
      <c r="AW1269" t="s">
        <v>182</v>
      </c>
      <c r="AX1269">
        <v>10</v>
      </c>
      <c r="AY1269" t="s">
        <v>3211</v>
      </c>
      <c r="AZ1269" t="s">
        <v>270</v>
      </c>
      <c r="BA1269" t="s">
        <v>3212</v>
      </c>
      <c r="BB1269" t="s">
        <v>191</v>
      </c>
      <c r="BC1269" t="s">
        <v>182</v>
      </c>
      <c r="BD1269" t="s">
        <v>182</v>
      </c>
      <c r="BE1269" t="s">
        <v>7721</v>
      </c>
      <c r="BF1269">
        <v>0</v>
      </c>
      <c r="BG1269">
        <v>0</v>
      </c>
      <c r="BH1269">
        <v>0</v>
      </c>
      <c r="BI1269" t="s">
        <v>199</v>
      </c>
      <c r="BJ1269" t="s">
        <v>315</v>
      </c>
      <c r="BL1269" t="s">
        <v>199</v>
      </c>
      <c r="BM1269" t="s">
        <v>292</v>
      </c>
      <c r="BN1269" t="s">
        <v>182</v>
      </c>
      <c r="BO1269" t="s">
        <v>198</v>
      </c>
      <c r="BP1269" t="s">
        <v>198</v>
      </c>
      <c r="BQ1269" t="s">
        <v>198</v>
      </c>
      <c r="BR1269" t="s">
        <v>198</v>
      </c>
      <c r="BS1269" t="s">
        <v>198</v>
      </c>
      <c r="BT1269" t="s">
        <v>198</v>
      </c>
      <c r="BU1269" t="s">
        <v>182</v>
      </c>
      <c r="BV1269" t="s">
        <v>198</v>
      </c>
      <c r="BW1269" t="s">
        <v>198</v>
      </c>
      <c r="BX1269" t="s">
        <v>199</v>
      </c>
      <c r="BY1269" t="s">
        <v>198</v>
      </c>
      <c r="BZ1269" t="s">
        <v>199</v>
      </c>
      <c r="CA1269" t="s">
        <v>199</v>
      </c>
      <c r="CB1269" t="s">
        <v>16450</v>
      </c>
      <c r="CC1269" t="s">
        <v>1407</v>
      </c>
      <c r="CD1269" t="s">
        <v>202</v>
      </c>
      <c r="CE1269" t="s">
        <v>16451</v>
      </c>
      <c r="CF1269" t="s">
        <v>5331</v>
      </c>
      <c r="CG1269" t="s">
        <v>177</v>
      </c>
      <c r="CH1269" t="s">
        <v>5332</v>
      </c>
      <c r="CI1269" t="s">
        <v>16452</v>
      </c>
      <c r="CS1269" t="s">
        <v>198</v>
      </c>
      <c r="DC1269" t="s">
        <v>198</v>
      </c>
      <c r="DM1269" t="s">
        <v>198</v>
      </c>
      <c r="DW1269" t="s">
        <v>198</v>
      </c>
      <c r="EG1269" t="s">
        <v>198</v>
      </c>
      <c r="EQ1269" t="s">
        <v>198</v>
      </c>
      <c r="FA1269" t="s">
        <v>198</v>
      </c>
      <c r="FK1269" t="s">
        <v>198</v>
      </c>
      <c r="FU1269" t="s">
        <v>198</v>
      </c>
    </row>
    <row r="1270" spans="1:177">
      <c r="A1270" s="1" t="str">
        <f>HYPERLINK("http://digipan.lumentumllc.com/apps/getLink/index.php?t=PropLink&amp;p=15759234","PL")</f>
        <v>PL</v>
      </c>
      <c r="B1270" s="1" t="str">
        <f>HYPERLINK("http://digipan.lumentumllc.com/apps/getLink/index.php?t=TaxLink&amp;p=15759234","TL")</f>
        <v>TL</v>
      </c>
      <c r="C1270" s="1" t="str">
        <f>HYPERLINK("http://digipan.lumentumllc.com/apps/getMap/index.php?p=15759234","Map")</f>
        <v>Map</v>
      </c>
      <c r="E1270" t="s">
        <v>177</v>
      </c>
      <c r="F1270" t="s">
        <v>178</v>
      </c>
      <c r="L1270" t="s">
        <v>16453</v>
      </c>
      <c r="N1270" t="s">
        <v>16453</v>
      </c>
      <c r="O1270" t="s">
        <v>16453</v>
      </c>
      <c r="Q1270" t="s">
        <v>16453</v>
      </c>
      <c r="V1270">
        <v>1448</v>
      </c>
      <c r="W1270">
        <v>5</v>
      </c>
      <c r="X1270">
        <v>2017</v>
      </c>
      <c r="Y1270">
        <v>2018</v>
      </c>
      <c r="Z1270">
        <v>637.54999999999995</v>
      </c>
      <c r="AB1270" t="s">
        <v>181</v>
      </c>
      <c r="AC1270" t="s">
        <v>182</v>
      </c>
      <c r="AD1270" t="s">
        <v>6467</v>
      </c>
      <c r="AE1270">
        <v>1</v>
      </c>
      <c r="AF1270">
        <v>1</v>
      </c>
      <c r="AG1270" t="s">
        <v>2222</v>
      </c>
      <c r="AH1270">
        <v>50</v>
      </c>
      <c r="AI1270">
        <v>93.61</v>
      </c>
      <c r="AJ1270">
        <v>16.850000000000001</v>
      </c>
      <c r="AK1270">
        <v>110.46</v>
      </c>
      <c r="AL1270">
        <v>36986</v>
      </c>
      <c r="AM1270">
        <v>23620</v>
      </c>
      <c r="AN1270">
        <v>13366</v>
      </c>
      <c r="AO1270">
        <v>62</v>
      </c>
      <c r="AP1270">
        <v>2016</v>
      </c>
      <c r="AQ1270">
        <v>1.72</v>
      </c>
      <c r="AR1270">
        <v>0.3</v>
      </c>
      <c r="AS1270" t="s">
        <v>16454</v>
      </c>
      <c r="AT1270" t="s">
        <v>3210</v>
      </c>
      <c r="AU1270" t="s">
        <v>177</v>
      </c>
      <c r="AV1270" t="s">
        <v>2334</v>
      </c>
      <c r="AW1270" t="s">
        <v>182</v>
      </c>
      <c r="AX1270">
        <v>2</v>
      </c>
      <c r="AY1270" t="s">
        <v>188</v>
      </c>
      <c r="AZ1270" t="s">
        <v>189</v>
      </c>
      <c r="BA1270" t="s">
        <v>190</v>
      </c>
      <c r="BB1270" t="s">
        <v>191</v>
      </c>
      <c r="BC1270" t="s">
        <v>182</v>
      </c>
      <c r="BD1270" t="s">
        <v>182</v>
      </c>
      <c r="BE1270" t="s">
        <v>15971</v>
      </c>
      <c r="BF1270">
        <v>1</v>
      </c>
      <c r="BG1270">
        <v>1</v>
      </c>
      <c r="BH1270">
        <v>1973</v>
      </c>
      <c r="BI1270" t="s">
        <v>13481</v>
      </c>
      <c r="BJ1270" t="s">
        <v>194</v>
      </c>
      <c r="BK1270" t="s">
        <v>195</v>
      </c>
      <c r="BL1270" t="s">
        <v>16455</v>
      </c>
      <c r="BM1270" t="s">
        <v>981</v>
      </c>
      <c r="BN1270" t="s">
        <v>182</v>
      </c>
      <c r="BO1270" t="s">
        <v>198</v>
      </c>
      <c r="BP1270" t="s">
        <v>198</v>
      </c>
      <c r="BQ1270" t="s">
        <v>198</v>
      </c>
      <c r="BR1270" t="s">
        <v>198</v>
      </c>
      <c r="BS1270" t="s">
        <v>198</v>
      </c>
      <c r="BT1270" t="s">
        <v>198</v>
      </c>
      <c r="BU1270" t="s">
        <v>182</v>
      </c>
      <c r="BV1270" t="s">
        <v>198</v>
      </c>
      <c r="BW1270" t="s">
        <v>198</v>
      </c>
      <c r="BX1270" t="s">
        <v>199</v>
      </c>
      <c r="BY1270" t="s">
        <v>198</v>
      </c>
      <c r="BZ1270" t="s">
        <v>199</v>
      </c>
      <c r="CA1270" t="s">
        <v>199</v>
      </c>
      <c r="CB1270" t="s">
        <v>16456</v>
      </c>
      <c r="CC1270" t="s">
        <v>201</v>
      </c>
      <c r="CD1270" t="s">
        <v>202</v>
      </c>
      <c r="CE1270" t="s">
        <v>16457</v>
      </c>
      <c r="CF1270" t="s">
        <v>2333</v>
      </c>
      <c r="CG1270" t="s">
        <v>177</v>
      </c>
      <c r="CH1270" t="s">
        <v>2334</v>
      </c>
      <c r="CI1270" t="s">
        <v>7319</v>
      </c>
      <c r="CJ1270" t="s">
        <v>12422</v>
      </c>
      <c r="CK1270" t="s">
        <v>232</v>
      </c>
      <c r="CL1270" t="s">
        <v>233</v>
      </c>
      <c r="CM1270" t="s">
        <v>16458</v>
      </c>
      <c r="CN1270" t="s">
        <v>482</v>
      </c>
      <c r="CO1270" t="s">
        <v>5</v>
      </c>
      <c r="CP1270" t="s">
        <v>266</v>
      </c>
      <c r="CS1270" t="s">
        <v>198</v>
      </c>
      <c r="CT1270" t="s">
        <v>16459</v>
      </c>
      <c r="CU1270" t="s">
        <v>273</v>
      </c>
      <c r="CV1270" t="s">
        <v>274</v>
      </c>
      <c r="CW1270" t="s">
        <v>16460</v>
      </c>
      <c r="CX1270" t="s">
        <v>482</v>
      </c>
      <c r="CY1270" t="s">
        <v>5</v>
      </c>
      <c r="CZ1270" t="s">
        <v>211</v>
      </c>
      <c r="DA1270" t="s">
        <v>199</v>
      </c>
      <c r="DC1270" t="s">
        <v>16461</v>
      </c>
      <c r="DM1270" t="s">
        <v>198</v>
      </c>
      <c r="DW1270" t="s">
        <v>198</v>
      </c>
      <c r="EG1270" t="s">
        <v>198</v>
      </c>
      <c r="EQ1270" t="s">
        <v>198</v>
      </c>
      <c r="FA1270" t="s">
        <v>198</v>
      </c>
      <c r="FK1270" t="s">
        <v>198</v>
      </c>
      <c r="FU1270" t="s">
        <v>198</v>
      </c>
    </row>
    <row r="1271" spans="1:177">
      <c r="A1271" s="1" t="str">
        <f>HYPERLINK("http://digipan.lumentumllc.com/apps/getLink/index.php?t=PropLink&amp;p=5247911","PL")</f>
        <v>PL</v>
      </c>
      <c r="B1271" s="1" t="str">
        <f>HYPERLINK("http://digipan.lumentumllc.com/apps/getLink/index.php?t=TaxLink&amp;p=5247911","TL")</f>
        <v>TL</v>
      </c>
      <c r="C1271" s="1" t="str">
        <f>HYPERLINK("http://digipan.lumentumllc.com/apps/getMap/index.php?p=5247911","Map")</f>
        <v>Map</v>
      </c>
      <c r="E1271" t="s">
        <v>177</v>
      </c>
      <c r="F1271" t="s">
        <v>178</v>
      </c>
      <c r="L1271" t="s">
        <v>16462</v>
      </c>
      <c r="N1271" t="s">
        <v>16462</v>
      </c>
      <c r="O1271" t="s">
        <v>16462</v>
      </c>
      <c r="P1271" t="s">
        <v>16463</v>
      </c>
      <c r="Q1271" t="s">
        <v>16462</v>
      </c>
      <c r="V1271">
        <v>1449</v>
      </c>
      <c r="W1271">
        <v>5</v>
      </c>
      <c r="X1271">
        <v>2017</v>
      </c>
      <c r="Y1271">
        <v>2018</v>
      </c>
      <c r="Z1271">
        <v>1321.79</v>
      </c>
      <c r="AB1271" t="s">
        <v>181</v>
      </c>
      <c r="AC1271" t="s">
        <v>182</v>
      </c>
      <c r="AD1271" t="s">
        <v>183</v>
      </c>
      <c r="AE1271">
        <v>0</v>
      </c>
      <c r="AF1271">
        <v>5</v>
      </c>
      <c r="AG1271" t="s">
        <v>3266</v>
      </c>
      <c r="AH1271">
        <v>100</v>
      </c>
      <c r="AK1271">
        <v>0</v>
      </c>
      <c r="AL1271">
        <v>78777</v>
      </c>
      <c r="AM1271">
        <v>78777</v>
      </c>
      <c r="AN1271">
        <v>0</v>
      </c>
      <c r="AO1271">
        <v>1209</v>
      </c>
      <c r="AP1271">
        <v>2016</v>
      </c>
      <c r="AQ1271">
        <v>1.68</v>
      </c>
      <c r="AS1271" t="s">
        <v>16464</v>
      </c>
      <c r="AT1271" t="s">
        <v>3210</v>
      </c>
      <c r="AU1271" t="s">
        <v>177</v>
      </c>
      <c r="AV1271" t="s">
        <v>2334</v>
      </c>
      <c r="AW1271" t="s">
        <v>182</v>
      </c>
      <c r="AX1271">
        <v>10</v>
      </c>
      <c r="AY1271" t="s">
        <v>3211</v>
      </c>
      <c r="AZ1271" t="s">
        <v>270</v>
      </c>
      <c r="BA1271" t="s">
        <v>3212</v>
      </c>
      <c r="BB1271" t="s">
        <v>191</v>
      </c>
      <c r="BC1271" t="s">
        <v>182</v>
      </c>
      <c r="BD1271" t="s">
        <v>182</v>
      </c>
      <c r="BE1271" t="s">
        <v>1385</v>
      </c>
      <c r="BF1271">
        <v>0</v>
      </c>
      <c r="BG1271">
        <v>0</v>
      </c>
      <c r="BH1271">
        <v>0</v>
      </c>
      <c r="BI1271" t="s">
        <v>199</v>
      </c>
      <c r="BJ1271" t="s">
        <v>315</v>
      </c>
      <c r="BL1271" t="s">
        <v>199</v>
      </c>
      <c r="BM1271" t="s">
        <v>302</v>
      </c>
      <c r="BN1271" t="s">
        <v>182</v>
      </c>
      <c r="BO1271" t="s">
        <v>198</v>
      </c>
      <c r="BP1271" t="s">
        <v>198</v>
      </c>
      <c r="BQ1271" t="s">
        <v>198</v>
      </c>
      <c r="BR1271" t="s">
        <v>198</v>
      </c>
      <c r="BS1271" t="s">
        <v>198</v>
      </c>
      <c r="BT1271" t="s">
        <v>198</v>
      </c>
      <c r="BU1271" t="s">
        <v>182</v>
      </c>
      <c r="BV1271" t="s">
        <v>198</v>
      </c>
      <c r="BW1271" t="s">
        <v>198</v>
      </c>
      <c r="BX1271" t="s">
        <v>199</v>
      </c>
      <c r="BY1271" t="s">
        <v>198</v>
      </c>
      <c r="BZ1271" t="s">
        <v>199</v>
      </c>
      <c r="CA1271" t="s">
        <v>199</v>
      </c>
      <c r="CB1271" t="s">
        <v>16465</v>
      </c>
      <c r="CC1271" t="s">
        <v>201</v>
      </c>
      <c r="CD1271" t="s">
        <v>182</v>
      </c>
      <c r="CE1271" t="s">
        <v>16466</v>
      </c>
      <c r="CF1271" t="s">
        <v>5331</v>
      </c>
      <c r="CG1271" t="s">
        <v>177</v>
      </c>
      <c r="CH1271" t="s">
        <v>371</v>
      </c>
      <c r="CI1271" t="s">
        <v>4622</v>
      </c>
      <c r="CJ1271" t="s">
        <v>13269</v>
      </c>
      <c r="CK1271" t="s">
        <v>267</v>
      </c>
      <c r="CL1271" t="s">
        <v>268</v>
      </c>
      <c r="CM1271" t="s">
        <v>16467</v>
      </c>
      <c r="CN1271" t="s">
        <v>331</v>
      </c>
      <c r="CO1271" t="s">
        <v>183</v>
      </c>
      <c r="CP1271" t="s">
        <v>211</v>
      </c>
      <c r="CQ1271" t="s">
        <v>212</v>
      </c>
      <c r="CS1271" t="s">
        <v>16468</v>
      </c>
      <c r="CT1271" t="s">
        <v>15449</v>
      </c>
      <c r="CU1271" t="s">
        <v>273</v>
      </c>
      <c r="CV1271" t="s">
        <v>274</v>
      </c>
      <c r="CW1271" t="s">
        <v>16469</v>
      </c>
      <c r="CX1271" t="s">
        <v>235</v>
      </c>
      <c r="CY1271" t="s">
        <v>183</v>
      </c>
      <c r="CZ1271" t="s">
        <v>211</v>
      </c>
      <c r="DA1271" t="s">
        <v>471</v>
      </c>
      <c r="DC1271" t="s">
        <v>16470</v>
      </c>
      <c r="DD1271" t="s">
        <v>16471</v>
      </c>
      <c r="DE1271" t="s">
        <v>302</v>
      </c>
      <c r="DF1271" t="s">
        <v>303</v>
      </c>
      <c r="DG1271" t="s">
        <v>16472</v>
      </c>
      <c r="DH1271" t="s">
        <v>838</v>
      </c>
      <c r="DI1271" t="s">
        <v>183</v>
      </c>
      <c r="DJ1271" t="s">
        <v>211</v>
      </c>
      <c r="DK1271" t="s">
        <v>290</v>
      </c>
      <c r="DM1271" t="s">
        <v>2157</v>
      </c>
      <c r="DN1271" t="s">
        <v>16473</v>
      </c>
      <c r="DO1271" t="s">
        <v>238</v>
      </c>
      <c r="DP1271" t="s">
        <v>239</v>
      </c>
      <c r="DQ1271" t="s">
        <v>16474</v>
      </c>
      <c r="DR1271" t="s">
        <v>247</v>
      </c>
      <c r="DS1271" t="s">
        <v>183</v>
      </c>
      <c r="DT1271" t="s">
        <v>211</v>
      </c>
      <c r="DU1271" t="s">
        <v>460</v>
      </c>
      <c r="DW1271" t="s">
        <v>16475</v>
      </c>
      <c r="DX1271" t="s">
        <v>16476</v>
      </c>
      <c r="DY1271" t="s">
        <v>346</v>
      </c>
      <c r="DZ1271" t="s">
        <v>347</v>
      </c>
      <c r="EA1271" t="s">
        <v>16477</v>
      </c>
      <c r="EB1271" t="s">
        <v>247</v>
      </c>
      <c r="EC1271" t="s">
        <v>183</v>
      </c>
      <c r="ED1271" t="s">
        <v>211</v>
      </c>
      <c r="EE1271" t="s">
        <v>270</v>
      </c>
      <c r="EG1271" t="s">
        <v>1398</v>
      </c>
      <c r="EQ1271" t="s">
        <v>198</v>
      </c>
      <c r="FA1271" t="s">
        <v>198</v>
      </c>
      <c r="FK1271" t="s">
        <v>198</v>
      </c>
      <c r="FU1271" t="s">
        <v>198</v>
      </c>
    </row>
    <row r="1272" spans="1:177">
      <c r="A1272" s="1" t="str">
        <f>HYPERLINK("http://digipan.lumentumllc.com/apps/getLink/index.php?t=PropLink&amp;p=5247912","PL")</f>
        <v>PL</v>
      </c>
      <c r="B1272" s="1" t="str">
        <f>HYPERLINK("http://digipan.lumentumllc.com/apps/getLink/index.php?t=TaxLink&amp;p=5247912","TL")</f>
        <v>TL</v>
      </c>
      <c r="C1272" s="1" t="str">
        <f>HYPERLINK("http://digipan.lumentumllc.com/apps/getMap/index.php?p=5247912","Map")</f>
        <v>Map</v>
      </c>
      <c r="E1272" t="s">
        <v>177</v>
      </c>
      <c r="F1272" t="s">
        <v>178</v>
      </c>
      <c r="L1272" t="s">
        <v>16478</v>
      </c>
      <c r="N1272" t="s">
        <v>16478</v>
      </c>
      <c r="O1272" t="s">
        <v>16478</v>
      </c>
      <c r="P1272" t="s">
        <v>16479</v>
      </c>
      <c r="Q1272" t="s">
        <v>16478</v>
      </c>
      <c r="V1272">
        <v>1450</v>
      </c>
      <c r="W1272">
        <v>5</v>
      </c>
      <c r="X1272">
        <v>2017</v>
      </c>
      <c r="Y1272">
        <v>2018</v>
      </c>
      <c r="Z1272">
        <v>6645.89</v>
      </c>
      <c r="AB1272" t="s">
        <v>181</v>
      </c>
      <c r="AC1272" t="s">
        <v>182</v>
      </c>
      <c r="AD1272" t="s">
        <v>183</v>
      </c>
      <c r="AE1272">
        <v>0</v>
      </c>
      <c r="AF1272">
        <v>2</v>
      </c>
      <c r="AG1272" t="s">
        <v>821</v>
      </c>
      <c r="AH1272">
        <v>100</v>
      </c>
      <c r="AK1272">
        <v>0</v>
      </c>
      <c r="AL1272">
        <v>403960</v>
      </c>
      <c r="AM1272">
        <v>98048</v>
      </c>
      <c r="AN1272">
        <v>305912</v>
      </c>
      <c r="AO1272">
        <v>6261</v>
      </c>
      <c r="AP1272">
        <v>2016</v>
      </c>
      <c r="AQ1272">
        <v>1.65</v>
      </c>
      <c r="AS1272" t="s">
        <v>16480</v>
      </c>
      <c r="AT1272" t="s">
        <v>3210</v>
      </c>
      <c r="AU1272" t="s">
        <v>177</v>
      </c>
      <c r="AV1272" t="s">
        <v>2334</v>
      </c>
      <c r="AW1272" t="s">
        <v>182</v>
      </c>
      <c r="AX1272">
        <v>84</v>
      </c>
      <c r="AY1272" t="s">
        <v>1575</v>
      </c>
      <c r="AZ1272" t="s">
        <v>1638</v>
      </c>
      <c r="BA1272" t="s">
        <v>16481</v>
      </c>
      <c r="BB1272" t="s">
        <v>191</v>
      </c>
      <c r="BC1272" t="s">
        <v>182</v>
      </c>
      <c r="BD1272" t="s">
        <v>182</v>
      </c>
      <c r="BE1272" t="s">
        <v>383</v>
      </c>
      <c r="BF1272">
        <v>1</v>
      </c>
      <c r="BG1272">
        <v>0</v>
      </c>
      <c r="BH1272">
        <v>2004</v>
      </c>
      <c r="BI1272" t="s">
        <v>16482</v>
      </c>
      <c r="BJ1272" t="s">
        <v>194</v>
      </c>
      <c r="BK1272" t="s">
        <v>3643</v>
      </c>
      <c r="BL1272" t="s">
        <v>199</v>
      </c>
      <c r="BM1272" t="s">
        <v>207</v>
      </c>
      <c r="BN1272" t="s">
        <v>182</v>
      </c>
      <c r="BO1272" t="s">
        <v>16483</v>
      </c>
      <c r="BP1272" t="s">
        <v>16484</v>
      </c>
      <c r="BS1272" t="s">
        <v>16485</v>
      </c>
      <c r="BT1272" t="s">
        <v>16486</v>
      </c>
      <c r="BU1272" t="s">
        <v>182</v>
      </c>
      <c r="BV1272" t="s">
        <v>198</v>
      </c>
      <c r="BW1272" t="s">
        <v>198</v>
      </c>
      <c r="BX1272" t="s">
        <v>199</v>
      </c>
      <c r="BY1272" t="s">
        <v>198</v>
      </c>
      <c r="BZ1272" t="s">
        <v>199</v>
      </c>
      <c r="CA1272" t="s">
        <v>199</v>
      </c>
      <c r="CB1272" t="s">
        <v>16487</v>
      </c>
      <c r="CC1272" t="s">
        <v>16488</v>
      </c>
      <c r="CD1272" t="s">
        <v>182</v>
      </c>
      <c r="CE1272" t="s">
        <v>16489</v>
      </c>
      <c r="CF1272" t="s">
        <v>5331</v>
      </c>
      <c r="CG1272" t="s">
        <v>177</v>
      </c>
      <c r="CH1272" t="s">
        <v>371</v>
      </c>
      <c r="CI1272" t="s">
        <v>2399</v>
      </c>
      <c r="CJ1272" t="s">
        <v>9073</v>
      </c>
      <c r="CK1272" t="s">
        <v>273</v>
      </c>
      <c r="CL1272" t="s">
        <v>274</v>
      </c>
      <c r="CM1272" t="s">
        <v>16490</v>
      </c>
      <c r="CN1272" t="s">
        <v>235</v>
      </c>
      <c r="CO1272" t="s">
        <v>183</v>
      </c>
      <c r="CP1272" t="s">
        <v>211</v>
      </c>
      <c r="CQ1272" t="s">
        <v>270</v>
      </c>
      <c r="CS1272" t="s">
        <v>692</v>
      </c>
      <c r="CT1272" t="s">
        <v>981</v>
      </c>
      <c r="CU1272" t="s">
        <v>207</v>
      </c>
      <c r="CV1272" t="s">
        <v>208</v>
      </c>
      <c r="CW1272" t="s">
        <v>16491</v>
      </c>
      <c r="CX1272" t="s">
        <v>1491</v>
      </c>
      <c r="CY1272" t="s">
        <v>183</v>
      </c>
      <c r="CZ1272" t="s">
        <v>211</v>
      </c>
      <c r="DA1272" t="s">
        <v>460</v>
      </c>
      <c r="DC1272" t="s">
        <v>16492</v>
      </c>
      <c r="DM1272" t="s">
        <v>198</v>
      </c>
      <c r="DW1272" t="s">
        <v>198</v>
      </c>
      <c r="EG1272" t="s">
        <v>198</v>
      </c>
      <c r="EQ1272" t="s">
        <v>198</v>
      </c>
      <c r="FA1272" t="s">
        <v>198</v>
      </c>
      <c r="FK1272" t="s">
        <v>198</v>
      </c>
      <c r="FU1272" t="s">
        <v>198</v>
      </c>
    </row>
    <row r="1273" spans="1:177">
      <c r="A1273" s="1" t="str">
        <f>HYPERLINK("http://digipan.lumentumllc.com/apps/getLink/index.php?t=PropLink&amp;p=5247913","PL")</f>
        <v>PL</v>
      </c>
      <c r="B1273" s="1" t="str">
        <f>HYPERLINK("http://digipan.lumentumllc.com/apps/getLink/index.php?t=TaxLink&amp;p=5247913","TL")</f>
        <v>TL</v>
      </c>
      <c r="C1273" s="1" t="str">
        <f>HYPERLINK("http://digipan.lumentumllc.com/apps/getMap/index.php?p=5247913","Map")</f>
        <v>Map</v>
      </c>
      <c r="E1273" t="s">
        <v>177</v>
      </c>
      <c r="F1273" t="s">
        <v>178</v>
      </c>
      <c r="L1273" t="s">
        <v>16493</v>
      </c>
      <c r="N1273" t="s">
        <v>16493</v>
      </c>
      <c r="O1273" t="s">
        <v>16493</v>
      </c>
      <c r="P1273" t="s">
        <v>16494</v>
      </c>
      <c r="Q1273" t="s">
        <v>16493</v>
      </c>
      <c r="V1273">
        <v>1451</v>
      </c>
      <c r="W1273">
        <v>5</v>
      </c>
      <c r="X1273">
        <v>2017</v>
      </c>
      <c r="Y1273">
        <v>2018</v>
      </c>
      <c r="Z1273">
        <v>6211.03</v>
      </c>
      <c r="AB1273" t="s">
        <v>181</v>
      </c>
      <c r="AC1273" t="s">
        <v>182</v>
      </c>
      <c r="AD1273" t="s">
        <v>183</v>
      </c>
      <c r="AE1273">
        <v>0</v>
      </c>
      <c r="AF1273">
        <v>8</v>
      </c>
      <c r="AG1273" t="s">
        <v>1059</v>
      </c>
      <c r="AH1273">
        <v>100</v>
      </c>
      <c r="AK1273">
        <v>0</v>
      </c>
      <c r="AL1273">
        <v>377400</v>
      </c>
      <c r="AM1273">
        <v>99111</v>
      </c>
      <c r="AN1273">
        <v>278289</v>
      </c>
      <c r="AO1273">
        <v>5861</v>
      </c>
      <c r="AP1273">
        <v>2016</v>
      </c>
      <c r="AQ1273">
        <v>1.65</v>
      </c>
      <c r="AS1273" t="s">
        <v>16495</v>
      </c>
      <c r="AT1273" t="s">
        <v>3210</v>
      </c>
      <c r="AU1273" t="s">
        <v>177</v>
      </c>
      <c r="AV1273" t="s">
        <v>2334</v>
      </c>
      <c r="AW1273" t="s">
        <v>182</v>
      </c>
      <c r="AX1273">
        <v>27</v>
      </c>
      <c r="AY1273" t="s">
        <v>3641</v>
      </c>
      <c r="AZ1273" t="s">
        <v>616</v>
      </c>
      <c r="BA1273" t="s">
        <v>6072</v>
      </c>
      <c r="BB1273" t="s">
        <v>191</v>
      </c>
      <c r="BC1273" t="s">
        <v>182</v>
      </c>
      <c r="BD1273" t="s">
        <v>182</v>
      </c>
      <c r="BE1273" t="s">
        <v>899</v>
      </c>
      <c r="BF1273">
        <v>1</v>
      </c>
      <c r="BG1273">
        <v>0</v>
      </c>
      <c r="BH1273">
        <v>2003</v>
      </c>
      <c r="BI1273" t="s">
        <v>16496</v>
      </c>
      <c r="BJ1273" t="s">
        <v>194</v>
      </c>
      <c r="BK1273" t="s">
        <v>3643</v>
      </c>
      <c r="BL1273" t="s">
        <v>7671</v>
      </c>
      <c r="BM1273" t="s">
        <v>1041</v>
      </c>
      <c r="BN1273" t="s">
        <v>182</v>
      </c>
      <c r="BO1273" t="s">
        <v>11379</v>
      </c>
      <c r="BP1273" t="s">
        <v>16497</v>
      </c>
      <c r="BS1273" t="s">
        <v>16498</v>
      </c>
      <c r="BT1273" t="s">
        <v>198</v>
      </c>
      <c r="BU1273" t="s">
        <v>182</v>
      </c>
      <c r="BV1273" t="s">
        <v>198</v>
      </c>
      <c r="BW1273" t="s">
        <v>198</v>
      </c>
      <c r="BX1273" t="s">
        <v>199</v>
      </c>
      <c r="BY1273" t="s">
        <v>198</v>
      </c>
      <c r="BZ1273" t="s">
        <v>199</v>
      </c>
      <c r="CA1273" t="s">
        <v>199</v>
      </c>
      <c r="CB1273" t="s">
        <v>16499</v>
      </c>
      <c r="CC1273" t="s">
        <v>201</v>
      </c>
      <c r="CD1273" t="s">
        <v>182</v>
      </c>
      <c r="CE1273" t="s">
        <v>16500</v>
      </c>
      <c r="CF1273" t="s">
        <v>2333</v>
      </c>
      <c r="CG1273" t="s">
        <v>177</v>
      </c>
      <c r="CH1273" t="s">
        <v>2334</v>
      </c>
      <c r="CI1273" t="s">
        <v>7898</v>
      </c>
      <c r="CJ1273" t="s">
        <v>14892</v>
      </c>
      <c r="CK1273" t="s">
        <v>232</v>
      </c>
      <c r="CL1273" t="s">
        <v>233</v>
      </c>
      <c r="CM1273" t="s">
        <v>16501</v>
      </c>
      <c r="CN1273" t="s">
        <v>235</v>
      </c>
      <c r="CO1273" t="s">
        <v>183</v>
      </c>
      <c r="CP1273" t="s">
        <v>211</v>
      </c>
      <c r="CQ1273" t="s">
        <v>290</v>
      </c>
      <c r="CS1273" t="s">
        <v>13290</v>
      </c>
      <c r="CT1273" t="s">
        <v>12863</v>
      </c>
      <c r="CU1273" t="s">
        <v>292</v>
      </c>
      <c r="CV1273" t="s">
        <v>293</v>
      </c>
      <c r="CW1273" t="s">
        <v>16502</v>
      </c>
      <c r="CX1273" t="s">
        <v>235</v>
      </c>
      <c r="CY1273" t="s">
        <v>183</v>
      </c>
      <c r="CZ1273" t="s">
        <v>211</v>
      </c>
      <c r="DA1273" t="s">
        <v>250</v>
      </c>
      <c r="DC1273" t="s">
        <v>16503</v>
      </c>
      <c r="DD1273" t="s">
        <v>16504</v>
      </c>
      <c r="DE1273" t="s">
        <v>267</v>
      </c>
      <c r="DF1273" t="s">
        <v>268</v>
      </c>
      <c r="DG1273" t="s">
        <v>16505</v>
      </c>
      <c r="DH1273" t="s">
        <v>235</v>
      </c>
      <c r="DI1273" t="s">
        <v>183</v>
      </c>
      <c r="DJ1273" t="s">
        <v>211</v>
      </c>
      <c r="DK1273" t="s">
        <v>189</v>
      </c>
      <c r="DM1273" t="s">
        <v>1833</v>
      </c>
      <c r="DN1273" t="s">
        <v>10991</v>
      </c>
      <c r="DO1273" t="s">
        <v>273</v>
      </c>
      <c r="DP1273" t="s">
        <v>274</v>
      </c>
      <c r="DQ1273" t="s">
        <v>16506</v>
      </c>
      <c r="DR1273" t="s">
        <v>235</v>
      </c>
      <c r="DS1273" t="s">
        <v>183</v>
      </c>
      <c r="DT1273" t="s">
        <v>211</v>
      </c>
      <c r="DU1273" t="s">
        <v>306</v>
      </c>
      <c r="DW1273" t="s">
        <v>16507</v>
      </c>
      <c r="DX1273" t="s">
        <v>611</v>
      </c>
      <c r="DY1273" t="s">
        <v>302</v>
      </c>
      <c r="DZ1273" t="s">
        <v>303</v>
      </c>
      <c r="EA1273" t="s">
        <v>16508</v>
      </c>
      <c r="EB1273" t="s">
        <v>235</v>
      </c>
      <c r="EC1273" t="s">
        <v>183</v>
      </c>
      <c r="ED1273" t="s">
        <v>211</v>
      </c>
      <c r="EE1273" t="s">
        <v>298</v>
      </c>
      <c r="EG1273" t="s">
        <v>464</v>
      </c>
      <c r="EH1273" t="s">
        <v>16509</v>
      </c>
      <c r="EI1273" t="s">
        <v>238</v>
      </c>
      <c r="EJ1273" t="s">
        <v>239</v>
      </c>
      <c r="EK1273" t="s">
        <v>16510</v>
      </c>
      <c r="EL1273" t="s">
        <v>511</v>
      </c>
      <c r="EM1273" t="s">
        <v>183</v>
      </c>
      <c r="EN1273" t="s">
        <v>211</v>
      </c>
      <c r="EO1273" t="s">
        <v>298</v>
      </c>
      <c r="EQ1273" t="s">
        <v>1815</v>
      </c>
      <c r="ER1273" t="s">
        <v>16511</v>
      </c>
      <c r="ES1273" t="s">
        <v>346</v>
      </c>
      <c r="ET1273" t="s">
        <v>347</v>
      </c>
      <c r="EU1273" t="s">
        <v>16512</v>
      </c>
      <c r="EV1273" t="s">
        <v>247</v>
      </c>
      <c r="EW1273" t="s">
        <v>183</v>
      </c>
      <c r="EX1273" t="s">
        <v>211</v>
      </c>
      <c r="EY1273" t="s">
        <v>298</v>
      </c>
      <c r="FA1273" t="s">
        <v>1622</v>
      </c>
      <c r="FB1273" t="s">
        <v>3644</v>
      </c>
      <c r="FC1273" t="s">
        <v>207</v>
      </c>
      <c r="FD1273" t="s">
        <v>208</v>
      </c>
      <c r="FE1273" t="s">
        <v>16513</v>
      </c>
      <c r="FF1273" t="s">
        <v>1491</v>
      </c>
      <c r="FG1273" t="s">
        <v>183</v>
      </c>
      <c r="FH1273" t="s">
        <v>211</v>
      </c>
      <c r="FI1273" t="s">
        <v>298</v>
      </c>
      <c r="FK1273" t="s">
        <v>474</v>
      </c>
      <c r="FU1273" t="s">
        <v>198</v>
      </c>
    </row>
    <row r="1274" spans="1:177">
      <c r="A1274" s="1" t="str">
        <f>HYPERLINK("http://digipan.lumentumllc.com/apps/getLink/index.php?t=PropLink&amp;p=5247914","PL")</f>
        <v>PL</v>
      </c>
      <c r="B1274" s="1" t="str">
        <f>HYPERLINK("http://digipan.lumentumllc.com/apps/getLink/index.php?t=TaxLink&amp;p=5247914","TL")</f>
        <v>TL</v>
      </c>
      <c r="C1274" s="1" t="str">
        <f>HYPERLINK("http://digipan.lumentumllc.com/apps/getMap/index.php?p=5247914","Map")</f>
        <v>Map</v>
      </c>
      <c r="E1274" t="s">
        <v>177</v>
      </c>
      <c r="F1274" t="s">
        <v>178</v>
      </c>
      <c r="L1274" t="s">
        <v>16514</v>
      </c>
      <c r="N1274" t="s">
        <v>16514</v>
      </c>
      <c r="O1274" t="s">
        <v>16514</v>
      </c>
      <c r="P1274" t="s">
        <v>16515</v>
      </c>
      <c r="Q1274" t="s">
        <v>16514</v>
      </c>
      <c r="V1274">
        <v>1452</v>
      </c>
      <c r="W1274">
        <v>5</v>
      </c>
      <c r="X1274">
        <v>2017</v>
      </c>
      <c r="Y1274">
        <v>2018</v>
      </c>
      <c r="Z1274">
        <v>1859.25</v>
      </c>
      <c r="AB1274" t="s">
        <v>181</v>
      </c>
      <c r="AC1274" t="s">
        <v>182</v>
      </c>
      <c r="AD1274" t="s">
        <v>183</v>
      </c>
      <c r="AE1274">
        <v>0</v>
      </c>
      <c r="AF1274">
        <v>8</v>
      </c>
      <c r="AG1274" t="s">
        <v>1059</v>
      </c>
      <c r="AH1274">
        <v>100</v>
      </c>
      <c r="AK1274">
        <v>0</v>
      </c>
      <c r="AL1274">
        <v>111604</v>
      </c>
      <c r="AM1274">
        <v>111604</v>
      </c>
      <c r="AN1274">
        <v>0</v>
      </c>
      <c r="AO1274">
        <v>1713</v>
      </c>
      <c r="AP1274">
        <v>2016</v>
      </c>
      <c r="AQ1274">
        <v>1.67</v>
      </c>
      <c r="AS1274" t="s">
        <v>16464</v>
      </c>
      <c r="AT1274" t="s">
        <v>3210</v>
      </c>
      <c r="AU1274" t="s">
        <v>177</v>
      </c>
      <c r="AV1274" t="s">
        <v>2334</v>
      </c>
      <c r="AW1274" t="s">
        <v>182</v>
      </c>
      <c r="AX1274">
        <v>10</v>
      </c>
      <c r="AY1274" t="s">
        <v>3211</v>
      </c>
      <c r="AZ1274" t="s">
        <v>270</v>
      </c>
      <c r="BA1274" t="s">
        <v>3212</v>
      </c>
      <c r="BB1274" t="s">
        <v>191</v>
      </c>
      <c r="BC1274" t="s">
        <v>182</v>
      </c>
      <c r="BD1274" t="s">
        <v>182</v>
      </c>
      <c r="BE1274" t="s">
        <v>5145</v>
      </c>
      <c r="BF1274">
        <v>0</v>
      </c>
      <c r="BG1274">
        <v>0</v>
      </c>
      <c r="BH1274">
        <v>0</v>
      </c>
      <c r="BI1274" t="s">
        <v>199</v>
      </c>
      <c r="BJ1274" t="s">
        <v>248</v>
      </c>
      <c r="BL1274" t="s">
        <v>5504</v>
      </c>
      <c r="BM1274" t="s">
        <v>410</v>
      </c>
      <c r="BN1274" t="s">
        <v>182</v>
      </c>
      <c r="BO1274" t="s">
        <v>8618</v>
      </c>
      <c r="BP1274" t="s">
        <v>16516</v>
      </c>
      <c r="BQ1274" t="s">
        <v>581</v>
      </c>
      <c r="BR1274" t="s">
        <v>563</v>
      </c>
      <c r="BS1274" t="s">
        <v>198</v>
      </c>
      <c r="BT1274" t="s">
        <v>228</v>
      </c>
      <c r="BU1274" t="s">
        <v>182</v>
      </c>
      <c r="BV1274" t="s">
        <v>198</v>
      </c>
      <c r="BW1274" t="s">
        <v>198</v>
      </c>
      <c r="BX1274" t="s">
        <v>199</v>
      </c>
      <c r="BY1274" t="s">
        <v>198</v>
      </c>
      <c r="BZ1274" t="s">
        <v>199</v>
      </c>
      <c r="CA1274" t="s">
        <v>199</v>
      </c>
      <c r="CB1274" t="s">
        <v>16499</v>
      </c>
      <c r="CC1274" t="s">
        <v>201</v>
      </c>
      <c r="CD1274" t="s">
        <v>182</v>
      </c>
      <c r="CE1274" t="s">
        <v>16517</v>
      </c>
      <c r="CF1274" t="s">
        <v>2333</v>
      </c>
      <c r="CG1274" t="s">
        <v>177</v>
      </c>
      <c r="CH1274" t="s">
        <v>2334</v>
      </c>
      <c r="CI1274" t="s">
        <v>4045</v>
      </c>
      <c r="CJ1274" t="s">
        <v>3057</v>
      </c>
      <c r="CK1274" t="s">
        <v>232</v>
      </c>
      <c r="CL1274" t="s">
        <v>233</v>
      </c>
      <c r="CM1274" t="s">
        <v>16518</v>
      </c>
      <c r="CN1274" t="s">
        <v>235</v>
      </c>
      <c r="CO1274" t="s">
        <v>183</v>
      </c>
      <c r="CP1274" t="s">
        <v>211</v>
      </c>
      <c r="CQ1274" t="s">
        <v>199</v>
      </c>
      <c r="CS1274" t="s">
        <v>10036</v>
      </c>
      <c r="CT1274" t="s">
        <v>9542</v>
      </c>
      <c r="CU1274" t="s">
        <v>292</v>
      </c>
      <c r="CV1274" t="s">
        <v>293</v>
      </c>
      <c r="CW1274" t="s">
        <v>16519</v>
      </c>
      <c r="CX1274" t="s">
        <v>235</v>
      </c>
      <c r="CY1274" t="s">
        <v>183</v>
      </c>
      <c r="CZ1274" t="s">
        <v>211</v>
      </c>
      <c r="DA1274" t="s">
        <v>427</v>
      </c>
      <c r="DC1274" t="s">
        <v>10036</v>
      </c>
      <c r="DD1274" t="s">
        <v>5764</v>
      </c>
      <c r="DE1274" t="s">
        <v>267</v>
      </c>
      <c r="DF1274" t="s">
        <v>268</v>
      </c>
      <c r="DG1274" t="s">
        <v>16520</v>
      </c>
      <c r="DH1274" t="s">
        <v>331</v>
      </c>
      <c r="DI1274" t="s">
        <v>183</v>
      </c>
      <c r="DJ1274" t="s">
        <v>211</v>
      </c>
      <c r="DK1274" t="s">
        <v>298</v>
      </c>
      <c r="DM1274" t="s">
        <v>2096</v>
      </c>
      <c r="DN1274" t="s">
        <v>5897</v>
      </c>
      <c r="DO1274" t="s">
        <v>273</v>
      </c>
      <c r="DP1274" t="s">
        <v>274</v>
      </c>
      <c r="DQ1274" t="s">
        <v>16521</v>
      </c>
      <c r="DR1274" t="s">
        <v>235</v>
      </c>
      <c r="DS1274" t="s">
        <v>183</v>
      </c>
      <c r="DT1274" t="s">
        <v>211</v>
      </c>
      <c r="DU1274" t="s">
        <v>298</v>
      </c>
      <c r="DW1274" t="s">
        <v>5484</v>
      </c>
      <c r="DX1274" t="s">
        <v>631</v>
      </c>
      <c r="DY1274" t="s">
        <v>302</v>
      </c>
      <c r="DZ1274" t="s">
        <v>303</v>
      </c>
      <c r="EA1274" t="s">
        <v>16522</v>
      </c>
      <c r="EB1274" t="s">
        <v>235</v>
      </c>
      <c r="EC1274" t="s">
        <v>183</v>
      </c>
      <c r="ED1274" t="s">
        <v>211</v>
      </c>
      <c r="EE1274" t="s">
        <v>298</v>
      </c>
      <c r="EG1274" t="s">
        <v>464</v>
      </c>
      <c r="EH1274" t="s">
        <v>16523</v>
      </c>
      <c r="EI1274" t="s">
        <v>238</v>
      </c>
      <c r="EJ1274" t="s">
        <v>239</v>
      </c>
      <c r="EK1274" t="s">
        <v>16524</v>
      </c>
      <c r="EL1274" t="s">
        <v>247</v>
      </c>
      <c r="EM1274" t="s">
        <v>183</v>
      </c>
      <c r="EN1274" t="s">
        <v>211</v>
      </c>
      <c r="EO1274" t="s">
        <v>298</v>
      </c>
      <c r="EQ1274" t="s">
        <v>1815</v>
      </c>
      <c r="ER1274" t="s">
        <v>16525</v>
      </c>
      <c r="ES1274" t="s">
        <v>346</v>
      </c>
      <c r="ET1274" t="s">
        <v>347</v>
      </c>
      <c r="EU1274" t="s">
        <v>16526</v>
      </c>
      <c r="EV1274" t="s">
        <v>247</v>
      </c>
      <c r="EW1274" t="s">
        <v>183</v>
      </c>
      <c r="EX1274" t="s">
        <v>211</v>
      </c>
      <c r="EY1274" t="s">
        <v>298</v>
      </c>
      <c r="FA1274" t="s">
        <v>1622</v>
      </c>
      <c r="FB1274" t="s">
        <v>2269</v>
      </c>
      <c r="FC1274" t="s">
        <v>207</v>
      </c>
      <c r="FD1274" t="s">
        <v>208</v>
      </c>
      <c r="FE1274" t="s">
        <v>16527</v>
      </c>
      <c r="FF1274" t="s">
        <v>1966</v>
      </c>
      <c r="FG1274" t="s">
        <v>183</v>
      </c>
      <c r="FH1274" t="s">
        <v>211</v>
      </c>
      <c r="FI1274" t="s">
        <v>298</v>
      </c>
      <c r="FK1274" t="s">
        <v>474</v>
      </c>
      <c r="FU1274" t="s">
        <v>198</v>
      </c>
    </row>
    <row r="1275" spans="1:177">
      <c r="A1275" s="1" t="str">
        <f>HYPERLINK("http://digipan.lumentumllc.com/apps/getLink/index.php?t=PropLink&amp;p=5247921","PL")</f>
        <v>PL</v>
      </c>
      <c r="B1275" s="1" t="str">
        <f>HYPERLINK("http://digipan.lumentumllc.com/apps/getLink/index.php?t=TaxLink&amp;p=5247921","TL")</f>
        <v>TL</v>
      </c>
      <c r="C1275" s="1" t="str">
        <f>HYPERLINK("http://digipan.lumentumllc.com/apps/getMap/index.php?p=5247921","Map")</f>
        <v>Map</v>
      </c>
      <c r="E1275" t="s">
        <v>177</v>
      </c>
      <c r="F1275" t="s">
        <v>178</v>
      </c>
      <c r="L1275" t="s">
        <v>16528</v>
      </c>
      <c r="N1275" t="s">
        <v>16528</v>
      </c>
      <c r="O1275" t="s">
        <v>16528</v>
      </c>
      <c r="P1275" t="s">
        <v>16529</v>
      </c>
      <c r="Q1275" t="s">
        <v>16528</v>
      </c>
      <c r="V1275">
        <v>1453</v>
      </c>
      <c r="W1275">
        <v>5</v>
      </c>
      <c r="X1275">
        <v>2017</v>
      </c>
      <c r="Y1275">
        <v>2018</v>
      </c>
      <c r="Z1275">
        <v>384.99</v>
      </c>
      <c r="AB1275" t="s">
        <v>181</v>
      </c>
      <c r="AC1275" t="s">
        <v>182</v>
      </c>
      <c r="AD1275" t="s">
        <v>183</v>
      </c>
      <c r="AE1275">
        <v>0</v>
      </c>
      <c r="AF1275">
        <v>4</v>
      </c>
      <c r="AG1275" t="s">
        <v>744</v>
      </c>
      <c r="AH1275">
        <v>100</v>
      </c>
      <c r="AK1275">
        <v>0</v>
      </c>
      <c r="AL1275">
        <v>62568</v>
      </c>
      <c r="AM1275">
        <v>17517</v>
      </c>
      <c r="AN1275">
        <v>45051</v>
      </c>
      <c r="AO1275">
        <v>316</v>
      </c>
      <c r="AP1275">
        <v>2016</v>
      </c>
      <c r="AQ1275">
        <v>0.62</v>
      </c>
      <c r="AS1275" t="s">
        <v>16530</v>
      </c>
      <c r="AT1275" t="s">
        <v>3210</v>
      </c>
      <c r="AU1275" t="s">
        <v>177</v>
      </c>
      <c r="AV1275" t="s">
        <v>2334</v>
      </c>
      <c r="AW1275" t="s">
        <v>202</v>
      </c>
      <c r="AX1275">
        <v>1</v>
      </c>
      <c r="AY1275" t="s">
        <v>188</v>
      </c>
      <c r="AZ1275" t="s">
        <v>206</v>
      </c>
      <c r="BA1275" t="s">
        <v>355</v>
      </c>
      <c r="BB1275" t="s">
        <v>191</v>
      </c>
      <c r="BC1275" t="s">
        <v>182</v>
      </c>
      <c r="BD1275" t="s">
        <v>182</v>
      </c>
      <c r="BE1275" t="s">
        <v>5880</v>
      </c>
      <c r="BF1275">
        <v>1</v>
      </c>
      <c r="BG1275">
        <v>1</v>
      </c>
      <c r="BH1275">
        <v>1960</v>
      </c>
      <c r="BI1275" t="s">
        <v>1790</v>
      </c>
      <c r="BJ1275" t="s">
        <v>194</v>
      </c>
      <c r="BK1275" t="s">
        <v>195</v>
      </c>
      <c r="BL1275" t="s">
        <v>16531</v>
      </c>
      <c r="BM1275" t="s">
        <v>1742</v>
      </c>
      <c r="BN1275" t="s">
        <v>182</v>
      </c>
      <c r="BO1275" t="s">
        <v>4177</v>
      </c>
      <c r="BP1275" t="s">
        <v>16532</v>
      </c>
      <c r="BS1275" t="s">
        <v>16533</v>
      </c>
      <c r="BT1275" t="s">
        <v>198</v>
      </c>
      <c r="BU1275" t="s">
        <v>182</v>
      </c>
      <c r="BV1275" t="s">
        <v>198</v>
      </c>
      <c r="BW1275" t="s">
        <v>198</v>
      </c>
      <c r="BX1275" t="s">
        <v>199</v>
      </c>
      <c r="BY1275" t="s">
        <v>198</v>
      </c>
      <c r="BZ1275" t="s">
        <v>199</v>
      </c>
      <c r="CA1275" t="s">
        <v>199</v>
      </c>
      <c r="CB1275" t="s">
        <v>16534</v>
      </c>
      <c r="CC1275" t="s">
        <v>201</v>
      </c>
      <c r="CD1275" t="s">
        <v>182</v>
      </c>
      <c r="CE1275" t="s">
        <v>16535</v>
      </c>
      <c r="CF1275" t="s">
        <v>2333</v>
      </c>
      <c r="CG1275" t="s">
        <v>177</v>
      </c>
      <c r="CH1275" t="s">
        <v>3178</v>
      </c>
      <c r="CI1275" t="s">
        <v>16536</v>
      </c>
      <c r="CJ1275" t="s">
        <v>1766</v>
      </c>
      <c r="CK1275" t="s">
        <v>232</v>
      </c>
      <c r="CL1275" t="s">
        <v>233</v>
      </c>
      <c r="CM1275" t="s">
        <v>16537</v>
      </c>
      <c r="CN1275" t="s">
        <v>235</v>
      </c>
      <c r="CO1275" t="s">
        <v>183</v>
      </c>
      <c r="CP1275" t="s">
        <v>211</v>
      </c>
      <c r="CQ1275" t="s">
        <v>199</v>
      </c>
      <c r="CS1275" t="s">
        <v>7467</v>
      </c>
      <c r="CT1275" t="s">
        <v>9565</v>
      </c>
      <c r="CU1275" t="s">
        <v>292</v>
      </c>
      <c r="CV1275" t="s">
        <v>293</v>
      </c>
      <c r="CW1275" t="s">
        <v>16538</v>
      </c>
      <c r="CX1275" t="s">
        <v>235</v>
      </c>
      <c r="CY1275" t="s">
        <v>183</v>
      </c>
      <c r="CZ1275" t="s">
        <v>211</v>
      </c>
      <c r="DA1275" t="s">
        <v>199</v>
      </c>
      <c r="DC1275" t="s">
        <v>6152</v>
      </c>
      <c r="DD1275" t="s">
        <v>13514</v>
      </c>
      <c r="DE1275" t="s">
        <v>273</v>
      </c>
      <c r="DF1275" t="s">
        <v>274</v>
      </c>
      <c r="DG1275" t="s">
        <v>16539</v>
      </c>
      <c r="DH1275" t="s">
        <v>235</v>
      </c>
      <c r="DI1275" t="s">
        <v>183</v>
      </c>
      <c r="DJ1275" t="s">
        <v>211</v>
      </c>
      <c r="DK1275" t="s">
        <v>264</v>
      </c>
      <c r="DM1275" t="s">
        <v>2268</v>
      </c>
      <c r="DN1275" t="s">
        <v>9869</v>
      </c>
      <c r="DO1275" t="s">
        <v>346</v>
      </c>
      <c r="DP1275" t="s">
        <v>347</v>
      </c>
      <c r="DQ1275" t="s">
        <v>16540</v>
      </c>
      <c r="DR1275" t="s">
        <v>688</v>
      </c>
      <c r="DS1275" t="s">
        <v>183</v>
      </c>
      <c r="DT1275" t="s">
        <v>211</v>
      </c>
      <c r="DU1275" t="s">
        <v>329</v>
      </c>
      <c r="DW1275" t="s">
        <v>1770</v>
      </c>
      <c r="EG1275" t="s">
        <v>198</v>
      </c>
      <c r="EQ1275" t="s">
        <v>198</v>
      </c>
      <c r="FA1275" t="s">
        <v>198</v>
      </c>
      <c r="FK1275" t="s">
        <v>198</v>
      </c>
      <c r="FU1275" t="s">
        <v>198</v>
      </c>
    </row>
    <row r="1276" spans="1:177">
      <c r="A1276" s="1" t="str">
        <f>HYPERLINK("http://digipan.lumentumllc.com/apps/getLink/index.php?t=PropLink&amp;p=15759292","PL")</f>
        <v>PL</v>
      </c>
      <c r="B1276" s="1" t="str">
        <f>HYPERLINK("http://digipan.lumentumllc.com/apps/getLink/index.php?t=TaxLink&amp;p=15759292","TL")</f>
        <v>TL</v>
      </c>
      <c r="C1276" s="1" t="str">
        <f>HYPERLINK("http://digipan.lumentumllc.com/apps/getMap/index.php?p=15759292","Map")</f>
        <v>Map</v>
      </c>
      <c r="E1276" t="s">
        <v>177</v>
      </c>
      <c r="F1276" t="s">
        <v>178</v>
      </c>
      <c r="L1276" t="s">
        <v>16541</v>
      </c>
      <c r="N1276" t="s">
        <v>16541</v>
      </c>
      <c r="O1276" t="s">
        <v>16541</v>
      </c>
      <c r="Q1276" t="s">
        <v>16541</v>
      </c>
      <c r="V1276">
        <v>1454</v>
      </c>
      <c r="W1276">
        <v>5</v>
      </c>
      <c r="X1276">
        <v>2017</v>
      </c>
      <c r="Y1276">
        <v>2018</v>
      </c>
      <c r="Z1276">
        <v>1858.04</v>
      </c>
      <c r="AG1276" t="s">
        <v>184</v>
      </c>
      <c r="AH1276">
        <v>0</v>
      </c>
      <c r="AK1276">
        <v>0</v>
      </c>
      <c r="AL1276">
        <v>111530</v>
      </c>
      <c r="AM1276">
        <v>20475</v>
      </c>
      <c r="AN1276">
        <v>91055</v>
      </c>
      <c r="AO1276">
        <v>1595</v>
      </c>
      <c r="AP1276">
        <v>2016</v>
      </c>
      <c r="AQ1276">
        <v>1.67</v>
      </c>
      <c r="AS1276" t="s">
        <v>16542</v>
      </c>
      <c r="AT1276" t="s">
        <v>3210</v>
      </c>
      <c r="AU1276" t="s">
        <v>177</v>
      </c>
      <c r="AV1276" t="s">
        <v>2334</v>
      </c>
      <c r="AW1276" t="s">
        <v>182</v>
      </c>
      <c r="AX1276">
        <v>1</v>
      </c>
      <c r="AY1276" t="s">
        <v>188</v>
      </c>
      <c r="AZ1276" t="s">
        <v>206</v>
      </c>
      <c r="BA1276" t="s">
        <v>355</v>
      </c>
      <c r="BB1276" t="s">
        <v>191</v>
      </c>
      <c r="BC1276" t="s">
        <v>182</v>
      </c>
      <c r="BD1276" t="s">
        <v>182</v>
      </c>
      <c r="BE1276" t="s">
        <v>16543</v>
      </c>
      <c r="BF1276">
        <v>1</v>
      </c>
      <c r="BG1276">
        <v>1</v>
      </c>
      <c r="BH1276">
        <v>1999</v>
      </c>
      <c r="BI1276" t="s">
        <v>11810</v>
      </c>
      <c r="BJ1276" t="s">
        <v>194</v>
      </c>
      <c r="BK1276" t="s">
        <v>195</v>
      </c>
      <c r="BL1276" t="s">
        <v>16544</v>
      </c>
      <c r="BM1276" t="s">
        <v>197</v>
      </c>
      <c r="BN1276" t="s">
        <v>182</v>
      </c>
      <c r="BO1276" t="s">
        <v>15035</v>
      </c>
      <c r="BP1276" t="s">
        <v>16545</v>
      </c>
      <c r="BQ1276" t="s">
        <v>1285</v>
      </c>
      <c r="BR1276" t="s">
        <v>1897</v>
      </c>
      <c r="BS1276" t="s">
        <v>198</v>
      </c>
      <c r="BT1276" t="s">
        <v>1898</v>
      </c>
      <c r="BU1276" t="s">
        <v>182</v>
      </c>
      <c r="BV1276" t="s">
        <v>198</v>
      </c>
      <c r="BW1276" t="s">
        <v>198</v>
      </c>
      <c r="BX1276" t="s">
        <v>199</v>
      </c>
      <c r="BY1276" t="s">
        <v>198</v>
      </c>
      <c r="BZ1276" t="s">
        <v>199</v>
      </c>
      <c r="CA1276" t="s">
        <v>199</v>
      </c>
      <c r="CB1276" t="s">
        <v>16546</v>
      </c>
      <c r="CC1276" t="s">
        <v>201</v>
      </c>
      <c r="CD1276" t="s">
        <v>202</v>
      </c>
      <c r="CE1276" t="s">
        <v>16547</v>
      </c>
      <c r="CF1276" t="s">
        <v>14334</v>
      </c>
      <c r="CG1276" t="s">
        <v>1602</v>
      </c>
      <c r="CH1276" t="s">
        <v>14335</v>
      </c>
      <c r="CI1276" t="s">
        <v>16548</v>
      </c>
      <c r="CS1276" t="s">
        <v>198</v>
      </c>
      <c r="DC1276" t="s">
        <v>198</v>
      </c>
      <c r="DM1276" t="s">
        <v>198</v>
      </c>
      <c r="DW1276" t="s">
        <v>198</v>
      </c>
      <c r="EG1276" t="s">
        <v>198</v>
      </c>
      <c r="EQ1276" t="s">
        <v>198</v>
      </c>
      <c r="FA1276" t="s">
        <v>198</v>
      </c>
      <c r="FK1276" t="s">
        <v>198</v>
      </c>
      <c r="FU1276" t="s">
        <v>198</v>
      </c>
    </row>
    <row r="1277" spans="1:177">
      <c r="A1277" s="1" t="str">
        <f>HYPERLINK("http://digipan.lumentumllc.com/apps/getLink/index.php?t=PropLink&amp;p=6886841","PL")</f>
        <v>PL</v>
      </c>
      <c r="B1277" s="1" t="str">
        <f>HYPERLINK("http://digipan.lumentumllc.com/apps/getLink/index.php?t=TaxLink&amp;p=6886841","TL")</f>
        <v>TL</v>
      </c>
      <c r="C1277" s="1" t="str">
        <f>HYPERLINK("http://digipan.lumentumllc.com/apps/getMap/index.php?p=6886841","Map")</f>
        <v>Map</v>
      </c>
      <c r="E1277" t="s">
        <v>177</v>
      </c>
      <c r="F1277" t="s">
        <v>178</v>
      </c>
      <c r="L1277" t="s">
        <v>16549</v>
      </c>
      <c r="N1277" t="s">
        <v>16549</v>
      </c>
      <c r="O1277" t="s">
        <v>16549</v>
      </c>
      <c r="P1277" t="s">
        <v>16550</v>
      </c>
      <c r="Q1277" t="s">
        <v>16549</v>
      </c>
      <c r="V1277">
        <v>1455</v>
      </c>
      <c r="W1277">
        <v>5</v>
      </c>
      <c r="X1277">
        <v>2017</v>
      </c>
      <c r="Y1277">
        <v>2018</v>
      </c>
      <c r="Z1277">
        <v>2270.56</v>
      </c>
      <c r="AB1277" t="s">
        <v>181</v>
      </c>
      <c r="AC1277" t="s">
        <v>182</v>
      </c>
      <c r="AD1277" t="s">
        <v>183</v>
      </c>
      <c r="AE1277">
        <v>0</v>
      </c>
      <c r="AF1277">
        <v>2</v>
      </c>
      <c r="AG1277" t="s">
        <v>216</v>
      </c>
      <c r="AH1277">
        <v>100</v>
      </c>
      <c r="AK1277">
        <v>0</v>
      </c>
      <c r="AL1277">
        <v>175829</v>
      </c>
      <c r="AM1277">
        <v>18147</v>
      </c>
      <c r="AN1277">
        <v>157682</v>
      </c>
      <c r="AO1277">
        <v>2398</v>
      </c>
      <c r="AP1277">
        <v>2016</v>
      </c>
      <c r="AQ1277">
        <v>1.29</v>
      </c>
      <c r="AS1277" t="s">
        <v>16551</v>
      </c>
      <c r="AT1277" t="s">
        <v>3210</v>
      </c>
      <c r="AU1277" t="s">
        <v>177</v>
      </c>
      <c r="AV1277" t="s">
        <v>2334</v>
      </c>
      <c r="AW1277" t="s">
        <v>202</v>
      </c>
      <c r="AX1277">
        <v>1</v>
      </c>
      <c r="AY1277" t="s">
        <v>188</v>
      </c>
      <c r="AZ1277" t="s">
        <v>206</v>
      </c>
      <c r="BA1277" t="s">
        <v>355</v>
      </c>
      <c r="BB1277" t="s">
        <v>191</v>
      </c>
      <c r="BC1277" t="s">
        <v>182</v>
      </c>
      <c r="BD1277" t="s">
        <v>182</v>
      </c>
      <c r="BE1277" t="s">
        <v>14631</v>
      </c>
      <c r="BF1277">
        <v>2</v>
      </c>
      <c r="BG1277">
        <v>2</v>
      </c>
      <c r="BH1277">
        <v>1964</v>
      </c>
      <c r="BI1277" t="s">
        <v>16552</v>
      </c>
      <c r="BJ1277" t="s">
        <v>194</v>
      </c>
      <c r="BK1277" t="s">
        <v>195</v>
      </c>
      <c r="BL1277" t="s">
        <v>16553</v>
      </c>
      <c r="BM1277" t="s">
        <v>267</v>
      </c>
      <c r="BN1277" t="s">
        <v>182</v>
      </c>
      <c r="BO1277" t="s">
        <v>198</v>
      </c>
      <c r="BP1277" t="s">
        <v>198</v>
      </c>
      <c r="BQ1277" t="s">
        <v>198</v>
      </c>
      <c r="BR1277" t="s">
        <v>198</v>
      </c>
      <c r="BS1277" t="s">
        <v>198</v>
      </c>
      <c r="BT1277" t="s">
        <v>198</v>
      </c>
      <c r="BU1277" t="s">
        <v>182</v>
      </c>
      <c r="BV1277" t="s">
        <v>198</v>
      </c>
      <c r="BW1277" t="s">
        <v>198</v>
      </c>
      <c r="BX1277" t="s">
        <v>199</v>
      </c>
      <c r="BY1277" t="s">
        <v>198</v>
      </c>
      <c r="BZ1277" t="s">
        <v>199</v>
      </c>
      <c r="CA1277" t="s">
        <v>199</v>
      </c>
      <c r="CB1277" t="s">
        <v>16554</v>
      </c>
      <c r="CC1277" t="s">
        <v>201</v>
      </c>
      <c r="CD1277" t="s">
        <v>182</v>
      </c>
      <c r="CE1277" t="s">
        <v>16555</v>
      </c>
      <c r="CF1277" t="s">
        <v>2333</v>
      </c>
      <c r="CG1277" t="s">
        <v>177</v>
      </c>
      <c r="CH1277" t="s">
        <v>2334</v>
      </c>
      <c r="CI1277" t="s">
        <v>6902</v>
      </c>
      <c r="CJ1277" t="s">
        <v>12706</v>
      </c>
      <c r="CK1277" t="s">
        <v>292</v>
      </c>
      <c r="CL1277" t="s">
        <v>293</v>
      </c>
      <c r="CM1277" t="s">
        <v>16556</v>
      </c>
      <c r="CN1277" t="s">
        <v>235</v>
      </c>
      <c r="CO1277" t="s">
        <v>183</v>
      </c>
      <c r="CP1277" t="s">
        <v>211</v>
      </c>
      <c r="CQ1277" t="s">
        <v>270</v>
      </c>
      <c r="CS1277" t="s">
        <v>3319</v>
      </c>
      <c r="CT1277" t="s">
        <v>13309</v>
      </c>
      <c r="CU1277" t="s">
        <v>267</v>
      </c>
      <c r="CV1277" t="s">
        <v>268</v>
      </c>
      <c r="CW1277" t="s">
        <v>16557</v>
      </c>
      <c r="CX1277" t="s">
        <v>235</v>
      </c>
      <c r="CY1277" t="s">
        <v>183</v>
      </c>
      <c r="CZ1277" t="s">
        <v>211</v>
      </c>
      <c r="DA1277" t="s">
        <v>298</v>
      </c>
      <c r="DC1277" t="s">
        <v>459</v>
      </c>
      <c r="DM1277" t="s">
        <v>198</v>
      </c>
      <c r="DW1277" t="s">
        <v>198</v>
      </c>
      <c r="EG1277" t="s">
        <v>198</v>
      </c>
      <c r="EQ1277" t="s">
        <v>198</v>
      </c>
      <c r="FA1277" t="s">
        <v>198</v>
      </c>
      <c r="FK1277" t="s">
        <v>198</v>
      </c>
      <c r="FU1277" t="s">
        <v>198</v>
      </c>
    </row>
    <row r="1278" spans="1:177">
      <c r="A1278" s="1" t="str">
        <f>HYPERLINK("http://digipan.lumentumllc.com/apps/getLink/index.php?t=PropLink&amp;p=5247928","PL")</f>
        <v>PL</v>
      </c>
      <c r="B1278" s="1" t="str">
        <f>HYPERLINK("http://digipan.lumentumllc.com/apps/getLink/index.php?t=TaxLink&amp;p=5247928","TL")</f>
        <v>TL</v>
      </c>
      <c r="C1278" s="1" t="str">
        <f>HYPERLINK("http://digipan.lumentumllc.com/apps/getMap/index.php?p=5247928","Map")</f>
        <v>Map</v>
      </c>
      <c r="E1278" t="s">
        <v>177</v>
      </c>
      <c r="F1278" t="s">
        <v>178</v>
      </c>
      <c r="L1278" t="s">
        <v>16558</v>
      </c>
      <c r="N1278" t="s">
        <v>16558</v>
      </c>
      <c r="O1278" t="s">
        <v>16558</v>
      </c>
      <c r="P1278" t="s">
        <v>16559</v>
      </c>
      <c r="Q1278" t="s">
        <v>16558</v>
      </c>
      <c r="V1278">
        <v>1456</v>
      </c>
      <c r="W1278">
        <v>5</v>
      </c>
      <c r="X1278">
        <v>2017</v>
      </c>
      <c r="Y1278">
        <v>2018</v>
      </c>
      <c r="Z1278">
        <v>595.5</v>
      </c>
      <c r="AG1278" t="s">
        <v>184</v>
      </c>
      <c r="AH1278">
        <v>0</v>
      </c>
      <c r="AK1278">
        <v>0</v>
      </c>
      <c r="AL1278">
        <v>99517</v>
      </c>
      <c r="AM1278">
        <v>13545</v>
      </c>
      <c r="AN1278">
        <v>85972</v>
      </c>
      <c r="AO1278">
        <v>521</v>
      </c>
      <c r="AP1278">
        <v>2016</v>
      </c>
      <c r="AQ1278">
        <v>0.6</v>
      </c>
      <c r="AS1278" t="s">
        <v>16560</v>
      </c>
      <c r="AT1278" t="s">
        <v>3210</v>
      </c>
      <c r="AU1278" t="s">
        <v>177</v>
      </c>
      <c r="AV1278" t="s">
        <v>2334</v>
      </c>
      <c r="AW1278" t="s">
        <v>202</v>
      </c>
      <c r="AX1278">
        <v>1</v>
      </c>
      <c r="AY1278" t="s">
        <v>188</v>
      </c>
      <c r="AZ1278" t="s">
        <v>206</v>
      </c>
      <c r="BA1278" t="s">
        <v>355</v>
      </c>
      <c r="BB1278" t="s">
        <v>191</v>
      </c>
      <c r="BC1278" t="s">
        <v>182</v>
      </c>
      <c r="BD1278" t="s">
        <v>182</v>
      </c>
      <c r="BE1278" t="s">
        <v>235</v>
      </c>
      <c r="BF1278">
        <v>1</v>
      </c>
      <c r="BG1278">
        <v>1</v>
      </c>
      <c r="BH1278">
        <v>1963</v>
      </c>
      <c r="BI1278" t="s">
        <v>16561</v>
      </c>
      <c r="BJ1278" t="s">
        <v>194</v>
      </c>
      <c r="BK1278" t="s">
        <v>195</v>
      </c>
      <c r="BL1278" t="s">
        <v>12100</v>
      </c>
      <c r="BM1278" t="s">
        <v>2351</v>
      </c>
      <c r="BN1278" t="s">
        <v>182</v>
      </c>
      <c r="BO1278" t="s">
        <v>198</v>
      </c>
      <c r="BP1278" t="s">
        <v>198</v>
      </c>
      <c r="BQ1278" t="s">
        <v>198</v>
      </c>
      <c r="BR1278" t="s">
        <v>198</v>
      </c>
      <c r="BS1278" t="s">
        <v>198</v>
      </c>
      <c r="BT1278" t="s">
        <v>198</v>
      </c>
      <c r="BU1278" t="s">
        <v>182</v>
      </c>
      <c r="BV1278" t="s">
        <v>198</v>
      </c>
      <c r="BW1278" t="s">
        <v>198</v>
      </c>
      <c r="BX1278" t="s">
        <v>199</v>
      </c>
      <c r="BY1278" t="s">
        <v>198</v>
      </c>
      <c r="BZ1278" t="s">
        <v>199</v>
      </c>
      <c r="CA1278" t="s">
        <v>199</v>
      </c>
      <c r="CB1278" t="s">
        <v>16562</v>
      </c>
      <c r="CC1278" t="s">
        <v>201</v>
      </c>
      <c r="CD1278" t="s">
        <v>182</v>
      </c>
      <c r="CE1278" t="s">
        <v>16563</v>
      </c>
      <c r="CF1278" t="s">
        <v>2333</v>
      </c>
      <c r="CG1278" t="s">
        <v>177</v>
      </c>
      <c r="CH1278" t="s">
        <v>3178</v>
      </c>
      <c r="CI1278" t="s">
        <v>4659</v>
      </c>
      <c r="CS1278" t="s">
        <v>198</v>
      </c>
      <c r="DC1278" t="s">
        <v>198</v>
      </c>
      <c r="DM1278" t="s">
        <v>198</v>
      </c>
      <c r="DW1278" t="s">
        <v>198</v>
      </c>
      <c r="EG1278" t="s">
        <v>198</v>
      </c>
      <c r="EQ1278" t="s">
        <v>198</v>
      </c>
      <c r="FA1278" t="s">
        <v>198</v>
      </c>
      <c r="FK1278" t="s">
        <v>198</v>
      </c>
      <c r="FU1278" t="s">
        <v>198</v>
      </c>
    </row>
    <row r="1279" spans="1:177">
      <c r="A1279" s="1" t="str">
        <f>HYPERLINK("http://digipan.lumentumllc.com/apps/getLink/index.php?t=PropLink&amp;p=5247929","PL")</f>
        <v>PL</v>
      </c>
      <c r="B1279" s="1" t="str">
        <f>HYPERLINK("http://digipan.lumentumllc.com/apps/getLink/index.php?t=TaxLink&amp;p=5247929","TL")</f>
        <v>TL</v>
      </c>
      <c r="C1279" s="1" t="str">
        <f>HYPERLINK("http://digipan.lumentumllc.com/apps/getMap/index.php?p=5247929","Map")</f>
        <v>Map</v>
      </c>
      <c r="E1279" t="s">
        <v>177</v>
      </c>
      <c r="F1279" t="s">
        <v>178</v>
      </c>
      <c r="L1279" t="s">
        <v>16564</v>
      </c>
      <c r="N1279" t="s">
        <v>16564</v>
      </c>
      <c r="O1279" t="s">
        <v>16564</v>
      </c>
      <c r="P1279" t="s">
        <v>16565</v>
      </c>
      <c r="Q1279" t="s">
        <v>16564</v>
      </c>
      <c r="V1279">
        <v>1457</v>
      </c>
      <c r="W1279">
        <v>5</v>
      </c>
      <c r="X1279">
        <v>2017</v>
      </c>
      <c r="Y1279">
        <v>2018</v>
      </c>
      <c r="Z1279">
        <v>253.76</v>
      </c>
      <c r="AG1279" t="s">
        <v>184</v>
      </c>
      <c r="AH1279">
        <v>0</v>
      </c>
      <c r="AK1279">
        <v>0</v>
      </c>
      <c r="AL1279">
        <v>13545</v>
      </c>
      <c r="AM1279">
        <v>13545</v>
      </c>
      <c r="AN1279">
        <v>0</v>
      </c>
      <c r="AO1279">
        <v>208</v>
      </c>
      <c r="AP1279">
        <v>2016</v>
      </c>
      <c r="AQ1279">
        <v>1.87</v>
      </c>
      <c r="AS1279" t="s">
        <v>16566</v>
      </c>
      <c r="AT1279" t="s">
        <v>3210</v>
      </c>
      <c r="AU1279" t="s">
        <v>177</v>
      </c>
      <c r="AV1279" t="s">
        <v>2334</v>
      </c>
      <c r="AW1279" t="s">
        <v>182</v>
      </c>
      <c r="AX1279">
        <v>0</v>
      </c>
      <c r="AY1279" t="s">
        <v>312</v>
      </c>
      <c r="AZ1279" t="s">
        <v>199</v>
      </c>
      <c r="BA1279" t="s">
        <v>313</v>
      </c>
      <c r="BB1279" t="s">
        <v>191</v>
      </c>
      <c r="BC1279" t="s">
        <v>182</v>
      </c>
      <c r="BD1279" t="s">
        <v>182</v>
      </c>
      <c r="BE1279" t="s">
        <v>3956</v>
      </c>
      <c r="BF1279">
        <v>0</v>
      </c>
      <c r="BG1279">
        <v>0</v>
      </c>
      <c r="BH1279">
        <v>0</v>
      </c>
      <c r="BI1279" t="s">
        <v>199</v>
      </c>
      <c r="BJ1279" t="s">
        <v>315</v>
      </c>
      <c r="BL1279" t="s">
        <v>199</v>
      </c>
      <c r="BM1279" t="s">
        <v>1332</v>
      </c>
      <c r="BN1279" t="s">
        <v>182</v>
      </c>
      <c r="BO1279" t="s">
        <v>198</v>
      </c>
      <c r="BP1279" t="s">
        <v>198</v>
      </c>
      <c r="BQ1279" t="s">
        <v>198</v>
      </c>
      <c r="BR1279" t="s">
        <v>198</v>
      </c>
      <c r="BS1279" t="s">
        <v>198</v>
      </c>
      <c r="BT1279" t="s">
        <v>198</v>
      </c>
      <c r="BU1279" t="s">
        <v>182</v>
      </c>
      <c r="BV1279" t="s">
        <v>198</v>
      </c>
      <c r="BW1279" t="s">
        <v>198</v>
      </c>
      <c r="BX1279" t="s">
        <v>199</v>
      </c>
      <c r="BY1279" t="s">
        <v>198</v>
      </c>
      <c r="BZ1279" t="s">
        <v>199</v>
      </c>
      <c r="CA1279" t="s">
        <v>199</v>
      </c>
      <c r="CB1279" t="s">
        <v>16567</v>
      </c>
      <c r="CC1279" t="s">
        <v>201</v>
      </c>
      <c r="CD1279" t="s">
        <v>202</v>
      </c>
      <c r="CE1279" t="s">
        <v>16563</v>
      </c>
      <c r="CF1279" t="s">
        <v>2333</v>
      </c>
      <c r="CG1279" t="s">
        <v>177</v>
      </c>
      <c r="CH1279" t="s">
        <v>3178</v>
      </c>
      <c r="CI1279" t="s">
        <v>15821</v>
      </c>
      <c r="CS1279" t="s">
        <v>198</v>
      </c>
      <c r="DC1279" t="s">
        <v>198</v>
      </c>
      <c r="DM1279" t="s">
        <v>198</v>
      </c>
      <c r="DW1279" t="s">
        <v>198</v>
      </c>
      <c r="EG1279" t="s">
        <v>198</v>
      </c>
      <c r="EQ1279" t="s">
        <v>198</v>
      </c>
      <c r="FA1279" t="s">
        <v>198</v>
      </c>
      <c r="FK1279" t="s">
        <v>198</v>
      </c>
      <c r="FU1279" t="s">
        <v>198</v>
      </c>
    </row>
    <row r="1280" spans="1:177">
      <c r="A1280" s="1" t="str">
        <f>HYPERLINK("http://digipan.lumentumllc.com/apps/getLink/index.php?t=PropLink&amp;p=5247934","PL")</f>
        <v>PL</v>
      </c>
      <c r="B1280" s="1" t="str">
        <f>HYPERLINK("http://digipan.lumentumllc.com/apps/getLink/index.php?t=TaxLink&amp;p=5247934","TL")</f>
        <v>TL</v>
      </c>
      <c r="C1280" s="1" t="str">
        <f>HYPERLINK("http://digipan.lumentumllc.com/apps/getMap/index.php?p=5247934","Map")</f>
        <v>Map</v>
      </c>
      <c r="E1280" t="s">
        <v>177</v>
      </c>
      <c r="F1280" t="s">
        <v>178</v>
      </c>
      <c r="L1280" t="s">
        <v>16568</v>
      </c>
      <c r="N1280" t="s">
        <v>16568</v>
      </c>
      <c r="O1280" t="s">
        <v>16568</v>
      </c>
      <c r="P1280" t="s">
        <v>16569</v>
      </c>
      <c r="Q1280" t="s">
        <v>16568</v>
      </c>
      <c r="V1280">
        <v>1459</v>
      </c>
      <c r="W1280">
        <v>5</v>
      </c>
      <c r="X1280">
        <v>2017</v>
      </c>
      <c r="Y1280">
        <v>2018</v>
      </c>
      <c r="Z1280">
        <v>805.88</v>
      </c>
      <c r="AB1280" t="s">
        <v>181</v>
      </c>
      <c r="AC1280" t="s">
        <v>182</v>
      </c>
      <c r="AD1280" t="s">
        <v>183</v>
      </c>
      <c r="AE1280">
        <v>0</v>
      </c>
      <c r="AF1280">
        <v>7</v>
      </c>
      <c r="AG1280" t="s">
        <v>528</v>
      </c>
      <c r="AH1280">
        <v>100</v>
      </c>
      <c r="AK1280">
        <v>0</v>
      </c>
      <c r="AL1280">
        <v>47266</v>
      </c>
      <c r="AM1280">
        <v>25250</v>
      </c>
      <c r="AN1280">
        <v>22016</v>
      </c>
      <c r="AO1280">
        <v>736</v>
      </c>
      <c r="AP1280">
        <v>2016</v>
      </c>
      <c r="AQ1280">
        <v>1.7</v>
      </c>
      <c r="AS1280" t="s">
        <v>16570</v>
      </c>
      <c r="AT1280" t="s">
        <v>3210</v>
      </c>
      <c r="AU1280" t="s">
        <v>177</v>
      </c>
      <c r="AV1280" t="s">
        <v>2334</v>
      </c>
      <c r="AW1280" t="s">
        <v>182</v>
      </c>
      <c r="AX1280">
        <v>0</v>
      </c>
      <c r="AY1280" t="s">
        <v>312</v>
      </c>
      <c r="AZ1280" t="s">
        <v>199</v>
      </c>
      <c r="BA1280" t="s">
        <v>313</v>
      </c>
      <c r="BB1280" t="s">
        <v>191</v>
      </c>
      <c r="BC1280" t="s">
        <v>182</v>
      </c>
      <c r="BD1280" t="s">
        <v>182</v>
      </c>
      <c r="BE1280" t="s">
        <v>899</v>
      </c>
      <c r="BF1280">
        <v>0</v>
      </c>
      <c r="BG1280">
        <v>0</v>
      </c>
      <c r="BH1280">
        <v>0</v>
      </c>
      <c r="BI1280" t="s">
        <v>199</v>
      </c>
      <c r="BJ1280" t="s">
        <v>248</v>
      </c>
      <c r="BL1280" t="s">
        <v>841</v>
      </c>
      <c r="BM1280" t="s">
        <v>2351</v>
      </c>
      <c r="BN1280" t="s">
        <v>182</v>
      </c>
      <c r="BO1280" t="s">
        <v>198</v>
      </c>
      <c r="BP1280" t="s">
        <v>198</v>
      </c>
      <c r="BQ1280" t="s">
        <v>198</v>
      </c>
      <c r="BR1280" t="s">
        <v>198</v>
      </c>
      <c r="BS1280" t="s">
        <v>198</v>
      </c>
      <c r="BT1280" t="s">
        <v>198</v>
      </c>
      <c r="BU1280" t="s">
        <v>182</v>
      </c>
      <c r="BV1280" t="s">
        <v>198</v>
      </c>
      <c r="BW1280" t="s">
        <v>198</v>
      </c>
      <c r="BX1280" t="s">
        <v>199</v>
      </c>
      <c r="BY1280" t="s">
        <v>198</v>
      </c>
      <c r="BZ1280" t="s">
        <v>199</v>
      </c>
      <c r="CA1280" t="s">
        <v>199</v>
      </c>
      <c r="CB1280" t="s">
        <v>16571</v>
      </c>
      <c r="CC1280" t="s">
        <v>201</v>
      </c>
      <c r="CD1280" t="s">
        <v>182</v>
      </c>
      <c r="CE1280" t="s">
        <v>16572</v>
      </c>
      <c r="CF1280" t="s">
        <v>2333</v>
      </c>
      <c r="CG1280" t="s">
        <v>177</v>
      </c>
      <c r="CH1280" t="s">
        <v>2334</v>
      </c>
      <c r="CI1280" t="s">
        <v>16573</v>
      </c>
      <c r="CJ1280" t="s">
        <v>12782</v>
      </c>
      <c r="CK1280" t="s">
        <v>292</v>
      </c>
      <c r="CL1280" t="s">
        <v>293</v>
      </c>
      <c r="CM1280" t="s">
        <v>16574</v>
      </c>
      <c r="CN1280" t="s">
        <v>331</v>
      </c>
      <c r="CO1280" t="s">
        <v>183</v>
      </c>
      <c r="CP1280" t="s">
        <v>211</v>
      </c>
      <c r="CQ1280" t="s">
        <v>342</v>
      </c>
      <c r="CS1280" t="s">
        <v>10007</v>
      </c>
      <c r="CT1280" t="s">
        <v>10738</v>
      </c>
      <c r="CU1280" t="s">
        <v>267</v>
      </c>
      <c r="CV1280" t="s">
        <v>268</v>
      </c>
      <c r="CW1280" t="s">
        <v>16575</v>
      </c>
      <c r="CX1280" t="s">
        <v>331</v>
      </c>
      <c r="CY1280" t="s">
        <v>183</v>
      </c>
      <c r="CZ1280" t="s">
        <v>211</v>
      </c>
      <c r="DA1280" t="s">
        <v>298</v>
      </c>
      <c r="DC1280" t="s">
        <v>2096</v>
      </c>
      <c r="DD1280" t="s">
        <v>11102</v>
      </c>
      <c r="DE1280" t="s">
        <v>273</v>
      </c>
      <c r="DF1280" t="s">
        <v>274</v>
      </c>
      <c r="DG1280" t="s">
        <v>16576</v>
      </c>
      <c r="DH1280" t="s">
        <v>235</v>
      </c>
      <c r="DI1280" t="s">
        <v>183</v>
      </c>
      <c r="DJ1280" t="s">
        <v>211</v>
      </c>
      <c r="DK1280" t="s">
        <v>298</v>
      </c>
      <c r="DM1280" t="s">
        <v>462</v>
      </c>
      <c r="DN1280" t="s">
        <v>16577</v>
      </c>
      <c r="DO1280" t="s">
        <v>302</v>
      </c>
      <c r="DP1280" t="s">
        <v>303</v>
      </c>
      <c r="DQ1280" t="s">
        <v>16578</v>
      </c>
      <c r="DR1280" t="s">
        <v>235</v>
      </c>
      <c r="DS1280" t="s">
        <v>183</v>
      </c>
      <c r="DT1280" t="s">
        <v>211</v>
      </c>
      <c r="DU1280" t="s">
        <v>298</v>
      </c>
      <c r="DW1280" t="s">
        <v>3499</v>
      </c>
      <c r="DX1280" t="s">
        <v>16579</v>
      </c>
      <c r="DY1280" t="s">
        <v>238</v>
      </c>
      <c r="DZ1280" t="s">
        <v>239</v>
      </c>
      <c r="EA1280" t="s">
        <v>16580</v>
      </c>
      <c r="EB1280" t="s">
        <v>440</v>
      </c>
      <c r="EC1280" t="s">
        <v>183</v>
      </c>
      <c r="ED1280" t="s">
        <v>211</v>
      </c>
      <c r="EE1280" t="s">
        <v>298</v>
      </c>
      <c r="EG1280" t="s">
        <v>1815</v>
      </c>
      <c r="EH1280" t="s">
        <v>16581</v>
      </c>
      <c r="EI1280" t="s">
        <v>346</v>
      </c>
      <c r="EJ1280" t="s">
        <v>347</v>
      </c>
      <c r="EK1280" t="s">
        <v>16582</v>
      </c>
      <c r="EL1280" t="s">
        <v>295</v>
      </c>
      <c r="EM1280" t="s">
        <v>183</v>
      </c>
      <c r="EN1280" t="s">
        <v>211</v>
      </c>
      <c r="EO1280" t="s">
        <v>298</v>
      </c>
      <c r="EQ1280" t="s">
        <v>443</v>
      </c>
      <c r="ER1280" t="s">
        <v>501</v>
      </c>
      <c r="ES1280" t="s">
        <v>207</v>
      </c>
      <c r="ET1280" t="s">
        <v>208</v>
      </c>
      <c r="EU1280" t="s">
        <v>12721</v>
      </c>
      <c r="EV1280" t="s">
        <v>1966</v>
      </c>
      <c r="EW1280" t="s">
        <v>183</v>
      </c>
      <c r="EX1280" t="s">
        <v>211</v>
      </c>
      <c r="EY1280" t="s">
        <v>298</v>
      </c>
      <c r="FA1280" t="s">
        <v>5101</v>
      </c>
      <c r="FK1280" t="s">
        <v>198</v>
      </c>
      <c r="FU1280" t="s">
        <v>198</v>
      </c>
    </row>
    <row r="1281" spans="1:177">
      <c r="A1281" s="1" t="str">
        <f>HYPERLINK("http://digipan.lumentumllc.com/apps/getLink/index.php?t=PropLink&amp;p=5247937","PL")</f>
        <v>PL</v>
      </c>
      <c r="B1281" s="1" t="str">
        <f>HYPERLINK("http://digipan.lumentumllc.com/apps/getLink/index.php?t=TaxLink&amp;p=5247937","TL")</f>
        <v>TL</v>
      </c>
      <c r="C1281" s="1" t="str">
        <f>HYPERLINK("http://digipan.lumentumllc.com/apps/getMap/index.php?p=5247937","Map")</f>
        <v>Map</v>
      </c>
      <c r="E1281" t="s">
        <v>177</v>
      </c>
      <c r="F1281" t="s">
        <v>178</v>
      </c>
      <c r="L1281" t="s">
        <v>16583</v>
      </c>
      <c r="N1281" t="s">
        <v>16583</v>
      </c>
      <c r="O1281" t="s">
        <v>16583</v>
      </c>
      <c r="P1281" t="s">
        <v>16584</v>
      </c>
      <c r="Q1281" t="s">
        <v>16583</v>
      </c>
      <c r="V1281">
        <v>1460</v>
      </c>
      <c r="W1281">
        <v>5</v>
      </c>
      <c r="X1281">
        <v>2017</v>
      </c>
      <c r="Y1281">
        <v>2018</v>
      </c>
      <c r="Z1281">
        <v>674.05</v>
      </c>
      <c r="AB1281" t="s">
        <v>181</v>
      </c>
      <c r="AC1281" t="s">
        <v>202</v>
      </c>
      <c r="AD1281" t="s">
        <v>183</v>
      </c>
      <c r="AE1281">
        <v>1</v>
      </c>
      <c r="AF1281">
        <v>7</v>
      </c>
      <c r="AG1281" t="s">
        <v>418</v>
      </c>
      <c r="AH1281">
        <v>86</v>
      </c>
      <c r="AI1281">
        <v>695.77</v>
      </c>
      <c r="AJ1281">
        <v>34.79</v>
      </c>
      <c r="AK1281">
        <v>730.56</v>
      </c>
      <c r="AL1281">
        <v>39215</v>
      </c>
      <c r="AM1281">
        <v>28500</v>
      </c>
      <c r="AN1281">
        <v>10715</v>
      </c>
      <c r="AO1281">
        <v>618</v>
      </c>
      <c r="AP1281">
        <v>2016</v>
      </c>
      <c r="AQ1281">
        <v>1.72</v>
      </c>
      <c r="AR1281">
        <v>1.86</v>
      </c>
      <c r="AS1281" t="s">
        <v>16585</v>
      </c>
      <c r="AT1281" t="s">
        <v>3210</v>
      </c>
      <c r="AU1281" t="s">
        <v>177</v>
      </c>
      <c r="AV1281" t="s">
        <v>2334</v>
      </c>
      <c r="AW1281" t="s">
        <v>182</v>
      </c>
      <c r="AX1281">
        <v>2</v>
      </c>
      <c r="AY1281" t="s">
        <v>188</v>
      </c>
      <c r="AZ1281" t="s">
        <v>189</v>
      </c>
      <c r="BA1281" t="s">
        <v>190</v>
      </c>
      <c r="BB1281" t="s">
        <v>191</v>
      </c>
      <c r="BC1281" t="s">
        <v>182</v>
      </c>
      <c r="BD1281" t="s">
        <v>182</v>
      </c>
      <c r="BE1281" t="s">
        <v>2393</v>
      </c>
      <c r="BF1281">
        <v>1</v>
      </c>
      <c r="BG1281">
        <v>1</v>
      </c>
      <c r="BH1281">
        <v>1985</v>
      </c>
      <c r="BI1281" t="s">
        <v>6299</v>
      </c>
      <c r="BJ1281" t="s">
        <v>194</v>
      </c>
      <c r="BK1281" t="s">
        <v>195</v>
      </c>
      <c r="BL1281" t="s">
        <v>16586</v>
      </c>
      <c r="BM1281" t="s">
        <v>1041</v>
      </c>
      <c r="BN1281" t="s">
        <v>182</v>
      </c>
      <c r="BO1281" t="s">
        <v>16587</v>
      </c>
      <c r="BP1281" t="s">
        <v>16588</v>
      </c>
      <c r="BQ1281" t="s">
        <v>2053</v>
      </c>
      <c r="BR1281" t="s">
        <v>227</v>
      </c>
      <c r="BS1281" t="s">
        <v>198</v>
      </c>
      <c r="BT1281" t="s">
        <v>1582</v>
      </c>
      <c r="BU1281" t="s">
        <v>182</v>
      </c>
      <c r="BV1281" t="s">
        <v>198</v>
      </c>
      <c r="BW1281" t="s">
        <v>198</v>
      </c>
      <c r="BX1281" t="s">
        <v>199</v>
      </c>
      <c r="BY1281" t="s">
        <v>198</v>
      </c>
      <c r="BZ1281" t="s">
        <v>199</v>
      </c>
      <c r="CA1281" t="s">
        <v>199</v>
      </c>
      <c r="CB1281" t="s">
        <v>16589</v>
      </c>
      <c r="CC1281" t="s">
        <v>201</v>
      </c>
      <c r="CD1281" t="s">
        <v>182</v>
      </c>
      <c r="CE1281" t="s">
        <v>5901</v>
      </c>
      <c r="CF1281" t="s">
        <v>2333</v>
      </c>
      <c r="CG1281" t="s">
        <v>177</v>
      </c>
      <c r="CH1281" t="s">
        <v>3178</v>
      </c>
      <c r="CI1281" t="s">
        <v>16590</v>
      </c>
      <c r="CJ1281" t="s">
        <v>1685</v>
      </c>
      <c r="CK1281" t="s">
        <v>232</v>
      </c>
      <c r="CL1281" t="s">
        <v>233</v>
      </c>
      <c r="CM1281" t="s">
        <v>16591</v>
      </c>
      <c r="CN1281" t="s">
        <v>235</v>
      </c>
      <c r="CO1281" t="s">
        <v>183</v>
      </c>
      <c r="CP1281" t="s">
        <v>266</v>
      </c>
      <c r="CS1281" t="s">
        <v>198</v>
      </c>
      <c r="CT1281" t="s">
        <v>11663</v>
      </c>
      <c r="CU1281" t="s">
        <v>292</v>
      </c>
      <c r="CV1281" t="s">
        <v>293</v>
      </c>
      <c r="CW1281" t="s">
        <v>16592</v>
      </c>
      <c r="CX1281" t="s">
        <v>235</v>
      </c>
      <c r="CY1281" t="s">
        <v>183</v>
      </c>
      <c r="CZ1281" t="s">
        <v>211</v>
      </c>
      <c r="DA1281" t="s">
        <v>298</v>
      </c>
      <c r="DC1281" t="s">
        <v>1641</v>
      </c>
      <c r="DD1281" t="s">
        <v>10752</v>
      </c>
      <c r="DE1281" t="s">
        <v>267</v>
      </c>
      <c r="DF1281" t="s">
        <v>268</v>
      </c>
      <c r="DG1281" t="s">
        <v>16593</v>
      </c>
      <c r="DH1281" t="s">
        <v>235</v>
      </c>
      <c r="DI1281" t="s">
        <v>183</v>
      </c>
      <c r="DJ1281" t="s">
        <v>211</v>
      </c>
      <c r="DK1281" t="s">
        <v>342</v>
      </c>
      <c r="DM1281" t="s">
        <v>7428</v>
      </c>
      <c r="DN1281" t="s">
        <v>11126</v>
      </c>
      <c r="DO1281" t="s">
        <v>273</v>
      </c>
      <c r="DP1281" t="s">
        <v>274</v>
      </c>
      <c r="DQ1281" t="s">
        <v>16594</v>
      </c>
      <c r="DR1281" t="s">
        <v>235</v>
      </c>
      <c r="DS1281" t="s">
        <v>183</v>
      </c>
      <c r="DT1281" t="s">
        <v>211</v>
      </c>
      <c r="DU1281" t="s">
        <v>270</v>
      </c>
      <c r="DW1281" t="s">
        <v>1486</v>
      </c>
      <c r="DX1281" t="s">
        <v>2580</v>
      </c>
      <c r="DY1281" t="s">
        <v>302</v>
      </c>
      <c r="DZ1281" t="s">
        <v>303</v>
      </c>
      <c r="EA1281" t="s">
        <v>16595</v>
      </c>
      <c r="EB1281" t="s">
        <v>235</v>
      </c>
      <c r="EC1281" t="s">
        <v>183</v>
      </c>
      <c r="ED1281" t="s">
        <v>211</v>
      </c>
      <c r="EE1281" t="s">
        <v>329</v>
      </c>
      <c r="EG1281" t="s">
        <v>12480</v>
      </c>
      <c r="EH1281" t="s">
        <v>16596</v>
      </c>
      <c r="EI1281" t="s">
        <v>238</v>
      </c>
      <c r="EJ1281" t="s">
        <v>239</v>
      </c>
      <c r="EK1281" t="s">
        <v>16597</v>
      </c>
      <c r="EL1281" t="s">
        <v>440</v>
      </c>
      <c r="EM1281" t="s">
        <v>183</v>
      </c>
      <c r="EN1281" t="s">
        <v>211</v>
      </c>
      <c r="EO1281" t="s">
        <v>298</v>
      </c>
      <c r="EQ1281" t="s">
        <v>12480</v>
      </c>
      <c r="ER1281" t="s">
        <v>16598</v>
      </c>
      <c r="ES1281" t="s">
        <v>346</v>
      </c>
      <c r="ET1281" t="s">
        <v>347</v>
      </c>
      <c r="EU1281" t="s">
        <v>16599</v>
      </c>
      <c r="EV1281" t="s">
        <v>1491</v>
      </c>
      <c r="EW1281" t="s">
        <v>183</v>
      </c>
      <c r="EX1281" t="s">
        <v>211</v>
      </c>
      <c r="EY1281" t="s">
        <v>298</v>
      </c>
      <c r="FA1281" t="s">
        <v>5812</v>
      </c>
      <c r="FB1281" t="s">
        <v>1332</v>
      </c>
      <c r="FC1281" t="s">
        <v>207</v>
      </c>
      <c r="FD1281" t="s">
        <v>208</v>
      </c>
      <c r="FE1281" t="s">
        <v>16600</v>
      </c>
      <c r="FF1281" t="s">
        <v>1966</v>
      </c>
      <c r="FG1281" t="s">
        <v>183</v>
      </c>
      <c r="FH1281" t="s">
        <v>211</v>
      </c>
      <c r="FI1281" t="s">
        <v>189</v>
      </c>
      <c r="FJ1281" t="s">
        <v>271</v>
      </c>
      <c r="FK1281" t="s">
        <v>9091</v>
      </c>
      <c r="FU1281" t="s">
        <v>198</v>
      </c>
    </row>
    <row r="1282" spans="1:177">
      <c r="A1282" s="1" t="str">
        <f>HYPERLINK("http://digipan.lumentumllc.com/apps/getLink/index.php?t=PropLink&amp;p=15759373","PL")</f>
        <v>PL</v>
      </c>
      <c r="B1282" s="1" t="str">
        <f>HYPERLINK("http://digipan.lumentumllc.com/apps/getLink/index.php?t=TaxLink&amp;p=15759373","TL")</f>
        <v>TL</v>
      </c>
      <c r="C1282" s="1" t="str">
        <f>HYPERLINK("http://digipan.lumentumllc.com/apps/getMap/index.php?p=15759373","Map")</f>
        <v>Map</v>
      </c>
      <c r="E1282" t="s">
        <v>177</v>
      </c>
      <c r="F1282" t="s">
        <v>178</v>
      </c>
      <c r="L1282" t="s">
        <v>16601</v>
      </c>
      <c r="N1282" t="s">
        <v>16601</v>
      </c>
      <c r="O1282" t="s">
        <v>16601</v>
      </c>
      <c r="Q1282" t="s">
        <v>16601</v>
      </c>
      <c r="V1282">
        <v>1461</v>
      </c>
      <c r="W1282">
        <v>5</v>
      </c>
      <c r="X1282">
        <v>2017</v>
      </c>
      <c r="Y1282">
        <v>2018</v>
      </c>
      <c r="Z1282">
        <v>1144.4000000000001</v>
      </c>
      <c r="AB1282" t="s">
        <v>181</v>
      </c>
      <c r="AC1282" t="s">
        <v>182</v>
      </c>
      <c r="AD1282" t="s">
        <v>183</v>
      </c>
      <c r="AE1282">
        <v>1</v>
      </c>
      <c r="AF1282">
        <v>0</v>
      </c>
      <c r="AG1282" t="s">
        <v>1200</v>
      </c>
      <c r="AH1282">
        <v>0</v>
      </c>
      <c r="AI1282">
        <v>1077.21</v>
      </c>
      <c r="AJ1282">
        <v>53.86</v>
      </c>
      <c r="AK1282">
        <v>1131.07</v>
      </c>
      <c r="AL1282">
        <v>67943</v>
      </c>
      <c r="AM1282">
        <v>30200</v>
      </c>
      <c r="AN1282">
        <v>37743</v>
      </c>
      <c r="AO1282">
        <v>971</v>
      </c>
      <c r="AP1282">
        <v>2016</v>
      </c>
      <c r="AQ1282">
        <v>1.68</v>
      </c>
      <c r="AR1282">
        <v>1.66</v>
      </c>
      <c r="AS1282" t="s">
        <v>16602</v>
      </c>
      <c r="AT1282" t="s">
        <v>3210</v>
      </c>
      <c r="AU1282" t="s">
        <v>177</v>
      </c>
      <c r="AV1282" t="s">
        <v>2334</v>
      </c>
      <c r="AW1282" t="s">
        <v>182</v>
      </c>
      <c r="AX1282">
        <v>2</v>
      </c>
      <c r="AY1282" t="s">
        <v>188</v>
      </c>
      <c r="AZ1282" t="s">
        <v>189</v>
      </c>
      <c r="BA1282" t="s">
        <v>190</v>
      </c>
      <c r="BB1282" t="s">
        <v>191</v>
      </c>
      <c r="BC1282" t="s">
        <v>182</v>
      </c>
      <c r="BD1282" t="s">
        <v>182</v>
      </c>
      <c r="BE1282" t="s">
        <v>9048</v>
      </c>
      <c r="BF1282">
        <v>1</v>
      </c>
      <c r="BG1282">
        <v>1</v>
      </c>
      <c r="BH1282">
        <v>1995</v>
      </c>
      <c r="BI1282" t="s">
        <v>14321</v>
      </c>
      <c r="BJ1282" t="s">
        <v>194</v>
      </c>
      <c r="BK1282" t="s">
        <v>195</v>
      </c>
      <c r="BL1282" t="s">
        <v>199</v>
      </c>
      <c r="BM1282" t="s">
        <v>267</v>
      </c>
      <c r="BN1282" t="s">
        <v>182</v>
      </c>
      <c r="BO1282" t="s">
        <v>198</v>
      </c>
      <c r="BP1282" t="s">
        <v>198</v>
      </c>
      <c r="BQ1282" t="s">
        <v>198</v>
      </c>
      <c r="BR1282" t="s">
        <v>198</v>
      </c>
      <c r="BS1282" t="s">
        <v>198</v>
      </c>
      <c r="BT1282" t="s">
        <v>198</v>
      </c>
      <c r="BU1282" t="s">
        <v>182</v>
      </c>
      <c r="BV1282" t="s">
        <v>198</v>
      </c>
      <c r="BW1282" t="s">
        <v>198</v>
      </c>
      <c r="BX1282" t="s">
        <v>199</v>
      </c>
      <c r="BY1282" t="s">
        <v>198</v>
      </c>
      <c r="BZ1282" t="s">
        <v>199</v>
      </c>
      <c r="CA1282" t="s">
        <v>199</v>
      </c>
      <c r="CB1282" t="s">
        <v>16603</v>
      </c>
      <c r="CC1282" t="s">
        <v>201</v>
      </c>
      <c r="CD1282" t="s">
        <v>182</v>
      </c>
      <c r="CE1282" t="s">
        <v>16604</v>
      </c>
      <c r="CF1282" t="s">
        <v>2333</v>
      </c>
      <c r="CG1282" t="s">
        <v>177</v>
      </c>
      <c r="CH1282" t="s">
        <v>2334</v>
      </c>
      <c r="CI1282" t="s">
        <v>16605</v>
      </c>
      <c r="CJ1282" t="s">
        <v>12308</v>
      </c>
      <c r="CK1282" t="s">
        <v>232</v>
      </c>
      <c r="CL1282" t="s">
        <v>233</v>
      </c>
      <c r="CM1282" t="s">
        <v>16606</v>
      </c>
      <c r="CN1282" t="s">
        <v>235</v>
      </c>
      <c r="CO1282" t="s">
        <v>183</v>
      </c>
      <c r="CP1282" t="s">
        <v>266</v>
      </c>
      <c r="CS1282" t="s">
        <v>198</v>
      </c>
      <c r="DC1282" t="s">
        <v>198</v>
      </c>
      <c r="DM1282" t="s">
        <v>198</v>
      </c>
      <c r="DW1282" t="s">
        <v>198</v>
      </c>
      <c r="EG1282" t="s">
        <v>198</v>
      </c>
      <c r="EQ1282" t="s">
        <v>198</v>
      </c>
      <c r="FA1282" t="s">
        <v>198</v>
      </c>
      <c r="FK1282" t="s">
        <v>198</v>
      </c>
      <c r="FU1282" t="s">
        <v>198</v>
      </c>
    </row>
    <row r="1283" spans="1:177">
      <c r="A1283" s="1" t="str">
        <f>HYPERLINK("http://digipan.lumentumllc.com/apps/getLink/index.php?t=PropLink&amp;p=5247940","PL")</f>
        <v>PL</v>
      </c>
      <c r="B1283" s="1" t="str">
        <f>HYPERLINK("http://digipan.lumentumllc.com/apps/getLink/index.php?t=TaxLink&amp;p=5247940","TL")</f>
        <v>TL</v>
      </c>
      <c r="C1283" s="1" t="str">
        <f>HYPERLINK("http://digipan.lumentumllc.com/apps/getMap/index.php?p=5247940","Map")</f>
        <v>Map</v>
      </c>
      <c r="E1283" t="s">
        <v>177</v>
      </c>
      <c r="F1283" t="s">
        <v>178</v>
      </c>
      <c r="L1283" t="s">
        <v>16607</v>
      </c>
      <c r="N1283" t="s">
        <v>16607</v>
      </c>
      <c r="O1283" t="s">
        <v>16607</v>
      </c>
      <c r="P1283" t="s">
        <v>16608</v>
      </c>
      <c r="Q1283" t="s">
        <v>16607</v>
      </c>
      <c r="V1283">
        <v>1462</v>
      </c>
      <c r="W1283">
        <v>5</v>
      </c>
      <c r="X1283">
        <v>2017</v>
      </c>
      <c r="Y1283">
        <v>2018</v>
      </c>
      <c r="Z1283">
        <v>598.27</v>
      </c>
      <c r="AB1283" t="s">
        <v>181</v>
      </c>
      <c r="AC1283" t="s">
        <v>182</v>
      </c>
      <c r="AD1283" t="s">
        <v>183</v>
      </c>
      <c r="AE1283">
        <v>1</v>
      </c>
      <c r="AF1283">
        <v>7</v>
      </c>
      <c r="AG1283" t="s">
        <v>418</v>
      </c>
      <c r="AH1283">
        <v>86</v>
      </c>
      <c r="AI1283">
        <v>592.76</v>
      </c>
      <c r="AJ1283">
        <v>29.64</v>
      </c>
      <c r="AK1283">
        <v>622.4</v>
      </c>
      <c r="AL1283">
        <v>76583</v>
      </c>
      <c r="AM1283">
        <v>43775</v>
      </c>
      <c r="AN1283">
        <v>32808</v>
      </c>
      <c r="AO1283">
        <v>523</v>
      </c>
      <c r="AP1283">
        <v>2016</v>
      </c>
      <c r="AQ1283">
        <v>0.78</v>
      </c>
      <c r="AR1283">
        <v>0.81</v>
      </c>
      <c r="AS1283" t="s">
        <v>16609</v>
      </c>
      <c r="AT1283" t="s">
        <v>3210</v>
      </c>
      <c r="AU1283" t="s">
        <v>177</v>
      </c>
      <c r="AV1283" t="s">
        <v>2334</v>
      </c>
      <c r="AW1283" t="s">
        <v>202</v>
      </c>
      <c r="AX1283">
        <v>2</v>
      </c>
      <c r="AY1283" t="s">
        <v>188</v>
      </c>
      <c r="AZ1283" t="s">
        <v>189</v>
      </c>
      <c r="BA1283" t="s">
        <v>190</v>
      </c>
      <c r="BB1283" t="s">
        <v>191</v>
      </c>
      <c r="BC1283" t="s">
        <v>182</v>
      </c>
      <c r="BD1283" t="s">
        <v>182</v>
      </c>
      <c r="BE1283" t="s">
        <v>16610</v>
      </c>
      <c r="BF1283">
        <v>1</v>
      </c>
      <c r="BG1283">
        <v>1</v>
      </c>
      <c r="BH1283">
        <v>1998</v>
      </c>
      <c r="BI1283" t="s">
        <v>1291</v>
      </c>
      <c r="BJ1283" t="s">
        <v>194</v>
      </c>
      <c r="BK1283" t="s">
        <v>195</v>
      </c>
      <c r="BL1283" t="s">
        <v>2395</v>
      </c>
      <c r="BM1283" t="s">
        <v>1156</v>
      </c>
      <c r="BN1283" t="s">
        <v>182</v>
      </c>
      <c r="BO1283" t="s">
        <v>10354</v>
      </c>
      <c r="BP1283" t="s">
        <v>16611</v>
      </c>
      <c r="BS1283" t="s">
        <v>16612</v>
      </c>
      <c r="BT1283" t="s">
        <v>198</v>
      </c>
      <c r="BU1283" t="s">
        <v>182</v>
      </c>
      <c r="BV1283" t="s">
        <v>198</v>
      </c>
      <c r="BW1283" t="s">
        <v>198</v>
      </c>
      <c r="BX1283" t="s">
        <v>199</v>
      </c>
      <c r="BY1283" t="s">
        <v>198</v>
      </c>
      <c r="BZ1283" t="s">
        <v>199</v>
      </c>
      <c r="CA1283" t="s">
        <v>199</v>
      </c>
      <c r="CB1283" t="s">
        <v>16613</v>
      </c>
      <c r="CC1283" t="s">
        <v>201</v>
      </c>
      <c r="CD1283" t="s">
        <v>202</v>
      </c>
      <c r="CE1283" t="s">
        <v>16614</v>
      </c>
      <c r="CF1283" t="s">
        <v>2333</v>
      </c>
      <c r="CG1283" t="s">
        <v>177</v>
      </c>
      <c r="CH1283" t="s">
        <v>2334</v>
      </c>
      <c r="CI1283" t="s">
        <v>16615</v>
      </c>
      <c r="CJ1283" t="s">
        <v>14990</v>
      </c>
      <c r="CK1283" t="s">
        <v>232</v>
      </c>
      <c r="CL1283" t="s">
        <v>233</v>
      </c>
      <c r="CM1283" t="s">
        <v>16616</v>
      </c>
      <c r="CN1283" t="s">
        <v>235</v>
      </c>
      <c r="CO1283" t="s">
        <v>183</v>
      </c>
      <c r="CP1283" t="s">
        <v>266</v>
      </c>
      <c r="CS1283" t="s">
        <v>198</v>
      </c>
      <c r="CT1283" t="s">
        <v>1938</v>
      </c>
      <c r="CU1283" t="s">
        <v>292</v>
      </c>
      <c r="CV1283" t="s">
        <v>293</v>
      </c>
      <c r="CW1283" t="s">
        <v>16617</v>
      </c>
      <c r="CX1283" t="s">
        <v>235</v>
      </c>
      <c r="CY1283" t="s">
        <v>183</v>
      </c>
      <c r="CZ1283" t="s">
        <v>211</v>
      </c>
      <c r="DA1283" t="s">
        <v>298</v>
      </c>
      <c r="DC1283" t="s">
        <v>4914</v>
      </c>
      <c r="DD1283" t="s">
        <v>13380</v>
      </c>
      <c r="DE1283" t="s">
        <v>267</v>
      </c>
      <c r="DF1283" t="s">
        <v>268</v>
      </c>
      <c r="DG1283" t="s">
        <v>16618</v>
      </c>
      <c r="DH1283" t="s">
        <v>235</v>
      </c>
      <c r="DI1283" t="s">
        <v>183</v>
      </c>
      <c r="DJ1283" t="s">
        <v>211</v>
      </c>
      <c r="DK1283" t="s">
        <v>298</v>
      </c>
      <c r="DM1283" t="s">
        <v>2096</v>
      </c>
      <c r="DN1283" t="s">
        <v>11183</v>
      </c>
      <c r="DO1283" t="s">
        <v>273</v>
      </c>
      <c r="DP1283" t="s">
        <v>274</v>
      </c>
      <c r="DQ1283" t="s">
        <v>16619</v>
      </c>
      <c r="DR1283" t="s">
        <v>235</v>
      </c>
      <c r="DS1283" t="s">
        <v>183</v>
      </c>
      <c r="DT1283" t="s">
        <v>211</v>
      </c>
      <c r="DU1283" t="s">
        <v>298</v>
      </c>
      <c r="DW1283" t="s">
        <v>871</v>
      </c>
      <c r="DX1283" t="s">
        <v>16620</v>
      </c>
      <c r="DY1283" t="s">
        <v>302</v>
      </c>
      <c r="DZ1283" t="s">
        <v>303</v>
      </c>
      <c r="EA1283" t="s">
        <v>16621</v>
      </c>
      <c r="EB1283" t="s">
        <v>235</v>
      </c>
      <c r="EC1283" t="s">
        <v>183</v>
      </c>
      <c r="ED1283" t="s">
        <v>211</v>
      </c>
      <c r="EE1283" t="s">
        <v>298</v>
      </c>
      <c r="EG1283" t="s">
        <v>2184</v>
      </c>
      <c r="EH1283" t="s">
        <v>16622</v>
      </c>
      <c r="EI1283" t="s">
        <v>238</v>
      </c>
      <c r="EJ1283" t="s">
        <v>239</v>
      </c>
      <c r="EK1283" t="s">
        <v>16623</v>
      </c>
      <c r="EL1283" t="s">
        <v>278</v>
      </c>
      <c r="EM1283" t="s">
        <v>183</v>
      </c>
      <c r="EN1283" t="s">
        <v>211</v>
      </c>
      <c r="EO1283" t="s">
        <v>298</v>
      </c>
      <c r="EQ1283" t="s">
        <v>875</v>
      </c>
      <c r="ER1283" t="s">
        <v>16624</v>
      </c>
      <c r="ES1283" t="s">
        <v>346</v>
      </c>
      <c r="ET1283" t="s">
        <v>347</v>
      </c>
      <c r="EU1283" t="s">
        <v>16625</v>
      </c>
      <c r="EV1283" t="s">
        <v>688</v>
      </c>
      <c r="EW1283" t="s">
        <v>183</v>
      </c>
      <c r="EX1283" t="s">
        <v>211</v>
      </c>
      <c r="EY1283" t="s">
        <v>298</v>
      </c>
      <c r="FA1283" t="s">
        <v>5812</v>
      </c>
      <c r="FB1283" t="s">
        <v>368</v>
      </c>
      <c r="FC1283" t="s">
        <v>207</v>
      </c>
      <c r="FD1283" t="s">
        <v>208</v>
      </c>
      <c r="FE1283" t="s">
        <v>16626</v>
      </c>
      <c r="FF1283" t="s">
        <v>1966</v>
      </c>
      <c r="FG1283" t="s">
        <v>183</v>
      </c>
      <c r="FH1283" t="s">
        <v>211</v>
      </c>
      <c r="FI1283" t="s">
        <v>298</v>
      </c>
      <c r="FK1283" t="s">
        <v>11169</v>
      </c>
      <c r="FU1283" t="s">
        <v>198</v>
      </c>
    </row>
    <row r="1284" spans="1:177">
      <c r="A1284" s="1" t="str">
        <f>HYPERLINK("http://digipan.lumentumllc.com/apps/getLink/index.php?t=PropLink&amp;p=5247941","PL")</f>
        <v>PL</v>
      </c>
      <c r="B1284" s="1" t="str">
        <f>HYPERLINK("http://digipan.lumentumllc.com/apps/getLink/index.php?t=TaxLink&amp;p=5247941","TL")</f>
        <v>TL</v>
      </c>
      <c r="C1284" s="1" t="str">
        <f>HYPERLINK("http://digipan.lumentumllc.com/apps/getMap/index.php?p=5247941","Map")</f>
        <v>Map</v>
      </c>
      <c r="E1284" t="s">
        <v>177</v>
      </c>
      <c r="F1284" t="s">
        <v>178</v>
      </c>
      <c r="L1284" t="s">
        <v>16627</v>
      </c>
      <c r="N1284" t="s">
        <v>16627</v>
      </c>
      <c r="O1284" t="s">
        <v>16627</v>
      </c>
      <c r="P1284" t="s">
        <v>16628</v>
      </c>
      <c r="Q1284" t="s">
        <v>16627</v>
      </c>
      <c r="V1284">
        <v>1463</v>
      </c>
      <c r="W1284">
        <v>5</v>
      </c>
      <c r="X1284">
        <v>2017</v>
      </c>
      <c r="Y1284">
        <v>2018</v>
      </c>
      <c r="Z1284">
        <v>604.82000000000005</v>
      </c>
      <c r="AB1284" t="s">
        <v>181</v>
      </c>
      <c r="AC1284" t="s">
        <v>202</v>
      </c>
      <c r="AD1284" t="s">
        <v>183</v>
      </c>
      <c r="AE1284">
        <v>0</v>
      </c>
      <c r="AF1284">
        <v>5</v>
      </c>
      <c r="AG1284" t="s">
        <v>3266</v>
      </c>
      <c r="AH1284">
        <v>100</v>
      </c>
      <c r="AK1284">
        <v>0</v>
      </c>
      <c r="AL1284">
        <v>34986</v>
      </c>
      <c r="AM1284">
        <v>25000</v>
      </c>
      <c r="AN1284">
        <v>9986</v>
      </c>
      <c r="AO1284">
        <v>499</v>
      </c>
      <c r="AP1284">
        <v>2016</v>
      </c>
      <c r="AQ1284">
        <v>1.73</v>
      </c>
      <c r="AS1284" t="s">
        <v>16629</v>
      </c>
      <c r="AT1284" t="s">
        <v>3210</v>
      </c>
      <c r="AU1284" t="s">
        <v>177</v>
      </c>
      <c r="AV1284" t="s">
        <v>2334</v>
      </c>
      <c r="AW1284" t="s">
        <v>182</v>
      </c>
      <c r="AX1284">
        <v>2</v>
      </c>
      <c r="AY1284" t="s">
        <v>188</v>
      </c>
      <c r="AZ1284" t="s">
        <v>189</v>
      </c>
      <c r="BA1284" t="s">
        <v>190</v>
      </c>
      <c r="BB1284" t="s">
        <v>191</v>
      </c>
      <c r="BC1284" t="s">
        <v>182</v>
      </c>
      <c r="BD1284" t="s">
        <v>182</v>
      </c>
      <c r="BE1284" t="s">
        <v>383</v>
      </c>
      <c r="BF1284">
        <v>1</v>
      </c>
      <c r="BG1284">
        <v>1</v>
      </c>
      <c r="BH1284">
        <v>1986</v>
      </c>
      <c r="BI1284" t="s">
        <v>1202</v>
      </c>
      <c r="BJ1284" t="s">
        <v>194</v>
      </c>
      <c r="BK1284" t="s">
        <v>195</v>
      </c>
      <c r="BL1284" t="s">
        <v>16630</v>
      </c>
      <c r="BM1284" t="s">
        <v>368</v>
      </c>
      <c r="BN1284" t="s">
        <v>182</v>
      </c>
      <c r="BO1284" t="s">
        <v>198</v>
      </c>
      <c r="BP1284" t="s">
        <v>198</v>
      </c>
      <c r="BQ1284" t="s">
        <v>198</v>
      </c>
      <c r="BR1284" t="s">
        <v>198</v>
      </c>
      <c r="BS1284" t="s">
        <v>198</v>
      </c>
      <c r="BT1284" t="s">
        <v>198</v>
      </c>
      <c r="BU1284" t="s">
        <v>182</v>
      </c>
      <c r="BV1284" t="s">
        <v>198</v>
      </c>
      <c r="BW1284" t="s">
        <v>198</v>
      </c>
      <c r="BX1284" t="s">
        <v>199</v>
      </c>
      <c r="BY1284" t="s">
        <v>198</v>
      </c>
      <c r="BZ1284" t="s">
        <v>199</v>
      </c>
      <c r="CA1284" t="s">
        <v>199</v>
      </c>
      <c r="CB1284" t="s">
        <v>16631</v>
      </c>
      <c r="CC1284" t="s">
        <v>201</v>
      </c>
      <c r="CD1284" t="s">
        <v>202</v>
      </c>
      <c r="CE1284" t="s">
        <v>16632</v>
      </c>
      <c r="CF1284" t="s">
        <v>2333</v>
      </c>
      <c r="CG1284" t="s">
        <v>177</v>
      </c>
      <c r="CH1284" t="s">
        <v>3178</v>
      </c>
      <c r="CI1284" t="s">
        <v>16633</v>
      </c>
      <c r="CJ1284" t="s">
        <v>12340</v>
      </c>
      <c r="CK1284" t="s">
        <v>232</v>
      </c>
      <c r="CL1284" t="s">
        <v>233</v>
      </c>
      <c r="CM1284" t="s">
        <v>16634</v>
      </c>
      <c r="CN1284" t="s">
        <v>235</v>
      </c>
      <c r="CO1284" t="s">
        <v>183</v>
      </c>
      <c r="CP1284" t="s">
        <v>211</v>
      </c>
      <c r="CQ1284" t="s">
        <v>329</v>
      </c>
      <c r="CS1284" t="s">
        <v>16635</v>
      </c>
      <c r="CT1284" t="s">
        <v>13605</v>
      </c>
      <c r="CU1284" t="s">
        <v>267</v>
      </c>
      <c r="CV1284" t="s">
        <v>268</v>
      </c>
      <c r="CW1284" t="s">
        <v>16636</v>
      </c>
      <c r="CX1284" t="s">
        <v>235</v>
      </c>
      <c r="CY1284" t="s">
        <v>183</v>
      </c>
      <c r="CZ1284" t="s">
        <v>211</v>
      </c>
      <c r="DA1284" t="s">
        <v>250</v>
      </c>
      <c r="DB1284" t="s">
        <v>271</v>
      </c>
      <c r="DC1284" t="s">
        <v>14197</v>
      </c>
      <c r="DD1284" t="s">
        <v>10283</v>
      </c>
      <c r="DE1284" t="s">
        <v>273</v>
      </c>
      <c r="DF1284" t="s">
        <v>274</v>
      </c>
      <c r="DG1284" t="s">
        <v>16637</v>
      </c>
      <c r="DH1284" t="s">
        <v>514</v>
      </c>
      <c r="DI1284" t="s">
        <v>183</v>
      </c>
      <c r="DJ1284" t="s">
        <v>211</v>
      </c>
      <c r="DL1284" t="s">
        <v>271</v>
      </c>
      <c r="DM1284" t="s">
        <v>198</v>
      </c>
      <c r="DN1284" t="s">
        <v>16638</v>
      </c>
      <c r="DO1284" t="s">
        <v>302</v>
      </c>
      <c r="DP1284" t="s">
        <v>303</v>
      </c>
      <c r="DQ1284" t="s">
        <v>16639</v>
      </c>
      <c r="DR1284" t="s">
        <v>235</v>
      </c>
      <c r="DS1284" t="s">
        <v>183</v>
      </c>
      <c r="DT1284" t="s">
        <v>211</v>
      </c>
      <c r="DV1284" t="s">
        <v>271</v>
      </c>
      <c r="DW1284" t="s">
        <v>198</v>
      </c>
      <c r="DX1284" t="s">
        <v>16640</v>
      </c>
      <c r="DY1284" t="s">
        <v>346</v>
      </c>
      <c r="DZ1284" t="s">
        <v>347</v>
      </c>
      <c r="EA1284" t="s">
        <v>16641</v>
      </c>
      <c r="EB1284" t="s">
        <v>1491</v>
      </c>
      <c r="EC1284" t="s">
        <v>183</v>
      </c>
      <c r="ED1284" t="s">
        <v>211</v>
      </c>
      <c r="EE1284" t="s">
        <v>345</v>
      </c>
      <c r="EG1284" t="s">
        <v>3391</v>
      </c>
      <c r="EQ1284" t="s">
        <v>198</v>
      </c>
      <c r="FA1284" t="s">
        <v>198</v>
      </c>
      <c r="FK1284" t="s">
        <v>198</v>
      </c>
      <c r="FU1284" t="s">
        <v>198</v>
      </c>
    </row>
    <row r="1285" spans="1:177">
      <c r="A1285" s="1" t="str">
        <f>HYPERLINK("http://digipan.lumentumllc.com/apps/getLink/index.php?t=PropLink&amp;p=5247942","PL")</f>
        <v>PL</v>
      </c>
      <c r="B1285" s="1" t="str">
        <f>HYPERLINK("http://digipan.lumentumllc.com/apps/getLink/index.php?t=TaxLink&amp;p=5247942","TL")</f>
        <v>TL</v>
      </c>
      <c r="C1285" s="1" t="str">
        <f>HYPERLINK("http://digipan.lumentumllc.com/apps/getMap/index.php?p=5247942","Map")</f>
        <v>Map</v>
      </c>
      <c r="E1285" t="s">
        <v>177</v>
      </c>
      <c r="F1285" t="s">
        <v>178</v>
      </c>
      <c r="L1285" t="s">
        <v>16642</v>
      </c>
      <c r="N1285" t="s">
        <v>16642</v>
      </c>
      <c r="O1285" t="s">
        <v>16642</v>
      </c>
      <c r="P1285" t="s">
        <v>16643</v>
      </c>
      <c r="Q1285" t="s">
        <v>16642</v>
      </c>
      <c r="V1285">
        <v>1464</v>
      </c>
      <c r="W1285">
        <v>5</v>
      </c>
      <c r="X1285">
        <v>2017</v>
      </c>
      <c r="Y1285">
        <v>2018</v>
      </c>
      <c r="Z1285">
        <v>844.26</v>
      </c>
      <c r="AB1285" t="s">
        <v>181</v>
      </c>
      <c r="AC1285" t="s">
        <v>182</v>
      </c>
      <c r="AD1285" t="s">
        <v>183</v>
      </c>
      <c r="AE1285">
        <v>0</v>
      </c>
      <c r="AF1285">
        <v>2</v>
      </c>
      <c r="AG1285" t="s">
        <v>216</v>
      </c>
      <c r="AH1285">
        <v>100</v>
      </c>
      <c r="AK1285">
        <v>0</v>
      </c>
      <c r="AL1285">
        <v>118065</v>
      </c>
      <c r="AM1285">
        <v>28000</v>
      </c>
      <c r="AN1285">
        <v>90065</v>
      </c>
      <c r="AO1285">
        <v>736</v>
      </c>
      <c r="AP1285">
        <v>2016</v>
      </c>
      <c r="AQ1285">
        <v>0.72</v>
      </c>
      <c r="AS1285" t="s">
        <v>16644</v>
      </c>
      <c r="AT1285" t="s">
        <v>3210</v>
      </c>
      <c r="AU1285" t="s">
        <v>177</v>
      </c>
      <c r="AV1285" t="s">
        <v>2334</v>
      </c>
      <c r="AW1285" t="s">
        <v>202</v>
      </c>
      <c r="AX1285">
        <v>1</v>
      </c>
      <c r="AY1285" t="s">
        <v>188</v>
      </c>
      <c r="AZ1285" t="s">
        <v>206</v>
      </c>
      <c r="BA1285" t="s">
        <v>355</v>
      </c>
      <c r="BB1285" t="s">
        <v>191</v>
      </c>
      <c r="BC1285" t="s">
        <v>182</v>
      </c>
      <c r="BD1285" t="s">
        <v>182</v>
      </c>
      <c r="BE1285" t="s">
        <v>1385</v>
      </c>
      <c r="BF1285">
        <v>1</v>
      </c>
      <c r="BG1285">
        <v>1</v>
      </c>
      <c r="BH1285">
        <v>1981</v>
      </c>
      <c r="BI1285" t="s">
        <v>16645</v>
      </c>
      <c r="BJ1285" t="s">
        <v>194</v>
      </c>
      <c r="BK1285" t="s">
        <v>195</v>
      </c>
      <c r="BL1285" t="s">
        <v>199</v>
      </c>
      <c r="BM1285" t="s">
        <v>325</v>
      </c>
      <c r="BN1285" t="s">
        <v>182</v>
      </c>
      <c r="BO1285" t="s">
        <v>3842</v>
      </c>
      <c r="BP1285" t="s">
        <v>16646</v>
      </c>
      <c r="BS1285" t="s">
        <v>16647</v>
      </c>
      <c r="BT1285" t="s">
        <v>198</v>
      </c>
      <c r="BU1285" t="s">
        <v>182</v>
      </c>
      <c r="BV1285" t="s">
        <v>198</v>
      </c>
      <c r="BW1285" t="s">
        <v>198</v>
      </c>
      <c r="BX1285" t="s">
        <v>199</v>
      </c>
      <c r="BY1285" t="s">
        <v>198</v>
      </c>
      <c r="BZ1285" t="s">
        <v>199</v>
      </c>
      <c r="CA1285" t="s">
        <v>199</v>
      </c>
      <c r="CB1285" t="s">
        <v>16648</v>
      </c>
      <c r="CC1285" t="s">
        <v>201</v>
      </c>
      <c r="CD1285" t="s">
        <v>202</v>
      </c>
      <c r="CE1285" t="s">
        <v>16649</v>
      </c>
      <c r="CF1285" t="s">
        <v>2333</v>
      </c>
      <c r="CG1285" t="s">
        <v>177</v>
      </c>
      <c r="CH1285" t="s">
        <v>2334</v>
      </c>
      <c r="CI1285" t="s">
        <v>629</v>
      </c>
      <c r="CJ1285" t="s">
        <v>1962</v>
      </c>
      <c r="CK1285" t="s">
        <v>292</v>
      </c>
      <c r="CL1285" t="s">
        <v>293</v>
      </c>
      <c r="CM1285" t="s">
        <v>16650</v>
      </c>
      <c r="CN1285" t="s">
        <v>235</v>
      </c>
      <c r="CO1285" t="s">
        <v>183</v>
      </c>
      <c r="CP1285" t="s">
        <v>211</v>
      </c>
      <c r="CQ1285" t="s">
        <v>270</v>
      </c>
      <c r="CS1285" t="s">
        <v>15584</v>
      </c>
      <c r="CT1285" t="s">
        <v>16651</v>
      </c>
      <c r="CU1285" t="s">
        <v>346</v>
      </c>
      <c r="CV1285" t="s">
        <v>347</v>
      </c>
      <c r="CW1285" t="s">
        <v>16652</v>
      </c>
      <c r="CX1285" t="s">
        <v>235</v>
      </c>
      <c r="CY1285" t="s">
        <v>183</v>
      </c>
      <c r="CZ1285" t="s">
        <v>211</v>
      </c>
      <c r="DA1285" t="s">
        <v>296</v>
      </c>
      <c r="DC1285" t="s">
        <v>16653</v>
      </c>
      <c r="DM1285" t="s">
        <v>198</v>
      </c>
      <c r="DW1285" t="s">
        <v>198</v>
      </c>
      <c r="EG1285" t="s">
        <v>198</v>
      </c>
      <c r="EQ1285" t="s">
        <v>198</v>
      </c>
      <c r="FA1285" t="s">
        <v>198</v>
      </c>
      <c r="FK1285" t="s">
        <v>198</v>
      </c>
      <c r="FU1285" t="s">
        <v>198</v>
      </c>
    </row>
    <row r="1286" spans="1:177">
      <c r="A1286" s="1" t="str">
        <f>HYPERLINK("http://digipan.lumentumllc.com/apps/getLink/index.php?t=PropLink&amp;p=15759404","PL")</f>
        <v>PL</v>
      </c>
      <c r="B1286" s="1" t="str">
        <f>HYPERLINK("http://digipan.lumentumllc.com/apps/getLink/index.php?t=TaxLink&amp;p=15759404","TL")</f>
        <v>TL</v>
      </c>
      <c r="C1286" s="1" t="str">
        <f>HYPERLINK("http://digipan.lumentumllc.com/apps/getMap/index.php?p=15759404","Map")</f>
        <v>Map</v>
      </c>
      <c r="E1286" t="s">
        <v>177</v>
      </c>
      <c r="F1286" t="s">
        <v>178</v>
      </c>
      <c r="L1286" t="s">
        <v>16654</v>
      </c>
      <c r="N1286" t="s">
        <v>16654</v>
      </c>
      <c r="O1286" t="s">
        <v>16654</v>
      </c>
      <c r="Q1286" t="s">
        <v>16654</v>
      </c>
      <c r="V1286">
        <v>1467</v>
      </c>
      <c r="W1286">
        <v>5</v>
      </c>
      <c r="X1286">
        <v>2017</v>
      </c>
      <c r="Y1286">
        <v>2018</v>
      </c>
      <c r="Z1286">
        <v>960.88</v>
      </c>
      <c r="AG1286" t="s">
        <v>184</v>
      </c>
      <c r="AH1286">
        <v>0</v>
      </c>
      <c r="AK1286">
        <v>0</v>
      </c>
      <c r="AL1286">
        <v>57195</v>
      </c>
      <c r="AM1286">
        <v>25270</v>
      </c>
      <c r="AN1286">
        <v>31925</v>
      </c>
      <c r="AO1286">
        <v>344</v>
      </c>
      <c r="AP1286">
        <v>2016</v>
      </c>
      <c r="AQ1286">
        <v>1.68</v>
      </c>
      <c r="AS1286" t="s">
        <v>16655</v>
      </c>
      <c r="AT1286" t="s">
        <v>3210</v>
      </c>
      <c r="AU1286" t="s">
        <v>177</v>
      </c>
      <c r="AV1286" t="s">
        <v>2334</v>
      </c>
      <c r="AW1286" t="s">
        <v>182</v>
      </c>
      <c r="AX1286">
        <v>1</v>
      </c>
      <c r="AY1286" t="s">
        <v>188</v>
      </c>
      <c r="AZ1286" t="s">
        <v>206</v>
      </c>
      <c r="BA1286" t="s">
        <v>355</v>
      </c>
      <c r="BB1286" t="s">
        <v>191</v>
      </c>
      <c r="BC1286" t="s">
        <v>182</v>
      </c>
      <c r="BD1286" t="s">
        <v>182</v>
      </c>
      <c r="BE1286" t="s">
        <v>16656</v>
      </c>
      <c r="BF1286">
        <v>1</v>
      </c>
      <c r="BG1286">
        <v>1</v>
      </c>
      <c r="BH1286">
        <v>1955</v>
      </c>
      <c r="BI1286" t="s">
        <v>2762</v>
      </c>
      <c r="BJ1286" t="s">
        <v>285</v>
      </c>
      <c r="BK1286" t="s">
        <v>195</v>
      </c>
      <c r="BL1286" t="s">
        <v>199</v>
      </c>
      <c r="BM1286" t="s">
        <v>2582</v>
      </c>
      <c r="BN1286" t="s">
        <v>182</v>
      </c>
      <c r="BO1286" t="s">
        <v>198</v>
      </c>
      <c r="BP1286" t="s">
        <v>198</v>
      </c>
      <c r="BQ1286" t="s">
        <v>198</v>
      </c>
      <c r="BR1286" t="s">
        <v>198</v>
      </c>
      <c r="BS1286" t="s">
        <v>198</v>
      </c>
      <c r="BT1286" t="s">
        <v>198</v>
      </c>
      <c r="BU1286" t="s">
        <v>182</v>
      </c>
      <c r="BV1286" t="s">
        <v>198</v>
      </c>
      <c r="BW1286" t="s">
        <v>198</v>
      </c>
      <c r="BX1286" t="s">
        <v>199</v>
      </c>
      <c r="BY1286" t="s">
        <v>198</v>
      </c>
      <c r="BZ1286" t="s">
        <v>199</v>
      </c>
      <c r="CA1286" t="s">
        <v>199</v>
      </c>
      <c r="CB1286" t="s">
        <v>16657</v>
      </c>
      <c r="CC1286" t="s">
        <v>201</v>
      </c>
      <c r="CD1286" t="s">
        <v>182</v>
      </c>
      <c r="CE1286" t="s">
        <v>16658</v>
      </c>
      <c r="CF1286" t="s">
        <v>16659</v>
      </c>
      <c r="CG1286" t="s">
        <v>5450</v>
      </c>
      <c r="CH1286" t="s">
        <v>16660</v>
      </c>
      <c r="CI1286" t="s">
        <v>16661</v>
      </c>
      <c r="CS1286" t="s">
        <v>198</v>
      </c>
      <c r="DC1286" t="s">
        <v>198</v>
      </c>
      <c r="DM1286" t="s">
        <v>198</v>
      </c>
      <c r="DW1286" t="s">
        <v>198</v>
      </c>
      <c r="EG1286" t="s">
        <v>198</v>
      </c>
      <c r="EQ1286" t="s">
        <v>198</v>
      </c>
      <c r="FA1286" t="s">
        <v>198</v>
      </c>
      <c r="FK1286" t="s">
        <v>198</v>
      </c>
      <c r="FU1286" t="s">
        <v>198</v>
      </c>
    </row>
    <row r="1287" spans="1:177">
      <c r="A1287" s="1" t="str">
        <f>HYPERLINK("http://digipan.lumentumllc.com/apps/getLink/index.php?t=PropLink&amp;p=15759414","PL")</f>
        <v>PL</v>
      </c>
      <c r="B1287" s="1" t="str">
        <f>HYPERLINK("http://digipan.lumentumllc.com/apps/getLink/index.php?t=TaxLink&amp;p=15759414","TL")</f>
        <v>TL</v>
      </c>
      <c r="C1287" s="1" t="str">
        <f>HYPERLINK("http://digipan.lumentumllc.com/apps/getMap/index.php?p=15759414","Map")</f>
        <v>Map</v>
      </c>
      <c r="E1287" t="s">
        <v>177</v>
      </c>
      <c r="F1287" t="s">
        <v>178</v>
      </c>
      <c r="L1287" t="s">
        <v>16662</v>
      </c>
      <c r="N1287" t="s">
        <v>16662</v>
      </c>
      <c r="O1287" t="s">
        <v>16662</v>
      </c>
      <c r="Q1287" t="s">
        <v>16662</v>
      </c>
      <c r="V1287">
        <v>1468</v>
      </c>
      <c r="W1287">
        <v>5</v>
      </c>
      <c r="X1287">
        <v>2017</v>
      </c>
      <c r="Y1287">
        <v>2018</v>
      </c>
      <c r="Z1287">
        <v>746.62</v>
      </c>
      <c r="AB1287" t="s">
        <v>181</v>
      </c>
      <c r="AC1287" t="s">
        <v>182</v>
      </c>
      <c r="AD1287" t="s">
        <v>183</v>
      </c>
      <c r="AE1287">
        <v>0</v>
      </c>
      <c r="AF1287">
        <v>1</v>
      </c>
      <c r="AG1287" t="s">
        <v>821</v>
      </c>
      <c r="AH1287">
        <v>100</v>
      </c>
      <c r="AK1287">
        <v>0</v>
      </c>
      <c r="AL1287">
        <v>120128</v>
      </c>
      <c r="AM1287">
        <v>29531</v>
      </c>
      <c r="AN1287">
        <v>90597</v>
      </c>
      <c r="AO1287">
        <v>646</v>
      </c>
      <c r="AP1287">
        <v>2016</v>
      </c>
      <c r="AQ1287">
        <v>0.62</v>
      </c>
      <c r="AS1287" t="s">
        <v>16663</v>
      </c>
      <c r="AT1287" t="s">
        <v>3210</v>
      </c>
      <c r="AU1287" t="s">
        <v>177</v>
      </c>
      <c r="AV1287" t="s">
        <v>2334</v>
      </c>
      <c r="AW1287" t="s">
        <v>202</v>
      </c>
      <c r="AX1287">
        <v>1</v>
      </c>
      <c r="AY1287" t="s">
        <v>188</v>
      </c>
      <c r="AZ1287" t="s">
        <v>206</v>
      </c>
      <c r="BA1287" t="s">
        <v>355</v>
      </c>
      <c r="BB1287" t="s">
        <v>191</v>
      </c>
      <c r="BC1287" t="s">
        <v>182</v>
      </c>
      <c r="BD1287" t="s">
        <v>182</v>
      </c>
      <c r="BE1287" t="s">
        <v>16664</v>
      </c>
      <c r="BF1287">
        <v>2</v>
      </c>
      <c r="BG1287">
        <v>1</v>
      </c>
      <c r="BH1287">
        <v>1960</v>
      </c>
      <c r="BI1287" t="s">
        <v>16665</v>
      </c>
      <c r="BJ1287" t="s">
        <v>194</v>
      </c>
      <c r="BK1287" t="s">
        <v>195</v>
      </c>
      <c r="BL1287" t="s">
        <v>199</v>
      </c>
      <c r="BM1287" t="s">
        <v>267</v>
      </c>
      <c r="BN1287" t="s">
        <v>182</v>
      </c>
      <c r="BO1287" t="s">
        <v>198</v>
      </c>
      <c r="BP1287" t="s">
        <v>198</v>
      </c>
      <c r="BQ1287" t="s">
        <v>198</v>
      </c>
      <c r="BR1287" t="s">
        <v>198</v>
      </c>
      <c r="BS1287" t="s">
        <v>198</v>
      </c>
      <c r="BT1287" t="s">
        <v>198</v>
      </c>
      <c r="BU1287" t="s">
        <v>182</v>
      </c>
      <c r="BV1287" t="s">
        <v>198</v>
      </c>
      <c r="BW1287" t="s">
        <v>198</v>
      </c>
      <c r="BX1287" t="s">
        <v>199</v>
      </c>
      <c r="BY1287" t="s">
        <v>198</v>
      </c>
      <c r="BZ1287" t="s">
        <v>199</v>
      </c>
      <c r="CA1287" t="s">
        <v>199</v>
      </c>
      <c r="CB1287" t="s">
        <v>16666</v>
      </c>
      <c r="CC1287" t="s">
        <v>201</v>
      </c>
      <c r="CD1287" t="s">
        <v>202</v>
      </c>
      <c r="CE1287" t="s">
        <v>16667</v>
      </c>
      <c r="CF1287" t="s">
        <v>2333</v>
      </c>
      <c r="CG1287" t="s">
        <v>177</v>
      </c>
      <c r="CH1287" t="s">
        <v>2334</v>
      </c>
      <c r="CI1287" t="s">
        <v>16668</v>
      </c>
      <c r="CJ1287" t="s">
        <v>15122</v>
      </c>
      <c r="CK1287" t="s">
        <v>232</v>
      </c>
      <c r="CL1287" t="s">
        <v>233</v>
      </c>
      <c r="CM1287" t="s">
        <v>16669</v>
      </c>
      <c r="CN1287" t="s">
        <v>235</v>
      </c>
      <c r="CO1287" t="s">
        <v>183</v>
      </c>
      <c r="CP1287" t="s">
        <v>211</v>
      </c>
      <c r="CQ1287" t="s">
        <v>339</v>
      </c>
      <c r="CS1287" t="s">
        <v>16670</v>
      </c>
      <c r="DC1287" t="s">
        <v>198</v>
      </c>
      <c r="DM1287" t="s">
        <v>198</v>
      </c>
      <c r="DW1287" t="s">
        <v>198</v>
      </c>
      <c r="EG1287" t="s">
        <v>198</v>
      </c>
      <c r="EQ1287" t="s">
        <v>198</v>
      </c>
      <c r="FA1287" t="s">
        <v>198</v>
      </c>
      <c r="FK1287" t="s">
        <v>198</v>
      </c>
      <c r="FU1287" t="s">
        <v>198</v>
      </c>
    </row>
    <row r="1288" spans="1:177">
      <c r="A1288" s="1" t="str">
        <f>HYPERLINK("http://digipan.lumentumllc.com/apps/getLink/index.php?t=PropLink&amp;p=15759415","PL")</f>
        <v>PL</v>
      </c>
      <c r="B1288" s="1" t="str">
        <f>HYPERLINK("http://digipan.lumentumllc.com/apps/getLink/index.php?t=TaxLink&amp;p=15759415","TL")</f>
        <v>TL</v>
      </c>
      <c r="C1288" s="1" t="str">
        <f>HYPERLINK("http://digipan.lumentumllc.com/apps/getMap/index.php?p=15759415","Map")</f>
        <v>Map</v>
      </c>
      <c r="E1288" t="s">
        <v>177</v>
      </c>
      <c r="F1288" t="s">
        <v>178</v>
      </c>
      <c r="L1288" t="s">
        <v>16671</v>
      </c>
      <c r="N1288" t="s">
        <v>16671</v>
      </c>
      <c r="O1288" t="s">
        <v>16671</v>
      </c>
      <c r="Q1288" t="s">
        <v>16671</v>
      </c>
      <c r="V1288">
        <v>1469</v>
      </c>
      <c r="W1288">
        <v>5</v>
      </c>
      <c r="X1288">
        <v>2017</v>
      </c>
      <c r="Y1288">
        <v>2018</v>
      </c>
      <c r="Z1288">
        <v>800.53</v>
      </c>
      <c r="AG1288" t="s">
        <v>184</v>
      </c>
      <c r="AH1288">
        <v>0</v>
      </c>
      <c r="AK1288">
        <v>0</v>
      </c>
      <c r="AL1288">
        <v>92439</v>
      </c>
      <c r="AM1288">
        <v>19012</v>
      </c>
      <c r="AN1288">
        <v>73427</v>
      </c>
      <c r="AO1288">
        <v>696</v>
      </c>
      <c r="AP1288">
        <v>2016</v>
      </c>
      <c r="AQ1288">
        <v>0.87</v>
      </c>
      <c r="AS1288" t="s">
        <v>16672</v>
      </c>
      <c r="AT1288" t="s">
        <v>3210</v>
      </c>
      <c r="AU1288" t="s">
        <v>177</v>
      </c>
      <c r="AV1288" t="s">
        <v>2334</v>
      </c>
      <c r="AW1288" t="s">
        <v>202</v>
      </c>
      <c r="AX1288">
        <v>1</v>
      </c>
      <c r="AY1288" t="s">
        <v>188</v>
      </c>
      <c r="AZ1288" t="s">
        <v>206</v>
      </c>
      <c r="BA1288" t="s">
        <v>355</v>
      </c>
      <c r="BB1288" t="s">
        <v>191</v>
      </c>
      <c r="BC1288" t="s">
        <v>182</v>
      </c>
      <c r="BD1288" t="s">
        <v>182</v>
      </c>
      <c r="BE1288" t="s">
        <v>3897</v>
      </c>
      <c r="BF1288">
        <v>1</v>
      </c>
      <c r="BG1288">
        <v>1</v>
      </c>
      <c r="BH1288">
        <v>1960</v>
      </c>
      <c r="BI1288" t="s">
        <v>12110</v>
      </c>
      <c r="BJ1288" t="s">
        <v>285</v>
      </c>
      <c r="BK1288" t="s">
        <v>195</v>
      </c>
      <c r="BL1288" t="s">
        <v>764</v>
      </c>
      <c r="BM1288" t="s">
        <v>292</v>
      </c>
      <c r="BN1288" t="s">
        <v>182</v>
      </c>
      <c r="BO1288" t="s">
        <v>16673</v>
      </c>
      <c r="BP1288" t="s">
        <v>9362</v>
      </c>
      <c r="BQ1288" t="s">
        <v>226</v>
      </c>
      <c r="BR1288" t="s">
        <v>227</v>
      </c>
      <c r="BS1288" t="s">
        <v>198</v>
      </c>
      <c r="BT1288" t="s">
        <v>228</v>
      </c>
      <c r="BU1288" t="s">
        <v>182</v>
      </c>
      <c r="BV1288" t="s">
        <v>198</v>
      </c>
      <c r="BW1288" t="s">
        <v>198</v>
      </c>
      <c r="BX1288" t="s">
        <v>199</v>
      </c>
      <c r="BY1288" t="s">
        <v>198</v>
      </c>
      <c r="BZ1288" t="s">
        <v>199</v>
      </c>
      <c r="CA1288" t="s">
        <v>199</v>
      </c>
      <c r="CB1288" t="s">
        <v>16674</v>
      </c>
      <c r="CC1288" t="s">
        <v>201</v>
      </c>
      <c r="CD1288" t="s">
        <v>182</v>
      </c>
      <c r="CE1288" t="s">
        <v>16675</v>
      </c>
      <c r="CF1288" t="s">
        <v>2333</v>
      </c>
      <c r="CG1288" t="s">
        <v>177</v>
      </c>
      <c r="CH1288" t="s">
        <v>2334</v>
      </c>
      <c r="CI1288" t="s">
        <v>9394</v>
      </c>
      <c r="CS1288" t="s">
        <v>198</v>
      </c>
      <c r="DC1288" t="s">
        <v>198</v>
      </c>
      <c r="DM1288" t="s">
        <v>198</v>
      </c>
      <c r="DW1288" t="s">
        <v>198</v>
      </c>
      <c r="EG1288" t="s">
        <v>198</v>
      </c>
      <c r="EQ1288" t="s">
        <v>198</v>
      </c>
      <c r="FA1288" t="s">
        <v>198</v>
      </c>
      <c r="FK1288" t="s">
        <v>198</v>
      </c>
      <c r="FU1288" t="s">
        <v>198</v>
      </c>
    </row>
    <row r="1289" spans="1:177">
      <c r="A1289" s="1" t="str">
        <f>HYPERLINK("http://digipan.lumentumllc.com/apps/getLink/index.php?t=PropLink&amp;p=5247947","PL")</f>
        <v>PL</v>
      </c>
      <c r="B1289" s="1" t="str">
        <f>HYPERLINK("http://digipan.lumentumllc.com/apps/getLink/index.php?t=TaxLink&amp;p=5247947","TL")</f>
        <v>TL</v>
      </c>
      <c r="C1289" s="1" t="str">
        <f>HYPERLINK("http://digipan.lumentumllc.com/apps/getMap/index.php?p=5247947","Map")</f>
        <v>Map</v>
      </c>
      <c r="E1289" t="s">
        <v>177</v>
      </c>
      <c r="F1289" t="s">
        <v>178</v>
      </c>
      <c r="L1289" t="s">
        <v>16676</v>
      </c>
      <c r="N1289" t="s">
        <v>16676</v>
      </c>
      <c r="O1289" t="s">
        <v>16676</v>
      </c>
      <c r="P1289" t="s">
        <v>16677</v>
      </c>
      <c r="Q1289" t="s">
        <v>16676</v>
      </c>
      <c r="V1289">
        <v>1470</v>
      </c>
      <c r="W1289">
        <v>5</v>
      </c>
      <c r="X1289">
        <v>2017</v>
      </c>
      <c r="Y1289">
        <v>2018</v>
      </c>
      <c r="Z1289">
        <v>1442.03</v>
      </c>
      <c r="AB1289" t="s">
        <v>181</v>
      </c>
      <c r="AC1289" t="s">
        <v>182</v>
      </c>
      <c r="AD1289" t="s">
        <v>183</v>
      </c>
      <c r="AE1289">
        <v>1</v>
      </c>
      <c r="AF1289">
        <v>3</v>
      </c>
      <c r="AG1289" t="s">
        <v>257</v>
      </c>
      <c r="AH1289">
        <v>75</v>
      </c>
      <c r="AI1289">
        <v>1353.05</v>
      </c>
      <c r="AJ1289">
        <v>67.650000000000006</v>
      </c>
      <c r="AK1289">
        <v>1420.7</v>
      </c>
      <c r="AL1289">
        <v>86122</v>
      </c>
      <c r="AM1289">
        <v>15093</v>
      </c>
      <c r="AN1289">
        <v>71029</v>
      </c>
      <c r="AO1289">
        <v>1226</v>
      </c>
      <c r="AP1289">
        <v>2016</v>
      </c>
      <c r="AQ1289">
        <v>1.67</v>
      </c>
      <c r="AR1289">
        <v>1.65</v>
      </c>
      <c r="AS1289" t="s">
        <v>16678</v>
      </c>
      <c r="AT1289" t="s">
        <v>3210</v>
      </c>
      <c r="AU1289" t="s">
        <v>177</v>
      </c>
      <c r="AV1289" t="s">
        <v>2334</v>
      </c>
      <c r="AW1289" t="s">
        <v>182</v>
      </c>
      <c r="AX1289">
        <v>1</v>
      </c>
      <c r="AY1289" t="s">
        <v>188</v>
      </c>
      <c r="AZ1289" t="s">
        <v>206</v>
      </c>
      <c r="BA1289" t="s">
        <v>355</v>
      </c>
      <c r="BB1289" t="s">
        <v>191</v>
      </c>
      <c r="BC1289" t="s">
        <v>182</v>
      </c>
      <c r="BD1289" t="s">
        <v>182</v>
      </c>
      <c r="BE1289" t="s">
        <v>3956</v>
      </c>
      <c r="BF1289">
        <v>1</v>
      </c>
      <c r="BG1289">
        <v>1</v>
      </c>
      <c r="BH1289">
        <v>1943</v>
      </c>
      <c r="BI1289" t="s">
        <v>15260</v>
      </c>
      <c r="BJ1289" t="s">
        <v>194</v>
      </c>
      <c r="BK1289" t="s">
        <v>195</v>
      </c>
      <c r="BL1289" t="s">
        <v>196</v>
      </c>
      <c r="BM1289" t="s">
        <v>273</v>
      </c>
      <c r="BN1289" t="s">
        <v>182</v>
      </c>
      <c r="BO1289" t="s">
        <v>16679</v>
      </c>
      <c r="BP1289" t="s">
        <v>580</v>
      </c>
      <c r="BQ1289" t="s">
        <v>800</v>
      </c>
      <c r="BR1289" t="s">
        <v>1897</v>
      </c>
      <c r="BS1289" t="s">
        <v>198</v>
      </c>
      <c r="BT1289" t="s">
        <v>16680</v>
      </c>
      <c r="BU1289" t="s">
        <v>182</v>
      </c>
      <c r="BV1289" t="s">
        <v>198</v>
      </c>
      <c r="BW1289" t="s">
        <v>198</v>
      </c>
      <c r="BX1289" t="s">
        <v>199</v>
      </c>
      <c r="BY1289" t="s">
        <v>198</v>
      </c>
      <c r="BZ1289" t="s">
        <v>199</v>
      </c>
      <c r="CA1289" t="s">
        <v>199</v>
      </c>
      <c r="CB1289" t="s">
        <v>16681</v>
      </c>
      <c r="CC1289" t="s">
        <v>201</v>
      </c>
      <c r="CD1289" t="s">
        <v>182</v>
      </c>
      <c r="CE1289" t="s">
        <v>16682</v>
      </c>
      <c r="CF1289" t="s">
        <v>2333</v>
      </c>
      <c r="CG1289" t="s">
        <v>177</v>
      </c>
      <c r="CH1289" t="s">
        <v>2334</v>
      </c>
      <c r="CI1289" t="s">
        <v>9394</v>
      </c>
      <c r="CJ1289" t="s">
        <v>15025</v>
      </c>
      <c r="CK1289" t="s">
        <v>232</v>
      </c>
      <c r="CL1289" t="s">
        <v>233</v>
      </c>
      <c r="CM1289" t="s">
        <v>16683</v>
      </c>
      <c r="CN1289" t="s">
        <v>235</v>
      </c>
      <c r="CO1289" t="s">
        <v>183</v>
      </c>
      <c r="CP1289" t="s">
        <v>266</v>
      </c>
      <c r="CS1289" t="s">
        <v>198</v>
      </c>
      <c r="CT1289" t="s">
        <v>13093</v>
      </c>
      <c r="CU1289" t="s">
        <v>292</v>
      </c>
      <c r="CV1289" t="s">
        <v>293</v>
      </c>
      <c r="CW1289" t="s">
        <v>16684</v>
      </c>
      <c r="CX1289" t="s">
        <v>235</v>
      </c>
      <c r="CY1289" t="s">
        <v>183</v>
      </c>
      <c r="CZ1289" t="s">
        <v>211</v>
      </c>
      <c r="DA1289" t="s">
        <v>290</v>
      </c>
      <c r="DC1289" t="s">
        <v>16685</v>
      </c>
      <c r="DD1289" t="s">
        <v>4694</v>
      </c>
      <c r="DE1289" t="s">
        <v>267</v>
      </c>
      <c r="DF1289" t="s">
        <v>268</v>
      </c>
      <c r="DG1289" t="s">
        <v>16686</v>
      </c>
      <c r="DH1289" t="s">
        <v>235</v>
      </c>
      <c r="DI1289" t="s">
        <v>183</v>
      </c>
      <c r="DJ1289" t="s">
        <v>211</v>
      </c>
      <c r="DK1289" t="s">
        <v>523</v>
      </c>
      <c r="DM1289" t="s">
        <v>16685</v>
      </c>
      <c r="DN1289" t="s">
        <v>10095</v>
      </c>
      <c r="DO1289" t="s">
        <v>346</v>
      </c>
      <c r="DP1289" t="s">
        <v>347</v>
      </c>
      <c r="DQ1289" t="s">
        <v>16687</v>
      </c>
      <c r="DR1289" t="s">
        <v>235</v>
      </c>
      <c r="DS1289" t="s">
        <v>183</v>
      </c>
      <c r="DT1289" t="s">
        <v>211</v>
      </c>
      <c r="DU1289" t="s">
        <v>206</v>
      </c>
      <c r="DW1289" t="s">
        <v>8818</v>
      </c>
      <c r="EG1289" t="s">
        <v>198</v>
      </c>
      <c r="EQ1289" t="s">
        <v>198</v>
      </c>
      <c r="FA1289" t="s">
        <v>198</v>
      </c>
      <c r="FK1289" t="s">
        <v>198</v>
      </c>
      <c r="FU1289" t="s">
        <v>198</v>
      </c>
    </row>
    <row r="1290" spans="1:177">
      <c r="A1290" s="1" t="str">
        <f>HYPERLINK("http://digipan.lumentumllc.com/apps/getLink/index.php?t=PropLink&amp;p=7112577","PL")</f>
        <v>PL</v>
      </c>
      <c r="B1290" s="1" t="str">
        <f>HYPERLINK("http://digipan.lumentumllc.com/apps/getLink/index.php?t=TaxLink&amp;p=7112577","TL")</f>
        <v>TL</v>
      </c>
      <c r="C1290" s="1" t="str">
        <f>HYPERLINK("http://digipan.lumentumllc.com/apps/getMap/index.php?p=7112577","Map")</f>
        <v>Map</v>
      </c>
      <c r="E1290" t="s">
        <v>177</v>
      </c>
      <c r="F1290" t="s">
        <v>178</v>
      </c>
      <c r="L1290" t="s">
        <v>16688</v>
      </c>
      <c r="N1290" t="s">
        <v>16688</v>
      </c>
      <c r="O1290" t="s">
        <v>16688</v>
      </c>
      <c r="P1290" t="s">
        <v>16689</v>
      </c>
      <c r="Q1290" t="s">
        <v>16688</v>
      </c>
      <c r="V1290">
        <v>1471</v>
      </c>
      <c r="W1290">
        <v>5</v>
      </c>
      <c r="X1290">
        <v>2017</v>
      </c>
      <c r="Y1290">
        <v>2018</v>
      </c>
      <c r="Z1290">
        <v>1385.52</v>
      </c>
      <c r="AB1290" t="s">
        <v>181</v>
      </c>
      <c r="AC1290" t="s">
        <v>182</v>
      </c>
      <c r="AD1290" t="s">
        <v>183</v>
      </c>
      <c r="AE1290">
        <v>1</v>
      </c>
      <c r="AF1290">
        <v>1</v>
      </c>
      <c r="AG1290" t="s">
        <v>2222</v>
      </c>
      <c r="AH1290">
        <v>50</v>
      </c>
      <c r="AI1290">
        <v>1128.4000000000001</v>
      </c>
      <c r="AJ1290">
        <v>56.42</v>
      </c>
      <c r="AK1290">
        <v>1184.82</v>
      </c>
      <c r="AL1290">
        <v>125360</v>
      </c>
      <c r="AM1290">
        <v>30780</v>
      </c>
      <c r="AN1290">
        <v>94580</v>
      </c>
      <c r="AO1290">
        <v>1018</v>
      </c>
      <c r="AP1290">
        <v>2016</v>
      </c>
      <c r="AQ1290">
        <v>1.1100000000000001</v>
      </c>
      <c r="AR1290">
        <v>0.95</v>
      </c>
      <c r="AS1290" t="s">
        <v>16690</v>
      </c>
      <c r="AT1290" t="s">
        <v>3210</v>
      </c>
      <c r="AU1290" t="s">
        <v>177</v>
      </c>
      <c r="AV1290" t="s">
        <v>2334</v>
      </c>
      <c r="AW1290" t="s">
        <v>182</v>
      </c>
      <c r="AX1290">
        <v>50</v>
      </c>
      <c r="AY1290" t="s">
        <v>218</v>
      </c>
      <c r="AZ1290" t="s">
        <v>589</v>
      </c>
      <c r="BA1290" t="s">
        <v>590</v>
      </c>
      <c r="BB1290" t="s">
        <v>191</v>
      </c>
      <c r="BC1290" t="s">
        <v>182</v>
      </c>
      <c r="BD1290" t="s">
        <v>182</v>
      </c>
      <c r="BE1290" t="s">
        <v>16691</v>
      </c>
      <c r="BF1290">
        <v>1</v>
      </c>
      <c r="BG1290">
        <v>1</v>
      </c>
      <c r="BH1290">
        <v>2002</v>
      </c>
      <c r="BI1290" t="s">
        <v>8995</v>
      </c>
      <c r="BJ1290" t="s">
        <v>248</v>
      </c>
      <c r="BK1290" t="s">
        <v>195</v>
      </c>
      <c r="BL1290" t="s">
        <v>2395</v>
      </c>
      <c r="BM1290" t="s">
        <v>325</v>
      </c>
      <c r="BN1290" t="s">
        <v>182</v>
      </c>
      <c r="BO1290" t="s">
        <v>15599</v>
      </c>
      <c r="BP1290" t="s">
        <v>16692</v>
      </c>
      <c r="BS1290" t="s">
        <v>16693</v>
      </c>
      <c r="BT1290" t="s">
        <v>198</v>
      </c>
      <c r="BU1290" t="s">
        <v>182</v>
      </c>
      <c r="BV1290" t="s">
        <v>198</v>
      </c>
      <c r="BW1290" t="s">
        <v>198</v>
      </c>
      <c r="BX1290" t="s">
        <v>199</v>
      </c>
      <c r="BY1290" t="s">
        <v>198</v>
      </c>
      <c r="BZ1290" t="s">
        <v>199</v>
      </c>
      <c r="CA1290" t="s">
        <v>199</v>
      </c>
      <c r="CB1290" t="s">
        <v>16694</v>
      </c>
      <c r="CC1290" t="s">
        <v>201</v>
      </c>
      <c r="CD1290" t="s">
        <v>202</v>
      </c>
      <c r="CE1290" t="s">
        <v>16695</v>
      </c>
      <c r="CF1290" t="s">
        <v>2333</v>
      </c>
      <c r="CG1290" t="s">
        <v>177</v>
      </c>
      <c r="CH1290" t="s">
        <v>2334</v>
      </c>
      <c r="CI1290" t="s">
        <v>16696</v>
      </c>
      <c r="CJ1290" t="s">
        <v>9295</v>
      </c>
      <c r="CK1290" t="s">
        <v>232</v>
      </c>
      <c r="CL1290" t="s">
        <v>233</v>
      </c>
      <c r="CM1290" t="s">
        <v>16697</v>
      </c>
      <c r="CN1290" t="s">
        <v>235</v>
      </c>
      <c r="CO1290" t="s">
        <v>183</v>
      </c>
      <c r="CP1290" t="s">
        <v>266</v>
      </c>
      <c r="CS1290" t="s">
        <v>198</v>
      </c>
      <c r="CT1290" t="s">
        <v>13108</v>
      </c>
      <c r="CU1290" t="s">
        <v>292</v>
      </c>
      <c r="CV1290" t="s">
        <v>293</v>
      </c>
      <c r="CW1290" t="s">
        <v>16698</v>
      </c>
      <c r="CX1290" t="s">
        <v>235</v>
      </c>
      <c r="CY1290" t="s">
        <v>183</v>
      </c>
      <c r="CZ1290" t="s">
        <v>211</v>
      </c>
      <c r="DA1290" t="s">
        <v>298</v>
      </c>
      <c r="DC1290" t="s">
        <v>7451</v>
      </c>
      <c r="DM1290" t="s">
        <v>198</v>
      </c>
      <c r="DW1290" t="s">
        <v>198</v>
      </c>
      <c r="EG1290" t="s">
        <v>198</v>
      </c>
      <c r="EQ1290" t="s">
        <v>198</v>
      </c>
      <c r="FA1290" t="s">
        <v>198</v>
      </c>
      <c r="FK1290" t="s">
        <v>198</v>
      </c>
      <c r="FU1290" t="s">
        <v>198</v>
      </c>
    </row>
    <row r="1291" spans="1:177">
      <c r="A1291" s="1" t="str">
        <f>HYPERLINK("http://digipan.lumentumllc.com/apps/getLink/index.php?t=PropLink&amp;p=5247952","PL")</f>
        <v>PL</v>
      </c>
      <c r="B1291" s="1" t="str">
        <f>HYPERLINK("http://digipan.lumentumllc.com/apps/getLink/index.php?t=TaxLink&amp;p=5247952","TL")</f>
        <v>TL</v>
      </c>
      <c r="C1291" s="1" t="str">
        <f>HYPERLINK("http://digipan.lumentumllc.com/apps/getMap/index.php?p=5247952","Map")</f>
        <v>Map</v>
      </c>
      <c r="E1291" t="s">
        <v>177</v>
      </c>
      <c r="F1291" t="s">
        <v>178</v>
      </c>
      <c r="L1291" t="s">
        <v>16699</v>
      </c>
      <c r="N1291" t="s">
        <v>16699</v>
      </c>
      <c r="O1291" t="s">
        <v>16699</v>
      </c>
      <c r="P1291" t="s">
        <v>16700</v>
      </c>
      <c r="Q1291" t="s">
        <v>16699</v>
      </c>
      <c r="V1291">
        <v>1472</v>
      </c>
      <c r="W1291">
        <v>5</v>
      </c>
      <c r="X1291">
        <v>2017</v>
      </c>
      <c r="Y1291">
        <v>2018</v>
      </c>
      <c r="Z1291">
        <v>3511.73</v>
      </c>
      <c r="AB1291" t="s">
        <v>181</v>
      </c>
      <c r="AC1291" t="s">
        <v>182</v>
      </c>
      <c r="AD1291" t="s">
        <v>183</v>
      </c>
      <c r="AE1291">
        <v>0</v>
      </c>
      <c r="AF1291">
        <v>4</v>
      </c>
      <c r="AG1291" t="s">
        <v>381</v>
      </c>
      <c r="AH1291">
        <v>100</v>
      </c>
      <c r="AK1291">
        <v>0</v>
      </c>
      <c r="AL1291">
        <v>212534</v>
      </c>
      <c r="AM1291">
        <v>128800</v>
      </c>
      <c r="AN1291">
        <v>83734</v>
      </c>
      <c r="AO1291">
        <v>3136</v>
      </c>
      <c r="AP1291">
        <v>2016</v>
      </c>
      <c r="AQ1291">
        <v>1.65</v>
      </c>
      <c r="AS1291" t="s">
        <v>16701</v>
      </c>
      <c r="AT1291" t="s">
        <v>3210</v>
      </c>
      <c r="AU1291" t="s">
        <v>177</v>
      </c>
      <c r="AV1291" t="s">
        <v>2334</v>
      </c>
      <c r="AW1291" t="s">
        <v>182</v>
      </c>
      <c r="AX1291">
        <v>28</v>
      </c>
      <c r="AY1291" t="s">
        <v>3641</v>
      </c>
      <c r="AZ1291" t="s">
        <v>635</v>
      </c>
      <c r="BA1291" t="s">
        <v>6374</v>
      </c>
      <c r="BB1291" t="s">
        <v>191</v>
      </c>
      <c r="BC1291" t="s">
        <v>182</v>
      </c>
      <c r="BD1291" t="s">
        <v>182</v>
      </c>
      <c r="BE1291" t="s">
        <v>16702</v>
      </c>
      <c r="BF1291">
        <v>7</v>
      </c>
      <c r="BG1291">
        <v>7</v>
      </c>
      <c r="BH1291">
        <v>1981</v>
      </c>
      <c r="BI1291" t="s">
        <v>16703</v>
      </c>
      <c r="BJ1291" t="s">
        <v>194</v>
      </c>
      <c r="BK1291" t="s">
        <v>195</v>
      </c>
      <c r="BL1291" t="s">
        <v>12190</v>
      </c>
      <c r="BM1291" t="s">
        <v>232</v>
      </c>
      <c r="BN1291" t="s">
        <v>182</v>
      </c>
      <c r="BO1291" t="s">
        <v>16704</v>
      </c>
      <c r="BP1291" t="s">
        <v>9362</v>
      </c>
      <c r="BQ1291" t="s">
        <v>226</v>
      </c>
      <c r="BR1291" t="s">
        <v>227</v>
      </c>
      <c r="BS1291" t="s">
        <v>198</v>
      </c>
      <c r="BT1291" t="s">
        <v>16705</v>
      </c>
      <c r="BU1291" t="s">
        <v>182</v>
      </c>
      <c r="BV1291" t="s">
        <v>198</v>
      </c>
      <c r="BW1291" t="s">
        <v>198</v>
      </c>
      <c r="BX1291" t="s">
        <v>199</v>
      </c>
      <c r="BY1291" t="s">
        <v>198</v>
      </c>
      <c r="BZ1291" t="s">
        <v>199</v>
      </c>
      <c r="CA1291" t="s">
        <v>199</v>
      </c>
      <c r="CB1291" t="s">
        <v>16706</v>
      </c>
      <c r="CC1291" t="s">
        <v>201</v>
      </c>
      <c r="CD1291" t="s">
        <v>202</v>
      </c>
      <c r="CE1291" t="s">
        <v>16707</v>
      </c>
      <c r="CF1291" t="s">
        <v>5331</v>
      </c>
      <c r="CG1291" t="s">
        <v>177</v>
      </c>
      <c r="CH1291" t="s">
        <v>371</v>
      </c>
      <c r="CI1291" t="s">
        <v>16708</v>
      </c>
      <c r="CJ1291" t="s">
        <v>4711</v>
      </c>
      <c r="CK1291" t="s">
        <v>302</v>
      </c>
      <c r="CL1291" t="s">
        <v>303</v>
      </c>
      <c r="CM1291" t="s">
        <v>16709</v>
      </c>
      <c r="CN1291" t="s">
        <v>235</v>
      </c>
      <c r="CO1291" t="s">
        <v>183</v>
      </c>
      <c r="CP1291" t="s">
        <v>211</v>
      </c>
      <c r="CQ1291" t="s">
        <v>264</v>
      </c>
      <c r="CS1291" t="s">
        <v>8753</v>
      </c>
      <c r="CT1291" t="s">
        <v>16710</v>
      </c>
      <c r="CU1291" t="s">
        <v>238</v>
      </c>
      <c r="CV1291" t="s">
        <v>239</v>
      </c>
      <c r="CW1291" t="s">
        <v>16711</v>
      </c>
      <c r="CX1291" t="s">
        <v>511</v>
      </c>
      <c r="CY1291" t="s">
        <v>183</v>
      </c>
      <c r="CZ1291" t="s">
        <v>211</v>
      </c>
      <c r="DA1291" t="s">
        <v>471</v>
      </c>
      <c r="DC1291" t="s">
        <v>8753</v>
      </c>
      <c r="DD1291" t="s">
        <v>4466</v>
      </c>
      <c r="DE1291" t="s">
        <v>346</v>
      </c>
      <c r="DF1291" t="s">
        <v>347</v>
      </c>
      <c r="DG1291" t="s">
        <v>16712</v>
      </c>
      <c r="DH1291" t="s">
        <v>247</v>
      </c>
      <c r="DI1291" t="s">
        <v>183</v>
      </c>
      <c r="DJ1291" t="s">
        <v>211</v>
      </c>
      <c r="DK1291" t="s">
        <v>298</v>
      </c>
      <c r="DM1291" t="s">
        <v>15863</v>
      </c>
      <c r="DN1291" t="s">
        <v>325</v>
      </c>
      <c r="DO1291" t="s">
        <v>207</v>
      </c>
      <c r="DP1291" t="s">
        <v>208</v>
      </c>
      <c r="DQ1291" t="s">
        <v>16713</v>
      </c>
      <c r="DR1291" t="s">
        <v>2515</v>
      </c>
      <c r="DS1291" t="s">
        <v>183</v>
      </c>
      <c r="DT1291" t="s">
        <v>211</v>
      </c>
      <c r="DU1291" t="s">
        <v>199</v>
      </c>
      <c r="DW1291" t="s">
        <v>2023</v>
      </c>
      <c r="EG1291" t="s">
        <v>198</v>
      </c>
      <c r="EQ1291" t="s">
        <v>198</v>
      </c>
      <c r="FA1291" t="s">
        <v>198</v>
      </c>
      <c r="FK1291" t="s">
        <v>198</v>
      </c>
      <c r="FU1291" t="s">
        <v>198</v>
      </c>
    </row>
    <row r="1292" spans="1:177">
      <c r="A1292" s="1" t="str">
        <f>HYPERLINK("http://digipan.lumentumllc.com/apps/getLink/index.php?t=PropLink&amp;p=6886843","PL")</f>
        <v>PL</v>
      </c>
      <c r="B1292" s="1" t="str">
        <f>HYPERLINK("http://digipan.lumentumllc.com/apps/getLink/index.php?t=TaxLink&amp;p=6886843","TL")</f>
        <v>TL</v>
      </c>
      <c r="C1292" s="1" t="str">
        <f>HYPERLINK("http://digipan.lumentumllc.com/apps/getMap/index.php?p=6886843","Map")</f>
        <v>Map</v>
      </c>
      <c r="E1292" t="s">
        <v>177</v>
      </c>
      <c r="F1292" t="s">
        <v>178</v>
      </c>
      <c r="L1292" t="s">
        <v>16714</v>
      </c>
      <c r="N1292" t="s">
        <v>16714</v>
      </c>
      <c r="O1292" t="s">
        <v>16714</v>
      </c>
      <c r="P1292" t="s">
        <v>16715</v>
      </c>
      <c r="Q1292" t="s">
        <v>16714</v>
      </c>
      <c r="V1292">
        <v>1473</v>
      </c>
      <c r="W1292">
        <v>5</v>
      </c>
      <c r="X1292">
        <v>2017</v>
      </c>
      <c r="Y1292">
        <v>2018</v>
      </c>
      <c r="Z1292">
        <v>3031.05</v>
      </c>
      <c r="AB1292" t="s">
        <v>181</v>
      </c>
      <c r="AC1292" t="s">
        <v>182</v>
      </c>
      <c r="AD1292" t="s">
        <v>183</v>
      </c>
      <c r="AE1292">
        <v>1</v>
      </c>
      <c r="AF1292">
        <v>2</v>
      </c>
      <c r="AG1292" t="s">
        <v>363</v>
      </c>
      <c r="AH1292">
        <v>67</v>
      </c>
      <c r="AI1292">
        <v>2782.95</v>
      </c>
      <c r="AJ1292">
        <v>139.15</v>
      </c>
      <c r="AK1292">
        <v>2922.1</v>
      </c>
      <c r="AL1292">
        <v>183919</v>
      </c>
      <c r="AM1292">
        <v>107184</v>
      </c>
      <c r="AN1292">
        <v>76735</v>
      </c>
      <c r="AO1292">
        <v>2548</v>
      </c>
      <c r="AP1292">
        <v>2016</v>
      </c>
      <c r="AQ1292">
        <v>1.65</v>
      </c>
      <c r="AR1292">
        <v>1.59</v>
      </c>
      <c r="AS1292" t="s">
        <v>16716</v>
      </c>
      <c r="AT1292" t="s">
        <v>3210</v>
      </c>
      <c r="AU1292" t="s">
        <v>177</v>
      </c>
      <c r="AV1292" t="s">
        <v>2334</v>
      </c>
      <c r="AW1292" t="s">
        <v>182</v>
      </c>
      <c r="AX1292">
        <v>1</v>
      </c>
      <c r="AY1292" t="s">
        <v>188</v>
      </c>
      <c r="AZ1292" t="s">
        <v>206</v>
      </c>
      <c r="BA1292" t="s">
        <v>355</v>
      </c>
      <c r="BB1292" t="s">
        <v>191</v>
      </c>
      <c r="BC1292" t="s">
        <v>182</v>
      </c>
      <c r="BD1292" t="s">
        <v>182</v>
      </c>
      <c r="BE1292" t="s">
        <v>16717</v>
      </c>
      <c r="BF1292">
        <v>1</v>
      </c>
      <c r="BG1292">
        <v>1</v>
      </c>
      <c r="BH1292">
        <v>1964</v>
      </c>
      <c r="BI1292" t="s">
        <v>14826</v>
      </c>
      <c r="BJ1292" t="s">
        <v>194</v>
      </c>
      <c r="BK1292" t="s">
        <v>195</v>
      </c>
      <c r="BL1292" t="s">
        <v>16718</v>
      </c>
      <c r="BM1292" t="s">
        <v>267</v>
      </c>
      <c r="BN1292" t="s">
        <v>182</v>
      </c>
      <c r="BO1292" t="s">
        <v>16719</v>
      </c>
      <c r="BP1292" t="s">
        <v>16720</v>
      </c>
      <c r="BQ1292" t="s">
        <v>226</v>
      </c>
      <c r="BR1292" t="s">
        <v>227</v>
      </c>
      <c r="BS1292" t="s">
        <v>198</v>
      </c>
      <c r="BT1292" t="s">
        <v>228</v>
      </c>
      <c r="BU1292" t="s">
        <v>182</v>
      </c>
      <c r="BV1292" t="s">
        <v>198</v>
      </c>
      <c r="BW1292" t="s">
        <v>198</v>
      </c>
      <c r="BX1292" t="s">
        <v>199</v>
      </c>
      <c r="BY1292" t="s">
        <v>198</v>
      </c>
      <c r="BZ1292" t="s">
        <v>199</v>
      </c>
      <c r="CA1292" t="s">
        <v>199</v>
      </c>
      <c r="CB1292" t="s">
        <v>16721</v>
      </c>
      <c r="CC1292" t="s">
        <v>201</v>
      </c>
      <c r="CD1292" t="s">
        <v>182</v>
      </c>
      <c r="CE1292" t="s">
        <v>16722</v>
      </c>
      <c r="CF1292" t="s">
        <v>2333</v>
      </c>
      <c r="CG1292" t="s">
        <v>177</v>
      </c>
      <c r="CH1292" t="s">
        <v>2334</v>
      </c>
      <c r="CI1292" t="s">
        <v>16723</v>
      </c>
      <c r="CJ1292" t="s">
        <v>12678</v>
      </c>
      <c r="CK1292" t="s">
        <v>232</v>
      </c>
      <c r="CL1292" t="s">
        <v>233</v>
      </c>
      <c r="CM1292" t="s">
        <v>16724</v>
      </c>
      <c r="CN1292" t="s">
        <v>235</v>
      </c>
      <c r="CO1292" t="s">
        <v>183</v>
      </c>
      <c r="CP1292" t="s">
        <v>266</v>
      </c>
      <c r="CS1292" t="s">
        <v>198</v>
      </c>
      <c r="CT1292" t="s">
        <v>12905</v>
      </c>
      <c r="CU1292" t="s">
        <v>292</v>
      </c>
      <c r="CV1292" t="s">
        <v>293</v>
      </c>
      <c r="CW1292" t="s">
        <v>16725</v>
      </c>
      <c r="CX1292" t="s">
        <v>235</v>
      </c>
      <c r="CY1292" t="s">
        <v>183</v>
      </c>
      <c r="CZ1292" t="s">
        <v>211</v>
      </c>
      <c r="DA1292" t="s">
        <v>487</v>
      </c>
      <c r="DC1292" t="s">
        <v>16726</v>
      </c>
      <c r="DD1292" t="s">
        <v>3231</v>
      </c>
      <c r="DE1292" t="s">
        <v>267</v>
      </c>
      <c r="DF1292" t="s">
        <v>268</v>
      </c>
      <c r="DG1292" t="s">
        <v>16727</v>
      </c>
      <c r="DH1292" t="s">
        <v>235</v>
      </c>
      <c r="DI1292" t="s">
        <v>183</v>
      </c>
      <c r="DJ1292" t="s">
        <v>211</v>
      </c>
      <c r="DK1292" t="s">
        <v>306</v>
      </c>
      <c r="DM1292" t="s">
        <v>16728</v>
      </c>
      <c r="DW1292" t="s">
        <v>198</v>
      </c>
      <c r="EG1292" t="s">
        <v>198</v>
      </c>
      <c r="EQ1292" t="s">
        <v>198</v>
      </c>
      <c r="FA1292" t="s">
        <v>198</v>
      </c>
      <c r="FK1292" t="s">
        <v>198</v>
      </c>
      <c r="FU1292" t="s">
        <v>198</v>
      </c>
    </row>
    <row r="1293" spans="1:177">
      <c r="A1293" s="1" t="str">
        <f>HYPERLINK("http://digipan.lumentumllc.com/apps/getLink/index.php?t=PropLink&amp;p=5247953","PL")</f>
        <v>PL</v>
      </c>
      <c r="B1293" s="1" t="str">
        <f>HYPERLINK("http://digipan.lumentumllc.com/apps/getLink/index.php?t=TaxLink&amp;p=5247953","TL")</f>
        <v>TL</v>
      </c>
      <c r="C1293" s="1" t="str">
        <f>HYPERLINK("http://digipan.lumentumllc.com/apps/getMap/index.php?p=5247953","Map")</f>
        <v>Map</v>
      </c>
      <c r="E1293" t="s">
        <v>177</v>
      </c>
      <c r="F1293" t="s">
        <v>178</v>
      </c>
      <c r="L1293" t="s">
        <v>16729</v>
      </c>
      <c r="N1293" t="s">
        <v>16729</v>
      </c>
      <c r="O1293" t="s">
        <v>16729</v>
      </c>
      <c r="P1293" t="s">
        <v>16730</v>
      </c>
      <c r="Q1293" t="s">
        <v>16729</v>
      </c>
      <c r="V1293">
        <v>1474</v>
      </c>
      <c r="W1293">
        <v>5</v>
      </c>
      <c r="X1293">
        <v>2017</v>
      </c>
      <c r="Y1293">
        <v>2018</v>
      </c>
      <c r="Z1293">
        <v>1121.1500000000001</v>
      </c>
      <c r="AB1293" t="s">
        <v>181</v>
      </c>
      <c r="AC1293" t="s">
        <v>182</v>
      </c>
      <c r="AD1293" t="s">
        <v>183</v>
      </c>
      <c r="AE1293">
        <v>0</v>
      </c>
      <c r="AF1293">
        <v>6</v>
      </c>
      <c r="AG1293" t="s">
        <v>3266</v>
      </c>
      <c r="AH1293">
        <v>100</v>
      </c>
      <c r="AK1293">
        <v>0</v>
      </c>
      <c r="AL1293">
        <v>67200</v>
      </c>
      <c r="AM1293">
        <v>67200</v>
      </c>
      <c r="AN1293">
        <v>0</v>
      </c>
      <c r="AO1293">
        <v>921</v>
      </c>
      <c r="AP1293">
        <v>2016</v>
      </c>
      <c r="AQ1293">
        <v>1.67</v>
      </c>
      <c r="AS1293" t="s">
        <v>16731</v>
      </c>
      <c r="AT1293" t="s">
        <v>3210</v>
      </c>
      <c r="AU1293" t="s">
        <v>177</v>
      </c>
      <c r="AV1293" t="s">
        <v>2334</v>
      </c>
      <c r="AW1293" t="s">
        <v>182</v>
      </c>
      <c r="AX1293">
        <v>0</v>
      </c>
      <c r="AY1293" t="s">
        <v>312</v>
      </c>
      <c r="AZ1293" t="s">
        <v>199</v>
      </c>
      <c r="BA1293" t="s">
        <v>313</v>
      </c>
      <c r="BB1293" t="s">
        <v>191</v>
      </c>
      <c r="BC1293" t="s">
        <v>182</v>
      </c>
      <c r="BD1293" t="s">
        <v>182</v>
      </c>
      <c r="BE1293" t="s">
        <v>5665</v>
      </c>
      <c r="BF1293">
        <v>0</v>
      </c>
      <c r="BG1293">
        <v>0</v>
      </c>
      <c r="BH1293">
        <v>0</v>
      </c>
      <c r="BI1293" t="s">
        <v>199</v>
      </c>
      <c r="BJ1293" t="s">
        <v>315</v>
      </c>
      <c r="BL1293" t="s">
        <v>16732</v>
      </c>
      <c r="BM1293" t="s">
        <v>559</v>
      </c>
      <c r="BN1293" t="s">
        <v>182</v>
      </c>
      <c r="BO1293" t="s">
        <v>198</v>
      </c>
      <c r="BP1293" t="s">
        <v>198</v>
      </c>
      <c r="BQ1293" t="s">
        <v>198</v>
      </c>
      <c r="BR1293" t="s">
        <v>198</v>
      </c>
      <c r="BS1293" t="s">
        <v>198</v>
      </c>
      <c r="BT1293" t="s">
        <v>198</v>
      </c>
      <c r="BU1293" t="s">
        <v>182</v>
      </c>
      <c r="BV1293" t="s">
        <v>198</v>
      </c>
      <c r="BW1293" t="s">
        <v>198</v>
      </c>
      <c r="BX1293" t="s">
        <v>199</v>
      </c>
      <c r="BY1293" t="s">
        <v>198</v>
      </c>
      <c r="BZ1293" t="s">
        <v>199</v>
      </c>
      <c r="CA1293" t="s">
        <v>199</v>
      </c>
      <c r="CB1293" t="s">
        <v>16733</v>
      </c>
      <c r="CC1293" t="s">
        <v>201</v>
      </c>
      <c r="CD1293" t="s">
        <v>182</v>
      </c>
      <c r="CE1293" t="s">
        <v>16734</v>
      </c>
      <c r="CF1293" t="s">
        <v>413</v>
      </c>
      <c r="CG1293" t="s">
        <v>177</v>
      </c>
      <c r="CH1293" t="s">
        <v>9966</v>
      </c>
      <c r="CI1293" t="s">
        <v>16735</v>
      </c>
      <c r="CJ1293" t="s">
        <v>10031</v>
      </c>
      <c r="CK1293" t="s">
        <v>232</v>
      </c>
      <c r="CL1293" t="s">
        <v>233</v>
      </c>
      <c r="CM1293" t="s">
        <v>4158</v>
      </c>
      <c r="CN1293" t="s">
        <v>331</v>
      </c>
      <c r="CO1293" t="s">
        <v>183</v>
      </c>
      <c r="CP1293" t="s">
        <v>211</v>
      </c>
      <c r="CQ1293" t="s">
        <v>189</v>
      </c>
      <c r="CS1293" t="s">
        <v>3719</v>
      </c>
      <c r="CT1293" t="s">
        <v>8946</v>
      </c>
      <c r="CU1293" t="s">
        <v>292</v>
      </c>
      <c r="CV1293" t="s">
        <v>293</v>
      </c>
      <c r="CW1293" t="s">
        <v>16736</v>
      </c>
      <c r="CX1293" t="s">
        <v>235</v>
      </c>
      <c r="CY1293" t="s">
        <v>183</v>
      </c>
      <c r="CZ1293" t="s">
        <v>211</v>
      </c>
      <c r="DA1293" t="s">
        <v>460</v>
      </c>
      <c r="DC1293" t="s">
        <v>3719</v>
      </c>
      <c r="DD1293" t="s">
        <v>11262</v>
      </c>
      <c r="DE1293" t="s">
        <v>273</v>
      </c>
      <c r="DF1293" t="s">
        <v>274</v>
      </c>
      <c r="DG1293" t="s">
        <v>4162</v>
      </c>
      <c r="DH1293" t="s">
        <v>235</v>
      </c>
      <c r="DI1293" t="s">
        <v>183</v>
      </c>
      <c r="DJ1293" t="s">
        <v>211</v>
      </c>
      <c r="DK1293" t="s">
        <v>189</v>
      </c>
      <c r="DM1293" t="s">
        <v>16737</v>
      </c>
      <c r="DN1293" t="s">
        <v>669</v>
      </c>
      <c r="DO1293" t="s">
        <v>302</v>
      </c>
      <c r="DP1293" t="s">
        <v>303</v>
      </c>
      <c r="DQ1293" t="s">
        <v>16738</v>
      </c>
      <c r="DR1293" t="s">
        <v>235</v>
      </c>
      <c r="DS1293" t="s">
        <v>183</v>
      </c>
      <c r="DT1293" t="s">
        <v>211</v>
      </c>
      <c r="DU1293" t="s">
        <v>296</v>
      </c>
      <c r="DW1293" t="s">
        <v>8702</v>
      </c>
      <c r="DX1293" t="s">
        <v>15041</v>
      </c>
      <c r="DY1293" t="s">
        <v>346</v>
      </c>
      <c r="DZ1293" t="s">
        <v>347</v>
      </c>
      <c r="EA1293" t="s">
        <v>16739</v>
      </c>
      <c r="EB1293" t="s">
        <v>295</v>
      </c>
      <c r="EC1293" t="s">
        <v>183</v>
      </c>
      <c r="ED1293" t="s">
        <v>211</v>
      </c>
      <c r="EE1293" t="s">
        <v>329</v>
      </c>
      <c r="EG1293" t="s">
        <v>1167</v>
      </c>
      <c r="EH1293" t="s">
        <v>533</v>
      </c>
      <c r="EI1293" t="s">
        <v>207</v>
      </c>
      <c r="EJ1293" t="s">
        <v>208</v>
      </c>
      <c r="EK1293" t="s">
        <v>16740</v>
      </c>
      <c r="EL1293" t="s">
        <v>1966</v>
      </c>
      <c r="EM1293" t="s">
        <v>183</v>
      </c>
      <c r="EN1293" t="s">
        <v>211</v>
      </c>
      <c r="EO1293" t="s">
        <v>298</v>
      </c>
      <c r="EQ1293" t="s">
        <v>1167</v>
      </c>
      <c r="FA1293" t="s">
        <v>198</v>
      </c>
      <c r="FK1293" t="s">
        <v>198</v>
      </c>
      <c r="FU1293" t="s">
        <v>198</v>
      </c>
    </row>
    <row r="1294" spans="1:177">
      <c r="A1294" s="1" t="str">
        <f>HYPERLINK("http://digipan.lumentumllc.com/apps/getLink/index.php?t=PropLink&amp;p=5247957","PL")</f>
        <v>PL</v>
      </c>
      <c r="B1294" s="1" t="str">
        <f>HYPERLINK("http://digipan.lumentumllc.com/apps/getLink/index.php?t=TaxLink&amp;p=5247957","TL")</f>
        <v>TL</v>
      </c>
      <c r="C1294" s="1" t="str">
        <f>HYPERLINK("http://digipan.lumentumllc.com/apps/getMap/index.php?p=5247957","Map")</f>
        <v>Map</v>
      </c>
      <c r="E1294" t="s">
        <v>177</v>
      </c>
      <c r="F1294" t="s">
        <v>178</v>
      </c>
      <c r="L1294" t="s">
        <v>16741</v>
      </c>
      <c r="N1294" t="s">
        <v>16741</v>
      </c>
      <c r="O1294" t="s">
        <v>16741</v>
      </c>
      <c r="P1294" t="s">
        <v>16742</v>
      </c>
      <c r="Q1294" t="s">
        <v>16741</v>
      </c>
      <c r="V1294">
        <v>1475</v>
      </c>
      <c r="W1294">
        <v>5</v>
      </c>
      <c r="X1294">
        <v>2017</v>
      </c>
      <c r="Y1294">
        <v>2018</v>
      </c>
      <c r="Z1294">
        <v>968.04</v>
      </c>
      <c r="AB1294" t="s">
        <v>181</v>
      </c>
      <c r="AC1294" t="s">
        <v>182</v>
      </c>
      <c r="AD1294" t="s">
        <v>183</v>
      </c>
      <c r="AE1294">
        <v>1</v>
      </c>
      <c r="AF1294">
        <v>7</v>
      </c>
      <c r="AG1294" t="s">
        <v>418</v>
      </c>
      <c r="AH1294">
        <v>86</v>
      </c>
      <c r="AI1294">
        <v>849.06</v>
      </c>
      <c r="AJ1294">
        <v>42.45</v>
      </c>
      <c r="AK1294">
        <v>891.51</v>
      </c>
      <c r="AL1294">
        <v>60760</v>
      </c>
      <c r="AM1294">
        <v>26750</v>
      </c>
      <c r="AN1294">
        <v>34010</v>
      </c>
      <c r="AO1294">
        <v>760</v>
      </c>
      <c r="AP1294">
        <v>2016</v>
      </c>
      <c r="AQ1294">
        <v>1.59</v>
      </c>
      <c r="AR1294">
        <v>1.47</v>
      </c>
      <c r="AS1294" t="s">
        <v>16743</v>
      </c>
      <c r="AT1294" t="s">
        <v>3210</v>
      </c>
      <c r="AU1294" t="s">
        <v>177</v>
      </c>
      <c r="AV1294" t="s">
        <v>2334</v>
      </c>
      <c r="AW1294" t="s">
        <v>182</v>
      </c>
      <c r="AX1294">
        <v>2</v>
      </c>
      <c r="AY1294" t="s">
        <v>188</v>
      </c>
      <c r="AZ1294" t="s">
        <v>189</v>
      </c>
      <c r="BA1294" t="s">
        <v>190</v>
      </c>
      <c r="BB1294" t="s">
        <v>191</v>
      </c>
      <c r="BC1294" t="s">
        <v>182</v>
      </c>
      <c r="BD1294" t="s">
        <v>182</v>
      </c>
      <c r="BE1294" t="s">
        <v>3783</v>
      </c>
      <c r="BF1294">
        <v>1</v>
      </c>
      <c r="BG1294">
        <v>1</v>
      </c>
      <c r="BH1294">
        <v>1987</v>
      </c>
      <c r="BI1294" t="s">
        <v>14781</v>
      </c>
      <c r="BJ1294" t="s">
        <v>194</v>
      </c>
      <c r="BK1294" t="s">
        <v>195</v>
      </c>
      <c r="BL1294" t="s">
        <v>199</v>
      </c>
      <c r="BM1294" t="s">
        <v>286</v>
      </c>
      <c r="BN1294" t="s">
        <v>182</v>
      </c>
      <c r="BO1294" t="s">
        <v>16744</v>
      </c>
      <c r="BP1294" t="s">
        <v>16161</v>
      </c>
      <c r="BS1294" t="s">
        <v>16745</v>
      </c>
      <c r="BT1294" t="s">
        <v>198</v>
      </c>
      <c r="BU1294" t="s">
        <v>182</v>
      </c>
      <c r="BV1294" t="s">
        <v>198</v>
      </c>
      <c r="BW1294" t="s">
        <v>198</v>
      </c>
      <c r="BX1294" t="s">
        <v>199</v>
      </c>
      <c r="BY1294" t="s">
        <v>198</v>
      </c>
      <c r="BZ1294" t="s">
        <v>199</v>
      </c>
      <c r="CA1294" t="s">
        <v>199</v>
      </c>
      <c r="CB1294" t="s">
        <v>16746</v>
      </c>
      <c r="CC1294" t="s">
        <v>201</v>
      </c>
      <c r="CD1294" t="s">
        <v>202</v>
      </c>
      <c r="CE1294" t="s">
        <v>16747</v>
      </c>
      <c r="CF1294" t="s">
        <v>2333</v>
      </c>
      <c r="CG1294" t="s">
        <v>177</v>
      </c>
      <c r="CH1294" t="s">
        <v>2334</v>
      </c>
      <c r="CI1294" t="s">
        <v>16748</v>
      </c>
      <c r="CJ1294" t="s">
        <v>8822</v>
      </c>
      <c r="CK1294" t="s">
        <v>232</v>
      </c>
      <c r="CL1294" t="s">
        <v>233</v>
      </c>
      <c r="CM1294" t="s">
        <v>16749</v>
      </c>
      <c r="CN1294" t="s">
        <v>235</v>
      </c>
      <c r="CO1294" t="s">
        <v>183</v>
      </c>
      <c r="CP1294" t="s">
        <v>266</v>
      </c>
      <c r="CS1294" t="s">
        <v>198</v>
      </c>
      <c r="CT1294" t="s">
        <v>15535</v>
      </c>
      <c r="CU1294" t="s">
        <v>292</v>
      </c>
      <c r="CV1294" t="s">
        <v>293</v>
      </c>
      <c r="CW1294" t="s">
        <v>16750</v>
      </c>
      <c r="CX1294" t="s">
        <v>235</v>
      </c>
      <c r="CY1294" t="s">
        <v>183</v>
      </c>
      <c r="CZ1294" t="s">
        <v>211</v>
      </c>
      <c r="DA1294" t="s">
        <v>298</v>
      </c>
      <c r="DC1294" t="s">
        <v>430</v>
      </c>
      <c r="DD1294" t="s">
        <v>10812</v>
      </c>
      <c r="DE1294" t="s">
        <v>267</v>
      </c>
      <c r="DF1294" t="s">
        <v>268</v>
      </c>
      <c r="DG1294" t="s">
        <v>16751</v>
      </c>
      <c r="DH1294" t="s">
        <v>235</v>
      </c>
      <c r="DI1294" t="s">
        <v>183</v>
      </c>
      <c r="DJ1294" t="s">
        <v>211</v>
      </c>
      <c r="DK1294" t="s">
        <v>298</v>
      </c>
      <c r="DM1294" t="s">
        <v>2179</v>
      </c>
      <c r="DN1294" t="s">
        <v>16752</v>
      </c>
      <c r="DO1294" t="s">
        <v>273</v>
      </c>
      <c r="DP1294" t="s">
        <v>274</v>
      </c>
      <c r="DQ1294" t="s">
        <v>16753</v>
      </c>
      <c r="DR1294" t="s">
        <v>235</v>
      </c>
      <c r="DS1294" t="s">
        <v>183</v>
      </c>
      <c r="DT1294" t="s">
        <v>211</v>
      </c>
      <c r="DU1294" t="s">
        <v>298</v>
      </c>
      <c r="DW1294" t="s">
        <v>5484</v>
      </c>
      <c r="DX1294" t="s">
        <v>16754</v>
      </c>
      <c r="DY1294" t="s">
        <v>302</v>
      </c>
      <c r="DZ1294" t="s">
        <v>303</v>
      </c>
      <c r="EA1294" t="s">
        <v>16755</v>
      </c>
      <c r="EB1294" t="s">
        <v>235</v>
      </c>
      <c r="EC1294" t="s">
        <v>183</v>
      </c>
      <c r="ED1294" t="s">
        <v>211</v>
      </c>
      <c r="EE1294" t="s">
        <v>298</v>
      </c>
      <c r="EG1294" t="s">
        <v>3499</v>
      </c>
      <c r="EH1294" t="s">
        <v>16756</v>
      </c>
      <c r="EI1294" t="s">
        <v>238</v>
      </c>
      <c r="EJ1294" t="s">
        <v>239</v>
      </c>
      <c r="EK1294" t="s">
        <v>16757</v>
      </c>
      <c r="EL1294" t="s">
        <v>247</v>
      </c>
      <c r="EM1294" t="s">
        <v>183</v>
      </c>
      <c r="EN1294" t="s">
        <v>211</v>
      </c>
      <c r="EO1294" t="s">
        <v>298</v>
      </c>
      <c r="EQ1294" t="s">
        <v>3501</v>
      </c>
      <c r="ER1294" t="s">
        <v>10197</v>
      </c>
      <c r="ES1294" t="s">
        <v>346</v>
      </c>
      <c r="ET1294" t="s">
        <v>347</v>
      </c>
      <c r="EU1294" t="s">
        <v>16758</v>
      </c>
      <c r="EV1294" t="s">
        <v>688</v>
      </c>
      <c r="EW1294" t="s">
        <v>183</v>
      </c>
      <c r="EX1294" t="s">
        <v>211</v>
      </c>
      <c r="EY1294" t="s">
        <v>345</v>
      </c>
      <c r="FA1294" t="s">
        <v>3391</v>
      </c>
      <c r="FB1294" t="s">
        <v>207</v>
      </c>
      <c r="FC1294" t="s">
        <v>207</v>
      </c>
      <c r="FD1294" t="s">
        <v>208</v>
      </c>
      <c r="FE1294" t="s">
        <v>16759</v>
      </c>
      <c r="FF1294" t="s">
        <v>1966</v>
      </c>
      <c r="FG1294" t="s">
        <v>183</v>
      </c>
      <c r="FH1294" t="s">
        <v>211</v>
      </c>
      <c r="FI1294" t="s">
        <v>298</v>
      </c>
      <c r="FK1294" t="s">
        <v>474</v>
      </c>
      <c r="FU1294" t="s">
        <v>198</v>
      </c>
    </row>
    <row r="1295" spans="1:177">
      <c r="A1295" s="1" t="str">
        <f>HYPERLINK("http://digipan.lumentumllc.com/apps/getLink/index.php?t=PropLink&amp;p=15759497","PL")</f>
        <v>PL</v>
      </c>
      <c r="B1295" s="1" t="str">
        <f>HYPERLINK("http://digipan.lumentumllc.com/apps/getLink/index.php?t=TaxLink&amp;p=15759497","TL")</f>
        <v>TL</v>
      </c>
      <c r="C1295" s="1" t="str">
        <f>HYPERLINK("http://digipan.lumentumllc.com/apps/getMap/index.php?p=15759497","Map")</f>
        <v>Map</v>
      </c>
      <c r="E1295" t="s">
        <v>177</v>
      </c>
      <c r="F1295" t="s">
        <v>178</v>
      </c>
      <c r="L1295" t="s">
        <v>16760</v>
      </c>
      <c r="N1295" t="s">
        <v>16760</v>
      </c>
      <c r="O1295" t="s">
        <v>16760</v>
      </c>
      <c r="Q1295" t="s">
        <v>16760</v>
      </c>
      <c r="V1295">
        <v>1479</v>
      </c>
      <c r="W1295">
        <v>5</v>
      </c>
      <c r="X1295">
        <v>2017</v>
      </c>
      <c r="Y1295">
        <v>2018</v>
      </c>
      <c r="Z1295">
        <v>1003.26</v>
      </c>
      <c r="AG1295" t="s">
        <v>184</v>
      </c>
      <c r="AH1295">
        <v>0</v>
      </c>
      <c r="AK1295">
        <v>0</v>
      </c>
      <c r="AL1295">
        <v>62550</v>
      </c>
      <c r="AM1295">
        <v>28000</v>
      </c>
      <c r="AN1295">
        <v>34550</v>
      </c>
      <c r="AO1295">
        <v>840</v>
      </c>
      <c r="AP1295">
        <v>2016</v>
      </c>
      <c r="AQ1295">
        <v>1.6</v>
      </c>
      <c r="AS1295" t="s">
        <v>16761</v>
      </c>
      <c r="AT1295" t="s">
        <v>3210</v>
      </c>
      <c r="AU1295" t="s">
        <v>177</v>
      </c>
      <c r="AV1295" t="s">
        <v>2334</v>
      </c>
      <c r="AW1295" t="s">
        <v>182</v>
      </c>
      <c r="AX1295">
        <v>2</v>
      </c>
      <c r="AY1295" t="s">
        <v>188</v>
      </c>
      <c r="AZ1295" t="s">
        <v>189</v>
      </c>
      <c r="BA1295" t="s">
        <v>190</v>
      </c>
      <c r="BB1295" t="s">
        <v>191</v>
      </c>
      <c r="BC1295" t="s">
        <v>182</v>
      </c>
      <c r="BD1295" t="s">
        <v>182</v>
      </c>
      <c r="BE1295" t="s">
        <v>383</v>
      </c>
      <c r="BF1295">
        <v>2</v>
      </c>
      <c r="BG1295">
        <v>2</v>
      </c>
      <c r="BH1295">
        <v>1985</v>
      </c>
      <c r="BI1295" t="s">
        <v>16762</v>
      </c>
      <c r="BJ1295" t="s">
        <v>194</v>
      </c>
      <c r="BK1295" t="s">
        <v>195</v>
      </c>
      <c r="BL1295" t="s">
        <v>2075</v>
      </c>
      <c r="BM1295" t="s">
        <v>197</v>
      </c>
      <c r="BN1295" t="s">
        <v>182</v>
      </c>
      <c r="BO1295" t="s">
        <v>198</v>
      </c>
      <c r="BP1295" t="s">
        <v>198</v>
      </c>
      <c r="BQ1295" t="s">
        <v>198</v>
      </c>
      <c r="BR1295" t="s">
        <v>198</v>
      </c>
      <c r="BS1295" t="s">
        <v>198</v>
      </c>
      <c r="BT1295" t="s">
        <v>198</v>
      </c>
      <c r="BU1295" t="s">
        <v>182</v>
      </c>
      <c r="BV1295" t="s">
        <v>198</v>
      </c>
      <c r="BW1295" t="s">
        <v>198</v>
      </c>
      <c r="BX1295" t="s">
        <v>199</v>
      </c>
      <c r="BY1295" t="s">
        <v>198</v>
      </c>
      <c r="BZ1295" t="s">
        <v>199</v>
      </c>
      <c r="CA1295" t="s">
        <v>199</v>
      </c>
      <c r="CB1295" t="s">
        <v>16763</v>
      </c>
      <c r="CC1295" t="s">
        <v>201</v>
      </c>
      <c r="CD1295" t="s">
        <v>202</v>
      </c>
      <c r="CE1295" t="s">
        <v>16764</v>
      </c>
      <c r="CF1295" t="s">
        <v>2333</v>
      </c>
      <c r="CG1295" t="s">
        <v>177</v>
      </c>
      <c r="CH1295" t="s">
        <v>2334</v>
      </c>
      <c r="CI1295" t="s">
        <v>9154</v>
      </c>
      <c r="CS1295" t="s">
        <v>198</v>
      </c>
      <c r="DC1295" t="s">
        <v>198</v>
      </c>
      <c r="DM1295" t="s">
        <v>198</v>
      </c>
      <c r="DW1295" t="s">
        <v>198</v>
      </c>
      <c r="EG1295" t="s">
        <v>198</v>
      </c>
      <c r="EQ1295" t="s">
        <v>198</v>
      </c>
      <c r="FA1295" t="s">
        <v>198</v>
      </c>
      <c r="FK1295" t="s">
        <v>198</v>
      </c>
      <c r="FU1295" t="s">
        <v>198</v>
      </c>
    </row>
    <row r="1296" spans="1:177">
      <c r="A1296" s="1" t="str">
        <f>HYPERLINK("http://digipan.lumentumllc.com/apps/getLink/index.php?t=PropLink&amp;p=5247964","PL")</f>
        <v>PL</v>
      </c>
      <c r="B1296" s="1" t="str">
        <f>HYPERLINK("http://digipan.lumentumllc.com/apps/getLink/index.php?t=TaxLink&amp;p=5247964","TL")</f>
        <v>TL</v>
      </c>
      <c r="C1296" s="1" t="str">
        <f>HYPERLINK("http://digipan.lumentumllc.com/apps/getMap/index.php?p=5247964","Map")</f>
        <v>Map</v>
      </c>
      <c r="E1296" t="s">
        <v>177</v>
      </c>
      <c r="F1296" t="s">
        <v>178</v>
      </c>
      <c r="L1296" t="s">
        <v>16765</v>
      </c>
      <c r="N1296" t="s">
        <v>16765</v>
      </c>
      <c r="O1296" t="s">
        <v>16765</v>
      </c>
      <c r="P1296" t="s">
        <v>16766</v>
      </c>
      <c r="Q1296" t="s">
        <v>16765</v>
      </c>
      <c r="V1296">
        <v>1480</v>
      </c>
      <c r="W1296">
        <v>5</v>
      </c>
      <c r="X1296">
        <v>2017</v>
      </c>
      <c r="Y1296">
        <v>2018</v>
      </c>
      <c r="Z1296">
        <v>302.64999999999998</v>
      </c>
      <c r="AB1296" t="s">
        <v>181</v>
      </c>
      <c r="AC1296" t="s">
        <v>182</v>
      </c>
      <c r="AD1296" t="s">
        <v>1037</v>
      </c>
      <c r="AE1296">
        <v>0</v>
      </c>
      <c r="AF1296">
        <v>8</v>
      </c>
      <c r="AG1296" t="s">
        <v>1059</v>
      </c>
      <c r="AH1296">
        <v>100</v>
      </c>
      <c r="AK1296">
        <v>0</v>
      </c>
      <c r="AL1296">
        <v>54386</v>
      </c>
      <c r="AM1296">
        <v>28000</v>
      </c>
      <c r="AN1296">
        <v>26386</v>
      </c>
      <c r="AO1296">
        <v>35</v>
      </c>
      <c r="AP1296">
        <v>2016</v>
      </c>
      <c r="AQ1296">
        <v>0.56000000000000005</v>
      </c>
      <c r="AS1296" t="s">
        <v>16767</v>
      </c>
      <c r="AT1296" t="s">
        <v>3210</v>
      </c>
      <c r="AU1296" t="s">
        <v>177</v>
      </c>
      <c r="AV1296" t="s">
        <v>2334</v>
      </c>
      <c r="AW1296" t="s">
        <v>202</v>
      </c>
      <c r="AX1296">
        <v>2</v>
      </c>
      <c r="AY1296" t="s">
        <v>188</v>
      </c>
      <c r="AZ1296" t="s">
        <v>189</v>
      </c>
      <c r="BA1296" t="s">
        <v>190</v>
      </c>
      <c r="BB1296" t="s">
        <v>191</v>
      </c>
      <c r="BC1296" t="s">
        <v>182</v>
      </c>
      <c r="BD1296" t="s">
        <v>182</v>
      </c>
      <c r="BE1296" t="s">
        <v>383</v>
      </c>
      <c r="BF1296">
        <v>1</v>
      </c>
      <c r="BG1296">
        <v>1</v>
      </c>
      <c r="BH1296">
        <v>1987</v>
      </c>
      <c r="BI1296" t="s">
        <v>1202</v>
      </c>
      <c r="BJ1296" t="s">
        <v>194</v>
      </c>
      <c r="BK1296" t="s">
        <v>195</v>
      </c>
      <c r="BL1296" t="s">
        <v>1753</v>
      </c>
      <c r="BM1296" t="s">
        <v>410</v>
      </c>
      <c r="BN1296" t="s">
        <v>182</v>
      </c>
      <c r="BO1296" t="s">
        <v>16768</v>
      </c>
      <c r="BP1296" t="s">
        <v>2685</v>
      </c>
      <c r="BQ1296" t="s">
        <v>904</v>
      </c>
      <c r="BR1296" t="s">
        <v>563</v>
      </c>
      <c r="BS1296" t="s">
        <v>16769</v>
      </c>
      <c r="BT1296" t="s">
        <v>228</v>
      </c>
      <c r="BU1296" t="s">
        <v>182</v>
      </c>
      <c r="BV1296" t="s">
        <v>198</v>
      </c>
      <c r="BW1296" t="s">
        <v>198</v>
      </c>
      <c r="BX1296" t="s">
        <v>199</v>
      </c>
      <c r="BY1296" t="s">
        <v>198</v>
      </c>
      <c r="BZ1296" t="s">
        <v>199</v>
      </c>
      <c r="CA1296" t="s">
        <v>199</v>
      </c>
      <c r="CB1296" t="s">
        <v>16770</v>
      </c>
      <c r="CC1296" t="s">
        <v>201</v>
      </c>
      <c r="CD1296" t="s">
        <v>182</v>
      </c>
      <c r="CE1296" t="s">
        <v>16771</v>
      </c>
      <c r="CF1296" t="s">
        <v>2333</v>
      </c>
      <c r="CG1296" t="s">
        <v>177</v>
      </c>
      <c r="CH1296" t="s">
        <v>2334</v>
      </c>
      <c r="CI1296" t="s">
        <v>16772</v>
      </c>
      <c r="CJ1296" t="s">
        <v>9430</v>
      </c>
      <c r="CK1296" t="s">
        <v>232</v>
      </c>
      <c r="CL1296" t="s">
        <v>233</v>
      </c>
      <c r="CM1296" t="s">
        <v>16773</v>
      </c>
      <c r="CN1296" t="s">
        <v>482</v>
      </c>
      <c r="CO1296" t="s">
        <v>5</v>
      </c>
      <c r="CP1296" t="s">
        <v>211</v>
      </c>
      <c r="CQ1296" t="s">
        <v>199</v>
      </c>
      <c r="CS1296" t="s">
        <v>11910</v>
      </c>
      <c r="CT1296" t="s">
        <v>7147</v>
      </c>
      <c r="CU1296" t="s">
        <v>292</v>
      </c>
      <c r="CV1296" t="s">
        <v>293</v>
      </c>
      <c r="CW1296" t="s">
        <v>6391</v>
      </c>
      <c r="CX1296" t="s">
        <v>482</v>
      </c>
      <c r="CY1296" t="s">
        <v>5</v>
      </c>
      <c r="CZ1296" t="s">
        <v>211</v>
      </c>
      <c r="DA1296" t="s">
        <v>427</v>
      </c>
      <c r="DC1296" t="s">
        <v>11910</v>
      </c>
      <c r="DD1296" t="s">
        <v>13762</v>
      </c>
      <c r="DE1296" t="s">
        <v>267</v>
      </c>
      <c r="DF1296" t="s">
        <v>268</v>
      </c>
      <c r="DG1296" t="s">
        <v>16774</v>
      </c>
      <c r="DH1296" t="s">
        <v>482</v>
      </c>
      <c r="DI1296" t="s">
        <v>5</v>
      </c>
      <c r="DJ1296" t="s">
        <v>211</v>
      </c>
      <c r="DK1296" t="s">
        <v>460</v>
      </c>
      <c r="DM1296" t="s">
        <v>16153</v>
      </c>
      <c r="DN1296" t="s">
        <v>16775</v>
      </c>
      <c r="DO1296" t="s">
        <v>273</v>
      </c>
      <c r="DP1296" t="s">
        <v>274</v>
      </c>
      <c r="DQ1296" t="s">
        <v>16776</v>
      </c>
      <c r="DR1296" t="s">
        <v>482</v>
      </c>
      <c r="DS1296" t="s">
        <v>5</v>
      </c>
      <c r="DT1296" t="s">
        <v>211</v>
      </c>
      <c r="DU1296" t="s">
        <v>206</v>
      </c>
      <c r="DW1296" t="s">
        <v>16777</v>
      </c>
      <c r="DX1296" t="s">
        <v>16778</v>
      </c>
      <c r="DY1296" t="s">
        <v>302</v>
      </c>
      <c r="DZ1296" t="s">
        <v>303</v>
      </c>
      <c r="EA1296" t="s">
        <v>16779</v>
      </c>
      <c r="EB1296" t="s">
        <v>482</v>
      </c>
      <c r="EC1296" t="s">
        <v>5</v>
      </c>
      <c r="ED1296" t="s">
        <v>211</v>
      </c>
      <c r="EE1296" t="s">
        <v>306</v>
      </c>
      <c r="EG1296" t="s">
        <v>16777</v>
      </c>
      <c r="EH1296" t="s">
        <v>13518</v>
      </c>
      <c r="EI1296" t="s">
        <v>238</v>
      </c>
      <c r="EJ1296" t="s">
        <v>239</v>
      </c>
      <c r="EK1296" t="s">
        <v>16780</v>
      </c>
      <c r="EL1296" t="s">
        <v>440</v>
      </c>
      <c r="EM1296" t="s">
        <v>183</v>
      </c>
      <c r="EN1296" t="s">
        <v>211</v>
      </c>
      <c r="EO1296" t="s">
        <v>298</v>
      </c>
      <c r="EQ1296" t="s">
        <v>1794</v>
      </c>
      <c r="ER1296" t="s">
        <v>16781</v>
      </c>
      <c r="ES1296" t="s">
        <v>346</v>
      </c>
      <c r="ET1296" t="s">
        <v>347</v>
      </c>
      <c r="EU1296" t="s">
        <v>16782</v>
      </c>
      <c r="EV1296" t="s">
        <v>1491</v>
      </c>
      <c r="EW1296" t="s">
        <v>183</v>
      </c>
      <c r="EX1296" t="s">
        <v>211</v>
      </c>
      <c r="EY1296" t="s">
        <v>345</v>
      </c>
      <c r="FA1296" t="s">
        <v>15986</v>
      </c>
      <c r="FB1296" t="s">
        <v>15554</v>
      </c>
      <c r="FC1296" t="s">
        <v>207</v>
      </c>
      <c r="FD1296" t="s">
        <v>208</v>
      </c>
      <c r="FE1296" t="s">
        <v>16783</v>
      </c>
      <c r="FF1296" t="s">
        <v>1966</v>
      </c>
      <c r="FG1296" t="s">
        <v>183</v>
      </c>
      <c r="FH1296" t="s">
        <v>211</v>
      </c>
      <c r="FI1296" t="s">
        <v>337</v>
      </c>
      <c r="FK1296" t="s">
        <v>4656</v>
      </c>
      <c r="FU1296" t="s">
        <v>198</v>
      </c>
    </row>
    <row r="1297" spans="1:177">
      <c r="A1297" s="1" t="str">
        <f>HYPERLINK("http://digipan.lumentumllc.com/apps/getLink/index.php?t=PropLink&amp;p=5247965","PL")</f>
        <v>PL</v>
      </c>
      <c r="B1297" s="1" t="str">
        <f>HYPERLINK("http://digipan.lumentumllc.com/apps/getLink/index.php?t=TaxLink&amp;p=5247965","TL")</f>
        <v>TL</v>
      </c>
      <c r="C1297" s="1" t="str">
        <f>HYPERLINK("http://digipan.lumentumllc.com/apps/getMap/index.php?p=5247965","Map")</f>
        <v>Map</v>
      </c>
      <c r="E1297" t="s">
        <v>177</v>
      </c>
      <c r="F1297" t="s">
        <v>178</v>
      </c>
      <c r="L1297" t="s">
        <v>16784</v>
      </c>
      <c r="N1297" t="s">
        <v>16784</v>
      </c>
      <c r="O1297" t="s">
        <v>16784</v>
      </c>
      <c r="P1297" t="s">
        <v>16785</v>
      </c>
      <c r="Q1297" t="s">
        <v>16784</v>
      </c>
      <c r="V1297">
        <v>1481</v>
      </c>
      <c r="W1297">
        <v>5</v>
      </c>
      <c r="X1297">
        <v>2017</v>
      </c>
      <c r="Y1297">
        <v>2018</v>
      </c>
      <c r="Z1297">
        <v>642.71</v>
      </c>
      <c r="AB1297" t="s">
        <v>181</v>
      </c>
      <c r="AC1297" t="s">
        <v>182</v>
      </c>
      <c r="AD1297" t="s">
        <v>183</v>
      </c>
      <c r="AE1297">
        <v>1</v>
      </c>
      <c r="AF1297">
        <v>7</v>
      </c>
      <c r="AG1297" t="s">
        <v>418</v>
      </c>
      <c r="AH1297">
        <v>86</v>
      </c>
      <c r="AI1297">
        <v>523.86</v>
      </c>
      <c r="AJ1297">
        <v>34.049999999999997</v>
      </c>
      <c r="AK1297">
        <v>557.91</v>
      </c>
      <c r="AL1297">
        <v>37761</v>
      </c>
      <c r="AM1297">
        <v>28000</v>
      </c>
      <c r="AN1297">
        <v>9761</v>
      </c>
      <c r="AO1297">
        <v>459</v>
      </c>
      <c r="AP1297">
        <v>2016</v>
      </c>
      <c r="AQ1297">
        <v>1.7</v>
      </c>
      <c r="AR1297">
        <v>1.48</v>
      </c>
      <c r="AS1297" t="s">
        <v>16786</v>
      </c>
      <c r="AT1297" t="s">
        <v>3210</v>
      </c>
      <c r="AU1297" t="s">
        <v>177</v>
      </c>
      <c r="AV1297" t="s">
        <v>2334</v>
      </c>
      <c r="AW1297" t="s">
        <v>182</v>
      </c>
      <c r="AX1297">
        <v>2</v>
      </c>
      <c r="AY1297" t="s">
        <v>188</v>
      </c>
      <c r="AZ1297" t="s">
        <v>189</v>
      </c>
      <c r="BA1297" t="s">
        <v>190</v>
      </c>
      <c r="BB1297" t="s">
        <v>191</v>
      </c>
      <c r="BC1297" t="s">
        <v>182</v>
      </c>
      <c r="BD1297" t="s">
        <v>182</v>
      </c>
      <c r="BE1297" t="s">
        <v>383</v>
      </c>
      <c r="BF1297">
        <v>1</v>
      </c>
      <c r="BG1297">
        <v>1</v>
      </c>
      <c r="BH1297">
        <v>1994</v>
      </c>
      <c r="BI1297" t="s">
        <v>10023</v>
      </c>
      <c r="BJ1297" t="s">
        <v>248</v>
      </c>
      <c r="BL1297" t="s">
        <v>3768</v>
      </c>
      <c r="BM1297" t="s">
        <v>501</v>
      </c>
      <c r="BN1297" t="s">
        <v>182</v>
      </c>
      <c r="BO1297" t="s">
        <v>198</v>
      </c>
      <c r="BP1297" t="s">
        <v>198</v>
      </c>
      <c r="BQ1297" t="s">
        <v>198</v>
      </c>
      <c r="BR1297" t="s">
        <v>198</v>
      </c>
      <c r="BS1297" t="s">
        <v>198</v>
      </c>
      <c r="BT1297" t="s">
        <v>198</v>
      </c>
      <c r="BU1297" t="s">
        <v>182</v>
      </c>
      <c r="BV1297" t="s">
        <v>198</v>
      </c>
      <c r="BW1297" t="s">
        <v>198</v>
      </c>
      <c r="BX1297" t="s">
        <v>199</v>
      </c>
      <c r="BY1297" t="s">
        <v>198</v>
      </c>
      <c r="BZ1297" t="s">
        <v>199</v>
      </c>
      <c r="CA1297" t="s">
        <v>199</v>
      </c>
      <c r="CB1297" t="s">
        <v>16787</v>
      </c>
      <c r="CC1297" t="s">
        <v>201</v>
      </c>
      <c r="CD1297" t="s">
        <v>182</v>
      </c>
      <c r="CE1297" t="s">
        <v>16788</v>
      </c>
      <c r="CF1297" t="s">
        <v>2333</v>
      </c>
      <c r="CG1297" t="s">
        <v>177</v>
      </c>
      <c r="CH1297" t="s">
        <v>2334</v>
      </c>
      <c r="CI1297" t="s">
        <v>16789</v>
      </c>
      <c r="CJ1297" t="s">
        <v>12421</v>
      </c>
      <c r="CK1297" t="s">
        <v>232</v>
      </c>
      <c r="CL1297" t="s">
        <v>233</v>
      </c>
      <c r="CM1297" t="s">
        <v>16790</v>
      </c>
      <c r="CN1297" t="s">
        <v>688</v>
      </c>
      <c r="CO1297" t="s">
        <v>183</v>
      </c>
      <c r="CP1297" t="s">
        <v>266</v>
      </c>
      <c r="CS1297" t="s">
        <v>198</v>
      </c>
      <c r="CT1297" t="s">
        <v>532</v>
      </c>
      <c r="CU1297" t="s">
        <v>292</v>
      </c>
      <c r="CV1297" t="s">
        <v>293</v>
      </c>
      <c r="CW1297" t="s">
        <v>16791</v>
      </c>
      <c r="CX1297" t="s">
        <v>387</v>
      </c>
      <c r="CY1297" t="s">
        <v>183</v>
      </c>
      <c r="CZ1297" t="s">
        <v>211</v>
      </c>
      <c r="DA1297" t="s">
        <v>345</v>
      </c>
      <c r="DC1297" t="s">
        <v>375</v>
      </c>
      <c r="DD1297" t="s">
        <v>13789</v>
      </c>
      <c r="DE1297" t="s">
        <v>267</v>
      </c>
      <c r="DF1297" t="s">
        <v>268</v>
      </c>
      <c r="DG1297" t="s">
        <v>16792</v>
      </c>
      <c r="DH1297" t="s">
        <v>331</v>
      </c>
      <c r="DI1297" t="s">
        <v>183</v>
      </c>
      <c r="DJ1297" t="s">
        <v>211</v>
      </c>
      <c r="DK1297" t="s">
        <v>345</v>
      </c>
      <c r="DM1297" t="s">
        <v>7547</v>
      </c>
      <c r="DN1297" t="s">
        <v>1893</v>
      </c>
      <c r="DO1297" t="s">
        <v>273</v>
      </c>
      <c r="DP1297" t="s">
        <v>274</v>
      </c>
      <c r="DQ1297" t="s">
        <v>16793</v>
      </c>
      <c r="DR1297" t="s">
        <v>796</v>
      </c>
      <c r="DS1297" t="s">
        <v>183</v>
      </c>
      <c r="DT1297" t="s">
        <v>211</v>
      </c>
      <c r="DU1297" t="s">
        <v>345</v>
      </c>
      <c r="DW1297" t="s">
        <v>5675</v>
      </c>
      <c r="DX1297" t="s">
        <v>16794</v>
      </c>
      <c r="DY1297" t="s">
        <v>302</v>
      </c>
      <c r="DZ1297" t="s">
        <v>303</v>
      </c>
      <c r="EA1297" t="s">
        <v>16795</v>
      </c>
      <c r="EB1297" t="s">
        <v>3342</v>
      </c>
      <c r="EC1297" t="s">
        <v>183</v>
      </c>
      <c r="ED1297" t="s">
        <v>211</v>
      </c>
      <c r="EE1297" t="s">
        <v>345</v>
      </c>
      <c r="EG1297" t="s">
        <v>16796</v>
      </c>
      <c r="EH1297" t="s">
        <v>16797</v>
      </c>
      <c r="EI1297" t="s">
        <v>238</v>
      </c>
      <c r="EJ1297" t="s">
        <v>239</v>
      </c>
      <c r="EK1297" t="s">
        <v>16798</v>
      </c>
      <c r="EL1297" t="s">
        <v>440</v>
      </c>
      <c r="EM1297" t="s">
        <v>183</v>
      </c>
      <c r="EN1297" t="s">
        <v>211</v>
      </c>
      <c r="EO1297" t="s">
        <v>298</v>
      </c>
      <c r="EQ1297" t="s">
        <v>467</v>
      </c>
      <c r="ER1297" t="s">
        <v>10274</v>
      </c>
      <c r="ES1297" t="s">
        <v>346</v>
      </c>
      <c r="ET1297" t="s">
        <v>347</v>
      </c>
      <c r="EU1297" t="s">
        <v>874</v>
      </c>
      <c r="EV1297" t="s">
        <v>1491</v>
      </c>
      <c r="EW1297" t="s">
        <v>183</v>
      </c>
      <c r="EX1297" t="s">
        <v>211</v>
      </c>
      <c r="EY1297" t="s">
        <v>345</v>
      </c>
      <c r="FA1297" t="s">
        <v>8421</v>
      </c>
      <c r="FB1297" t="s">
        <v>15572</v>
      </c>
      <c r="FC1297" t="s">
        <v>207</v>
      </c>
      <c r="FD1297" t="s">
        <v>208</v>
      </c>
      <c r="FE1297" t="s">
        <v>16799</v>
      </c>
      <c r="FF1297" t="s">
        <v>1966</v>
      </c>
      <c r="FG1297" t="s">
        <v>183</v>
      </c>
      <c r="FH1297" t="s">
        <v>211</v>
      </c>
      <c r="FI1297" t="s">
        <v>298</v>
      </c>
      <c r="FK1297" t="s">
        <v>6687</v>
      </c>
      <c r="FU1297" t="s">
        <v>198</v>
      </c>
    </row>
    <row r="1298" spans="1:177">
      <c r="A1298" s="1" t="str">
        <f>HYPERLINK("http://digipan.lumentumllc.com/apps/getLink/index.php?t=PropLink&amp;p=5247967","PL")</f>
        <v>PL</v>
      </c>
      <c r="B1298" s="1" t="str">
        <f>HYPERLINK("http://digipan.lumentumllc.com/apps/getLink/index.php?t=TaxLink&amp;p=5247967","TL")</f>
        <v>TL</v>
      </c>
      <c r="C1298" s="1" t="str">
        <f>HYPERLINK("http://digipan.lumentumllc.com/apps/getMap/index.php?p=5247967","Map")</f>
        <v>Map</v>
      </c>
      <c r="E1298" t="s">
        <v>177</v>
      </c>
      <c r="F1298" t="s">
        <v>178</v>
      </c>
      <c r="L1298" t="s">
        <v>16800</v>
      </c>
      <c r="N1298" t="s">
        <v>16800</v>
      </c>
      <c r="O1298" t="s">
        <v>16800</v>
      </c>
      <c r="P1298" t="s">
        <v>16801</v>
      </c>
      <c r="Q1298" t="s">
        <v>16800</v>
      </c>
      <c r="V1298">
        <v>1482</v>
      </c>
      <c r="W1298">
        <v>5</v>
      </c>
      <c r="X1298">
        <v>2017</v>
      </c>
      <c r="Y1298">
        <v>2018</v>
      </c>
      <c r="Z1298">
        <v>364.12</v>
      </c>
      <c r="AB1298" t="s">
        <v>181</v>
      </c>
      <c r="AC1298" t="s">
        <v>182</v>
      </c>
      <c r="AD1298" t="s">
        <v>183</v>
      </c>
      <c r="AE1298">
        <v>0</v>
      </c>
      <c r="AF1298">
        <v>4</v>
      </c>
      <c r="AG1298" t="s">
        <v>744</v>
      </c>
      <c r="AH1298">
        <v>100</v>
      </c>
      <c r="AK1298">
        <v>0</v>
      </c>
      <c r="AL1298">
        <v>64740</v>
      </c>
      <c r="AM1298">
        <v>28000</v>
      </c>
      <c r="AN1298">
        <v>36740</v>
      </c>
      <c r="AO1298">
        <v>297</v>
      </c>
      <c r="AP1298">
        <v>2016</v>
      </c>
      <c r="AQ1298">
        <v>0.56000000000000005</v>
      </c>
      <c r="AS1298" t="s">
        <v>16802</v>
      </c>
      <c r="AT1298" t="s">
        <v>3210</v>
      </c>
      <c r="AU1298" t="s">
        <v>177</v>
      </c>
      <c r="AV1298" t="s">
        <v>2334</v>
      </c>
      <c r="AW1298" t="s">
        <v>202</v>
      </c>
      <c r="AX1298">
        <v>2</v>
      </c>
      <c r="AY1298" t="s">
        <v>188</v>
      </c>
      <c r="AZ1298" t="s">
        <v>189</v>
      </c>
      <c r="BA1298" t="s">
        <v>190</v>
      </c>
      <c r="BB1298" t="s">
        <v>191</v>
      </c>
      <c r="BC1298" t="s">
        <v>182</v>
      </c>
      <c r="BD1298" t="s">
        <v>182</v>
      </c>
      <c r="BE1298" t="s">
        <v>383</v>
      </c>
      <c r="BF1298">
        <v>1</v>
      </c>
      <c r="BG1298">
        <v>1</v>
      </c>
      <c r="BH1298">
        <v>1986</v>
      </c>
      <c r="BI1298" t="s">
        <v>10295</v>
      </c>
      <c r="BJ1298" t="s">
        <v>194</v>
      </c>
      <c r="BK1298" t="s">
        <v>195</v>
      </c>
      <c r="BL1298" t="s">
        <v>16803</v>
      </c>
      <c r="BM1298" t="s">
        <v>346</v>
      </c>
      <c r="BN1298" t="s">
        <v>182</v>
      </c>
      <c r="BO1298" t="s">
        <v>16804</v>
      </c>
      <c r="BP1298" t="s">
        <v>16805</v>
      </c>
      <c r="BQ1298" t="s">
        <v>562</v>
      </c>
      <c r="BR1298" t="s">
        <v>2318</v>
      </c>
      <c r="BS1298" t="s">
        <v>198</v>
      </c>
      <c r="BT1298" t="s">
        <v>16806</v>
      </c>
      <c r="BU1298" t="s">
        <v>182</v>
      </c>
      <c r="BV1298" t="s">
        <v>198</v>
      </c>
      <c r="BW1298" t="s">
        <v>198</v>
      </c>
      <c r="BX1298" t="s">
        <v>199</v>
      </c>
      <c r="BY1298" t="s">
        <v>198</v>
      </c>
      <c r="BZ1298" t="s">
        <v>199</v>
      </c>
      <c r="CA1298" t="s">
        <v>199</v>
      </c>
      <c r="CB1298" t="s">
        <v>16807</v>
      </c>
      <c r="CC1298" t="s">
        <v>201</v>
      </c>
      <c r="CD1298" t="s">
        <v>182</v>
      </c>
      <c r="CE1298" t="s">
        <v>16808</v>
      </c>
      <c r="CF1298" t="s">
        <v>2333</v>
      </c>
      <c r="CG1298" t="s">
        <v>177</v>
      </c>
      <c r="CH1298" t="s">
        <v>2334</v>
      </c>
      <c r="CI1298" t="s">
        <v>16809</v>
      </c>
      <c r="CJ1298" t="s">
        <v>12784</v>
      </c>
      <c r="CK1298" t="s">
        <v>232</v>
      </c>
      <c r="CL1298" t="s">
        <v>233</v>
      </c>
      <c r="CM1298" t="s">
        <v>16810</v>
      </c>
      <c r="CN1298" t="s">
        <v>235</v>
      </c>
      <c r="CO1298" t="s">
        <v>183</v>
      </c>
      <c r="CP1298" t="s">
        <v>211</v>
      </c>
      <c r="CQ1298" t="s">
        <v>199</v>
      </c>
      <c r="CS1298" t="s">
        <v>16811</v>
      </c>
      <c r="CT1298" t="s">
        <v>14321</v>
      </c>
      <c r="CU1298" t="s">
        <v>302</v>
      </c>
      <c r="CV1298" t="s">
        <v>303</v>
      </c>
      <c r="CW1298" t="s">
        <v>16812</v>
      </c>
      <c r="CX1298" t="s">
        <v>235</v>
      </c>
      <c r="CY1298" t="s">
        <v>183</v>
      </c>
      <c r="CZ1298" t="s">
        <v>211</v>
      </c>
      <c r="DA1298" t="s">
        <v>206</v>
      </c>
      <c r="DC1298" t="s">
        <v>16813</v>
      </c>
      <c r="DD1298" t="s">
        <v>16814</v>
      </c>
      <c r="DE1298" t="s">
        <v>238</v>
      </c>
      <c r="DF1298" t="s">
        <v>239</v>
      </c>
      <c r="DG1298" t="s">
        <v>16815</v>
      </c>
      <c r="DH1298" t="s">
        <v>247</v>
      </c>
      <c r="DI1298" t="s">
        <v>183</v>
      </c>
      <c r="DJ1298" t="s">
        <v>211</v>
      </c>
      <c r="DK1298" t="s">
        <v>199</v>
      </c>
      <c r="DM1298" t="s">
        <v>6979</v>
      </c>
      <c r="DN1298" t="s">
        <v>16816</v>
      </c>
      <c r="DO1298" t="s">
        <v>346</v>
      </c>
      <c r="DP1298" t="s">
        <v>347</v>
      </c>
      <c r="DQ1298" t="s">
        <v>16817</v>
      </c>
      <c r="DR1298" t="s">
        <v>1491</v>
      </c>
      <c r="DS1298" t="s">
        <v>183</v>
      </c>
      <c r="DT1298" t="s">
        <v>211</v>
      </c>
      <c r="DU1298" t="s">
        <v>427</v>
      </c>
      <c r="DW1298" t="s">
        <v>6979</v>
      </c>
      <c r="EG1298" t="s">
        <v>198</v>
      </c>
      <c r="EQ1298" t="s">
        <v>198</v>
      </c>
      <c r="FA1298" t="s">
        <v>198</v>
      </c>
      <c r="FK1298" t="s">
        <v>198</v>
      </c>
      <c r="FU1298" t="s">
        <v>198</v>
      </c>
    </row>
    <row r="1299" spans="1:177">
      <c r="A1299" s="1" t="str">
        <f>HYPERLINK("http://digipan.lumentumllc.com/apps/getLink/index.php?t=PropLink&amp;p=15759577","PL")</f>
        <v>PL</v>
      </c>
      <c r="B1299" s="1" t="str">
        <f>HYPERLINK("http://digipan.lumentumllc.com/apps/getLink/index.php?t=TaxLink&amp;p=15759577","TL")</f>
        <v>TL</v>
      </c>
      <c r="C1299" s="1" t="str">
        <f>HYPERLINK("http://digipan.lumentumllc.com/apps/getMap/index.php?p=15759577","Map")</f>
        <v>Map</v>
      </c>
      <c r="E1299" t="s">
        <v>177</v>
      </c>
      <c r="F1299" t="s">
        <v>178</v>
      </c>
      <c r="L1299" t="s">
        <v>16818</v>
      </c>
      <c r="N1299" t="s">
        <v>16818</v>
      </c>
      <c r="O1299" t="s">
        <v>16818</v>
      </c>
      <c r="Q1299" t="s">
        <v>16818</v>
      </c>
      <c r="V1299">
        <v>1483</v>
      </c>
      <c r="W1299">
        <v>5</v>
      </c>
      <c r="X1299">
        <v>2017</v>
      </c>
      <c r="Y1299">
        <v>2018</v>
      </c>
      <c r="Z1299">
        <v>590.36</v>
      </c>
      <c r="AB1299" t="s">
        <v>181</v>
      </c>
      <c r="AC1299" t="s">
        <v>182</v>
      </c>
      <c r="AD1299" t="s">
        <v>183</v>
      </c>
      <c r="AE1299">
        <v>0</v>
      </c>
      <c r="AF1299">
        <v>1</v>
      </c>
      <c r="AG1299" t="s">
        <v>821</v>
      </c>
      <c r="AH1299">
        <v>100</v>
      </c>
      <c r="AK1299">
        <v>0</v>
      </c>
      <c r="AL1299">
        <v>81250</v>
      </c>
      <c r="AM1299">
        <v>28000</v>
      </c>
      <c r="AN1299">
        <v>53250</v>
      </c>
      <c r="AO1299">
        <v>516</v>
      </c>
      <c r="AP1299">
        <v>2016</v>
      </c>
      <c r="AQ1299">
        <v>0.73</v>
      </c>
      <c r="AS1299" t="s">
        <v>16819</v>
      </c>
      <c r="AT1299" t="s">
        <v>3210</v>
      </c>
      <c r="AU1299" t="s">
        <v>177</v>
      </c>
      <c r="AV1299" t="s">
        <v>2334</v>
      </c>
      <c r="AW1299" t="s">
        <v>202</v>
      </c>
      <c r="AX1299">
        <v>2</v>
      </c>
      <c r="AY1299" t="s">
        <v>188</v>
      </c>
      <c r="AZ1299" t="s">
        <v>189</v>
      </c>
      <c r="BA1299" t="s">
        <v>190</v>
      </c>
      <c r="BB1299" t="s">
        <v>191</v>
      </c>
      <c r="BC1299" t="s">
        <v>182</v>
      </c>
      <c r="BD1299" t="s">
        <v>182</v>
      </c>
      <c r="BE1299" t="s">
        <v>383</v>
      </c>
      <c r="BF1299">
        <v>1</v>
      </c>
      <c r="BG1299">
        <v>1</v>
      </c>
      <c r="BH1299">
        <v>2000</v>
      </c>
      <c r="BI1299" t="s">
        <v>839</v>
      </c>
      <c r="BJ1299" t="s">
        <v>248</v>
      </c>
      <c r="BK1299" t="s">
        <v>195</v>
      </c>
      <c r="BL1299" t="s">
        <v>199</v>
      </c>
      <c r="BM1299" t="s">
        <v>273</v>
      </c>
      <c r="BN1299" t="s">
        <v>182</v>
      </c>
      <c r="BO1299" t="s">
        <v>198</v>
      </c>
      <c r="BP1299" t="s">
        <v>198</v>
      </c>
      <c r="BQ1299" t="s">
        <v>198</v>
      </c>
      <c r="BR1299" t="s">
        <v>198</v>
      </c>
      <c r="BS1299" t="s">
        <v>198</v>
      </c>
      <c r="BT1299" t="s">
        <v>198</v>
      </c>
      <c r="BU1299" t="s">
        <v>182</v>
      </c>
      <c r="BV1299" t="s">
        <v>198</v>
      </c>
      <c r="BW1299" t="s">
        <v>198</v>
      </c>
      <c r="BX1299" t="s">
        <v>199</v>
      </c>
      <c r="BY1299" t="s">
        <v>198</v>
      </c>
      <c r="BZ1299" t="s">
        <v>199</v>
      </c>
      <c r="CA1299" t="s">
        <v>199</v>
      </c>
      <c r="CB1299" t="s">
        <v>16820</v>
      </c>
      <c r="CC1299" t="s">
        <v>201</v>
      </c>
      <c r="CD1299" t="s">
        <v>202</v>
      </c>
      <c r="CE1299" t="s">
        <v>16821</v>
      </c>
      <c r="CF1299" t="s">
        <v>5597</v>
      </c>
      <c r="CG1299" t="s">
        <v>5520</v>
      </c>
      <c r="CH1299" t="s">
        <v>16822</v>
      </c>
      <c r="CI1299" t="s">
        <v>16823</v>
      </c>
      <c r="CJ1299" t="s">
        <v>16824</v>
      </c>
      <c r="CK1299" t="s">
        <v>238</v>
      </c>
      <c r="CL1299" t="s">
        <v>239</v>
      </c>
      <c r="CM1299" t="s">
        <v>16825</v>
      </c>
      <c r="CN1299" t="s">
        <v>440</v>
      </c>
      <c r="CO1299" t="s">
        <v>183</v>
      </c>
      <c r="CP1299" t="s">
        <v>211</v>
      </c>
      <c r="CQ1299" t="s">
        <v>493</v>
      </c>
      <c r="CS1299" t="s">
        <v>8254</v>
      </c>
      <c r="DC1299" t="s">
        <v>198</v>
      </c>
      <c r="DM1299" t="s">
        <v>198</v>
      </c>
      <c r="DW1299" t="s">
        <v>198</v>
      </c>
      <c r="EG1299" t="s">
        <v>198</v>
      </c>
      <c r="EQ1299" t="s">
        <v>198</v>
      </c>
      <c r="FA1299" t="s">
        <v>198</v>
      </c>
      <c r="FK1299" t="s">
        <v>198</v>
      </c>
      <c r="FU1299" t="s">
        <v>198</v>
      </c>
    </row>
    <row r="1300" spans="1:177">
      <c r="A1300" s="1" t="str">
        <f>HYPERLINK("http://digipan.lumentumllc.com/apps/getLink/index.php?t=PropLink&amp;p=5247975","PL")</f>
        <v>PL</v>
      </c>
      <c r="B1300" s="1" t="str">
        <f>HYPERLINK("http://digipan.lumentumllc.com/apps/getLink/index.php?t=TaxLink&amp;p=5247975","TL")</f>
        <v>TL</v>
      </c>
      <c r="C1300" s="1" t="str">
        <f>HYPERLINK("http://digipan.lumentumllc.com/apps/getMap/index.php?p=5247975","Map")</f>
        <v>Map</v>
      </c>
      <c r="E1300" t="s">
        <v>177</v>
      </c>
      <c r="F1300" t="s">
        <v>178</v>
      </c>
      <c r="L1300" t="s">
        <v>16826</v>
      </c>
      <c r="N1300" t="s">
        <v>16826</v>
      </c>
      <c r="O1300" t="s">
        <v>16826</v>
      </c>
      <c r="P1300" t="s">
        <v>16827</v>
      </c>
      <c r="Q1300" t="s">
        <v>16826</v>
      </c>
      <c r="V1300">
        <v>1484</v>
      </c>
      <c r="W1300">
        <v>5</v>
      </c>
      <c r="X1300">
        <v>2017</v>
      </c>
      <c r="Y1300">
        <v>2018</v>
      </c>
      <c r="Z1300">
        <v>1103.81</v>
      </c>
      <c r="AB1300" t="s">
        <v>181</v>
      </c>
      <c r="AC1300" t="s">
        <v>182</v>
      </c>
      <c r="AD1300" t="s">
        <v>183</v>
      </c>
      <c r="AE1300">
        <v>0</v>
      </c>
      <c r="AF1300">
        <v>3</v>
      </c>
      <c r="AG1300" t="s">
        <v>216</v>
      </c>
      <c r="AH1300">
        <v>100</v>
      </c>
      <c r="AK1300">
        <v>0</v>
      </c>
      <c r="AL1300">
        <v>65464</v>
      </c>
      <c r="AM1300">
        <v>28000</v>
      </c>
      <c r="AN1300">
        <v>37464</v>
      </c>
      <c r="AO1300">
        <v>747</v>
      </c>
      <c r="AP1300">
        <v>2016</v>
      </c>
      <c r="AQ1300">
        <v>1.69</v>
      </c>
      <c r="AS1300" t="s">
        <v>16828</v>
      </c>
      <c r="AT1300" t="s">
        <v>3210</v>
      </c>
      <c r="AU1300" t="s">
        <v>177</v>
      </c>
      <c r="AV1300" t="s">
        <v>2334</v>
      </c>
      <c r="AW1300" t="s">
        <v>182</v>
      </c>
      <c r="AX1300">
        <v>2</v>
      </c>
      <c r="AY1300" t="s">
        <v>188</v>
      </c>
      <c r="AZ1300" t="s">
        <v>189</v>
      </c>
      <c r="BA1300" t="s">
        <v>190</v>
      </c>
      <c r="BB1300" t="s">
        <v>191</v>
      </c>
      <c r="BC1300" t="s">
        <v>182</v>
      </c>
      <c r="BD1300" t="s">
        <v>182</v>
      </c>
      <c r="BE1300" t="s">
        <v>383</v>
      </c>
      <c r="BF1300">
        <v>1</v>
      </c>
      <c r="BG1300">
        <v>1</v>
      </c>
      <c r="BH1300">
        <v>1987</v>
      </c>
      <c r="BI1300" t="s">
        <v>16829</v>
      </c>
      <c r="BJ1300" t="s">
        <v>194</v>
      </c>
      <c r="BK1300" t="s">
        <v>195</v>
      </c>
      <c r="BL1300" t="s">
        <v>938</v>
      </c>
      <c r="BM1300" t="s">
        <v>232</v>
      </c>
      <c r="BN1300" t="s">
        <v>182</v>
      </c>
      <c r="BO1300" t="s">
        <v>16830</v>
      </c>
      <c r="BP1300" t="s">
        <v>16831</v>
      </c>
      <c r="BQ1300" t="s">
        <v>562</v>
      </c>
      <c r="BR1300" t="s">
        <v>6200</v>
      </c>
      <c r="BS1300" t="s">
        <v>198</v>
      </c>
      <c r="BT1300" t="s">
        <v>16832</v>
      </c>
      <c r="BU1300" t="s">
        <v>182</v>
      </c>
      <c r="BV1300" t="s">
        <v>198</v>
      </c>
      <c r="BW1300" t="s">
        <v>198</v>
      </c>
      <c r="BX1300" t="s">
        <v>199</v>
      </c>
      <c r="BY1300" t="s">
        <v>198</v>
      </c>
      <c r="BZ1300" t="s">
        <v>199</v>
      </c>
      <c r="CA1300" t="s">
        <v>199</v>
      </c>
      <c r="CB1300" t="s">
        <v>16833</v>
      </c>
      <c r="CC1300" t="s">
        <v>201</v>
      </c>
      <c r="CD1300" t="s">
        <v>202</v>
      </c>
      <c r="CE1300" t="s">
        <v>16834</v>
      </c>
      <c r="CF1300" t="s">
        <v>16835</v>
      </c>
      <c r="CG1300" t="s">
        <v>3961</v>
      </c>
      <c r="CH1300" t="s">
        <v>16836</v>
      </c>
      <c r="CI1300" t="s">
        <v>16837</v>
      </c>
      <c r="CJ1300" t="s">
        <v>16838</v>
      </c>
      <c r="CK1300" t="s">
        <v>238</v>
      </c>
      <c r="CL1300" t="s">
        <v>239</v>
      </c>
      <c r="CM1300" t="s">
        <v>16839</v>
      </c>
      <c r="CN1300" t="s">
        <v>247</v>
      </c>
      <c r="CO1300" t="s">
        <v>183</v>
      </c>
      <c r="CP1300" t="s">
        <v>211</v>
      </c>
      <c r="CQ1300" t="s">
        <v>206</v>
      </c>
      <c r="CS1300" t="s">
        <v>16840</v>
      </c>
      <c r="CT1300" t="s">
        <v>16841</v>
      </c>
      <c r="CU1300" t="s">
        <v>346</v>
      </c>
      <c r="CV1300" t="s">
        <v>347</v>
      </c>
      <c r="CW1300" t="s">
        <v>16842</v>
      </c>
      <c r="CX1300" t="s">
        <v>1491</v>
      </c>
      <c r="CY1300" t="s">
        <v>183</v>
      </c>
      <c r="CZ1300" t="s">
        <v>211</v>
      </c>
      <c r="DA1300" t="s">
        <v>189</v>
      </c>
      <c r="DC1300" t="s">
        <v>16843</v>
      </c>
      <c r="DD1300" t="s">
        <v>15612</v>
      </c>
      <c r="DE1300" t="s">
        <v>207</v>
      </c>
      <c r="DF1300" t="s">
        <v>208</v>
      </c>
      <c r="DG1300" t="s">
        <v>16844</v>
      </c>
      <c r="DH1300" t="s">
        <v>1966</v>
      </c>
      <c r="DI1300" t="s">
        <v>183</v>
      </c>
      <c r="DJ1300" t="s">
        <v>211</v>
      </c>
      <c r="DK1300" t="s">
        <v>189</v>
      </c>
      <c r="DM1300" t="s">
        <v>11708</v>
      </c>
      <c r="DW1300" t="s">
        <v>198</v>
      </c>
      <c r="EG1300" t="s">
        <v>198</v>
      </c>
      <c r="EQ1300" t="s">
        <v>198</v>
      </c>
      <c r="FA1300" t="s">
        <v>198</v>
      </c>
      <c r="FK1300" t="s">
        <v>198</v>
      </c>
      <c r="FU1300" t="s">
        <v>198</v>
      </c>
    </row>
    <row r="1301" spans="1:177">
      <c r="A1301" s="1" t="str">
        <f>HYPERLINK("http://digipan.lumentumllc.com/apps/getLink/index.php?t=PropLink&amp;p=5247976","PL")</f>
        <v>PL</v>
      </c>
      <c r="B1301" s="1" t="str">
        <f>HYPERLINK("http://digipan.lumentumllc.com/apps/getLink/index.php?t=TaxLink&amp;p=5247976","TL")</f>
        <v>TL</v>
      </c>
      <c r="C1301" s="1" t="str">
        <f>HYPERLINK("http://digipan.lumentumllc.com/apps/getMap/index.php?p=5247976","Map")</f>
        <v>Map</v>
      </c>
      <c r="E1301" t="s">
        <v>177</v>
      </c>
      <c r="F1301" t="s">
        <v>178</v>
      </c>
      <c r="L1301" t="s">
        <v>16845</v>
      </c>
      <c r="N1301" t="s">
        <v>16845</v>
      </c>
      <c r="O1301" t="s">
        <v>16845</v>
      </c>
      <c r="P1301" t="s">
        <v>16846</v>
      </c>
      <c r="Q1301" t="s">
        <v>16845</v>
      </c>
      <c r="V1301">
        <v>1486</v>
      </c>
      <c r="W1301">
        <v>5</v>
      </c>
      <c r="X1301">
        <v>2017</v>
      </c>
      <c r="Y1301">
        <v>2018</v>
      </c>
      <c r="Z1301">
        <v>602.72</v>
      </c>
      <c r="AB1301" t="s">
        <v>181</v>
      </c>
      <c r="AC1301" t="s">
        <v>182</v>
      </c>
      <c r="AD1301" t="s">
        <v>183</v>
      </c>
      <c r="AE1301">
        <v>2</v>
      </c>
      <c r="AF1301">
        <v>2</v>
      </c>
      <c r="AG1301" t="s">
        <v>762</v>
      </c>
      <c r="AH1301">
        <v>50</v>
      </c>
      <c r="AI1301">
        <v>1019.7</v>
      </c>
      <c r="AJ1301">
        <v>183.4</v>
      </c>
      <c r="AK1301">
        <v>1203.0999999999999</v>
      </c>
      <c r="AL1301">
        <v>36692</v>
      </c>
      <c r="AM1301">
        <v>28000</v>
      </c>
      <c r="AN1301">
        <v>8692</v>
      </c>
      <c r="AO1301">
        <v>467</v>
      </c>
      <c r="AP1301">
        <v>2016</v>
      </c>
      <c r="AQ1301">
        <v>1.64</v>
      </c>
      <c r="AR1301">
        <v>3.28</v>
      </c>
      <c r="AS1301" t="s">
        <v>16847</v>
      </c>
      <c r="AT1301" t="s">
        <v>3210</v>
      </c>
      <c r="AU1301" t="s">
        <v>177</v>
      </c>
      <c r="AV1301" t="s">
        <v>2334</v>
      </c>
      <c r="AW1301" t="s">
        <v>182</v>
      </c>
      <c r="AX1301">
        <v>0</v>
      </c>
      <c r="AY1301" t="s">
        <v>312</v>
      </c>
      <c r="AZ1301" t="s">
        <v>199</v>
      </c>
      <c r="BA1301" t="s">
        <v>313</v>
      </c>
      <c r="BB1301" t="s">
        <v>191</v>
      </c>
      <c r="BC1301" t="s">
        <v>182</v>
      </c>
      <c r="BD1301" t="s">
        <v>182</v>
      </c>
      <c r="BE1301" t="s">
        <v>16848</v>
      </c>
      <c r="BF1301">
        <v>0</v>
      </c>
      <c r="BG1301">
        <v>0</v>
      </c>
      <c r="BH1301">
        <v>0</v>
      </c>
      <c r="BI1301" t="s">
        <v>199</v>
      </c>
      <c r="BJ1301" t="s">
        <v>248</v>
      </c>
      <c r="BL1301" t="s">
        <v>199</v>
      </c>
      <c r="BM1301" t="s">
        <v>292</v>
      </c>
      <c r="BN1301" t="s">
        <v>182</v>
      </c>
      <c r="BO1301" t="s">
        <v>198</v>
      </c>
      <c r="BP1301" t="s">
        <v>198</v>
      </c>
      <c r="BQ1301" t="s">
        <v>198</v>
      </c>
      <c r="BR1301" t="s">
        <v>198</v>
      </c>
      <c r="BS1301" t="s">
        <v>198</v>
      </c>
      <c r="BT1301" t="s">
        <v>198</v>
      </c>
      <c r="BU1301" t="s">
        <v>182</v>
      </c>
      <c r="BV1301" t="s">
        <v>198</v>
      </c>
      <c r="BW1301" t="s">
        <v>198</v>
      </c>
      <c r="BX1301" t="s">
        <v>199</v>
      </c>
      <c r="BY1301" t="s">
        <v>198</v>
      </c>
      <c r="BZ1301" t="s">
        <v>199</v>
      </c>
      <c r="CA1301" t="s">
        <v>199</v>
      </c>
      <c r="CB1301" t="s">
        <v>16849</v>
      </c>
      <c r="CC1301" t="s">
        <v>201</v>
      </c>
      <c r="CD1301" t="s">
        <v>202</v>
      </c>
      <c r="CE1301" t="s">
        <v>16850</v>
      </c>
      <c r="CF1301" t="s">
        <v>2333</v>
      </c>
      <c r="CG1301" t="s">
        <v>177</v>
      </c>
      <c r="CH1301" t="s">
        <v>2334</v>
      </c>
      <c r="CI1301" t="s">
        <v>9534</v>
      </c>
      <c r="CJ1301" t="s">
        <v>12481</v>
      </c>
      <c r="CK1301" t="s">
        <v>232</v>
      </c>
      <c r="CL1301" t="s">
        <v>233</v>
      </c>
      <c r="CM1301" t="s">
        <v>16851</v>
      </c>
      <c r="CN1301" t="s">
        <v>688</v>
      </c>
      <c r="CO1301" t="s">
        <v>183</v>
      </c>
      <c r="CP1301" t="s">
        <v>266</v>
      </c>
      <c r="CS1301" t="s">
        <v>198</v>
      </c>
      <c r="CT1301" t="s">
        <v>10452</v>
      </c>
      <c r="CU1301" t="s">
        <v>292</v>
      </c>
      <c r="CV1301" t="s">
        <v>293</v>
      </c>
      <c r="CW1301" t="s">
        <v>16852</v>
      </c>
      <c r="CX1301" t="s">
        <v>387</v>
      </c>
      <c r="CY1301" t="s">
        <v>183</v>
      </c>
      <c r="CZ1301" t="s">
        <v>266</v>
      </c>
      <c r="DC1301" t="s">
        <v>198</v>
      </c>
      <c r="DD1301" t="s">
        <v>15125</v>
      </c>
      <c r="DE1301" t="s">
        <v>267</v>
      </c>
      <c r="DF1301" t="s">
        <v>268</v>
      </c>
      <c r="DG1301" t="s">
        <v>16853</v>
      </c>
      <c r="DH1301" t="s">
        <v>331</v>
      </c>
      <c r="DI1301" t="s">
        <v>183</v>
      </c>
      <c r="DJ1301" t="s">
        <v>211</v>
      </c>
      <c r="DK1301" t="s">
        <v>298</v>
      </c>
      <c r="DM1301" t="s">
        <v>1611</v>
      </c>
      <c r="DN1301" t="s">
        <v>6524</v>
      </c>
      <c r="DO1301" t="s">
        <v>273</v>
      </c>
      <c r="DP1301" t="s">
        <v>274</v>
      </c>
      <c r="DQ1301" t="s">
        <v>16854</v>
      </c>
      <c r="DR1301" t="s">
        <v>235</v>
      </c>
      <c r="DS1301" t="s">
        <v>183</v>
      </c>
      <c r="DT1301" t="s">
        <v>211</v>
      </c>
      <c r="DU1301" t="s">
        <v>250</v>
      </c>
      <c r="DW1301" t="s">
        <v>15670</v>
      </c>
      <c r="EG1301" t="s">
        <v>198</v>
      </c>
      <c r="EQ1301" t="s">
        <v>198</v>
      </c>
      <c r="FA1301" t="s">
        <v>198</v>
      </c>
      <c r="FK1301" t="s">
        <v>198</v>
      </c>
      <c r="FU1301" t="s">
        <v>198</v>
      </c>
    </row>
    <row r="1302" spans="1:177">
      <c r="A1302" s="1" t="str">
        <f>HYPERLINK("http://digipan.lumentumllc.com/apps/getLink/index.php?t=PropLink&amp;p=6594363","PL")</f>
        <v>PL</v>
      </c>
      <c r="B1302" s="1" t="str">
        <f>HYPERLINK("http://digipan.lumentumllc.com/apps/getLink/index.php?t=TaxLink&amp;p=6594363","TL")</f>
        <v>TL</v>
      </c>
      <c r="C1302" s="1" t="str">
        <f>HYPERLINK("http://digipan.lumentumllc.com/apps/getMap/index.php?p=6594363","Map")</f>
        <v>Map</v>
      </c>
      <c r="E1302" t="s">
        <v>177</v>
      </c>
      <c r="F1302" t="s">
        <v>178</v>
      </c>
      <c r="L1302" t="s">
        <v>16855</v>
      </c>
      <c r="N1302" t="s">
        <v>16855</v>
      </c>
      <c r="O1302" t="s">
        <v>16855</v>
      </c>
      <c r="P1302" t="s">
        <v>16856</v>
      </c>
      <c r="Q1302" t="s">
        <v>16855</v>
      </c>
      <c r="V1302">
        <v>1487</v>
      </c>
      <c r="W1302">
        <v>5</v>
      </c>
      <c r="X1302">
        <v>2017</v>
      </c>
      <c r="Y1302">
        <v>2018</v>
      </c>
      <c r="Z1302">
        <v>1999.33</v>
      </c>
      <c r="AB1302" t="s">
        <v>181</v>
      </c>
      <c r="AC1302" t="s">
        <v>182</v>
      </c>
      <c r="AD1302" t="s">
        <v>183</v>
      </c>
      <c r="AE1302">
        <v>1</v>
      </c>
      <c r="AF1302">
        <v>2</v>
      </c>
      <c r="AG1302" t="s">
        <v>363</v>
      </c>
      <c r="AH1302">
        <v>67</v>
      </c>
      <c r="AI1302">
        <v>1653.12</v>
      </c>
      <c r="AJ1302">
        <v>82.66</v>
      </c>
      <c r="AK1302">
        <v>1735.78</v>
      </c>
      <c r="AL1302">
        <v>136233</v>
      </c>
      <c r="AM1302">
        <v>28000</v>
      </c>
      <c r="AN1302">
        <v>108233</v>
      </c>
      <c r="AO1302">
        <v>1504</v>
      </c>
      <c r="AP1302">
        <v>2016</v>
      </c>
      <c r="AQ1302">
        <v>1.47</v>
      </c>
      <c r="AR1302">
        <v>1.27</v>
      </c>
      <c r="AS1302" t="s">
        <v>16857</v>
      </c>
      <c r="AT1302" t="s">
        <v>3210</v>
      </c>
      <c r="AU1302" t="s">
        <v>177</v>
      </c>
      <c r="AV1302" t="s">
        <v>2334</v>
      </c>
      <c r="AW1302" t="s">
        <v>182</v>
      </c>
      <c r="AX1302">
        <v>2</v>
      </c>
      <c r="AY1302" t="s">
        <v>188</v>
      </c>
      <c r="AZ1302" t="s">
        <v>189</v>
      </c>
      <c r="BA1302" t="s">
        <v>190</v>
      </c>
      <c r="BB1302" t="s">
        <v>191</v>
      </c>
      <c r="BC1302" t="s">
        <v>182</v>
      </c>
      <c r="BD1302" t="s">
        <v>182</v>
      </c>
      <c r="BE1302" t="s">
        <v>383</v>
      </c>
      <c r="BF1302">
        <v>1</v>
      </c>
      <c r="BG1302">
        <v>1</v>
      </c>
      <c r="BH1302">
        <v>2001</v>
      </c>
      <c r="BI1302" t="s">
        <v>16858</v>
      </c>
      <c r="BJ1302" t="s">
        <v>194</v>
      </c>
      <c r="BK1302" t="s">
        <v>195</v>
      </c>
      <c r="BL1302" t="s">
        <v>2395</v>
      </c>
      <c r="BM1302" t="s">
        <v>1041</v>
      </c>
      <c r="BN1302" t="s">
        <v>182</v>
      </c>
      <c r="BO1302" t="s">
        <v>1204</v>
      </c>
      <c r="BP1302" t="s">
        <v>16859</v>
      </c>
      <c r="BQ1302" t="s">
        <v>800</v>
      </c>
      <c r="BS1302" t="s">
        <v>198</v>
      </c>
      <c r="BT1302" t="s">
        <v>16860</v>
      </c>
      <c r="BU1302" t="s">
        <v>182</v>
      </c>
      <c r="BV1302" t="s">
        <v>198</v>
      </c>
      <c r="BW1302" t="s">
        <v>198</v>
      </c>
      <c r="BX1302" t="s">
        <v>199</v>
      </c>
      <c r="BY1302" t="s">
        <v>198</v>
      </c>
      <c r="BZ1302" t="s">
        <v>199</v>
      </c>
      <c r="CA1302" t="s">
        <v>199</v>
      </c>
      <c r="CB1302" t="s">
        <v>8499</v>
      </c>
      <c r="CC1302" t="s">
        <v>201</v>
      </c>
      <c r="CD1302" t="s">
        <v>182</v>
      </c>
      <c r="CE1302" t="s">
        <v>8500</v>
      </c>
      <c r="CF1302" t="s">
        <v>2333</v>
      </c>
      <c r="CG1302" t="s">
        <v>177</v>
      </c>
      <c r="CH1302" t="s">
        <v>2334</v>
      </c>
      <c r="CI1302" t="s">
        <v>16861</v>
      </c>
      <c r="CJ1302" t="s">
        <v>12515</v>
      </c>
      <c r="CK1302" t="s">
        <v>232</v>
      </c>
      <c r="CL1302" t="s">
        <v>233</v>
      </c>
      <c r="CM1302" t="s">
        <v>16862</v>
      </c>
      <c r="CN1302" t="s">
        <v>235</v>
      </c>
      <c r="CO1302" t="s">
        <v>183</v>
      </c>
      <c r="CP1302" t="s">
        <v>266</v>
      </c>
      <c r="CS1302" t="s">
        <v>198</v>
      </c>
      <c r="CT1302" t="s">
        <v>7986</v>
      </c>
      <c r="CU1302" t="s">
        <v>292</v>
      </c>
      <c r="CV1302" t="s">
        <v>293</v>
      </c>
      <c r="CW1302" t="s">
        <v>16863</v>
      </c>
      <c r="CX1302" t="s">
        <v>235</v>
      </c>
      <c r="CY1302" t="s">
        <v>183</v>
      </c>
      <c r="CZ1302" t="s">
        <v>211</v>
      </c>
      <c r="DA1302" t="s">
        <v>270</v>
      </c>
      <c r="DC1302" t="s">
        <v>10934</v>
      </c>
      <c r="DD1302" t="s">
        <v>15137</v>
      </c>
      <c r="DE1302" t="s">
        <v>267</v>
      </c>
      <c r="DF1302" t="s">
        <v>268</v>
      </c>
      <c r="DG1302" t="s">
        <v>16864</v>
      </c>
      <c r="DH1302" t="s">
        <v>235</v>
      </c>
      <c r="DI1302" t="s">
        <v>183</v>
      </c>
      <c r="DJ1302" t="s">
        <v>211</v>
      </c>
      <c r="DK1302" t="s">
        <v>270</v>
      </c>
      <c r="DM1302" t="s">
        <v>4871</v>
      </c>
      <c r="DW1302" t="s">
        <v>198</v>
      </c>
      <c r="EG1302" t="s">
        <v>198</v>
      </c>
      <c r="EQ1302" t="s">
        <v>198</v>
      </c>
      <c r="FA1302" t="s">
        <v>198</v>
      </c>
      <c r="FK1302" t="s">
        <v>198</v>
      </c>
      <c r="FU1302" t="s">
        <v>198</v>
      </c>
    </row>
    <row r="1303" spans="1:177">
      <c r="A1303" s="1" t="str">
        <f>HYPERLINK("http://digipan.lumentumllc.com/apps/getLink/index.php?t=PropLink&amp;p=5247979","PL")</f>
        <v>PL</v>
      </c>
      <c r="B1303" s="1" t="str">
        <f>HYPERLINK("http://digipan.lumentumllc.com/apps/getLink/index.php?t=TaxLink&amp;p=5247979","TL")</f>
        <v>TL</v>
      </c>
      <c r="C1303" s="1" t="str">
        <f>HYPERLINK("http://digipan.lumentumllc.com/apps/getMap/index.php?p=5247979","Map")</f>
        <v>Map</v>
      </c>
      <c r="E1303" t="s">
        <v>177</v>
      </c>
      <c r="F1303" t="s">
        <v>178</v>
      </c>
      <c r="L1303" t="s">
        <v>16865</v>
      </c>
      <c r="N1303" t="s">
        <v>16865</v>
      </c>
      <c r="O1303" t="s">
        <v>16865</v>
      </c>
      <c r="P1303" t="s">
        <v>16866</v>
      </c>
      <c r="Q1303" t="s">
        <v>16865</v>
      </c>
      <c r="V1303">
        <v>1488</v>
      </c>
      <c r="W1303">
        <v>5</v>
      </c>
      <c r="X1303">
        <v>2017</v>
      </c>
      <c r="Y1303">
        <v>2018</v>
      </c>
      <c r="Z1303">
        <v>508.58</v>
      </c>
      <c r="AB1303" t="s">
        <v>181</v>
      </c>
      <c r="AC1303" t="s">
        <v>182</v>
      </c>
      <c r="AD1303" t="s">
        <v>183</v>
      </c>
      <c r="AE1303">
        <v>1</v>
      </c>
      <c r="AF1303">
        <v>6</v>
      </c>
      <c r="AG1303" t="s">
        <v>322</v>
      </c>
      <c r="AH1303">
        <v>83</v>
      </c>
      <c r="AI1303">
        <v>502.25</v>
      </c>
      <c r="AJ1303">
        <v>25.11</v>
      </c>
      <c r="AK1303">
        <v>527.36</v>
      </c>
      <c r="AL1303">
        <v>83848</v>
      </c>
      <c r="AM1303">
        <v>28000</v>
      </c>
      <c r="AN1303">
        <v>55848</v>
      </c>
      <c r="AO1303">
        <v>439</v>
      </c>
      <c r="AP1303">
        <v>2016</v>
      </c>
      <c r="AQ1303">
        <v>0.61</v>
      </c>
      <c r="AR1303">
        <v>0.63</v>
      </c>
      <c r="AS1303" t="s">
        <v>16867</v>
      </c>
      <c r="AT1303" t="s">
        <v>3210</v>
      </c>
      <c r="AU1303" t="s">
        <v>177</v>
      </c>
      <c r="AV1303" t="s">
        <v>2334</v>
      </c>
      <c r="AW1303" t="s">
        <v>202</v>
      </c>
      <c r="AX1303">
        <v>2</v>
      </c>
      <c r="AY1303" t="s">
        <v>188</v>
      </c>
      <c r="AZ1303" t="s">
        <v>189</v>
      </c>
      <c r="BA1303" t="s">
        <v>190</v>
      </c>
      <c r="BB1303" t="s">
        <v>191</v>
      </c>
      <c r="BC1303" t="s">
        <v>182</v>
      </c>
      <c r="BD1303" t="s">
        <v>182</v>
      </c>
      <c r="BE1303" t="s">
        <v>383</v>
      </c>
      <c r="BF1303">
        <v>1</v>
      </c>
      <c r="BG1303">
        <v>1</v>
      </c>
      <c r="BH1303">
        <v>1994</v>
      </c>
      <c r="BI1303" t="s">
        <v>16868</v>
      </c>
      <c r="BJ1303" t="s">
        <v>194</v>
      </c>
      <c r="BK1303" t="s">
        <v>195</v>
      </c>
      <c r="BL1303" t="s">
        <v>2581</v>
      </c>
      <c r="BM1303" t="s">
        <v>3644</v>
      </c>
      <c r="BN1303" t="s">
        <v>182</v>
      </c>
      <c r="BO1303" t="s">
        <v>198</v>
      </c>
      <c r="BP1303" t="s">
        <v>198</v>
      </c>
      <c r="BQ1303" t="s">
        <v>198</v>
      </c>
      <c r="BR1303" t="s">
        <v>198</v>
      </c>
      <c r="BS1303" t="s">
        <v>198</v>
      </c>
      <c r="BT1303" t="s">
        <v>198</v>
      </c>
      <c r="BU1303" t="s">
        <v>182</v>
      </c>
      <c r="BV1303" t="s">
        <v>198</v>
      </c>
      <c r="BW1303" t="s">
        <v>198</v>
      </c>
      <c r="BX1303" t="s">
        <v>199</v>
      </c>
      <c r="BY1303" t="s">
        <v>198</v>
      </c>
      <c r="BZ1303" t="s">
        <v>199</v>
      </c>
      <c r="CA1303" t="s">
        <v>199</v>
      </c>
      <c r="CB1303" t="s">
        <v>16869</v>
      </c>
      <c r="CC1303" t="s">
        <v>201</v>
      </c>
      <c r="CD1303" t="s">
        <v>182</v>
      </c>
      <c r="CE1303" t="s">
        <v>16870</v>
      </c>
      <c r="CF1303" t="s">
        <v>2333</v>
      </c>
      <c r="CG1303" t="s">
        <v>177</v>
      </c>
      <c r="CH1303" t="s">
        <v>2334</v>
      </c>
      <c r="CI1303" t="s">
        <v>16871</v>
      </c>
      <c r="CJ1303" t="s">
        <v>15302</v>
      </c>
      <c r="CK1303" t="s">
        <v>232</v>
      </c>
      <c r="CL1303" t="s">
        <v>233</v>
      </c>
      <c r="CM1303" t="s">
        <v>16872</v>
      </c>
      <c r="CN1303" t="s">
        <v>235</v>
      </c>
      <c r="CO1303" t="s">
        <v>183</v>
      </c>
      <c r="CP1303" t="s">
        <v>266</v>
      </c>
      <c r="CS1303" t="s">
        <v>198</v>
      </c>
      <c r="CT1303" t="s">
        <v>15980</v>
      </c>
      <c r="CU1303" t="s">
        <v>267</v>
      </c>
      <c r="CV1303" t="s">
        <v>268</v>
      </c>
      <c r="CW1303" t="s">
        <v>16873</v>
      </c>
      <c r="CX1303" t="s">
        <v>235</v>
      </c>
      <c r="CY1303" t="s">
        <v>183</v>
      </c>
      <c r="CZ1303" t="s">
        <v>211</v>
      </c>
      <c r="DA1303" t="s">
        <v>212</v>
      </c>
      <c r="DC1303" t="s">
        <v>16874</v>
      </c>
      <c r="DD1303" t="s">
        <v>16875</v>
      </c>
      <c r="DE1303" t="s">
        <v>273</v>
      </c>
      <c r="DF1303" t="s">
        <v>274</v>
      </c>
      <c r="DG1303" t="s">
        <v>16876</v>
      </c>
      <c r="DH1303" t="s">
        <v>235</v>
      </c>
      <c r="DI1303" t="s">
        <v>183</v>
      </c>
      <c r="DJ1303" t="s">
        <v>211</v>
      </c>
      <c r="DK1303" t="s">
        <v>298</v>
      </c>
      <c r="DM1303" t="s">
        <v>3727</v>
      </c>
      <c r="DN1303" t="s">
        <v>16877</v>
      </c>
      <c r="DO1303" t="s">
        <v>302</v>
      </c>
      <c r="DP1303" t="s">
        <v>303</v>
      </c>
      <c r="DQ1303" t="s">
        <v>16878</v>
      </c>
      <c r="DR1303" t="s">
        <v>235</v>
      </c>
      <c r="DS1303" t="s">
        <v>183</v>
      </c>
      <c r="DT1303" t="s">
        <v>211</v>
      </c>
      <c r="DU1303" t="s">
        <v>298</v>
      </c>
      <c r="DW1303" t="s">
        <v>3499</v>
      </c>
      <c r="DX1303" t="s">
        <v>16879</v>
      </c>
      <c r="DY1303" t="s">
        <v>238</v>
      </c>
      <c r="DZ1303" t="s">
        <v>239</v>
      </c>
      <c r="EA1303" t="s">
        <v>16880</v>
      </c>
      <c r="EB1303" t="s">
        <v>278</v>
      </c>
      <c r="EC1303" t="s">
        <v>183</v>
      </c>
      <c r="ED1303" t="s">
        <v>211</v>
      </c>
      <c r="EE1303" t="s">
        <v>212</v>
      </c>
      <c r="EG1303" t="s">
        <v>918</v>
      </c>
      <c r="EH1303" t="s">
        <v>16881</v>
      </c>
      <c r="EI1303" t="s">
        <v>346</v>
      </c>
      <c r="EJ1303" t="s">
        <v>347</v>
      </c>
      <c r="EK1303" t="s">
        <v>16882</v>
      </c>
      <c r="EL1303" t="s">
        <v>688</v>
      </c>
      <c r="EM1303" t="s">
        <v>183</v>
      </c>
      <c r="EN1303" t="s">
        <v>211</v>
      </c>
      <c r="EO1303" t="s">
        <v>212</v>
      </c>
      <c r="EQ1303" t="s">
        <v>9783</v>
      </c>
      <c r="ER1303" t="s">
        <v>3593</v>
      </c>
      <c r="ES1303" t="s">
        <v>207</v>
      </c>
      <c r="ET1303" t="s">
        <v>208</v>
      </c>
      <c r="EU1303" t="s">
        <v>16883</v>
      </c>
      <c r="EV1303" t="s">
        <v>1966</v>
      </c>
      <c r="EW1303" t="s">
        <v>183</v>
      </c>
      <c r="EX1303" t="s">
        <v>211</v>
      </c>
      <c r="EY1303" t="s">
        <v>298</v>
      </c>
      <c r="FA1303" t="s">
        <v>446</v>
      </c>
      <c r="FK1303" t="s">
        <v>198</v>
      </c>
      <c r="FU1303" t="s">
        <v>198</v>
      </c>
    </row>
    <row r="1304" spans="1:177">
      <c r="A1304" s="1" t="str">
        <f>HYPERLINK("http://digipan.lumentumllc.com/apps/getLink/index.php?t=PropLink&amp;p=5247980","PL")</f>
        <v>PL</v>
      </c>
      <c r="B1304" s="1" t="str">
        <f>HYPERLINK("http://digipan.lumentumllc.com/apps/getLink/index.php?t=TaxLink&amp;p=5247980","TL")</f>
        <v>TL</v>
      </c>
      <c r="C1304" s="1" t="str">
        <f>HYPERLINK("http://digipan.lumentumllc.com/apps/getMap/index.php?p=5247980","Map")</f>
        <v>Map</v>
      </c>
      <c r="E1304" t="s">
        <v>177</v>
      </c>
      <c r="F1304" t="s">
        <v>178</v>
      </c>
      <c r="L1304" t="s">
        <v>16884</v>
      </c>
      <c r="N1304" t="s">
        <v>16884</v>
      </c>
      <c r="O1304" t="s">
        <v>16884</v>
      </c>
      <c r="P1304" t="s">
        <v>16885</v>
      </c>
      <c r="Q1304" t="s">
        <v>16884</v>
      </c>
      <c r="V1304">
        <v>1489</v>
      </c>
      <c r="W1304">
        <v>5</v>
      </c>
      <c r="X1304">
        <v>2017</v>
      </c>
      <c r="Y1304">
        <v>2018</v>
      </c>
      <c r="Z1304">
        <v>596.87</v>
      </c>
      <c r="AB1304" t="s">
        <v>181</v>
      </c>
      <c r="AC1304" t="s">
        <v>182</v>
      </c>
      <c r="AD1304" t="s">
        <v>183</v>
      </c>
      <c r="AE1304">
        <v>0</v>
      </c>
      <c r="AF1304">
        <v>5</v>
      </c>
      <c r="AG1304" t="s">
        <v>744</v>
      </c>
      <c r="AH1304">
        <v>100</v>
      </c>
      <c r="AK1304">
        <v>0</v>
      </c>
      <c r="AL1304">
        <v>36468</v>
      </c>
      <c r="AM1304">
        <v>28000</v>
      </c>
      <c r="AN1304">
        <v>8468</v>
      </c>
      <c r="AO1304">
        <v>462</v>
      </c>
      <c r="AP1304">
        <v>2016</v>
      </c>
      <c r="AQ1304">
        <v>1.64</v>
      </c>
      <c r="AS1304" t="s">
        <v>16886</v>
      </c>
      <c r="AT1304" t="s">
        <v>3210</v>
      </c>
      <c r="AU1304" t="s">
        <v>177</v>
      </c>
      <c r="AV1304" t="s">
        <v>2334</v>
      </c>
      <c r="AW1304" t="s">
        <v>182</v>
      </c>
      <c r="AX1304">
        <v>0</v>
      </c>
      <c r="AY1304" t="s">
        <v>312</v>
      </c>
      <c r="AZ1304" t="s">
        <v>199</v>
      </c>
      <c r="BA1304" t="s">
        <v>313</v>
      </c>
      <c r="BB1304" t="s">
        <v>191</v>
      </c>
      <c r="BC1304" t="s">
        <v>182</v>
      </c>
      <c r="BD1304" t="s">
        <v>182</v>
      </c>
      <c r="BE1304" t="s">
        <v>5145</v>
      </c>
      <c r="BF1304">
        <v>0</v>
      </c>
      <c r="BG1304">
        <v>0</v>
      </c>
      <c r="BH1304">
        <v>0</v>
      </c>
      <c r="BI1304" t="s">
        <v>199</v>
      </c>
      <c r="BJ1304" t="s">
        <v>248</v>
      </c>
      <c r="BL1304" t="s">
        <v>841</v>
      </c>
      <c r="BM1304" t="s">
        <v>945</v>
      </c>
      <c r="BN1304" t="s">
        <v>182</v>
      </c>
      <c r="BO1304" t="s">
        <v>198</v>
      </c>
      <c r="BP1304" t="s">
        <v>198</v>
      </c>
      <c r="BQ1304" t="s">
        <v>198</v>
      </c>
      <c r="BR1304" t="s">
        <v>198</v>
      </c>
      <c r="BS1304" t="s">
        <v>198</v>
      </c>
      <c r="BT1304" t="s">
        <v>198</v>
      </c>
      <c r="BU1304" t="s">
        <v>182</v>
      </c>
      <c r="BV1304" t="s">
        <v>198</v>
      </c>
      <c r="BW1304" t="s">
        <v>198</v>
      </c>
      <c r="BX1304" t="s">
        <v>199</v>
      </c>
      <c r="BY1304" t="s">
        <v>198</v>
      </c>
      <c r="BZ1304" t="s">
        <v>199</v>
      </c>
      <c r="CA1304" t="s">
        <v>199</v>
      </c>
      <c r="CB1304" t="s">
        <v>16887</v>
      </c>
      <c r="CC1304" t="s">
        <v>201</v>
      </c>
      <c r="CD1304" t="s">
        <v>202</v>
      </c>
      <c r="CE1304" t="s">
        <v>16888</v>
      </c>
      <c r="CF1304" t="s">
        <v>2333</v>
      </c>
      <c r="CG1304" t="s">
        <v>177</v>
      </c>
      <c r="CH1304" t="s">
        <v>2334</v>
      </c>
      <c r="CI1304" t="s">
        <v>16889</v>
      </c>
      <c r="CJ1304" t="s">
        <v>15169</v>
      </c>
      <c r="CK1304" t="s">
        <v>267</v>
      </c>
      <c r="CL1304" t="s">
        <v>268</v>
      </c>
      <c r="CM1304" t="s">
        <v>16890</v>
      </c>
      <c r="CN1304" t="s">
        <v>331</v>
      </c>
      <c r="CO1304" t="s">
        <v>183</v>
      </c>
      <c r="CP1304" t="s">
        <v>211</v>
      </c>
      <c r="CQ1304" t="s">
        <v>342</v>
      </c>
      <c r="CS1304" t="s">
        <v>4483</v>
      </c>
      <c r="CT1304" t="s">
        <v>16891</v>
      </c>
      <c r="CU1304" t="s">
        <v>273</v>
      </c>
      <c r="CV1304" t="s">
        <v>274</v>
      </c>
      <c r="CW1304" t="s">
        <v>16892</v>
      </c>
      <c r="CX1304" t="s">
        <v>796</v>
      </c>
      <c r="CY1304" t="s">
        <v>183</v>
      </c>
      <c r="CZ1304" t="s">
        <v>211</v>
      </c>
      <c r="DA1304" t="s">
        <v>345</v>
      </c>
      <c r="DC1304" t="s">
        <v>4483</v>
      </c>
      <c r="DD1304" t="s">
        <v>16893</v>
      </c>
      <c r="DE1304" t="s">
        <v>238</v>
      </c>
      <c r="DF1304" t="s">
        <v>239</v>
      </c>
      <c r="DG1304" t="s">
        <v>16894</v>
      </c>
      <c r="DH1304" t="s">
        <v>440</v>
      </c>
      <c r="DI1304" t="s">
        <v>183</v>
      </c>
      <c r="DJ1304" t="s">
        <v>211</v>
      </c>
      <c r="DK1304" t="s">
        <v>270</v>
      </c>
      <c r="DM1304" t="s">
        <v>9506</v>
      </c>
      <c r="DN1304" t="s">
        <v>16895</v>
      </c>
      <c r="DO1304" t="s">
        <v>346</v>
      </c>
      <c r="DP1304" t="s">
        <v>347</v>
      </c>
      <c r="DQ1304" t="s">
        <v>16896</v>
      </c>
      <c r="DR1304" t="s">
        <v>1491</v>
      </c>
      <c r="DS1304" t="s">
        <v>183</v>
      </c>
      <c r="DT1304" t="s">
        <v>211</v>
      </c>
      <c r="DU1304" t="s">
        <v>337</v>
      </c>
      <c r="DW1304" t="s">
        <v>9506</v>
      </c>
      <c r="DX1304" t="s">
        <v>8346</v>
      </c>
      <c r="DY1304" t="s">
        <v>207</v>
      </c>
      <c r="DZ1304" t="s">
        <v>208</v>
      </c>
      <c r="EA1304" t="s">
        <v>16897</v>
      </c>
      <c r="EB1304" t="s">
        <v>1966</v>
      </c>
      <c r="EC1304" t="s">
        <v>183</v>
      </c>
      <c r="ED1304" t="s">
        <v>211</v>
      </c>
      <c r="EE1304" t="s">
        <v>298</v>
      </c>
      <c r="EG1304" t="s">
        <v>1167</v>
      </c>
      <c r="EQ1304" t="s">
        <v>198</v>
      </c>
      <c r="FA1304" t="s">
        <v>198</v>
      </c>
      <c r="FK1304" t="s">
        <v>198</v>
      </c>
      <c r="FU1304" t="s">
        <v>198</v>
      </c>
    </row>
    <row r="1305" spans="1:177">
      <c r="A1305" s="1" t="str">
        <f>HYPERLINK("http://digipan.lumentumllc.com/apps/getLink/index.php?t=PropLink&amp;p=6886845","PL")</f>
        <v>PL</v>
      </c>
      <c r="B1305" s="1" t="str">
        <f>HYPERLINK("http://digipan.lumentumllc.com/apps/getLink/index.php?t=TaxLink&amp;p=6886845","TL")</f>
        <v>TL</v>
      </c>
      <c r="C1305" s="1" t="str">
        <f>HYPERLINK("http://digipan.lumentumllc.com/apps/getMap/index.php?p=6886845","Map")</f>
        <v>Map</v>
      </c>
      <c r="E1305" t="s">
        <v>177</v>
      </c>
      <c r="F1305" t="s">
        <v>178</v>
      </c>
      <c r="L1305" t="s">
        <v>16898</v>
      </c>
      <c r="N1305" t="s">
        <v>16898</v>
      </c>
      <c r="O1305" t="s">
        <v>16898</v>
      </c>
      <c r="P1305" t="s">
        <v>16899</v>
      </c>
      <c r="Q1305" t="s">
        <v>16898</v>
      </c>
      <c r="V1305">
        <v>1492</v>
      </c>
      <c r="W1305">
        <v>5</v>
      </c>
      <c r="X1305">
        <v>2017</v>
      </c>
      <c r="Y1305">
        <v>2018</v>
      </c>
      <c r="Z1305">
        <v>370.49</v>
      </c>
      <c r="AB1305" t="s">
        <v>181</v>
      </c>
      <c r="AC1305" t="s">
        <v>182</v>
      </c>
      <c r="AD1305" t="s">
        <v>183</v>
      </c>
      <c r="AE1305">
        <v>1</v>
      </c>
      <c r="AF1305">
        <v>2</v>
      </c>
      <c r="AG1305" t="s">
        <v>363</v>
      </c>
      <c r="AH1305">
        <v>67</v>
      </c>
      <c r="AI1305">
        <v>354.64</v>
      </c>
      <c r="AJ1305">
        <v>17.73</v>
      </c>
      <c r="AK1305">
        <v>372.37</v>
      </c>
      <c r="AL1305">
        <v>59245</v>
      </c>
      <c r="AM1305">
        <v>28000</v>
      </c>
      <c r="AN1305">
        <v>31245</v>
      </c>
      <c r="AO1305">
        <v>303</v>
      </c>
      <c r="AP1305">
        <v>2016</v>
      </c>
      <c r="AQ1305">
        <v>0.63</v>
      </c>
      <c r="AR1305">
        <v>0.63</v>
      </c>
      <c r="AS1305" t="s">
        <v>16900</v>
      </c>
      <c r="AT1305" t="s">
        <v>3210</v>
      </c>
      <c r="AU1305" t="s">
        <v>177</v>
      </c>
      <c r="AV1305" t="s">
        <v>2334</v>
      </c>
      <c r="AW1305" t="s">
        <v>202</v>
      </c>
      <c r="AX1305">
        <v>2</v>
      </c>
      <c r="AY1305" t="s">
        <v>188</v>
      </c>
      <c r="AZ1305" t="s">
        <v>189</v>
      </c>
      <c r="BA1305" t="s">
        <v>190</v>
      </c>
      <c r="BB1305" t="s">
        <v>191</v>
      </c>
      <c r="BC1305" t="s">
        <v>182</v>
      </c>
      <c r="BD1305" t="s">
        <v>182</v>
      </c>
      <c r="BE1305" t="s">
        <v>7258</v>
      </c>
      <c r="BF1305">
        <v>1</v>
      </c>
      <c r="BG1305">
        <v>1</v>
      </c>
      <c r="BH1305">
        <v>1994</v>
      </c>
      <c r="BI1305" t="s">
        <v>1530</v>
      </c>
      <c r="BJ1305" t="s">
        <v>194</v>
      </c>
      <c r="BK1305" t="s">
        <v>195</v>
      </c>
      <c r="BL1305" t="s">
        <v>11514</v>
      </c>
      <c r="BM1305" t="s">
        <v>267</v>
      </c>
      <c r="BN1305" t="s">
        <v>182</v>
      </c>
      <c r="BO1305" t="s">
        <v>16901</v>
      </c>
      <c r="BP1305" t="s">
        <v>16902</v>
      </c>
      <c r="BQ1305" t="s">
        <v>562</v>
      </c>
      <c r="BS1305" t="s">
        <v>198</v>
      </c>
      <c r="BT1305" t="s">
        <v>16903</v>
      </c>
      <c r="BU1305" t="s">
        <v>182</v>
      </c>
      <c r="BV1305" t="s">
        <v>198</v>
      </c>
      <c r="BW1305" t="s">
        <v>198</v>
      </c>
      <c r="BX1305" t="s">
        <v>199</v>
      </c>
      <c r="BY1305" t="s">
        <v>198</v>
      </c>
      <c r="BZ1305" t="s">
        <v>199</v>
      </c>
      <c r="CA1305" t="s">
        <v>199</v>
      </c>
      <c r="CB1305" t="s">
        <v>16904</v>
      </c>
      <c r="CC1305" t="s">
        <v>201</v>
      </c>
      <c r="CD1305" t="s">
        <v>182</v>
      </c>
      <c r="CE1305" t="s">
        <v>16905</v>
      </c>
      <c r="CF1305" t="s">
        <v>2333</v>
      </c>
      <c r="CG1305" t="s">
        <v>177</v>
      </c>
      <c r="CH1305" t="s">
        <v>2334</v>
      </c>
      <c r="CI1305" t="s">
        <v>16906</v>
      </c>
      <c r="CJ1305" t="s">
        <v>9504</v>
      </c>
      <c r="CK1305" t="s">
        <v>232</v>
      </c>
      <c r="CL1305" t="s">
        <v>233</v>
      </c>
      <c r="CM1305" t="s">
        <v>16907</v>
      </c>
      <c r="CN1305" t="s">
        <v>235</v>
      </c>
      <c r="CO1305" t="s">
        <v>183</v>
      </c>
      <c r="CP1305" t="s">
        <v>266</v>
      </c>
      <c r="CS1305" t="s">
        <v>198</v>
      </c>
      <c r="CT1305" t="s">
        <v>13107</v>
      </c>
      <c r="CU1305" t="s">
        <v>292</v>
      </c>
      <c r="CV1305" t="s">
        <v>293</v>
      </c>
      <c r="CW1305" t="s">
        <v>16908</v>
      </c>
      <c r="CX1305" t="s">
        <v>235</v>
      </c>
      <c r="CY1305" t="s">
        <v>183</v>
      </c>
      <c r="CZ1305" t="s">
        <v>211</v>
      </c>
      <c r="DA1305" t="s">
        <v>427</v>
      </c>
      <c r="DC1305" t="s">
        <v>7467</v>
      </c>
      <c r="DD1305" t="s">
        <v>13948</v>
      </c>
      <c r="DE1305" t="s">
        <v>267</v>
      </c>
      <c r="DF1305" t="s">
        <v>268</v>
      </c>
      <c r="DG1305" t="s">
        <v>16909</v>
      </c>
      <c r="DH1305" t="s">
        <v>235</v>
      </c>
      <c r="DI1305" t="s">
        <v>183</v>
      </c>
      <c r="DJ1305" t="s">
        <v>211</v>
      </c>
      <c r="DK1305" t="s">
        <v>212</v>
      </c>
      <c r="DM1305" t="s">
        <v>16910</v>
      </c>
      <c r="DW1305" t="s">
        <v>198</v>
      </c>
      <c r="EG1305" t="s">
        <v>198</v>
      </c>
      <c r="EQ1305" t="s">
        <v>198</v>
      </c>
      <c r="FA1305" t="s">
        <v>198</v>
      </c>
      <c r="FK1305" t="s">
        <v>198</v>
      </c>
      <c r="FU1305" t="s">
        <v>198</v>
      </c>
    </row>
    <row r="1306" spans="1:177">
      <c r="A1306" s="1" t="str">
        <f>HYPERLINK("http://digipan.lumentumllc.com/apps/getLink/index.php?t=PropLink&amp;p=5247986","PL")</f>
        <v>PL</v>
      </c>
      <c r="B1306" s="1" t="str">
        <f>HYPERLINK("http://digipan.lumentumllc.com/apps/getLink/index.php?t=TaxLink&amp;p=5247986","TL")</f>
        <v>TL</v>
      </c>
      <c r="C1306" s="1" t="str">
        <f>HYPERLINK("http://digipan.lumentumllc.com/apps/getMap/index.php?p=5247986","Map")</f>
        <v>Map</v>
      </c>
      <c r="E1306" t="s">
        <v>177</v>
      </c>
      <c r="F1306" t="s">
        <v>178</v>
      </c>
      <c r="L1306" t="s">
        <v>16911</v>
      </c>
      <c r="N1306" t="s">
        <v>16911</v>
      </c>
      <c r="O1306" t="s">
        <v>16911</v>
      </c>
      <c r="P1306" t="s">
        <v>16912</v>
      </c>
      <c r="Q1306" t="s">
        <v>16911</v>
      </c>
      <c r="V1306">
        <v>1494</v>
      </c>
      <c r="W1306">
        <v>5</v>
      </c>
      <c r="X1306">
        <v>2017</v>
      </c>
      <c r="Y1306">
        <v>2018</v>
      </c>
      <c r="Z1306">
        <v>318.63</v>
      </c>
      <c r="AB1306" t="s">
        <v>181</v>
      </c>
      <c r="AC1306" t="s">
        <v>182</v>
      </c>
      <c r="AD1306" t="s">
        <v>183</v>
      </c>
      <c r="AE1306">
        <v>1</v>
      </c>
      <c r="AF1306">
        <v>7</v>
      </c>
      <c r="AG1306" t="s">
        <v>418</v>
      </c>
      <c r="AH1306">
        <v>86</v>
      </c>
      <c r="AI1306">
        <v>276.81</v>
      </c>
      <c r="AJ1306">
        <v>23.53</v>
      </c>
      <c r="AK1306">
        <v>300.33999999999997</v>
      </c>
      <c r="AL1306">
        <v>37722</v>
      </c>
      <c r="AM1306">
        <v>28000</v>
      </c>
      <c r="AN1306">
        <v>9722</v>
      </c>
      <c r="AO1306">
        <v>231</v>
      </c>
      <c r="AP1306">
        <v>2016</v>
      </c>
      <c r="AQ1306">
        <v>0.84</v>
      </c>
      <c r="AR1306">
        <v>0.8</v>
      </c>
      <c r="AS1306" t="s">
        <v>16913</v>
      </c>
      <c r="AT1306" t="s">
        <v>3210</v>
      </c>
      <c r="AU1306" t="s">
        <v>177</v>
      </c>
      <c r="AV1306" t="s">
        <v>2334</v>
      </c>
      <c r="AW1306" t="s">
        <v>202</v>
      </c>
      <c r="AX1306">
        <v>2</v>
      </c>
      <c r="AY1306" t="s">
        <v>188</v>
      </c>
      <c r="AZ1306" t="s">
        <v>189</v>
      </c>
      <c r="BA1306" t="s">
        <v>190</v>
      </c>
      <c r="BB1306" t="s">
        <v>191</v>
      </c>
      <c r="BC1306" t="s">
        <v>182</v>
      </c>
      <c r="BD1306" t="s">
        <v>182</v>
      </c>
      <c r="BE1306" t="s">
        <v>899</v>
      </c>
      <c r="BF1306">
        <v>1</v>
      </c>
      <c r="BG1306">
        <v>1</v>
      </c>
      <c r="BH1306">
        <v>1988</v>
      </c>
      <c r="BI1306" t="s">
        <v>2209</v>
      </c>
      <c r="BJ1306" t="s">
        <v>285</v>
      </c>
      <c r="BK1306" t="s">
        <v>195</v>
      </c>
      <c r="BL1306" t="s">
        <v>841</v>
      </c>
      <c r="BM1306" t="s">
        <v>1474</v>
      </c>
      <c r="BN1306" t="s">
        <v>182</v>
      </c>
      <c r="BO1306" t="s">
        <v>198</v>
      </c>
      <c r="BP1306" t="s">
        <v>198</v>
      </c>
      <c r="BQ1306" t="s">
        <v>198</v>
      </c>
      <c r="BR1306" t="s">
        <v>198</v>
      </c>
      <c r="BS1306" t="s">
        <v>198</v>
      </c>
      <c r="BT1306" t="s">
        <v>198</v>
      </c>
      <c r="BU1306" t="s">
        <v>182</v>
      </c>
      <c r="BV1306" t="s">
        <v>198</v>
      </c>
      <c r="BW1306" t="s">
        <v>198</v>
      </c>
      <c r="BX1306" t="s">
        <v>199</v>
      </c>
      <c r="BY1306" t="s">
        <v>198</v>
      </c>
      <c r="BZ1306" t="s">
        <v>199</v>
      </c>
      <c r="CA1306" t="s">
        <v>199</v>
      </c>
      <c r="CB1306" t="s">
        <v>16914</v>
      </c>
      <c r="CC1306" t="s">
        <v>201</v>
      </c>
      <c r="CD1306" t="s">
        <v>202</v>
      </c>
      <c r="CE1306" t="s">
        <v>16915</v>
      </c>
      <c r="CF1306" t="s">
        <v>2333</v>
      </c>
      <c r="CG1306" t="s">
        <v>177</v>
      </c>
      <c r="CH1306" t="s">
        <v>2334</v>
      </c>
      <c r="CI1306" t="s">
        <v>16916</v>
      </c>
      <c r="CJ1306" t="s">
        <v>12863</v>
      </c>
      <c r="CK1306" t="s">
        <v>232</v>
      </c>
      <c r="CL1306" t="s">
        <v>233</v>
      </c>
      <c r="CM1306" t="s">
        <v>16917</v>
      </c>
      <c r="CN1306" t="s">
        <v>2679</v>
      </c>
      <c r="CO1306" t="s">
        <v>183</v>
      </c>
      <c r="CP1306" t="s">
        <v>266</v>
      </c>
      <c r="CS1306" t="s">
        <v>198</v>
      </c>
      <c r="CT1306" t="s">
        <v>13199</v>
      </c>
      <c r="CU1306" t="s">
        <v>292</v>
      </c>
      <c r="CV1306" t="s">
        <v>293</v>
      </c>
      <c r="CW1306" t="s">
        <v>16918</v>
      </c>
      <c r="CX1306" t="s">
        <v>408</v>
      </c>
      <c r="CY1306" t="s">
        <v>183</v>
      </c>
      <c r="CZ1306" t="s">
        <v>211</v>
      </c>
      <c r="DA1306" t="s">
        <v>264</v>
      </c>
      <c r="DC1306" t="s">
        <v>3291</v>
      </c>
      <c r="DD1306" t="s">
        <v>15135</v>
      </c>
      <c r="DE1306" t="s">
        <v>267</v>
      </c>
      <c r="DF1306" t="s">
        <v>268</v>
      </c>
      <c r="DG1306" t="s">
        <v>16919</v>
      </c>
      <c r="DH1306" t="s">
        <v>482</v>
      </c>
      <c r="DI1306" t="s">
        <v>183</v>
      </c>
      <c r="DJ1306" t="s">
        <v>211</v>
      </c>
      <c r="DK1306" t="s">
        <v>471</v>
      </c>
      <c r="DM1306" t="s">
        <v>3291</v>
      </c>
      <c r="DN1306" t="s">
        <v>13935</v>
      </c>
      <c r="DO1306" t="s">
        <v>273</v>
      </c>
      <c r="DP1306" t="s">
        <v>274</v>
      </c>
      <c r="DQ1306" t="s">
        <v>16920</v>
      </c>
      <c r="DR1306" t="s">
        <v>511</v>
      </c>
      <c r="DS1306" t="s">
        <v>183</v>
      </c>
      <c r="DT1306" t="s">
        <v>211</v>
      </c>
      <c r="DU1306" t="s">
        <v>847</v>
      </c>
      <c r="DW1306" t="s">
        <v>16153</v>
      </c>
      <c r="DX1306" t="s">
        <v>16921</v>
      </c>
      <c r="DY1306" t="s">
        <v>302</v>
      </c>
      <c r="DZ1306" t="s">
        <v>303</v>
      </c>
      <c r="EA1306" t="s">
        <v>16922</v>
      </c>
      <c r="EB1306" t="s">
        <v>295</v>
      </c>
      <c r="EC1306" t="s">
        <v>183</v>
      </c>
      <c r="ED1306" t="s">
        <v>211</v>
      </c>
      <c r="EE1306" t="s">
        <v>298</v>
      </c>
      <c r="EG1306" t="s">
        <v>1131</v>
      </c>
      <c r="EH1306" t="s">
        <v>16923</v>
      </c>
      <c r="EI1306" t="s">
        <v>238</v>
      </c>
      <c r="EJ1306" t="s">
        <v>239</v>
      </c>
      <c r="EK1306" t="s">
        <v>16924</v>
      </c>
      <c r="EL1306" t="s">
        <v>278</v>
      </c>
      <c r="EM1306" t="s">
        <v>183</v>
      </c>
      <c r="EN1306" t="s">
        <v>211</v>
      </c>
      <c r="EO1306" t="s">
        <v>298</v>
      </c>
      <c r="EQ1306" t="s">
        <v>441</v>
      </c>
      <c r="ER1306" t="s">
        <v>16925</v>
      </c>
      <c r="ES1306" t="s">
        <v>346</v>
      </c>
      <c r="ET1306" t="s">
        <v>347</v>
      </c>
      <c r="EU1306" t="s">
        <v>12722</v>
      </c>
      <c r="EV1306" t="s">
        <v>688</v>
      </c>
      <c r="EW1306" t="s">
        <v>183</v>
      </c>
      <c r="EX1306" t="s">
        <v>211</v>
      </c>
      <c r="EY1306" t="s">
        <v>1128</v>
      </c>
      <c r="FA1306" t="s">
        <v>16926</v>
      </c>
      <c r="FB1306" t="s">
        <v>15733</v>
      </c>
      <c r="FC1306" t="s">
        <v>207</v>
      </c>
      <c r="FD1306" t="s">
        <v>208</v>
      </c>
      <c r="FE1306" t="s">
        <v>16927</v>
      </c>
      <c r="FF1306" t="s">
        <v>1966</v>
      </c>
      <c r="FG1306" t="s">
        <v>183</v>
      </c>
      <c r="FH1306" t="s">
        <v>211</v>
      </c>
      <c r="FI1306" t="s">
        <v>1543</v>
      </c>
      <c r="FK1306" t="s">
        <v>2096</v>
      </c>
      <c r="FU1306" t="s">
        <v>198</v>
      </c>
    </row>
    <row r="1307" spans="1:177">
      <c r="A1307" s="1" t="str">
        <f>HYPERLINK("http://digipan.lumentumllc.com/apps/getLink/index.php?t=PropLink&amp;p=5247987","PL")</f>
        <v>PL</v>
      </c>
      <c r="B1307" s="1" t="str">
        <f>HYPERLINK("http://digipan.lumentumllc.com/apps/getLink/index.php?t=TaxLink&amp;p=5247987","TL")</f>
        <v>TL</v>
      </c>
      <c r="C1307" s="1" t="str">
        <f>HYPERLINK("http://digipan.lumentumllc.com/apps/getMap/index.php?p=5247987","Map")</f>
        <v>Map</v>
      </c>
      <c r="E1307" t="s">
        <v>177</v>
      </c>
      <c r="F1307" t="s">
        <v>178</v>
      </c>
      <c r="L1307" t="s">
        <v>16928</v>
      </c>
      <c r="N1307" t="s">
        <v>16928</v>
      </c>
      <c r="O1307" t="s">
        <v>16928</v>
      </c>
      <c r="P1307" t="s">
        <v>16929</v>
      </c>
      <c r="Q1307" t="s">
        <v>16928</v>
      </c>
      <c r="V1307">
        <v>1495</v>
      </c>
      <c r="W1307">
        <v>5</v>
      </c>
      <c r="X1307">
        <v>2017</v>
      </c>
      <c r="Y1307">
        <v>2018</v>
      </c>
      <c r="Z1307">
        <v>1632.33</v>
      </c>
      <c r="AB1307" t="s">
        <v>181</v>
      </c>
      <c r="AC1307" t="s">
        <v>182</v>
      </c>
      <c r="AD1307" t="s">
        <v>183</v>
      </c>
      <c r="AE1307">
        <v>0</v>
      </c>
      <c r="AF1307">
        <v>4</v>
      </c>
      <c r="AG1307" t="s">
        <v>744</v>
      </c>
      <c r="AH1307">
        <v>100</v>
      </c>
      <c r="AK1307">
        <v>0</v>
      </c>
      <c r="AL1307">
        <v>97744</v>
      </c>
      <c r="AM1307">
        <v>28000</v>
      </c>
      <c r="AN1307">
        <v>69744</v>
      </c>
      <c r="AO1307">
        <v>766</v>
      </c>
      <c r="AP1307">
        <v>2016</v>
      </c>
      <c r="AQ1307">
        <v>1.67</v>
      </c>
      <c r="AS1307" t="s">
        <v>16930</v>
      </c>
      <c r="AT1307" t="s">
        <v>3210</v>
      </c>
      <c r="AU1307" t="s">
        <v>177</v>
      </c>
      <c r="AV1307" t="s">
        <v>2334</v>
      </c>
      <c r="AW1307" t="s">
        <v>182</v>
      </c>
      <c r="AX1307">
        <v>2</v>
      </c>
      <c r="AY1307" t="s">
        <v>188</v>
      </c>
      <c r="AZ1307" t="s">
        <v>189</v>
      </c>
      <c r="BA1307" t="s">
        <v>190</v>
      </c>
      <c r="BB1307" t="s">
        <v>191</v>
      </c>
      <c r="BC1307" t="s">
        <v>182</v>
      </c>
      <c r="BD1307" t="s">
        <v>182</v>
      </c>
      <c r="BE1307" t="s">
        <v>10682</v>
      </c>
      <c r="BF1307">
        <v>1</v>
      </c>
      <c r="BG1307">
        <v>1</v>
      </c>
      <c r="BH1307">
        <v>1990</v>
      </c>
      <c r="BI1307" t="s">
        <v>16931</v>
      </c>
      <c r="BJ1307" t="s">
        <v>396</v>
      </c>
      <c r="BK1307" t="s">
        <v>195</v>
      </c>
      <c r="BL1307" t="s">
        <v>16932</v>
      </c>
      <c r="BM1307" t="s">
        <v>232</v>
      </c>
      <c r="BN1307" t="s">
        <v>182</v>
      </c>
      <c r="BO1307" t="s">
        <v>16933</v>
      </c>
      <c r="BP1307" t="s">
        <v>16934</v>
      </c>
      <c r="BQ1307" t="s">
        <v>16935</v>
      </c>
      <c r="BR1307" t="s">
        <v>6200</v>
      </c>
      <c r="BS1307" t="s">
        <v>16936</v>
      </c>
      <c r="BT1307" t="s">
        <v>16937</v>
      </c>
      <c r="BU1307" t="s">
        <v>182</v>
      </c>
      <c r="BV1307" t="s">
        <v>198</v>
      </c>
      <c r="BW1307" t="s">
        <v>198</v>
      </c>
      <c r="BX1307" t="s">
        <v>199</v>
      </c>
      <c r="BY1307" t="s">
        <v>198</v>
      </c>
      <c r="BZ1307" t="s">
        <v>199</v>
      </c>
      <c r="CA1307" t="s">
        <v>199</v>
      </c>
      <c r="CB1307" t="s">
        <v>16938</v>
      </c>
      <c r="CC1307" t="s">
        <v>201</v>
      </c>
      <c r="CD1307" t="s">
        <v>202</v>
      </c>
      <c r="CE1307" t="s">
        <v>16939</v>
      </c>
      <c r="CF1307" t="s">
        <v>2333</v>
      </c>
      <c r="CG1307" t="s">
        <v>177</v>
      </c>
      <c r="CH1307" t="s">
        <v>2334</v>
      </c>
      <c r="CI1307" t="s">
        <v>15604</v>
      </c>
      <c r="CJ1307" t="s">
        <v>9542</v>
      </c>
      <c r="CK1307" t="s">
        <v>232</v>
      </c>
      <c r="CL1307" t="s">
        <v>233</v>
      </c>
      <c r="CM1307" t="s">
        <v>16940</v>
      </c>
      <c r="CN1307" t="s">
        <v>235</v>
      </c>
      <c r="CO1307" t="s">
        <v>183</v>
      </c>
      <c r="CP1307" t="s">
        <v>211</v>
      </c>
      <c r="CQ1307" t="s">
        <v>342</v>
      </c>
      <c r="CS1307" t="s">
        <v>10986</v>
      </c>
      <c r="CT1307" t="s">
        <v>16941</v>
      </c>
      <c r="CU1307" t="s">
        <v>302</v>
      </c>
      <c r="CV1307" t="s">
        <v>303</v>
      </c>
      <c r="CW1307" t="s">
        <v>16942</v>
      </c>
      <c r="CX1307" t="s">
        <v>235</v>
      </c>
      <c r="CY1307" t="s">
        <v>183</v>
      </c>
      <c r="CZ1307" t="s">
        <v>211</v>
      </c>
      <c r="DA1307" t="s">
        <v>189</v>
      </c>
      <c r="DC1307" t="s">
        <v>2631</v>
      </c>
      <c r="DD1307" t="s">
        <v>16943</v>
      </c>
      <c r="DE1307" t="s">
        <v>238</v>
      </c>
      <c r="DF1307" t="s">
        <v>239</v>
      </c>
      <c r="DG1307" t="s">
        <v>16944</v>
      </c>
      <c r="DH1307" t="s">
        <v>440</v>
      </c>
      <c r="DI1307" t="s">
        <v>183</v>
      </c>
      <c r="DJ1307" t="s">
        <v>211</v>
      </c>
      <c r="DK1307" t="s">
        <v>339</v>
      </c>
      <c r="DM1307" t="s">
        <v>1566</v>
      </c>
      <c r="DN1307" t="s">
        <v>16945</v>
      </c>
      <c r="DO1307" t="s">
        <v>346</v>
      </c>
      <c r="DP1307" t="s">
        <v>347</v>
      </c>
      <c r="DQ1307" t="s">
        <v>16946</v>
      </c>
      <c r="DR1307" t="s">
        <v>688</v>
      </c>
      <c r="DS1307" t="s">
        <v>183</v>
      </c>
      <c r="DT1307" t="s">
        <v>211</v>
      </c>
      <c r="DU1307" t="s">
        <v>199</v>
      </c>
      <c r="DW1307" t="s">
        <v>16947</v>
      </c>
      <c r="EG1307" t="s">
        <v>198</v>
      </c>
      <c r="EQ1307" t="s">
        <v>198</v>
      </c>
      <c r="FA1307" t="s">
        <v>198</v>
      </c>
      <c r="FK1307" t="s">
        <v>198</v>
      </c>
      <c r="FU1307" t="s">
        <v>198</v>
      </c>
    </row>
    <row r="1308" spans="1:177">
      <c r="A1308" s="1" t="str">
        <f>HYPERLINK("http://digipan.lumentumllc.com/apps/getLink/index.php?t=PropLink&amp;p=5247991","PL")</f>
        <v>PL</v>
      </c>
      <c r="B1308" s="1" t="str">
        <f>HYPERLINK("http://digipan.lumentumllc.com/apps/getLink/index.php?t=TaxLink&amp;p=5247991","TL")</f>
        <v>TL</v>
      </c>
      <c r="C1308" s="1" t="str">
        <f>HYPERLINK("http://digipan.lumentumllc.com/apps/getMap/index.php?p=5247991","Map")</f>
        <v>Map</v>
      </c>
      <c r="E1308" t="s">
        <v>177</v>
      </c>
      <c r="F1308" t="s">
        <v>178</v>
      </c>
      <c r="L1308" t="s">
        <v>16948</v>
      </c>
      <c r="N1308" t="s">
        <v>16948</v>
      </c>
      <c r="O1308" t="s">
        <v>16948</v>
      </c>
      <c r="P1308" t="s">
        <v>16949</v>
      </c>
      <c r="Q1308" t="s">
        <v>16948</v>
      </c>
      <c r="V1308">
        <v>1497</v>
      </c>
      <c r="W1308">
        <v>5</v>
      </c>
      <c r="X1308">
        <v>2017</v>
      </c>
      <c r="Y1308">
        <v>2018</v>
      </c>
      <c r="Z1308">
        <v>514.98</v>
      </c>
      <c r="AB1308" t="s">
        <v>181</v>
      </c>
      <c r="AC1308" t="s">
        <v>202</v>
      </c>
      <c r="AD1308" t="s">
        <v>183</v>
      </c>
      <c r="AE1308">
        <v>0</v>
      </c>
      <c r="AF1308">
        <v>8</v>
      </c>
      <c r="AG1308" t="s">
        <v>1059</v>
      </c>
      <c r="AH1308">
        <v>100</v>
      </c>
      <c r="AK1308">
        <v>0</v>
      </c>
      <c r="AL1308">
        <v>80202</v>
      </c>
      <c r="AM1308">
        <v>28000</v>
      </c>
      <c r="AN1308">
        <v>52202</v>
      </c>
      <c r="AO1308">
        <v>445</v>
      </c>
      <c r="AP1308">
        <v>2016</v>
      </c>
      <c r="AQ1308">
        <v>0.64</v>
      </c>
      <c r="AS1308" t="s">
        <v>16950</v>
      </c>
      <c r="AT1308" t="s">
        <v>3210</v>
      </c>
      <c r="AU1308" t="s">
        <v>177</v>
      </c>
      <c r="AV1308" t="s">
        <v>2334</v>
      </c>
      <c r="AW1308" t="s">
        <v>202</v>
      </c>
      <c r="AX1308">
        <v>2</v>
      </c>
      <c r="AY1308" t="s">
        <v>188</v>
      </c>
      <c r="AZ1308" t="s">
        <v>189</v>
      </c>
      <c r="BA1308" t="s">
        <v>190</v>
      </c>
      <c r="BB1308" t="s">
        <v>191</v>
      </c>
      <c r="BC1308" t="s">
        <v>182</v>
      </c>
      <c r="BD1308" t="s">
        <v>182</v>
      </c>
      <c r="BE1308" t="s">
        <v>16951</v>
      </c>
      <c r="BF1308">
        <v>1</v>
      </c>
      <c r="BG1308">
        <v>1</v>
      </c>
      <c r="BH1308">
        <v>1997</v>
      </c>
      <c r="BI1308" t="s">
        <v>16952</v>
      </c>
      <c r="BJ1308" t="s">
        <v>194</v>
      </c>
      <c r="BK1308" t="s">
        <v>195</v>
      </c>
      <c r="BL1308" t="s">
        <v>8119</v>
      </c>
      <c r="BM1308" t="s">
        <v>1156</v>
      </c>
      <c r="BN1308" t="s">
        <v>182</v>
      </c>
      <c r="BO1308" t="s">
        <v>198</v>
      </c>
      <c r="BP1308" t="s">
        <v>198</v>
      </c>
      <c r="BQ1308" t="s">
        <v>198</v>
      </c>
      <c r="BR1308" t="s">
        <v>198</v>
      </c>
      <c r="BS1308" t="s">
        <v>198</v>
      </c>
      <c r="BT1308" t="s">
        <v>198</v>
      </c>
      <c r="BU1308" t="s">
        <v>182</v>
      </c>
      <c r="BV1308" t="s">
        <v>198</v>
      </c>
      <c r="BW1308" t="s">
        <v>198</v>
      </c>
      <c r="BX1308" t="s">
        <v>199</v>
      </c>
      <c r="BY1308" t="s">
        <v>198</v>
      </c>
      <c r="BZ1308" t="s">
        <v>199</v>
      </c>
      <c r="CA1308" t="s">
        <v>199</v>
      </c>
      <c r="CB1308" t="s">
        <v>16953</v>
      </c>
      <c r="CC1308" t="s">
        <v>201</v>
      </c>
      <c r="CD1308" t="s">
        <v>182</v>
      </c>
      <c r="CE1308" t="s">
        <v>16954</v>
      </c>
      <c r="CF1308" t="s">
        <v>2333</v>
      </c>
      <c r="CG1308" t="s">
        <v>177</v>
      </c>
      <c r="CH1308" t="s">
        <v>2334</v>
      </c>
      <c r="CI1308" t="s">
        <v>16955</v>
      </c>
      <c r="CJ1308" t="s">
        <v>15348</v>
      </c>
      <c r="CK1308" t="s">
        <v>232</v>
      </c>
      <c r="CL1308" t="s">
        <v>233</v>
      </c>
      <c r="CM1308" t="s">
        <v>16956</v>
      </c>
      <c r="CN1308" t="s">
        <v>235</v>
      </c>
      <c r="CO1308" t="s">
        <v>183</v>
      </c>
      <c r="CP1308" t="s">
        <v>211</v>
      </c>
      <c r="CQ1308" t="s">
        <v>199</v>
      </c>
      <c r="CS1308" t="s">
        <v>15194</v>
      </c>
      <c r="CT1308" t="s">
        <v>1347</v>
      </c>
      <c r="CU1308" t="s">
        <v>292</v>
      </c>
      <c r="CV1308" t="s">
        <v>293</v>
      </c>
      <c r="CW1308" t="s">
        <v>16957</v>
      </c>
      <c r="CX1308" t="s">
        <v>235</v>
      </c>
      <c r="CY1308" t="s">
        <v>183</v>
      </c>
      <c r="CZ1308" t="s">
        <v>211</v>
      </c>
      <c r="DA1308" t="s">
        <v>427</v>
      </c>
      <c r="DC1308" t="s">
        <v>15194</v>
      </c>
      <c r="DD1308" t="s">
        <v>16063</v>
      </c>
      <c r="DE1308" t="s">
        <v>267</v>
      </c>
      <c r="DF1308" t="s">
        <v>268</v>
      </c>
      <c r="DG1308" t="s">
        <v>16958</v>
      </c>
      <c r="DH1308" t="s">
        <v>235</v>
      </c>
      <c r="DI1308" t="s">
        <v>183</v>
      </c>
      <c r="DJ1308" t="s">
        <v>211</v>
      </c>
      <c r="DK1308" t="s">
        <v>250</v>
      </c>
      <c r="DL1308" t="s">
        <v>271</v>
      </c>
      <c r="DM1308" t="s">
        <v>14197</v>
      </c>
      <c r="DN1308" t="s">
        <v>13946</v>
      </c>
      <c r="DO1308" t="s">
        <v>273</v>
      </c>
      <c r="DP1308" t="s">
        <v>274</v>
      </c>
      <c r="DQ1308" t="s">
        <v>16959</v>
      </c>
      <c r="DR1308" t="s">
        <v>235</v>
      </c>
      <c r="DS1308" t="s">
        <v>183</v>
      </c>
      <c r="DT1308" t="s">
        <v>211</v>
      </c>
      <c r="DU1308" t="s">
        <v>487</v>
      </c>
      <c r="DV1308" t="s">
        <v>271</v>
      </c>
      <c r="DW1308" t="s">
        <v>14197</v>
      </c>
      <c r="DX1308" t="s">
        <v>16960</v>
      </c>
      <c r="DY1308" t="s">
        <v>302</v>
      </c>
      <c r="DZ1308" t="s">
        <v>303</v>
      </c>
      <c r="EA1308" t="s">
        <v>16961</v>
      </c>
      <c r="EB1308" t="s">
        <v>436</v>
      </c>
      <c r="EC1308" t="s">
        <v>183</v>
      </c>
      <c r="ED1308" t="s">
        <v>211</v>
      </c>
      <c r="EF1308" t="s">
        <v>271</v>
      </c>
      <c r="EG1308" t="s">
        <v>198</v>
      </c>
      <c r="EH1308" t="s">
        <v>16962</v>
      </c>
      <c r="EI1308" t="s">
        <v>238</v>
      </c>
      <c r="EJ1308" t="s">
        <v>239</v>
      </c>
      <c r="EK1308" t="s">
        <v>16963</v>
      </c>
      <c r="EL1308" t="s">
        <v>278</v>
      </c>
      <c r="EM1308" t="s">
        <v>183</v>
      </c>
      <c r="EN1308" t="s">
        <v>211</v>
      </c>
      <c r="EO1308" t="s">
        <v>298</v>
      </c>
      <c r="EQ1308" t="s">
        <v>467</v>
      </c>
      <c r="ER1308" t="s">
        <v>16964</v>
      </c>
      <c r="ES1308" t="s">
        <v>346</v>
      </c>
      <c r="ET1308" t="s">
        <v>347</v>
      </c>
      <c r="EU1308" t="s">
        <v>16965</v>
      </c>
      <c r="EV1308" t="s">
        <v>1491</v>
      </c>
      <c r="EW1308" t="s">
        <v>183</v>
      </c>
      <c r="EX1308" t="s">
        <v>211</v>
      </c>
      <c r="EY1308" t="s">
        <v>525</v>
      </c>
      <c r="FA1308" t="s">
        <v>467</v>
      </c>
      <c r="FB1308" t="s">
        <v>16966</v>
      </c>
      <c r="FC1308" t="s">
        <v>207</v>
      </c>
      <c r="FD1308" t="s">
        <v>208</v>
      </c>
      <c r="FE1308" t="s">
        <v>16967</v>
      </c>
      <c r="FF1308" t="s">
        <v>1966</v>
      </c>
      <c r="FG1308" t="s">
        <v>183</v>
      </c>
      <c r="FH1308" t="s">
        <v>211</v>
      </c>
      <c r="FI1308" t="s">
        <v>1064</v>
      </c>
      <c r="FK1308" t="s">
        <v>467</v>
      </c>
      <c r="FU1308" t="s">
        <v>198</v>
      </c>
    </row>
    <row r="1309" spans="1:177">
      <c r="A1309" s="1" t="str">
        <f>HYPERLINK("http://digipan.lumentumllc.com/apps/getLink/index.php?t=PropLink&amp;p=5247996","PL")</f>
        <v>PL</v>
      </c>
      <c r="B1309" s="1" t="str">
        <f>HYPERLINK("http://digipan.lumentumllc.com/apps/getLink/index.php?t=TaxLink&amp;p=5247996","TL")</f>
        <v>TL</v>
      </c>
      <c r="C1309" s="1" t="str">
        <f>HYPERLINK("http://digipan.lumentumllc.com/apps/getMap/index.php?p=5247996","Map")</f>
        <v>Map</v>
      </c>
      <c r="E1309" t="s">
        <v>177</v>
      </c>
      <c r="F1309" t="s">
        <v>178</v>
      </c>
      <c r="L1309" t="s">
        <v>16968</v>
      </c>
      <c r="N1309" t="s">
        <v>16968</v>
      </c>
      <c r="O1309" t="s">
        <v>16968</v>
      </c>
      <c r="P1309" t="s">
        <v>16969</v>
      </c>
      <c r="Q1309" t="s">
        <v>16968</v>
      </c>
      <c r="V1309">
        <v>1498</v>
      </c>
      <c r="W1309">
        <v>5</v>
      </c>
      <c r="X1309">
        <v>2017</v>
      </c>
      <c r="Y1309">
        <v>2018</v>
      </c>
      <c r="Z1309">
        <v>609.83000000000004</v>
      </c>
      <c r="AB1309" t="s">
        <v>181</v>
      </c>
      <c r="AC1309" t="s">
        <v>182</v>
      </c>
      <c r="AD1309" t="s">
        <v>183</v>
      </c>
      <c r="AE1309">
        <v>1</v>
      </c>
      <c r="AF1309">
        <v>5</v>
      </c>
      <c r="AG1309" t="s">
        <v>322</v>
      </c>
      <c r="AH1309">
        <v>83</v>
      </c>
      <c r="AI1309">
        <v>562.57000000000005</v>
      </c>
      <c r="AJ1309">
        <v>28.13</v>
      </c>
      <c r="AK1309">
        <v>590.70000000000005</v>
      </c>
      <c r="AL1309">
        <v>36984</v>
      </c>
      <c r="AM1309">
        <v>28000</v>
      </c>
      <c r="AN1309">
        <v>8984</v>
      </c>
      <c r="AO1309">
        <v>495</v>
      </c>
      <c r="AP1309">
        <v>2016</v>
      </c>
      <c r="AQ1309">
        <v>1.65</v>
      </c>
      <c r="AR1309">
        <v>1.6</v>
      </c>
      <c r="AS1309" t="s">
        <v>16970</v>
      </c>
      <c r="AT1309" t="s">
        <v>3210</v>
      </c>
      <c r="AU1309" t="s">
        <v>177</v>
      </c>
      <c r="AV1309" t="s">
        <v>2334</v>
      </c>
      <c r="AW1309" t="s">
        <v>182</v>
      </c>
      <c r="AX1309">
        <v>2</v>
      </c>
      <c r="AY1309" t="s">
        <v>188</v>
      </c>
      <c r="AZ1309" t="s">
        <v>189</v>
      </c>
      <c r="BA1309" t="s">
        <v>190</v>
      </c>
      <c r="BB1309" t="s">
        <v>191</v>
      </c>
      <c r="BC1309" t="s">
        <v>182</v>
      </c>
      <c r="BD1309" t="s">
        <v>182</v>
      </c>
      <c r="BE1309" t="s">
        <v>2393</v>
      </c>
      <c r="BF1309">
        <v>1</v>
      </c>
      <c r="BG1309">
        <v>1</v>
      </c>
      <c r="BH1309">
        <v>1974</v>
      </c>
      <c r="BI1309" t="s">
        <v>5873</v>
      </c>
      <c r="BJ1309" t="s">
        <v>194</v>
      </c>
      <c r="BK1309" t="s">
        <v>195</v>
      </c>
      <c r="BL1309" t="s">
        <v>2891</v>
      </c>
      <c r="BM1309" t="s">
        <v>2351</v>
      </c>
      <c r="BN1309" t="s">
        <v>182</v>
      </c>
      <c r="BO1309" t="s">
        <v>198</v>
      </c>
      <c r="BP1309" t="s">
        <v>198</v>
      </c>
      <c r="BQ1309" t="s">
        <v>198</v>
      </c>
      <c r="BR1309" t="s">
        <v>198</v>
      </c>
      <c r="BS1309" t="s">
        <v>198</v>
      </c>
      <c r="BT1309" t="s">
        <v>198</v>
      </c>
      <c r="BU1309" t="s">
        <v>182</v>
      </c>
      <c r="BV1309" t="s">
        <v>198</v>
      </c>
      <c r="BW1309" t="s">
        <v>198</v>
      </c>
      <c r="BX1309" t="s">
        <v>199</v>
      </c>
      <c r="BY1309" t="s">
        <v>198</v>
      </c>
      <c r="BZ1309" t="s">
        <v>199</v>
      </c>
      <c r="CA1309" t="s">
        <v>199</v>
      </c>
      <c r="CB1309" t="s">
        <v>16971</v>
      </c>
      <c r="CC1309" t="s">
        <v>201</v>
      </c>
      <c r="CD1309" t="s">
        <v>182</v>
      </c>
      <c r="CE1309" t="s">
        <v>16972</v>
      </c>
      <c r="CF1309" t="s">
        <v>960</v>
      </c>
      <c r="CG1309" t="s">
        <v>177</v>
      </c>
      <c r="CH1309" t="s">
        <v>961</v>
      </c>
      <c r="CI1309" t="s">
        <v>16973</v>
      </c>
      <c r="CJ1309" t="s">
        <v>15359</v>
      </c>
      <c r="CK1309" t="s">
        <v>232</v>
      </c>
      <c r="CL1309" t="s">
        <v>233</v>
      </c>
      <c r="CM1309" t="s">
        <v>16974</v>
      </c>
      <c r="CN1309" t="s">
        <v>235</v>
      </c>
      <c r="CO1309" t="s">
        <v>183</v>
      </c>
      <c r="CP1309" t="s">
        <v>266</v>
      </c>
      <c r="CS1309" t="s">
        <v>198</v>
      </c>
      <c r="CT1309" t="s">
        <v>1373</v>
      </c>
      <c r="CU1309" t="s">
        <v>292</v>
      </c>
      <c r="CV1309" t="s">
        <v>293</v>
      </c>
      <c r="CW1309" t="s">
        <v>2388</v>
      </c>
      <c r="CX1309" t="s">
        <v>482</v>
      </c>
      <c r="CY1309" t="s">
        <v>183</v>
      </c>
      <c r="CZ1309" t="s">
        <v>211</v>
      </c>
      <c r="DA1309" t="s">
        <v>250</v>
      </c>
      <c r="DC1309" t="s">
        <v>16975</v>
      </c>
      <c r="DD1309" t="s">
        <v>3333</v>
      </c>
      <c r="DE1309" t="s">
        <v>267</v>
      </c>
      <c r="DF1309" t="s">
        <v>268</v>
      </c>
      <c r="DG1309" t="s">
        <v>16976</v>
      </c>
      <c r="DH1309" t="s">
        <v>927</v>
      </c>
      <c r="DI1309" t="s">
        <v>183</v>
      </c>
      <c r="DJ1309" t="s">
        <v>211</v>
      </c>
      <c r="DK1309" t="s">
        <v>487</v>
      </c>
      <c r="DM1309" t="s">
        <v>16975</v>
      </c>
      <c r="DN1309" t="s">
        <v>4134</v>
      </c>
      <c r="DO1309" t="s">
        <v>273</v>
      </c>
      <c r="DP1309" t="s">
        <v>274</v>
      </c>
      <c r="DQ1309" t="s">
        <v>16977</v>
      </c>
      <c r="DR1309" t="s">
        <v>235</v>
      </c>
      <c r="DS1309" t="s">
        <v>183</v>
      </c>
      <c r="DT1309" t="s">
        <v>211</v>
      </c>
      <c r="DU1309" t="s">
        <v>616</v>
      </c>
      <c r="DW1309" t="s">
        <v>16975</v>
      </c>
      <c r="DX1309" t="s">
        <v>16978</v>
      </c>
      <c r="DY1309" t="s">
        <v>238</v>
      </c>
      <c r="DZ1309" t="s">
        <v>239</v>
      </c>
      <c r="EA1309" t="s">
        <v>16979</v>
      </c>
      <c r="EB1309" t="s">
        <v>440</v>
      </c>
      <c r="EC1309" t="s">
        <v>183</v>
      </c>
      <c r="ED1309" t="s">
        <v>211</v>
      </c>
      <c r="EE1309" t="s">
        <v>1185</v>
      </c>
      <c r="EG1309" t="s">
        <v>16975</v>
      </c>
      <c r="EH1309" t="s">
        <v>1330</v>
      </c>
      <c r="EI1309" t="s">
        <v>346</v>
      </c>
      <c r="EJ1309" t="s">
        <v>347</v>
      </c>
      <c r="EK1309" t="s">
        <v>16980</v>
      </c>
      <c r="EL1309" t="s">
        <v>1491</v>
      </c>
      <c r="EM1309" t="s">
        <v>183</v>
      </c>
      <c r="EN1309" t="s">
        <v>211</v>
      </c>
      <c r="EO1309" t="s">
        <v>199</v>
      </c>
      <c r="EQ1309" t="s">
        <v>16981</v>
      </c>
      <c r="FA1309" t="s">
        <v>198</v>
      </c>
      <c r="FK1309" t="s">
        <v>198</v>
      </c>
      <c r="FU1309" t="s">
        <v>198</v>
      </c>
    </row>
    <row r="1310" spans="1:177">
      <c r="A1310" s="1" t="str">
        <f>HYPERLINK("http://digipan.lumentumllc.com/apps/getLink/index.php?t=PropLink&amp;p=5247998","PL")</f>
        <v>PL</v>
      </c>
      <c r="B1310" s="1" t="str">
        <f>HYPERLINK("http://digipan.lumentumllc.com/apps/getLink/index.php?t=TaxLink&amp;p=5247998","TL")</f>
        <v>TL</v>
      </c>
      <c r="C1310" s="1" t="str">
        <f>HYPERLINK("http://digipan.lumentumllc.com/apps/getMap/index.php?p=5247998","Map")</f>
        <v>Map</v>
      </c>
      <c r="E1310" t="s">
        <v>177</v>
      </c>
      <c r="F1310" t="s">
        <v>178</v>
      </c>
      <c r="L1310" t="s">
        <v>16982</v>
      </c>
      <c r="N1310" t="s">
        <v>16982</v>
      </c>
      <c r="O1310" t="s">
        <v>16982</v>
      </c>
      <c r="P1310" t="s">
        <v>16983</v>
      </c>
      <c r="Q1310" t="s">
        <v>16982</v>
      </c>
      <c r="V1310">
        <v>1499</v>
      </c>
      <c r="W1310">
        <v>5</v>
      </c>
      <c r="X1310">
        <v>2017</v>
      </c>
      <c r="Y1310">
        <v>2018</v>
      </c>
      <c r="Z1310">
        <v>660.68</v>
      </c>
      <c r="AB1310" t="s">
        <v>181</v>
      </c>
      <c r="AC1310" t="s">
        <v>182</v>
      </c>
      <c r="AD1310" t="s">
        <v>183</v>
      </c>
      <c r="AE1310">
        <v>1</v>
      </c>
      <c r="AF1310">
        <v>7</v>
      </c>
      <c r="AG1310" t="s">
        <v>418</v>
      </c>
      <c r="AH1310">
        <v>86</v>
      </c>
      <c r="AI1310">
        <v>566.58000000000004</v>
      </c>
      <c r="AJ1310">
        <v>28.33</v>
      </c>
      <c r="AK1310">
        <v>594.91</v>
      </c>
      <c r="AL1310">
        <v>41945</v>
      </c>
      <c r="AM1310">
        <v>28000</v>
      </c>
      <c r="AN1310">
        <v>13945</v>
      </c>
      <c r="AO1310">
        <v>499</v>
      </c>
      <c r="AP1310">
        <v>2016</v>
      </c>
      <c r="AQ1310">
        <v>1.58</v>
      </c>
      <c r="AR1310">
        <v>1.42</v>
      </c>
      <c r="AS1310" t="s">
        <v>16984</v>
      </c>
      <c r="AT1310" t="s">
        <v>3210</v>
      </c>
      <c r="AU1310" t="s">
        <v>177</v>
      </c>
      <c r="AV1310" t="s">
        <v>2334</v>
      </c>
      <c r="AW1310" t="s">
        <v>182</v>
      </c>
      <c r="AX1310">
        <v>2</v>
      </c>
      <c r="AY1310" t="s">
        <v>188</v>
      </c>
      <c r="AZ1310" t="s">
        <v>189</v>
      </c>
      <c r="BA1310" t="s">
        <v>190</v>
      </c>
      <c r="BB1310" t="s">
        <v>191</v>
      </c>
      <c r="BC1310" t="s">
        <v>182</v>
      </c>
      <c r="BD1310" t="s">
        <v>182</v>
      </c>
      <c r="BE1310" t="s">
        <v>383</v>
      </c>
      <c r="BF1310">
        <v>1</v>
      </c>
      <c r="BG1310">
        <v>1</v>
      </c>
      <c r="BH1310">
        <v>1989</v>
      </c>
      <c r="BI1310" t="s">
        <v>2209</v>
      </c>
      <c r="BJ1310" t="s">
        <v>194</v>
      </c>
      <c r="BK1310" t="s">
        <v>195</v>
      </c>
      <c r="BL1310" t="s">
        <v>3879</v>
      </c>
      <c r="BM1310" t="s">
        <v>1387</v>
      </c>
      <c r="BN1310" t="s">
        <v>182</v>
      </c>
      <c r="BO1310" t="s">
        <v>198</v>
      </c>
      <c r="BP1310" t="s">
        <v>198</v>
      </c>
      <c r="BQ1310" t="s">
        <v>198</v>
      </c>
      <c r="BR1310" t="s">
        <v>198</v>
      </c>
      <c r="BS1310" t="s">
        <v>198</v>
      </c>
      <c r="BT1310" t="s">
        <v>198</v>
      </c>
      <c r="BU1310" t="s">
        <v>182</v>
      </c>
      <c r="BV1310" t="s">
        <v>198</v>
      </c>
      <c r="BW1310" t="s">
        <v>198</v>
      </c>
      <c r="BX1310" t="s">
        <v>199</v>
      </c>
      <c r="BY1310" t="s">
        <v>198</v>
      </c>
      <c r="BZ1310" t="s">
        <v>199</v>
      </c>
      <c r="CA1310" t="s">
        <v>199</v>
      </c>
      <c r="CB1310" t="s">
        <v>16985</v>
      </c>
      <c r="CC1310" t="s">
        <v>201</v>
      </c>
      <c r="CD1310" t="s">
        <v>182</v>
      </c>
      <c r="CE1310" t="s">
        <v>16986</v>
      </c>
      <c r="CF1310" t="s">
        <v>2333</v>
      </c>
      <c r="CG1310" t="s">
        <v>177</v>
      </c>
      <c r="CH1310" t="s">
        <v>2334</v>
      </c>
      <c r="CI1310" t="s">
        <v>10481</v>
      </c>
      <c r="CJ1310" t="s">
        <v>15368</v>
      </c>
      <c r="CK1310" t="s">
        <v>232</v>
      </c>
      <c r="CL1310" t="s">
        <v>233</v>
      </c>
      <c r="CM1310" t="s">
        <v>16987</v>
      </c>
      <c r="CN1310" t="s">
        <v>235</v>
      </c>
      <c r="CO1310" t="s">
        <v>183</v>
      </c>
      <c r="CP1310" t="s">
        <v>266</v>
      </c>
      <c r="CS1310" t="s">
        <v>198</v>
      </c>
      <c r="CT1310" t="s">
        <v>13269</v>
      </c>
      <c r="CU1310" t="s">
        <v>292</v>
      </c>
      <c r="CV1310" t="s">
        <v>293</v>
      </c>
      <c r="CW1310" t="s">
        <v>16988</v>
      </c>
      <c r="CX1310" t="s">
        <v>482</v>
      </c>
      <c r="CY1310" t="s">
        <v>183</v>
      </c>
      <c r="CZ1310" t="s">
        <v>211</v>
      </c>
      <c r="DA1310" t="s">
        <v>298</v>
      </c>
      <c r="DC1310" t="s">
        <v>457</v>
      </c>
      <c r="DD1310" t="s">
        <v>517</v>
      </c>
      <c r="DE1310" t="s">
        <v>267</v>
      </c>
      <c r="DF1310" t="s">
        <v>268</v>
      </c>
      <c r="DG1310" t="s">
        <v>16989</v>
      </c>
      <c r="DH1310" t="s">
        <v>511</v>
      </c>
      <c r="DI1310" t="s">
        <v>183</v>
      </c>
      <c r="DJ1310" t="s">
        <v>211</v>
      </c>
      <c r="DK1310" t="s">
        <v>345</v>
      </c>
      <c r="DM1310" t="s">
        <v>542</v>
      </c>
      <c r="DN1310" t="s">
        <v>13963</v>
      </c>
      <c r="DO1310" t="s">
        <v>273</v>
      </c>
      <c r="DP1310" t="s">
        <v>274</v>
      </c>
      <c r="DQ1310" t="s">
        <v>16990</v>
      </c>
      <c r="DR1310" t="s">
        <v>235</v>
      </c>
      <c r="DS1310" t="s">
        <v>183</v>
      </c>
      <c r="DT1310" t="s">
        <v>211</v>
      </c>
      <c r="DU1310" t="s">
        <v>345</v>
      </c>
      <c r="DW1310" t="s">
        <v>11099</v>
      </c>
      <c r="DX1310" t="s">
        <v>16991</v>
      </c>
      <c r="DY1310" t="s">
        <v>302</v>
      </c>
      <c r="DZ1310" t="s">
        <v>303</v>
      </c>
      <c r="EA1310" t="s">
        <v>16992</v>
      </c>
      <c r="EB1310" t="s">
        <v>235</v>
      </c>
      <c r="EC1310" t="s">
        <v>183</v>
      </c>
      <c r="ED1310" t="s">
        <v>211</v>
      </c>
      <c r="EE1310" t="s">
        <v>298</v>
      </c>
      <c r="EG1310" t="s">
        <v>464</v>
      </c>
      <c r="EH1310" t="s">
        <v>16993</v>
      </c>
      <c r="EI1310" t="s">
        <v>238</v>
      </c>
      <c r="EJ1310" t="s">
        <v>239</v>
      </c>
      <c r="EK1310" t="s">
        <v>3853</v>
      </c>
      <c r="EL1310" t="s">
        <v>440</v>
      </c>
      <c r="EM1310" t="s">
        <v>183</v>
      </c>
      <c r="EN1310" t="s">
        <v>211</v>
      </c>
      <c r="EO1310" t="s">
        <v>298</v>
      </c>
      <c r="EQ1310" t="s">
        <v>467</v>
      </c>
      <c r="ER1310" t="s">
        <v>16994</v>
      </c>
      <c r="ES1310" t="s">
        <v>346</v>
      </c>
      <c r="ET1310" t="s">
        <v>347</v>
      </c>
      <c r="EU1310" t="s">
        <v>16995</v>
      </c>
      <c r="EV1310" t="s">
        <v>1491</v>
      </c>
      <c r="EW1310" t="s">
        <v>183</v>
      </c>
      <c r="EX1310" t="s">
        <v>211</v>
      </c>
      <c r="EY1310" t="s">
        <v>298</v>
      </c>
      <c r="FA1310" t="s">
        <v>522</v>
      </c>
      <c r="FB1310" t="s">
        <v>5386</v>
      </c>
      <c r="FC1310" t="s">
        <v>207</v>
      </c>
      <c r="FD1310" t="s">
        <v>208</v>
      </c>
      <c r="FE1310" t="s">
        <v>16996</v>
      </c>
      <c r="FF1310" t="s">
        <v>1966</v>
      </c>
      <c r="FG1310" t="s">
        <v>183</v>
      </c>
      <c r="FH1310" t="s">
        <v>211</v>
      </c>
      <c r="FI1310" t="s">
        <v>298</v>
      </c>
      <c r="FK1310" t="s">
        <v>5492</v>
      </c>
      <c r="FU1310" t="s">
        <v>198</v>
      </c>
    </row>
    <row r="1311" spans="1:177">
      <c r="A1311" s="1" t="str">
        <f>HYPERLINK("http://digipan.lumentumllc.com/apps/getLink/index.php?t=PropLink&amp;p=15759709","PL")</f>
        <v>PL</v>
      </c>
      <c r="B1311" s="1" t="str">
        <f>HYPERLINK("http://digipan.lumentumllc.com/apps/getLink/index.php?t=TaxLink&amp;p=15759709","TL")</f>
        <v>TL</v>
      </c>
      <c r="C1311" s="1" t="str">
        <f>HYPERLINK("http://digipan.lumentumllc.com/apps/getMap/index.php?p=15759709","Map")</f>
        <v>Map</v>
      </c>
      <c r="E1311" t="s">
        <v>177</v>
      </c>
      <c r="F1311" t="s">
        <v>178</v>
      </c>
      <c r="L1311" t="s">
        <v>16997</v>
      </c>
      <c r="N1311" t="s">
        <v>16997</v>
      </c>
      <c r="O1311" t="s">
        <v>16997</v>
      </c>
      <c r="Q1311" t="s">
        <v>16997</v>
      </c>
      <c r="V1311">
        <v>1500</v>
      </c>
      <c r="W1311">
        <v>5</v>
      </c>
      <c r="X1311">
        <v>2017</v>
      </c>
      <c r="Y1311">
        <v>2018</v>
      </c>
      <c r="Z1311">
        <v>1157.18</v>
      </c>
      <c r="AB1311" t="s">
        <v>181</v>
      </c>
      <c r="AC1311" t="s">
        <v>182</v>
      </c>
      <c r="AD1311" t="s">
        <v>183</v>
      </c>
      <c r="AE1311">
        <v>1</v>
      </c>
      <c r="AF1311">
        <v>0</v>
      </c>
      <c r="AG1311" t="s">
        <v>1200</v>
      </c>
      <c r="AH1311">
        <v>0</v>
      </c>
      <c r="AI1311">
        <v>439.82</v>
      </c>
      <c r="AJ1311">
        <v>21.99</v>
      </c>
      <c r="AK1311">
        <v>461.81</v>
      </c>
      <c r="AL1311">
        <v>68723</v>
      </c>
      <c r="AM1311">
        <v>28000</v>
      </c>
      <c r="AN1311">
        <v>40723</v>
      </c>
      <c r="AO1311">
        <v>382</v>
      </c>
      <c r="AP1311">
        <v>2016</v>
      </c>
      <c r="AQ1311">
        <v>1.68</v>
      </c>
      <c r="AR1311">
        <v>0.67</v>
      </c>
      <c r="AS1311" t="s">
        <v>16998</v>
      </c>
      <c r="AT1311" t="s">
        <v>3210</v>
      </c>
      <c r="AU1311" t="s">
        <v>177</v>
      </c>
      <c r="AV1311" t="s">
        <v>2334</v>
      </c>
      <c r="AW1311" t="s">
        <v>182</v>
      </c>
      <c r="AX1311">
        <v>2</v>
      </c>
      <c r="AY1311" t="s">
        <v>188</v>
      </c>
      <c r="AZ1311" t="s">
        <v>189</v>
      </c>
      <c r="BA1311" t="s">
        <v>190</v>
      </c>
      <c r="BB1311" t="s">
        <v>191</v>
      </c>
      <c r="BC1311" t="s">
        <v>182</v>
      </c>
      <c r="BD1311" t="s">
        <v>182</v>
      </c>
      <c r="BE1311" t="s">
        <v>383</v>
      </c>
      <c r="BF1311">
        <v>1</v>
      </c>
      <c r="BG1311">
        <v>1</v>
      </c>
      <c r="BH1311">
        <v>1997</v>
      </c>
      <c r="BI1311" t="s">
        <v>3333</v>
      </c>
      <c r="BJ1311" t="s">
        <v>194</v>
      </c>
      <c r="BK1311" t="s">
        <v>195</v>
      </c>
      <c r="BL1311" t="s">
        <v>199</v>
      </c>
      <c r="BM1311" t="s">
        <v>232</v>
      </c>
      <c r="BN1311" t="s">
        <v>182</v>
      </c>
      <c r="BO1311" t="s">
        <v>1510</v>
      </c>
      <c r="BP1311" t="s">
        <v>1696</v>
      </c>
      <c r="BQ1311" t="s">
        <v>1520</v>
      </c>
      <c r="BR1311" t="s">
        <v>582</v>
      </c>
      <c r="BS1311" t="s">
        <v>198</v>
      </c>
      <c r="BT1311" t="s">
        <v>16999</v>
      </c>
      <c r="BU1311" t="s">
        <v>182</v>
      </c>
      <c r="BV1311" t="s">
        <v>198</v>
      </c>
      <c r="BW1311" t="s">
        <v>198</v>
      </c>
      <c r="BX1311" t="s">
        <v>199</v>
      </c>
      <c r="BY1311" t="s">
        <v>198</v>
      </c>
      <c r="BZ1311" t="s">
        <v>199</v>
      </c>
      <c r="CA1311" t="s">
        <v>199</v>
      </c>
      <c r="CB1311" t="s">
        <v>17000</v>
      </c>
      <c r="CC1311" t="s">
        <v>201</v>
      </c>
      <c r="CD1311" t="s">
        <v>202</v>
      </c>
      <c r="CE1311" t="s">
        <v>17001</v>
      </c>
      <c r="CF1311" t="s">
        <v>413</v>
      </c>
      <c r="CG1311" t="s">
        <v>177</v>
      </c>
      <c r="CH1311" t="s">
        <v>2991</v>
      </c>
      <c r="CI1311" t="s">
        <v>17002</v>
      </c>
      <c r="CJ1311" t="s">
        <v>9565</v>
      </c>
      <c r="CK1311" t="s">
        <v>232</v>
      </c>
      <c r="CL1311" t="s">
        <v>233</v>
      </c>
      <c r="CM1311" t="s">
        <v>13811</v>
      </c>
      <c r="CN1311" t="s">
        <v>235</v>
      </c>
      <c r="CO1311" t="s">
        <v>183</v>
      </c>
      <c r="CP1311" t="s">
        <v>266</v>
      </c>
      <c r="CS1311" t="s">
        <v>198</v>
      </c>
      <c r="DC1311" t="s">
        <v>198</v>
      </c>
      <c r="DM1311" t="s">
        <v>198</v>
      </c>
      <c r="DW1311" t="s">
        <v>198</v>
      </c>
      <c r="EG1311" t="s">
        <v>198</v>
      </c>
      <c r="EQ1311" t="s">
        <v>198</v>
      </c>
      <c r="FA1311" t="s">
        <v>198</v>
      </c>
      <c r="FK1311" t="s">
        <v>198</v>
      </c>
      <c r="FU1311" t="s">
        <v>198</v>
      </c>
    </row>
    <row r="1312" spans="1:177">
      <c r="A1312" s="1" t="str">
        <f>HYPERLINK("http://digipan.lumentumllc.com/apps/getLink/index.php?t=PropLink&amp;p=5248001","PL")</f>
        <v>PL</v>
      </c>
      <c r="B1312" s="1" t="str">
        <f>HYPERLINK("http://digipan.lumentumllc.com/apps/getLink/index.php?t=TaxLink&amp;p=5248001","TL")</f>
        <v>TL</v>
      </c>
      <c r="C1312" s="1" t="str">
        <f>HYPERLINK("http://digipan.lumentumllc.com/apps/getMap/index.php?p=5248001","Map")</f>
        <v>Map</v>
      </c>
      <c r="E1312" t="s">
        <v>177</v>
      </c>
      <c r="F1312" t="s">
        <v>178</v>
      </c>
      <c r="L1312" t="s">
        <v>17003</v>
      </c>
      <c r="N1312" t="s">
        <v>17003</v>
      </c>
      <c r="O1312" t="s">
        <v>17003</v>
      </c>
      <c r="P1312" t="s">
        <v>17004</v>
      </c>
      <c r="Q1312" t="s">
        <v>17003</v>
      </c>
      <c r="V1312">
        <v>1502</v>
      </c>
      <c r="W1312">
        <v>5</v>
      </c>
      <c r="X1312">
        <v>2017</v>
      </c>
      <c r="Y1312">
        <v>2018</v>
      </c>
      <c r="Z1312">
        <v>281.57</v>
      </c>
      <c r="AB1312" t="s">
        <v>181</v>
      </c>
      <c r="AC1312" t="s">
        <v>182</v>
      </c>
      <c r="AD1312" t="s">
        <v>183</v>
      </c>
      <c r="AE1312">
        <v>0</v>
      </c>
      <c r="AF1312">
        <v>8</v>
      </c>
      <c r="AG1312" t="s">
        <v>1059</v>
      </c>
      <c r="AH1312">
        <v>100</v>
      </c>
      <c r="AK1312">
        <v>0</v>
      </c>
      <c r="AL1312">
        <v>55367</v>
      </c>
      <c r="AM1312">
        <v>28000</v>
      </c>
      <c r="AN1312">
        <v>27367</v>
      </c>
      <c r="AO1312">
        <v>221</v>
      </c>
      <c r="AP1312">
        <v>2016</v>
      </c>
      <c r="AQ1312">
        <v>0.51</v>
      </c>
      <c r="AS1312" t="s">
        <v>17005</v>
      </c>
      <c r="AT1312" t="s">
        <v>3210</v>
      </c>
      <c r="AU1312" t="s">
        <v>177</v>
      </c>
      <c r="AV1312" t="s">
        <v>2334</v>
      </c>
      <c r="AW1312" t="s">
        <v>202</v>
      </c>
      <c r="AX1312">
        <v>2</v>
      </c>
      <c r="AY1312" t="s">
        <v>188</v>
      </c>
      <c r="AZ1312" t="s">
        <v>189</v>
      </c>
      <c r="BA1312" t="s">
        <v>190</v>
      </c>
      <c r="BB1312" t="s">
        <v>191</v>
      </c>
      <c r="BC1312" t="s">
        <v>182</v>
      </c>
      <c r="BD1312" t="s">
        <v>182</v>
      </c>
      <c r="BE1312" t="s">
        <v>383</v>
      </c>
      <c r="BF1312">
        <v>1</v>
      </c>
      <c r="BG1312">
        <v>1</v>
      </c>
      <c r="BH1312">
        <v>1995</v>
      </c>
      <c r="BI1312" t="s">
        <v>4941</v>
      </c>
      <c r="BJ1312" t="s">
        <v>194</v>
      </c>
      <c r="BK1312" t="s">
        <v>195</v>
      </c>
      <c r="BL1312" t="s">
        <v>15419</v>
      </c>
      <c r="BM1312" t="s">
        <v>2351</v>
      </c>
      <c r="BN1312" t="s">
        <v>182</v>
      </c>
      <c r="BO1312" t="s">
        <v>4177</v>
      </c>
      <c r="BP1312" t="s">
        <v>17006</v>
      </c>
      <c r="BS1312" t="s">
        <v>17007</v>
      </c>
      <c r="BT1312" t="s">
        <v>198</v>
      </c>
      <c r="BU1312" t="s">
        <v>182</v>
      </c>
      <c r="BV1312" t="s">
        <v>198</v>
      </c>
      <c r="BW1312" t="s">
        <v>198</v>
      </c>
      <c r="BX1312" t="s">
        <v>199</v>
      </c>
      <c r="BY1312" t="s">
        <v>198</v>
      </c>
      <c r="BZ1312" t="s">
        <v>199</v>
      </c>
      <c r="CA1312" t="s">
        <v>199</v>
      </c>
      <c r="CB1312" t="s">
        <v>17008</v>
      </c>
      <c r="CC1312" t="s">
        <v>201</v>
      </c>
      <c r="CD1312" t="s">
        <v>182</v>
      </c>
      <c r="CE1312" t="s">
        <v>17009</v>
      </c>
      <c r="CF1312" t="s">
        <v>2333</v>
      </c>
      <c r="CG1312" t="s">
        <v>177</v>
      </c>
      <c r="CH1312" t="s">
        <v>2334</v>
      </c>
      <c r="CI1312" t="s">
        <v>17010</v>
      </c>
      <c r="CJ1312" t="s">
        <v>10312</v>
      </c>
      <c r="CK1312" t="s">
        <v>232</v>
      </c>
      <c r="CL1312" t="s">
        <v>233</v>
      </c>
      <c r="CM1312" t="s">
        <v>17011</v>
      </c>
      <c r="CN1312" t="s">
        <v>235</v>
      </c>
      <c r="CO1312" t="s">
        <v>183</v>
      </c>
      <c r="CP1312" t="s">
        <v>211</v>
      </c>
      <c r="CQ1312" t="s">
        <v>206</v>
      </c>
      <c r="CS1312" t="s">
        <v>8846</v>
      </c>
      <c r="CT1312" t="s">
        <v>17012</v>
      </c>
      <c r="CU1312" t="s">
        <v>292</v>
      </c>
      <c r="CV1312" t="s">
        <v>293</v>
      </c>
      <c r="CW1312" t="s">
        <v>17013</v>
      </c>
      <c r="CX1312" t="s">
        <v>235</v>
      </c>
      <c r="CY1312" t="s">
        <v>183</v>
      </c>
      <c r="CZ1312" t="s">
        <v>211</v>
      </c>
      <c r="DA1312" t="s">
        <v>206</v>
      </c>
      <c r="DC1312" t="s">
        <v>15482</v>
      </c>
      <c r="DD1312" t="s">
        <v>2615</v>
      </c>
      <c r="DE1312" t="s">
        <v>267</v>
      </c>
      <c r="DF1312" t="s">
        <v>268</v>
      </c>
      <c r="DG1312" t="s">
        <v>17014</v>
      </c>
      <c r="DH1312" t="s">
        <v>235</v>
      </c>
      <c r="DI1312" t="s">
        <v>183</v>
      </c>
      <c r="DJ1312" t="s">
        <v>211</v>
      </c>
      <c r="DK1312" t="s">
        <v>199</v>
      </c>
      <c r="DM1312" t="s">
        <v>17015</v>
      </c>
      <c r="DN1312" t="s">
        <v>17016</v>
      </c>
      <c r="DO1312" t="s">
        <v>273</v>
      </c>
      <c r="DP1312" t="s">
        <v>274</v>
      </c>
      <c r="DQ1312" t="s">
        <v>17017</v>
      </c>
      <c r="DR1312" t="s">
        <v>235</v>
      </c>
      <c r="DS1312" t="s">
        <v>183</v>
      </c>
      <c r="DT1312" t="s">
        <v>211</v>
      </c>
      <c r="DU1312" t="s">
        <v>427</v>
      </c>
      <c r="DW1312" t="s">
        <v>17015</v>
      </c>
      <c r="DX1312" t="s">
        <v>17018</v>
      </c>
      <c r="DY1312" t="s">
        <v>302</v>
      </c>
      <c r="DZ1312" t="s">
        <v>303</v>
      </c>
      <c r="EA1312" t="s">
        <v>17019</v>
      </c>
      <c r="EB1312" t="s">
        <v>235</v>
      </c>
      <c r="EC1312" t="s">
        <v>183</v>
      </c>
      <c r="ED1312" t="s">
        <v>211</v>
      </c>
      <c r="EE1312" t="s">
        <v>345</v>
      </c>
      <c r="EG1312" t="s">
        <v>2490</v>
      </c>
      <c r="EH1312" t="s">
        <v>17020</v>
      </c>
      <c r="EI1312" t="s">
        <v>238</v>
      </c>
      <c r="EJ1312" t="s">
        <v>239</v>
      </c>
      <c r="EK1312" t="s">
        <v>17021</v>
      </c>
      <c r="EL1312" t="s">
        <v>440</v>
      </c>
      <c r="EM1312" t="s">
        <v>183</v>
      </c>
      <c r="EN1312" t="s">
        <v>211</v>
      </c>
      <c r="EO1312" t="s">
        <v>337</v>
      </c>
      <c r="EQ1312" t="s">
        <v>17022</v>
      </c>
      <c r="ER1312" t="s">
        <v>17023</v>
      </c>
      <c r="ES1312" t="s">
        <v>346</v>
      </c>
      <c r="ET1312" t="s">
        <v>347</v>
      </c>
      <c r="EU1312" t="s">
        <v>17024</v>
      </c>
      <c r="EV1312" t="s">
        <v>1491</v>
      </c>
      <c r="EW1312" t="s">
        <v>183</v>
      </c>
      <c r="EX1312" t="s">
        <v>211</v>
      </c>
      <c r="EY1312" t="s">
        <v>298</v>
      </c>
      <c r="FA1312" t="s">
        <v>3166</v>
      </c>
      <c r="FB1312" t="s">
        <v>17025</v>
      </c>
      <c r="FC1312" t="s">
        <v>207</v>
      </c>
      <c r="FD1312" t="s">
        <v>208</v>
      </c>
      <c r="FE1312" t="s">
        <v>17026</v>
      </c>
      <c r="FF1312" t="s">
        <v>1966</v>
      </c>
      <c r="FG1312" t="s">
        <v>183</v>
      </c>
      <c r="FH1312" t="s">
        <v>211</v>
      </c>
      <c r="FI1312" t="s">
        <v>345</v>
      </c>
      <c r="FK1312" t="s">
        <v>4545</v>
      </c>
      <c r="FU1312" t="s">
        <v>198</v>
      </c>
    </row>
    <row r="1313" spans="1:177">
      <c r="A1313" s="1" t="str">
        <f>HYPERLINK("http://digipan.lumentumllc.com/apps/getLink/index.php?t=PropLink&amp;p=5248002","PL")</f>
        <v>PL</v>
      </c>
      <c r="B1313" s="1" t="str">
        <f>HYPERLINK("http://digipan.lumentumllc.com/apps/getLink/index.php?t=TaxLink&amp;p=5248002","TL")</f>
        <v>TL</v>
      </c>
      <c r="C1313" s="1" t="str">
        <f>HYPERLINK("http://digipan.lumentumllc.com/apps/getMap/index.php?p=5248002","Map")</f>
        <v>Map</v>
      </c>
      <c r="E1313" t="s">
        <v>177</v>
      </c>
      <c r="F1313" t="s">
        <v>178</v>
      </c>
      <c r="L1313" t="s">
        <v>17027</v>
      </c>
      <c r="N1313" t="s">
        <v>17027</v>
      </c>
      <c r="O1313" t="s">
        <v>17027</v>
      </c>
      <c r="P1313" t="s">
        <v>17028</v>
      </c>
      <c r="Q1313" t="s">
        <v>17027</v>
      </c>
      <c r="V1313">
        <v>1503</v>
      </c>
      <c r="W1313">
        <v>5</v>
      </c>
      <c r="X1313">
        <v>2017</v>
      </c>
      <c r="Y1313">
        <v>2018</v>
      </c>
      <c r="Z1313">
        <v>2180.52</v>
      </c>
      <c r="AB1313" t="s">
        <v>181</v>
      </c>
      <c r="AC1313" t="s">
        <v>182</v>
      </c>
      <c r="AD1313" t="s">
        <v>183</v>
      </c>
      <c r="AE1313">
        <v>1</v>
      </c>
      <c r="AF1313">
        <v>6</v>
      </c>
      <c r="AG1313" t="s">
        <v>418</v>
      </c>
      <c r="AH1313">
        <v>86</v>
      </c>
      <c r="AI1313">
        <v>2017.79</v>
      </c>
      <c r="AJ1313">
        <v>100.89</v>
      </c>
      <c r="AK1313">
        <v>2118.6799999999998</v>
      </c>
      <c r="AL1313">
        <v>131226</v>
      </c>
      <c r="AM1313">
        <v>28000</v>
      </c>
      <c r="AN1313">
        <v>103226</v>
      </c>
      <c r="AO1313">
        <v>1841</v>
      </c>
      <c r="AP1313">
        <v>2016</v>
      </c>
      <c r="AQ1313">
        <v>1.66</v>
      </c>
      <c r="AR1313">
        <v>1.61</v>
      </c>
      <c r="AS1313" t="s">
        <v>17029</v>
      </c>
      <c r="AT1313" t="s">
        <v>3210</v>
      </c>
      <c r="AU1313" t="s">
        <v>177</v>
      </c>
      <c r="AV1313" t="s">
        <v>2334</v>
      </c>
      <c r="AW1313" t="s">
        <v>182</v>
      </c>
      <c r="AX1313">
        <v>1</v>
      </c>
      <c r="AY1313" t="s">
        <v>188</v>
      </c>
      <c r="AZ1313" t="s">
        <v>206</v>
      </c>
      <c r="BA1313" t="s">
        <v>355</v>
      </c>
      <c r="BB1313" t="s">
        <v>191</v>
      </c>
      <c r="BC1313" t="s">
        <v>182</v>
      </c>
      <c r="BD1313" t="s">
        <v>182</v>
      </c>
      <c r="BE1313" t="s">
        <v>383</v>
      </c>
      <c r="BF1313">
        <v>1</v>
      </c>
      <c r="BG1313">
        <v>1</v>
      </c>
      <c r="BH1313">
        <v>1996</v>
      </c>
      <c r="BI1313" t="s">
        <v>14668</v>
      </c>
      <c r="BJ1313" t="s">
        <v>194</v>
      </c>
      <c r="BK1313" t="s">
        <v>195</v>
      </c>
      <c r="BL1313" t="s">
        <v>17030</v>
      </c>
      <c r="BM1313" t="s">
        <v>559</v>
      </c>
      <c r="BN1313" t="s">
        <v>182</v>
      </c>
      <c r="BO1313" t="s">
        <v>17031</v>
      </c>
      <c r="BP1313" t="s">
        <v>8925</v>
      </c>
      <c r="BS1313" t="s">
        <v>17032</v>
      </c>
      <c r="BT1313" t="s">
        <v>198</v>
      </c>
      <c r="BU1313" t="s">
        <v>182</v>
      </c>
      <c r="BV1313" t="s">
        <v>198</v>
      </c>
      <c r="BW1313" t="s">
        <v>198</v>
      </c>
      <c r="BX1313" t="s">
        <v>199</v>
      </c>
      <c r="BY1313" t="s">
        <v>198</v>
      </c>
      <c r="BZ1313" t="s">
        <v>199</v>
      </c>
      <c r="CA1313" t="s">
        <v>199</v>
      </c>
      <c r="CB1313" t="s">
        <v>17033</v>
      </c>
      <c r="CC1313" t="s">
        <v>201</v>
      </c>
      <c r="CD1313" t="s">
        <v>182</v>
      </c>
      <c r="CE1313" t="s">
        <v>17034</v>
      </c>
      <c r="CF1313" t="s">
        <v>413</v>
      </c>
      <c r="CG1313" t="s">
        <v>177</v>
      </c>
      <c r="CH1313" t="s">
        <v>7465</v>
      </c>
      <c r="CI1313" t="s">
        <v>17035</v>
      </c>
      <c r="CJ1313" t="s">
        <v>12735</v>
      </c>
      <c r="CK1313" t="s">
        <v>232</v>
      </c>
      <c r="CL1313" t="s">
        <v>233</v>
      </c>
      <c r="CM1313" t="s">
        <v>17036</v>
      </c>
      <c r="CN1313" t="s">
        <v>235</v>
      </c>
      <c r="CO1313" t="s">
        <v>183</v>
      </c>
      <c r="CP1313" t="s">
        <v>266</v>
      </c>
      <c r="CS1313" t="s">
        <v>198</v>
      </c>
      <c r="CT1313" t="s">
        <v>13281</v>
      </c>
      <c r="CU1313" t="s">
        <v>292</v>
      </c>
      <c r="CV1313" t="s">
        <v>293</v>
      </c>
      <c r="CW1313" t="s">
        <v>17037</v>
      </c>
      <c r="CX1313" t="s">
        <v>235</v>
      </c>
      <c r="CY1313" t="s">
        <v>183</v>
      </c>
      <c r="CZ1313" t="s">
        <v>211</v>
      </c>
      <c r="DA1313" t="s">
        <v>298</v>
      </c>
      <c r="DC1313" t="s">
        <v>1066</v>
      </c>
      <c r="DD1313" t="s">
        <v>4877</v>
      </c>
      <c r="DE1313" t="s">
        <v>267</v>
      </c>
      <c r="DF1313" t="s">
        <v>268</v>
      </c>
      <c r="DG1313" t="s">
        <v>17038</v>
      </c>
      <c r="DH1313" t="s">
        <v>235</v>
      </c>
      <c r="DI1313" t="s">
        <v>183</v>
      </c>
      <c r="DJ1313" t="s">
        <v>211</v>
      </c>
      <c r="DK1313" t="s">
        <v>298</v>
      </c>
      <c r="DM1313" t="s">
        <v>2428</v>
      </c>
      <c r="DN1313" t="s">
        <v>9622</v>
      </c>
      <c r="DO1313" t="s">
        <v>273</v>
      </c>
      <c r="DP1313" t="s">
        <v>274</v>
      </c>
      <c r="DQ1313" t="s">
        <v>17039</v>
      </c>
      <c r="DR1313" t="s">
        <v>235</v>
      </c>
      <c r="DS1313" t="s">
        <v>183</v>
      </c>
      <c r="DT1313" t="s">
        <v>211</v>
      </c>
      <c r="DU1313" t="s">
        <v>298</v>
      </c>
      <c r="DW1313" t="s">
        <v>462</v>
      </c>
      <c r="DX1313" t="s">
        <v>17040</v>
      </c>
      <c r="DY1313" t="s">
        <v>302</v>
      </c>
      <c r="DZ1313" t="s">
        <v>303</v>
      </c>
      <c r="EA1313" t="s">
        <v>17041</v>
      </c>
      <c r="EB1313" t="s">
        <v>235</v>
      </c>
      <c r="EC1313" t="s">
        <v>183</v>
      </c>
      <c r="ED1313" t="s">
        <v>211</v>
      </c>
      <c r="EE1313" t="s">
        <v>298</v>
      </c>
      <c r="EG1313" t="s">
        <v>437</v>
      </c>
      <c r="EH1313" t="s">
        <v>17042</v>
      </c>
      <c r="EI1313" t="s">
        <v>238</v>
      </c>
      <c r="EJ1313" t="s">
        <v>239</v>
      </c>
      <c r="EK1313" t="s">
        <v>17043</v>
      </c>
      <c r="EL1313" t="s">
        <v>235</v>
      </c>
      <c r="EM1313" t="s">
        <v>183</v>
      </c>
      <c r="EN1313" t="s">
        <v>211</v>
      </c>
      <c r="EO1313" t="s">
        <v>298</v>
      </c>
      <c r="EQ1313" t="s">
        <v>467</v>
      </c>
      <c r="ER1313" t="s">
        <v>17044</v>
      </c>
      <c r="ES1313" t="s">
        <v>346</v>
      </c>
      <c r="ET1313" t="s">
        <v>347</v>
      </c>
      <c r="EU1313" t="s">
        <v>17045</v>
      </c>
      <c r="EV1313" t="s">
        <v>235</v>
      </c>
      <c r="EW1313" t="s">
        <v>183</v>
      </c>
      <c r="EX1313" t="s">
        <v>211</v>
      </c>
      <c r="EY1313" t="s">
        <v>337</v>
      </c>
      <c r="FA1313" t="s">
        <v>13095</v>
      </c>
      <c r="FK1313" t="s">
        <v>198</v>
      </c>
      <c r="FU1313" t="s">
        <v>198</v>
      </c>
    </row>
    <row r="1314" spans="1:177">
      <c r="A1314" s="1" t="str">
        <f>HYPERLINK("http://digipan.lumentumllc.com/apps/getLink/index.php?t=PropLink&amp;p=4638620","PL")</f>
        <v>PL</v>
      </c>
      <c r="B1314" s="1" t="str">
        <f>HYPERLINK("http://digipan.lumentumllc.com/apps/getLink/index.php?t=TaxLink&amp;p=4638620","TL")</f>
        <v>TL</v>
      </c>
      <c r="C1314" s="1" t="str">
        <f>HYPERLINK("http://digipan.lumentumllc.com/apps/getMap/index.php?p=4638620","Map")</f>
        <v>Map</v>
      </c>
      <c r="E1314" t="s">
        <v>177</v>
      </c>
      <c r="F1314" t="s">
        <v>178</v>
      </c>
      <c r="L1314" t="s">
        <v>17046</v>
      </c>
      <c r="N1314" t="s">
        <v>17046</v>
      </c>
      <c r="O1314" t="s">
        <v>17046</v>
      </c>
      <c r="P1314" t="s">
        <v>17047</v>
      </c>
      <c r="Q1314" t="s">
        <v>17046</v>
      </c>
      <c r="V1314">
        <v>1504</v>
      </c>
      <c r="W1314">
        <v>5</v>
      </c>
      <c r="X1314">
        <v>2017</v>
      </c>
      <c r="Y1314">
        <v>2018</v>
      </c>
      <c r="Z1314">
        <v>649.47</v>
      </c>
      <c r="AB1314" t="s">
        <v>181</v>
      </c>
      <c r="AC1314" t="s">
        <v>182</v>
      </c>
      <c r="AD1314" t="s">
        <v>183</v>
      </c>
      <c r="AE1314">
        <v>0</v>
      </c>
      <c r="AF1314">
        <v>5</v>
      </c>
      <c r="AG1314" t="s">
        <v>744</v>
      </c>
      <c r="AH1314">
        <v>100</v>
      </c>
      <c r="AK1314">
        <v>0</v>
      </c>
      <c r="AL1314">
        <v>40924</v>
      </c>
      <c r="AM1314">
        <v>28000</v>
      </c>
      <c r="AN1314">
        <v>12924</v>
      </c>
      <c r="AO1314">
        <v>493</v>
      </c>
      <c r="AP1314">
        <v>2016</v>
      </c>
      <c r="AQ1314">
        <v>1.59</v>
      </c>
      <c r="AS1314" t="s">
        <v>17048</v>
      </c>
      <c r="AT1314" t="s">
        <v>3210</v>
      </c>
      <c r="AU1314" t="s">
        <v>177</v>
      </c>
      <c r="AV1314" t="s">
        <v>2334</v>
      </c>
      <c r="AW1314" t="s">
        <v>182</v>
      </c>
      <c r="AX1314">
        <v>2</v>
      </c>
      <c r="AY1314" t="s">
        <v>188</v>
      </c>
      <c r="AZ1314" t="s">
        <v>189</v>
      </c>
      <c r="BA1314" t="s">
        <v>190</v>
      </c>
      <c r="BB1314" t="s">
        <v>191</v>
      </c>
      <c r="BC1314" t="s">
        <v>182</v>
      </c>
      <c r="BD1314" t="s">
        <v>182</v>
      </c>
      <c r="BE1314" t="s">
        <v>383</v>
      </c>
      <c r="BF1314">
        <v>1</v>
      </c>
      <c r="BG1314">
        <v>1</v>
      </c>
      <c r="BH1314">
        <v>1989</v>
      </c>
      <c r="BI1314" t="s">
        <v>10431</v>
      </c>
      <c r="BJ1314" t="s">
        <v>285</v>
      </c>
      <c r="BK1314" t="s">
        <v>195</v>
      </c>
      <c r="BL1314" t="s">
        <v>2281</v>
      </c>
      <c r="BM1314" t="s">
        <v>325</v>
      </c>
      <c r="BN1314" t="s">
        <v>182</v>
      </c>
      <c r="BO1314" t="s">
        <v>17049</v>
      </c>
      <c r="BP1314" t="s">
        <v>17050</v>
      </c>
      <c r="BS1314" t="s">
        <v>17051</v>
      </c>
      <c r="BT1314" t="s">
        <v>198</v>
      </c>
      <c r="BU1314" t="s">
        <v>182</v>
      </c>
      <c r="BV1314" t="s">
        <v>198</v>
      </c>
      <c r="BW1314" t="s">
        <v>198</v>
      </c>
      <c r="BX1314" t="s">
        <v>199</v>
      </c>
      <c r="BY1314" t="s">
        <v>198</v>
      </c>
      <c r="BZ1314" t="s">
        <v>199</v>
      </c>
      <c r="CA1314" t="s">
        <v>199</v>
      </c>
      <c r="CB1314" t="s">
        <v>17052</v>
      </c>
      <c r="CC1314" t="s">
        <v>201</v>
      </c>
      <c r="CD1314" t="s">
        <v>182</v>
      </c>
      <c r="CE1314" t="s">
        <v>17053</v>
      </c>
      <c r="CF1314" t="s">
        <v>2333</v>
      </c>
      <c r="CG1314" t="s">
        <v>177</v>
      </c>
      <c r="CH1314" t="s">
        <v>2334</v>
      </c>
      <c r="CI1314" t="s">
        <v>17054</v>
      </c>
      <c r="CJ1314" t="s">
        <v>15822</v>
      </c>
      <c r="CK1314" t="s">
        <v>292</v>
      </c>
      <c r="CL1314" t="s">
        <v>293</v>
      </c>
      <c r="CM1314" t="s">
        <v>17055</v>
      </c>
      <c r="CN1314" t="s">
        <v>482</v>
      </c>
      <c r="CO1314" t="s">
        <v>183</v>
      </c>
      <c r="CP1314" t="s">
        <v>211</v>
      </c>
      <c r="CQ1314" t="s">
        <v>342</v>
      </c>
      <c r="CS1314" t="s">
        <v>7547</v>
      </c>
      <c r="CT1314" t="s">
        <v>16645</v>
      </c>
      <c r="CU1314" t="s">
        <v>273</v>
      </c>
      <c r="CV1314" t="s">
        <v>274</v>
      </c>
      <c r="CW1314" t="s">
        <v>17056</v>
      </c>
      <c r="CX1314" t="s">
        <v>235</v>
      </c>
      <c r="CY1314" t="s">
        <v>183</v>
      </c>
      <c r="CZ1314" t="s">
        <v>211</v>
      </c>
      <c r="DA1314" t="s">
        <v>342</v>
      </c>
      <c r="DC1314" t="s">
        <v>9541</v>
      </c>
      <c r="DD1314" t="s">
        <v>17057</v>
      </c>
      <c r="DE1314" t="s">
        <v>302</v>
      </c>
      <c r="DF1314" t="s">
        <v>303</v>
      </c>
      <c r="DG1314" t="s">
        <v>17058</v>
      </c>
      <c r="DH1314" t="s">
        <v>235</v>
      </c>
      <c r="DI1314" t="s">
        <v>183</v>
      </c>
      <c r="DJ1314" t="s">
        <v>211</v>
      </c>
      <c r="DK1314" t="s">
        <v>345</v>
      </c>
      <c r="DM1314" t="s">
        <v>9541</v>
      </c>
      <c r="DN1314" t="s">
        <v>17059</v>
      </c>
      <c r="DO1314" t="s">
        <v>238</v>
      </c>
      <c r="DP1314" t="s">
        <v>239</v>
      </c>
      <c r="DQ1314" t="s">
        <v>17060</v>
      </c>
      <c r="DR1314" t="s">
        <v>247</v>
      </c>
      <c r="DS1314" t="s">
        <v>183</v>
      </c>
      <c r="DT1314" t="s">
        <v>211</v>
      </c>
      <c r="DU1314" t="s">
        <v>298</v>
      </c>
      <c r="DW1314" t="s">
        <v>3501</v>
      </c>
      <c r="DX1314" t="s">
        <v>9772</v>
      </c>
      <c r="DY1314" t="s">
        <v>207</v>
      </c>
      <c r="DZ1314" t="s">
        <v>208</v>
      </c>
      <c r="EA1314" t="s">
        <v>17061</v>
      </c>
      <c r="EB1314" t="s">
        <v>1966</v>
      </c>
      <c r="EC1314" t="s">
        <v>183</v>
      </c>
      <c r="ED1314" t="s">
        <v>211</v>
      </c>
      <c r="EE1314" t="s">
        <v>329</v>
      </c>
      <c r="EG1314" t="s">
        <v>13004</v>
      </c>
      <c r="EQ1314" t="s">
        <v>198</v>
      </c>
      <c r="FA1314" t="s">
        <v>198</v>
      </c>
      <c r="FK1314" t="s">
        <v>198</v>
      </c>
      <c r="FU1314" t="s">
        <v>198</v>
      </c>
    </row>
    <row r="1315" spans="1:177">
      <c r="A1315" s="1" t="str">
        <f>HYPERLINK("http://digipan.lumentumllc.com/apps/getLink/index.php?t=PropLink&amp;p=5248006","PL")</f>
        <v>PL</v>
      </c>
      <c r="B1315" s="1" t="str">
        <f>HYPERLINK("http://digipan.lumentumllc.com/apps/getLink/index.php?t=TaxLink&amp;p=5248006","TL")</f>
        <v>TL</v>
      </c>
      <c r="C1315" s="1" t="str">
        <f>HYPERLINK("http://digipan.lumentumllc.com/apps/getMap/index.php?p=5248006","Map")</f>
        <v>Map</v>
      </c>
      <c r="E1315" t="s">
        <v>177</v>
      </c>
      <c r="F1315" t="s">
        <v>178</v>
      </c>
      <c r="L1315" t="s">
        <v>17062</v>
      </c>
      <c r="N1315" t="s">
        <v>17062</v>
      </c>
      <c r="O1315" t="s">
        <v>17062</v>
      </c>
      <c r="P1315" t="s">
        <v>17063</v>
      </c>
      <c r="Q1315" t="s">
        <v>17062</v>
      </c>
      <c r="V1315">
        <v>1505</v>
      </c>
      <c r="W1315">
        <v>5</v>
      </c>
      <c r="X1315">
        <v>2017</v>
      </c>
      <c r="Y1315">
        <v>2018</v>
      </c>
      <c r="Z1315">
        <v>965.33</v>
      </c>
      <c r="AB1315" t="s">
        <v>181</v>
      </c>
      <c r="AC1315" t="s">
        <v>182</v>
      </c>
      <c r="AD1315" t="s">
        <v>183</v>
      </c>
      <c r="AE1315">
        <v>0</v>
      </c>
      <c r="AF1315">
        <v>4</v>
      </c>
      <c r="AG1315" t="s">
        <v>744</v>
      </c>
      <c r="AH1315">
        <v>100</v>
      </c>
      <c r="AK1315">
        <v>0</v>
      </c>
      <c r="AL1315">
        <v>66000</v>
      </c>
      <c r="AM1315">
        <v>28000</v>
      </c>
      <c r="AN1315">
        <v>38000</v>
      </c>
      <c r="AO1315">
        <v>699</v>
      </c>
      <c r="AP1315">
        <v>2016</v>
      </c>
      <c r="AQ1315">
        <v>1.46</v>
      </c>
      <c r="AS1315" t="s">
        <v>17064</v>
      </c>
      <c r="AT1315" t="s">
        <v>3210</v>
      </c>
      <c r="AU1315" t="s">
        <v>177</v>
      </c>
      <c r="AV1315" t="s">
        <v>2334</v>
      </c>
      <c r="AW1315" t="s">
        <v>182</v>
      </c>
      <c r="AX1315">
        <v>2</v>
      </c>
      <c r="AY1315" t="s">
        <v>188</v>
      </c>
      <c r="AZ1315" t="s">
        <v>189</v>
      </c>
      <c r="BA1315" t="s">
        <v>190</v>
      </c>
      <c r="BB1315" t="s">
        <v>191</v>
      </c>
      <c r="BC1315" t="s">
        <v>182</v>
      </c>
      <c r="BD1315" t="s">
        <v>182</v>
      </c>
      <c r="BE1315" t="s">
        <v>383</v>
      </c>
      <c r="BF1315">
        <v>1</v>
      </c>
      <c r="BG1315">
        <v>1</v>
      </c>
      <c r="BH1315">
        <v>1992</v>
      </c>
      <c r="BI1315" t="s">
        <v>900</v>
      </c>
      <c r="BJ1315" t="s">
        <v>194</v>
      </c>
      <c r="BK1315" t="s">
        <v>195</v>
      </c>
      <c r="BL1315" t="s">
        <v>3616</v>
      </c>
      <c r="BM1315" t="s">
        <v>292</v>
      </c>
      <c r="BN1315" t="s">
        <v>182</v>
      </c>
      <c r="BO1315" t="s">
        <v>17065</v>
      </c>
      <c r="BP1315" t="s">
        <v>17066</v>
      </c>
      <c r="BR1315" t="s">
        <v>1123</v>
      </c>
      <c r="BS1315" t="s">
        <v>17067</v>
      </c>
      <c r="BT1315" t="s">
        <v>17068</v>
      </c>
      <c r="BU1315" t="s">
        <v>182</v>
      </c>
      <c r="BV1315" t="s">
        <v>198</v>
      </c>
      <c r="BW1315" t="s">
        <v>198</v>
      </c>
      <c r="BX1315" t="s">
        <v>199</v>
      </c>
      <c r="BY1315" t="s">
        <v>198</v>
      </c>
      <c r="BZ1315" t="s">
        <v>199</v>
      </c>
      <c r="CA1315" t="s">
        <v>199</v>
      </c>
      <c r="CB1315" t="s">
        <v>17069</v>
      </c>
      <c r="CC1315" t="s">
        <v>201</v>
      </c>
      <c r="CD1315" t="s">
        <v>182</v>
      </c>
      <c r="CE1315" t="s">
        <v>17070</v>
      </c>
      <c r="CF1315" t="s">
        <v>5331</v>
      </c>
      <c r="CG1315" t="s">
        <v>177</v>
      </c>
      <c r="CH1315" t="s">
        <v>371</v>
      </c>
      <c r="CI1315" t="s">
        <v>17071</v>
      </c>
      <c r="CJ1315" t="s">
        <v>11340</v>
      </c>
      <c r="CK1315" t="s">
        <v>273</v>
      </c>
      <c r="CL1315" t="s">
        <v>274</v>
      </c>
      <c r="CM1315" t="s">
        <v>17072</v>
      </c>
      <c r="CN1315" t="s">
        <v>235</v>
      </c>
      <c r="CO1315" t="s">
        <v>183</v>
      </c>
      <c r="CP1315" t="s">
        <v>211</v>
      </c>
      <c r="CQ1315" t="s">
        <v>250</v>
      </c>
      <c r="CS1315" t="s">
        <v>17073</v>
      </c>
      <c r="CT1315" t="s">
        <v>9513</v>
      </c>
      <c r="CU1315" t="s">
        <v>302</v>
      </c>
      <c r="CV1315" t="s">
        <v>303</v>
      </c>
      <c r="CW1315" t="s">
        <v>17074</v>
      </c>
      <c r="CX1315" t="s">
        <v>235</v>
      </c>
      <c r="CY1315" t="s">
        <v>183</v>
      </c>
      <c r="CZ1315" t="s">
        <v>211</v>
      </c>
      <c r="DA1315" t="s">
        <v>189</v>
      </c>
      <c r="DC1315" t="s">
        <v>17075</v>
      </c>
      <c r="DD1315" t="s">
        <v>17076</v>
      </c>
      <c r="DE1315" t="s">
        <v>238</v>
      </c>
      <c r="DF1315" t="s">
        <v>239</v>
      </c>
      <c r="DG1315" t="s">
        <v>17077</v>
      </c>
      <c r="DH1315" t="s">
        <v>440</v>
      </c>
      <c r="DI1315" t="s">
        <v>183</v>
      </c>
      <c r="DJ1315" t="s">
        <v>211</v>
      </c>
      <c r="DK1315" t="s">
        <v>460</v>
      </c>
      <c r="DM1315" t="s">
        <v>17075</v>
      </c>
      <c r="DN1315" t="s">
        <v>5404</v>
      </c>
      <c r="DO1315" t="s">
        <v>346</v>
      </c>
      <c r="DP1315" t="s">
        <v>347</v>
      </c>
      <c r="DQ1315" t="s">
        <v>17078</v>
      </c>
      <c r="DR1315" t="s">
        <v>1491</v>
      </c>
      <c r="DS1315" t="s">
        <v>183</v>
      </c>
      <c r="DT1315" t="s">
        <v>211</v>
      </c>
      <c r="DU1315" t="s">
        <v>212</v>
      </c>
      <c r="DW1315" t="s">
        <v>9548</v>
      </c>
      <c r="EG1315" t="s">
        <v>198</v>
      </c>
      <c r="EQ1315" t="s">
        <v>198</v>
      </c>
      <c r="FA1315" t="s">
        <v>198</v>
      </c>
      <c r="FK1315" t="s">
        <v>198</v>
      </c>
      <c r="FU1315" t="s">
        <v>198</v>
      </c>
    </row>
    <row r="1316" spans="1:177">
      <c r="A1316" s="1" t="str">
        <f>HYPERLINK("http://digipan.lumentumllc.com/apps/getLink/index.php?t=PropLink&amp;p=5248007","PL")</f>
        <v>PL</v>
      </c>
      <c r="B1316" s="1" t="str">
        <f>HYPERLINK("http://digipan.lumentumllc.com/apps/getLink/index.php?t=TaxLink&amp;p=5248007","TL")</f>
        <v>TL</v>
      </c>
      <c r="C1316" s="1" t="str">
        <f>HYPERLINK("http://digipan.lumentumllc.com/apps/getMap/index.php?p=5248007","Map")</f>
        <v>Map</v>
      </c>
      <c r="E1316" t="s">
        <v>177</v>
      </c>
      <c r="F1316" t="s">
        <v>178</v>
      </c>
      <c r="L1316" t="s">
        <v>17079</v>
      </c>
      <c r="N1316" t="s">
        <v>17079</v>
      </c>
      <c r="O1316" t="s">
        <v>17079</v>
      </c>
      <c r="P1316" t="s">
        <v>17080</v>
      </c>
      <c r="Q1316" t="s">
        <v>17079</v>
      </c>
      <c r="V1316">
        <v>1506</v>
      </c>
      <c r="W1316">
        <v>5</v>
      </c>
      <c r="X1316">
        <v>2017</v>
      </c>
      <c r="Y1316">
        <v>2018</v>
      </c>
      <c r="Z1316">
        <v>598.54</v>
      </c>
      <c r="AB1316" t="s">
        <v>181</v>
      </c>
      <c r="AC1316" t="s">
        <v>182</v>
      </c>
      <c r="AD1316" t="s">
        <v>183</v>
      </c>
      <c r="AE1316">
        <v>0</v>
      </c>
      <c r="AF1316">
        <v>3</v>
      </c>
      <c r="AG1316" t="s">
        <v>216</v>
      </c>
      <c r="AH1316">
        <v>100</v>
      </c>
      <c r="AK1316">
        <v>0</v>
      </c>
      <c r="AL1316">
        <v>36602</v>
      </c>
      <c r="AM1316">
        <v>28000</v>
      </c>
      <c r="AN1316">
        <v>8602</v>
      </c>
      <c r="AO1316">
        <v>463</v>
      </c>
      <c r="AP1316">
        <v>2016</v>
      </c>
      <c r="AQ1316">
        <v>1.64</v>
      </c>
      <c r="AS1316" t="s">
        <v>17081</v>
      </c>
      <c r="AT1316" t="s">
        <v>3210</v>
      </c>
      <c r="AU1316" t="s">
        <v>177</v>
      </c>
      <c r="AV1316" t="s">
        <v>2334</v>
      </c>
      <c r="AW1316" t="s">
        <v>182</v>
      </c>
      <c r="AX1316">
        <v>0</v>
      </c>
      <c r="AY1316" t="s">
        <v>312</v>
      </c>
      <c r="AZ1316" t="s">
        <v>199</v>
      </c>
      <c r="BA1316" t="s">
        <v>313</v>
      </c>
      <c r="BB1316" t="s">
        <v>191</v>
      </c>
      <c r="BC1316" t="s">
        <v>182</v>
      </c>
      <c r="BD1316" t="s">
        <v>182</v>
      </c>
      <c r="BE1316" t="s">
        <v>383</v>
      </c>
      <c r="BF1316">
        <v>0</v>
      </c>
      <c r="BG1316">
        <v>0</v>
      </c>
      <c r="BH1316">
        <v>0</v>
      </c>
      <c r="BI1316" t="s">
        <v>199</v>
      </c>
      <c r="BJ1316" t="s">
        <v>248</v>
      </c>
      <c r="BL1316" t="s">
        <v>17082</v>
      </c>
      <c r="BM1316" t="s">
        <v>410</v>
      </c>
      <c r="BN1316" t="s">
        <v>182</v>
      </c>
      <c r="BO1316" t="s">
        <v>198</v>
      </c>
      <c r="BP1316" t="s">
        <v>198</v>
      </c>
      <c r="BQ1316" t="s">
        <v>198</v>
      </c>
      <c r="BR1316" t="s">
        <v>198</v>
      </c>
      <c r="BS1316" t="s">
        <v>198</v>
      </c>
      <c r="BT1316" t="s">
        <v>198</v>
      </c>
      <c r="BU1316" t="s">
        <v>182</v>
      </c>
      <c r="BV1316" t="s">
        <v>198</v>
      </c>
      <c r="BW1316" t="s">
        <v>198</v>
      </c>
      <c r="BX1316" t="s">
        <v>199</v>
      </c>
      <c r="BY1316" t="s">
        <v>198</v>
      </c>
      <c r="BZ1316" t="s">
        <v>199</v>
      </c>
      <c r="CA1316" t="s">
        <v>199</v>
      </c>
      <c r="CB1316" t="s">
        <v>17083</v>
      </c>
      <c r="CC1316" t="s">
        <v>201</v>
      </c>
      <c r="CD1316" t="s">
        <v>202</v>
      </c>
      <c r="CE1316" t="s">
        <v>17084</v>
      </c>
      <c r="CF1316" t="s">
        <v>2333</v>
      </c>
      <c r="CG1316" t="s">
        <v>177</v>
      </c>
      <c r="CH1316" t="s">
        <v>2334</v>
      </c>
      <c r="CI1316" t="s">
        <v>17085</v>
      </c>
      <c r="CJ1316" t="s">
        <v>9600</v>
      </c>
      <c r="CK1316" t="s">
        <v>232</v>
      </c>
      <c r="CL1316" t="s">
        <v>233</v>
      </c>
      <c r="CM1316" t="s">
        <v>17086</v>
      </c>
      <c r="CN1316" t="s">
        <v>1164</v>
      </c>
      <c r="CO1316" t="s">
        <v>183</v>
      </c>
      <c r="CP1316" t="s">
        <v>211</v>
      </c>
      <c r="CQ1316" t="s">
        <v>199</v>
      </c>
      <c r="CS1316" t="s">
        <v>2774</v>
      </c>
      <c r="CT1316" t="s">
        <v>17087</v>
      </c>
      <c r="CU1316" t="s">
        <v>346</v>
      </c>
      <c r="CV1316" t="s">
        <v>347</v>
      </c>
      <c r="CW1316" t="s">
        <v>17088</v>
      </c>
      <c r="CX1316" t="s">
        <v>210</v>
      </c>
      <c r="CY1316" t="s">
        <v>183</v>
      </c>
      <c r="CZ1316" t="s">
        <v>211</v>
      </c>
      <c r="DA1316" t="s">
        <v>342</v>
      </c>
      <c r="DC1316" t="s">
        <v>4520</v>
      </c>
      <c r="DD1316" t="s">
        <v>17089</v>
      </c>
      <c r="DE1316" t="s">
        <v>207</v>
      </c>
      <c r="DF1316" t="s">
        <v>208</v>
      </c>
      <c r="DG1316" t="s">
        <v>17090</v>
      </c>
      <c r="DH1316" t="s">
        <v>1966</v>
      </c>
      <c r="DI1316" t="s">
        <v>183</v>
      </c>
      <c r="DJ1316" t="s">
        <v>211</v>
      </c>
      <c r="DK1316" t="s">
        <v>345</v>
      </c>
      <c r="DM1316" t="s">
        <v>4520</v>
      </c>
      <c r="DW1316" t="s">
        <v>198</v>
      </c>
      <c r="EG1316" t="s">
        <v>198</v>
      </c>
      <c r="EQ1316" t="s">
        <v>198</v>
      </c>
      <c r="FA1316" t="s">
        <v>198</v>
      </c>
      <c r="FK1316" t="s">
        <v>198</v>
      </c>
      <c r="FU1316" t="s">
        <v>198</v>
      </c>
    </row>
    <row r="1317" spans="1:177">
      <c r="A1317" s="1" t="str">
        <f>HYPERLINK("http://digipan.lumentumllc.com/apps/getLink/index.php?t=PropLink&amp;p=5248008","PL")</f>
        <v>PL</v>
      </c>
      <c r="B1317" s="1" t="str">
        <f>HYPERLINK("http://digipan.lumentumllc.com/apps/getLink/index.php?t=TaxLink&amp;p=5248008","TL")</f>
        <v>TL</v>
      </c>
      <c r="C1317" s="1" t="str">
        <f>HYPERLINK("http://digipan.lumentumllc.com/apps/getMap/index.php?p=5248008","Map")</f>
        <v>Map</v>
      </c>
      <c r="E1317" t="s">
        <v>177</v>
      </c>
      <c r="F1317" t="s">
        <v>178</v>
      </c>
      <c r="L1317" t="s">
        <v>17091</v>
      </c>
      <c r="N1317" t="s">
        <v>17091</v>
      </c>
      <c r="O1317" t="s">
        <v>17091</v>
      </c>
      <c r="P1317" t="s">
        <v>17092</v>
      </c>
      <c r="Q1317" t="s">
        <v>17091</v>
      </c>
      <c r="V1317">
        <v>1507</v>
      </c>
      <c r="W1317">
        <v>5</v>
      </c>
      <c r="X1317">
        <v>2017</v>
      </c>
      <c r="Y1317">
        <v>2018</v>
      </c>
      <c r="Z1317">
        <v>796.48</v>
      </c>
      <c r="AB1317" t="s">
        <v>181</v>
      </c>
      <c r="AC1317" t="s">
        <v>182</v>
      </c>
      <c r="AD1317" t="s">
        <v>1037</v>
      </c>
      <c r="AE1317">
        <v>1</v>
      </c>
      <c r="AF1317">
        <v>7</v>
      </c>
      <c r="AG1317" t="s">
        <v>418</v>
      </c>
      <c r="AH1317">
        <v>86</v>
      </c>
      <c r="AI1317">
        <v>135.65</v>
      </c>
      <c r="AJ1317">
        <v>24.42</v>
      </c>
      <c r="AK1317">
        <v>160.07</v>
      </c>
      <c r="AL1317">
        <v>46693</v>
      </c>
      <c r="AM1317">
        <v>28000</v>
      </c>
      <c r="AN1317">
        <v>18693</v>
      </c>
      <c r="AO1317">
        <v>85</v>
      </c>
      <c r="AP1317">
        <v>2016</v>
      </c>
      <c r="AQ1317">
        <v>1.71</v>
      </c>
      <c r="AR1317">
        <v>0.34</v>
      </c>
      <c r="AS1317" t="s">
        <v>17093</v>
      </c>
      <c r="AT1317" t="s">
        <v>3210</v>
      </c>
      <c r="AU1317" t="s">
        <v>177</v>
      </c>
      <c r="AV1317" t="s">
        <v>2334</v>
      </c>
      <c r="AW1317" t="s">
        <v>182</v>
      </c>
      <c r="AX1317">
        <v>2</v>
      </c>
      <c r="AY1317" t="s">
        <v>188</v>
      </c>
      <c r="AZ1317" t="s">
        <v>189</v>
      </c>
      <c r="BA1317" t="s">
        <v>190</v>
      </c>
      <c r="BB1317" t="s">
        <v>191</v>
      </c>
      <c r="BC1317" t="s">
        <v>182</v>
      </c>
      <c r="BD1317" t="s">
        <v>182</v>
      </c>
      <c r="BE1317" t="s">
        <v>383</v>
      </c>
      <c r="BF1317">
        <v>1</v>
      </c>
      <c r="BG1317">
        <v>1</v>
      </c>
      <c r="BH1317">
        <v>1988</v>
      </c>
      <c r="BI1317" t="s">
        <v>6299</v>
      </c>
      <c r="BJ1317" t="s">
        <v>194</v>
      </c>
      <c r="BK1317" t="s">
        <v>195</v>
      </c>
      <c r="BL1317" t="s">
        <v>17094</v>
      </c>
      <c r="BM1317" t="s">
        <v>2351</v>
      </c>
      <c r="BN1317" t="s">
        <v>182</v>
      </c>
      <c r="BO1317" t="s">
        <v>198</v>
      </c>
      <c r="BP1317" t="s">
        <v>198</v>
      </c>
      <c r="BQ1317" t="s">
        <v>198</v>
      </c>
      <c r="BR1317" t="s">
        <v>198</v>
      </c>
      <c r="BS1317" t="s">
        <v>198</v>
      </c>
      <c r="BT1317" t="s">
        <v>198</v>
      </c>
      <c r="BU1317" t="s">
        <v>182</v>
      </c>
      <c r="BV1317" t="s">
        <v>198</v>
      </c>
      <c r="BW1317" t="s">
        <v>198</v>
      </c>
      <c r="BX1317" t="s">
        <v>199</v>
      </c>
      <c r="BY1317" t="s">
        <v>198</v>
      </c>
      <c r="BZ1317" t="s">
        <v>199</v>
      </c>
      <c r="CA1317" t="s">
        <v>199</v>
      </c>
      <c r="CB1317" t="s">
        <v>17095</v>
      </c>
      <c r="CC1317" t="s">
        <v>201</v>
      </c>
      <c r="CD1317" t="s">
        <v>202</v>
      </c>
      <c r="CE1317" t="s">
        <v>17096</v>
      </c>
      <c r="CF1317" t="s">
        <v>2333</v>
      </c>
      <c r="CG1317" t="s">
        <v>177</v>
      </c>
      <c r="CH1317" t="s">
        <v>2334</v>
      </c>
      <c r="CI1317" t="s">
        <v>17097</v>
      </c>
      <c r="CJ1317" t="s">
        <v>12782</v>
      </c>
      <c r="CK1317" t="s">
        <v>232</v>
      </c>
      <c r="CL1317" t="s">
        <v>233</v>
      </c>
      <c r="CM1317" t="s">
        <v>17098</v>
      </c>
      <c r="CN1317" t="s">
        <v>482</v>
      </c>
      <c r="CO1317" t="s">
        <v>183</v>
      </c>
      <c r="CP1317" t="s">
        <v>266</v>
      </c>
      <c r="CS1317" t="s">
        <v>198</v>
      </c>
      <c r="CT1317" t="s">
        <v>13298</v>
      </c>
      <c r="CU1317" t="s">
        <v>292</v>
      </c>
      <c r="CV1317" t="s">
        <v>293</v>
      </c>
      <c r="CW1317" t="s">
        <v>17099</v>
      </c>
      <c r="CX1317" t="s">
        <v>482</v>
      </c>
      <c r="CY1317" t="s">
        <v>183</v>
      </c>
      <c r="CZ1317" t="s">
        <v>211</v>
      </c>
      <c r="DA1317" t="s">
        <v>298</v>
      </c>
      <c r="DC1317" t="s">
        <v>1641</v>
      </c>
      <c r="DD1317" t="s">
        <v>15260</v>
      </c>
      <c r="DE1317" t="s">
        <v>267</v>
      </c>
      <c r="DF1317" t="s">
        <v>268</v>
      </c>
      <c r="DG1317" t="s">
        <v>17100</v>
      </c>
      <c r="DH1317" t="s">
        <v>482</v>
      </c>
      <c r="DI1317" t="s">
        <v>5</v>
      </c>
      <c r="DJ1317" t="s">
        <v>211</v>
      </c>
      <c r="DK1317" t="s">
        <v>298</v>
      </c>
      <c r="DM1317" t="s">
        <v>2096</v>
      </c>
      <c r="DN1317" t="s">
        <v>15963</v>
      </c>
      <c r="DO1317" t="s">
        <v>273</v>
      </c>
      <c r="DP1317" t="s">
        <v>274</v>
      </c>
      <c r="DQ1317" t="s">
        <v>17101</v>
      </c>
      <c r="DR1317" t="s">
        <v>482</v>
      </c>
      <c r="DS1317" t="s">
        <v>183</v>
      </c>
      <c r="DT1317" t="s">
        <v>211</v>
      </c>
      <c r="DU1317" t="s">
        <v>212</v>
      </c>
      <c r="DW1317" t="s">
        <v>15746</v>
      </c>
      <c r="DX1317" t="s">
        <v>17102</v>
      </c>
      <c r="DY1317" t="s">
        <v>302</v>
      </c>
      <c r="DZ1317" t="s">
        <v>303</v>
      </c>
      <c r="EA1317" t="s">
        <v>17103</v>
      </c>
      <c r="EB1317" t="s">
        <v>511</v>
      </c>
      <c r="EC1317" t="s">
        <v>183</v>
      </c>
      <c r="ED1317" t="s">
        <v>211</v>
      </c>
      <c r="EE1317" t="s">
        <v>334</v>
      </c>
      <c r="EG1317" t="s">
        <v>15746</v>
      </c>
      <c r="EH1317" t="s">
        <v>17104</v>
      </c>
      <c r="EI1317" t="s">
        <v>238</v>
      </c>
      <c r="EJ1317" t="s">
        <v>239</v>
      </c>
      <c r="EK1317" t="s">
        <v>13659</v>
      </c>
      <c r="EL1317" t="s">
        <v>278</v>
      </c>
      <c r="EM1317" t="s">
        <v>183</v>
      </c>
      <c r="EN1317" t="s">
        <v>211</v>
      </c>
      <c r="EO1317" t="s">
        <v>909</v>
      </c>
      <c r="EQ1317" t="s">
        <v>2244</v>
      </c>
      <c r="ER1317" t="s">
        <v>17105</v>
      </c>
      <c r="ES1317" t="s">
        <v>346</v>
      </c>
      <c r="ET1317" t="s">
        <v>347</v>
      </c>
      <c r="EU1317" t="s">
        <v>17106</v>
      </c>
      <c r="EV1317" t="s">
        <v>688</v>
      </c>
      <c r="EW1317" t="s">
        <v>183</v>
      </c>
      <c r="EX1317" t="s">
        <v>211</v>
      </c>
      <c r="EY1317" t="s">
        <v>768</v>
      </c>
      <c r="FA1317" t="s">
        <v>17107</v>
      </c>
      <c r="FB1317" t="s">
        <v>17108</v>
      </c>
      <c r="FC1317" t="s">
        <v>207</v>
      </c>
      <c r="FD1317" t="s">
        <v>208</v>
      </c>
      <c r="FE1317" t="s">
        <v>17109</v>
      </c>
      <c r="FF1317" t="s">
        <v>1966</v>
      </c>
      <c r="FG1317" t="s">
        <v>183</v>
      </c>
      <c r="FH1317" t="s">
        <v>211</v>
      </c>
      <c r="FI1317" t="s">
        <v>808</v>
      </c>
      <c r="FK1317" t="s">
        <v>17110</v>
      </c>
      <c r="FU1317" t="s">
        <v>198</v>
      </c>
    </row>
    <row r="1318" spans="1:177">
      <c r="A1318" s="1" t="str">
        <f>HYPERLINK("http://digipan.lumentumllc.com/apps/getLink/index.php?t=PropLink&amp;p=15759741","PL")</f>
        <v>PL</v>
      </c>
      <c r="B1318" s="1" t="str">
        <f>HYPERLINK("http://digipan.lumentumllc.com/apps/getLink/index.php?t=TaxLink&amp;p=15759741","TL")</f>
        <v>TL</v>
      </c>
      <c r="C1318" s="1" t="str">
        <f>HYPERLINK("http://digipan.lumentumllc.com/apps/getMap/index.php?p=15759741","Map")</f>
        <v>Map</v>
      </c>
      <c r="E1318" t="s">
        <v>177</v>
      </c>
      <c r="F1318" t="s">
        <v>178</v>
      </c>
      <c r="L1318" t="s">
        <v>17111</v>
      </c>
      <c r="N1318" t="s">
        <v>17111</v>
      </c>
      <c r="O1318" t="s">
        <v>17111</v>
      </c>
      <c r="Q1318" t="s">
        <v>17111</v>
      </c>
      <c r="V1318">
        <v>1508</v>
      </c>
      <c r="W1318">
        <v>5</v>
      </c>
      <c r="X1318">
        <v>2017</v>
      </c>
      <c r="Y1318">
        <v>2018</v>
      </c>
      <c r="Z1318">
        <v>1267.9000000000001</v>
      </c>
      <c r="AB1318" t="s">
        <v>181</v>
      </c>
      <c r="AC1318" t="s">
        <v>182</v>
      </c>
      <c r="AD1318" t="s">
        <v>183</v>
      </c>
      <c r="AE1318">
        <v>1</v>
      </c>
      <c r="AF1318">
        <v>0</v>
      </c>
      <c r="AG1318" t="s">
        <v>1200</v>
      </c>
      <c r="AH1318">
        <v>0</v>
      </c>
      <c r="AI1318">
        <v>936.34</v>
      </c>
      <c r="AJ1318">
        <v>46.82</v>
      </c>
      <c r="AK1318">
        <v>983.16</v>
      </c>
      <c r="AL1318">
        <v>75486</v>
      </c>
      <c r="AM1318">
        <v>28000</v>
      </c>
      <c r="AN1318">
        <v>47486</v>
      </c>
      <c r="AO1318">
        <v>841</v>
      </c>
      <c r="AP1318">
        <v>2016</v>
      </c>
      <c r="AQ1318">
        <v>1.68</v>
      </c>
      <c r="AR1318">
        <v>1.3</v>
      </c>
      <c r="AS1318" t="s">
        <v>17112</v>
      </c>
      <c r="AT1318" t="s">
        <v>3210</v>
      </c>
      <c r="AU1318" t="s">
        <v>177</v>
      </c>
      <c r="AV1318" t="s">
        <v>2334</v>
      </c>
      <c r="AW1318" t="s">
        <v>182</v>
      </c>
      <c r="AX1318">
        <v>2</v>
      </c>
      <c r="AY1318" t="s">
        <v>188</v>
      </c>
      <c r="AZ1318" t="s">
        <v>189</v>
      </c>
      <c r="BA1318" t="s">
        <v>190</v>
      </c>
      <c r="BB1318" t="s">
        <v>191</v>
      </c>
      <c r="BC1318" t="s">
        <v>182</v>
      </c>
      <c r="BD1318" t="s">
        <v>182</v>
      </c>
      <c r="BE1318" t="s">
        <v>383</v>
      </c>
      <c r="BF1318">
        <v>1</v>
      </c>
      <c r="BG1318">
        <v>1</v>
      </c>
      <c r="BH1318">
        <v>1994</v>
      </c>
      <c r="BI1318" t="s">
        <v>6235</v>
      </c>
      <c r="BJ1318" t="s">
        <v>194</v>
      </c>
      <c r="BK1318" t="s">
        <v>195</v>
      </c>
      <c r="BL1318" t="s">
        <v>199</v>
      </c>
      <c r="BM1318" t="s">
        <v>232</v>
      </c>
      <c r="BN1318" t="s">
        <v>182</v>
      </c>
      <c r="BO1318" t="s">
        <v>1204</v>
      </c>
      <c r="BP1318" t="s">
        <v>8325</v>
      </c>
      <c r="BQ1318" t="s">
        <v>800</v>
      </c>
      <c r="BS1318" t="s">
        <v>198</v>
      </c>
      <c r="BT1318" t="s">
        <v>17113</v>
      </c>
      <c r="BU1318" t="s">
        <v>182</v>
      </c>
      <c r="BV1318" t="s">
        <v>198</v>
      </c>
      <c r="BW1318" t="s">
        <v>198</v>
      </c>
      <c r="BX1318" t="s">
        <v>199</v>
      </c>
      <c r="BY1318" t="s">
        <v>198</v>
      </c>
      <c r="BZ1318" t="s">
        <v>199</v>
      </c>
      <c r="CA1318" t="s">
        <v>199</v>
      </c>
      <c r="CB1318" t="s">
        <v>17114</v>
      </c>
      <c r="CC1318" t="s">
        <v>201</v>
      </c>
      <c r="CD1318" t="s">
        <v>202</v>
      </c>
      <c r="CE1318" t="s">
        <v>17115</v>
      </c>
      <c r="CF1318" t="s">
        <v>2333</v>
      </c>
      <c r="CG1318" t="s">
        <v>177</v>
      </c>
      <c r="CH1318" t="s">
        <v>15342</v>
      </c>
      <c r="CI1318" t="s">
        <v>17116</v>
      </c>
      <c r="CJ1318" t="s">
        <v>11663</v>
      </c>
      <c r="CK1318" t="s">
        <v>232</v>
      </c>
      <c r="CL1318" t="s">
        <v>233</v>
      </c>
      <c r="CM1318" t="s">
        <v>17117</v>
      </c>
      <c r="CN1318" t="s">
        <v>235</v>
      </c>
      <c r="CO1318" t="s">
        <v>183</v>
      </c>
      <c r="CP1318" t="s">
        <v>266</v>
      </c>
      <c r="CS1318" t="s">
        <v>198</v>
      </c>
      <c r="DC1318" t="s">
        <v>198</v>
      </c>
      <c r="DM1318" t="s">
        <v>198</v>
      </c>
      <c r="DW1318" t="s">
        <v>198</v>
      </c>
      <c r="EG1318" t="s">
        <v>198</v>
      </c>
      <c r="EQ1318" t="s">
        <v>198</v>
      </c>
      <c r="FA1318" t="s">
        <v>198</v>
      </c>
      <c r="FK1318" t="s">
        <v>198</v>
      </c>
      <c r="FU1318" t="s">
        <v>198</v>
      </c>
    </row>
    <row r="1319" spans="1:177">
      <c r="A1319" s="1" t="str">
        <f>HYPERLINK("http://digipan.lumentumllc.com/apps/getLink/index.php?t=PropLink&amp;p=5248011","PL")</f>
        <v>PL</v>
      </c>
      <c r="B1319" s="1" t="str">
        <f>HYPERLINK("http://digipan.lumentumllc.com/apps/getLink/index.php?t=TaxLink&amp;p=5248011","TL")</f>
        <v>TL</v>
      </c>
      <c r="C1319" s="1" t="str">
        <f>HYPERLINK("http://digipan.lumentumllc.com/apps/getMap/index.php?p=5248011","Map")</f>
        <v>Map</v>
      </c>
      <c r="E1319" t="s">
        <v>177</v>
      </c>
      <c r="F1319" t="s">
        <v>178</v>
      </c>
      <c r="L1319" t="s">
        <v>17118</v>
      </c>
      <c r="N1319" t="s">
        <v>17118</v>
      </c>
      <c r="O1319" t="s">
        <v>17118</v>
      </c>
      <c r="P1319" t="s">
        <v>17119</v>
      </c>
      <c r="Q1319" t="s">
        <v>17118</v>
      </c>
      <c r="V1319">
        <v>1510</v>
      </c>
      <c r="W1319">
        <v>5</v>
      </c>
      <c r="X1319">
        <v>2017</v>
      </c>
      <c r="Y1319">
        <v>2018</v>
      </c>
      <c r="Z1319">
        <v>827.51</v>
      </c>
      <c r="AB1319" t="s">
        <v>181</v>
      </c>
      <c r="AC1319" t="s">
        <v>182</v>
      </c>
      <c r="AD1319" t="s">
        <v>183</v>
      </c>
      <c r="AE1319">
        <v>0</v>
      </c>
      <c r="AF1319">
        <v>8</v>
      </c>
      <c r="AG1319" t="s">
        <v>1059</v>
      </c>
      <c r="AH1319">
        <v>100</v>
      </c>
      <c r="AK1319">
        <v>0</v>
      </c>
      <c r="AL1319">
        <v>52824</v>
      </c>
      <c r="AM1319">
        <v>28000</v>
      </c>
      <c r="AN1319">
        <v>24824</v>
      </c>
      <c r="AO1319">
        <v>632</v>
      </c>
      <c r="AP1319">
        <v>2016</v>
      </c>
      <c r="AQ1319">
        <v>1.57</v>
      </c>
      <c r="AS1319" t="s">
        <v>17120</v>
      </c>
      <c r="AT1319" t="s">
        <v>3210</v>
      </c>
      <c r="AU1319" t="s">
        <v>177</v>
      </c>
      <c r="AV1319" t="s">
        <v>2334</v>
      </c>
      <c r="AW1319" t="s">
        <v>182</v>
      </c>
      <c r="AX1319">
        <v>2</v>
      </c>
      <c r="AY1319" t="s">
        <v>188</v>
      </c>
      <c r="AZ1319" t="s">
        <v>189</v>
      </c>
      <c r="BA1319" t="s">
        <v>190</v>
      </c>
      <c r="BB1319" t="s">
        <v>191</v>
      </c>
      <c r="BC1319" t="s">
        <v>182</v>
      </c>
      <c r="BD1319" t="s">
        <v>182</v>
      </c>
      <c r="BE1319" t="s">
        <v>383</v>
      </c>
      <c r="BF1319">
        <v>1</v>
      </c>
      <c r="BG1319">
        <v>1</v>
      </c>
      <c r="BH1319">
        <v>1987</v>
      </c>
      <c r="BI1319" t="s">
        <v>12515</v>
      </c>
      <c r="BJ1319" t="s">
        <v>194</v>
      </c>
      <c r="BK1319" t="s">
        <v>195</v>
      </c>
      <c r="BL1319" t="s">
        <v>938</v>
      </c>
      <c r="BM1319" t="s">
        <v>410</v>
      </c>
      <c r="BN1319" t="s">
        <v>182</v>
      </c>
      <c r="BO1319" t="s">
        <v>198</v>
      </c>
      <c r="BP1319" t="s">
        <v>198</v>
      </c>
      <c r="BQ1319" t="s">
        <v>198</v>
      </c>
      <c r="BR1319" t="s">
        <v>198</v>
      </c>
      <c r="BS1319" t="s">
        <v>198</v>
      </c>
      <c r="BT1319" t="s">
        <v>198</v>
      </c>
      <c r="BU1319" t="s">
        <v>182</v>
      </c>
      <c r="BV1319" t="s">
        <v>198</v>
      </c>
      <c r="BW1319" t="s">
        <v>198</v>
      </c>
      <c r="BX1319" t="s">
        <v>199</v>
      </c>
      <c r="BY1319" t="s">
        <v>198</v>
      </c>
      <c r="BZ1319" t="s">
        <v>199</v>
      </c>
      <c r="CA1319" t="s">
        <v>199</v>
      </c>
      <c r="CB1319" t="s">
        <v>17121</v>
      </c>
      <c r="CC1319" t="s">
        <v>201</v>
      </c>
      <c r="CD1319" t="s">
        <v>182</v>
      </c>
      <c r="CE1319" t="s">
        <v>17122</v>
      </c>
      <c r="CF1319" t="s">
        <v>2333</v>
      </c>
      <c r="CG1319" t="s">
        <v>177</v>
      </c>
      <c r="CH1319" t="s">
        <v>2334</v>
      </c>
      <c r="CI1319" t="s">
        <v>17123</v>
      </c>
      <c r="CJ1319" t="s">
        <v>1921</v>
      </c>
      <c r="CK1319" t="s">
        <v>232</v>
      </c>
      <c r="CL1319" t="s">
        <v>233</v>
      </c>
      <c r="CM1319" t="s">
        <v>17124</v>
      </c>
      <c r="CN1319" t="s">
        <v>235</v>
      </c>
      <c r="CO1319" t="s">
        <v>183</v>
      </c>
      <c r="CP1319" t="s">
        <v>211</v>
      </c>
      <c r="CQ1319" t="s">
        <v>339</v>
      </c>
      <c r="CS1319" t="s">
        <v>17125</v>
      </c>
      <c r="CT1319" t="s">
        <v>13309</v>
      </c>
      <c r="CU1319" t="s">
        <v>292</v>
      </c>
      <c r="CV1319" t="s">
        <v>293</v>
      </c>
      <c r="CW1319" t="s">
        <v>17126</v>
      </c>
      <c r="CX1319" t="s">
        <v>235</v>
      </c>
      <c r="CY1319" t="s">
        <v>183</v>
      </c>
      <c r="CZ1319" t="s">
        <v>211</v>
      </c>
      <c r="DA1319" t="s">
        <v>296</v>
      </c>
      <c r="DC1319" t="s">
        <v>4218</v>
      </c>
      <c r="DD1319" t="s">
        <v>15270</v>
      </c>
      <c r="DE1319" t="s">
        <v>267</v>
      </c>
      <c r="DF1319" t="s">
        <v>268</v>
      </c>
      <c r="DG1319" t="s">
        <v>17127</v>
      </c>
      <c r="DH1319" t="s">
        <v>235</v>
      </c>
      <c r="DI1319" t="s">
        <v>183</v>
      </c>
      <c r="DJ1319" t="s">
        <v>211</v>
      </c>
      <c r="DK1319" t="s">
        <v>206</v>
      </c>
      <c r="DM1319" t="s">
        <v>17128</v>
      </c>
      <c r="DN1319" t="s">
        <v>13802</v>
      </c>
      <c r="DO1319" t="s">
        <v>273</v>
      </c>
      <c r="DP1319" t="s">
        <v>274</v>
      </c>
      <c r="DQ1319" t="s">
        <v>17129</v>
      </c>
      <c r="DR1319" t="s">
        <v>235</v>
      </c>
      <c r="DS1319" t="s">
        <v>183</v>
      </c>
      <c r="DT1319" t="s">
        <v>211</v>
      </c>
      <c r="DU1319" t="s">
        <v>296</v>
      </c>
      <c r="DW1319" t="s">
        <v>4786</v>
      </c>
      <c r="DX1319" t="s">
        <v>754</v>
      </c>
      <c r="DY1319" t="s">
        <v>302</v>
      </c>
      <c r="DZ1319" t="s">
        <v>303</v>
      </c>
      <c r="EA1319" t="s">
        <v>17130</v>
      </c>
      <c r="EB1319" t="s">
        <v>235</v>
      </c>
      <c r="EC1319" t="s">
        <v>183</v>
      </c>
      <c r="ED1319" t="s">
        <v>211</v>
      </c>
      <c r="EE1319" t="s">
        <v>427</v>
      </c>
      <c r="EG1319" t="s">
        <v>17131</v>
      </c>
      <c r="EH1319" t="s">
        <v>17132</v>
      </c>
      <c r="EI1319" t="s">
        <v>238</v>
      </c>
      <c r="EJ1319" t="s">
        <v>239</v>
      </c>
      <c r="EK1319" t="s">
        <v>17133</v>
      </c>
      <c r="EL1319" t="s">
        <v>247</v>
      </c>
      <c r="EM1319" t="s">
        <v>183</v>
      </c>
      <c r="EN1319" t="s">
        <v>211</v>
      </c>
      <c r="EO1319" t="s">
        <v>296</v>
      </c>
      <c r="EQ1319" t="s">
        <v>17134</v>
      </c>
      <c r="ER1319" t="s">
        <v>17135</v>
      </c>
      <c r="ES1319" t="s">
        <v>346</v>
      </c>
      <c r="ET1319" t="s">
        <v>347</v>
      </c>
      <c r="EU1319" t="s">
        <v>17136</v>
      </c>
      <c r="EV1319" t="s">
        <v>1491</v>
      </c>
      <c r="EW1319" t="s">
        <v>183</v>
      </c>
      <c r="EX1319" t="s">
        <v>211</v>
      </c>
      <c r="EY1319" t="s">
        <v>296</v>
      </c>
      <c r="FA1319" t="s">
        <v>5220</v>
      </c>
      <c r="FB1319" t="s">
        <v>17137</v>
      </c>
      <c r="FC1319" t="s">
        <v>207</v>
      </c>
      <c r="FD1319" t="s">
        <v>208</v>
      </c>
      <c r="FE1319" t="s">
        <v>17138</v>
      </c>
      <c r="FF1319" t="s">
        <v>1966</v>
      </c>
      <c r="FG1319" t="s">
        <v>183</v>
      </c>
      <c r="FH1319" t="s">
        <v>211</v>
      </c>
      <c r="FI1319" t="s">
        <v>206</v>
      </c>
      <c r="FK1319" t="s">
        <v>11276</v>
      </c>
      <c r="FU1319" t="s">
        <v>198</v>
      </c>
    </row>
    <row r="1320" spans="1:177">
      <c r="A1320" s="1" t="str">
        <f>HYPERLINK("http://digipan.lumentumllc.com/apps/getLink/index.php?t=PropLink&amp;p=15759768","PL")</f>
        <v>PL</v>
      </c>
      <c r="B1320" s="1" t="str">
        <f>HYPERLINK("http://digipan.lumentumllc.com/apps/getLink/index.php?t=TaxLink&amp;p=15759768","TL")</f>
        <v>TL</v>
      </c>
      <c r="C1320" s="1" t="str">
        <f>HYPERLINK("http://digipan.lumentumllc.com/apps/getMap/index.php?p=15759768","Map")</f>
        <v>Map</v>
      </c>
      <c r="E1320" t="s">
        <v>177</v>
      </c>
      <c r="F1320" t="s">
        <v>178</v>
      </c>
      <c r="L1320" t="s">
        <v>17139</v>
      </c>
      <c r="N1320" t="s">
        <v>17139</v>
      </c>
      <c r="O1320" t="s">
        <v>17139</v>
      </c>
      <c r="Q1320" t="s">
        <v>17139</v>
      </c>
      <c r="V1320">
        <v>1511</v>
      </c>
      <c r="W1320">
        <v>5</v>
      </c>
      <c r="X1320">
        <v>2017</v>
      </c>
      <c r="Y1320">
        <v>2018</v>
      </c>
      <c r="Z1320">
        <v>441.42</v>
      </c>
      <c r="AG1320" t="s">
        <v>184</v>
      </c>
      <c r="AH1320">
        <v>0</v>
      </c>
      <c r="AK1320">
        <v>0</v>
      </c>
      <c r="AL1320">
        <v>50006</v>
      </c>
      <c r="AM1320">
        <v>28000</v>
      </c>
      <c r="AN1320">
        <v>22006</v>
      </c>
      <c r="AO1320">
        <v>735</v>
      </c>
      <c r="AP1320">
        <v>2016</v>
      </c>
      <c r="AQ1320">
        <v>0.88</v>
      </c>
      <c r="AS1320" t="s">
        <v>17140</v>
      </c>
      <c r="AT1320" t="s">
        <v>3210</v>
      </c>
      <c r="AU1320" t="s">
        <v>177</v>
      </c>
      <c r="AV1320" t="s">
        <v>2334</v>
      </c>
      <c r="AW1320" t="s">
        <v>202</v>
      </c>
      <c r="AX1320">
        <v>2</v>
      </c>
      <c r="AY1320" t="s">
        <v>188</v>
      </c>
      <c r="AZ1320" t="s">
        <v>189</v>
      </c>
      <c r="BA1320" t="s">
        <v>190</v>
      </c>
      <c r="BB1320" t="s">
        <v>191</v>
      </c>
      <c r="BC1320" t="s">
        <v>182</v>
      </c>
      <c r="BD1320" t="s">
        <v>182</v>
      </c>
      <c r="BE1320" t="s">
        <v>383</v>
      </c>
      <c r="BF1320">
        <v>1</v>
      </c>
      <c r="BG1320">
        <v>1</v>
      </c>
      <c r="BH1320">
        <v>1988</v>
      </c>
      <c r="BI1320" t="s">
        <v>6235</v>
      </c>
      <c r="BJ1320" t="s">
        <v>194</v>
      </c>
      <c r="BK1320" t="s">
        <v>195</v>
      </c>
      <c r="BL1320" t="s">
        <v>797</v>
      </c>
      <c r="BM1320" t="s">
        <v>292</v>
      </c>
      <c r="BN1320" t="s">
        <v>182</v>
      </c>
      <c r="BO1320" t="s">
        <v>198</v>
      </c>
      <c r="BP1320" t="s">
        <v>198</v>
      </c>
      <c r="BQ1320" t="s">
        <v>198</v>
      </c>
      <c r="BR1320" t="s">
        <v>198</v>
      </c>
      <c r="BS1320" t="s">
        <v>198</v>
      </c>
      <c r="BT1320" t="s">
        <v>198</v>
      </c>
      <c r="BU1320" t="s">
        <v>182</v>
      </c>
      <c r="BV1320" t="s">
        <v>198</v>
      </c>
      <c r="BW1320" t="s">
        <v>198</v>
      </c>
      <c r="BX1320" t="s">
        <v>199</v>
      </c>
      <c r="BY1320" t="s">
        <v>198</v>
      </c>
      <c r="BZ1320" t="s">
        <v>199</v>
      </c>
      <c r="CA1320" t="s">
        <v>199</v>
      </c>
      <c r="CB1320" t="s">
        <v>17141</v>
      </c>
      <c r="CC1320" t="s">
        <v>201</v>
      </c>
      <c r="CD1320" t="s">
        <v>182</v>
      </c>
      <c r="CE1320" t="s">
        <v>17142</v>
      </c>
      <c r="CF1320" t="s">
        <v>2333</v>
      </c>
      <c r="CG1320" t="s">
        <v>177</v>
      </c>
      <c r="CH1320" t="s">
        <v>2334</v>
      </c>
      <c r="CI1320" t="s">
        <v>17143</v>
      </c>
      <c r="CS1320" t="s">
        <v>198</v>
      </c>
      <c r="DC1320" t="s">
        <v>198</v>
      </c>
      <c r="DM1320" t="s">
        <v>198</v>
      </c>
      <c r="DW1320" t="s">
        <v>198</v>
      </c>
      <c r="EG1320" t="s">
        <v>198</v>
      </c>
      <c r="EQ1320" t="s">
        <v>198</v>
      </c>
      <c r="FA1320" t="s">
        <v>198</v>
      </c>
      <c r="FK1320" t="s">
        <v>198</v>
      </c>
      <c r="FU1320" t="s">
        <v>198</v>
      </c>
    </row>
    <row r="1321" spans="1:177">
      <c r="A1321" s="1" t="str">
        <f>HYPERLINK("http://digipan.lumentumllc.com/apps/getLink/index.php?t=PropLink&amp;p=5248014","PL")</f>
        <v>PL</v>
      </c>
      <c r="B1321" s="1" t="str">
        <f>HYPERLINK("http://digipan.lumentumllc.com/apps/getLink/index.php?t=TaxLink&amp;p=5248014","TL")</f>
        <v>TL</v>
      </c>
      <c r="C1321" s="1" t="str">
        <f>HYPERLINK("http://digipan.lumentumllc.com/apps/getMap/index.php?p=5248014","Map")</f>
        <v>Map</v>
      </c>
      <c r="E1321" t="s">
        <v>177</v>
      </c>
      <c r="F1321" t="s">
        <v>178</v>
      </c>
      <c r="L1321" t="s">
        <v>17144</v>
      </c>
      <c r="N1321" t="s">
        <v>17144</v>
      </c>
      <c r="O1321" t="s">
        <v>17144</v>
      </c>
      <c r="P1321" t="s">
        <v>17145</v>
      </c>
      <c r="Q1321" t="s">
        <v>17144</v>
      </c>
      <c r="V1321">
        <v>1512</v>
      </c>
      <c r="W1321">
        <v>5</v>
      </c>
      <c r="X1321">
        <v>2017</v>
      </c>
      <c r="Y1321">
        <v>2018</v>
      </c>
      <c r="Z1321">
        <v>764.77</v>
      </c>
      <c r="AB1321" t="s">
        <v>181</v>
      </c>
      <c r="AC1321" t="s">
        <v>182</v>
      </c>
      <c r="AD1321" t="s">
        <v>183</v>
      </c>
      <c r="AE1321">
        <v>0</v>
      </c>
      <c r="AF1321">
        <v>4</v>
      </c>
      <c r="AG1321" t="s">
        <v>744</v>
      </c>
      <c r="AH1321">
        <v>100</v>
      </c>
      <c r="AK1321">
        <v>0</v>
      </c>
      <c r="AL1321">
        <v>49085</v>
      </c>
      <c r="AM1321">
        <v>28000</v>
      </c>
      <c r="AN1321">
        <v>21085</v>
      </c>
      <c r="AO1321">
        <v>578</v>
      </c>
      <c r="AP1321">
        <v>2016</v>
      </c>
      <c r="AQ1321">
        <v>1.56</v>
      </c>
      <c r="AS1321" t="s">
        <v>17146</v>
      </c>
      <c r="AT1321" t="s">
        <v>3210</v>
      </c>
      <c r="AU1321" t="s">
        <v>177</v>
      </c>
      <c r="AV1321" t="s">
        <v>2334</v>
      </c>
      <c r="AW1321" t="s">
        <v>182</v>
      </c>
      <c r="AX1321">
        <v>2</v>
      </c>
      <c r="AY1321" t="s">
        <v>188</v>
      </c>
      <c r="AZ1321" t="s">
        <v>189</v>
      </c>
      <c r="BA1321" t="s">
        <v>190</v>
      </c>
      <c r="BB1321" t="s">
        <v>191</v>
      </c>
      <c r="BC1321" t="s">
        <v>182</v>
      </c>
      <c r="BD1321" t="s">
        <v>182</v>
      </c>
      <c r="BE1321" t="s">
        <v>1884</v>
      </c>
      <c r="BF1321">
        <v>1</v>
      </c>
      <c r="BG1321">
        <v>1</v>
      </c>
      <c r="BH1321">
        <v>1989</v>
      </c>
      <c r="BI1321" t="s">
        <v>1530</v>
      </c>
      <c r="BJ1321" t="s">
        <v>194</v>
      </c>
      <c r="BK1321" t="s">
        <v>195</v>
      </c>
      <c r="BL1321" t="s">
        <v>199</v>
      </c>
      <c r="BM1321" t="s">
        <v>207</v>
      </c>
      <c r="BN1321" t="s">
        <v>182</v>
      </c>
      <c r="BO1321" t="s">
        <v>198</v>
      </c>
      <c r="BP1321" t="s">
        <v>198</v>
      </c>
      <c r="BQ1321" t="s">
        <v>198</v>
      </c>
      <c r="BR1321" t="s">
        <v>198</v>
      </c>
      <c r="BS1321" t="s">
        <v>198</v>
      </c>
      <c r="BT1321" t="s">
        <v>198</v>
      </c>
      <c r="BU1321" t="s">
        <v>182</v>
      </c>
      <c r="BV1321" t="s">
        <v>198</v>
      </c>
      <c r="BW1321" t="s">
        <v>198</v>
      </c>
      <c r="BX1321" t="s">
        <v>199</v>
      </c>
      <c r="BY1321" t="s">
        <v>198</v>
      </c>
      <c r="BZ1321" t="s">
        <v>199</v>
      </c>
      <c r="CA1321" t="s">
        <v>199</v>
      </c>
      <c r="CB1321" t="s">
        <v>17147</v>
      </c>
      <c r="CC1321" t="s">
        <v>201</v>
      </c>
      <c r="CD1321" t="s">
        <v>182</v>
      </c>
      <c r="CE1321" t="s">
        <v>17148</v>
      </c>
      <c r="CF1321" t="s">
        <v>2333</v>
      </c>
      <c r="CG1321" t="s">
        <v>177</v>
      </c>
      <c r="CH1321" t="s">
        <v>2334</v>
      </c>
      <c r="CI1321" t="s">
        <v>17149</v>
      </c>
      <c r="CJ1321" t="s">
        <v>1938</v>
      </c>
      <c r="CK1321" t="s">
        <v>232</v>
      </c>
      <c r="CL1321" t="s">
        <v>233</v>
      </c>
      <c r="CM1321" t="s">
        <v>17150</v>
      </c>
      <c r="CN1321" t="s">
        <v>235</v>
      </c>
      <c r="CO1321" t="s">
        <v>183</v>
      </c>
      <c r="CP1321" t="s">
        <v>211</v>
      </c>
      <c r="CQ1321" t="s">
        <v>199</v>
      </c>
      <c r="CS1321" t="s">
        <v>2774</v>
      </c>
      <c r="CT1321" t="s">
        <v>11729</v>
      </c>
      <c r="CU1321" t="s">
        <v>292</v>
      </c>
      <c r="CV1321" t="s">
        <v>293</v>
      </c>
      <c r="CW1321" t="s">
        <v>17151</v>
      </c>
      <c r="CX1321" t="s">
        <v>235</v>
      </c>
      <c r="CY1321" t="s">
        <v>183</v>
      </c>
      <c r="CZ1321" t="s">
        <v>211</v>
      </c>
      <c r="DA1321" t="s">
        <v>212</v>
      </c>
      <c r="DC1321" t="s">
        <v>17152</v>
      </c>
      <c r="DD1321" t="s">
        <v>14067</v>
      </c>
      <c r="DE1321" t="s">
        <v>273</v>
      </c>
      <c r="DF1321" t="s">
        <v>274</v>
      </c>
      <c r="DG1321" t="s">
        <v>17153</v>
      </c>
      <c r="DH1321" t="s">
        <v>235</v>
      </c>
      <c r="DI1321" t="s">
        <v>183</v>
      </c>
      <c r="DJ1321" t="s">
        <v>211</v>
      </c>
      <c r="DK1321" t="s">
        <v>270</v>
      </c>
      <c r="DM1321" t="s">
        <v>16926</v>
      </c>
      <c r="DN1321" t="s">
        <v>17154</v>
      </c>
      <c r="DO1321" t="s">
        <v>302</v>
      </c>
      <c r="DP1321" t="s">
        <v>303</v>
      </c>
      <c r="DQ1321" t="s">
        <v>17155</v>
      </c>
      <c r="DR1321" t="s">
        <v>235</v>
      </c>
      <c r="DS1321" t="s">
        <v>183</v>
      </c>
      <c r="DT1321" t="s">
        <v>211</v>
      </c>
      <c r="DU1321" t="s">
        <v>199</v>
      </c>
      <c r="DW1321" t="s">
        <v>8134</v>
      </c>
      <c r="EG1321" t="s">
        <v>198</v>
      </c>
      <c r="EQ1321" t="s">
        <v>198</v>
      </c>
      <c r="FA1321" t="s">
        <v>198</v>
      </c>
      <c r="FK1321" t="s">
        <v>198</v>
      </c>
      <c r="FU1321" t="s">
        <v>198</v>
      </c>
    </row>
    <row r="1322" spans="1:177">
      <c r="A1322" s="1" t="str">
        <f>HYPERLINK("http://digipan.lumentumllc.com/apps/getLink/index.php?t=PropLink&amp;p=5248015","PL")</f>
        <v>PL</v>
      </c>
      <c r="B1322" s="1" t="str">
        <f>HYPERLINK("http://digipan.lumentumllc.com/apps/getLink/index.php?t=TaxLink&amp;p=5248015","TL")</f>
        <v>TL</v>
      </c>
      <c r="C1322" s="1" t="str">
        <f>HYPERLINK("http://digipan.lumentumllc.com/apps/getMap/index.php?p=5248015","Map")</f>
        <v>Map</v>
      </c>
      <c r="E1322" t="s">
        <v>177</v>
      </c>
      <c r="F1322" t="s">
        <v>178</v>
      </c>
      <c r="L1322" t="s">
        <v>17156</v>
      </c>
      <c r="N1322" t="s">
        <v>17156</v>
      </c>
      <c r="O1322" t="s">
        <v>17156</v>
      </c>
      <c r="P1322" t="s">
        <v>17157</v>
      </c>
      <c r="Q1322" t="s">
        <v>17156</v>
      </c>
      <c r="V1322">
        <v>1513</v>
      </c>
      <c r="W1322">
        <v>5</v>
      </c>
      <c r="X1322">
        <v>2017</v>
      </c>
      <c r="Y1322">
        <v>2018</v>
      </c>
      <c r="Z1322">
        <v>348.55</v>
      </c>
      <c r="AB1322" t="s">
        <v>181</v>
      </c>
      <c r="AC1322" t="s">
        <v>182</v>
      </c>
      <c r="AD1322" t="s">
        <v>183</v>
      </c>
      <c r="AE1322">
        <v>0</v>
      </c>
      <c r="AF1322">
        <v>2</v>
      </c>
      <c r="AG1322" t="s">
        <v>216</v>
      </c>
      <c r="AH1322">
        <v>100</v>
      </c>
      <c r="AK1322">
        <v>0</v>
      </c>
      <c r="AL1322">
        <v>67994</v>
      </c>
      <c r="AM1322">
        <v>28000</v>
      </c>
      <c r="AN1322">
        <v>39994</v>
      </c>
      <c r="AO1322">
        <v>283</v>
      </c>
      <c r="AP1322">
        <v>2016</v>
      </c>
      <c r="AQ1322">
        <v>0.51</v>
      </c>
      <c r="AS1322" t="s">
        <v>17158</v>
      </c>
      <c r="AT1322" t="s">
        <v>3210</v>
      </c>
      <c r="AU1322" t="s">
        <v>177</v>
      </c>
      <c r="AV1322" t="s">
        <v>2334</v>
      </c>
      <c r="AW1322" t="s">
        <v>202</v>
      </c>
      <c r="AX1322">
        <v>2</v>
      </c>
      <c r="AY1322" t="s">
        <v>188</v>
      </c>
      <c r="AZ1322" t="s">
        <v>189</v>
      </c>
      <c r="BA1322" t="s">
        <v>190</v>
      </c>
      <c r="BB1322" t="s">
        <v>191</v>
      </c>
      <c r="BC1322" t="s">
        <v>182</v>
      </c>
      <c r="BD1322" t="s">
        <v>182</v>
      </c>
      <c r="BE1322" t="s">
        <v>383</v>
      </c>
      <c r="BF1322">
        <v>1</v>
      </c>
      <c r="BG1322">
        <v>1</v>
      </c>
      <c r="BH1322">
        <v>1990</v>
      </c>
      <c r="BI1322" t="s">
        <v>17159</v>
      </c>
      <c r="BJ1322" t="s">
        <v>194</v>
      </c>
      <c r="BK1322" t="s">
        <v>195</v>
      </c>
      <c r="BL1322" t="s">
        <v>2281</v>
      </c>
      <c r="BM1322" t="s">
        <v>1332</v>
      </c>
      <c r="BN1322" t="s">
        <v>182</v>
      </c>
      <c r="BO1322" t="s">
        <v>17160</v>
      </c>
      <c r="BP1322" t="s">
        <v>16161</v>
      </c>
      <c r="BQ1322" t="s">
        <v>1285</v>
      </c>
      <c r="BS1322" t="s">
        <v>198</v>
      </c>
      <c r="BT1322" t="s">
        <v>1349</v>
      </c>
      <c r="BU1322" t="s">
        <v>182</v>
      </c>
      <c r="BV1322" t="s">
        <v>198</v>
      </c>
      <c r="BW1322" t="s">
        <v>198</v>
      </c>
      <c r="BX1322" t="s">
        <v>199</v>
      </c>
      <c r="BY1322" t="s">
        <v>198</v>
      </c>
      <c r="BZ1322" t="s">
        <v>199</v>
      </c>
      <c r="CA1322" t="s">
        <v>199</v>
      </c>
      <c r="CB1322" t="s">
        <v>17161</v>
      </c>
      <c r="CC1322" t="s">
        <v>201</v>
      </c>
      <c r="CD1322" t="s">
        <v>182</v>
      </c>
      <c r="CE1322" t="s">
        <v>17162</v>
      </c>
      <c r="CF1322" t="s">
        <v>2333</v>
      </c>
      <c r="CG1322" t="s">
        <v>177</v>
      </c>
      <c r="CH1322" t="s">
        <v>2334</v>
      </c>
      <c r="CI1322" t="s">
        <v>17163</v>
      </c>
      <c r="CJ1322" t="s">
        <v>17164</v>
      </c>
      <c r="CK1322" t="s">
        <v>292</v>
      </c>
      <c r="CL1322" t="s">
        <v>293</v>
      </c>
      <c r="CM1322" t="s">
        <v>17165</v>
      </c>
      <c r="CN1322" t="s">
        <v>235</v>
      </c>
      <c r="CO1322" t="s">
        <v>183</v>
      </c>
      <c r="CP1322" t="s">
        <v>211</v>
      </c>
      <c r="CQ1322" t="s">
        <v>329</v>
      </c>
      <c r="CS1322" t="s">
        <v>13155</v>
      </c>
      <c r="CT1322" t="s">
        <v>15281</v>
      </c>
      <c r="CU1322" t="s">
        <v>267</v>
      </c>
      <c r="CV1322" t="s">
        <v>268</v>
      </c>
      <c r="CW1322" t="s">
        <v>17166</v>
      </c>
      <c r="CX1322" t="s">
        <v>235</v>
      </c>
      <c r="CY1322" t="s">
        <v>183</v>
      </c>
      <c r="CZ1322" t="s">
        <v>211</v>
      </c>
      <c r="DA1322" t="s">
        <v>298</v>
      </c>
      <c r="DC1322" t="s">
        <v>13155</v>
      </c>
      <c r="DM1322" t="s">
        <v>198</v>
      </c>
      <c r="DW1322" t="s">
        <v>198</v>
      </c>
      <c r="EG1322" t="s">
        <v>198</v>
      </c>
      <c r="EQ1322" t="s">
        <v>198</v>
      </c>
      <c r="FA1322" t="s">
        <v>198</v>
      </c>
      <c r="FK1322" t="s">
        <v>198</v>
      </c>
      <c r="FU1322" t="s">
        <v>198</v>
      </c>
    </row>
    <row r="1323" spans="1:177">
      <c r="A1323" s="1" t="str">
        <f>HYPERLINK("http://digipan.lumentumllc.com/apps/getLink/index.php?t=PropLink&amp;p=4638622","PL")</f>
        <v>PL</v>
      </c>
      <c r="B1323" s="1" t="str">
        <f>HYPERLINK("http://digipan.lumentumllc.com/apps/getLink/index.php?t=TaxLink&amp;p=4638622","TL")</f>
        <v>TL</v>
      </c>
      <c r="C1323" s="1" t="str">
        <f>HYPERLINK("http://digipan.lumentumllc.com/apps/getMap/index.php?p=4638622","Map")</f>
        <v>Map</v>
      </c>
      <c r="E1323" t="s">
        <v>177</v>
      </c>
      <c r="F1323" t="s">
        <v>178</v>
      </c>
      <c r="L1323" t="s">
        <v>17167</v>
      </c>
      <c r="N1323" t="s">
        <v>17167</v>
      </c>
      <c r="O1323" t="s">
        <v>17167</v>
      </c>
      <c r="P1323" t="s">
        <v>17168</v>
      </c>
      <c r="Q1323" t="s">
        <v>17167</v>
      </c>
      <c r="V1323">
        <v>1514</v>
      </c>
      <c r="W1323">
        <v>5</v>
      </c>
      <c r="X1323">
        <v>2017</v>
      </c>
      <c r="Y1323">
        <v>2018</v>
      </c>
      <c r="Z1323">
        <v>681.65</v>
      </c>
      <c r="AG1323" t="s">
        <v>184</v>
      </c>
      <c r="AH1323">
        <v>0</v>
      </c>
      <c r="AK1323">
        <v>0</v>
      </c>
      <c r="AL1323">
        <v>101245</v>
      </c>
      <c r="AM1323">
        <v>28000</v>
      </c>
      <c r="AN1323">
        <v>73245</v>
      </c>
      <c r="AO1323">
        <v>587</v>
      </c>
      <c r="AP1323">
        <v>2016</v>
      </c>
      <c r="AQ1323">
        <v>0.67</v>
      </c>
      <c r="AS1323" t="s">
        <v>17169</v>
      </c>
      <c r="AT1323" t="s">
        <v>3210</v>
      </c>
      <c r="AU1323" t="s">
        <v>177</v>
      </c>
      <c r="AV1323" t="s">
        <v>2334</v>
      </c>
      <c r="AW1323" t="s">
        <v>202</v>
      </c>
      <c r="AX1323">
        <v>2</v>
      </c>
      <c r="AY1323" t="s">
        <v>188</v>
      </c>
      <c r="AZ1323" t="s">
        <v>189</v>
      </c>
      <c r="BA1323" t="s">
        <v>190</v>
      </c>
      <c r="BB1323" t="s">
        <v>191</v>
      </c>
      <c r="BC1323" t="s">
        <v>182</v>
      </c>
      <c r="BD1323" t="s">
        <v>182</v>
      </c>
      <c r="BE1323" t="s">
        <v>383</v>
      </c>
      <c r="BF1323">
        <v>1</v>
      </c>
      <c r="BG1323">
        <v>1</v>
      </c>
      <c r="BH1323">
        <v>1999</v>
      </c>
      <c r="BI1323" t="s">
        <v>17170</v>
      </c>
      <c r="BJ1323" t="s">
        <v>194</v>
      </c>
      <c r="BK1323" t="s">
        <v>195</v>
      </c>
      <c r="BL1323" t="s">
        <v>196</v>
      </c>
      <c r="BM1323" t="s">
        <v>501</v>
      </c>
      <c r="BN1323" t="s">
        <v>182</v>
      </c>
      <c r="BO1323" t="s">
        <v>198</v>
      </c>
      <c r="BP1323" t="s">
        <v>198</v>
      </c>
      <c r="BQ1323" t="s">
        <v>198</v>
      </c>
      <c r="BR1323" t="s">
        <v>198</v>
      </c>
      <c r="BS1323" t="s">
        <v>198</v>
      </c>
      <c r="BT1323" t="s">
        <v>198</v>
      </c>
      <c r="BU1323" t="s">
        <v>182</v>
      </c>
      <c r="BV1323" t="s">
        <v>198</v>
      </c>
      <c r="BW1323" t="s">
        <v>198</v>
      </c>
      <c r="BX1323" t="s">
        <v>199</v>
      </c>
      <c r="BY1323" t="s">
        <v>198</v>
      </c>
      <c r="BZ1323" t="s">
        <v>199</v>
      </c>
      <c r="CA1323" t="s">
        <v>199</v>
      </c>
      <c r="CB1323" t="s">
        <v>17171</v>
      </c>
      <c r="CC1323" t="s">
        <v>201</v>
      </c>
      <c r="CD1323" t="s">
        <v>202</v>
      </c>
      <c r="CE1323" t="s">
        <v>17172</v>
      </c>
      <c r="CF1323" t="s">
        <v>2333</v>
      </c>
      <c r="CG1323" t="s">
        <v>177</v>
      </c>
      <c r="CH1323" t="s">
        <v>2334</v>
      </c>
      <c r="CI1323" t="s">
        <v>17173</v>
      </c>
      <c r="CS1323" t="s">
        <v>198</v>
      </c>
      <c r="DC1323" t="s">
        <v>198</v>
      </c>
      <c r="DM1323" t="s">
        <v>198</v>
      </c>
      <c r="DW1323" t="s">
        <v>198</v>
      </c>
      <c r="EG1323" t="s">
        <v>198</v>
      </c>
      <c r="EQ1323" t="s">
        <v>198</v>
      </c>
      <c r="FA1323" t="s">
        <v>198</v>
      </c>
      <c r="FK1323" t="s">
        <v>198</v>
      </c>
      <c r="FU1323" t="s">
        <v>198</v>
      </c>
    </row>
    <row r="1324" spans="1:177">
      <c r="A1324" s="1" t="str">
        <f>HYPERLINK("http://digipan.lumentumllc.com/apps/getLink/index.php?t=PropLink&amp;p=15759799","PL")</f>
        <v>PL</v>
      </c>
      <c r="B1324" s="1" t="str">
        <f>HYPERLINK("http://digipan.lumentumllc.com/apps/getLink/index.php?t=TaxLink&amp;p=15759799","TL")</f>
        <v>TL</v>
      </c>
      <c r="C1324" s="1" t="str">
        <f>HYPERLINK("http://digipan.lumentumllc.com/apps/getMap/index.php?p=15759799","Map")</f>
        <v>Map</v>
      </c>
      <c r="E1324" t="s">
        <v>177</v>
      </c>
      <c r="F1324" t="s">
        <v>178</v>
      </c>
      <c r="L1324" t="s">
        <v>17174</v>
      </c>
      <c r="N1324" t="s">
        <v>17174</v>
      </c>
      <c r="O1324" t="s">
        <v>17174</v>
      </c>
      <c r="Q1324" t="s">
        <v>17174</v>
      </c>
      <c r="V1324">
        <v>1516</v>
      </c>
      <c r="W1324">
        <v>5</v>
      </c>
      <c r="X1324">
        <v>2017</v>
      </c>
      <c r="Y1324">
        <v>2018</v>
      </c>
      <c r="Z1324">
        <v>692.07</v>
      </c>
      <c r="AG1324" t="s">
        <v>184</v>
      </c>
      <c r="AH1324">
        <v>0</v>
      </c>
      <c r="AK1324">
        <v>0</v>
      </c>
      <c r="AL1324">
        <v>40484</v>
      </c>
      <c r="AM1324">
        <v>28000</v>
      </c>
      <c r="AN1324">
        <v>12484</v>
      </c>
      <c r="AO1324">
        <v>580</v>
      </c>
      <c r="AP1324">
        <v>2016</v>
      </c>
      <c r="AQ1324">
        <v>1.71</v>
      </c>
      <c r="AS1324" t="s">
        <v>17175</v>
      </c>
      <c r="AT1324" t="s">
        <v>3210</v>
      </c>
      <c r="AU1324" t="s">
        <v>177</v>
      </c>
      <c r="AV1324" t="s">
        <v>2334</v>
      </c>
      <c r="AW1324" t="s">
        <v>182</v>
      </c>
      <c r="AX1324">
        <v>2</v>
      </c>
      <c r="AY1324" t="s">
        <v>188</v>
      </c>
      <c r="AZ1324" t="s">
        <v>189</v>
      </c>
      <c r="BA1324" t="s">
        <v>190</v>
      </c>
      <c r="BB1324" t="s">
        <v>191</v>
      </c>
      <c r="BC1324" t="s">
        <v>182</v>
      </c>
      <c r="BD1324" t="s">
        <v>182</v>
      </c>
      <c r="BE1324" t="s">
        <v>383</v>
      </c>
      <c r="BF1324">
        <v>1</v>
      </c>
      <c r="BG1324">
        <v>1</v>
      </c>
      <c r="BH1324">
        <v>1971</v>
      </c>
      <c r="BI1324" t="s">
        <v>3333</v>
      </c>
      <c r="BJ1324" t="s">
        <v>194</v>
      </c>
      <c r="BK1324" t="s">
        <v>195</v>
      </c>
      <c r="BL1324" t="s">
        <v>199</v>
      </c>
      <c r="BM1324" t="s">
        <v>232</v>
      </c>
      <c r="BN1324" t="s">
        <v>182</v>
      </c>
      <c r="BO1324" t="s">
        <v>8618</v>
      </c>
      <c r="BP1324" t="s">
        <v>17176</v>
      </c>
      <c r="BQ1324" t="s">
        <v>800</v>
      </c>
      <c r="BS1324" t="s">
        <v>198</v>
      </c>
      <c r="BT1324" t="s">
        <v>17177</v>
      </c>
      <c r="BU1324" t="s">
        <v>182</v>
      </c>
      <c r="BV1324" t="s">
        <v>198</v>
      </c>
      <c r="BW1324" t="s">
        <v>198</v>
      </c>
      <c r="BX1324" t="s">
        <v>199</v>
      </c>
      <c r="BY1324" t="s">
        <v>198</v>
      </c>
      <c r="BZ1324" t="s">
        <v>199</v>
      </c>
      <c r="CA1324" t="s">
        <v>199</v>
      </c>
      <c r="CB1324" t="s">
        <v>17178</v>
      </c>
      <c r="CC1324" t="s">
        <v>1407</v>
      </c>
      <c r="CD1324" t="s">
        <v>202</v>
      </c>
      <c r="CE1324" t="s">
        <v>17179</v>
      </c>
      <c r="CF1324" t="s">
        <v>5331</v>
      </c>
      <c r="CG1324" t="s">
        <v>177</v>
      </c>
      <c r="CH1324" t="s">
        <v>371</v>
      </c>
      <c r="CI1324" t="s">
        <v>17180</v>
      </c>
      <c r="CS1324" t="s">
        <v>198</v>
      </c>
      <c r="DC1324" t="s">
        <v>198</v>
      </c>
      <c r="DM1324" t="s">
        <v>198</v>
      </c>
      <c r="DW1324" t="s">
        <v>198</v>
      </c>
      <c r="EG1324" t="s">
        <v>198</v>
      </c>
      <c r="EQ1324" t="s">
        <v>198</v>
      </c>
      <c r="FA1324" t="s">
        <v>198</v>
      </c>
      <c r="FK1324" t="s">
        <v>198</v>
      </c>
      <c r="FU1324" t="s">
        <v>198</v>
      </c>
    </row>
    <row r="1325" spans="1:177">
      <c r="A1325" s="1" t="str">
        <f>HYPERLINK("http://digipan.lumentumllc.com/apps/getLink/index.php?t=PropLink&amp;p=6129507","PL")</f>
        <v>PL</v>
      </c>
      <c r="B1325" s="1" t="str">
        <f>HYPERLINK("http://digipan.lumentumllc.com/apps/getLink/index.php?t=TaxLink&amp;p=6129507","TL")</f>
        <v>TL</v>
      </c>
      <c r="C1325" s="1" t="str">
        <f>HYPERLINK("http://digipan.lumentumllc.com/apps/getMap/index.php?p=6129507","Map")</f>
        <v>Map</v>
      </c>
      <c r="E1325" t="s">
        <v>177</v>
      </c>
      <c r="F1325" t="s">
        <v>178</v>
      </c>
      <c r="L1325" t="s">
        <v>17181</v>
      </c>
      <c r="N1325" t="s">
        <v>17181</v>
      </c>
      <c r="O1325" t="s">
        <v>17181</v>
      </c>
      <c r="P1325" t="s">
        <v>17182</v>
      </c>
      <c r="Q1325" t="s">
        <v>17181</v>
      </c>
      <c r="V1325">
        <v>1517</v>
      </c>
      <c r="W1325">
        <v>5</v>
      </c>
      <c r="X1325">
        <v>2017</v>
      </c>
      <c r="Y1325">
        <v>2018</v>
      </c>
      <c r="Z1325">
        <v>342.85</v>
      </c>
      <c r="AB1325" t="s">
        <v>181</v>
      </c>
      <c r="AC1325" t="s">
        <v>182</v>
      </c>
      <c r="AD1325" t="s">
        <v>183</v>
      </c>
      <c r="AE1325">
        <v>1</v>
      </c>
      <c r="AF1325">
        <v>1</v>
      </c>
      <c r="AG1325" t="s">
        <v>2222</v>
      </c>
      <c r="AH1325">
        <v>50</v>
      </c>
      <c r="AI1325">
        <v>327.02</v>
      </c>
      <c r="AJ1325">
        <v>16.350000000000001</v>
      </c>
      <c r="AK1325">
        <v>343.37</v>
      </c>
      <c r="AL1325">
        <v>72279</v>
      </c>
      <c r="AM1325">
        <v>28000</v>
      </c>
      <c r="AN1325">
        <v>44279</v>
      </c>
      <c r="AO1325">
        <v>277</v>
      </c>
      <c r="AP1325">
        <v>2016</v>
      </c>
      <c r="AQ1325">
        <v>0.47</v>
      </c>
      <c r="AR1325">
        <v>0.48</v>
      </c>
      <c r="AS1325" t="s">
        <v>17183</v>
      </c>
      <c r="AT1325" t="s">
        <v>3210</v>
      </c>
      <c r="AU1325" t="s">
        <v>177</v>
      </c>
      <c r="AV1325" t="s">
        <v>2334</v>
      </c>
      <c r="AW1325" t="s">
        <v>202</v>
      </c>
      <c r="AX1325">
        <v>2</v>
      </c>
      <c r="AY1325" t="s">
        <v>188</v>
      </c>
      <c r="AZ1325" t="s">
        <v>189</v>
      </c>
      <c r="BA1325" t="s">
        <v>190</v>
      </c>
      <c r="BB1325" t="s">
        <v>191</v>
      </c>
      <c r="BC1325" t="s">
        <v>182</v>
      </c>
      <c r="BD1325" t="s">
        <v>182</v>
      </c>
      <c r="BE1325" t="s">
        <v>882</v>
      </c>
      <c r="BF1325">
        <v>1</v>
      </c>
      <c r="BG1325">
        <v>1</v>
      </c>
      <c r="BH1325">
        <v>1991</v>
      </c>
      <c r="BI1325" t="s">
        <v>10494</v>
      </c>
      <c r="BJ1325" t="s">
        <v>194</v>
      </c>
      <c r="BK1325" t="s">
        <v>195</v>
      </c>
      <c r="BL1325" t="s">
        <v>17184</v>
      </c>
      <c r="BM1325" t="s">
        <v>325</v>
      </c>
      <c r="BN1325" t="s">
        <v>182</v>
      </c>
      <c r="BO1325" t="s">
        <v>3184</v>
      </c>
      <c r="BP1325" t="s">
        <v>5899</v>
      </c>
      <c r="BS1325" t="s">
        <v>17185</v>
      </c>
      <c r="BT1325" t="s">
        <v>198</v>
      </c>
      <c r="BU1325" t="s">
        <v>182</v>
      </c>
      <c r="BV1325" t="s">
        <v>198</v>
      </c>
      <c r="BW1325" t="s">
        <v>198</v>
      </c>
      <c r="BX1325" t="s">
        <v>199</v>
      </c>
      <c r="BY1325" t="s">
        <v>198</v>
      </c>
      <c r="BZ1325" t="s">
        <v>199</v>
      </c>
      <c r="CA1325" t="s">
        <v>199</v>
      </c>
      <c r="CB1325" t="s">
        <v>17186</v>
      </c>
      <c r="CC1325" t="s">
        <v>201</v>
      </c>
      <c r="CD1325" t="s">
        <v>182</v>
      </c>
      <c r="CE1325" t="s">
        <v>17187</v>
      </c>
      <c r="CF1325" t="s">
        <v>2333</v>
      </c>
      <c r="CG1325" t="s">
        <v>177</v>
      </c>
      <c r="CH1325" t="s">
        <v>2334</v>
      </c>
      <c r="CI1325" t="s">
        <v>17188</v>
      </c>
      <c r="CJ1325" t="s">
        <v>1978</v>
      </c>
      <c r="CK1325" t="s">
        <v>232</v>
      </c>
      <c r="CL1325" t="s">
        <v>233</v>
      </c>
      <c r="CM1325" t="s">
        <v>17189</v>
      </c>
      <c r="CN1325" t="s">
        <v>235</v>
      </c>
      <c r="CO1325" t="s">
        <v>183</v>
      </c>
      <c r="CP1325" t="s">
        <v>266</v>
      </c>
      <c r="CS1325" t="s">
        <v>198</v>
      </c>
      <c r="CT1325" t="s">
        <v>10772</v>
      </c>
      <c r="CU1325" t="s">
        <v>292</v>
      </c>
      <c r="CV1325" t="s">
        <v>293</v>
      </c>
      <c r="CW1325" t="s">
        <v>17190</v>
      </c>
      <c r="CX1325" t="s">
        <v>235</v>
      </c>
      <c r="CY1325" t="s">
        <v>183</v>
      </c>
      <c r="CZ1325" t="s">
        <v>211</v>
      </c>
      <c r="DA1325" t="s">
        <v>460</v>
      </c>
      <c r="DC1325" t="s">
        <v>12835</v>
      </c>
      <c r="DM1325" t="s">
        <v>198</v>
      </c>
      <c r="DW1325" t="s">
        <v>198</v>
      </c>
      <c r="EG1325" t="s">
        <v>198</v>
      </c>
      <c r="EQ1325" t="s">
        <v>198</v>
      </c>
      <c r="FA1325" t="s">
        <v>198</v>
      </c>
      <c r="FK1325" t="s">
        <v>198</v>
      </c>
      <c r="FU1325" t="s">
        <v>198</v>
      </c>
    </row>
    <row r="1326" spans="1:177">
      <c r="A1326" s="1" t="str">
        <f>HYPERLINK("http://digipan.lumentumllc.com/apps/getLink/index.php?t=PropLink&amp;p=5248020","PL")</f>
        <v>PL</v>
      </c>
      <c r="B1326" s="1" t="str">
        <f>HYPERLINK("http://digipan.lumentumllc.com/apps/getLink/index.php?t=TaxLink&amp;p=5248020","TL")</f>
        <v>TL</v>
      </c>
      <c r="C1326" s="1" t="str">
        <f>HYPERLINK("http://digipan.lumentumllc.com/apps/getMap/index.php?p=5248020","Map")</f>
        <v>Map</v>
      </c>
      <c r="E1326" t="s">
        <v>177</v>
      </c>
      <c r="F1326" t="s">
        <v>178</v>
      </c>
      <c r="L1326" t="s">
        <v>17191</v>
      </c>
      <c r="N1326" t="s">
        <v>17191</v>
      </c>
      <c r="O1326" t="s">
        <v>17191</v>
      </c>
      <c r="P1326" t="s">
        <v>17192</v>
      </c>
      <c r="Q1326" t="s">
        <v>17191</v>
      </c>
      <c r="V1326">
        <v>1518</v>
      </c>
      <c r="W1326">
        <v>5</v>
      </c>
      <c r="X1326">
        <v>2017</v>
      </c>
      <c r="Y1326">
        <v>2018</v>
      </c>
      <c r="Z1326">
        <v>511.62</v>
      </c>
      <c r="AB1326" t="s">
        <v>181</v>
      </c>
      <c r="AC1326" t="s">
        <v>182</v>
      </c>
      <c r="AD1326" t="s">
        <v>183</v>
      </c>
      <c r="AE1326">
        <v>0</v>
      </c>
      <c r="AF1326">
        <v>4</v>
      </c>
      <c r="AG1326" t="s">
        <v>744</v>
      </c>
      <c r="AH1326">
        <v>100</v>
      </c>
      <c r="AK1326">
        <v>0</v>
      </c>
      <c r="AL1326">
        <v>105549</v>
      </c>
      <c r="AM1326">
        <v>28000</v>
      </c>
      <c r="AN1326">
        <v>77549</v>
      </c>
      <c r="AO1326">
        <v>444</v>
      </c>
      <c r="AP1326">
        <v>2016</v>
      </c>
      <c r="AQ1326">
        <v>0.48</v>
      </c>
      <c r="AS1326" t="s">
        <v>17193</v>
      </c>
      <c r="AT1326" t="s">
        <v>3210</v>
      </c>
      <c r="AU1326" t="s">
        <v>177</v>
      </c>
      <c r="AV1326" t="s">
        <v>2334</v>
      </c>
      <c r="AW1326" t="s">
        <v>202</v>
      </c>
      <c r="AX1326">
        <v>2</v>
      </c>
      <c r="AY1326" t="s">
        <v>188</v>
      </c>
      <c r="AZ1326" t="s">
        <v>189</v>
      </c>
      <c r="BA1326" t="s">
        <v>190</v>
      </c>
      <c r="BB1326" t="s">
        <v>191</v>
      </c>
      <c r="BC1326" t="s">
        <v>182</v>
      </c>
      <c r="BD1326" t="s">
        <v>182</v>
      </c>
      <c r="BE1326" t="s">
        <v>1385</v>
      </c>
      <c r="BF1326">
        <v>1</v>
      </c>
      <c r="BG1326">
        <v>1</v>
      </c>
      <c r="BH1326">
        <v>2000</v>
      </c>
      <c r="BI1326" t="s">
        <v>1709</v>
      </c>
      <c r="BJ1326" t="s">
        <v>194</v>
      </c>
      <c r="BK1326" t="s">
        <v>195</v>
      </c>
      <c r="BL1326" t="s">
        <v>199</v>
      </c>
      <c r="BM1326" t="s">
        <v>1332</v>
      </c>
      <c r="BN1326" t="s">
        <v>182</v>
      </c>
      <c r="BO1326" t="s">
        <v>17194</v>
      </c>
      <c r="BP1326" t="s">
        <v>12362</v>
      </c>
      <c r="BQ1326" t="s">
        <v>562</v>
      </c>
      <c r="BR1326" t="s">
        <v>6200</v>
      </c>
      <c r="BS1326" t="s">
        <v>198</v>
      </c>
      <c r="BT1326" t="s">
        <v>17195</v>
      </c>
      <c r="BU1326" t="s">
        <v>182</v>
      </c>
      <c r="BV1326" t="s">
        <v>198</v>
      </c>
      <c r="BW1326" t="s">
        <v>198</v>
      </c>
      <c r="BX1326" t="s">
        <v>199</v>
      </c>
      <c r="BY1326" t="s">
        <v>198</v>
      </c>
      <c r="BZ1326" t="s">
        <v>199</v>
      </c>
      <c r="CA1326" t="s">
        <v>199</v>
      </c>
      <c r="CB1326" t="s">
        <v>17196</v>
      </c>
      <c r="CC1326" t="s">
        <v>201</v>
      </c>
      <c r="CD1326" t="s">
        <v>182</v>
      </c>
      <c r="CE1326" t="s">
        <v>17197</v>
      </c>
      <c r="CF1326" t="s">
        <v>2333</v>
      </c>
      <c r="CG1326" t="s">
        <v>177</v>
      </c>
      <c r="CH1326" t="s">
        <v>2334</v>
      </c>
      <c r="CI1326" t="s">
        <v>17198</v>
      </c>
      <c r="CJ1326" t="s">
        <v>14254</v>
      </c>
      <c r="CK1326" t="s">
        <v>273</v>
      </c>
      <c r="CL1326" t="s">
        <v>274</v>
      </c>
      <c r="CM1326" t="s">
        <v>17199</v>
      </c>
      <c r="CN1326" t="s">
        <v>235</v>
      </c>
      <c r="CO1326" t="s">
        <v>183</v>
      </c>
      <c r="CP1326" t="s">
        <v>211</v>
      </c>
      <c r="CQ1326" t="s">
        <v>290</v>
      </c>
      <c r="CS1326" t="s">
        <v>17200</v>
      </c>
      <c r="CT1326" t="s">
        <v>17201</v>
      </c>
      <c r="CU1326" t="s">
        <v>302</v>
      </c>
      <c r="CV1326" t="s">
        <v>303</v>
      </c>
      <c r="CW1326" t="s">
        <v>17202</v>
      </c>
      <c r="CX1326" t="s">
        <v>235</v>
      </c>
      <c r="CY1326" t="s">
        <v>183</v>
      </c>
      <c r="CZ1326" t="s">
        <v>211</v>
      </c>
      <c r="DA1326" t="s">
        <v>523</v>
      </c>
      <c r="DC1326" t="s">
        <v>17200</v>
      </c>
      <c r="DD1326" t="s">
        <v>17203</v>
      </c>
      <c r="DE1326" t="s">
        <v>238</v>
      </c>
      <c r="DF1326" t="s">
        <v>239</v>
      </c>
      <c r="DG1326" t="s">
        <v>17204</v>
      </c>
      <c r="DH1326" t="s">
        <v>440</v>
      </c>
      <c r="DI1326" t="s">
        <v>183</v>
      </c>
      <c r="DJ1326" t="s">
        <v>211</v>
      </c>
      <c r="DK1326" t="s">
        <v>298</v>
      </c>
      <c r="DM1326" t="s">
        <v>467</v>
      </c>
      <c r="DN1326" t="s">
        <v>2858</v>
      </c>
      <c r="DO1326" t="s">
        <v>346</v>
      </c>
      <c r="DP1326" t="s">
        <v>347</v>
      </c>
      <c r="DQ1326" t="s">
        <v>17205</v>
      </c>
      <c r="DR1326" t="s">
        <v>247</v>
      </c>
      <c r="DS1326" t="s">
        <v>183</v>
      </c>
      <c r="DT1326" t="s">
        <v>211</v>
      </c>
      <c r="DU1326" t="s">
        <v>298</v>
      </c>
      <c r="DW1326" t="s">
        <v>8707</v>
      </c>
      <c r="EG1326" t="s">
        <v>198</v>
      </c>
      <c r="EQ1326" t="s">
        <v>198</v>
      </c>
      <c r="FA1326" t="s">
        <v>198</v>
      </c>
      <c r="FK1326" t="s">
        <v>198</v>
      </c>
      <c r="FU1326" t="s">
        <v>198</v>
      </c>
    </row>
    <row r="1327" spans="1:177">
      <c r="A1327" s="1" t="str">
        <f>HYPERLINK("http://digipan.lumentumllc.com/apps/getLink/index.php?t=PropLink&amp;p=7112579","PL")</f>
        <v>PL</v>
      </c>
      <c r="B1327" s="1" t="str">
        <f>HYPERLINK("http://digipan.lumentumllc.com/apps/getLink/index.php?t=TaxLink&amp;p=7112579","TL")</f>
        <v>TL</v>
      </c>
      <c r="C1327" s="1" t="str">
        <f>HYPERLINK("http://digipan.lumentumllc.com/apps/getMap/index.php?p=7112579","Map")</f>
        <v>Map</v>
      </c>
      <c r="E1327" t="s">
        <v>177</v>
      </c>
      <c r="F1327" t="s">
        <v>178</v>
      </c>
      <c r="L1327" t="s">
        <v>17206</v>
      </c>
      <c r="N1327" t="s">
        <v>17206</v>
      </c>
      <c r="O1327" t="s">
        <v>17206</v>
      </c>
      <c r="P1327" t="s">
        <v>17207</v>
      </c>
      <c r="Q1327" t="s">
        <v>17206</v>
      </c>
      <c r="V1327">
        <v>1519</v>
      </c>
      <c r="W1327">
        <v>5</v>
      </c>
      <c r="X1327">
        <v>2017</v>
      </c>
      <c r="Y1327">
        <v>2018</v>
      </c>
      <c r="Z1327">
        <v>751.68</v>
      </c>
      <c r="AB1327" t="s">
        <v>181</v>
      </c>
      <c r="AC1327" t="s">
        <v>182</v>
      </c>
      <c r="AD1327" t="s">
        <v>183</v>
      </c>
      <c r="AE1327">
        <v>1</v>
      </c>
      <c r="AF1327">
        <v>1</v>
      </c>
      <c r="AG1327" t="s">
        <v>2222</v>
      </c>
      <c r="AH1327">
        <v>50</v>
      </c>
      <c r="AI1327">
        <v>687.14</v>
      </c>
      <c r="AJ1327">
        <v>34.36</v>
      </c>
      <c r="AK1327">
        <v>721.5</v>
      </c>
      <c r="AL1327">
        <v>44238</v>
      </c>
      <c r="AM1327">
        <v>28000</v>
      </c>
      <c r="AN1327">
        <v>16238</v>
      </c>
      <c r="AO1327">
        <v>610</v>
      </c>
      <c r="AP1327">
        <v>2016</v>
      </c>
      <c r="AQ1327">
        <v>1.7</v>
      </c>
      <c r="AR1327">
        <v>1.63</v>
      </c>
      <c r="AS1327" t="s">
        <v>17208</v>
      </c>
      <c r="AT1327" t="s">
        <v>3210</v>
      </c>
      <c r="AU1327" t="s">
        <v>177</v>
      </c>
      <c r="AV1327" t="s">
        <v>2334</v>
      </c>
      <c r="AW1327" t="s">
        <v>182</v>
      </c>
      <c r="AX1327">
        <v>2</v>
      </c>
      <c r="AY1327" t="s">
        <v>188</v>
      </c>
      <c r="AZ1327" t="s">
        <v>189</v>
      </c>
      <c r="BA1327" t="s">
        <v>190</v>
      </c>
      <c r="BB1327" t="s">
        <v>191</v>
      </c>
      <c r="BC1327" t="s">
        <v>182</v>
      </c>
      <c r="BD1327" t="s">
        <v>182</v>
      </c>
      <c r="BE1327" t="s">
        <v>899</v>
      </c>
      <c r="BF1327">
        <v>1</v>
      </c>
      <c r="BG1327">
        <v>1</v>
      </c>
      <c r="BH1327">
        <v>1984</v>
      </c>
      <c r="BI1327" t="s">
        <v>13256</v>
      </c>
      <c r="BJ1327" t="s">
        <v>285</v>
      </c>
      <c r="BK1327" t="s">
        <v>195</v>
      </c>
      <c r="BL1327" t="s">
        <v>841</v>
      </c>
      <c r="BM1327" t="s">
        <v>945</v>
      </c>
      <c r="BN1327" t="s">
        <v>182</v>
      </c>
      <c r="BO1327" t="s">
        <v>17209</v>
      </c>
      <c r="BP1327" t="s">
        <v>14842</v>
      </c>
      <c r="BR1327" t="s">
        <v>1461</v>
      </c>
      <c r="BS1327" t="s">
        <v>17210</v>
      </c>
      <c r="BT1327" t="s">
        <v>198</v>
      </c>
      <c r="BU1327" t="s">
        <v>182</v>
      </c>
      <c r="BV1327" t="s">
        <v>198</v>
      </c>
      <c r="BW1327" t="s">
        <v>198</v>
      </c>
      <c r="BX1327" t="s">
        <v>199</v>
      </c>
      <c r="BY1327" t="s">
        <v>198</v>
      </c>
      <c r="BZ1327" t="s">
        <v>199</v>
      </c>
      <c r="CA1327" t="s">
        <v>199</v>
      </c>
      <c r="CB1327" t="s">
        <v>17211</v>
      </c>
      <c r="CC1327" t="s">
        <v>201</v>
      </c>
      <c r="CD1327" t="s">
        <v>202</v>
      </c>
      <c r="CE1327" t="s">
        <v>17212</v>
      </c>
      <c r="CF1327" t="s">
        <v>2333</v>
      </c>
      <c r="CG1327" t="s">
        <v>177</v>
      </c>
      <c r="CH1327" t="s">
        <v>2334</v>
      </c>
      <c r="CI1327" t="s">
        <v>17213</v>
      </c>
      <c r="CJ1327" t="s">
        <v>1992</v>
      </c>
      <c r="CK1327" t="s">
        <v>232</v>
      </c>
      <c r="CL1327" t="s">
        <v>233</v>
      </c>
      <c r="CM1327" t="s">
        <v>17214</v>
      </c>
      <c r="CN1327" t="s">
        <v>235</v>
      </c>
      <c r="CO1327" t="s">
        <v>183</v>
      </c>
      <c r="CP1327" t="s">
        <v>266</v>
      </c>
      <c r="CS1327" t="s">
        <v>198</v>
      </c>
      <c r="CT1327" t="s">
        <v>12471</v>
      </c>
      <c r="CU1327" t="s">
        <v>292</v>
      </c>
      <c r="CV1327" t="s">
        <v>293</v>
      </c>
      <c r="CW1327" t="s">
        <v>17215</v>
      </c>
      <c r="CX1327" t="s">
        <v>235</v>
      </c>
      <c r="CY1327" t="s">
        <v>183</v>
      </c>
      <c r="CZ1327" t="s">
        <v>211</v>
      </c>
      <c r="DA1327" t="s">
        <v>298</v>
      </c>
      <c r="DC1327" t="s">
        <v>1641</v>
      </c>
      <c r="DM1327" t="s">
        <v>198</v>
      </c>
      <c r="DW1327" t="s">
        <v>198</v>
      </c>
      <c r="EG1327" t="s">
        <v>198</v>
      </c>
      <c r="EQ1327" t="s">
        <v>198</v>
      </c>
      <c r="FA1327" t="s">
        <v>198</v>
      </c>
      <c r="FK1327" t="s">
        <v>198</v>
      </c>
      <c r="FU1327" t="s">
        <v>198</v>
      </c>
    </row>
    <row r="1328" spans="1:177">
      <c r="A1328" s="1" t="str">
        <f>HYPERLINK("http://digipan.lumentumllc.com/apps/getLink/index.php?t=PropLink&amp;p=7112580","PL")</f>
        <v>PL</v>
      </c>
      <c r="B1328" s="1" t="str">
        <f>HYPERLINK("http://digipan.lumentumllc.com/apps/getLink/index.php?t=TaxLink&amp;p=7112580","TL")</f>
        <v>TL</v>
      </c>
      <c r="C1328" s="1" t="str">
        <f>HYPERLINK("http://digipan.lumentumllc.com/apps/getMap/index.php?p=7112580","Map")</f>
        <v>Map</v>
      </c>
      <c r="E1328" t="s">
        <v>177</v>
      </c>
      <c r="F1328" t="s">
        <v>178</v>
      </c>
      <c r="L1328" t="s">
        <v>17216</v>
      </c>
      <c r="N1328" t="s">
        <v>17216</v>
      </c>
      <c r="O1328" t="s">
        <v>17216</v>
      </c>
      <c r="P1328" t="s">
        <v>17217</v>
      </c>
      <c r="Q1328" t="s">
        <v>17216</v>
      </c>
      <c r="V1328">
        <v>1520</v>
      </c>
      <c r="W1328">
        <v>5</v>
      </c>
      <c r="X1328">
        <v>2017</v>
      </c>
      <c r="Y1328">
        <v>2018</v>
      </c>
      <c r="Z1328">
        <v>1956.5</v>
      </c>
      <c r="AB1328" t="s">
        <v>181</v>
      </c>
      <c r="AC1328" t="s">
        <v>182</v>
      </c>
      <c r="AD1328" t="s">
        <v>183</v>
      </c>
      <c r="AE1328">
        <v>1</v>
      </c>
      <c r="AF1328">
        <v>1</v>
      </c>
      <c r="AG1328" t="s">
        <v>2222</v>
      </c>
      <c r="AH1328">
        <v>50</v>
      </c>
      <c r="AI1328">
        <v>1607.04</v>
      </c>
      <c r="AJ1328">
        <v>80.349999999999994</v>
      </c>
      <c r="AK1328">
        <v>1687.39</v>
      </c>
      <c r="AL1328">
        <v>134184</v>
      </c>
      <c r="AM1328">
        <v>28000</v>
      </c>
      <c r="AN1328">
        <v>106184</v>
      </c>
      <c r="AO1328">
        <v>1461</v>
      </c>
      <c r="AP1328">
        <v>2016</v>
      </c>
      <c r="AQ1328">
        <v>1.46</v>
      </c>
      <c r="AR1328">
        <v>1.26</v>
      </c>
      <c r="AS1328" t="s">
        <v>17218</v>
      </c>
      <c r="AT1328" t="s">
        <v>3210</v>
      </c>
      <c r="AU1328" t="s">
        <v>177</v>
      </c>
      <c r="AV1328" t="s">
        <v>2334</v>
      </c>
      <c r="AW1328" t="s">
        <v>182</v>
      </c>
      <c r="AX1328">
        <v>2</v>
      </c>
      <c r="AY1328" t="s">
        <v>188</v>
      </c>
      <c r="AZ1328" t="s">
        <v>189</v>
      </c>
      <c r="BA1328" t="s">
        <v>190</v>
      </c>
      <c r="BB1328" t="s">
        <v>191</v>
      </c>
      <c r="BC1328" t="s">
        <v>182</v>
      </c>
      <c r="BD1328" t="s">
        <v>182</v>
      </c>
      <c r="BE1328" t="s">
        <v>383</v>
      </c>
      <c r="BF1328">
        <v>1</v>
      </c>
      <c r="BG1328">
        <v>1</v>
      </c>
      <c r="BH1328">
        <v>1994</v>
      </c>
      <c r="BI1328" t="s">
        <v>16993</v>
      </c>
      <c r="BJ1328" t="s">
        <v>194</v>
      </c>
      <c r="BK1328" t="s">
        <v>195</v>
      </c>
      <c r="BL1328" t="s">
        <v>2029</v>
      </c>
      <c r="BM1328" t="s">
        <v>267</v>
      </c>
      <c r="BN1328" t="s">
        <v>182</v>
      </c>
      <c r="BO1328" t="s">
        <v>17219</v>
      </c>
      <c r="BP1328" t="s">
        <v>2542</v>
      </c>
      <c r="BR1328" t="s">
        <v>1461</v>
      </c>
      <c r="BS1328" t="s">
        <v>17220</v>
      </c>
      <c r="BT1328" t="s">
        <v>198</v>
      </c>
      <c r="BU1328" t="s">
        <v>182</v>
      </c>
      <c r="BV1328" t="s">
        <v>198</v>
      </c>
      <c r="BW1328" t="s">
        <v>198</v>
      </c>
      <c r="BX1328" t="s">
        <v>199</v>
      </c>
      <c r="BY1328" t="s">
        <v>198</v>
      </c>
      <c r="BZ1328" t="s">
        <v>199</v>
      </c>
      <c r="CA1328" t="s">
        <v>199</v>
      </c>
      <c r="CB1328" t="s">
        <v>17221</v>
      </c>
      <c r="CC1328" t="s">
        <v>201</v>
      </c>
      <c r="CD1328" t="s">
        <v>182</v>
      </c>
      <c r="CE1328" t="s">
        <v>17222</v>
      </c>
      <c r="CF1328" t="s">
        <v>2333</v>
      </c>
      <c r="CG1328" t="s">
        <v>177</v>
      </c>
      <c r="CH1328" t="s">
        <v>2334</v>
      </c>
      <c r="CI1328" t="s">
        <v>17223</v>
      </c>
      <c r="CJ1328" t="s">
        <v>2004</v>
      </c>
      <c r="CK1328" t="s">
        <v>232</v>
      </c>
      <c r="CL1328" t="s">
        <v>233</v>
      </c>
      <c r="CM1328" t="s">
        <v>17224</v>
      </c>
      <c r="CN1328" t="s">
        <v>235</v>
      </c>
      <c r="CO1328" t="s">
        <v>183</v>
      </c>
      <c r="CP1328" t="s">
        <v>266</v>
      </c>
      <c r="CS1328" t="s">
        <v>198</v>
      </c>
      <c r="CT1328" t="s">
        <v>13380</v>
      </c>
      <c r="CU1328" t="s">
        <v>292</v>
      </c>
      <c r="CV1328" t="s">
        <v>293</v>
      </c>
      <c r="CW1328" t="s">
        <v>17225</v>
      </c>
      <c r="CX1328" t="s">
        <v>235</v>
      </c>
      <c r="CY1328" t="s">
        <v>183</v>
      </c>
      <c r="CZ1328" t="s">
        <v>211</v>
      </c>
      <c r="DA1328" t="s">
        <v>298</v>
      </c>
      <c r="DC1328" t="s">
        <v>4023</v>
      </c>
      <c r="DM1328" t="s">
        <v>198</v>
      </c>
      <c r="DW1328" t="s">
        <v>198</v>
      </c>
      <c r="EG1328" t="s">
        <v>198</v>
      </c>
      <c r="EQ1328" t="s">
        <v>198</v>
      </c>
      <c r="FA1328" t="s">
        <v>198</v>
      </c>
      <c r="FK1328" t="s">
        <v>198</v>
      </c>
      <c r="FU1328" t="s">
        <v>198</v>
      </c>
    </row>
    <row r="1329" spans="1:177">
      <c r="A1329" s="1" t="str">
        <f>HYPERLINK("http://digipan.lumentumllc.com/apps/getLink/index.php?t=PropLink&amp;p=6594369","PL")</f>
        <v>PL</v>
      </c>
      <c r="B1329" s="1" t="str">
        <f>HYPERLINK("http://digipan.lumentumllc.com/apps/getLink/index.php?t=TaxLink&amp;p=6594369","TL")</f>
        <v>TL</v>
      </c>
      <c r="C1329" s="1" t="str">
        <f>HYPERLINK("http://digipan.lumentumllc.com/apps/getMap/index.php?p=6594369","Map")</f>
        <v>Map</v>
      </c>
      <c r="E1329" t="s">
        <v>177</v>
      </c>
      <c r="F1329" t="s">
        <v>178</v>
      </c>
      <c r="L1329" t="s">
        <v>17226</v>
      </c>
      <c r="N1329" t="s">
        <v>17226</v>
      </c>
      <c r="O1329" t="s">
        <v>17226</v>
      </c>
      <c r="P1329" t="s">
        <v>17227</v>
      </c>
      <c r="Q1329" t="s">
        <v>17226</v>
      </c>
      <c r="V1329">
        <v>1521</v>
      </c>
      <c r="W1329">
        <v>5</v>
      </c>
      <c r="X1329">
        <v>2017</v>
      </c>
      <c r="Y1329">
        <v>2018</v>
      </c>
      <c r="Z1329">
        <v>472.6</v>
      </c>
      <c r="AB1329" t="s">
        <v>181</v>
      </c>
      <c r="AC1329" t="s">
        <v>182</v>
      </c>
      <c r="AD1329" t="s">
        <v>183</v>
      </c>
      <c r="AE1329">
        <v>0</v>
      </c>
      <c r="AF1329">
        <v>3</v>
      </c>
      <c r="AG1329" t="s">
        <v>381</v>
      </c>
      <c r="AH1329">
        <v>100</v>
      </c>
      <c r="AK1329">
        <v>0</v>
      </c>
      <c r="AL1329">
        <v>76904</v>
      </c>
      <c r="AM1329">
        <v>28000</v>
      </c>
      <c r="AN1329">
        <v>48904</v>
      </c>
      <c r="AO1329">
        <v>406</v>
      </c>
      <c r="AP1329">
        <v>2016</v>
      </c>
      <c r="AQ1329">
        <v>0.61</v>
      </c>
      <c r="AS1329" t="s">
        <v>17228</v>
      </c>
      <c r="AT1329" t="s">
        <v>3210</v>
      </c>
      <c r="AU1329" t="s">
        <v>177</v>
      </c>
      <c r="AV1329" t="s">
        <v>2334</v>
      </c>
      <c r="AW1329" t="s">
        <v>202</v>
      </c>
      <c r="AX1329">
        <v>2</v>
      </c>
      <c r="AY1329" t="s">
        <v>188</v>
      </c>
      <c r="AZ1329" t="s">
        <v>189</v>
      </c>
      <c r="BA1329" t="s">
        <v>190</v>
      </c>
      <c r="BB1329" t="s">
        <v>191</v>
      </c>
      <c r="BC1329" t="s">
        <v>182</v>
      </c>
      <c r="BD1329" t="s">
        <v>182</v>
      </c>
      <c r="BE1329" t="s">
        <v>383</v>
      </c>
      <c r="BF1329">
        <v>1</v>
      </c>
      <c r="BG1329">
        <v>1</v>
      </c>
      <c r="BH1329">
        <v>1994</v>
      </c>
      <c r="BI1329" t="s">
        <v>7960</v>
      </c>
      <c r="BJ1329" t="s">
        <v>194</v>
      </c>
      <c r="BK1329" t="s">
        <v>195</v>
      </c>
      <c r="BL1329" t="s">
        <v>199</v>
      </c>
      <c r="BM1329" t="s">
        <v>286</v>
      </c>
      <c r="BN1329" t="s">
        <v>182</v>
      </c>
      <c r="BO1329" t="s">
        <v>8682</v>
      </c>
      <c r="BP1329" t="s">
        <v>17229</v>
      </c>
      <c r="BQ1329" t="s">
        <v>800</v>
      </c>
      <c r="BR1329" t="s">
        <v>2318</v>
      </c>
      <c r="BS1329" t="s">
        <v>198</v>
      </c>
      <c r="BT1329" t="s">
        <v>17230</v>
      </c>
      <c r="BU1329" t="s">
        <v>182</v>
      </c>
      <c r="BV1329" t="s">
        <v>198</v>
      </c>
      <c r="BW1329" t="s">
        <v>198</v>
      </c>
      <c r="BX1329" t="s">
        <v>199</v>
      </c>
      <c r="BY1329" t="s">
        <v>198</v>
      </c>
      <c r="BZ1329" t="s">
        <v>199</v>
      </c>
      <c r="CA1329" t="s">
        <v>199</v>
      </c>
      <c r="CB1329" t="s">
        <v>17231</v>
      </c>
      <c r="CC1329" t="s">
        <v>201</v>
      </c>
      <c r="CD1329" t="s">
        <v>202</v>
      </c>
      <c r="CE1329" t="s">
        <v>17232</v>
      </c>
      <c r="CF1329" t="s">
        <v>2333</v>
      </c>
      <c r="CG1329" t="s">
        <v>177</v>
      </c>
      <c r="CH1329" t="s">
        <v>2334</v>
      </c>
      <c r="CI1329" t="s">
        <v>9768</v>
      </c>
      <c r="CJ1329" t="s">
        <v>13093</v>
      </c>
      <c r="CK1329" t="s">
        <v>232</v>
      </c>
      <c r="CL1329" t="s">
        <v>233</v>
      </c>
      <c r="CM1329" t="s">
        <v>17233</v>
      </c>
      <c r="CN1329" t="s">
        <v>235</v>
      </c>
      <c r="CO1329" t="s">
        <v>183</v>
      </c>
      <c r="CP1329" t="s">
        <v>211</v>
      </c>
      <c r="CQ1329" t="s">
        <v>189</v>
      </c>
      <c r="CS1329" t="s">
        <v>17234</v>
      </c>
      <c r="CT1329" t="s">
        <v>10146</v>
      </c>
      <c r="CU1329" t="s">
        <v>267</v>
      </c>
      <c r="CV1329" t="s">
        <v>268</v>
      </c>
      <c r="CW1329" t="s">
        <v>17235</v>
      </c>
      <c r="CX1329" t="s">
        <v>235</v>
      </c>
      <c r="CY1329" t="s">
        <v>183</v>
      </c>
      <c r="CZ1329" t="s">
        <v>211</v>
      </c>
      <c r="DA1329" t="s">
        <v>342</v>
      </c>
      <c r="DC1329" t="s">
        <v>3805</v>
      </c>
      <c r="DD1329" t="s">
        <v>5941</v>
      </c>
      <c r="DE1329" t="s">
        <v>273</v>
      </c>
      <c r="DF1329" t="s">
        <v>274</v>
      </c>
      <c r="DG1329" t="s">
        <v>17236</v>
      </c>
      <c r="DH1329" t="s">
        <v>235</v>
      </c>
      <c r="DI1329" t="s">
        <v>183</v>
      </c>
      <c r="DJ1329" t="s">
        <v>211</v>
      </c>
      <c r="DK1329" t="s">
        <v>298</v>
      </c>
      <c r="DM1329" t="s">
        <v>12212</v>
      </c>
      <c r="DW1329" t="s">
        <v>198</v>
      </c>
      <c r="EG1329" t="s">
        <v>198</v>
      </c>
      <c r="EQ1329" t="s">
        <v>198</v>
      </c>
      <c r="FA1329" t="s">
        <v>198</v>
      </c>
      <c r="FK1329" t="s">
        <v>198</v>
      </c>
      <c r="FU1329" t="s">
        <v>198</v>
      </c>
    </row>
    <row r="1330" spans="1:177">
      <c r="A1330" s="1" t="str">
        <f>HYPERLINK("http://digipan.lumentumllc.com/apps/getLink/index.php?t=PropLink&amp;p=6129508","PL")</f>
        <v>PL</v>
      </c>
      <c r="B1330" s="1" t="str">
        <f>HYPERLINK("http://digipan.lumentumllc.com/apps/getLink/index.php?t=TaxLink&amp;p=6129508","TL")</f>
        <v>TL</v>
      </c>
      <c r="C1330" s="1" t="str">
        <f>HYPERLINK("http://digipan.lumentumllc.com/apps/getMap/index.php?p=6129508","Map")</f>
        <v>Map</v>
      </c>
      <c r="E1330" t="s">
        <v>177</v>
      </c>
      <c r="F1330" t="s">
        <v>178</v>
      </c>
      <c r="L1330" t="s">
        <v>17237</v>
      </c>
      <c r="N1330" t="s">
        <v>17237</v>
      </c>
      <c r="O1330" t="s">
        <v>17237</v>
      </c>
      <c r="P1330" t="s">
        <v>17238</v>
      </c>
      <c r="Q1330" t="s">
        <v>17237</v>
      </c>
      <c r="V1330">
        <v>1522</v>
      </c>
      <c r="W1330">
        <v>5</v>
      </c>
      <c r="X1330">
        <v>2017</v>
      </c>
      <c r="Y1330">
        <v>2018</v>
      </c>
      <c r="Z1330">
        <v>447.97</v>
      </c>
      <c r="AB1330" t="s">
        <v>181</v>
      </c>
      <c r="AC1330" t="s">
        <v>182</v>
      </c>
      <c r="AD1330" t="s">
        <v>183</v>
      </c>
      <c r="AE1330">
        <v>1</v>
      </c>
      <c r="AF1330">
        <v>6</v>
      </c>
      <c r="AG1330" t="s">
        <v>322</v>
      </c>
      <c r="AH1330">
        <v>83</v>
      </c>
      <c r="AI1330">
        <v>440.1</v>
      </c>
      <c r="AJ1330">
        <v>22.01</v>
      </c>
      <c r="AK1330">
        <v>462.11</v>
      </c>
      <c r="AL1330">
        <v>70915</v>
      </c>
      <c r="AM1330">
        <v>28000</v>
      </c>
      <c r="AN1330">
        <v>42915</v>
      </c>
      <c r="AO1330">
        <v>382</v>
      </c>
      <c r="AP1330">
        <v>2016</v>
      </c>
      <c r="AQ1330">
        <v>0.63</v>
      </c>
      <c r="AR1330">
        <v>0.65</v>
      </c>
      <c r="AS1330" t="s">
        <v>17239</v>
      </c>
      <c r="AT1330" t="s">
        <v>3210</v>
      </c>
      <c r="AU1330" t="s">
        <v>177</v>
      </c>
      <c r="AV1330" t="s">
        <v>2334</v>
      </c>
      <c r="AW1330" t="s">
        <v>202</v>
      </c>
      <c r="AX1330">
        <v>2</v>
      </c>
      <c r="AY1330" t="s">
        <v>188</v>
      </c>
      <c r="AZ1330" t="s">
        <v>189</v>
      </c>
      <c r="BA1330" t="s">
        <v>190</v>
      </c>
      <c r="BB1330" t="s">
        <v>191</v>
      </c>
      <c r="BC1330" t="s">
        <v>182</v>
      </c>
      <c r="BD1330" t="s">
        <v>182</v>
      </c>
      <c r="BE1330" t="s">
        <v>3598</v>
      </c>
      <c r="BF1330">
        <v>1</v>
      </c>
      <c r="BG1330">
        <v>1</v>
      </c>
      <c r="BH1330">
        <v>1996</v>
      </c>
      <c r="BI1330" t="s">
        <v>14321</v>
      </c>
      <c r="BJ1330" t="s">
        <v>194</v>
      </c>
      <c r="BK1330" t="s">
        <v>195</v>
      </c>
      <c r="BL1330" t="s">
        <v>17240</v>
      </c>
      <c r="BM1330" t="s">
        <v>325</v>
      </c>
      <c r="BN1330" t="s">
        <v>182</v>
      </c>
      <c r="BO1330" t="s">
        <v>198</v>
      </c>
      <c r="BP1330" t="s">
        <v>198</v>
      </c>
      <c r="BQ1330" t="s">
        <v>198</v>
      </c>
      <c r="BR1330" t="s">
        <v>198</v>
      </c>
      <c r="BS1330" t="s">
        <v>198</v>
      </c>
      <c r="BT1330" t="s">
        <v>198</v>
      </c>
      <c r="BU1330" t="s">
        <v>182</v>
      </c>
      <c r="BV1330" t="s">
        <v>198</v>
      </c>
      <c r="BW1330" t="s">
        <v>198</v>
      </c>
      <c r="BX1330" t="s">
        <v>199</v>
      </c>
      <c r="BY1330" t="s">
        <v>198</v>
      </c>
      <c r="BZ1330" t="s">
        <v>199</v>
      </c>
      <c r="CA1330" t="s">
        <v>199</v>
      </c>
      <c r="CB1330" t="s">
        <v>17241</v>
      </c>
      <c r="CC1330" t="s">
        <v>201</v>
      </c>
      <c r="CD1330" t="s">
        <v>182</v>
      </c>
      <c r="CE1330" t="s">
        <v>17242</v>
      </c>
      <c r="CF1330" t="s">
        <v>2333</v>
      </c>
      <c r="CG1330" t="s">
        <v>177</v>
      </c>
      <c r="CH1330" t="s">
        <v>2334</v>
      </c>
      <c r="CI1330" t="s">
        <v>17243</v>
      </c>
      <c r="CJ1330" t="s">
        <v>13108</v>
      </c>
      <c r="CK1330" t="s">
        <v>232</v>
      </c>
      <c r="CL1330" t="s">
        <v>233</v>
      </c>
      <c r="CM1330" t="s">
        <v>17244</v>
      </c>
      <c r="CN1330" t="s">
        <v>235</v>
      </c>
      <c r="CO1330" t="s">
        <v>183</v>
      </c>
      <c r="CP1330" t="s">
        <v>266</v>
      </c>
      <c r="CS1330" t="s">
        <v>198</v>
      </c>
      <c r="CT1330" t="s">
        <v>13605</v>
      </c>
      <c r="CU1330" t="s">
        <v>292</v>
      </c>
      <c r="CV1330" t="s">
        <v>293</v>
      </c>
      <c r="CW1330" t="s">
        <v>17245</v>
      </c>
      <c r="CX1330" t="s">
        <v>235</v>
      </c>
      <c r="CY1330" t="s">
        <v>183</v>
      </c>
      <c r="CZ1330" t="s">
        <v>211</v>
      </c>
      <c r="DA1330" t="s">
        <v>298</v>
      </c>
      <c r="DC1330" t="s">
        <v>4023</v>
      </c>
      <c r="DD1330" t="s">
        <v>16227</v>
      </c>
      <c r="DE1330" t="s">
        <v>267</v>
      </c>
      <c r="DF1330" t="s">
        <v>268</v>
      </c>
      <c r="DG1330" t="s">
        <v>17246</v>
      </c>
      <c r="DH1330" t="s">
        <v>235</v>
      </c>
      <c r="DI1330" t="s">
        <v>183</v>
      </c>
      <c r="DJ1330" t="s">
        <v>211</v>
      </c>
      <c r="DK1330" t="s">
        <v>298</v>
      </c>
      <c r="DM1330" t="s">
        <v>2096</v>
      </c>
      <c r="DN1330" t="s">
        <v>13812</v>
      </c>
      <c r="DO1330" t="s">
        <v>273</v>
      </c>
      <c r="DP1330" t="s">
        <v>274</v>
      </c>
      <c r="DQ1330" t="s">
        <v>17247</v>
      </c>
      <c r="DR1330" t="s">
        <v>235</v>
      </c>
      <c r="DS1330" t="s">
        <v>183</v>
      </c>
      <c r="DT1330" t="s">
        <v>211</v>
      </c>
      <c r="DU1330" t="s">
        <v>298</v>
      </c>
      <c r="DW1330" t="s">
        <v>462</v>
      </c>
      <c r="DX1330" t="s">
        <v>17248</v>
      </c>
      <c r="DY1330" t="s">
        <v>302</v>
      </c>
      <c r="DZ1330" t="s">
        <v>303</v>
      </c>
      <c r="EA1330" t="s">
        <v>17249</v>
      </c>
      <c r="EB1330" t="s">
        <v>235</v>
      </c>
      <c r="EC1330" t="s">
        <v>183</v>
      </c>
      <c r="ED1330" t="s">
        <v>211</v>
      </c>
      <c r="EE1330" t="s">
        <v>298</v>
      </c>
      <c r="EG1330" t="s">
        <v>437</v>
      </c>
      <c r="EH1330" t="s">
        <v>17250</v>
      </c>
      <c r="EI1330" t="s">
        <v>238</v>
      </c>
      <c r="EJ1330" t="s">
        <v>239</v>
      </c>
      <c r="EK1330" t="s">
        <v>17251</v>
      </c>
      <c r="EL1330" t="s">
        <v>440</v>
      </c>
      <c r="EM1330" t="s">
        <v>183</v>
      </c>
      <c r="EN1330" t="s">
        <v>211</v>
      </c>
      <c r="EO1330" t="s">
        <v>298</v>
      </c>
      <c r="EQ1330" t="s">
        <v>467</v>
      </c>
      <c r="ER1330" t="s">
        <v>17252</v>
      </c>
      <c r="ES1330" t="s">
        <v>207</v>
      </c>
      <c r="ET1330" t="s">
        <v>208</v>
      </c>
      <c r="EU1330" t="s">
        <v>17253</v>
      </c>
      <c r="EV1330" t="s">
        <v>1966</v>
      </c>
      <c r="EW1330" t="s">
        <v>183</v>
      </c>
      <c r="EX1330" t="s">
        <v>211</v>
      </c>
      <c r="EY1330" t="s">
        <v>298</v>
      </c>
      <c r="FA1330" t="s">
        <v>4297</v>
      </c>
      <c r="FK1330" t="s">
        <v>198</v>
      </c>
      <c r="FU1330" t="s">
        <v>198</v>
      </c>
    </row>
    <row r="1331" spans="1:177">
      <c r="A1331" s="1" t="str">
        <f>HYPERLINK("http://digipan.lumentumllc.com/apps/getLink/index.php?t=PropLink&amp;p=5248023","PL")</f>
        <v>PL</v>
      </c>
      <c r="B1331" s="1" t="str">
        <f>HYPERLINK("http://digipan.lumentumllc.com/apps/getLink/index.php?t=TaxLink&amp;p=5248023","TL")</f>
        <v>TL</v>
      </c>
      <c r="C1331" s="1" t="str">
        <f>HYPERLINK("http://digipan.lumentumllc.com/apps/getMap/index.php?p=5248023","Map")</f>
        <v>Map</v>
      </c>
      <c r="E1331" t="s">
        <v>177</v>
      </c>
      <c r="F1331" t="s">
        <v>178</v>
      </c>
      <c r="L1331" t="s">
        <v>17254</v>
      </c>
      <c r="N1331" t="s">
        <v>17254</v>
      </c>
      <c r="O1331" t="s">
        <v>17254</v>
      </c>
      <c r="P1331" t="s">
        <v>17255</v>
      </c>
      <c r="Q1331" t="s">
        <v>17254</v>
      </c>
      <c r="V1331">
        <v>1523</v>
      </c>
      <c r="W1331">
        <v>5</v>
      </c>
      <c r="X1331">
        <v>2017</v>
      </c>
      <c r="Y1331">
        <v>2018</v>
      </c>
      <c r="Z1331">
        <v>1574.5</v>
      </c>
      <c r="AB1331" t="s">
        <v>181</v>
      </c>
      <c r="AC1331" t="s">
        <v>202</v>
      </c>
      <c r="AD1331" t="s">
        <v>183</v>
      </c>
      <c r="AE1331">
        <v>0</v>
      </c>
      <c r="AF1331">
        <v>6</v>
      </c>
      <c r="AG1331" t="s">
        <v>528</v>
      </c>
      <c r="AH1331">
        <v>100</v>
      </c>
      <c r="AK1331">
        <v>0</v>
      </c>
      <c r="AL1331">
        <v>109116</v>
      </c>
      <c r="AM1331">
        <v>28000</v>
      </c>
      <c r="AN1331">
        <v>81116</v>
      </c>
      <c r="AO1331">
        <v>1273</v>
      </c>
      <c r="AP1331">
        <v>2016</v>
      </c>
      <c r="AQ1331">
        <v>1.44</v>
      </c>
      <c r="AS1331" t="s">
        <v>17256</v>
      </c>
      <c r="AT1331" t="s">
        <v>3210</v>
      </c>
      <c r="AU1331" t="s">
        <v>177</v>
      </c>
      <c r="AV1331" t="s">
        <v>2334</v>
      </c>
      <c r="AW1331" t="s">
        <v>182</v>
      </c>
      <c r="AX1331">
        <v>2</v>
      </c>
      <c r="AY1331" t="s">
        <v>188</v>
      </c>
      <c r="AZ1331" t="s">
        <v>189</v>
      </c>
      <c r="BA1331" t="s">
        <v>190</v>
      </c>
      <c r="BB1331" t="s">
        <v>191</v>
      </c>
      <c r="BC1331" t="s">
        <v>182</v>
      </c>
      <c r="BD1331" t="s">
        <v>182</v>
      </c>
      <c r="BE1331" t="s">
        <v>3783</v>
      </c>
      <c r="BF1331">
        <v>1</v>
      </c>
      <c r="BG1331">
        <v>1</v>
      </c>
      <c r="BH1331">
        <v>2000</v>
      </c>
      <c r="BI1331" t="s">
        <v>17257</v>
      </c>
      <c r="BJ1331" t="s">
        <v>248</v>
      </c>
      <c r="BK1331" t="s">
        <v>195</v>
      </c>
      <c r="BL1331" t="s">
        <v>199</v>
      </c>
      <c r="BM1331" t="s">
        <v>238</v>
      </c>
      <c r="BN1331" t="s">
        <v>182</v>
      </c>
      <c r="BO1331" t="s">
        <v>7723</v>
      </c>
      <c r="BP1331" t="s">
        <v>17258</v>
      </c>
      <c r="BS1331" t="s">
        <v>17259</v>
      </c>
      <c r="BT1331" t="s">
        <v>198</v>
      </c>
      <c r="BU1331" t="s">
        <v>182</v>
      </c>
      <c r="BV1331" t="s">
        <v>198</v>
      </c>
      <c r="BW1331" t="s">
        <v>198</v>
      </c>
      <c r="BX1331" t="s">
        <v>199</v>
      </c>
      <c r="BY1331" t="s">
        <v>198</v>
      </c>
      <c r="BZ1331" t="s">
        <v>199</v>
      </c>
      <c r="CA1331" t="s">
        <v>199</v>
      </c>
      <c r="CB1331" t="s">
        <v>17260</v>
      </c>
      <c r="CC1331" t="s">
        <v>201</v>
      </c>
      <c r="CD1331" t="s">
        <v>182</v>
      </c>
      <c r="CE1331" t="s">
        <v>17261</v>
      </c>
      <c r="CF1331" t="s">
        <v>2333</v>
      </c>
      <c r="CG1331" t="s">
        <v>177</v>
      </c>
      <c r="CH1331" t="s">
        <v>2334</v>
      </c>
      <c r="CI1331" t="s">
        <v>17262</v>
      </c>
      <c r="CJ1331" t="s">
        <v>12978</v>
      </c>
      <c r="CK1331" t="s">
        <v>292</v>
      </c>
      <c r="CL1331" t="s">
        <v>293</v>
      </c>
      <c r="CM1331" t="s">
        <v>17263</v>
      </c>
      <c r="CN1331" t="s">
        <v>331</v>
      </c>
      <c r="CO1331" t="s">
        <v>183</v>
      </c>
      <c r="CP1331" t="s">
        <v>211</v>
      </c>
      <c r="CQ1331" t="s">
        <v>270</v>
      </c>
      <c r="CR1331" t="s">
        <v>271</v>
      </c>
      <c r="CS1331" t="s">
        <v>4800</v>
      </c>
      <c r="CT1331" t="s">
        <v>10875</v>
      </c>
      <c r="CU1331" t="s">
        <v>267</v>
      </c>
      <c r="CV1331" t="s">
        <v>268</v>
      </c>
      <c r="CW1331" t="s">
        <v>17264</v>
      </c>
      <c r="CX1331" t="s">
        <v>331</v>
      </c>
      <c r="CY1331" t="s">
        <v>183</v>
      </c>
      <c r="CZ1331" t="s">
        <v>211</v>
      </c>
      <c r="DB1331" t="s">
        <v>271</v>
      </c>
      <c r="DC1331" t="s">
        <v>198</v>
      </c>
      <c r="DD1331" t="s">
        <v>11370</v>
      </c>
      <c r="DE1331" t="s">
        <v>273</v>
      </c>
      <c r="DF1331" t="s">
        <v>274</v>
      </c>
      <c r="DG1331" t="s">
        <v>2159</v>
      </c>
      <c r="DH1331" t="s">
        <v>235</v>
      </c>
      <c r="DI1331" t="s">
        <v>183</v>
      </c>
      <c r="DJ1331" t="s">
        <v>211</v>
      </c>
      <c r="DK1331" t="s">
        <v>768</v>
      </c>
      <c r="DM1331" t="s">
        <v>3291</v>
      </c>
      <c r="DN1331" t="s">
        <v>17265</v>
      </c>
      <c r="DO1331" t="s">
        <v>302</v>
      </c>
      <c r="DP1331" t="s">
        <v>303</v>
      </c>
      <c r="DQ1331" t="s">
        <v>17266</v>
      </c>
      <c r="DR1331" t="s">
        <v>235</v>
      </c>
      <c r="DS1331" t="s">
        <v>183</v>
      </c>
      <c r="DT1331" t="s">
        <v>211</v>
      </c>
      <c r="DU1331" t="s">
        <v>298</v>
      </c>
      <c r="DW1331" t="s">
        <v>3499</v>
      </c>
      <c r="DX1331" t="s">
        <v>17267</v>
      </c>
      <c r="DY1331" t="s">
        <v>238</v>
      </c>
      <c r="DZ1331" t="s">
        <v>239</v>
      </c>
      <c r="EA1331" t="s">
        <v>17268</v>
      </c>
      <c r="EB1331" t="s">
        <v>235</v>
      </c>
      <c r="EC1331" t="s">
        <v>183</v>
      </c>
      <c r="ED1331" t="s">
        <v>211</v>
      </c>
      <c r="EE1331" t="s">
        <v>298</v>
      </c>
      <c r="EG1331" t="s">
        <v>467</v>
      </c>
      <c r="EH1331" t="s">
        <v>2902</v>
      </c>
      <c r="EI1331" t="s">
        <v>346</v>
      </c>
      <c r="EJ1331" t="s">
        <v>347</v>
      </c>
      <c r="EK1331" t="s">
        <v>17269</v>
      </c>
      <c r="EL1331" t="s">
        <v>295</v>
      </c>
      <c r="EM1331" t="s">
        <v>183</v>
      </c>
      <c r="EN1331" t="s">
        <v>211</v>
      </c>
      <c r="EO1331" t="s">
        <v>298</v>
      </c>
      <c r="EQ1331" t="s">
        <v>1622</v>
      </c>
      <c r="FA1331" t="s">
        <v>198</v>
      </c>
      <c r="FK1331" t="s">
        <v>198</v>
      </c>
      <c r="FU1331" t="s">
        <v>198</v>
      </c>
    </row>
    <row r="1332" spans="1:177">
      <c r="A1332" s="1" t="str">
        <f>HYPERLINK("http://digipan.lumentumllc.com/apps/getLink/index.php?t=PropLink&amp;p=6129509","PL")</f>
        <v>PL</v>
      </c>
      <c r="B1332" s="1" t="str">
        <f>HYPERLINK("http://digipan.lumentumllc.com/apps/getLink/index.php?t=TaxLink&amp;p=6129509","TL")</f>
        <v>TL</v>
      </c>
      <c r="C1332" s="1" t="str">
        <f>HYPERLINK("http://digipan.lumentumllc.com/apps/getMap/index.php?p=6129509","Map")</f>
        <v>Map</v>
      </c>
      <c r="E1332" t="s">
        <v>177</v>
      </c>
      <c r="F1332" t="s">
        <v>178</v>
      </c>
      <c r="L1332" t="s">
        <v>17270</v>
      </c>
      <c r="N1332" t="s">
        <v>17270</v>
      </c>
      <c r="O1332" t="s">
        <v>17270</v>
      </c>
      <c r="P1332" t="s">
        <v>17271</v>
      </c>
      <c r="Q1332" t="s">
        <v>17270</v>
      </c>
      <c r="V1332">
        <v>1524</v>
      </c>
      <c r="W1332">
        <v>5</v>
      </c>
      <c r="X1332">
        <v>2017</v>
      </c>
      <c r="Y1332">
        <v>2018</v>
      </c>
      <c r="Z1332">
        <v>48.37</v>
      </c>
      <c r="AB1332" t="s">
        <v>181</v>
      </c>
      <c r="AC1332" t="s">
        <v>182</v>
      </c>
      <c r="AD1332" t="s">
        <v>1037</v>
      </c>
      <c r="AE1332">
        <v>6</v>
      </c>
      <c r="AF1332">
        <v>0</v>
      </c>
      <c r="AG1332" t="s">
        <v>3955</v>
      </c>
      <c r="AH1332">
        <v>0</v>
      </c>
      <c r="AI1332">
        <v>236.09</v>
      </c>
      <c r="AJ1332">
        <v>130.53</v>
      </c>
      <c r="AK1332">
        <v>366.62</v>
      </c>
      <c r="AL1332">
        <v>1000</v>
      </c>
      <c r="AM1332">
        <v>1000</v>
      </c>
      <c r="AN1332">
        <v>0</v>
      </c>
      <c r="AO1332">
        <v>15</v>
      </c>
      <c r="AP1332">
        <v>2016</v>
      </c>
      <c r="AQ1332">
        <v>4.84</v>
      </c>
      <c r="AR1332">
        <v>36.659999999999997</v>
      </c>
      <c r="AS1332" t="s">
        <v>17272</v>
      </c>
      <c r="AT1332" t="s">
        <v>3210</v>
      </c>
      <c r="AU1332" t="s">
        <v>177</v>
      </c>
      <c r="AV1332" t="s">
        <v>2334</v>
      </c>
      <c r="AW1332" t="s">
        <v>182</v>
      </c>
      <c r="AX1332">
        <v>0</v>
      </c>
      <c r="AY1332" t="s">
        <v>312</v>
      </c>
      <c r="AZ1332" t="s">
        <v>199</v>
      </c>
      <c r="BA1332" t="s">
        <v>313</v>
      </c>
      <c r="BB1332" t="s">
        <v>191</v>
      </c>
      <c r="BC1332" t="s">
        <v>182</v>
      </c>
      <c r="BD1332" t="s">
        <v>182</v>
      </c>
      <c r="BE1332" t="s">
        <v>3907</v>
      </c>
      <c r="BF1332">
        <v>0</v>
      </c>
      <c r="BG1332">
        <v>0</v>
      </c>
      <c r="BH1332">
        <v>0</v>
      </c>
      <c r="BI1332" t="s">
        <v>199</v>
      </c>
      <c r="BJ1332" t="s">
        <v>315</v>
      </c>
      <c r="BL1332" t="s">
        <v>199</v>
      </c>
      <c r="BM1332" t="s">
        <v>358</v>
      </c>
      <c r="BN1332" t="s">
        <v>182</v>
      </c>
      <c r="BO1332" t="s">
        <v>198</v>
      </c>
      <c r="BP1332" t="s">
        <v>198</v>
      </c>
      <c r="BQ1332" t="s">
        <v>198</v>
      </c>
      <c r="BR1332" t="s">
        <v>198</v>
      </c>
      <c r="BS1332" t="s">
        <v>198</v>
      </c>
      <c r="BT1332" t="s">
        <v>198</v>
      </c>
      <c r="BU1332" t="s">
        <v>182</v>
      </c>
      <c r="BV1332" t="s">
        <v>198</v>
      </c>
      <c r="BW1332" t="s">
        <v>198</v>
      </c>
      <c r="BX1332" t="s">
        <v>199</v>
      </c>
      <c r="BY1332" t="s">
        <v>198</v>
      </c>
      <c r="BZ1332" t="s">
        <v>199</v>
      </c>
      <c r="CA1332" t="s">
        <v>199</v>
      </c>
      <c r="CB1332" t="s">
        <v>17273</v>
      </c>
      <c r="CC1332" t="s">
        <v>201</v>
      </c>
      <c r="CD1332" t="s">
        <v>202</v>
      </c>
      <c r="CE1332" t="s">
        <v>17274</v>
      </c>
      <c r="CF1332" t="s">
        <v>413</v>
      </c>
      <c r="CG1332" t="s">
        <v>177</v>
      </c>
      <c r="CH1332" t="s">
        <v>17275</v>
      </c>
      <c r="CI1332" t="s">
        <v>17276</v>
      </c>
      <c r="CJ1332" t="s">
        <v>5539</v>
      </c>
      <c r="CK1332" t="s">
        <v>232</v>
      </c>
      <c r="CL1332" t="s">
        <v>233</v>
      </c>
      <c r="CM1332" t="s">
        <v>9696</v>
      </c>
      <c r="CN1332" t="s">
        <v>482</v>
      </c>
      <c r="CO1332" t="s">
        <v>183</v>
      </c>
      <c r="CP1332" t="s">
        <v>266</v>
      </c>
      <c r="CS1332" t="s">
        <v>198</v>
      </c>
      <c r="CT1332" t="s">
        <v>13640</v>
      </c>
      <c r="CU1332" t="s">
        <v>292</v>
      </c>
      <c r="CV1332" t="s">
        <v>293</v>
      </c>
      <c r="CW1332" t="s">
        <v>17277</v>
      </c>
      <c r="CX1332" t="s">
        <v>482</v>
      </c>
      <c r="CY1332" t="s">
        <v>5</v>
      </c>
      <c r="CZ1332" t="s">
        <v>266</v>
      </c>
      <c r="DC1332" t="s">
        <v>198</v>
      </c>
      <c r="DD1332" t="s">
        <v>10889</v>
      </c>
      <c r="DE1332" t="s">
        <v>267</v>
      </c>
      <c r="DF1332" t="s">
        <v>268</v>
      </c>
      <c r="DG1332" t="s">
        <v>9698</v>
      </c>
      <c r="DH1332" t="s">
        <v>482</v>
      </c>
      <c r="DI1332" t="s">
        <v>5</v>
      </c>
      <c r="DJ1332" t="s">
        <v>266</v>
      </c>
      <c r="DM1332" t="s">
        <v>198</v>
      </c>
      <c r="DN1332" t="s">
        <v>13724</v>
      </c>
      <c r="DO1332" t="s">
        <v>273</v>
      </c>
      <c r="DP1332" t="s">
        <v>274</v>
      </c>
      <c r="DQ1332" t="s">
        <v>17278</v>
      </c>
      <c r="DR1332" t="s">
        <v>482</v>
      </c>
      <c r="DS1332" t="s">
        <v>5</v>
      </c>
      <c r="DT1332" t="s">
        <v>266</v>
      </c>
      <c r="DW1332" t="s">
        <v>198</v>
      </c>
      <c r="DX1332" t="s">
        <v>786</v>
      </c>
      <c r="DY1332" t="s">
        <v>302</v>
      </c>
      <c r="DZ1332" t="s">
        <v>303</v>
      </c>
      <c r="EA1332" t="s">
        <v>9701</v>
      </c>
      <c r="EB1332" t="s">
        <v>576</v>
      </c>
      <c r="EC1332" t="s">
        <v>183</v>
      </c>
      <c r="ED1332" t="s">
        <v>266</v>
      </c>
      <c r="EG1332" t="s">
        <v>198</v>
      </c>
      <c r="EH1332" t="s">
        <v>17279</v>
      </c>
      <c r="EI1332" t="s">
        <v>238</v>
      </c>
      <c r="EJ1332" t="s">
        <v>239</v>
      </c>
      <c r="EK1332" t="s">
        <v>17280</v>
      </c>
      <c r="EL1332" t="s">
        <v>482</v>
      </c>
      <c r="EM1332" t="s">
        <v>183</v>
      </c>
      <c r="EN1332" t="s">
        <v>266</v>
      </c>
      <c r="EQ1332" t="s">
        <v>198</v>
      </c>
      <c r="FA1332" t="s">
        <v>198</v>
      </c>
      <c r="FK1332" t="s">
        <v>198</v>
      </c>
      <c r="FU1332" t="s">
        <v>198</v>
      </c>
    </row>
    <row r="1333" spans="1:177">
      <c r="A1333" s="1" t="str">
        <f>HYPERLINK("http://digipan.lumentumllc.com/apps/getLink/index.php?t=PropLink&amp;p=4638626","PL")</f>
        <v>PL</v>
      </c>
      <c r="B1333" s="1" t="str">
        <f>HYPERLINK("http://digipan.lumentumllc.com/apps/getLink/index.php?t=TaxLink&amp;p=4638626","TL")</f>
        <v>TL</v>
      </c>
      <c r="C1333" s="1" t="str">
        <f>HYPERLINK("http://digipan.lumentumllc.com/apps/getMap/index.php?p=4638626","Map")</f>
        <v>Map</v>
      </c>
      <c r="E1333" t="s">
        <v>177</v>
      </c>
      <c r="F1333" t="s">
        <v>178</v>
      </c>
      <c r="L1333" t="s">
        <v>17281</v>
      </c>
      <c r="N1333" t="s">
        <v>17281</v>
      </c>
      <c r="O1333" t="s">
        <v>17281</v>
      </c>
      <c r="P1333" t="s">
        <v>17282</v>
      </c>
      <c r="Q1333" t="s">
        <v>17281</v>
      </c>
      <c r="V1333">
        <v>1525</v>
      </c>
      <c r="W1333">
        <v>5</v>
      </c>
      <c r="X1333">
        <v>2017</v>
      </c>
      <c r="Y1333">
        <v>2018</v>
      </c>
      <c r="Z1333">
        <v>592.45000000000005</v>
      </c>
      <c r="AB1333" t="s">
        <v>181</v>
      </c>
      <c r="AC1333" t="s">
        <v>182</v>
      </c>
      <c r="AD1333" t="s">
        <v>183</v>
      </c>
      <c r="AE1333">
        <v>1</v>
      </c>
      <c r="AF1333">
        <v>4</v>
      </c>
      <c r="AG1333" t="s">
        <v>257</v>
      </c>
      <c r="AH1333">
        <v>75</v>
      </c>
      <c r="AI1333">
        <v>522.29</v>
      </c>
      <c r="AJ1333">
        <v>26.11</v>
      </c>
      <c r="AK1333">
        <v>548.4</v>
      </c>
      <c r="AL1333">
        <v>36250</v>
      </c>
      <c r="AM1333">
        <v>28000</v>
      </c>
      <c r="AN1333">
        <v>8250</v>
      </c>
      <c r="AO1333">
        <v>458</v>
      </c>
      <c r="AP1333">
        <v>2016</v>
      </c>
      <c r="AQ1333">
        <v>1.63</v>
      </c>
      <c r="AR1333">
        <v>1.51</v>
      </c>
      <c r="AS1333" t="s">
        <v>17283</v>
      </c>
      <c r="AT1333" t="s">
        <v>3210</v>
      </c>
      <c r="AU1333" t="s">
        <v>177</v>
      </c>
      <c r="AV1333" t="s">
        <v>2334</v>
      </c>
      <c r="AW1333" t="s">
        <v>182</v>
      </c>
      <c r="AX1333">
        <v>0</v>
      </c>
      <c r="AY1333" t="s">
        <v>312</v>
      </c>
      <c r="AZ1333" t="s">
        <v>199</v>
      </c>
      <c r="BA1333" t="s">
        <v>313</v>
      </c>
      <c r="BB1333" t="s">
        <v>191</v>
      </c>
      <c r="BC1333" t="s">
        <v>182</v>
      </c>
      <c r="BD1333" t="s">
        <v>182</v>
      </c>
      <c r="BE1333" t="s">
        <v>383</v>
      </c>
      <c r="BF1333">
        <v>0</v>
      </c>
      <c r="BG1333">
        <v>0</v>
      </c>
      <c r="BH1333">
        <v>0</v>
      </c>
      <c r="BI1333" t="s">
        <v>199</v>
      </c>
      <c r="BJ1333" t="s">
        <v>248</v>
      </c>
      <c r="BL1333" t="s">
        <v>17284</v>
      </c>
      <c r="BM1333" t="s">
        <v>1387</v>
      </c>
      <c r="BN1333" t="s">
        <v>182</v>
      </c>
      <c r="BO1333" t="s">
        <v>198</v>
      </c>
      <c r="BP1333" t="s">
        <v>198</v>
      </c>
      <c r="BQ1333" t="s">
        <v>198</v>
      </c>
      <c r="BR1333" t="s">
        <v>198</v>
      </c>
      <c r="BS1333" t="s">
        <v>198</v>
      </c>
      <c r="BT1333" t="s">
        <v>198</v>
      </c>
      <c r="BU1333" t="s">
        <v>182</v>
      </c>
      <c r="BV1333" t="s">
        <v>198</v>
      </c>
      <c r="BW1333" t="s">
        <v>198</v>
      </c>
      <c r="BX1333" t="s">
        <v>199</v>
      </c>
      <c r="BY1333" t="s">
        <v>198</v>
      </c>
      <c r="BZ1333" t="s">
        <v>199</v>
      </c>
      <c r="CA1333" t="s">
        <v>199</v>
      </c>
      <c r="CB1333" t="s">
        <v>17285</v>
      </c>
      <c r="CC1333" t="s">
        <v>201</v>
      </c>
      <c r="CD1333" t="s">
        <v>182</v>
      </c>
      <c r="CE1333" t="s">
        <v>17286</v>
      </c>
      <c r="CF1333" t="s">
        <v>2333</v>
      </c>
      <c r="CG1333" t="s">
        <v>177</v>
      </c>
      <c r="CH1333" t="s">
        <v>3178</v>
      </c>
      <c r="CI1333" t="s">
        <v>17287</v>
      </c>
      <c r="CJ1333" t="s">
        <v>8946</v>
      </c>
      <c r="CK1333" t="s">
        <v>232</v>
      </c>
      <c r="CL1333" t="s">
        <v>233</v>
      </c>
      <c r="CM1333" t="s">
        <v>17288</v>
      </c>
      <c r="CN1333" t="s">
        <v>235</v>
      </c>
      <c r="CO1333" t="s">
        <v>183</v>
      </c>
      <c r="CP1333" t="s">
        <v>266</v>
      </c>
      <c r="CS1333" t="s">
        <v>198</v>
      </c>
      <c r="CT1333" t="s">
        <v>7268</v>
      </c>
      <c r="CU1333" t="s">
        <v>273</v>
      </c>
      <c r="CV1333" t="s">
        <v>274</v>
      </c>
      <c r="CW1333" t="s">
        <v>11413</v>
      </c>
      <c r="CX1333" t="s">
        <v>796</v>
      </c>
      <c r="CY1333" t="s">
        <v>183</v>
      </c>
      <c r="CZ1333" t="s">
        <v>211</v>
      </c>
      <c r="DA1333" t="s">
        <v>329</v>
      </c>
      <c r="DC1333" t="s">
        <v>464</v>
      </c>
      <c r="DD1333" t="s">
        <v>17289</v>
      </c>
      <c r="DE1333" t="s">
        <v>302</v>
      </c>
      <c r="DF1333" t="s">
        <v>303</v>
      </c>
      <c r="DG1333" t="s">
        <v>12411</v>
      </c>
      <c r="DH1333" t="s">
        <v>3342</v>
      </c>
      <c r="DI1333" t="s">
        <v>183</v>
      </c>
      <c r="DJ1333" t="s">
        <v>211</v>
      </c>
      <c r="DK1333" t="s">
        <v>298</v>
      </c>
      <c r="DM1333" t="s">
        <v>464</v>
      </c>
      <c r="DN1333" t="s">
        <v>9735</v>
      </c>
      <c r="DO1333" t="s">
        <v>238</v>
      </c>
      <c r="DP1333" t="s">
        <v>239</v>
      </c>
      <c r="DQ1333" t="s">
        <v>11464</v>
      </c>
      <c r="DR1333" t="s">
        <v>440</v>
      </c>
      <c r="DS1333" t="s">
        <v>183</v>
      </c>
      <c r="DT1333" t="s">
        <v>211</v>
      </c>
      <c r="DU1333" t="s">
        <v>345</v>
      </c>
      <c r="DW1333" t="s">
        <v>2435</v>
      </c>
      <c r="DX1333" t="s">
        <v>3606</v>
      </c>
      <c r="DY1333" t="s">
        <v>207</v>
      </c>
      <c r="DZ1333" t="s">
        <v>208</v>
      </c>
      <c r="EA1333" t="s">
        <v>16897</v>
      </c>
      <c r="EB1333" t="s">
        <v>1966</v>
      </c>
      <c r="EC1333" t="s">
        <v>183</v>
      </c>
      <c r="ED1333" t="s">
        <v>211</v>
      </c>
      <c r="EE1333" t="s">
        <v>342</v>
      </c>
      <c r="EG1333" t="s">
        <v>17290</v>
      </c>
      <c r="EQ1333" t="s">
        <v>198</v>
      </c>
      <c r="FA1333" t="s">
        <v>198</v>
      </c>
      <c r="FK1333" t="s">
        <v>198</v>
      </c>
      <c r="FU1333" t="s">
        <v>198</v>
      </c>
    </row>
    <row r="1334" spans="1:177">
      <c r="A1334" s="1" t="str">
        <f>HYPERLINK("http://digipan.lumentumllc.com/apps/getLink/index.php?t=PropLink&amp;p=5248025","PL")</f>
        <v>PL</v>
      </c>
      <c r="B1334" s="1" t="str">
        <f>HYPERLINK("http://digipan.lumentumllc.com/apps/getLink/index.php?t=TaxLink&amp;p=5248025","TL")</f>
        <v>TL</v>
      </c>
      <c r="C1334" s="1" t="str">
        <f>HYPERLINK("http://digipan.lumentumllc.com/apps/getMap/index.php?p=5248025","Map")</f>
        <v>Map</v>
      </c>
      <c r="E1334" t="s">
        <v>177</v>
      </c>
      <c r="F1334" t="s">
        <v>178</v>
      </c>
      <c r="L1334" t="s">
        <v>17291</v>
      </c>
      <c r="N1334" t="s">
        <v>17291</v>
      </c>
      <c r="O1334" t="s">
        <v>17291</v>
      </c>
      <c r="P1334" t="s">
        <v>17292</v>
      </c>
      <c r="Q1334" t="s">
        <v>17291</v>
      </c>
      <c r="V1334">
        <v>1526</v>
      </c>
      <c r="W1334">
        <v>5</v>
      </c>
      <c r="X1334">
        <v>2017</v>
      </c>
      <c r="Y1334">
        <v>2018</v>
      </c>
      <c r="Z1334">
        <v>480.07</v>
      </c>
      <c r="AB1334" t="s">
        <v>181</v>
      </c>
      <c r="AC1334" t="s">
        <v>182</v>
      </c>
      <c r="AD1334" t="s">
        <v>183</v>
      </c>
      <c r="AE1334">
        <v>1</v>
      </c>
      <c r="AF1334">
        <v>6</v>
      </c>
      <c r="AG1334" t="s">
        <v>418</v>
      </c>
      <c r="AH1334">
        <v>86</v>
      </c>
      <c r="AI1334">
        <v>477.26</v>
      </c>
      <c r="AJ1334">
        <v>23.86</v>
      </c>
      <c r="AK1334">
        <v>501.12</v>
      </c>
      <c r="AL1334">
        <v>76361</v>
      </c>
      <c r="AM1334">
        <v>28000</v>
      </c>
      <c r="AN1334">
        <v>48361</v>
      </c>
      <c r="AO1334">
        <v>416</v>
      </c>
      <c r="AP1334">
        <v>2016</v>
      </c>
      <c r="AQ1334">
        <v>0.63</v>
      </c>
      <c r="AR1334">
        <v>0.66</v>
      </c>
      <c r="AS1334" t="s">
        <v>17293</v>
      </c>
      <c r="AT1334" t="s">
        <v>3210</v>
      </c>
      <c r="AU1334" t="s">
        <v>177</v>
      </c>
      <c r="AV1334" t="s">
        <v>2334</v>
      </c>
      <c r="AW1334" t="s">
        <v>202</v>
      </c>
      <c r="AX1334">
        <v>2</v>
      </c>
      <c r="AY1334" t="s">
        <v>188</v>
      </c>
      <c r="AZ1334" t="s">
        <v>189</v>
      </c>
      <c r="BA1334" t="s">
        <v>190</v>
      </c>
      <c r="BB1334" t="s">
        <v>191</v>
      </c>
      <c r="BC1334" t="s">
        <v>182</v>
      </c>
      <c r="BD1334" t="s">
        <v>182</v>
      </c>
      <c r="BE1334" t="s">
        <v>383</v>
      </c>
      <c r="BF1334">
        <v>1</v>
      </c>
      <c r="BG1334">
        <v>1</v>
      </c>
      <c r="BH1334">
        <v>1996</v>
      </c>
      <c r="BI1334" t="s">
        <v>17294</v>
      </c>
      <c r="BJ1334" t="s">
        <v>194</v>
      </c>
      <c r="BK1334" t="s">
        <v>195</v>
      </c>
      <c r="BL1334" t="s">
        <v>199</v>
      </c>
      <c r="BM1334" t="s">
        <v>501</v>
      </c>
      <c r="BN1334" t="s">
        <v>182</v>
      </c>
      <c r="BO1334" t="s">
        <v>2328</v>
      </c>
      <c r="BP1334" t="s">
        <v>2911</v>
      </c>
      <c r="BS1334" t="s">
        <v>17295</v>
      </c>
      <c r="BT1334" t="s">
        <v>198</v>
      </c>
      <c r="BU1334" t="s">
        <v>182</v>
      </c>
      <c r="BV1334" t="s">
        <v>198</v>
      </c>
      <c r="BW1334" t="s">
        <v>198</v>
      </c>
      <c r="BX1334" t="s">
        <v>199</v>
      </c>
      <c r="BY1334" t="s">
        <v>198</v>
      </c>
      <c r="BZ1334" t="s">
        <v>199</v>
      </c>
      <c r="CA1334" t="s">
        <v>199</v>
      </c>
      <c r="CB1334" t="s">
        <v>17296</v>
      </c>
      <c r="CC1334" t="s">
        <v>201</v>
      </c>
      <c r="CD1334" t="s">
        <v>182</v>
      </c>
      <c r="CE1334" t="s">
        <v>17297</v>
      </c>
      <c r="CF1334" t="s">
        <v>2333</v>
      </c>
      <c r="CG1334" t="s">
        <v>177</v>
      </c>
      <c r="CH1334" t="s">
        <v>3178</v>
      </c>
      <c r="CI1334" t="s">
        <v>17298</v>
      </c>
      <c r="CJ1334" t="s">
        <v>2491</v>
      </c>
      <c r="CK1334" t="s">
        <v>232</v>
      </c>
      <c r="CL1334" t="s">
        <v>233</v>
      </c>
      <c r="CM1334" t="s">
        <v>17299</v>
      </c>
      <c r="CN1334" t="s">
        <v>235</v>
      </c>
      <c r="CO1334" t="s">
        <v>183</v>
      </c>
      <c r="CP1334" t="s">
        <v>266</v>
      </c>
      <c r="CS1334" t="s">
        <v>198</v>
      </c>
      <c r="CT1334" t="s">
        <v>3231</v>
      </c>
      <c r="CU1334" t="s">
        <v>292</v>
      </c>
      <c r="CV1334" t="s">
        <v>293</v>
      </c>
      <c r="CW1334" t="s">
        <v>17300</v>
      </c>
      <c r="CX1334" t="s">
        <v>235</v>
      </c>
      <c r="CY1334" t="s">
        <v>183</v>
      </c>
      <c r="CZ1334" t="s">
        <v>211</v>
      </c>
      <c r="DA1334" t="s">
        <v>298</v>
      </c>
      <c r="DC1334" t="s">
        <v>1066</v>
      </c>
      <c r="DD1334" t="s">
        <v>2394</v>
      </c>
      <c r="DE1334" t="s">
        <v>267</v>
      </c>
      <c r="DF1334" t="s">
        <v>268</v>
      </c>
      <c r="DG1334" t="s">
        <v>17301</v>
      </c>
      <c r="DH1334" t="s">
        <v>235</v>
      </c>
      <c r="DI1334" t="s">
        <v>183</v>
      </c>
      <c r="DJ1334" t="s">
        <v>211</v>
      </c>
      <c r="DK1334" t="s">
        <v>298</v>
      </c>
      <c r="DM1334" t="s">
        <v>2179</v>
      </c>
      <c r="DN1334" t="s">
        <v>14177</v>
      </c>
      <c r="DO1334" t="s">
        <v>273</v>
      </c>
      <c r="DP1334" t="s">
        <v>274</v>
      </c>
      <c r="DQ1334" t="s">
        <v>17302</v>
      </c>
      <c r="DR1334" t="s">
        <v>235</v>
      </c>
      <c r="DS1334" t="s">
        <v>183</v>
      </c>
      <c r="DT1334" t="s">
        <v>211</v>
      </c>
      <c r="DU1334" t="s">
        <v>345</v>
      </c>
      <c r="DW1334" t="s">
        <v>392</v>
      </c>
      <c r="DX1334" t="s">
        <v>8594</v>
      </c>
      <c r="DY1334" t="s">
        <v>302</v>
      </c>
      <c r="DZ1334" t="s">
        <v>303</v>
      </c>
      <c r="EA1334" t="s">
        <v>17303</v>
      </c>
      <c r="EB1334" t="s">
        <v>235</v>
      </c>
      <c r="EC1334" t="s">
        <v>183</v>
      </c>
      <c r="ED1334" t="s">
        <v>211</v>
      </c>
      <c r="EE1334" t="s">
        <v>298</v>
      </c>
      <c r="EG1334" t="s">
        <v>464</v>
      </c>
      <c r="EH1334" t="s">
        <v>17304</v>
      </c>
      <c r="EI1334" t="s">
        <v>238</v>
      </c>
      <c r="EJ1334" t="s">
        <v>239</v>
      </c>
      <c r="EK1334" t="s">
        <v>17305</v>
      </c>
      <c r="EL1334" t="s">
        <v>440</v>
      </c>
      <c r="EM1334" t="s">
        <v>183</v>
      </c>
      <c r="EN1334" t="s">
        <v>211</v>
      </c>
      <c r="EO1334" t="s">
        <v>298</v>
      </c>
      <c r="EQ1334" t="s">
        <v>1794</v>
      </c>
      <c r="ER1334" t="s">
        <v>2920</v>
      </c>
      <c r="ES1334" t="s">
        <v>346</v>
      </c>
      <c r="ET1334" t="s">
        <v>347</v>
      </c>
      <c r="EU1334" t="s">
        <v>17306</v>
      </c>
      <c r="EV1334" t="s">
        <v>1491</v>
      </c>
      <c r="EW1334" t="s">
        <v>183</v>
      </c>
      <c r="EX1334" t="s">
        <v>211</v>
      </c>
      <c r="EY1334" t="s">
        <v>298</v>
      </c>
      <c r="FA1334" t="s">
        <v>2473</v>
      </c>
      <c r="FK1334" t="s">
        <v>198</v>
      </c>
      <c r="FU1334" t="s">
        <v>198</v>
      </c>
    </row>
    <row r="1335" spans="1:177">
      <c r="A1335" s="1" t="str">
        <f>HYPERLINK("http://digipan.lumentumllc.com/apps/getLink/index.php?t=PropLink&amp;p=5248065","PL")</f>
        <v>PL</v>
      </c>
      <c r="B1335" s="1" t="str">
        <f>HYPERLINK("http://digipan.lumentumllc.com/apps/getLink/index.php?t=TaxLink&amp;p=5248065","TL")</f>
        <v>TL</v>
      </c>
      <c r="C1335" s="1" t="str">
        <f>HYPERLINK("http://digipan.lumentumllc.com/apps/getMap/index.php?p=5248065","Map")</f>
        <v>Map</v>
      </c>
      <c r="E1335" t="s">
        <v>177</v>
      </c>
      <c r="F1335" t="s">
        <v>178</v>
      </c>
      <c r="L1335" t="s">
        <v>17307</v>
      </c>
      <c r="N1335" t="s">
        <v>17307</v>
      </c>
      <c r="O1335" t="s">
        <v>17307</v>
      </c>
      <c r="P1335" t="s">
        <v>17308</v>
      </c>
      <c r="Q1335" t="s">
        <v>17307</v>
      </c>
      <c r="V1335">
        <v>1527</v>
      </c>
      <c r="W1335">
        <v>5</v>
      </c>
      <c r="X1335">
        <v>2017</v>
      </c>
      <c r="Y1335">
        <v>2018</v>
      </c>
      <c r="Z1335">
        <v>1409.05</v>
      </c>
      <c r="AB1335" t="s">
        <v>181</v>
      </c>
      <c r="AC1335" t="s">
        <v>182</v>
      </c>
      <c r="AD1335" t="s">
        <v>183</v>
      </c>
      <c r="AE1335">
        <v>1</v>
      </c>
      <c r="AF1335">
        <v>5</v>
      </c>
      <c r="AG1335" t="s">
        <v>322</v>
      </c>
      <c r="AH1335">
        <v>83</v>
      </c>
      <c r="AI1335">
        <v>1268.68</v>
      </c>
      <c r="AJ1335">
        <v>63.43</v>
      </c>
      <c r="AK1335">
        <v>1332.11</v>
      </c>
      <c r="AL1335">
        <v>86484</v>
      </c>
      <c r="AM1335">
        <v>65000</v>
      </c>
      <c r="AN1335">
        <v>21484</v>
      </c>
      <c r="AO1335">
        <v>1148</v>
      </c>
      <c r="AP1335">
        <v>2016</v>
      </c>
      <c r="AQ1335">
        <v>1.63</v>
      </c>
      <c r="AR1335">
        <v>1.54</v>
      </c>
      <c r="AS1335" t="s">
        <v>17309</v>
      </c>
      <c r="AT1335" t="s">
        <v>3210</v>
      </c>
      <c r="AU1335" t="s">
        <v>177</v>
      </c>
      <c r="AV1335" t="s">
        <v>2334</v>
      </c>
      <c r="AW1335" t="s">
        <v>182</v>
      </c>
      <c r="AX1335">
        <v>2</v>
      </c>
      <c r="AY1335" t="s">
        <v>188</v>
      </c>
      <c r="AZ1335" t="s">
        <v>189</v>
      </c>
      <c r="BA1335" t="s">
        <v>190</v>
      </c>
      <c r="BB1335" t="s">
        <v>191</v>
      </c>
      <c r="BC1335" t="s">
        <v>182</v>
      </c>
      <c r="BD1335" t="s">
        <v>182</v>
      </c>
      <c r="BE1335" t="s">
        <v>17310</v>
      </c>
      <c r="BF1335">
        <v>1</v>
      </c>
      <c r="BG1335">
        <v>1</v>
      </c>
      <c r="BH1335">
        <v>1973</v>
      </c>
      <c r="BI1335" t="s">
        <v>8109</v>
      </c>
      <c r="BJ1335" t="s">
        <v>194</v>
      </c>
      <c r="BK1335" t="s">
        <v>195</v>
      </c>
      <c r="BL1335" t="s">
        <v>199</v>
      </c>
      <c r="BM1335" t="s">
        <v>559</v>
      </c>
      <c r="BN1335" t="s">
        <v>182</v>
      </c>
      <c r="BO1335" t="s">
        <v>198</v>
      </c>
      <c r="BP1335" t="s">
        <v>198</v>
      </c>
      <c r="BQ1335" t="s">
        <v>198</v>
      </c>
      <c r="BR1335" t="s">
        <v>198</v>
      </c>
      <c r="BS1335" t="s">
        <v>198</v>
      </c>
      <c r="BT1335" t="s">
        <v>198</v>
      </c>
      <c r="BU1335" t="s">
        <v>182</v>
      </c>
      <c r="BV1335" t="s">
        <v>198</v>
      </c>
      <c r="BW1335" t="s">
        <v>198</v>
      </c>
      <c r="BX1335" t="s">
        <v>199</v>
      </c>
      <c r="BY1335" t="s">
        <v>198</v>
      </c>
      <c r="BZ1335" t="s">
        <v>199</v>
      </c>
      <c r="CA1335" t="s">
        <v>199</v>
      </c>
      <c r="CB1335" t="s">
        <v>17311</v>
      </c>
      <c r="CC1335" t="s">
        <v>1407</v>
      </c>
      <c r="CD1335" t="s">
        <v>202</v>
      </c>
      <c r="CE1335" t="s">
        <v>17312</v>
      </c>
      <c r="CF1335" t="s">
        <v>12399</v>
      </c>
      <c r="CG1335" t="s">
        <v>177</v>
      </c>
      <c r="CH1335" t="s">
        <v>17313</v>
      </c>
      <c r="CI1335" t="s">
        <v>17298</v>
      </c>
      <c r="CJ1335" t="s">
        <v>7443</v>
      </c>
      <c r="CK1335" t="s">
        <v>232</v>
      </c>
      <c r="CL1335" t="s">
        <v>233</v>
      </c>
      <c r="CM1335" t="s">
        <v>17314</v>
      </c>
      <c r="CN1335" t="s">
        <v>235</v>
      </c>
      <c r="CO1335" t="s">
        <v>183</v>
      </c>
      <c r="CP1335" t="s">
        <v>266</v>
      </c>
      <c r="CS1335" t="s">
        <v>198</v>
      </c>
      <c r="CT1335" t="s">
        <v>10800</v>
      </c>
      <c r="CU1335" t="s">
        <v>292</v>
      </c>
      <c r="CV1335" t="s">
        <v>293</v>
      </c>
      <c r="CW1335" t="s">
        <v>17315</v>
      </c>
      <c r="CX1335" t="s">
        <v>235</v>
      </c>
      <c r="CY1335" t="s">
        <v>183</v>
      </c>
      <c r="CZ1335" t="s">
        <v>211</v>
      </c>
      <c r="DA1335" t="s">
        <v>345</v>
      </c>
      <c r="DC1335" t="s">
        <v>1088</v>
      </c>
      <c r="DD1335" t="s">
        <v>10922</v>
      </c>
      <c r="DE1335" t="s">
        <v>267</v>
      </c>
      <c r="DF1335" t="s">
        <v>268</v>
      </c>
      <c r="DG1335" t="s">
        <v>17316</v>
      </c>
      <c r="DH1335" t="s">
        <v>235</v>
      </c>
      <c r="DI1335" t="s">
        <v>183</v>
      </c>
      <c r="DJ1335" t="s">
        <v>211</v>
      </c>
      <c r="DK1335" t="s">
        <v>345</v>
      </c>
      <c r="DM1335" t="s">
        <v>1068</v>
      </c>
      <c r="DN1335" t="s">
        <v>14195</v>
      </c>
      <c r="DO1335" t="s">
        <v>273</v>
      </c>
      <c r="DP1335" t="s">
        <v>274</v>
      </c>
      <c r="DQ1335" t="s">
        <v>17317</v>
      </c>
      <c r="DR1335" t="s">
        <v>235</v>
      </c>
      <c r="DS1335" t="s">
        <v>183</v>
      </c>
      <c r="DT1335" t="s">
        <v>211</v>
      </c>
      <c r="DU1335" t="s">
        <v>345</v>
      </c>
      <c r="DW1335" t="s">
        <v>3539</v>
      </c>
      <c r="DX1335" t="s">
        <v>17318</v>
      </c>
      <c r="DY1335" t="s">
        <v>302</v>
      </c>
      <c r="DZ1335" t="s">
        <v>303</v>
      </c>
      <c r="EA1335" t="s">
        <v>17319</v>
      </c>
      <c r="EB1335" t="s">
        <v>3342</v>
      </c>
      <c r="EC1335" t="s">
        <v>183</v>
      </c>
      <c r="ED1335" t="s">
        <v>211</v>
      </c>
      <c r="EE1335" t="s">
        <v>250</v>
      </c>
      <c r="EG1335" t="s">
        <v>16355</v>
      </c>
      <c r="EH1335" t="s">
        <v>17320</v>
      </c>
      <c r="EI1335" t="s">
        <v>238</v>
      </c>
      <c r="EJ1335" t="s">
        <v>239</v>
      </c>
      <c r="EK1335" t="s">
        <v>17321</v>
      </c>
      <c r="EL1335" t="s">
        <v>482</v>
      </c>
      <c r="EM1335" t="s">
        <v>183</v>
      </c>
      <c r="EN1335" t="s">
        <v>211</v>
      </c>
      <c r="EO1335" t="s">
        <v>487</v>
      </c>
      <c r="EQ1335" t="s">
        <v>16355</v>
      </c>
      <c r="FA1335" t="s">
        <v>198</v>
      </c>
      <c r="FK1335" t="s">
        <v>198</v>
      </c>
      <c r="FU1335" t="s">
        <v>198</v>
      </c>
    </row>
    <row r="1336" spans="1:177">
      <c r="A1336" s="1" t="str">
        <f>HYPERLINK("http://digipan.lumentumllc.com/apps/getLink/index.php?t=PropLink&amp;p=4638642","PL")</f>
        <v>PL</v>
      </c>
      <c r="B1336" s="1" t="str">
        <f>HYPERLINK("http://digipan.lumentumllc.com/apps/getLink/index.php?t=TaxLink&amp;p=4638642","TL")</f>
        <v>TL</v>
      </c>
      <c r="C1336" s="1" t="str">
        <f>HYPERLINK("http://digipan.lumentumllc.com/apps/getMap/index.php?p=4638642","Map")</f>
        <v>Map</v>
      </c>
      <c r="E1336" t="s">
        <v>177</v>
      </c>
      <c r="F1336" t="s">
        <v>178</v>
      </c>
      <c r="L1336" t="s">
        <v>17322</v>
      </c>
      <c r="N1336" t="s">
        <v>17322</v>
      </c>
      <c r="O1336" t="s">
        <v>17322</v>
      </c>
      <c r="P1336" t="s">
        <v>17323</v>
      </c>
      <c r="Q1336" t="s">
        <v>17322</v>
      </c>
      <c r="V1336">
        <v>1529</v>
      </c>
      <c r="W1336">
        <v>5</v>
      </c>
      <c r="X1336">
        <v>2017</v>
      </c>
      <c r="Y1336">
        <v>2018</v>
      </c>
      <c r="Z1336">
        <v>759</v>
      </c>
      <c r="AB1336" t="s">
        <v>181</v>
      </c>
      <c r="AC1336" t="s">
        <v>182</v>
      </c>
      <c r="AD1336" t="s">
        <v>183</v>
      </c>
      <c r="AE1336">
        <v>0</v>
      </c>
      <c r="AF1336">
        <v>5</v>
      </c>
      <c r="AG1336" t="s">
        <v>744</v>
      </c>
      <c r="AH1336">
        <v>100</v>
      </c>
      <c r="AK1336">
        <v>0</v>
      </c>
      <c r="AL1336">
        <v>103178</v>
      </c>
      <c r="AM1336">
        <v>28000</v>
      </c>
      <c r="AN1336">
        <v>75178</v>
      </c>
      <c r="AO1336">
        <v>658</v>
      </c>
      <c r="AP1336">
        <v>2016</v>
      </c>
      <c r="AQ1336">
        <v>0.74</v>
      </c>
      <c r="AS1336" t="s">
        <v>17324</v>
      </c>
      <c r="AT1336" t="s">
        <v>3210</v>
      </c>
      <c r="AU1336" t="s">
        <v>177</v>
      </c>
      <c r="AV1336" t="s">
        <v>2334</v>
      </c>
      <c r="AW1336" t="s">
        <v>202</v>
      </c>
      <c r="AX1336">
        <v>2</v>
      </c>
      <c r="AY1336" t="s">
        <v>188</v>
      </c>
      <c r="AZ1336" t="s">
        <v>189</v>
      </c>
      <c r="BA1336" t="s">
        <v>190</v>
      </c>
      <c r="BB1336" t="s">
        <v>191</v>
      </c>
      <c r="BC1336" t="s">
        <v>182</v>
      </c>
      <c r="BD1336" t="s">
        <v>182</v>
      </c>
      <c r="BE1336" t="s">
        <v>1884</v>
      </c>
      <c r="BF1336">
        <v>1</v>
      </c>
      <c r="BG1336">
        <v>1</v>
      </c>
      <c r="BH1336">
        <v>2002</v>
      </c>
      <c r="BI1336" t="s">
        <v>366</v>
      </c>
      <c r="BJ1336" t="s">
        <v>194</v>
      </c>
      <c r="BK1336" t="s">
        <v>195</v>
      </c>
      <c r="BL1336" t="s">
        <v>17325</v>
      </c>
      <c r="BM1336" t="s">
        <v>1041</v>
      </c>
      <c r="BN1336" t="s">
        <v>182</v>
      </c>
      <c r="BO1336" t="s">
        <v>17326</v>
      </c>
      <c r="BP1336" t="s">
        <v>383</v>
      </c>
      <c r="BR1336" t="s">
        <v>2318</v>
      </c>
      <c r="BS1336" t="s">
        <v>2553</v>
      </c>
      <c r="BT1336" t="s">
        <v>198</v>
      </c>
      <c r="BU1336" t="s">
        <v>182</v>
      </c>
      <c r="BV1336" t="s">
        <v>198</v>
      </c>
      <c r="BW1336" t="s">
        <v>198</v>
      </c>
      <c r="BX1336" t="s">
        <v>199</v>
      </c>
      <c r="BY1336" t="s">
        <v>198</v>
      </c>
      <c r="BZ1336" t="s">
        <v>199</v>
      </c>
      <c r="CA1336" t="s">
        <v>199</v>
      </c>
      <c r="CB1336" t="s">
        <v>17327</v>
      </c>
      <c r="CC1336" t="s">
        <v>201</v>
      </c>
      <c r="CD1336" t="s">
        <v>182</v>
      </c>
      <c r="CE1336" t="s">
        <v>17328</v>
      </c>
      <c r="CF1336" t="s">
        <v>2333</v>
      </c>
      <c r="CG1336" t="s">
        <v>177</v>
      </c>
      <c r="CH1336" t="s">
        <v>2334</v>
      </c>
      <c r="CI1336" t="s">
        <v>7319</v>
      </c>
      <c r="CJ1336" t="s">
        <v>10834</v>
      </c>
      <c r="CK1336" t="s">
        <v>292</v>
      </c>
      <c r="CL1336" t="s">
        <v>293</v>
      </c>
      <c r="CM1336" t="s">
        <v>17329</v>
      </c>
      <c r="CN1336" t="s">
        <v>235</v>
      </c>
      <c r="CO1336" t="s">
        <v>183</v>
      </c>
      <c r="CP1336" t="s">
        <v>211</v>
      </c>
      <c r="CQ1336" t="s">
        <v>206</v>
      </c>
      <c r="CS1336" t="s">
        <v>17330</v>
      </c>
      <c r="CT1336" t="s">
        <v>15328</v>
      </c>
      <c r="CU1336" t="s">
        <v>273</v>
      </c>
      <c r="CV1336" t="s">
        <v>274</v>
      </c>
      <c r="CW1336" t="s">
        <v>17331</v>
      </c>
      <c r="CX1336" t="s">
        <v>235</v>
      </c>
      <c r="CY1336" t="s">
        <v>183</v>
      </c>
      <c r="CZ1336" t="s">
        <v>211</v>
      </c>
      <c r="DA1336" t="s">
        <v>342</v>
      </c>
      <c r="DC1336" t="s">
        <v>4405</v>
      </c>
      <c r="DD1336" t="s">
        <v>17332</v>
      </c>
      <c r="DE1336" t="s">
        <v>302</v>
      </c>
      <c r="DF1336" t="s">
        <v>303</v>
      </c>
      <c r="DG1336" t="s">
        <v>17333</v>
      </c>
      <c r="DH1336" t="s">
        <v>235</v>
      </c>
      <c r="DI1336" t="s">
        <v>183</v>
      </c>
      <c r="DJ1336" t="s">
        <v>211</v>
      </c>
      <c r="DK1336" t="s">
        <v>339</v>
      </c>
      <c r="DM1336" t="s">
        <v>17334</v>
      </c>
      <c r="DN1336" t="s">
        <v>17335</v>
      </c>
      <c r="DO1336" t="s">
        <v>238</v>
      </c>
      <c r="DP1336" t="s">
        <v>239</v>
      </c>
      <c r="DQ1336" t="s">
        <v>17336</v>
      </c>
      <c r="DR1336" t="s">
        <v>440</v>
      </c>
      <c r="DS1336" t="s">
        <v>183</v>
      </c>
      <c r="DT1336" t="s">
        <v>211</v>
      </c>
      <c r="DU1336" t="s">
        <v>493</v>
      </c>
      <c r="DW1336" t="s">
        <v>17334</v>
      </c>
      <c r="DX1336" t="s">
        <v>13943</v>
      </c>
      <c r="DY1336" t="s">
        <v>207</v>
      </c>
      <c r="DZ1336" t="s">
        <v>208</v>
      </c>
      <c r="EA1336" t="s">
        <v>17337</v>
      </c>
      <c r="EB1336" t="s">
        <v>1966</v>
      </c>
      <c r="EC1336" t="s">
        <v>183</v>
      </c>
      <c r="ED1336" t="s">
        <v>211</v>
      </c>
      <c r="EE1336" t="s">
        <v>329</v>
      </c>
      <c r="EG1336" t="s">
        <v>17338</v>
      </c>
      <c r="EQ1336" t="s">
        <v>198</v>
      </c>
      <c r="FA1336" t="s">
        <v>198</v>
      </c>
      <c r="FK1336" t="s">
        <v>198</v>
      </c>
      <c r="FU1336" t="s">
        <v>198</v>
      </c>
    </row>
    <row r="1337" spans="1:177">
      <c r="A1337" s="1" t="str">
        <f>HYPERLINK("http://digipan.lumentumllc.com/apps/getLink/index.php?t=PropLink&amp;p=5248074","PL")</f>
        <v>PL</v>
      </c>
      <c r="B1337" s="1" t="str">
        <f>HYPERLINK("http://digipan.lumentumllc.com/apps/getLink/index.php?t=TaxLink&amp;p=5248074","TL")</f>
        <v>TL</v>
      </c>
      <c r="C1337" s="1" t="str">
        <f>HYPERLINK("http://digipan.lumentumllc.com/apps/getMap/index.php?p=5248074","Map")</f>
        <v>Map</v>
      </c>
      <c r="E1337" t="s">
        <v>177</v>
      </c>
      <c r="F1337" t="s">
        <v>178</v>
      </c>
      <c r="L1337" t="s">
        <v>17339</v>
      </c>
      <c r="N1337" t="s">
        <v>17339</v>
      </c>
      <c r="O1337" t="s">
        <v>17339</v>
      </c>
      <c r="P1337" t="s">
        <v>17340</v>
      </c>
      <c r="Q1337" t="s">
        <v>17339</v>
      </c>
      <c r="V1337">
        <v>1530</v>
      </c>
      <c r="W1337">
        <v>5</v>
      </c>
      <c r="X1337">
        <v>2017</v>
      </c>
      <c r="Y1337">
        <v>2018</v>
      </c>
      <c r="Z1337">
        <v>534.22</v>
      </c>
      <c r="AB1337" t="s">
        <v>181</v>
      </c>
      <c r="AC1337" t="s">
        <v>182</v>
      </c>
      <c r="AD1337" t="s">
        <v>183</v>
      </c>
      <c r="AE1337">
        <v>1</v>
      </c>
      <c r="AF1337">
        <v>7</v>
      </c>
      <c r="AG1337" t="s">
        <v>418</v>
      </c>
      <c r="AH1337">
        <v>86</v>
      </c>
      <c r="AI1337">
        <v>528.19000000000005</v>
      </c>
      <c r="AJ1337">
        <v>26.41</v>
      </c>
      <c r="AK1337">
        <v>554.6</v>
      </c>
      <c r="AL1337">
        <v>85673</v>
      </c>
      <c r="AM1337">
        <v>28000</v>
      </c>
      <c r="AN1337">
        <v>57673</v>
      </c>
      <c r="AO1337">
        <v>463</v>
      </c>
      <c r="AP1337">
        <v>2016</v>
      </c>
      <c r="AQ1337">
        <v>0.62</v>
      </c>
      <c r="AR1337">
        <v>0.65</v>
      </c>
      <c r="AS1337" t="s">
        <v>17341</v>
      </c>
      <c r="AT1337" t="s">
        <v>3210</v>
      </c>
      <c r="AU1337" t="s">
        <v>177</v>
      </c>
      <c r="AV1337" t="s">
        <v>2334</v>
      </c>
      <c r="AW1337" t="s">
        <v>202</v>
      </c>
      <c r="AX1337">
        <v>2</v>
      </c>
      <c r="AY1337" t="s">
        <v>188</v>
      </c>
      <c r="AZ1337" t="s">
        <v>189</v>
      </c>
      <c r="BA1337" t="s">
        <v>190</v>
      </c>
      <c r="BB1337" t="s">
        <v>191</v>
      </c>
      <c r="BC1337" t="s">
        <v>182</v>
      </c>
      <c r="BD1337" t="s">
        <v>182</v>
      </c>
      <c r="BE1337" t="s">
        <v>4604</v>
      </c>
      <c r="BF1337">
        <v>1</v>
      </c>
      <c r="BG1337">
        <v>1</v>
      </c>
      <c r="BH1337">
        <v>2001</v>
      </c>
      <c r="BI1337" t="s">
        <v>14305</v>
      </c>
      <c r="BJ1337" t="s">
        <v>194</v>
      </c>
      <c r="BK1337" t="s">
        <v>195</v>
      </c>
      <c r="BL1337" t="s">
        <v>17342</v>
      </c>
      <c r="BM1337" t="s">
        <v>368</v>
      </c>
      <c r="BN1337" t="s">
        <v>182</v>
      </c>
      <c r="BO1337" t="s">
        <v>4995</v>
      </c>
      <c r="BP1337" t="s">
        <v>17343</v>
      </c>
      <c r="BQ1337" t="s">
        <v>2227</v>
      </c>
      <c r="BR1337" t="s">
        <v>1857</v>
      </c>
      <c r="BS1337" t="s">
        <v>198</v>
      </c>
      <c r="BT1337" t="s">
        <v>228</v>
      </c>
      <c r="BU1337" t="s">
        <v>182</v>
      </c>
      <c r="BV1337" t="s">
        <v>198</v>
      </c>
      <c r="BW1337" t="s">
        <v>198</v>
      </c>
      <c r="BX1337" t="s">
        <v>199</v>
      </c>
      <c r="BY1337" t="s">
        <v>198</v>
      </c>
      <c r="BZ1337" t="s">
        <v>199</v>
      </c>
      <c r="CA1337" t="s">
        <v>199</v>
      </c>
      <c r="CB1337" t="s">
        <v>17344</v>
      </c>
      <c r="CC1337" t="s">
        <v>201</v>
      </c>
      <c r="CD1337" t="s">
        <v>202</v>
      </c>
      <c r="CE1337" t="s">
        <v>17345</v>
      </c>
      <c r="CF1337" t="s">
        <v>2333</v>
      </c>
      <c r="CG1337" t="s">
        <v>177</v>
      </c>
      <c r="CH1337" t="s">
        <v>2334</v>
      </c>
      <c r="CI1337" t="s">
        <v>17346</v>
      </c>
      <c r="CJ1337" t="s">
        <v>13056</v>
      </c>
      <c r="CK1337" t="s">
        <v>232</v>
      </c>
      <c r="CL1337" t="s">
        <v>233</v>
      </c>
      <c r="CM1337" t="s">
        <v>17347</v>
      </c>
      <c r="CN1337" t="s">
        <v>235</v>
      </c>
      <c r="CO1337" t="s">
        <v>183</v>
      </c>
      <c r="CP1337" t="s">
        <v>266</v>
      </c>
      <c r="CS1337" t="s">
        <v>198</v>
      </c>
      <c r="CT1337" t="s">
        <v>13762</v>
      </c>
      <c r="CU1337" t="s">
        <v>292</v>
      </c>
      <c r="CV1337" t="s">
        <v>293</v>
      </c>
      <c r="CW1337" t="s">
        <v>17348</v>
      </c>
      <c r="CX1337" t="s">
        <v>235</v>
      </c>
      <c r="CY1337" t="s">
        <v>183</v>
      </c>
      <c r="CZ1337" t="s">
        <v>211</v>
      </c>
      <c r="DA1337" t="s">
        <v>298</v>
      </c>
      <c r="DC1337" t="s">
        <v>1235</v>
      </c>
      <c r="DD1337" t="s">
        <v>15396</v>
      </c>
      <c r="DE1337" t="s">
        <v>267</v>
      </c>
      <c r="DF1337" t="s">
        <v>268</v>
      </c>
      <c r="DG1337" t="s">
        <v>17349</v>
      </c>
      <c r="DH1337" t="s">
        <v>235</v>
      </c>
      <c r="DI1337" t="s">
        <v>183</v>
      </c>
      <c r="DJ1337" t="s">
        <v>211</v>
      </c>
      <c r="DK1337" t="s">
        <v>298</v>
      </c>
      <c r="DM1337" t="s">
        <v>5919</v>
      </c>
      <c r="DN1337" t="s">
        <v>14572</v>
      </c>
      <c r="DO1337" t="s">
        <v>273</v>
      </c>
      <c r="DP1337" t="s">
        <v>274</v>
      </c>
      <c r="DQ1337" t="s">
        <v>17350</v>
      </c>
      <c r="DR1337" t="s">
        <v>235</v>
      </c>
      <c r="DS1337" t="s">
        <v>183</v>
      </c>
      <c r="DT1337" t="s">
        <v>211</v>
      </c>
      <c r="DU1337" t="s">
        <v>298</v>
      </c>
      <c r="DW1337" t="s">
        <v>1811</v>
      </c>
      <c r="DX1337" t="s">
        <v>4147</v>
      </c>
      <c r="DY1337" t="s">
        <v>302</v>
      </c>
      <c r="DZ1337" t="s">
        <v>303</v>
      </c>
      <c r="EA1337" t="s">
        <v>17351</v>
      </c>
      <c r="EB1337" t="s">
        <v>235</v>
      </c>
      <c r="EC1337" t="s">
        <v>183</v>
      </c>
      <c r="ED1337" t="s">
        <v>211</v>
      </c>
      <c r="EE1337" t="s">
        <v>298</v>
      </c>
      <c r="EG1337" t="s">
        <v>1346</v>
      </c>
      <c r="EH1337" t="s">
        <v>17352</v>
      </c>
      <c r="EI1337" t="s">
        <v>238</v>
      </c>
      <c r="EJ1337" t="s">
        <v>239</v>
      </c>
      <c r="EK1337" t="s">
        <v>17353</v>
      </c>
      <c r="EL1337" t="s">
        <v>440</v>
      </c>
      <c r="EM1337" t="s">
        <v>183</v>
      </c>
      <c r="EN1337" t="s">
        <v>211</v>
      </c>
      <c r="EO1337" t="s">
        <v>298</v>
      </c>
      <c r="EQ1337" t="s">
        <v>441</v>
      </c>
      <c r="ER1337" t="s">
        <v>3373</v>
      </c>
      <c r="ES1337" t="s">
        <v>346</v>
      </c>
      <c r="ET1337" t="s">
        <v>347</v>
      </c>
      <c r="EU1337" t="s">
        <v>17354</v>
      </c>
      <c r="EV1337" t="s">
        <v>1491</v>
      </c>
      <c r="EW1337" t="s">
        <v>183</v>
      </c>
      <c r="EX1337" t="s">
        <v>211</v>
      </c>
      <c r="EY1337" t="s">
        <v>298</v>
      </c>
      <c r="FA1337" t="s">
        <v>470</v>
      </c>
      <c r="FB1337" t="s">
        <v>15895</v>
      </c>
      <c r="FC1337" t="s">
        <v>207</v>
      </c>
      <c r="FD1337" t="s">
        <v>208</v>
      </c>
      <c r="FE1337" t="s">
        <v>17355</v>
      </c>
      <c r="FF1337" t="s">
        <v>1966</v>
      </c>
      <c r="FG1337" t="s">
        <v>183</v>
      </c>
      <c r="FH1337" t="s">
        <v>211</v>
      </c>
      <c r="FI1337" t="s">
        <v>298</v>
      </c>
      <c r="FK1337" t="s">
        <v>446</v>
      </c>
      <c r="FU1337" t="s">
        <v>198</v>
      </c>
    </row>
    <row r="1338" spans="1:177">
      <c r="A1338" s="1" t="str">
        <f>HYPERLINK("http://digipan.lumentumllc.com/apps/getLink/index.php?t=PropLink&amp;p=4638643","PL")</f>
        <v>PL</v>
      </c>
      <c r="B1338" s="1" t="str">
        <f>HYPERLINK("http://digipan.lumentumllc.com/apps/getLink/index.php?t=TaxLink&amp;p=4638643","TL")</f>
        <v>TL</v>
      </c>
      <c r="C1338" s="1" t="str">
        <f>HYPERLINK("http://digipan.lumentumllc.com/apps/getMap/index.php?p=4638643","Map")</f>
        <v>Map</v>
      </c>
      <c r="E1338" t="s">
        <v>177</v>
      </c>
      <c r="F1338" t="s">
        <v>178</v>
      </c>
      <c r="L1338" t="s">
        <v>17356</v>
      </c>
      <c r="N1338" t="s">
        <v>17356</v>
      </c>
      <c r="O1338" t="s">
        <v>17356</v>
      </c>
      <c r="P1338" t="s">
        <v>17357</v>
      </c>
      <c r="Q1338" t="s">
        <v>17356</v>
      </c>
      <c r="V1338">
        <v>1531</v>
      </c>
      <c r="W1338">
        <v>5</v>
      </c>
      <c r="X1338">
        <v>2017</v>
      </c>
      <c r="Y1338">
        <v>2018</v>
      </c>
      <c r="Z1338">
        <v>1136.58</v>
      </c>
      <c r="AB1338" t="s">
        <v>181</v>
      </c>
      <c r="AC1338" t="s">
        <v>182</v>
      </c>
      <c r="AD1338" t="s">
        <v>183</v>
      </c>
      <c r="AE1338">
        <v>0</v>
      </c>
      <c r="AF1338">
        <v>4</v>
      </c>
      <c r="AG1338" t="s">
        <v>744</v>
      </c>
      <c r="AH1338">
        <v>100</v>
      </c>
      <c r="AK1338">
        <v>0</v>
      </c>
      <c r="AL1338">
        <v>70767</v>
      </c>
      <c r="AM1338">
        <v>28000</v>
      </c>
      <c r="AN1338">
        <v>42767</v>
      </c>
      <c r="AO1338">
        <v>906</v>
      </c>
      <c r="AP1338">
        <v>2016</v>
      </c>
      <c r="AQ1338">
        <v>1.61</v>
      </c>
      <c r="AS1338" t="s">
        <v>17358</v>
      </c>
      <c r="AT1338" t="s">
        <v>3210</v>
      </c>
      <c r="AU1338" t="s">
        <v>177</v>
      </c>
      <c r="AV1338" t="s">
        <v>2334</v>
      </c>
      <c r="AW1338" t="s">
        <v>182</v>
      </c>
      <c r="AX1338">
        <v>2</v>
      </c>
      <c r="AY1338" t="s">
        <v>188</v>
      </c>
      <c r="AZ1338" t="s">
        <v>189</v>
      </c>
      <c r="BA1338" t="s">
        <v>190</v>
      </c>
      <c r="BB1338" t="s">
        <v>191</v>
      </c>
      <c r="BC1338" t="s">
        <v>182</v>
      </c>
      <c r="BD1338" t="s">
        <v>182</v>
      </c>
      <c r="BE1338" t="s">
        <v>383</v>
      </c>
      <c r="BF1338">
        <v>1</v>
      </c>
      <c r="BG1338">
        <v>1</v>
      </c>
      <c r="BH1338">
        <v>1995</v>
      </c>
      <c r="BI1338" t="s">
        <v>17359</v>
      </c>
      <c r="BJ1338" t="s">
        <v>194</v>
      </c>
      <c r="BK1338" t="s">
        <v>195</v>
      </c>
      <c r="BL1338" t="s">
        <v>199</v>
      </c>
      <c r="BM1338" t="s">
        <v>292</v>
      </c>
      <c r="BN1338" t="s">
        <v>182</v>
      </c>
      <c r="BO1338" t="s">
        <v>198</v>
      </c>
      <c r="BP1338" t="s">
        <v>198</v>
      </c>
      <c r="BQ1338" t="s">
        <v>198</v>
      </c>
      <c r="BR1338" t="s">
        <v>198</v>
      </c>
      <c r="BS1338" t="s">
        <v>198</v>
      </c>
      <c r="BT1338" t="s">
        <v>198</v>
      </c>
      <c r="BU1338" t="s">
        <v>182</v>
      </c>
      <c r="BV1338" t="s">
        <v>198</v>
      </c>
      <c r="BW1338" t="s">
        <v>198</v>
      </c>
      <c r="BX1338" t="s">
        <v>199</v>
      </c>
      <c r="BY1338" t="s">
        <v>198</v>
      </c>
      <c r="BZ1338" t="s">
        <v>199</v>
      </c>
      <c r="CA1338" t="s">
        <v>199</v>
      </c>
      <c r="CB1338" t="s">
        <v>17360</v>
      </c>
      <c r="CC1338" t="s">
        <v>201</v>
      </c>
      <c r="CD1338" t="s">
        <v>202</v>
      </c>
      <c r="CE1338" t="s">
        <v>17361</v>
      </c>
      <c r="CF1338" t="s">
        <v>3561</v>
      </c>
      <c r="CG1338" t="s">
        <v>177</v>
      </c>
      <c r="CH1338" t="s">
        <v>17362</v>
      </c>
      <c r="CI1338" t="s">
        <v>17363</v>
      </c>
      <c r="CJ1338" t="s">
        <v>13789</v>
      </c>
      <c r="CK1338" t="s">
        <v>292</v>
      </c>
      <c r="CL1338" t="s">
        <v>293</v>
      </c>
      <c r="CM1338" t="s">
        <v>17364</v>
      </c>
      <c r="CN1338" t="s">
        <v>235</v>
      </c>
      <c r="CO1338" t="s">
        <v>183</v>
      </c>
      <c r="CP1338" t="s">
        <v>211</v>
      </c>
      <c r="CQ1338" t="s">
        <v>290</v>
      </c>
      <c r="CS1338" t="s">
        <v>16685</v>
      </c>
      <c r="CT1338" t="s">
        <v>15337</v>
      </c>
      <c r="CU1338" t="s">
        <v>273</v>
      </c>
      <c r="CV1338" t="s">
        <v>274</v>
      </c>
      <c r="CW1338" t="s">
        <v>17365</v>
      </c>
      <c r="CX1338" t="s">
        <v>235</v>
      </c>
      <c r="CY1338" t="s">
        <v>183</v>
      </c>
      <c r="CZ1338" t="s">
        <v>211</v>
      </c>
      <c r="DA1338" t="s">
        <v>298</v>
      </c>
      <c r="DC1338" t="s">
        <v>1432</v>
      </c>
      <c r="DD1338" t="s">
        <v>4166</v>
      </c>
      <c r="DE1338" t="s">
        <v>302</v>
      </c>
      <c r="DF1338" t="s">
        <v>303</v>
      </c>
      <c r="DG1338" t="s">
        <v>17366</v>
      </c>
      <c r="DH1338" t="s">
        <v>235</v>
      </c>
      <c r="DI1338" t="s">
        <v>183</v>
      </c>
      <c r="DJ1338" t="s">
        <v>211</v>
      </c>
      <c r="DK1338" t="s">
        <v>306</v>
      </c>
      <c r="DM1338" t="s">
        <v>17367</v>
      </c>
      <c r="DN1338" t="s">
        <v>17368</v>
      </c>
      <c r="DO1338" t="s">
        <v>238</v>
      </c>
      <c r="DP1338" t="s">
        <v>239</v>
      </c>
      <c r="DQ1338" t="s">
        <v>17369</v>
      </c>
      <c r="DR1338" t="s">
        <v>247</v>
      </c>
      <c r="DS1338" t="s">
        <v>183</v>
      </c>
      <c r="DT1338" t="s">
        <v>211</v>
      </c>
      <c r="DU1338" t="s">
        <v>270</v>
      </c>
      <c r="DW1338" t="s">
        <v>9026</v>
      </c>
      <c r="EG1338" t="s">
        <v>198</v>
      </c>
      <c r="EQ1338" t="s">
        <v>198</v>
      </c>
      <c r="FA1338" t="s">
        <v>198</v>
      </c>
      <c r="FK1338" t="s">
        <v>198</v>
      </c>
      <c r="FU1338" t="s">
        <v>198</v>
      </c>
    </row>
    <row r="1339" spans="1:177">
      <c r="A1339" s="1" t="str">
        <f>HYPERLINK("http://digipan.lumentumllc.com/apps/getLink/index.php?t=PropLink&amp;p=15760137","PL")</f>
        <v>PL</v>
      </c>
      <c r="B1339" s="1" t="str">
        <f>HYPERLINK("http://digipan.lumentumllc.com/apps/getLink/index.php?t=TaxLink&amp;p=15760137","TL")</f>
        <v>TL</v>
      </c>
      <c r="C1339" s="1" t="str">
        <f>HYPERLINK("http://digipan.lumentumllc.com/apps/getMap/index.php?p=15760137","Map")</f>
        <v>Map</v>
      </c>
      <c r="E1339" t="s">
        <v>177</v>
      </c>
      <c r="F1339" t="s">
        <v>178</v>
      </c>
      <c r="L1339" t="s">
        <v>17370</v>
      </c>
      <c r="N1339" t="s">
        <v>17370</v>
      </c>
      <c r="O1339" t="s">
        <v>17370</v>
      </c>
      <c r="Q1339" t="s">
        <v>17370</v>
      </c>
      <c r="V1339">
        <v>1532</v>
      </c>
      <c r="W1339">
        <v>5</v>
      </c>
      <c r="X1339">
        <v>2017</v>
      </c>
      <c r="Y1339">
        <v>2018</v>
      </c>
      <c r="Z1339">
        <v>798.22</v>
      </c>
      <c r="AG1339" t="s">
        <v>184</v>
      </c>
      <c r="AH1339">
        <v>0</v>
      </c>
      <c r="AK1339">
        <v>0</v>
      </c>
      <c r="AL1339">
        <v>50526</v>
      </c>
      <c r="AM1339">
        <v>28000</v>
      </c>
      <c r="AN1339">
        <v>22526</v>
      </c>
      <c r="AO1339">
        <v>613</v>
      </c>
      <c r="AP1339">
        <v>2016</v>
      </c>
      <c r="AQ1339">
        <v>1.58</v>
      </c>
      <c r="AS1339" t="s">
        <v>17371</v>
      </c>
      <c r="AT1339" t="s">
        <v>3210</v>
      </c>
      <c r="AU1339" t="s">
        <v>177</v>
      </c>
      <c r="AV1339" t="s">
        <v>2334</v>
      </c>
      <c r="AW1339" t="s">
        <v>182</v>
      </c>
      <c r="AX1339">
        <v>2</v>
      </c>
      <c r="AY1339" t="s">
        <v>188</v>
      </c>
      <c r="AZ1339" t="s">
        <v>189</v>
      </c>
      <c r="BA1339" t="s">
        <v>190</v>
      </c>
      <c r="BB1339" t="s">
        <v>191</v>
      </c>
      <c r="BC1339" t="s">
        <v>182</v>
      </c>
      <c r="BD1339" t="s">
        <v>182</v>
      </c>
      <c r="BE1339" t="s">
        <v>17372</v>
      </c>
      <c r="BF1339">
        <v>1</v>
      </c>
      <c r="BG1339">
        <v>1</v>
      </c>
      <c r="BH1339">
        <v>1986</v>
      </c>
      <c r="BI1339" t="s">
        <v>2143</v>
      </c>
      <c r="BJ1339" t="s">
        <v>194</v>
      </c>
      <c r="BK1339" t="s">
        <v>195</v>
      </c>
      <c r="BL1339" t="s">
        <v>199</v>
      </c>
      <c r="BM1339" t="s">
        <v>207</v>
      </c>
      <c r="BN1339" t="s">
        <v>182</v>
      </c>
      <c r="BO1339" t="s">
        <v>17373</v>
      </c>
      <c r="BP1339" t="s">
        <v>17374</v>
      </c>
      <c r="BQ1339" t="s">
        <v>800</v>
      </c>
      <c r="BR1339" t="s">
        <v>643</v>
      </c>
      <c r="BS1339" t="s">
        <v>198</v>
      </c>
      <c r="BT1339" t="s">
        <v>17375</v>
      </c>
      <c r="BU1339" t="s">
        <v>182</v>
      </c>
      <c r="BV1339" t="s">
        <v>198</v>
      </c>
      <c r="BW1339" t="s">
        <v>198</v>
      </c>
      <c r="BX1339" t="s">
        <v>199</v>
      </c>
      <c r="BY1339" t="s">
        <v>198</v>
      </c>
      <c r="BZ1339" t="s">
        <v>199</v>
      </c>
      <c r="CA1339" t="s">
        <v>199</v>
      </c>
      <c r="CB1339" t="s">
        <v>17376</v>
      </c>
      <c r="CC1339" t="s">
        <v>201</v>
      </c>
      <c r="CD1339" t="s">
        <v>202</v>
      </c>
      <c r="CE1339" t="s">
        <v>17377</v>
      </c>
      <c r="CF1339" t="s">
        <v>2333</v>
      </c>
      <c r="CG1339" t="s">
        <v>177</v>
      </c>
      <c r="CH1339" t="s">
        <v>2334</v>
      </c>
      <c r="CI1339" t="s">
        <v>17378</v>
      </c>
      <c r="CS1339" t="s">
        <v>198</v>
      </c>
      <c r="DC1339" t="s">
        <v>198</v>
      </c>
      <c r="DM1339" t="s">
        <v>198</v>
      </c>
      <c r="DW1339" t="s">
        <v>198</v>
      </c>
      <c r="EG1339" t="s">
        <v>198</v>
      </c>
      <c r="EQ1339" t="s">
        <v>198</v>
      </c>
      <c r="FA1339" t="s">
        <v>198</v>
      </c>
      <c r="FK1339" t="s">
        <v>198</v>
      </c>
      <c r="FU1339" t="s">
        <v>198</v>
      </c>
    </row>
    <row r="1340" spans="1:177">
      <c r="A1340" s="1" t="str">
        <f>HYPERLINK("http://digipan.lumentumllc.com/apps/getLink/index.php?t=PropLink&amp;p=5248076","PL")</f>
        <v>PL</v>
      </c>
      <c r="B1340" s="1" t="str">
        <f>HYPERLINK("http://digipan.lumentumllc.com/apps/getLink/index.php?t=TaxLink&amp;p=5248076","TL")</f>
        <v>TL</v>
      </c>
      <c r="C1340" s="1" t="str">
        <f>HYPERLINK("http://digipan.lumentumllc.com/apps/getMap/index.php?p=5248076","Map")</f>
        <v>Map</v>
      </c>
      <c r="E1340" t="s">
        <v>177</v>
      </c>
      <c r="F1340" t="s">
        <v>178</v>
      </c>
      <c r="L1340" t="s">
        <v>17379</v>
      </c>
      <c r="N1340" t="s">
        <v>17379</v>
      </c>
      <c r="O1340" t="s">
        <v>17379</v>
      </c>
      <c r="P1340" t="s">
        <v>17380</v>
      </c>
      <c r="Q1340" t="s">
        <v>17379</v>
      </c>
      <c r="V1340">
        <v>1533</v>
      </c>
      <c r="W1340">
        <v>5</v>
      </c>
      <c r="X1340">
        <v>2017</v>
      </c>
      <c r="Y1340">
        <v>2018</v>
      </c>
      <c r="Z1340">
        <v>592.45000000000005</v>
      </c>
      <c r="AB1340" t="s">
        <v>181</v>
      </c>
      <c r="AC1340" t="s">
        <v>182</v>
      </c>
      <c r="AD1340" t="s">
        <v>183</v>
      </c>
      <c r="AE1340">
        <v>1</v>
      </c>
      <c r="AF1340">
        <v>2</v>
      </c>
      <c r="AG1340" t="s">
        <v>2222</v>
      </c>
      <c r="AH1340">
        <v>50</v>
      </c>
      <c r="AI1340">
        <v>522.29</v>
      </c>
      <c r="AJ1340">
        <v>26.11</v>
      </c>
      <c r="AK1340">
        <v>548.4</v>
      </c>
      <c r="AL1340">
        <v>36250</v>
      </c>
      <c r="AM1340">
        <v>28000</v>
      </c>
      <c r="AN1340">
        <v>8250</v>
      </c>
      <c r="AO1340">
        <v>458</v>
      </c>
      <c r="AP1340">
        <v>2016</v>
      </c>
      <c r="AQ1340">
        <v>1.63</v>
      </c>
      <c r="AR1340">
        <v>1.51</v>
      </c>
      <c r="AS1340" t="s">
        <v>17381</v>
      </c>
      <c r="AT1340" t="s">
        <v>3210</v>
      </c>
      <c r="AU1340" t="s">
        <v>177</v>
      </c>
      <c r="AV1340" t="s">
        <v>2334</v>
      </c>
      <c r="AW1340" t="s">
        <v>182</v>
      </c>
      <c r="AX1340">
        <v>0</v>
      </c>
      <c r="AY1340" t="s">
        <v>312</v>
      </c>
      <c r="AZ1340" t="s">
        <v>199</v>
      </c>
      <c r="BA1340" t="s">
        <v>313</v>
      </c>
      <c r="BB1340" t="s">
        <v>191</v>
      </c>
      <c r="BC1340" t="s">
        <v>182</v>
      </c>
      <c r="BD1340" t="s">
        <v>182</v>
      </c>
      <c r="BE1340" t="s">
        <v>5145</v>
      </c>
      <c r="BF1340">
        <v>0</v>
      </c>
      <c r="BG1340">
        <v>0</v>
      </c>
      <c r="BH1340">
        <v>0</v>
      </c>
      <c r="BI1340" t="s">
        <v>199</v>
      </c>
      <c r="BJ1340" t="s">
        <v>248</v>
      </c>
      <c r="BL1340" t="s">
        <v>17382</v>
      </c>
      <c r="BM1340" t="s">
        <v>930</v>
      </c>
      <c r="BN1340" t="s">
        <v>182</v>
      </c>
      <c r="BO1340" t="s">
        <v>198</v>
      </c>
      <c r="BP1340" t="s">
        <v>198</v>
      </c>
      <c r="BQ1340" t="s">
        <v>198</v>
      </c>
      <c r="BR1340" t="s">
        <v>198</v>
      </c>
      <c r="BS1340" t="s">
        <v>198</v>
      </c>
      <c r="BT1340" t="s">
        <v>198</v>
      </c>
      <c r="BU1340" t="s">
        <v>182</v>
      </c>
      <c r="BV1340" t="s">
        <v>198</v>
      </c>
      <c r="BW1340" t="s">
        <v>198</v>
      </c>
      <c r="BX1340" t="s">
        <v>199</v>
      </c>
      <c r="BY1340" t="s">
        <v>198</v>
      </c>
      <c r="BZ1340" t="s">
        <v>199</v>
      </c>
      <c r="CA1340" t="s">
        <v>199</v>
      </c>
      <c r="CB1340" t="s">
        <v>17383</v>
      </c>
      <c r="CC1340" t="s">
        <v>201</v>
      </c>
      <c r="CD1340" t="s">
        <v>182</v>
      </c>
      <c r="CE1340" t="s">
        <v>17384</v>
      </c>
      <c r="CF1340" t="s">
        <v>2333</v>
      </c>
      <c r="CG1340" t="s">
        <v>177</v>
      </c>
      <c r="CH1340" t="s">
        <v>2334</v>
      </c>
      <c r="CI1340" t="s">
        <v>17385</v>
      </c>
      <c r="CJ1340" t="s">
        <v>13069</v>
      </c>
      <c r="CK1340" t="s">
        <v>232</v>
      </c>
      <c r="CL1340" t="s">
        <v>233</v>
      </c>
      <c r="CM1340" t="s">
        <v>17288</v>
      </c>
      <c r="CN1340" t="s">
        <v>331</v>
      </c>
      <c r="CO1340" t="s">
        <v>183</v>
      </c>
      <c r="CP1340" t="s">
        <v>266</v>
      </c>
      <c r="CS1340" t="s">
        <v>198</v>
      </c>
      <c r="CT1340" t="s">
        <v>17386</v>
      </c>
      <c r="CU1340" t="s">
        <v>346</v>
      </c>
      <c r="CV1340" t="s">
        <v>347</v>
      </c>
      <c r="CW1340" t="s">
        <v>12413</v>
      </c>
      <c r="CX1340" t="s">
        <v>1491</v>
      </c>
      <c r="CY1340" t="s">
        <v>183</v>
      </c>
      <c r="CZ1340" t="s">
        <v>211</v>
      </c>
      <c r="DA1340" t="s">
        <v>342</v>
      </c>
      <c r="DC1340" t="s">
        <v>1703</v>
      </c>
      <c r="DD1340" t="s">
        <v>17387</v>
      </c>
      <c r="DE1340" t="s">
        <v>207</v>
      </c>
      <c r="DF1340" t="s">
        <v>208</v>
      </c>
      <c r="DG1340" t="s">
        <v>17388</v>
      </c>
      <c r="DH1340" t="s">
        <v>1966</v>
      </c>
      <c r="DI1340" t="s">
        <v>183</v>
      </c>
      <c r="DJ1340" t="s">
        <v>211</v>
      </c>
      <c r="DK1340" t="s">
        <v>264</v>
      </c>
      <c r="DM1340" t="s">
        <v>13334</v>
      </c>
      <c r="DW1340" t="s">
        <v>198</v>
      </c>
      <c r="EG1340" t="s">
        <v>198</v>
      </c>
      <c r="EQ1340" t="s">
        <v>198</v>
      </c>
      <c r="FA1340" t="s">
        <v>198</v>
      </c>
      <c r="FK1340" t="s">
        <v>198</v>
      </c>
      <c r="FU1340" t="s">
        <v>198</v>
      </c>
    </row>
    <row r="1341" spans="1:177">
      <c r="A1341" s="1" t="str">
        <f>HYPERLINK("http://digipan.lumentumllc.com/apps/getLink/index.php?t=PropLink&amp;p=5248078","PL")</f>
        <v>PL</v>
      </c>
      <c r="B1341" s="1" t="str">
        <f>HYPERLINK("http://digipan.lumentumllc.com/apps/getLink/index.php?t=TaxLink&amp;p=5248078","TL")</f>
        <v>TL</v>
      </c>
      <c r="C1341" s="1" t="str">
        <f>HYPERLINK("http://digipan.lumentumllc.com/apps/getMap/index.php?p=5248078","Map")</f>
        <v>Map</v>
      </c>
      <c r="E1341" t="s">
        <v>177</v>
      </c>
      <c r="F1341" t="s">
        <v>178</v>
      </c>
      <c r="L1341" t="s">
        <v>17389</v>
      </c>
      <c r="N1341" t="s">
        <v>17389</v>
      </c>
      <c r="O1341" t="s">
        <v>17389</v>
      </c>
      <c r="P1341" t="s">
        <v>17390</v>
      </c>
      <c r="Q1341" t="s">
        <v>17389</v>
      </c>
      <c r="V1341">
        <v>1534</v>
      </c>
      <c r="W1341">
        <v>5</v>
      </c>
      <c r="X1341">
        <v>2017</v>
      </c>
      <c r="Y1341">
        <v>2018</v>
      </c>
      <c r="Z1341">
        <v>613.5</v>
      </c>
      <c r="AB1341" t="s">
        <v>181</v>
      </c>
      <c r="AC1341" t="s">
        <v>182</v>
      </c>
      <c r="AD1341" t="s">
        <v>183</v>
      </c>
      <c r="AE1341">
        <v>1</v>
      </c>
      <c r="AF1341">
        <v>5</v>
      </c>
      <c r="AG1341" t="s">
        <v>951</v>
      </c>
      <c r="AH1341">
        <v>80</v>
      </c>
      <c r="AI1341">
        <v>559.78</v>
      </c>
      <c r="AJ1341">
        <v>27.99</v>
      </c>
      <c r="AK1341">
        <v>587.77</v>
      </c>
      <c r="AL1341">
        <v>35935</v>
      </c>
      <c r="AM1341">
        <v>28000</v>
      </c>
      <c r="AN1341">
        <v>7935</v>
      </c>
      <c r="AO1341">
        <v>493</v>
      </c>
      <c r="AP1341">
        <v>2016</v>
      </c>
      <c r="AQ1341">
        <v>1.71</v>
      </c>
      <c r="AR1341">
        <v>1.64</v>
      </c>
      <c r="AS1341" t="s">
        <v>17391</v>
      </c>
      <c r="AT1341" t="s">
        <v>3210</v>
      </c>
      <c r="AU1341" t="s">
        <v>177</v>
      </c>
      <c r="AV1341" t="s">
        <v>2334</v>
      </c>
      <c r="AW1341" t="s">
        <v>182</v>
      </c>
      <c r="AX1341">
        <v>2</v>
      </c>
      <c r="AY1341" t="s">
        <v>188</v>
      </c>
      <c r="AZ1341" t="s">
        <v>189</v>
      </c>
      <c r="BA1341" t="s">
        <v>190</v>
      </c>
      <c r="BB1341" t="s">
        <v>191</v>
      </c>
      <c r="BC1341" t="s">
        <v>182</v>
      </c>
      <c r="BD1341" t="s">
        <v>182</v>
      </c>
      <c r="BE1341" t="s">
        <v>383</v>
      </c>
      <c r="BF1341">
        <v>1</v>
      </c>
      <c r="BG1341">
        <v>1</v>
      </c>
      <c r="BH1341">
        <v>1969</v>
      </c>
      <c r="BI1341" t="s">
        <v>12515</v>
      </c>
      <c r="BJ1341" t="s">
        <v>285</v>
      </c>
      <c r="BK1341" t="s">
        <v>195</v>
      </c>
      <c r="BL1341" t="s">
        <v>6226</v>
      </c>
      <c r="BM1341" t="s">
        <v>1779</v>
      </c>
      <c r="BN1341" t="s">
        <v>182</v>
      </c>
      <c r="BO1341" t="s">
        <v>198</v>
      </c>
      <c r="BP1341" t="s">
        <v>198</v>
      </c>
      <c r="BQ1341" t="s">
        <v>198</v>
      </c>
      <c r="BR1341" t="s">
        <v>198</v>
      </c>
      <c r="BS1341" t="s">
        <v>198</v>
      </c>
      <c r="BT1341" t="s">
        <v>198</v>
      </c>
      <c r="BU1341" t="s">
        <v>182</v>
      </c>
      <c r="BV1341" t="s">
        <v>198</v>
      </c>
      <c r="BW1341" t="s">
        <v>198</v>
      </c>
      <c r="BX1341" t="s">
        <v>199</v>
      </c>
      <c r="BY1341" t="s">
        <v>198</v>
      </c>
      <c r="BZ1341" t="s">
        <v>199</v>
      </c>
      <c r="CA1341" t="s">
        <v>199</v>
      </c>
      <c r="CB1341" t="s">
        <v>17392</v>
      </c>
      <c r="CC1341" t="s">
        <v>201</v>
      </c>
      <c r="CD1341" t="s">
        <v>202</v>
      </c>
      <c r="CE1341" t="s">
        <v>17393</v>
      </c>
      <c r="CF1341" t="s">
        <v>2333</v>
      </c>
      <c r="CG1341" t="s">
        <v>177</v>
      </c>
      <c r="CH1341" t="s">
        <v>2334</v>
      </c>
      <c r="CI1341" t="s">
        <v>17394</v>
      </c>
      <c r="CJ1341" t="s">
        <v>10452</v>
      </c>
      <c r="CK1341" t="s">
        <v>232</v>
      </c>
      <c r="CL1341" t="s">
        <v>233</v>
      </c>
      <c r="CM1341" t="s">
        <v>17395</v>
      </c>
      <c r="CN1341" t="s">
        <v>235</v>
      </c>
      <c r="CO1341" t="s">
        <v>183</v>
      </c>
      <c r="CP1341" t="s">
        <v>266</v>
      </c>
      <c r="CS1341" t="s">
        <v>198</v>
      </c>
      <c r="CT1341" t="s">
        <v>6266</v>
      </c>
      <c r="CU1341" t="s">
        <v>273</v>
      </c>
      <c r="CV1341" t="s">
        <v>274</v>
      </c>
      <c r="CW1341" t="s">
        <v>17396</v>
      </c>
      <c r="CX1341" t="s">
        <v>482</v>
      </c>
      <c r="CY1341" t="s">
        <v>183</v>
      </c>
      <c r="CZ1341" t="s">
        <v>211</v>
      </c>
      <c r="DA1341" t="s">
        <v>296</v>
      </c>
      <c r="DC1341" t="s">
        <v>17397</v>
      </c>
      <c r="DD1341" t="s">
        <v>17398</v>
      </c>
      <c r="DE1341" t="s">
        <v>302</v>
      </c>
      <c r="DF1341" t="s">
        <v>303</v>
      </c>
      <c r="DG1341" t="s">
        <v>17399</v>
      </c>
      <c r="DH1341" t="s">
        <v>3342</v>
      </c>
      <c r="DI1341" t="s">
        <v>183</v>
      </c>
      <c r="DJ1341" t="s">
        <v>211</v>
      </c>
      <c r="DK1341" t="s">
        <v>444</v>
      </c>
      <c r="DM1341" t="s">
        <v>17397</v>
      </c>
      <c r="DN1341" t="s">
        <v>17400</v>
      </c>
      <c r="DO1341" t="s">
        <v>238</v>
      </c>
      <c r="DP1341" t="s">
        <v>239</v>
      </c>
      <c r="DQ1341" t="s">
        <v>17401</v>
      </c>
      <c r="DR1341" t="s">
        <v>278</v>
      </c>
      <c r="DS1341" t="s">
        <v>183</v>
      </c>
      <c r="DT1341" t="s">
        <v>211</v>
      </c>
      <c r="DU1341" t="s">
        <v>635</v>
      </c>
      <c r="DW1341" t="s">
        <v>17397</v>
      </c>
      <c r="DX1341" t="s">
        <v>17402</v>
      </c>
      <c r="DY1341" t="s">
        <v>346</v>
      </c>
      <c r="DZ1341" t="s">
        <v>347</v>
      </c>
      <c r="EA1341" t="s">
        <v>17403</v>
      </c>
      <c r="EB1341" t="s">
        <v>1491</v>
      </c>
      <c r="EC1341" t="s">
        <v>183</v>
      </c>
      <c r="ED1341" t="s">
        <v>211</v>
      </c>
      <c r="EE1341" t="s">
        <v>988</v>
      </c>
      <c r="EG1341" t="s">
        <v>17397</v>
      </c>
      <c r="EH1341" t="s">
        <v>17404</v>
      </c>
      <c r="EI1341" t="s">
        <v>207</v>
      </c>
      <c r="EJ1341" t="s">
        <v>208</v>
      </c>
      <c r="EK1341" t="s">
        <v>17405</v>
      </c>
      <c r="EL1341" t="s">
        <v>1966</v>
      </c>
      <c r="EM1341" t="s">
        <v>183</v>
      </c>
      <c r="EN1341" t="s">
        <v>211</v>
      </c>
      <c r="EO1341" t="s">
        <v>1185</v>
      </c>
      <c r="EQ1341" t="s">
        <v>10152</v>
      </c>
      <c r="FA1341" t="s">
        <v>198</v>
      </c>
      <c r="FK1341" t="s">
        <v>198</v>
      </c>
      <c r="FU1341" t="s">
        <v>198</v>
      </c>
    </row>
    <row r="1342" spans="1:177">
      <c r="A1342" s="1" t="str">
        <f>HYPERLINK("http://digipan.lumentumllc.com/apps/getLink/index.php?t=PropLink&amp;p=6462080","PL")</f>
        <v>PL</v>
      </c>
      <c r="B1342" s="1" t="str">
        <f>HYPERLINK("http://digipan.lumentumllc.com/apps/getLink/index.php?t=TaxLink&amp;p=6462080","TL")</f>
        <v>TL</v>
      </c>
      <c r="C1342" s="1" t="str">
        <f>HYPERLINK("http://digipan.lumentumllc.com/apps/getMap/index.php?p=6462080","Map")</f>
        <v>Map</v>
      </c>
      <c r="E1342" t="s">
        <v>177</v>
      </c>
      <c r="F1342" t="s">
        <v>178</v>
      </c>
      <c r="L1342" t="s">
        <v>17406</v>
      </c>
      <c r="N1342" t="s">
        <v>17406</v>
      </c>
      <c r="O1342" t="s">
        <v>17406</v>
      </c>
      <c r="P1342" t="s">
        <v>17407</v>
      </c>
      <c r="Q1342" t="s">
        <v>17406</v>
      </c>
      <c r="V1342">
        <v>1536</v>
      </c>
      <c r="W1342">
        <v>5</v>
      </c>
      <c r="X1342">
        <v>2017</v>
      </c>
      <c r="Y1342">
        <v>2018</v>
      </c>
      <c r="Z1342">
        <v>694.29</v>
      </c>
      <c r="AB1342" t="s">
        <v>181</v>
      </c>
      <c r="AC1342" t="s">
        <v>182</v>
      </c>
      <c r="AD1342" t="s">
        <v>183</v>
      </c>
      <c r="AE1342">
        <v>0</v>
      </c>
      <c r="AF1342">
        <v>4</v>
      </c>
      <c r="AG1342" t="s">
        <v>744</v>
      </c>
      <c r="AH1342">
        <v>100</v>
      </c>
      <c r="AK1342">
        <v>0</v>
      </c>
      <c r="AL1342">
        <v>43460</v>
      </c>
      <c r="AM1342">
        <v>28000</v>
      </c>
      <c r="AN1342">
        <v>15460</v>
      </c>
      <c r="AO1342">
        <v>532</v>
      </c>
      <c r="AP1342">
        <v>2016</v>
      </c>
      <c r="AQ1342">
        <v>1.6</v>
      </c>
      <c r="AS1342" t="s">
        <v>17408</v>
      </c>
      <c r="AT1342" t="s">
        <v>3210</v>
      </c>
      <c r="AU1342" t="s">
        <v>177</v>
      </c>
      <c r="AV1342" t="s">
        <v>2334</v>
      </c>
      <c r="AW1342" t="s">
        <v>182</v>
      </c>
      <c r="AX1342">
        <v>2</v>
      </c>
      <c r="AY1342" t="s">
        <v>188</v>
      </c>
      <c r="AZ1342" t="s">
        <v>189</v>
      </c>
      <c r="BA1342" t="s">
        <v>190</v>
      </c>
      <c r="BB1342" t="s">
        <v>191</v>
      </c>
      <c r="BC1342" t="s">
        <v>182</v>
      </c>
      <c r="BD1342" t="s">
        <v>182</v>
      </c>
      <c r="BE1342" t="s">
        <v>899</v>
      </c>
      <c r="BF1342">
        <v>1</v>
      </c>
      <c r="BG1342">
        <v>1</v>
      </c>
      <c r="BH1342">
        <v>1987</v>
      </c>
      <c r="BI1342" t="s">
        <v>2209</v>
      </c>
      <c r="BJ1342" t="s">
        <v>194</v>
      </c>
      <c r="BK1342" t="s">
        <v>195</v>
      </c>
      <c r="BL1342" t="s">
        <v>1331</v>
      </c>
      <c r="BM1342" t="s">
        <v>2269</v>
      </c>
      <c r="BN1342" t="s">
        <v>182</v>
      </c>
      <c r="BO1342" t="s">
        <v>198</v>
      </c>
      <c r="BP1342" t="s">
        <v>198</v>
      </c>
      <c r="BQ1342" t="s">
        <v>198</v>
      </c>
      <c r="BR1342" t="s">
        <v>198</v>
      </c>
      <c r="BS1342" t="s">
        <v>198</v>
      </c>
      <c r="BT1342" t="s">
        <v>198</v>
      </c>
      <c r="BU1342" t="s">
        <v>182</v>
      </c>
      <c r="BV1342" t="s">
        <v>198</v>
      </c>
      <c r="BW1342" t="s">
        <v>198</v>
      </c>
      <c r="BX1342" t="s">
        <v>199</v>
      </c>
      <c r="BY1342" t="s">
        <v>198</v>
      </c>
      <c r="BZ1342" t="s">
        <v>199</v>
      </c>
      <c r="CA1342" t="s">
        <v>199</v>
      </c>
      <c r="CB1342" t="s">
        <v>17409</v>
      </c>
      <c r="CC1342" t="s">
        <v>201</v>
      </c>
      <c r="CD1342" t="s">
        <v>202</v>
      </c>
      <c r="CE1342" t="s">
        <v>17410</v>
      </c>
      <c r="CF1342" t="s">
        <v>14334</v>
      </c>
      <c r="CG1342" t="s">
        <v>1602</v>
      </c>
      <c r="CH1342" t="s">
        <v>14335</v>
      </c>
      <c r="CI1342" t="s">
        <v>17411</v>
      </c>
      <c r="CJ1342" t="s">
        <v>7986</v>
      </c>
      <c r="CK1342" t="s">
        <v>232</v>
      </c>
      <c r="CL1342" t="s">
        <v>233</v>
      </c>
      <c r="CM1342" t="s">
        <v>17412</v>
      </c>
      <c r="CN1342" t="s">
        <v>235</v>
      </c>
      <c r="CO1342" t="s">
        <v>183</v>
      </c>
      <c r="CP1342" t="s">
        <v>211</v>
      </c>
      <c r="CQ1342" t="s">
        <v>329</v>
      </c>
      <c r="CS1342" t="s">
        <v>5771</v>
      </c>
      <c r="CT1342" t="s">
        <v>15103</v>
      </c>
      <c r="CU1342" t="s">
        <v>292</v>
      </c>
      <c r="CV1342" t="s">
        <v>293</v>
      </c>
      <c r="CW1342" t="s">
        <v>17413</v>
      </c>
      <c r="CX1342" t="s">
        <v>235</v>
      </c>
      <c r="CY1342" t="s">
        <v>183</v>
      </c>
      <c r="CZ1342" t="s">
        <v>211</v>
      </c>
      <c r="DA1342" t="s">
        <v>298</v>
      </c>
      <c r="DC1342" t="s">
        <v>5771</v>
      </c>
      <c r="DD1342" t="s">
        <v>17414</v>
      </c>
      <c r="DE1342" t="s">
        <v>267</v>
      </c>
      <c r="DF1342" t="s">
        <v>268</v>
      </c>
      <c r="DG1342" t="s">
        <v>17415</v>
      </c>
      <c r="DH1342" t="s">
        <v>511</v>
      </c>
      <c r="DI1342" t="s">
        <v>183</v>
      </c>
      <c r="DJ1342" t="s">
        <v>211</v>
      </c>
      <c r="DK1342" t="s">
        <v>493</v>
      </c>
      <c r="DM1342" t="s">
        <v>8803</v>
      </c>
      <c r="DN1342" t="s">
        <v>17416</v>
      </c>
      <c r="DO1342" t="s">
        <v>302</v>
      </c>
      <c r="DP1342" t="s">
        <v>303</v>
      </c>
      <c r="DQ1342" t="s">
        <v>17417</v>
      </c>
      <c r="DR1342" t="s">
        <v>235</v>
      </c>
      <c r="DS1342" t="s">
        <v>183</v>
      </c>
      <c r="DT1342" t="s">
        <v>211</v>
      </c>
      <c r="DU1342" t="s">
        <v>329</v>
      </c>
      <c r="DW1342" t="s">
        <v>441</v>
      </c>
      <c r="EG1342" t="s">
        <v>198</v>
      </c>
      <c r="EQ1342" t="s">
        <v>198</v>
      </c>
      <c r="FA1342" t="s">
        <v>198</v>
      </c>
      <c r="FK1342" t="s">
        <v>198</v>
      </c>
      <c r="FU1342" t="s">
        <v>198</v>
      </c>
    </row>
    <row r="1343" spans="1:177">
      <c r="A1343" s="1" t="str">
        <f>HYPERLINK("http://digipan.lumentumllc.com/apps/getLink/index.php?t=PropLink&amp;p=6462081","PL")</f>
        <v>PL</v>
      </c>
      <c r="B1343" s="1" t="str">
        <f>HYPERLINK("http://digipan.lumentumllc.com/apps/getLink/index.php?t=TaxLink&amp;p=6462081","TL")</f>
        <v>TL</v>
      </c>
      <c r="C1343" s="1" t="str">
        <f>HYPERLINK("http://digipan.lumentumllc.com/apps/getMap/index.php?p=6462081","Map")</f>
        <v>Map</v>
      </c>
      <c r="E1343" t="s">
        <v>177</v>
      </c>
      <c r="F1343" t="s">
        <v>178</v>
      </c>
      <c r="L1343" t="s">
        <v>17418</v>
      </c>
      <c r="N1343" t="s">
        <v>17418</v>
      </c>
      <c r="O1343" t="s">
        <v>17418</v>
      </c>
      <c r="P1343" t="s">
        <v>17419</v>
      </c>
      <c r="Q1343" t="s">
        <v>17418</v>
      </c>
      <c r="V1343">
        <v>1537</v>
      </c>
      <c r="W1343">
        <v>5</v>
      </c>
      <c r="X1343">
        <v>2017</v>
      </c>
      <c r="Y1343">
        <v>2018</v>
      </c>
      <c r="Z1343">
        <v>751.27</v>
      </c>
      <c r="AB1343" t="s">
        <v>181</v>
      </c>
      <c r="AC1343" t="s">
        <v>182</v>
      </c>
      <c r="AD1343" t="s">
        <v>183</v>
      </c>
      <c r="AE1343">
        <v>0</v>
      </c>
      <c r="AF1343">
        <v>1</v>
      </c>
      <c r="AG1343" t="s">
        <v>821</v>
      </c>
      <c r="AH1343">
        <v>100</v>
      </c>
      <c r="AK1343">
        <v>0</v>
      </c>
      <c r="AL1343">
        <v>43931</v>
      </c>
      <c r="AM1343">
        <v>28000</v>
      </c>
      <c r="AN1343">
        <v>15931</v>
      </c>
      <c r="AO1343">
        <v>643</v>
      </c>
      <c r="AP1343">
        <v>2016</v>
      </c>
      <c r="AQ1343">
        <v>1.71</v>
      </c>
      <c r="AS1343" t="s">
        <v>17420</v>
      </c>
      <c r="AT1343" t="s">
        <v>3210</v>
      </c>
      <c r="AU1343" t="s">
        <v>177</v>
      </c>
      <c r="AV1343" t="s">
        <v>2334</v>
      </c>
      <c r="AW1343" t="s">
        <v>182</v>
      </c>
      <c r="AX1343">
        <v>2</v>
      </c>
      <c r="AY1343" t="s">
        <v>188</v>
      </c>
      <c r="AZ1343" t="s">
        <v>189</v>
      </c>
      <c r="BA1343" t="s">
        <v>190</v>
      </c>
      <c r="BB1343" t="s">
        <v>191</v>
      </c>
      <c r="BC1343" t="s">
        <v>182</v>
      </c>
      <c r="BD1343" t="s">
        <v>182</v>
      </c>
      <c r="BE1343" t="s">
        <v>1884</v>
      </c>
      <c r="BF1343">
        <v>1</v>
      </c>
      <c r="BG1343">
        <v>1</v>
      </c>
      <c r="BH1343">
        <v>1980</v>
      </c>
      <c r="BI1343" t="s">
        <v>17421</v>
      </c>
      <c r="BJ1343" t="s">
        <v>194</v>
      </c>
      <c r="BK1343" t="s">
        <v>195</v>
      </c>
      <c r="BL1343" t="s">
        <v>199</v>
      </c>
      <c r="BM1343" t="s">
        <v>559</v>
      </c>
      <c r="BN1343" t="s">
        <v>182</v>
      </c>
      <c r="BO1343" t="s">
        <v>198</v>
      </c>
      <c r="BP1343" t="s">
        <v>198</v>
      </c>
      <c r="BQ1343" t="s">
        <v>198</v>
      </c>
      <c r="BR1343" t="s">
        <v>198</v>
      </c>
      <c r="BS1343" t="s">
        <v>198</v>
      </c>
      <c r="BT1343" t="s">
        <v>198</v>
      </c>
      <c r="BU1343" t="s">
        <v>182</v>
      </c>
      <c r="BV1343" t="s">
        <v>198</v>
      </c>
      <c r="BW1343" t="s">
        <v>198</v>
      </c>
      <c r="BX1343" t="s">
        <v>199</v>
      </c>
      <c r="BY1343" t="s">
        <v>198</v>
      </c>
      <c r="BZ1343" t="s">
        <v>199</v>
      </c>
      <c r="CA1343" t="s">
        <v>199</v>
      </c>
      <c r="CB1343" t="s">
        <v>17422</v>
      </c>
      <c r="CC1343" t="s">
        <v>201</v>
      </c>
      <c r="CD1343" t="s">
        <v>202</v>
      </c>
      <c r="CE1343" t="s">
        <v>17423</v>
      </c>
      <c r="CF1343" t="s">
        <v>2333</v>
      </c>
      <c r="CG1343" t="s">
        <v>177</v>
      </c>
      <c r="CH1343" t="s">
        <v>2334</v>
      </c>
      <c r="CI1343" t="s">
        <v>17424</v>
      </c>
      <c r="CJ1343" t="s">
        <v>17425</v>
      </c>
      <c r="CK1343" t="s">
        <v>302</v>
      </c>
      <c r="CL1343" t="s">
        <v>303</v>
      </c>
      <c r="CM1343" t="s">
        <v>17426</v>
      </c>
      <c r="CN1343" t="s">
        <v>235</v>
      </c>
      <c r="CO1343" t="s">
        <v>183</v>
      </c>
      <c r="CP1343" t="s">
        <v>211</v>
      </c>
      <c r="CQ1343" t="s">
        <v>290</v>
      </c>
      <c r="CS1343" t="s">
        <v>2154</v>
      </c>
      <c r="DC1343" t="s">
        <v>198</v>
      </c>
      <c r="DM1343" t="s">
        <v>198</v>
      </c>
      <c r="DW1343" t="s">
        <v>198</v>
      </c>
      <c r="EG1343" t="s">
        <v>198</v>
      </c>
      <c r="EQ1343" t="s">
        <v>198</v>
      </c>
      <c r="FA1343" t="s">
        <v>198</v>
      </c>
      <c r="FK1343" t="s">
        <v>198</v>
      </c>
      <c r="FU1343" t="s">
        <v>198</v>
      </c>
    </row>
    <row r="1344" spans="1:177">
      <c r="A1344" s="1" t="str">
        <f>HYPERLINK("http://digipan.lumentumllc.com/apps/getLink/index.php?t=PropLink&amp;p=5248081","PL")</f>
        <v>PL</v>
      </c>
      <c r="B1344" s="1" t="str">
        <f>HYPERLINK("http://digipan.lumentumllc.com/apps/getLink/index.php?t=TaxLink&amp;p=5248081","TL")</f>
        <v>TL</v>
      </c>
      <c r="C1344" s="1" t="str">
        <f>HYPERLINK("http://digipan.lumentumllc.com/apps/getMap/index.php?p=5248081","Map")</f>
        <v>Map</v>
      </c>
      <c r="E1344" t="s">
        <v>177</v>
      </c>
      <c r="F1344" t="s">
        <v>178</v>
      </c>
      <c r="L1344" t="s">
        <v>17427</v>
      </c>
      <c r="N1344" t="s">
        <v>17427</v>
      </c>
      <c r="O1344" t="s">
        <v>17427</v>
      </c>
      <c r="P1344" t="s">
        <v>17428</v>
      </c>
      <c r="Q1344" t="s">
        <v>17427</v>
      </c>
      <c r="V1344">
        <v>1538</v>
      </c>
      <c r="W1344">
        <v>5</v>
      </c>
      <c r="X1344">
        <v>2017</v>
      </c>
      <c r="Y1344">
        <v>2018</v>
      </c>
      <c r="Z1344">
        <v>464.94</v>
      </c>
      <c r="AB1344" t="s">
        <v>181</v>
      </c>
      <c r="AC1344" t="s">
        <v>182</v>
      </c>
      <c r="AD1344" t="s">
        <v>183</v>
      </c>
      <c r="AE1344">
        <v>0</v>
      </c>
      <c r="AF1344">
        <v>7</v>
      </c>
      <c r="AG1344" t="s">
        <v>528</v>
      </c>
      <c r="AH1344">
        <v>100</v>
      </c>
      <c r="AK1344">
        <v>0</v>
      </c>
      <c r="AL1344">
        <v>66232</v>
      </c>
      <c r="AM1344">
        <v>28000</v>
      </c>
      <c r="AN1344">
        <v>38232</v>
      </c>
      <c r="AO1344">
        <v>399</v>
      </c>
      <c r="AP1344">
        <v>2016</v>
      </c>
      <c r="AQ1344">
        <v>0.7</v>
      </c>
      <c r="AS1344" t="s">
        <v>17429</v>
      </c>
      <c r="AT1344" t="s">
        <v>3210</v>
      </c>
      <c r="AU1344" t="s">
        <v>177</v>
      </c>
      <c r="AV1344" t="s">
        <v>2334</v>
      </c>
      <c r="AW1344" t="s">
        <v>202</v>
      </c>
      <c r="AX1344">
        <v>2</v>
      </c>
      <c r="AY1344" t="s">
        <v>188</v>
      </c>
      <c r="AZ1344" t="s">
        <v>189</v>
      </c>
      <c r="BA1344" t="s">
        <v>190</v>
      </c>
      <c r="BB1344" t="s">
        <v>191</v>
      </c>
      <c r="BC1344" t="s">
        <v>182</v>
      </c>
      <c r="BD1344" t="s">
        <v>182</v>
      </c>
      <c r="BE1344" t="s">
        <v>4272</v>
      </c>
      <c r="BF1344">
        <v>1</v>
      </c>
      <c r="BG1344">
        <v>1</v>
      </c>
      <c r="BH1344">
        <v>1996</v>
      </c>
      <c r="BI1344" t="s">
        <v>4122</v>
      </c>
      <c r="BJ1344" t="s">
        <v>194</v>
      </c>
      <c r="BK1344" t="s">
        <v>195</v>
      </c>
      <c r="BL1344" t="s">
        <v>6211</v>
      </c>
      <c r="BM1344" t="s">
        <v>1332</v>
      </c>
      <c r="BN1344" t="s">
        <v>182</v>
      </c>
      <c r="BO1344" t="s">
        <v>17430</v>
      </c>
      <c r="BP1344" t="s">
        <v>13904</v>
      </c>
      <c r="BQ1344" t="s">
        <v>226</v>
      </c>
      <c r="BR1344" t="s">
        <v>227</v>
      </c>
      <c r="BS1344" t="s">
        <v>198</v>
      </c>
      <c r="BT1344" t="s">
        <v>228</v>
      </c>
      <c r="BU1344" t="s">
        <v>182</v>
      </c>
      <c r="BV1344" t="s">
        <v>198</v>
      </c>
      <c r="BW1344" t="s">
        <v>198</v>
      </c>
      <c r="BX1344" t="s">
        <v>199</v>
      </c>
      <c r="BY1344" t="s">
        <v>198</v>
      </c>
      <c r="BZ1344" t="s">
        <v>199</v>
      </c>
      <c r="CA1344" t="s">
        <v>199</v>
      </c>
      <c r="CB1344" t="s">
        <v>17431</v>
      </c>
      <c r="CC1344" t="s">
        <v>201</v>
      </c>
      <c r="CD1344" t="s">
        <v>182</v>
      </c>
      <c r="CE1344" t="s">
        <v>17432</v>
      </c>
      <c r="CF1344" t="s">
        <v>2333</v>
      </c>
      <c r="CG1344" t="s">
        <v>177</v>
      </c>
      <c r="CH1344" t="s">
        <v>2334</v>
      </c>
      <c r="CI1344" t="s">
        <v>17433</v>
      </c>
      <c r="CJ1344" t="s">
        <v>1291</v>
      </c>
      <c r="CK1344" t="s">
        <v>232</v>
      </c>
      <c r="CL1344" t="s">
        <v>233</v>
      </c>
      <c r="CM1344" t="s">
        <v>17434</v>
      </c>
      <c r="CN1344" t="s">
        <v>235</v>
      </c>
      <c r="CO1344" t="s">
        <v>183</v>
      </c>
      <c r="CP1344" t="s">
        <v>211</v>
      </c>
      <c r="CQ1344" t="s">
        <v>199</v>
      </c>
      <c r="CS1344" t="s">
        <v>236</v>
      </c>
      <c r="CT1344" t="s">
        <v>15437</v>
      </c>
      <c r="CU1344" t="s">
        <v>267</v>
      </c>
      <c r="CV1344" t="s">
        <v>268</v>
      </c>
      <c r="CW1344" t="s">
        <v>17435</v>
      </c>
      <c r="CX1344" t="s">
        <v>235</v>
      </c>
      <c r="CY1344" t="s">
        <v>183</v>
      </c>
      <c r="CZ1344" t="s">
        <v>211</v>
      </c>
      <c r="DA1344" t="s">
        <v>212</v>
      </c>
      <c r="DC1344" t="s">
        <v>17436</v>
      </c>
      <c r="DD1344" t="s">
        <v>2554</v>
      </c>
      <c r="DE1344" t="s">
        <v>273</v>
      </c>
      <c r="DF1344" t="s">
        <v>274</v>
      </c>
      <c r="DG1344" t="s">
        <v>17437</v>
      </c>
      <c r="DH1344" t="s">
        <v>235</v>
      </c>
      <c r="DI1344" t="s">
        <v>183</v>
      </c>
      <c r="DJ1344" t="s">
        <v>211</v>
      </c>
      <c r="DK1344" t="s">
        <v>298</v>
      </c>
      <c r="DM1344" t="s">
        <v>8601</v>
      </c>
      <c r="DN1344" t="s">
        <v>17438</v>
      </c>
      <c r="DO1344" t="s">
        <v>302</v>
      </c>
      <c r="DP1344" t="s">
        <v>303</v>
      </c>
      <c r="DQ1344" t="s">
        <v>17439</v>
      </c>
      <c r="DR1344" t="s">
        <v>235</v>
      </c>
      <c r="DS1344" t="s">
        <v>183</v>
      </c>
      <c r="DT1344" t="s">
        <v>211</v>
      </c>
      <c r="DU1344" t="s">
        <v>306</v>
      </c>
      <c r="DW1344" t="s">
        <v>9119</v>
      </c>
      <c r="DX1344" t="s">
        <v>17440</v>
      </c>
      <c r="DY1344" t="s">
        <v>238</v>
      </c>
      <c r="DZ1344" t="s">
        <v>239</v>
      </c>
      <c r="EA1344" t="s">
        <v>17441</v>
      </c>
      <c r="EB1344" t="s">
        <v>440</v>
      </c>
      <c r="EC1344" t="s">
        <v>183</v>
      </c>
      <c r="ED1344" t="s">
        <v>211</v>
      </c>
      <c r="EE1344" t="s">
        <v>427</v>
      </c>
      <c r="EG1344" t="s">
        <v>17442</v>
      </c>
      <c r="EH1344" t="s">
        <v>7831</v>
      </c>
      <c r="EI1344" t="s">
        <v>346</v>
      </c>
      <c r="EJ1344" t="s">
        <v>347</v>
      </c>
      <c r="EK1344" t="s">
        <v>17443</v>
      </c>
      <c r="EL1344" t="s">
        <v>1491</v>
      </c>
      <c r="EM1344" t="s">
        <v>183</v>
      </c>
      <c r="EN1344" t="s">
        <v>211</v>
      </c>
      <c r="EO1344" t="s">
        <v>270</v>
      </c>
      <c r="EQ1344" t="s">
        <v>10786</v>
      </c>
      <c r="ER1344" t="s">
        <v>17444</v>
      </c>
      <c r="ES1344" t="s">
        <v>207</v>
      </c>
      <c r="ET1344" t="s">
        <v>208</v>
      </c>
      <c r="EU1344" t="s">
        <v>17445</v>
      </c>
      <c r="EV1344" t="s">
        <v>254</v>
      </c>
      <c r="EW1344" t="s">
        <v>183</v>
      </c>
      <c r="EX1344" t="s">
        <v>211</v>
      </c>
      <c r="EY1344" t="s">
        <v>306</v>
      </c>
      <c r="FA1344" t="s">
        <v>17446</v>
      </c>
      <c r="FK1344" t="s">
        <v>198</v>
      </c>
      <c r="FU1344" t="s">
        <v>198</v>
      </c>
    </row>
    <row r="1345" spans="1:177">
      <c r="A1345" s="1" t="str">
        <f>HYPERLINK("http://digipan.lumentumllc.com/apps/getLink/index.php?t=PropLink&amp;p=15760193","PL")</f>
        <v>PL</v>
      </c>
      <c r="B1345" s="1" t="str">
        <f>HYPERLINK("http://digipan.lumentumllc.com/apps/getLink/index.php?t=TaxLink&amp;p=15760193","TL")</f>
        <v>TL</v>
      </c>
      <c r="C1345" s="1" t="str">
        <f>HYPERLINK("http://digipan.lumentumllc.com/apps/getMap/index.php?p=15760193","Map")</f>
        <v>Map</v>
      </c>
      <c r="E1345" t="s">
        <v>177</v>
      </c>
      <c r="F1345" t="s">
        <v>178</v>
      </c>
      <c r="L1345" t="s">
        <v>17447</v>
      </c>
      <c r="N1345" t="s">
        <v>17447</v>
      </c>
      <c r="O1345" t="s">
        <v>17447</v>
      </c>
      <c r="Q1345" t="s">
        <v>17447</v>
      </c>
      <c r="V1345">
        <v>1539</v>
      </c>
      <c r="W1345">
        <v>5</v>
      </c>
      <c r="X1345">
        <v>2017</v>
      </c>
      <c r="Y1345">
        <v>2018</v>
      </c>
      <c r="Z1345">
        <v>496.04</v>
      </c>
      <c r="AG1345" t="s">
        <v>184</v>
      </c>
      <c r="AH1345">
        <v>0</v>
      </c>
      <c r="AK1345">
        <v>0</v>
      </c>
      <c r="AL1345">
        <v>57667</v>
      </c>
      <c r="AM1345">
        <v>28000</v>
      </c>
      <c r="AN1345">
        <v>29667</v>
      </c>
      <c r="AO1345">
        <v>167</v>
      </c>
      <c r="AP1345">
        <v>2016</v>
      </c>
      <c r="AQ1345">
        <v>0.86</v>
      </c>
      <c r="AS1345" t="s">
        <v>17448</v>
      </c>
      <c r="AT1345" t="s">
        <v>3210</v>
      </c>
      <c r="AU1345" t="s">
        <v>177</v>
      </c>
      <c r="AV1345" t="s">
        <v>2334</v>
      </c>
      <c r="AW1345" t="s">
        <v>202</v>
      </c>
      <c r="AX1345">
        <v>2</v>
      </c>
      <c r="AY1345" t="s">
        <v>188</v>
      </c>
      <c r="AZ1345" t="s">
        <v>189</v>
      </c>
      <c r="BA1345" t="s">
        <v>190</v>
      </c>
      <c r="BB1345" t="s">
        <v>191</v>
      </c>
      <c r="BC1345" t="s">
        <v>182</v>
      </c>
      <c r="BD1345" t="s">
        <v>182</v>
      </c>
      <c r="BE1345" t="s">
        <v>383</v>
      </c>
      <c r="BF1345">
        <v>1</v>
      </c>
      <c r="BG1345">
        <v>1</v>
      </c>
      <c r="BH1345">
        <v>1984</v>
      </c>
      <c r="BI1345" t="s">
        <v>17449</v>
      </c>
      <c r="BJ1345" t="s">
        <v>194</v>
      </c>
      <c r="BK1345" t="s">
        <v>195</v>
      </c>
      <c r="BL1345" t="s">
        <v>1720</v>
      </c>
      <c r="BM1345" t="s">
        <v>232</v>
      </c>
      <c r="BN1345" t="s">
        <v>182</v>
      </c>
      <c r="BO1345" t="s">
        <v>17450</v>
      </c>
      <c r="BP1345" t="s">
        <v>17451</v>
      </c>
      <c r="BQ1345" t="s">
        <v>581</v>
      </c>
      <c r="BR1345" t="s">
        <v>1300</v>
      </c>
      <c r="BS1345" t="s">
        <v>198</v>
      </c>
      <c r="BT1345" t="s">
        <v>17452</v>
      </c>
      <c r="BU1345" t="s">
        <v>182</v>
      </c>
      <c r="BV1345" t="s">
        <v>198</v>
      </c>
      <c r="BW1345" t="s">
        <v>198</v>
      </c>
      <c r="BX1345" t="s">
        <v>199</v>
      </c>
      <c r="BY1345" t="s">
        <v>198</v>
      </c>
      <c r="BZ1345" t="s">
        <v>199</v>
      </c>
      <c r="CA1345" t="s">
        <v>199</v>
      </c>
      <c r="CB1345" t="s">
        <v>17453</v>
      </c>
      <c r="CC1345" t="s">
        <v>201</v>
      </c>
      <c r="CD1345" t="s">
        <v>202</v>
      </c>
      <c r="CE1345" t="s">
        <v>17454</v>
      </c>
      <c r="CF1345" t="s">
        <v>2333</v>
      </c>
      <c r="CG1345" t="s">
        <v>177</v>
      </c>
      <c r="CH1345" t="s">
        <v>2334</v>
      </c>
      <c r="CI1345" t="s">
        <v>16889</v>
      </c>
      <c r="CS1345" t="s">
        <v>198</v>
      </c>
      <c r="DC1345" t="s">
        <v>198</v>
      </c>
      <c r="DM1345" t="s">
        <v>198</v>
      </c>
      <c r="DW1345" t="s">
        <v>198</v>
      </c>
      <c r="EG1345" t="s">
        <v>198</v>
      </c>
      <c r="EQ1345" t="s">
        <v>198</v>
      </c>
      <c r="FA1345" t="s">
        <v>198</v>
      </c>
      <c r="FK1345" t="s">
        <v>198</v>
      </c>
      <c r="FU1345" t="s">
        <v>198</v>
      </c>
    </row>
    <row r="1346" spans="1:177">
      <c r="A1346" s="1" t="str">
        <f>HYPERLINK("http://digipan.lumentumllc.com/apps/getLink/index.php?t=PropLink&amp;p=5248084","PL")</f>
        <v>PL</v>
      </c>
      <c r="B1346" s="1" t="str">
        <f>HYPERLINK("http://digipan.lumentumllc.com/apps/getLink/index.php?t=TaxLink&amp;p=5248084","TL")</f>
        <v>TL</v>
      </c>
      <c r="C1346" s="1" t="str">
        <f>HYPERLINK("http://digipan.lumentumllc.com/apps/getMap/index.php?p=5248084","Map")</f>
        <v>Map</v>
      </c>
      <c r="E1346" t="s">
        <v>177</v>
      </c>
      <c r="F1346" t="s">
        <v>178</v>
      </c>
      <c r="L1346" t="s">
        <v>17455</v>
      </c>
      <c r="N1346" t="s">
        <v>17455</v>
      </c>
      <c r="O1346" t="s">
        <v>17455</v>
      </c>
      <c r="P1346" t="s">
        <v>17456</v>
      </c>
      <c r="Q1346" t="s">
        <v>17455</v>
      </c>
      <c r="V1346">
        <v>1540</v>
      </c>
      <c r="W1346">
        <v>5</v>
      </c>
      <c r="X1346">
        <v>2017</v>
      </c>
      <c r="Y1346">
        <v>2018</v>
      </c>
      <c r="Z1346">
        <v>605.12</v>
      </c>
      <c r="AB1346" t="s">
        <v>181</v>
      </c>
      <c r="AC1346" t="s">
        <v>182</v>
      </c>
      <c r="AD1346" t="s">
        <v>183</v>
      </c>
      <c r="AE1346">
        <v>0</v>
      </c>
      <c r="AF1346">
        <v>3</v>
      </c>
      <c r="AG1346" t="s">
        <v>216</v>
      </c>
      <c r="AH1346">
        <v>100</v>
      </c>
      <c r="AK1346">
        <v>0</v>
      </c>
      <c r="AL1346">
        <v>98030</v>
      </c>
      <c r="AM1346">
        <v>28000</v>
      </c>
      <c r="AN1346">
        <v>70030</v>
      </c>
      <c r="AO1346">
        <v>530</v>
      </c>
      <c r="AP1346">
        <v>2016</v>
      </c>
      <c r="AQ1346">
        <v>0.62</v>
      </c>
      <c r="AS1346" t="s">
        <v>17457</v>
      </c>
      <c r="AT1346" t="s">
        <v>3210</v>
      </c>
      <c r="AU1346" t="s">
        <v>177</v>
      </c>
      <c r="AV1346" t="s">
        <v>2334</v>
      </c>
      <c r="AW1346" t="s">
        <v>202</v>
      </c>
      <c r="AX1346">
        <v>2</v>
      </c>
      <c r="AY1346" t="s">
        <v>188</v>
      </c>
      <c r="AZ1346" t="s">
        <v>189</v>
      </c>
      <c r="BA1346" t="s">
        <v>190</v>
      </c>
      <c r="BB1346" t="s">
        <v>191</v>
      </c>
      <c r="BC1346" t="s">
        <v>182</v>
      </c>
      <c r="BD1346" t="s">
        <v>182</v>
      </c>
      <c r="BE1346" t="s">
        <v>1223</v>
      </c>
      <c r="BF1346">
        <v>1</v>
      </c>
      <c r="BG1346">
        <v>1</v>
      </c>
      <c r="BH1346">
        <v>2000</v>
      </c>
      <c r="BI1346" t="s">
        <v>883</v>
      </c>
      <c r="BJ1346" t="s">
        <v>194</v>
      </c>
      <c r="BK1346" t="s">
        <v>195</v>
      </c>
      <c r="BL1346" t="s">
        <v>17458</v>
      </c>
      <c r="BM1346" t="s">
        <v>1332</v>
      </c>
      <c r="BN1346" t="s">
        <v>182</v>
      </c>
      <c r="BO1346" t="s">
        <v>17459</v>
      </c>
      <c r="BP1346" t="s">
        <v>17460</v>
      </c>
      <c r="BQ1346" t="s">
        <v>17461</v>
      </c>
      <c r="BR1346" t="s">
        <v>8265</v>
      </c>
      <c r="BS1346" t="s">
        <v>17462</v>
      </c>
      <c r="BT1346" t="s">
        <v>198</v>
      </c>
      <c r="BU1346" t="s">
        <v>182</v>
      </c>
      <c r="BV1346" t="s">
        <v>198</v>
      </c>
      <c r="BW1346" t="s">
        <v>198</v>
      </c>
      <c r="BX1346" t="s">
        <v>199</v>
      </c>
      <c r="BY1346" t="s">
        <v>198</v>
      </c>
      <c r="BZ1346" t="s">
        <v>199</v>
      </c>
      <c r="CA1346" t="s">
        <v>199</v>
      </c>
      <c r="CB1346" t="s">
        <v>17463</v>
      </c>
      <c r="CC1346" t="s">
        <v>201</v>
      </c>
      <c r="CD1346" t="s">
        <v>182</v>
      </c>
      <c r="CE1346" t="s">
        <v>17464</v>
      </c>
      <c r="CF1346" t="s">
        <v>2333</v>
      </c>
      <c r="CG1346" t="s">
        <v>177</v>
      </c>
      <c r="CH1346" t="s">
        <v>2334</v>
      </c>
      <c r="CI1346" t="s">
        <v>17465</v>
      </c>
      <c r="CJ1346" t="s">
        <v>17466</v>
      </c>
      <c r="CK1346" t="s">
        <v>273</v>
      </c>
      <c r="CL1346" t="s">
        <v>274</v>
      </c>
      <c r="CM1346" t="s">
        <v>1090</v>
      </c>
      <c r="CN1346" t="s">
        <v>235</v>
      </c>
      <c r="CO1346" t="s">
        <v>183</v>
      </c>
      <c r="CP1346" t="s">
        <v>211</v>
      </c>
      <c r="CQ1346" t="s">
        <v>290</v>
      </c>
      <c r="CS1346" t="s">
        <v>7807</v>
      </c>
      <c r="CT1346" t="s">
        <v>17467</v>
      </c>
      <c r="CU1346" t="s">
        <v>238</v>
      </c>
      <c r="CV1346" t="s">
        <v>239</v>
      </c>
      <c r="CW1346" t="s">
        <v>17468</v>
      </c>
      <c r="CX1346" t="s">
        <v>235</v>
      </c>
      <c r="CY1346" t="s">
        <v>183</v>
      </c>
      <c r="CZ1346" t="s">
        <v>211</v>
      </c>
      <c r="DA1346" t="s">
        <v>264</v>
      </c>
      <c r="DC1346" t="s">
        <v>17469</v>
      </c>
      <c r="DD1346" t="s">
        <v>17470</v>
      </c>
      <c r="DE1346" t="s">
        <v>207</v>
      </c>
      <c r="DF1346" t="s">
        <v>208</v>
      </c>
      <c r="DG1346" t="s">
        <v>17471</v>
      </c>
      <c r="DH1346" t="s">
        <v>1966</v>
      </c>
      <c r="DI1346" t="s">
        <v>183</v>
      </c>
      <c r="DJ1346" t="s">
        <v>211</v>
      </c>
      <c r="DK1346" t="s">
        <v>212</v>
      </c>
      <c r="DM1346" t="s">
        <v>17472</v>
      </c>
      <c r="DW1346" t="s">
        <v>198</v>
      </c>
      <c r="EG1346" t="s">
        <v>198</v>
      </c>
      <c r="EQ1346" t="s">
        <v>198</v>
      </c>
      <c r="FA1346" t="s">
        <v>198</v>
      </c>
      <c r="FK1346" t="s">
        <v>198</v>
      </c>
      <c r="FU1346" t="s">
        <v>198</v>
      </c>
    </row>
    <row r="1347" spans="1:177">
      <c r="A1347" s="1" t="str">
        <f>HYPERLINK("http://digipan.lumentumllc.com/apps/getLink/index.php?t=PropLink&amp;p=15760211","PL")</f>
        <v>PL</v>
      </c>
      <c r="B1347" s="1" t="str">
        <f>HYPERLINK("http://digipan.lumentumllc.com/apps/getLink/index.php?t=TaxLink&amp;p=15760211","TL")</f>
        <v>TL</v>
      </c>
      <c r="C1347" s="1" t="str">
        <f>HYPERLINK("http://digipan.lumentumllc.com/apps/getMap/index.php?p=15760211","Map")</f>
        <v>Map</v>
      </c>
      <c r="E1347" t="s">
        <v>177</v>
      </c>
      <c r="F1347" t="s">
        <v>178</v>
      </c>
      <c r="L1347" t="s">
        <v>17473</v>
      </c>
      <c r="N1347" t="s">
        <v>17473</v>
      </c>
      <c r="O1347" t="s">
        <v>17473</v>
      </c>
      <c r="Q1347" t="s">
        <v>17473</v>
      </c>
      <c r="V1347">
        <v>1541</v>
      </c>
      <c r="W1347">
        <v>5</v>
      </c>
      <c r="X1347">
        <v>2017</v>
      </c>
      <c r="Y1347">
        <v>2018</v>
      </c>
      <c r="Z1347">
        <v>321.85000000000002</v>
      </c>
      <c r="AG1347" t="s">
        <v>184</v>
      </c>
      <c r="AH1347">
        <v>0</v>
      </c>
      <c r="AK1347">
        <v>0</v>
      </c>
      <c r="AL1347">
        <v>74197</v>
      </c>
      <c r="AM1347">
        <v>56000</v>
      </c>
      <c r="AN1347">
        <v>18197</v>
      </c>
      <c r="AO1347">
        <v>258</v>
      </c>
      <c r="AP1347">
        <v>2016</v>
      </c>
      <c r="AQ1347">
        <v>0.43</v>
      </c>
      <c r="AS1347" t="s">
        <v>17474</v>
      </c>
      <c r="AT1347" t="s">
        <v>3210</v>
      </c>
      <c r="AU1347" t="s">
        <v>177</v>
      </c>
      <c r="AV1347" t="s">
        <v>2334</v>
      </c>
      <c r="AW1347" t="s">
        <v>202</v>
      </c>
      <c r="AX1347">
        <v>2</v>
      </c>
      <c r="AY1347" t="s">
        <v>188</v>
      </c>
      <c r="AZ1347" t="s">
        <v>189</v>
      </c>
      <c r="BA1347" t="s">
        <v>190</v>
      </c>
      <c r="BB1347" t="s">
        <v>191</v>
      </c>
      <c r="BC1347" t="s">
        <v>182</v>
      </c>
      <c r="BD1347" t="s">
        <v>182</v>
      </c>
      <c r="BE1347" t="s">
        <v>17475</v>
      </c>
      <c r="BF1347">
        <v>1</v>
      </c>
      <c r="BG1347">
        <v>1</v>
      </c>
      <c r="BH1347">
        <v>1988</v>
      </c>
      <c r="BI1347" t="s">
        <v>2563</v>
      </c>
      <c r="BJ1347" t="s">
        <v>194</v>
      </c>
      <c r="BK1347" t="s">
        <v>195</v>
      </c>
      <c r="BL1347" t="s">
        <v>938</v>
      </c>
      <c r="BM1347" t="s">
        <v>1041</v>
      </c>
      <c r="BN1347" t="s">
        <v>182</v>
      </c>
      <c r="BO1347" t="s">
        <v>5326</v>
      </c>
      <c r="BP1347" t="s">
        <v>2911</v>
      </c>
      <c r="BQ1347" t="s">
        <v>1285</v>
      </c>
      <c r="BR1347" t="s">
        <v>1300</v>
      </c>
      <c r="BS1347" t="s">
        <v>198</v>
      </c>
      <c r="BT1347" t="s">
        <v>17476</v>
      </c>
      <c r="BU1347" t="s">
        <v>182</v>
      </c>
      <c r="BV1347" t="s">
        <v>198</v>
      </c>
      <c r="BW1347" t="s">
        <v>198</v>
      </c>
      <c r="BX1347" t="s">
        <v>199</v>
      </c>
      <c r="BY1347" t="s">
        <v>198</v>
      </c>
      <c r="BZ1347" t="s">
        <v>199</v>
      </c>
      <c r="CA1347" t="s">
        <v>199</v>
      </c>
      <c r="CB1347" t="s">
        <v>16763</v>
      </c>
      <c r="CC1347" t="s">
        <v>201</v>
      </c>
      <c r="CD1347" t="s">
        <v>182</v>
      </c>
      <c r="CE1347" t="s">
        <v>16764</v>
      </c>
      <c r="CF1347" t="s">
        <v>2333</v>
      </c>
      <c r="CG1347" t="s">
        <v>177</v>
      </c>
      <c r="CH1347" t="s">
        <v>2334</v>
      </c>
      <c r="CI1347" t="s">
        <v>17477</v>
      </c>
      <c r="CS1347" t="s">
        <v>198</v>
      </c>
      <c r="DC1347" t="s">
        <v>198</v>
      </c>
      <c r="DM1347" t="s">
        <v>198</v>
      </c>
      <c r="DW1347" t="s">
        <v>198</v>
      </c>
      <c r="EG1347" t="s">
        <v>198</v>
      </c>
      <c r="EQ1347" t="s">
        <v>198</v>
      </c>
      <c r="FA1347" t="s">
        <v>198</v>
      </c>
      <c r="FK1347" t="s">
        <v>198</v>
      </c>
      <c r="FU1347" t="s">
        <v>198</v>
      </c>
    </row>
    <row r="1348" spans="1:177">
      <c r="A1348" s="1" t="str">
        <f>HYPERLINK("http://digipan.lumentumllc.com/apps/getLink/index.php?t=PropLink&amp;p=6129520","PL")</f>
        <v>PL</v>
      </c>
      <c r="B1348" s="1" t="str">
        <f>HYPERLINK("http://digipan.lumentumllc.com/apps/getLink/index.php?t=TaxLink&amp;p=6129520","TL")</f>
        <v>TL</v>
      </c>
      <c r="C1348" s="1" t="str">
        <f>HYPERLINK("http://digipan.lumentumllc.com/apps/getMap/index.php?p=6129520","Map")</f>
        <v>Map</v>
      </c>
      <c r="E1348" t="s">
        <v>177</v>
      </c>
      <c r="F1348" t="s">
        <v>178</v>
      </c>
      <c r="L1348" t="s">
        <v>17478</v>
      </c>
      <c r="N1348" t="s">
        <v>17478</v>
      </c>
      <c r="O1348" t="s">
        <v>17478</v>
      </c>
      <c r="P1348" t="s">
        <v>17479</v>
      </c>
      <c r="Q1348" t="s">
        <v>17478</v>
      </c>
      <c r="V1348">
        <v>1542</v>
      </c>
      <c r="W1348">
        <v>5</v>
      </c>
      <c r="X1348">
        <v>2017</v>
      </c>
      <c r="Y1348">
        <v>2018</v>
      </c>
      <c r="Z1348">
        <v>724.59</v>
      </c>
      <c r="AB1348" t="s">
        <v>181</v>
      </c>
      <c r="AC1348" t="s">
        <v>182</v>
      </c>
      <c r="AD1348" t="s">
        <v>183</v>
      </c>
      <c r="AE1348">
        <v>0</v>
      </c>
      <c r="AF1348">
        <v>4</v>
      </c>
      <c r="AG1348" t="s">
        <v>744</v>
      </c>
      <c r="AH1348">
        <v>100</v>
      </c>
      <c r="AK1348">
        <v>0</v>
      </c>
      <c r="AL1348">
        <v>56525</v>
      </c>
      <c r="AM1348">
        <v>28000</v>
      </c>
      <c r="AN1348">
        <v>28525</v>
      </c>
      <c r="AO1348">
        <v>0</v>
      </c>
      <c r="AP1348">
        <v>0</v>
      </c>
      <c r="AQ1348">
        <v>1.28</v>
      </c>
      <c r="AS1348" t="s">
        <v>17480</v>
      </c>
      <c r="AT1348" t="s">
        <v>3210</v>
      </c>
      <c r="AU1348" t="s">
        <v>177</v>
      </c>
      <c r="AV1348" t="s">
        <v>2334</v>
      </c>
      <c r="AW1348" t="s">
        <v>182</v>
      </c>
      <c r="AX1348">
        <v>2</v>
      </c>
      <c r="AY1348" t="s">
        <v>188</v>
      </c>
      <c r="AZ1348" t="s">
        <v>189</v>
      </c>
      <c r="BA1348" t="s">
        <v>190</v>
      </c>
      <c r="BB1348" t="s">
        <v>191</v>
      </c>
      <c r="BC1348" t="s">
        <v>182</v>
      </c>
      <c r="BD1348" t="s">
        <v>182</v>
      </c>
      <c r="BE1348" t="s">
        <v>16848</v>
      </c>
      <c r="BF1348">
        <v>1</v>
      </c>
      <c r="BG1348">
        <v>1</v>
      </c>
      <c r="BH1348">
        <v>2004</v>
      </c>
      <c r="BI1348" t="s">
        <v>8588</v>
      </c>
      <c r="BJ1348" t="s">
        <v>194</v>
      </c>
      <c r="BK1348" t="s">
        <v>195</v>
      </c>
      <c r="BL1348" t="s">
        <v>2115</v>
      </c>
      <c r="BM1348" t="s">
        <v>1332</v>
      </c>
      <c r="BN1348" t="s">
        <v>182</v>
      </c>
      <c r="BO1348" t="s">
        <v>17481</v>
      </c>
      <c r="BP1348" t="s">
        <v>17482</v>
      </c>
      <c r="BR1348" t="s">
        <v>1123</v>
      </c>
      <c r="BS1348" t="s">
        <v>17483</v>
      </c>
      <c r="BT1348" t="s">
        <v>17484</v>
      </c>
      <c r="BU1348" t="s">
        <v>182</v>
      </c>
      <c r="BV1348" t="s">
        <v>198</v>
      </c>
      <c r="BW1348" t="s">
        <v>198</v>
      </c>
      <c r="BX1348" t="s">
        <v>199</v>
      </c>
      <c r="BY1348" t="s">
        <v>198</v>
      </c>
      <c r="BZ1348" t="s">
        <v>199</v>
      </c>
      <c r="CA1348" t="s">
        <v>199</v>
      </c>
      <c r="CB1348" t="s">
        <v>17485</v>
      </c>
      <c r="CC1348" t="s">
        <v>201</v>
      </c>
      <c r="CD1348" t="s">
        <v>182</v>
      </c>
      <c r="CE1348" t="s">
        <v>17486</v>
      </c>
      <c r="CF1348" t="s">
        <v>2333</v>
      </c>
      <c r="CG1348" t="s">
        <v>177</v>
      </c>
      <c r="CH1348" t="s">
        <v>2334</v>
      </c>
      <c r="CI1348" t="s">
        <v>17487</v>
      </c>
      <c r="CJ1348" t="s">
        <v>1320</v>
      </c>
      <c r="CK1348" t="s">
        <v>232</v>
      </c>
      <c r="CL1348" t="s">
        <v>233</v>
      </c>
      <c r="CM1348" t="s">
        <v>4979</v>
      </c>
      <c r="CN1348" t="s">
        <v>235</v>
      </c>
      <c r="CO1348" t="s">
        <v>183</v>
      </c>
      <c r="CP1348" t="s">
        <v>211</v>
      </c>
      <c r="CQ1348" t="s">
        <v>199</v>
      </c>
      <c r="CS1348" t="s">
        <v>913</v>
      </c>
      <c r="CT1348" t="s">
        <v>16229</v>
      </c>
      <c r="CU1348" t="s">
        <v>273</v>
      </c>
      <c r="CV1348" t="s">
        <v>274</v>
      </c>
      <c r="CW1348" t="s">
        <v>17488</v>
      </c>
      <c r="CX1348" t="s">
        <v>235</v>
      </c>
      <c r="CY1348" t="s">
        <v>183</v>
      </c>
      <c r="CZ1348" t="s">
        <v>211</v>
      </c>
      <c r="DA1348" t="s">
        <v>250</v>
      </c>
      <c r="DC1348" t="s">
        <v>15670</v>
      </c>
      <c r="DD1348" t="s">
        <v>17489</v>
      </c>
      <c r="DE1348" t="s">
        <v>302</v>
      </c>
      <c r="DF1348" t="s">
        <v>303</v>
      </c>
      <c r="DG1348" t="s">
        <v>17490</v>
      </c>
      <c r="DH1348" t="s">
        <v>235</v>
      </c>
      <c r="DI1348" t="s">
        <v>183</v>
      </c>
      <c r="DJ1348" t="s">
        <v>211</v>
      </c>
      <c r="DK1348" t="s">
        <v>427</v>
      </c>
      <c r="DM1348" t="s">
        <v>6857</v>
      </c>
      <c r="DN1348" t="s">
        <v>17491</v>
      </c>
      <c r="DO1348" t="s">
        <v>238</v>
      </c>
      <c r="DP1348" t="s">
        <v>239</v>
      </c>
      <c r="DQ1348" t="s">
        <v>17492</v>
      </c>
      <c r="DR1348" t="s">
        <v>440</v>
      </c>
      <c r="DS1348" t="s">
        <v>183</v>
      </c>
      <c r="DT1348" t="s">
        <v>211</v>
      </c>
      <c r="DU1348" t="s">
        <v>290</v>
      </c>
      <c r="DW1348" t="s">
        <v>5469</v>
      </c>
      <c r="EG1348" t="s">
        <v>198</v>
      </c>
      <c r="EQ1348" t="s">
        <v>198</v>
      </c>
      <c r="FA1348" t="s">
        <v>198</v>
      </c>
      <c r="FK1348" t="s">
        <v>198</v>
      </c>
      <c r="FU1348" t="s">
        <v>198</v>
      </c>
    </row>
    <row r="1349" spans="1:177">
      <c r="A1349" s="1" t="str">
        <f>HYPERLINK("http://digipan.lumentumllc.com/apps/getLink/index.php?t=PropLink&amp;p=5248089","PL")</f>
        <v>PL</v>
      </c>
      <c r="B1349" s="1" t="str">
        <f>HYPERLINK("http://digipan.lumentumllc.com/apps/getLink/index.php?t=TaxLink&amp;p=5248089","TL")</f>
        <v>TL</v>
      </c>
      <c r="C1349" s="1" t="str">
        <f>HYPERLINK("http://digipan.lumentumllc.com/apps/getMap/index.php?p=5248089","Map")</f>
        <v>Map</v>
      </c>
      <c r="E1349" t="s">
        <v>177</v>
      </c>
      <c r="F1349" t="s">
        <v>178</v>
      </c>
      <c r="L1349" t="s">
        <v>17493</v>
      </c>
      <c r="N1349" t="s">
        <v>17493</v>
      </c>
      <c r="O1349" t="s">
        <v>17493</v>
      </c>
      <c r="P1349" t="s">
        <v>17494</v>
      </c>
      <c r="Q1349" t="s">
        <v>17493</v>
      </c>
      <c r="V1349">
        <v>1544</v>
      </c>
      <c r="W1349">
        <v>5</v>
      </c>
      <c r="X1349">
        <v>2017</v>
      </c>
      <c r="Y1349">
        <v>2018</v>
      </c>
      <c r="Z1349">
        <v>954.9</v>
      </c>
      <c r="AB1349" t="s">
        <v>181</v>
      </c>
      <c r="AC1349" t="s">
        <v>182</v>
      </c>
      <c r="AD1349" t="s">
        <v>183</v>
      </c>
      <c r="AE1349">
        <v>1</v>
      </c>
      <c r="AF1349">
        <v>6</v>
      </c>
      <c r="AG1349" t="s">
        <v>322</v>
      </c>
      <c r="AH1349">
        <v>83</v>
      </c>
      <c r="AI1349">
        <v>826.81</v>
      </c>
      <c r="AJ1349">
        <v>41.34</v>
      </c>
      <c r="AK1349">
        <v>868.15</v>
      </c>
      <c r="AL1349">
        <v>60735</v>
      </c>
      <c r="AM1349">
        <v>28000</v>
      </c>
      <c r="AN1349">
        <v>32735</v>
      </c>
      <c r="AO1349">
        <v>740</v>
      </c>
      <c r="AP1349">
        <v>2016</v>
      </c>
      <c r="AQ1349">
        <v>1.57</v>
      </c>
      <c r="AR1349">
        <v>1.43</v>
      </c>
      <c r="AS1349" t="s">
        <v>17495</v>
      </c>
      <c r="AT1349" t="s">
        <v>3210</v>
      </c>
      <c r="AU1349" t="s">
        <v>177</v>
      </c>
      <c r="AV1349" t="s">
        <v>2334</v>
      </c>
      <c r="AW1349" t="s">
        <v>182</v>
      </c>
      <c r="AX1349">
        <v>2</v>
      </c>
      <c r="AY1349" t="s">
        <v>188</v>
      </c>
      <c r="AZ1349" t="s">
        <v>189</v>
      </c>
      <c r="BA1349" t="s">
        <v>190</v>
      </c>
      <c r="BB1349" t="s">
        <v>191</v>
      </c>
      <c r="BC1349" t="s">
        <v>182</v>
      </c>
      <c r="BD1349" t="s">
        <v>182</v>
      </c>
      <c r="BE1349" t="s">
        <v>1778</v>
      </c>
      <c r="BF1349">
        <v>1</v>
      </c>
      <c r="BG1349">
        <v>1</v>
      </c>
      <c r="BH1349">
        <v>1997</v>
      </c>
      <c r="BI1349" t="s">
        <v>3824</v>
      </c>
      <c r="BJ1349" t="s">
        <v>194</v>
      </c>
      <c r="BK1349" t="s">
        <v>195</v>
      </c>
      <c r="BL1349" t="s">
        <v>2395</v>
      </c>
      <c r="BM1349" t="s">
        <v>286</v>
      </c>
      <c r="BN1349" t="s">
        <v>182</v>
      </c>
      <c r="BO1349" t="s">
        <v>198</v>
      </c>
      <c r="BP1349" t="s">
        <v>198</v>
      </c>
      <c r="BQ1349" t="s">
        <v>198</v>
      </c>
      <c r="BR1349" t="s">
        <v>198</v>
      </c>
      <c r="BS1349" t="s">
        <v>198</v>
      </c>
      <c r="BT1349" t="s">
        <v>198</v>
      </c>
      <c r="BU1349" t="s">
        <v>182</v>
      </c>
      <c r="BV1349" t="s">
        <v>198</v>
      </c>
      <c r="BW1349" t="s">
        <v>198</v>
      </c>
      <c r="BX1349" t="s">
        <v>199</v>
      </c>
      <c r="BY1349" t="s">
        <v>198</v>
      </c>
      <c r="BZ1349" t="s">
        <v>199</v>
      </c>
      <c r="CA1349" t="s">
        <v>199</v>
      </c>
      <c r="CB1349" t="s">
        <v>17496</v>
      </c>
      <c r="CC1349" t="s">
        <v>201</v>
      </c>
      <c r="CD1349" t="s">
        <v>202</v>
      </c>
      <c r="CE1349" t="s">
        <v>17497</v>
      </c>
      <c r="CF1349" t="s">
        <v>2333</v>
      </c>
      <c r="CG1349" t="s">
        <v>177</v>
      </c>
      <c r="CH1349" t="s">
        <v>2334</v>
      </c>
      <c r="CI1349" t="s">
        <v>17498</v>
      </c>
      <c r="CJ1349" t="s">
        <v>1347</v>
      </c>
      <c r="CK1349" t="s">
        <v>232</v>
      </c>
      <c r="CL1349" t="s">
        <v>233</v>
      </c>
      <c r="CM1349" t="s">
        <v>17499</v>
      </c>
      <c r="CN1349" t="s">
        <v>235</v>
      </c>
      <c r="CO1349" t="s">
        <v>183</v>
      </c>
      <c r="CP1349" t="s">
        <v>266</v>
      </c>
      <c r="CS1349" t="s">
        <v>198</v>
      </c>
      <c r="CT1349" t="s">
        <v>13898</v>
      </c>
      <c r="CU1349" t="s">
        <v>292</v>
      </c>
      <c r="CV1349" t="s">
        <v>293</v>
      </c>
      <c r="CW1349" t="s">
        <v>17500</v>
      </c>
      <c r="CX1349" t="s">
        <v>235</v>
      </c>
      <c r="CY1349" t="s">
        <v>183</v>
      </c>
      <c r="CZ1349" t="s">
        <v>211</v>
      </c>
      <c r="DA1349" t="s">
        <v>298</v>
      </c>
      <c r="DC1349" t="s">
        <v>1066</v>
      </c>
      <c r="DD1349" t="s">
        <v>9073</v>
      </c>
      <c r="DE1349" t="s">
        <v>267</v>
      </c>
      <c r="DF1349" t="s">
        <v>268</v>
      </c>
      <c r="DG1349" t="s">
        <v>17501</v>
      </c>
      <c r="DH1349" t="s">
        <v>235</v>
      </c>
      <c r="DI1349" t="s">
        <v>183</v>
      </c>
      <c r="DJ1349" t="s">
        <v>211</v>
      </c>
      <c r="DK1349" t="s">
        <v>345</v>
      </c>
      <c r="DM1349" t="s">
        <v>13292</v>
      </c>
      <c r="DN1349" t="s">
        <v>5282</v>
      </c>
      <c r="DO1349" t="s">
        <v>302</v>
      </c>
      <c r="DP1349" t="s">
        <v>303</v>
      </c>
      <c r="DQ1349" t="s">
        <v>17502</v>
      </c>
      <c r="DR1349" t="s">
        <v>235</v>
      </c>
      <c r="DS1349" t="s">
        <v>183</v>
      </c>
      <c r="DT1349" t="s">
        <v>211</v>
      </c>
      <c r="DU1349" t="s">
        <v>270</v>
      </c>
      <c r="DW1349" t="s">
        <v>17503</v>
      </c>
      <c r="DX1349" t="s">
        <v>17504</v>
      </c>
      <c r="DY1349" t="s">
        <v>238</v>
      </c>
      <c r="DZ1349" t="s">
        <v>239</v>
      </c>
      <c r="EA1349" t="s">
        <v>17505</v>
      </c>
      <c r="EB1349" t="s">
        <v>278</v>
      </c>
      <c r="EC1349" t="s">
        <v>183</v>
      </c>
      <c r="ED1349" t="s">
        <v>211</v>
      </c>
      <c r="EE1349" t="s">
        <v>298</v>
      </c>
      <c r="EG1349" t="s">
        <v>1815</v>
      </c>
      <c r="EH1349" t="s">
        <v>17506</v>
      </c>
      <c r="EI1349" t="s">
        <v>346</v>
      </c>
      <c r="EJ1349" t="s">
        <v>347</v>
      </c>
      <c r="EK1349" t="s">
        <v>17507</v>
      </c>
      <c r="EL1349" t="s">
        <v>1491</v>
      </c>
      <c r="EM1349" t="s">
        <v>183</v>
      </c>
      <c r="EN1349" t="s">
        <v>211</v>
      </c>
      <c r="EO1349" t="s">
        <v>337</v>
      </c>
      <c r="EQ1349" t="s">
        <v>15031</v>
      </c>
      <c r="ER1349" t="s">
        <v>15965</v>
      </c>
      <c r="ES1349" t="s">
        <v>207</v>
      </c>
      <c r="ET1349" t="s">
        <v>208</v>
      </c>
      <c r="EU1349" t="s">
        <v>17508</v>
      </c>
      <c r="EV1349" t="s">
        <v>254</v>
      </c>
      <c r="EW1349" t="s">
        <v>183</v>
      </c>
      <c r="EX1349" t="s">
        <v>211</v>
      </c>
      <c r="EY1349" t="s">
        <v>298</v>
      </c>
      <c r="FA1349" t="s">
        <v>5492</v>
      </c>
      <c r="FK1349" t="s">
        <v>198</v>
      </c>
      <c r="FU1349" t="s">
        <v>198</v>
      </c>
    </row>
    <row r="1350" spans="1:177">
      <c r="A1350" s="1" t="str">
        <f>HYPERLINK("http://digipan.lumentumllc.com/apps/getLink/index.php?t=PropLink&amp;p=6129522","PL")</f>
        <v>PL</v>
      </c>
      <c r="B1350" s="1" t="str">
        <f>HYPERLINK("http://digipan.lumentumllc.com/apps/getLink/index.php?t=TaxLink&amp;p=6129522","TL")</f>
        <v>TL</v>
      </c>
      <c r="C1350" s="1" t="str">
        <f>HYPERLINK("http://digipan.lumentumllc.com/apps/getMap/index.php?p=6129522","Map")</f>
        <v>Map</v>
      </c>
      <c r="E1350" t="s">
        <v>177</v>
      </c>
      <c r="F1350" t="s">
        <v>178</v>
      </c>
      <c r="L1350" t="s">
        <v>17509</v>
      </c>
      <c r="N1350" t="s">
        <v>17509</v>
      </c>
      <c r="O1350" t="s">
        <v>17509</v>
      </c>
      <c r="P1350" t="s">
        <v>17510</v>
      </c>
      <c r="Q1350" t="s">
        <v>17509</v>
      </c>
      <c r="V1350">
        <v>1545</v>
      </c>
      <c r="W1350">
        <v>5</v>
      </c>
      <c r="X1350">
        <v>2017</v>
      </c>
      <c r="Y1350">
        <v>2018</v>
      </c>
      <c r="Z1350">
        <v>390.39</v>
      </c>
      <c r="AB1350" t="s">
        <v>181</v>
      </c>
      <c r="AC1350" t="s">
        <v>182</v>
      </c>
      <c r="AD1350" t="s">
        <v>183</v>
      </c>
      <c r="AE1350">
        <v>0</v>
      </c>
      <c r="AF1350">
        <v>3</v>
      </c>
      <c r="AG1350" t="s">
        <v>381</v>
      </c>
      <c r="AH1350">
        <v>100</v>
      </c>
      <c r="AK1350">
        <v>0</v>
      </c>
      <c r="AL1350">
        <v>72301</v>
      </c>
      <c r="AM1350">
        <v>28000</v>
      </c>
      <c r="AN1350">
        <v>44301</v>
      </c>
      <c r="AO1350">
        <v>321</v>
      </c>
      <c r="AP1350">
        <v>2016</v>
      </c>
      <c r="AQ1350">
        <v>0.54</v>
      </c>
      <c r="AS1350" t="s">
        <v>17511</v>
      </c>
      <c r="AT1350" t="s">
        <v>3210</v>
      </c>
      <c r="AU1350" t="s">
        <v>177</v>
      </c>
      <c r="AV1350" t="s">
        <v>2334</v>
      </c>
      <c r="AW1350" t="s">
        <v>202</v>
      </c>
      <c r="AX1350">
        <v>2</v>
      </c>
      <c r="AY1350" t="s">
        <v>188</v>
      </c>
      <c r="AZ1350" t="s">
        <v>189</v>
      </c>
      <c r="BA1350" t="s">
        <v>190</v>
      </c>
      <c r="BB1350" t="s">
        <v>191</v>
      </c>
      <c r="BC1350" t="s">
        <v>182</v>
      </c>
      <c r="BD1350" t="s">
        <v>182</v>
      </c>
      <c r="BE1350" t="s">
        <v>899</v>
      </c>
      <c r="BF1350">
        <v>1</v>
      </c>
      <c r="BG1350">
        <v>1</v>
      </c>
      <c r="BH1350">
        <v>1990</v>
      </c>
      <c r="BI1350" t="s">
        <v>14580</v>
      </c>
      <c r="BJ1350" t="s">
        <v>194</v>
      </c>
      <c r="BK1350" t="s">
        <v>195</v>
      </c>
      <c r="BL1350" t="s">
        <v>16455</v>
      </c>
      <c r="BM1350" t="s">
        <v>930</v>
      </c>
      <c r="BN1350" t="s">
        <v>182</v>
      </c>
      <c r="BO1350" t="s">
        <v>198</v>
      </c>
      <c r="BP1350" t="s">
        <v>198</v>
      </c>
      <c r="BQ1350" t="s">
        <v>198</v>
      </c>
      <c r="BR1350" t="s">
        <v>198</v>
      </c>
      <c r="BS1350" t="s">
        <v>198</v>
      </c>
      <c r="BT1350" t="s">
        <v>198</v>
      </c>
      <c r="BU1350" t="s">
        <v>182</v>
      </c>
      <c r="BV1350" t="s">
        <v>198</v>
      </c>
      <c r="BW1350" t="s">
        <v>198</v>
      </c>
      <c r="BX1350" t="s">
        <v>199</v>
      </c>
      <c r="BY1350" t="s">
        <v>198</v>
      </c>
      <c r="BZ1350" t="s">
        <v>199</v>
      </c>
      <c r="CA1350" t="s">
        <v>199</v>
      </c>
      <c r="CB1350" t="s">
        <v>17512</v>
      </c>
      <c r="CC1350" t="s">
        <v>201</v>
      </c>
      <c r="CD1350" t="s">
        <v>182</v>
      </c>
      <c r="CE1350" t="s">
        <v>17513</v>
      </c>
      <c r="CF1350" t="s">
        <v>2333</v>
      </c>
      <c r="CG1350" t="s">
        <v>177</v>
      </c>
      <c r="CH1350" t="s">
        <v>2334</v>
      </c>
      <c r="CI1350" t="s">
        <v>17514</v>
      </c>
      <c r="CJ1350" t="s">
        <v>1373</v>
      </c>
      <c r="CK1350" t="s">
        <v>232</v>
      </c>
      <c r="CL1350" t="s">
        <v>233</v>
      </c>
      <c r="CM1350" t="s">
        <v>17515</v>
      </c>
      <c r="CN1350" t="s">
        <v>235</v>
      </c>
      <c r="CO1350" t="s">
        <v>183</v>
      </c>
      <c r="CP1350" t="s">
        <v>211</v>
      </c>
      <c r="CQ1350" t="s">
        <v>199</v>
      </c>
      <c r="CS1350" t="s">
        <v>7467</v>
      </c>
      <c r="CT1350" t="s">
        <v>13457</v>
      </c>
      <c r="CU1350" t="s">
        <v>292</v>
      </c>
      <c r="CV1350" t="s">
        <v>293</v>
      </c>
      <c r="CW1350" t="s">
        <v>17516</v>
      </c>
      <c r="CX1350" t="s">
        <v>235</v>
      </c>
      <c r="CY1350" t="s">
        <v>183</v>
      </c>
      <c r="CZ1350" t="s">
        <v>211</v>
      </c>
      <c r="DA1350" t="s">
        <v>206</v>
      </c>
      <c r="DC1350" t="s">
        <v>3405</v>
      </c>
      <c r="DD1350" t="s">
        <v>10991</v>
      </c>
      <c r="DE1350" t="s">
        <v>267</v>
      </c>
      <c r="DF1350" t="s">
        <v>268</v>
      </c>
      <c r="DG1350" t="s">
        <v>17517</v>
      </c>
      <c r="DH1350" t="s">
        <v>235</v>
      </c>
      <c r="DI1350" t="s">
        <v>183</v>
      </c>
      <c r="DJ1350" t="s">
        <v>211</v>
      </c>
      <c r="DK1350" t="s">
        <v>206</v>
      </c>
      <c r="DM1350" t="s">
        <v>17518</v>
      </c>
      <c r="DW1350" t="s">
        <v>198</v>
      </c>
      <c r="EG1350" t="s">
        <v>198</v>
      </c>
      <c r="EQ1350" t="s">
        <v>198</v>
      </c>
      <c r="FA1350" t="s">
        <v>198</v>
      </c>
      <c r="FK1350" t="s">
        <v>198</v>
      </c>
      <c r="FU1350" t="s">
        <v>198</v>
      </c>
    </row>
    <row r="1351" spans="1:177">
      <c r="A1351" s="1" t="str">
        <f>HYPERLINK("http://digipan.lumentumllc.com/apps/getLink/index.php?t=PropLink&amp;p=5248091","PL")</f>
        <v>PL</v>
      </c>
      <c r="B1351" s="1" t="str">
        <f>HYPERLINK("http://digipan.lumentumllc.com/apps/getLink/index.php?t=TaxLink&amp;p=5248091","TL")</f>
        <v>TL</v>
      </c>
      <c r="C1351" s="1" t="str">
        <f>HYPERLINK("http://digipan.lumentumllc.com/apps/getMap/index.php?p=5248091","Map")</f>
        <v>Map</v>
      </c>
      <c r="E1351" t="s">
        <v>177</v>
      </c>
      <c r="F1351" t="s">
        <v>178</v>
      </c>
      <c r="L1351" t="s">
        <v>17519</v>
      </c>
      <c r="N1351" t="s">
        <v>17519</v>
      </c>
      <c r="O1351" t="s">
        <v>17519</v>
      </c>
      <c r="P1351" t="s">
        <v>17520</v>
      </c>
      <c r="Q1351" t="s">
        <v>17519</v>
      </c>
      <c r="V1351">
        <v>1546</v>
      </c>
      <c r="W1351">
        <v>5</v>
      </c>
      <c r="X1351">
        <v>2017</v>
      </c>
      <c r="Y1351">
        <v>2018</v>
      </c>
      <c r="Z1351">
        <v>458.47</v>
      </c>
      <c r="AB1351" t="s">
        <v>181</v>
      </c>
      <c r="AC1351" t="s">
        <v>182</v>
      </c>
      <c r="AD1351" t="s">
        <v>183</v>
      </c>
      <c r="AE1351">
        <v>0</v>
      </c>
      <c r="AF1351">
        <v>7</v>
      </c>
      <c r="AG1351" t="s">
        <v>528</v>
      </c>
      <c r="AH1351">
        <v>100</v>
      </c>
      <c r="AK1351">
        <v>0</v>
      </c>
      <c r="AL1351">
        <v>72205</v>
      </c>
      <c r="AM1351">
        <v>28000</v>
      </c>
      <c r="AN1351">
        <v>44205</v>
      </c>
      <c r="AO1351">
        <v>393</v>
      </c>
      <c r="AP1351">
        <v>2016</v>
      </c>
      <c r="AQ1351">
        <v>0.63</v>
      </c>
      <c r="AS1351" t="s">
        <v>17521</v>
      </c>
      <c r="AT1351" t="s">
        <v>3210</v>
      </c>
      <c r="AU1351" t="s">
        <v>177</v>
      </c>
      <c r="AV1351" t="s">
        <v>2334</v>
      </c>
      <c r="AW1351" t="s">
        <v>202</v>
      </c>
      <c r="AX1351">
        <v>2</v>
      </c>
      <c r="AY1351" t="s">
        <v>188</v>
      </c>
      <c r="AZ1351" t="s">
        <v>189</v>
      </c>
      <c r="BA1351" t="s">
        <v>190</v>
      </c>
      <c r="BB1351" t="s">
        <v>191</v>
      </c>
      <c r="BC1351" t="s">
        <v>182</v>
      </c>
      <c r="BD1351" t="s">
        <v>182</v>
      </c>
      <c r="BE1351" t="s">
        <v>899</v>
      </c>
      <c r="BF1351">
        <v>1</v>
      </c>
      <c r="BG1351">
        <v>1</v>
      </c>
      <c r="BH1351">
        <v>1997</v>
      </c>
      <c r="BI1351" t="s">
        <v>1143</v>
      </c>
      <c r="BJ1351" t="s">
        <v>194</v>
      </c>
      <c r="BK1351" t="s">
        <v>195</v>
      </c>
      <c r="BL1351" t="s">
        <v>17522</v>
      </c>
      <c r="BM1351" t="s">
        <v>1825</v>
      </c>
      <c r="BN1351" t="s">
        <v>182</v>
      </c>
      <c r="BO1351" t="s">
        <v>198</v>
      </c>
      <c r="BP1351" t="s">
        <v>198</v>
      </c>
      <c r="BQ1351" t="s">
        <v>198</v>
      </c>
      <c r="BR1351" t="s">
        <v>198</v>
      </c>
      <c r="BS1351" t="s">
        <v>198</v>
      </c>
      <c r="BT1351" t="s">
        <v>198</v>
      </c>
      <c r="BU1351" t="s">
        <v>182</v>
      </c>
      <c r="BV1351" t="s">
        <v>198</v>
      </c>
      <c r="BW1351" t="s">
        <v>198</v>
      </c>
      <c r="BX1351" t="s">
        <v>199</v>
      </c>
      <c r="BY1351" t="s">
        <v>198</v>
      </c>
      <c r="BZ1351" t="s">
        <v>199</v>
      </c>
      <c r="CA1351" t="s">
        <v>199</v>
      </c>
      <c r="CB1351" t="s">
        <v>17523</v>
      </c>
      <c r="CC1351" t="s">
        <v>201</v>
      </c>
      <c r="CD1351" t="s">
        <v>182</v>
      </c>
      <c r="CE1351" t="s">
        <v>17524</v>
      </c>
      <c r="CF1351" t="s">
        <v>2333</v>
      </c>
      <c r="CG1351" t="s">
        <v>177</v>
      </c>
      <c r="CH1351" t="s">
        <v>2334</v>
      </c>
      <c r="CI1351" t="s">
        <v>17525</v>
      </c>
      <c r="CJ1351" t="s">
        <v>13948</v>
      </c>
      <c r="CK1351" t="s">
        <v>292</v>
      </c>
      <c r="CL1351" t="s">
        <v>293</v>
      </c>
      <c r="CM1351" t="s">
        <v>17526</v>
      </c>
      <c r="CN1351" t="s">
        <v>235</v>
      </c>
      <c r="CO1351" t="s">
        <v>183</v>
      </c>
      <c r="CP1351" t="s">
        <v>211</v>
      </c>
      <c r="CQ1351" t="s">
        <v>264</v>
      </c>
      <c r="CS1351" t="s">
        <v>17527</v>
      </c>
      <c r="CT1351" t="s">
        <v>5897</v>
      </c>
      <c r="CU1351" t="s">
        <v>267</v>
      </c>
      <c r="CV1351" t="s">
        <v>268</v>
      </c>
      <c r="CW1351" t="s">
        <v>17528</v>
      </c>
      <c r="CX1351" t="s">
        <v>235</v>
      </c>
      <c r="CY1351" t="s">
        <v>183</v>
      </c>
      <c r="CZ1351" t="s">
        <v>211</v>
      </c>
      <c r="DA1351" t="s">
        <v>471</v>
      </c>
      <c r="DC1351" t="s">
        <v>17527</v>
      </c>
      <c r="DD1351" t="s">
        <v>16242</v>
      </c>
      <c r="DE1351" t="s">
        <v>273</v>
      </c>
      <c r="DF1351" t="s">
        <v>274</v>
      </c>
      <c r="DG1351" t="s">
        <v>17529</v>
      </c>
      <c r="DH1351" t="s">
        <v>235</v>
      </c>
      <c r="DI1351" t="s">
        <v>183</v>
      </c>
      <c r="DJ1351" t="s">
        <v>211</v>
      </c>
      <c r="DK1351" t="s">
        <v>298</v>
      </c>
      <c r="DM1351" t="s">
        <v>871</v>
      </c>
      <c r="DN1351" t="s">
        <v>4209</v>
      </c>
      <c r="DO1351" t="s">
        <v>302</v>
      </c>
      <c r="DP1351" t="s">
        <v>303</v>
      </c>
      <c r="DQ1351" t="s">
        <v>17530</v>
      </c>
      <c r="DR1351" t="s">
        <v>235</v>
      </c>
      <c r="DS1351" t="s">
        <v>183</v>
      </c>
      <c r="DT1351" t="s">
        <v>211</v>
      </c>
      <c r="DU1351" t="s">
        <v>298</v>
      </c>
      <c r="DW1351" t="s">
        <v>437</v>
      </c>
      <c r="DX1351" t="s">
        <v>17531</v>
      </c>
      <c r="DY1351" t="s">
        <v>238</v>
      </c>
      <c r="DZ1351" t="s">
        <v>239</v>
      </c>
      <c r="EA1351" t="s">
        <v>17532</v>
      </c>
      <c r="EB1351" t="s">
        <v>278</v>
      </c>
      <c r="EC1351" t="s">
        <v>183</v>
      </c>
      <c r="ED1351" t="s">
        <v>211</v>
      </c>
      <c r="EE1351" t="s">
        <v>298</v>
      </c>
      <c r="EG1351" t="s">
        <v>1133</v>
      </c>
      <c r="EH1351" t="s">
        <v>17533</v>
      </c>
      <c r="EI1351" t="s">
        <v>346</v>
      </c>
      <c r="EJ1351" t="s">
        <v>347</v>
      </c>
      <c r="EK1351" t="s">
        <v>17534</v>
      </c>
      <c r="EL1351" t="s">
        <v>816</v>
      </c>
      <c r="EM1351" t="s">
        <v>183</v>
      </c>
      <c r="EN1351" t="s">
        <v>211</v>
      </c>
      <c r="EO1351" t="s">
        <v>298</v>
      </c>
      <c r="EQ1351" t="s">
        <v>2473</v>
      </c>
      <c r="ER1351" t="s">
        <v>15504</v>
      </c>
      <c r="ES1351" t="s">
        <v>207</v>
      </c>
      <c r="ET1351" t="s">
        <v>208</v>
      </c>
      <c r="EU1351" t="s">
        <v>17535</v>
      </c>
      <c r="EV1351" t="s">
        <v>1966</v>
      </c>
      <c r="EW1351" t="s">
        <v>183</v>
      </c>
      <c r="EX1351" t="s">
        <v>211</v>
      </c>
      <c r="EY1351" t="s">
        <v>298</v>
      </c>
      <c r="FA1351" t="s">
        <v>4297</v>
      </c>
      <c r="FK1351" t="s">
        <v>198</v>
      </c>
      <c r="FU1351" t="s">
        <v>198</v>
      </c>
    </row>
    <row r="1352" spans="1:177">
      <c r="A1352" s="1" t="str">
        <f>HYPERLINK("http://digipan.lumentumllc.com/apps/getLink/index.php?t=PropLink&amp;p=6462082","PL")</f>
        <v>PL</v>
      </c>
      <c r="B1352" s="1" t="str">
        <f>HYPERLINK("http://digipan.lumentumllc.com/apps/getLink/index.php?t=TaxLink&amp;p=6462082","TL")</f>
        <v>TL</v>
      </c>
      <c r="C1352" s="1" t="str">
        <f>HYPERLINK("http://digipan.lumentumllc.com/apps/getMap/index.php?p=6462082","Map")</f>
        <v>Map</v>
      </c>
      <c r="E1352" t="s">
        <v>177</v>
      </c>
      <c r="F1352" t="s">
        <v>178</v>
      </c>
      <c r="L1352" t="s">
        <v>17536</v>
      </c>
      <c r="N1352" t="s">
        <v>17536</v>
      </c>
      <c r="O1352" t="s">
        <v>17536</v>
      </c>
      <c r="P1352" t="s">
        <v>17537</v>
      </c>
      <c r="Q1352" t="s">
        <v>17536</v>
      </c>
      <c r="V1352">
        <v>1547</v>
      </c>
      <c r="W1352">
        <v>5</v>
      </c>
      <c r="X1352">
        <v>2017</v>
      </c>
      <c r="Y1352">
        <v>2018</v>
      </c>
      <c r="Z1352">
        <v>1999.93</v>
      </c>
      <c r="AB1352" t="s">
        <v>181</v>
      </c>
      <c r="AC1352" t="s">
        <v>182</v>
      </c>
      <c r="AD1352" t="s">
        <v>183</v>
      </c>
      <c r="AE1352">
        <v>0</v>
      </c>
      <c r="AF1352">
        <v>1</v>
      </c>
      <c r="AG1352" t="s">
        <v>821</v>
      </c>
      <c r="AH1352">
        <v>100</v>
      </c>
      <c r="AK1352">
        <v>0</v>
      </c>
      <c r="AL1352">
        <v>120637</v>
      </c>
      <c r="AM1352">
        <v>28000</v>
      </c>
      <c r="AN1352">
        <v>92637</v>
      </c>
      <c r="AO1352">
        <v>492</v>
      </c>
      <c r="AP1352">
        <v>2016</v>
      </c>
      <c r="AQ1352">
        <v>1.66</v>
      </c>
      <c r="AS1352" t="s">
        <v>17538</v>
      </c>
      <c r="AT1352" t="s">
        <v>3210</v>
      </c>
      <c r="AU1352" t="s">
        <v>177</v>
      </c>
      <c r="AV1352" t="s">
        <v>2334</v>
      </c>
      <c r="AW1352" t="s">
        <v>182</v>
      </c>
      <c r="AX1352">
        <v>2</v>
      </c>
      <c r="AY1352" t="s">
        <v>188</v>
      </c>
      <c r="AZ1352" t="s">
        <v>189</v>
      </c>
      <c r="BA1352" t="s">
        <v>190</v>
      </c>
      <c r="BB1352" t="s">
        <v>191</v>
      </c>
      <c r="BC1352" t="s">
        <v>182</v>
      </c>
      <c r="BD1352" t="s">
        <v>182</v>
      </c>
      <c r="BE1352" t="s">
        <v>11478</v>
      </c>
      <c r="BF1352">
        <v>1</v>
      </c>
      <c r="BG1352">
        <v>1</v>
      </c>
      <c r="BH1352">
        <v>2016</v>
      </c>
      <c r="BI1352" t="s">
        <v>2604</v>
      </c>
      <c r="BJ1352" t="s">
        <v>194</v>
      </c>
      <c r="BK1352" t="s">
        <v>195</v>
      </c>
      <c r="BL1352" t="s">
        <v>3768</v>
      </c>
      <c r="BM1352" t="s">
        <v>267</v>
      </c>
      <c r="BN1352" t="s">
        <v>182</v>
      </c>
      <c r="BO1352" t="s">
        <v>198</v>
      </c>
      <c r="BP1352" t="s">
        <v>198</v>
      </c>
      <c r="BQ1352" t="s">
        <v>198</v>
      </c>
      <c r="BR1352" t="s">
        <v>198</v>
      </c>
      <c r="BS1352" t="s">
        <v>198</v>
      </c>
      <c r="BT1352" t="s">
        <v>198</v>
      </c>
      <c r="BU1352" t="s">
        <v>182</v>
      </c>
      <c r="BV1352" t="s">
        <v>198</v>
      </c>
      <c r="BW1352" t="s">
        <v>198</v>
      </c>
      <c r="BX1352" t="s">
        <v>199</v>
      </c>
      <c r="BY1352" t="s">
        <v>198</v>
      </c>
      <c r="BZ1352" t="s">
        <v>199</v>
      </c>
      <c r="CA1352" t="s">
        <v>199</v>
      </c>
      <c r="CB1352" t="s">
        <v>17539</v>
      </c>
      <c r="CC1352" t="s">
        <v>201</v>
      </c>
      <c r="CD1352" t="s">
        <v>182</v>
      </c>
      <c r="CE1352" t="s">
        <v>17540</v>
      </c>
      <c r="CF1352" t="s">
        <v>413</v>
      </c>
      <c r="CG1352" t="s">
        <v>177</v>
      </c>
      <c r="CH1352" t="s">
        <v>4155</v>
      </c>
      <c r="CI1352" t="s">
        <v>17541</v>
      </c>
      <c r="CJ1352" t="s">
        <v>17542</v>
      </c>
      <c r="CK1352" t="s">
        <v>302</v>
      </c>
      <c r="CL1352" t="s">
        <v>303</v>
      </c>
      <c r="CM1352" t="s">
        <v>17543</v>
      </c>
      <c r="CN1352" t="s">
        <v>3342</v>
      </c>
      <c r="CO1352" t="s">
        <v>183</v>
      </c>
      <c r="CP1352" t="s">
        <v>211</v>
      </c>
      <c r="CQ1352" t="s">
        <v>199</v>
      </c>
      <c r="CS1352" t="s">
        <v>17544</v>
      </c>
      <c r="DC1352" t="s">
        <v>198</v>
      </c>
      <c r="DM1352" t="s">
        <v>198</v>
      </c>
      <c r="DW1352" t="s">
        <v>198</v>
      </c>
      <c r="EG1352" t="s">
        <v>198</v>
      </c>
      <c r="EQ1352" t="s">
        <v>198</v>
      </c>
      <c r="FA1352" t="s">
        <v>198</v>
      </c>
      <c r="FK1352" t="s">
        <v>198</v>
      </c>
      <c r="FU1352" t="s">
        <v>198</v>
      </c>
    </row>
    <row r="1353" spans="1:177">
      <c r="A1353" s="1" t="str">
        <f>HYPERLINK("http://digipan.lumentumllc.com/apps/getLink/index.php?t=PropLink&amp;p=6886853","PL")</f>
        <v>PL</v>
      </c>
      <c r="B1353" s="1" t="str">
        <f>HYPERLINK("http://digipan.lumentumllc.com/apps/getLink/index.php?t=TaxLink&amp;p=6886853","TL")</f>
        <v>TL</v>
      </c>
      <c r="C1353" s="1" t="str">
        <f>HYPERLINK("http://digipan.lumentumllc.com/apps/getMap/index.php?p=6886853","Map")</f>
        <v>Map</v>
      </c>
      <c r="E1353" t="s">
        <v>177</v>
      </c>
      <c r="F1353" t="s">
        <v>178</v>
      </c>
      <c r="L1353" t="s">
        <v>17545</v>
      </c>
      <c r="N1353" t="s">
        <v>17545</v>
      </c>
      <c r="O1353" t="s">
        <v>17545</v>
      </c>
      <c r="P1353" t="s">
        <v>17546</v>
      </c>
      <c r="Q1353" t="s">
        <v>17545</v>
      </c>
      <c r="V1353">
        <v>1548</v>
      </c>
      <c r="W1353">
        <v>5</v>
      </c>
      <c r="X1353">
        <v>2017</v>
      </c>
      <c r="Y1353">
        <v>2018</v>
      </c>
      <c r="Z1353">
        <v>1038.29</v>
      </c>
      <c r="AG1353" t="s">
        <v>184</v>
      </c>
      <c r="AH1353">
        <v>0</v>
      </c>
      <c r="AK1353">
        <v>0</v>
      </c>
      <c r="AL1353">
        <v>66785</v>
      </c>
      <c r="AM1353">
        <v>28000</v>
      </c>
      <c r="AN1353">
        <v>38785</v>
      </c>
      <c r="AO1353">
        <v>800</v>
      </c>
      <c r="AP1353">
        <v>2016</v>
      </c>
      <c r="AQ1353">
        <v>1.55</v>
      </c>
      <c r="AS1353" t="s">
        <v>17547</v>
      </c>
      <c r="AT1353" t="s">
        <v>3210</v>
      </c>
      <c r="AU1353" t="s">
        <v>177</v>
      </c>
      <c r="AV1353" t="s">
        <v>2334</v>
      </c>
      <c r="AW1353" t="s">
        <v>182</v>
      </c>
      <c r="AX1353">
        <v>2</v>
      </c>
      <c r="AY1353" t="s">
        <v>188</v>
      </c>
      <c r="AZ1353" t="s">
        <v>189</v>
      </c>
      <c r="BA1353" t="s">
        <v>190</v>
      </c>
      <c r="BB1353" t="s">
        <v>191</v>
      </c>
      <c r="BC1353" t="s">
        <v>182</v>
      </c>
      <c r="BD1353" t="s">
        <v>182</v>
      </c>
      <c r="BE1353" t="s">
        <v>383</v>
      </c>
      <c r="BF1353">
        <v>1</v>
      </c>
      <c r="BG1353">
        <v>1</v>
      </c>
      <c r="BH1353">
        <v>1986</v>
      </c>
      <c r="BI1353" t="s">
        <v>17548</v>
      </c>
      <c r="BJ1353" t="s">
        <v>194</v>
      </c>
      <c r="BK1353" t="s">
        <v>195</v>
      </c>
      <c r="BL1353" t="s">
        <v>1741</v>
      </c>
      <c r="BM1353" t="s">
        <v>238</v>
      </c>
      <c r="BN1353" t="s">
        <v>182</v>
      </c>
      <c r="BO1353" t="s">
        <v>198</v>
      </c>
      <c r="BP1353" t="s">
        <v>198</v>
      </c>
      <c r="BQ1353" t="s">
        <v>198</v>
      </c>
      <c r="BR1353" t="s">
        <v>198</v>
      </c>
      <c r="BS1353" t="s">
        <v>198</v>
      </c>
      <c r="BT1353" t="s">
        <v>198</v>
      </c>
      <c r="BU1353" t="s">
        <v>182</v>
      </c>
      <c r="BV1353" t="s">
        <v>198</v>
      </c>
      <c r="BW1353" t="s">
        <v>198</v>
      </c>
      <c r="BX1353" t="s">
        <v>199</v>
      </c>
      <c r="BY1353" t="s">
        <v>198</v>
      </c>
      <c r="BZ1353" t="s">
        <v>199</v>
      </c>
      <c r="CA1353" t="s">
        <v>199</v>
      </c>
      <c r="CB1353" t="s">
        <v>17549</v>
      </c>
      <c r="CC1353" t="s">
        <v>201</v>
      </c>
      <c r="CD1353" t="s">
        <v>182</v>
      </c>
      <c r="CE1353" t="s">
        <v>17550</v>
      </c>
      <c r="CF1353" t="s">
        <v>2333</v>
      </c>
      <c r="CG1353" t="s">
        <v>177</v>
      </c>
      <c r="CH1353" t="s">
        <v>2334</v>
      </c>
      <c r="CI1353" t="s">
        <v>17551</v>
      </c>
      <c r="CS1353" t="s">
        <v>198</v>
      </c>
      <c r="DC1353" t="s">
        <v>198</v>
      </c>
      <c r="DM1353" t="s">
        <v>198</v>
      </c>
      <c r="DW1353" t="s">
        <v>198</v>
      </c>
      <c r="EG1353" t="s">
        <v>198</v>
      </c>
      <c r="EQ1353" t="s">
        <v>198</v>
      </c>
      <c r="FA1353" t="s">
        <v>198</v>
      </c>
      <c r="FK1353" t="s">
        <v>198</v>
      </c>
      <c r="FU1353" t="s">
        <v>198</v>
      </c>
    </row>
    <row r="1354" spans="1:177">
      <c r="A1354" s="1" t="str">
        <f>HYPERLINK("http://digipan.lumentumllc.com/apps/getLink/index.php?t=PropLink&amp;p=15760260","PL")</f>
        <v>PL</v>
      </c>
      <c r="B1354" s="1" t="str">
        <f>HYPERLINK("http://digipan.lumentumllc.com/apps/getLink/index.php?t=TaxLink&amp;p=15760260","TL")</f>
        <v>TL</v>
      </c>
      <c r="C1354" s="1" t="str">
        <f>HYPERLINK("http://digipan.lumentumllc.com/apps/getMap/index.php?p=15760260","Map")</f>
        <v>Map</v>
      </c>
      <c r="E1354" t="s">
        <v>177</v>
      </c>
      <c r="F1354" t="s">
        <v>178</v>
      </c>
      <c r="L1354" t="s">
        <v>17552</v>
      </c>
      <c r="N1354" t="s">
        <v>17552</v>
      </c>
      <c r="O1354" t="s">
        <v>17552</v>
      </c>
      <c r="Q1354" t="s">
        <v>17552</v>
      </c>
      <c r="V1354">
        <v>1549</v>
      </c>
      <c r="W1354">
        <v>5</v>
      </c>
      <c r="X1354">
        <v>2017</v>
      </c>
      <c r="Y1354">
        <v>2018</v>
      </c>
      <c r="Z1354">
        <v>585.58000000000004</v>
      </c>
      <c r="AG1354" t="s">
        <v>184</v>
      </c>
      <c r="AH1354">
        <v>0</v>
      </c>
      <c r="AK1354">
        <v>0</v>
      </c>
      <c r="AL1354">
        <v>33811</v>
      </c>
      <c r="AM1354">
        <v>28000</v>
      </c>
      <c r="AN1354">
        <v>5811</v>
      </c>
      <c r="AO1354">
        <v>0</v>
      </c>
      <c r="AP1354">
        <v>0</v>
      </c>
      <c r="AQ1354">
        <v>1.73</v>
      </c>
      <c r="AS1354" t="s">
        <v>17553</v>
      </c>
      <c r="AT1354" t="s">
        <v>3210</v>
      </c>
      <c r="AU1354" t="s">
        <v>177</v>
      </c>
      <c r="AV1354" t="s">
        <v>2334</v>
      </c>
      <c r="AW1354" t="s">
        <v>182</v>
      </c>
      <c r="AX1354">
        <v>2</v>
      </c>
      <c r="AY1354" t="s">
        <v>188</v>
      </c>
      <c r="AZ1354" t="s">
        <v>189</v>
      </c>
      <c r="BA1354" t="s">
        <v>190</v>
      </c>
      <c r="BB1354" t="s">
        <v>191</v>
      </c>
      <c r="BC1354" t="s">
        <v>182</v>
      </c>
      <c r="BD1354" t="s">
        <v>182</v>
      </c>
      <c r="BE1354" t="s">
        <v>383</v>
      </c>
      <c r="BF1354">
        <v>1</v>
      </c>
      <c r="BG1354">
        <v>1</v>
      </c>
      <c r="BH1354">
        <v>1968</v>
      </c>
      <c r="BI1354" t="s">
        <v>13652</v>
      </c>
      <c r="BJ1354" t="s">
        <v>285</v>
      </c>
      <c r="BK1354" t="s">
        <v>195</v>
      </c>
      <c r="BL1354" t="s">
        <v>17554</v>
      </c>
      <c r="BM1354" t="s">
        <v>1474</v>
      </c>
      <c r="BN1354" t="s">
        <v>182</v>
      </c>
      <c r="BO1354" t="s">
        <v>198</v>
      </c>
      <c r="BP1354" t="s">
        <v>198</v>
      </c>
      <c r="BQ1354" t="s">
        <v>198</v>
      </c>
      <c r="BR1354" t="s">
        <v>198</v>
      </c>
      <c r="BS1354" t="s">
        <v>198</v>
      </c>
      <c r="BT1354" t="s">
        <v>198</v>
      </c>
      <c r="BU1354" t="s">
        <v>182</v>
      </c>
      <c r="BV1354" t="s">
        <v>198</v>
      </c>
      <c r="BW1354" t="s">
        <v>198</v>
      </c>
      <c r="BX1354" t="s">
        <v>199</v>
      </c>
      <c r="BY1354" t="s">
        <v>198</v>
      </c>
      <c r="BZ1354" t="s">
        <v>199</v>
      </c>
      <c r="CA1354" t="s">
        <v>199</v>
      </c>
      <c r="CB1354" t="s">
        <v>17555</v>
      </c>
      <c r="CC1354" t="s">
        <v>201</v>
      </c>
      <c r="CD1354" t="s">
        <v>182</v>
      </c>
      <c r="CE1354" t="s">
        <v>17556</v>
      </c>
      <c r="CF1354" t="s">
        <v>2333</v>
      </c>
      <c r="CG1354" t="s">
        <v>177</v>
      </c>
      <c r="CH1354" t="s">
        <v>2334</v>
      </c>
      <c r="CI1354" t="s">
        <v>17557</v>
      </c>
      <c r="CS1354" t="s">
        <v>198</v>
      </c>
      <c r="DC1354" t="s">
        <v>198</v>
      </c>
      <c r="DM1354" t="s">
        <v>198</v>
      </c>
      <c r="DW1354" t="s">
        <v>198</v>
      </c>
      <c r="EG1354" t="s">
        <v>198</v>
      </c>
      <c r="EQ1354" t="s">
        <v>198</v>
      </c>
      <c r="FA1354" t="s">
        <v>198</v>
      </c>
      <c r="FK1354" t="s">
        <v>198</v>
      </c>
      <c r="FU1354" t="s">
        <v>198</v>
      </c>
    </row>
    <row r="1355" spans="1:177">
      <c r="A1355" s="1" t="str">
        <f>HYPERLINK("http://digipan.lumentumllc.com/apps/getLink/index.php?t=PropLink&amp;p=5248092","PL")</f>
        <v>PL</v>
      </c>
      <c r="B1355" s="1" t="str">
        <f>HYPERLINK("http://digipan.lumentumllc.com/apps/getLink/index.php?t=TaxLink&amp;p=5248092","TL")</f>
        <v>TL</v>
      </c>
      <c r="C1355" s="1" t="str">
        <f>HYPERLINK("http://digipan.lumentumllc.com/apps/getMap/index.php?p=5248092","Map")</f>
        <v>Map</v>
      </c>
      <c r="E1355" t="s">
        <v>177</v>
      </c>
      <c r="F1355" t="s">
        <v>178</v>
      </c>
      <c r="L1355" t="s">
        <v>17558</v>
      </c>
      <c r="N1355" t="s">
        <v>17558</v>
      </c>
      <c r="O1355" t="s">
        <v>17558</v>
      </c>
      <c r="P1355" t="s">
        <v>17559</v>
      </c>
      <c r="Q1355" t="s">
        <v>17558</v>
      </c>
      <c r="V1355">
        <v>1550</v>
      </c>
      <c r="W1355">
        <v>5</v>
      </c>
      <c r="X1355">
        <v>2017</v>
      </c>
      <c r="Y1355">
        <v>2018</v>
      </c>
      <c r="Z1355">
        <v>1520.45</v>
      </c>
      <c r="AB1355" t="s">
        <v>181</v>
      </c>
      <c r="AC1355" t="s">
        <v>202</v>
      </c>
      <c r="AD1355" t="s">
        <v>183</v>
      </c>
      <c r="AE1355">
        <v>0</v>
      </c>
      <c r="AF1355">
        <v>7</v>
      </c>
      <c r="AG1355" t="s">
        <v>528</v>
      </c>
      <c r="AH1355">
        <v>100</v>
      </c>
      <c r="AK1355">
        <v>0</v>
      </c>
      <c r="AL1355">
        <v>99473</v>
      </c>
      <c r="AM1355">
        <v>28000</v>
      </c>
      <c r="AN1355">
        <v>71473</v>
      </c>
      <c r="AO1355">
        <v>1176</v>
      </c>
      <c r="AP1355">
        <v>2016</v>
      </c>
      <c r="AQ1355">
        <v>1.53</v>
      </c>
      <c r="AS1355" t="s">
        <v>17560</v>
      </c>
      <c r="AT1355" t="s">
        <v>3210</v>
      </c>
      <c r="AU1355" t="s">
        <v>177</v>
      </c>
      <c r="AV1355" t="s">
        <v>2334</v>
      </c>
      <c r="AW1355" t="s">
        <v>182</v>
      </c>
      <c r="AX1355">
        <v>2</v>
      </c>
      <c r="AY1355" t="s">
        <v>188</v>
      </c>
      <c r="AZ1355" t="s">
        <v>189</v>
      </c>
      <c r="BA1355" t="s">
        <v>190</v>
      </c>
      <c r="BB1355" t="s">
        <v>191</v>
      </c>
      <c r="BC1355" t="s">
        <v>182</v>
      </c>
      <c r="BD1355" t="s">
        <v>182</v>
      </c>
      <c r="BE1355" t="s">
        <v>383</v>
      </c>
      <c r="BF1355">
        <v>1</v>
      </c>
      <c r="BG1355">
        <v>1</v>
      </c>
      <c r="BH1355">
        <v>1996</v>
      </c>
      <c r="BI1355" t="s">
        <v>8761</v>
      </c>
      <c r="BJ1355" t="s">
        <v>194</v>
      </c>
      <c r="BK1355" t="s">
        <v>195</v>
      </c>
      <c r="BL1355" t="s">
        <v>9050</v>
      </c>
      <c r="BM1355" t="s">
        <v>1156</v>
      </c>
      <c r="BN1355" t="s">
        <v>182</v>
      </c>
      <c r="BO1355" t="s">
        <v>198</v>
      </c>
      <c r="BP1355" t="s">
        <v>198</v>
      </c>
      <c r="BQ1355" t="s">
        <v>198</v>
      </c>
      <c r="BR1355" t="s">
        <v>198</v>
      </c>
      <c r="BS1355" t="s">
        <v>198</v>
      </c>
      <c r="BT1355" t="s">
        <v>198</v>
      </c>
      <c r="BU1355" t="s">
        <v>182</v>
      </c>
      <c r="BV1355" t="s">
        <v>198</v>
      </c>
      <c r="BW1355" t="s">
        <v>198</v>
      </c>
      <c r="BX1355" t="s">
        <v>199</v>
      </c>
      <c r="BY1355" t="s">
        <v>198</v>
      </c>
      <c r="BZ1355" t="s">
        <v>199</v>
      </c>
      <c r="CA1355" t="s">
        <v>199</v>
      </c>
      <c r="CB1355" t="s">
        <v>17561</v>
      </c>
      <c r="CC1355" t="s">
        <v>201</v>
      </c>
      <c r="CD1355" t="s">
        <v>182</v>
      </c>
      <c r="CE1355" t="s">
        <v>17562</v>
      </c>
      <c r="CF1355" t="s">
        <v>2333</v>
      </c>
      <c r="CG1355" t="s">
        <v>177</v>
      </c>
      <c r="CH1355" t="s">
        <v>2334</v>
      </c>
      <c r="CI1355" t="s">
        <v>17563</v>
      </c>
      <c r="CJ1355" t="s">
        <v>8055</v>
      </c>
      <c r="CK1355" t="s">
        <v>292</v>
      </c>
      <c r="CL1355" t="s">
        <v>293</v>
      </c>
      <c r="CM1355" t="s">
        <v>17564</v>
      </c>
      <c r="CN1355" t="s">
        <v>235</v>
      </c>
      <c r="CO1355" t="s">
        <v>183</v>
      </c>
      <c r="CP1355" t="s">
        <v>211</v>
      </c>
      <c r="CQ1355" t="s">
        <v>270</v>
      </c>
      <c r="CR1355" t="s">
        <v>271</v>
      </c>
      <c r="CS1355" t="s">
        <v>2808</v>
      </c>
      <c r="CT1355" t="s">
        <v>11028</v>
      </c>
      <c r="CU1355" t="s">
        <v>267</v>
      </c>
      <c r="CV1355" t="s">
        <v>268</v>
      </c>
      <c r="CW1355" t="s">
        <v>17565</v>
      </c>
      <c r="CX1355" t="s">
        <v>235</v>
      </c>
      <c r="CY1355" t="s">
        <v>183</v>
      </c>
      <c r="CZ1355" t="s">
        <v>211</v>
      </c>
      <c r="DB1355" t="s">
        <v>271</v>
      </c>
      <c r="DC1355" t="s">
        <v>198</v>
      </c>
      <c r="DD1355" t="s">
        <v>11387</v>
      </c>
      <c r="DE1355" t="s">
        <v>273</v>
      </c>
      <c r="DF1355" t="s">
        <v>274</v>
      </c>
      <c r="DG1355" t="s">
        <v>17566</v>
      </c>
      <c r="DH1355" t="s">
        <v>235</v>
      </c>
      <c r="DI1355" t="s">
        <v>183</v>
      </c>
      <c r="DJ1355" t="s">
        <v>211</v>
      </c>
      <c r="DK1355" t="s">
        <v>493</v>
      </c>
      <c r="DM1355" t="s">
        <v>17567</v>
      </c>
      <c r="DN1355" t="s">
        <v>3162</v>
      </c>
      <c r="DO1355" t="s">
        <v>302</v>
      </c>
      <c r="DP1355" t="s">
        <v>303</v>
      </c>
      <c r="DQ1355" t="s">
        <v>17568</v>
      </c>
      <c r="DR1355" t="s">
        <v>235</v>
      </c>
      <c r="DS1355" t="s">
        <v>183</v>
      </c>
      <c r="DT1355" t="s">
        <v>211</v>
      </c>
      <c r="DU1355" t="s">
        <v>966</v>
      </c>
      <c r="DW1355" t="s">
        <v>17567</v>
      </c>
      <c r="DX1355" t="s">
        <v>17569</v>
      </c>
      <c r="DY1355" t="s">
        <v>238</v>
      </c>
      <c r="DZ1355" t="s">
        <v>239</v>
      </c>
      <c r="EA1355" t="s">
        <v>17570</v>
      </c>
      <c r="EB1355" t="s">
        <v>278</v>
      </c>
      <c r="EC1355" t="s">
        <v>183</v>
      </c>
      <c r="ED1355" t="s">
        <v>211</v>
      </c>
      <c r="EE1355" t="s">
        <v>334</v>
      </c>
      <c r="EG1355" t="s">
        <v>915</v>
      </c>
      <c r="EH1355" t="s">
        <v>17571</v>
      </c>
      <c r="EI1355" t="s">
        <v>346</v>
      </c>
      <c r="EJ1355" t="s">
        <v>347</v>
      </c>
      <c r="EK1355" t="s">
        <v>15931</v>
      </c>
      <c r="EL1355" t="s">
        <v>816</v>
      </c>
      <c r="EM1355" t="s">
        <v>183</v>
      </c>
      <c r="EN1355" t="s">
        <v>211</v>
      </c>
      <c r="EO1355" t="s">
        <v>298</v>
      </c>
      <c r="EQ1355" t="s">
        <v>878</v>
      </c>
      <c r="ER1355" t="s">
        <v>1248</v>
      </c>
      <c r="ES1355" t="s">
        <v>207</v>
      </c>
      <c r="ET1355" t="s">
        <v>208</v>
      </c>
      <c r="EU1355" t="s">
        <v>17572</v>
      </c>
      <c r="EV1355" t="s">
        <v>1966</v>
      </c>
      <c r="EW1355" t="s">
        <v>183</v>
      </c>
      <c r="EX1355" t="s">
        <v>211</v>
      </c>
      <c r="EY1355" t="s">
        <v>345</v>
      </c>
      <c r="FA1355" t="s">
        <v>349</v>
      </c>
      <c r="FK1355" t="s">
        <v>198</v>
      </c>
      <c r="FU1355" t="s">
        <v>198</v>
      </c>
    </row>
    <row r="1356" spans="1:177">
      <c r="A1356" s="1" t="str">
        <f>HYPERLINK("http://digipan.lumentumllc.com/apps/getLink/index.php?t=PropLink&amp;p=6594375","PL")</f>
        <v>PL</v>
      </c>
      <c r="B1356" s="1" t="str">
        <f>HYPERLINK("http://digipan.lumentumllc.com/apps/getLink/index.php?t=TaxLink&amp;p=6594375","TL")</f>
        <v>TL</v>
      </c>
      <c r="C1356" s="1" t="str">
        <f>HYPERLINK("http://digipan.lumentumllc.com/apps/getMap/index.php?p=6594375","Map")</f>
        <v>Map</v>
      </c>
      <c r="E1356" t="s">
        <v>177</v>
      </c>
      <c r="F1356" t="s">
        <v>178</v>
      </c>
      <c r="L1356" t="s">
        <v>17573</v>
      </c>
      <c r="N1356" t="s">
        <v>17573</v>
      </c>
      <c r="O1356" t="s">
        <v>17573</v>
      </c>
      <c r="P1356" t="s">
        <v>17574</v>
      </c>
      <c r="Q1356" t="s">
        <v>17573</v>
      </c>
      <c r="V1356">
        <v>1551</v>
      </c>
      <c r="W1356">
        <v>5</v>
      </c>
      <c r="X1356">
        <v>2017</v>
      </c>
      <c r="Y1356">
        <v>2018</v>
      </c>
      <c r="Z1356">
        <v>364.35</v>
      </c>
      <c r="AB1356" t="s">
        <v>181</v>
      </c>
      <c r="AC1356" t="s">
        <v>202</v>
      </c>
      <c r="AD1356" t="s">
        <v>183</v>
      </c>
      <c r="AE1356">
        <v>1</v>
      </c>
      <c r="AF1356">
        <v>3</v>
      </c>
      <c r="AG1356" t="s">
        <v>257</v>
      </c>
      <c r="AH1356">
        <v>75</v>
      </c>
      <c r="AI1356">
        <v>312.94</v>
      </c>
      <c r="AJ1356">
        <v>15.65</v>
      </c>
      <c r="AK1356">
        <v>328.59</v>
      </c>
      <c r="AL1356">
        <v>44101</v>
      </c>
      <c r="AM1356">
        <v>28000</v>
      </c>
      <c r="AN1356">
        <v>16101</v>
      </c>
      <c r="AO1356">
        <v>264</v>
      </c>
      <c r="AP1356">
        <v>2016</v>
      </c>
      <c r="AQ1356">
        <v>0.83</v>
      </c>
      <c r="AR1356">
        <v>0.75</v>
      </c>
      <c r="AS1356" t="s">
        <v>17575</v>
      </c>
      <c r="AT1356" t="s">
        <v>3210</v>
      </c>
      <c r="AU1356" t="s">
        <v>177</v>
      </c>
      <c r="AV1356" t="s">
        <v>2334</v>
      </c>
      <c r="AW1356" t="s">
        <v>202</v>
      </c>
      <c r="AX1356">
        <v>2</v>
      </c>
      <c r="AY1356" t="s">
        <v>188</v>
      </c>
      <c r="AZ1356" t="s">
        <v>189</v>
      </c>
      <c r="BA1356" t="s">
        <v>190</v>
      </c>
      <c r="BB1356" t="s">
        <v>191</v>
      </c>
      <c r="BC1356" t="s">
        <v>182</v>
      </c>
      <c r="BD1356" t="s">
        <v>182</v>
      </c>
      <c r="BE1356" t="s">
        <v>383</v>
      </c>
      <c r="BF1356">
        <v>1</v>
      </c>
      <c r="BG1356">
        <v>1</v>
      </c>
      <c r="BH1356">
        <v>1993</v>
      </c>
      <c r="BI1356" t="s">
        <v>2209</v>
      </c>
      <c r="BJ1356" t="s">
        <v>194</v>
      </c>
      <c r="BK1356" t="s">
        <v>195</v>
      </c>
      <c r="BL1356" t="s">
        <v>8924</v>
      </c>
      <c r="BM1356" t="s">
        <v>368</v>
      </c>
      <c r="BN1356" t="s">
        <v>182</v>
      </c>
      <c r="BO1356" t="s">
        <v>3683</v>
      </c>
      <c r="BP1356" t="s">
        <v>17576</v>
      </c>
      <c r="BQ1356" t="s">
        <v>800</v>
      </c>
      <c r="BS1356" t="s">
        <v>198</v>
      </c>
      <c r="BT1356" t="s">
        <v>17577</v>
      </c>
      <c r="BU1356" t="s">
        <v>182</v>
      </c>
      <c r="BV1356" t="s">
        <v>198</v>
      </c>
      <c r="BW1356" t="s">
        <v>198</v>
      </c>
      <c r="BX1356" t="s">
        <v>199</v>
      </c>
      <c r="BY1356" t="s">
        <v>198</v>
      </c>
      <c r="BZ1356" t="s">
        <v>199</v>
      </c>
      <c r="CA1356" t="s">
        <v>199</v>
      </c>
      <c r="CB1356" t="s">
        <v>17578</v>
      </c>
      <c r="CC1356" t="s">
        <v>201</v>
      </c>
      <c r="CD1356" t="s">
        <v>202</v>
      </c>
      <c r="CE1356" t="s">
        <v>17579</v>
      </c>
      <c r="CF1356" t="s">
        <v>2333</v>
      </c>
      <c r="CG1356" t="s">
        <v>177</v>
      </c>
      <c r="CH1356" t="s">
        <v>2334</v>
      </c>
      <c r="CI1356" t="s">
        <v>17580</v>
      </c>
      <c r="CJ1356" t="s">
        <v>13269</v>
      </c>
      <c r="CK1356" t="s">
        <v>232</v>
      </c>
      <c r="CL1356" t="s">
        <v>233</v>
      </c>
      <c r="CM1356" t="s">
        <v>17581</v>
      </c>
      <c r="CN1356" t="s">
        <v>235</v>
      </c>
      <c r="CO1356" t="s">
        <v>183</v>
      </c>
      <c r="CP1356" t="s">
        <v>266</v>
      </c>
      <c r="CS1356" t="s">
        <v>198</v>
      </c>
      <c r="CT1356" t="s">
        <v>15115</v>
      </c>
      <c r="CU1356" t="s">
        <v>292</v>
      </c>
      <c r="CV1356" t="s">
        <v>293</v>
      </c>
      <c r="CW1356" t="s">
        <v>17582</v>
      </c>
      <c r="CX1356" t="s">
        <v>408</v>
      </c>
      <c r="CY1356" t="s">
        <v>183</v>
      </c>
      <c r="CZ1356" t="s">
        <v>211</v>
      </c>
      <c r="DA1356" t="s">
        <v>250</v>
      </c>
      <c r="DB1356" t="s">
        <v>271</v>
      </c>
      <c r="DC1356" t="s">
        <v>4374</v>
      </c>
      <c r="DD1356" t="s">
        <v>13486</v>
      </c>
      <c r="DE1356" t="s">
        <v>267</v>
      </c>
      <c r="DF1356" t="s">
        <v>268</v>
      </c>
      <c r="DG1356" t="s">
        <v>17583</v>
      </c>
      <c r="DH1356" t="s">
        <v>235</v>
      </c>
      <c r="DI1356" t="s">
        <v>183</v>
      </c>
      <c r="DJ1356" t="s">
        <v>211</v>
      </c>
      <c r="DK1356" t="s">
        <v>487</v>
      </c>
      <c r="DL1356" t="s">
        <v>271</v>
      </c>
      <c r="DM1356" t="s">
        <v>4374</v>
      </c>
      <c r="DN1356" t="s">
        <v>11426</v>
      </c>
      <c r="DO1356" t="s">
        <v>273</v>
      </c>
      <c r="DP1356" t="s">
        <v>274</v>
      </c>
      <c r="DQ1356" t="s">
        <v>17584</v>
      </c>
      <c r="DR1356" t="s">
        <v>235</v>
      </c>
      <c r="DS1356" t="s">
        <v>183</v>
      </c>
      <c r="DT1356" t="s">
        <v>211</v>
      </c>
      <c r="DV1356" t="s">
        <v>271</v>
      </c>
      <c r="DW1356" t="s">
        <v>198</v>
      </c>
      <c r="EG1356" t="s">
        <v>198</v>
      </c>
      <c r="EQ1356" t="s">
        <v>198</v>
      </c>
      <c r="FA1356" t="s">
        <v>198</v>
      </c>
      <c r="FK1356" t="s">
        <v>198</v>
      </c>
      <c r="FU1356" t="s">
        <v>198</v>
      </c>
    </row>
    <row r="1357" spans="1:177">
      <c r="A1357" s="1" t="str">
        <f>HYPERLINK("http://digipan.lumentumllc.com/apps/getLink/index.php?t=PropLink&amp;p=6462083","PL")</f>
        <v>PL</v>
      </c>
      <c r="B1357" s="1" t="str">
        <f>HYPERLINK("http://digipan.lumentumllc.com/apps/getLink/index.php?t=TaxLink&amp;p=6462083","TL")</f>
        <v>TL</v>
      </c>
      <c r="C1357" s="1" t="str">
        <f>HYPERLINK("http://digipan.lumentumllc.com/apps/getMap/index.php?p=6462083","Map")</f>
        <v>Map</v>
      </c>
      <c r="E1357" t="s">
        <v>177</v>
      </c>
      <c r="F1357" t="s">
        <v>178</v>
      </c>
      <c r="L1357" t="s">
        <v>17585</v>
      </c>
      <c r="N1357" t="s">
        <v>17585</v>
      </c>
      <c r="O1357" t="s">
        <v>17585</v>
      </c>
      <c r="P1357" t="s">
        <v>17586</v>
      </c>
      <c r="Q1357" t="s">
        <v>17585</v>
      </c>
      <c r="V1357">
        <v>1552</v>
      </c>
      <c r="W1357">
        <v>5</v>
      </c>
      <c r="X1357">
        <v>2017</v>
      </c>
      <c r="Y1357">
        <v>2018</v>
      </c>
      <c r="Z1357">
        <v>2353.3200000000002</v>
      </c>
      <c r="AB1357" t="s">
        <v>181</v>
      </c>
      <c r="AC1357" t="s">
        <v>182</v>
      </c>
      <c r="AD1357" t="s">
        <v>183</v>
      </c>
      <c r="AE1357">
        <v>0</v>
      </c>
      <c r="AF1357">
        <v>1</v>
      </c>
      <c r="AG1357" t="s">
        <v>821</v>
      </c>
      <c r="AH1357">
        <v>100</v>
      </c>
      <c r="AK1357">
        <v>0</v>
      </c>
      <c r="AL1357">
        <v>228056</v>
      </c>
      <c r="AM1357">
        <v>97500</v>
      </c>
      <c r="AN1357">
        <v>130556</v>
      </c>
      <c r="AO1357">
        <v>2122</v>
      </c>
      <c r="AP1357">
        <v>2016</v>
      </c>
      <c r="AQ1357">
        <v>1.03</v>
      </c>
      <c r="AS1357" t="s">
        <v>17587</v>
      </c>
      <c r="AT1357" t="s">
        <v>3210</v>
      </c>
      <c r="AU1357" t="s">
        <v>177</v>
      </c>
      <c r="AV1357" t="s">
        <v>2334</v>
      </c>
      <c r="AW1357" t="s">
        <v>202</v>
      </c>
      <c r="AX1357">
        <v>1</v>
      </c>
      <c r="AY1357" t="s">
        <v>188</v>
      </c>
      <c r="AZ1357" t="s">
        <v>206</v>
      </c>
      <c r="BA1357" t="s">
        <v>355</v>
      </c>
      <c r="BB1357" t="s">
        <v>191</v>
      </c>
      <c r="BC1357" t="s">
        <v>182</v>
      </c>
      <c r="BD1357" t="s">
        <v>182</v>
      </c>
      <c r="BE1357" t="s">
        <v>11684</v>
      </c>
      <c r="BF1357">
        <v>1</v>
      </c>
      <c r="BG1357">
        <v>1</v>
      </c>
      <c r="BH1357">
        <v>1996</v>
      </c>
      <c r="BI1357" t="s">
        <v>10095</v>
      </c>
      <c r="BJ1357" t="s">
        <v>396</v>
      </c>
      <c r="BK1357" t="s">
        <v>195</v>
      </c>
      <c r="BL1357" t="s">
        <v>199</v>
      </c>
      <c r="BM1357" t="s">
        <v>1332</v>
      </c>
      <c r="BN1357" t="s">
        <v>182</v>
      </c>
      <c r="BO1357" t="s">
        <v>3184</v>
      </c>
      <c r="BP1357" t="s">
        <v>4714</v>
      </c>
      <c r="BR1357" t="s">
        <v>1461</v>
      </c>
      <c r="BS1357" t="s">
        <v>17588</v>
      </c>
      <c r="BT1357" t="s">
        <v>198</v>
      </c>
      <c r="BU1357" t="s">
        <v>182</v>
      </c>
      <c r="BV1357" t="s">
        <v>198</v>
      </c>
      <c r="BW1357" t="s">
        <v>198</v>
      </c>
      <c r="BX1357" t="s">
        <v>199</v>
      </c>
      <c r="BY1357" t="s">
        <v>198</v>
      </c>
      <c r="BZ1357" t="s">
        <v>199</v>
      </c>
      <c r="CA1357" t="s">
        <v>199</v>
      </c>
      <c r="CB1357" t="s">
        <v>17589</v>
      </c>
      <c r="CC1357" t="s">
        <v>201</v>
      </c>
      <c r="CD1357" t="s">
        <v>182</v>
      </c>
      <c r="CE1357" t="s">
        <v>17590</v>
      </c>
      <c r="CF1357" t="s">
        <v>5331</v>
      </c>
      <c r="CG1357" t="s">
        <v>177</v>
      </c>
      <c r="CH1357" t="s">
        <v>371</v>
      </c>
      <c r="CI1357" t="s">
        <v>9938</v>
      </c>
      <c r="CJ1357" t="s">
        <v>13514</v>
      </c>
      <c r="CK1357" t="s">
        <v>267</v>
      </c>
      <c r="CL1357" t="s">
        <v>268</v>
      </c>
      <c r="CM1357" t="s">
        <v>17591</v>
      </c>
      <c r="CN1357" t="s">
        <v>235</v>
      </c>
      <c r="CO1357" t="s">
        <v>183</v>
      </c>
      <c r="CP1357" t="s">
        <v>211</v>
      </c>
      <c r="CQ1357" t="s">
        <v>212</v>
      </c>
      <c r="CS1357" t="s">
        <v>17436</v>
      </c>
      <c r="DC1357" t="s">
        <v>198</v>
      </c>
      <c r="DM1357" t="s">
        <v>198</v>
      </c>
      <c r="DW1357" t="s">
        <v>198</v>
      </c>
      <c r="EG1357" t="s">
        <v>198</v>
      </c>
      <c r="EQ1357" t="s">
        <v>198</v>
      </c>
      <c r="FA1357" t="s">
        <v>198</v>
      </c>
      <c r="FK1357" t="s">
        <v>198</v>
      </c>
      <c r="FU1357" t="s">
        <v>198</v>
      </c>
    </row>
    <row r="1358" spans="1:177">
      <c r="A1358" s="1" t="str">
        <f>HYPERLINK("http://digipan.lumentumllc.com/apps/getLink/index.php?t=PropLink&amp;p=5248095","PL")</f>
        <v>PL</v>
      </c>
      <c r="B1358" s="1" t="str">
        <f>HYPERLINK("http://digipan.lumentumllc.com/apps/getLink/index.php?t=TaxLink&amp;p=5248095","TL")</f>
        <v>TL</v>
      </c>
      <c r="C1358" s="1" t="str">
        <f>HYPERLINK("http://digipan.lumentumllc.com/apps/getMap/index.php?p=5248095","Map")</f>
        <v>Map</v>
      </c>
      <c r="E1358" t="s">
        <v>177</v>
      </c>
      <c r="F1358" t="s">
        <v>178</v>
      </c>
      <c r="L1358" t="s">
        <v>17592</v>
      </c>
      <c r="N1358" t="s">
        <v>17592</v>
      </c>
      <c r="O1358" t="s">
        <v>17592</v>
      </c>
      <c r="P1358" t="s">
        <v>17593</v>
      </c>
      <c r="Q1358" t="s">
        <v>17592</v>
      </c>
      <c r="V1358">
        <v>1554</v>
      </c>
      <c r="W1358">
        <v>5</v>
      </c>
      <c r="X1358">
        <v>2017</v>
      </c>
      <c r="Y1358">
        <v>2018</v>
      </c>
      <c r="Z1358">
        <v>2090.9499999999998</v>
      </c>
      <c r="AB1358" t="s">
        <v>181</v>
      </c>
      <c r="AC1358" t="s">
        <v>182</v>
      </c>
      <c r="AD1358" t="s">
        <v>183</v>
      </c>
      <c r="AE1358">
        <v>0</v>
      </c>
      <c r="AF1358">
        <v>4</v>
      </c>
      <c r="AG1358" t="s">
        <v>744</v>
      </c>
      <c r="AH1358">
        <v>100</v>
      </c>
      <c r="AK1358">
        <v>0</v>
      </c>
      <c r="AL1358">
        <v>181738</v>
      </c>
      <c r="AM1358">
        <v>75000</v>
      </c>
      <c r="AN1358">
        <v>106738</v>
      </c>
      <c r="AO1358">
        <v>1881</v>
      </c>
      <c r="AP1358">
        <v>2016</v>
      </c>
      <c r="AQ1358">
        <v>1.1499999999999999</v>
      </c>
      <c r="AS1358" t="s">
        <v>17594</v>
      </c>
      <c r="AT1358" t="s">
        <v>3210</v>
      </c>
      <c r="AU1358" t="s">
        <v>177</v>
      </c>
      <c r="AV1358" t="s">
        <v>2334</v>
      </c>
      <c r="AW1358" t="s">
        <v>202</v>
      </c>
      <c r="AX1358">
        <v>1</v>
      </c>
      <c r="AY1358" t="s">
        <v>188</v>
      </c>
      <c r="AZ1358" t="s">
        <v>206</v>
      </c>
      <c r="BA1358" t="s">
        <v>355</v>
      </c>
      <c r="BB1358" t="s">
        <v>191</v>
      </c>
      <c r="BC1358" t="s">
        <v>182</v>
      </c>
      <c r="BD1358" t="s">
        <v>182</v>
      </c>
      <c r="BE1358" t="s">
        <v>3956</v>
      </c>
      <c r="BF1358">
        <v>1</v>
      </c>
      <c r="BG1358">
        <v>1</v>
      </c>
      <c r="BH1358">
        <v>2014</v>
      </c>
      <c r="BI1358" t="s">
        <v>6846</v>
      </c>
      <c r="BJ1358" t="s">
        <v>248</v>
      </c>
      <c r="BK1358" t="s">
        <v>195</v>
      </c>
      <c r="BL1358" t="s">
        <v>199</v>
      </c>
      <c r="BM1358" t="s">
        <v>325</v>
      </c>
      <c r="BN1358" t="s">
        <v>182</v>
      </c>
      <c r="BO1358" t="s">
        <v>198</v>
      </c>
      <c r="BP1358" t="s">
        <v>198</v>
      </c>
      <c r="BQ1358" t="s">
        <v>198</v>
      </c>
      <c r="BR1358" t="s">
        <v>198</v>
      </c>
      <c r="BS1358" t="s">
        <v>198</v>
      </c>
      <c r="BT1358" t="s">
        <v>198</v>
      </c>
      <c r="BU1358" t="s">
        <v>182</v>
      </c>
      <c r="BV1358" t="s">
        <v>198</v>
      </c>
      <c r="BW1358" t="s">
        <v>198</v>
      </c>
      <c r="BX1358" t="s">
        <v>199</v>
      </c>
      <c r="BY1358" t="s">
        <v>198</v>
      </c>
      <c r="BZ1358" t="s">
        <v>199</v>
      </c>
      <c r="CA1358" t="s">
        <v>199</v>
      </c>
      <c r="CB1358" t="s">
        <v>17595</v>
      </c>
      <c r="CC1358" t="s">
        <v>201</v>
      </c>
      <c r="CD1358" t="s">
        <v>182</v>
      </c>
      <c r="CE1358" t="s">
        <v>17596</v>
      </c>
      <c r="CF1358" t="s">
        <v>2333</v>
      </c>
      <c r="CG1358" t="s">
        <v>177</v>
      </c>
      <c r="CH1358" t="s">
        <v>2334</v>
      </c>
      <c r="CI1358" t="s">
        <v>15533</v>
      </c>
      <c r="CJ1358" t="s">
        <v>16504</v>
      </c>
      <c r="CK1358" t="s">
        <v>232</v>
      </c>
      <c r="CL1358" t="s">
        <v>233</v>
      </c>
      <c r="CM1358" t="s">
        <v>17597</v>
      </c>
      <c r="CN1358" t="s">
        <v>235</v>
      </c>
      <c r="CO1358" t="s">
        <v>183</v>
      </c>
      <c r="CP1358" t="s">
        <v>211</v>
      </c>
      <c r="CQ1358" t="s">
        <v>189</v>
      </c>
      <c r="CS1358" t="s">
        <v>17598</v>
      </c>
      <c r="CT1358" t="s">
        <v>3333</v>
      </c>
      <c r="CU1358" t="s">
        <v>292</v>
      </c>
      <c r="CV1358" t="s">
        <v>293</v>
      </c>
      <c r="CW1358" t="s">
        <v>17599</v>
      </c>
      <c r="CX1358" t="s">
        <v>235</v>
      </c>
      <c r="CY1358" t="s">
        <v>183</v>
      </c>
      <c r="CZ1358" t="s">
        <v>211</v>
      </c>
      <c r="DA1358" t="s">
        <v>199</v>
      </c>
      <c r="DC1358" t="s">
        <v>17600</v>
      </c>
      <c r="DD1358" t="s">
        <v>17601</v>
      </c>
      <c r="DE1358" t="s">
        <v>238</v>
      </c>
      <c r="DF1358" t="s">
        <v>239</v>
      </c>
      <c r="DG1358" t="s">
        <v>17602</v>
      </c>
      <c r="DH1358" t="s">
        <v>235</v>
      </c>
      <c r="DI1358" t="s">
        <v>183</v>
      </c>
      <c r="DJ1358" t="s">
        <v>211</v>
      </c>
      <c r="DK1358" t="s">
        <v>199</v>
      </c>
      <c r="DM1358" t="s">
        <v>3572</v>
      </c>
      <c r="DN1358" t="s">
        <v>11494</v>
      </c>
      <c r="DO1358" t="s">
        <v>346</v>
      </c>
      <c r="DP1358" t="s">
        <v>347</v>
      </c>
      <c r="DQ1358" t="s">
        <v>17603</v>
      </c>
      <c r="DR1358" t="s">
        <v>235</v>
      </c>
      <c r="DS1358" t="s">
        <v>183</v>
      </c>
      <c r="DT1358" t="s">
        <v>211</v>
      </c>
      <c r="DU1358" t="s">
        <v>199</v>
      </c>
      <c r="DW1358" t="s">
        <v>17604</v>
      </c>
      <c r="EG1358" t="s">
        <v>198</v>
      </c>
      <c r="EQ1358" t="s">
        <v>198</v>
      </c>
      <c r="FA1358" t="s">
        <v>198</v>
      </c>
      <c r="FK1358" t="s">
        <v>198</v>
      </c>
      <c r="FU1358" t="s">
        <v>198</v>
      </c>
    </row>
    <row r="1359" spans="1:177">
      <c r="A1359" s="1" t="str">
        <f>HYPERLINK("http://digipan.lumentumllc.com/apps/getLink/index.php?t=PropLink&amp;p=5248096","PL")</f>
        <v>PL</v>
      </c>
      <c r="B1359" s="1" t="str">
        <f>HYPERLINK("http://digipan.lumentumllc.com/apps/getLink/index.php?t=TaxLink&amp;p=5248096","TL")</f>
        <v>TL</v>
      </c>
      <c r="C1359" s="1" t="str">
        <f>HYPERLINK("http://digipan.lumentumllc.com/apps/getMap/index.php?p=5248096","Map")</f>
        <v>Map</v>
      </c>
      <c r="E1359" t="s">
        <v>177</v>
      </c>
      <c r="F1359" t="s">
        <v>178</v>
      </c>
      <c r="L1359" t="s">
        <v>17605</v>
      </c>
      <c r="N1359" t="s">
        <v>17605</v>
      </c>
      <c r="O1359" t="s">
        <v>17605</v>
      </c>
      <c r="P1359" t="s">
        <v>17606</v>
      </c>
      <c r="Q1359" t="s">
        <v>17605</v>
      </c>
      <c r="V1359">
        <v>1555</v>
      </c>
      <c r="W1359">
        <v>5</v>
      </c>
      <c r="X1359">
        <v>2017</v>
      </c>
      <c r="Y1359">
        <v>2018</v>
      </c>
      <c r="Z1359">
        <v>974.39</v>
      </c>
      <c r="AB1359" t="s">
        <v>181</v>
      </c>
      <c r="AC1359" t="s">
        <v>182</v>
      </c>
      <c r="AD1359" t="s">
        <v>183</v>
      </c>
      <c r="AE1359">
        <v>1</v>
      </c>
      <c r="AF1359">
        <v>6</v>
      </c>
      <c r="AG1359" t="s">
        <v>418</v>
      </c>
      <c r="AH1359">
        <v>86</v>
      </c>
      <c r="AI1359">
        <v>952.23</v>
      </c>
      <c r="AJ1359">
        <v>47.61</v>
      </c>
      <c r="AK1359">
        <v>999.84</v>
      </c>
      <c r="AL1359">
        <v>141145</v>
      </c>
      <c r="AM1359">
        <v>37500</v>
      </c>
      <c r="AN1359">
        <v>103645</v>
      </c>
      <c r="AO1359">
        <v>856</v>
      </c>
      <c r="AP1359">
        <v>2016</v>
      </c>
      <c r="AQ1359">
        <v>0.69</v>
      </c>
      <c r="AR1359">
        <v>0.71</v>
      </c>
      <c r="AS1359" t="s">
        <v>17607</v>
      </c>
      <c r="AT1359" t="s">
        <v>3210</v>
      </c>
      <c r="AU1359" t="s">
        <v>177</v>
      </c>
      <c r="AV1359" t="s">
        <v>2334</v>
      </c>
      <c r="AW1359" t="s">
        <v>202</v>
      </c>
      <c r="AX1359">
        <v>1</v>
      </c>
      <c r="AY1359" t="s">
        <v>188</v>
      </c>
      <c r="AZ1359" t="s">
        <v>206</v>
      </c>
      <c r="BA1359" t="s">
        <v>355</v>
      </c>
      <c r="BB1359" t="s">
        <v>191</v>
      </c>
      <c r="BC1359" t="s">
        <v>182</v>
      </c>
      <c r="BD1359" t="s">
        <v>182</v>
      </c>
      <c r="BE1359" t="s">
        <v>498</v>
      </c>
      <c r="BF1359">
        <v>1</v>
      </c>
      <c r="BG1359">
        <v>1</v>
      </c>
      <c r="BH1359">
        <v>1991</v>
      </c>
      <c r="BI1359" t="s">
        <v>16382</v>
      </c>
      <c r="BJ1359" t="s">
        <v>194</v>
      </c>
      <c r="BK1359" t="s">
        <v>195</v>
      </c>
      <c r="BL1359" t="s">
        <v>199</v>
      </c>
      <c r="BM1359" t="s">
        <v>533</v>
      </c>
      <c r="BN1359" t="s">
        <v>182</v>
      </c>
      <c r="BO1359" t="s">
        <v>198</v>
      </c>
      <c r="BP1359" t="s">
        <v>198</v>
      </c>
      <c r="BQ1359" t="s">
        <v>198</v>
      </c>
      <c r="BR1359" t="s">
        <v>198</v>
      </c>
      <c r="BS1359" t="s">
        <v>198</v>
      </c>
      <c r="BT1359" t="s">
        <v>198</v>
      </c>
      <c r="BU1359" t="s">
        <v>182</v>
      </c>
      <c r="BV1359" t="s">
        <v>198</v>
      </c>
      <c r="BW1359" t="s">
        <v>198</v>
      </c>
      <c r="BX1359" t="s">
        <v>199</v>
      </c>
      <c r="BY1359" t="s">
        <v>198</v>
      </c>
      <c r="BZ1359" t="s">
        <v>199</v>
      </c>
      <c r="CA1359" t="s">
        <v>199</v>
      </c>
      <c r="CB1359" t="s">
        <v>17608</v>
      </c>
      <c r="CC1359" t="s">
        <v>1407</v>
      </c>
      <c r="CD1359" t="s">
        <v>182</v>
      </c>
      <c r="CE1359" t="s">
        <v>17609</v>
      </c>
      <c r="CF1359" t="s">
        <v>2333</v>
      </c>
      <c r="CG1359" t="s">
        <v>177</v>
      </c>
      <c r="CH1359" t="s">
        <v>2334</v>
      </c>
      <c r="CI1359" t="s">
        <v>9768</v>
      </c>
      <c r="CJ1359" t="s">
        <v>5764</v>
      </c>
      <c r="CK1359" t="s">
        <v>232</v>
      </c>
      <c r="CL1359" t="s">
        <v>233</v>
      </c>
      <c r="CM1359" t="s">
        <v>17610</v>
      </c>
      <c r="CN1359" t="s">
        <v>235</v>
      </c>
      <c r="CO1359" t="s">
        <v>183</v>
      </c>
      <c r="CP1359" t="s">
        <v>266</v>
      </c>
      <c r="CS1359" t="s">
        <v>198</v>
      </c>
      <c r="CT1359" t="s">
        <v>517</v>
      </c>
      <c r="CU1359" t="s">
        <v>292</v>
      </c>
      <c r="CV1359" t="s">
        <v>293</v>
      </c>
      <c r="CW1359" t="s">
        <v>17611</v>
      </c>
      <c r="CX1359" t="s">
        <v>235</v>
      </c>
      <c r="CY1359" t="s">
        <v>183</v>
      </c>
      <c r="CZ1359" t="s">
        <v>211</v>
      </c>
      <c r="DA1359" t="s">
        <v>298</v>
      </c>
      <c r="DC1359" t="s">
        <v>4914</v>
      </c>
      <c r="DD1359" t="s">
        <v>12799</v>
      </c>
      <c r="DE1359" t="s">
        <v>267</v>
      </c>
      <c r="DF1359" t="s">
        <v>268</v>
      </c>
      <c r="DG1359" t="s">
        <v>17612</v>
      </c>
      <c r="DH1359" t="s">
        <v>235</v>
      </c>
      <c r="DI1359" t="s">
        <v>183</v>
      </c>
      <c r="DJ1359" t="s">
        <v>211</v>
      </c>
      <c r="DK1359" t="s">
        <v>298</v>
      </c>
      <c r="DM1359" t="s">
        <v>2670</v>
      </c>
      <c r="DN1359" t="s">
        <v>16342</v>
      </c>
      <c r="DO1359" t="s">
        <v>273</v>
      </c>
      <c r="DP1359" t="s">
        <v>274</v>
      </c>
      <c r="DQ1359" t="s">
        <v>17613</v>
      </c>
      <c r="DR1359" t="s">
        <v>235</v>
      </c>
      <c r="DS1359" t="s">
        <v>183</v>
      </c>
      <c r="DT1359" t="s">
        <v>211</v>
      </c>
      <c r="DU1359" t="s">
        <v>298</v>
      </c>
      <c r="DW1359" t="s">
        <v>2749</v>
      </c>
      <c r="DX1359" t="s">
        <v>5126</v>
      </c>
      <c r="DY1359" t="s">
        <v>302</v>
      </c>
      <c r="DZ1359" t="s">
        <v>303</v>
      </c>
      <c r="EA1359" t="s">
        <v>17614</v>
      </c>
      <c r="EB1359" t="s">
        <v>235</v>
      </c>
      <c r="EC1359" t="s">
        <v>183</v>
      </c>
      <c r="ED1359" t="s">
        <v>211</v>
      </c>
      <c r="EE1359" t="s">
        <v>298</v>
      </c>
      <c r="EG1359" t="s">
        <v>2359</v>
      </c>
      <c r="EH1359" t="s">
        <v>17615</v>
      </c>
      <c r="EI1359" t="s">
        <v>238</v>
      </c>
      <c r="EJ1359" t="s">
        <v>239</v>
      </c>
      <c r="EK1359" t="s">
        <v>17616</v>
      </c>
      <c r="EL1359" t="s">
        <v>235</v>
      </c>
      <c r="EM1359" t="s">
        <v>183</v>
      </c>
      <c r="EN1359" t="s">
        <v>211</v>
      </c>
      <c r="EO1359" t="s">
        <v>298</v>
      </c>
      <c r="EQ1359" t="s">
        <v>9167</v>
      </c>
      <c r="ER1359" t="s">
        <v>17617</v>
      </c>
      <c r="ES1359" t="s">
        <v>346</v>
      </c>
      <c r="ET1359" t="s">
        <v>347</v>
      </c>
      <c r="EU1359" t="s">
        <v>17618</v>
      </c>
      <c r="EV1359" t="s">
        <v>235</v>
      </c>
      <c r="EW1359" t="s">
        <v>183</v>
      </c>
      <c r="EX1359" t="s">
        <v>211</v>
      </c>
      <c r="EY1359" t="s">
        <v>212</v>
      </c>
      <c r="FA1359" t="s">
        <v>17619</v>
      </c>
      <c r="FK1359" t="s">
        <v>198</v>
      </c>
      <c r="FU1359" t="s">
        <v>198</v>
      </c>
    </row>
    <row r="1360" spans="1:177">
      <c r="A1360" s="1" t="str">
        <f>HYPERLINK("http://digipan.lumentumllc.com/apps/getLink/index.php?t=PropLink&amp;p=6129529","PL")</f>
        <v>PL</v>
      </c>
      <c r="B1360" s="1" t="str">
        <f>HYPERLINK("http://digipan.lumentumllc.com/apps/getLink/index.php?t=TaxLink&amp;p=6129529","TL")</f>
        <v>TL</v>
      </c>
      <c r="C1360" s="1" t="str">
        <f>HYPERLINK("http://digipan.lumentumllc.com/apps/getMap/index.php?p=6129529","Map")</f>
        <v>Map</v>
      </c>
      <c r="E1360" t="s">
        <v>177</v>
      </c>
      <c r="F1360" t="s">
        <v>178</v>
      </c>
      <c r="L1360" t="s">
        <v>17620</v>
      </c>
      <c r="N1360" t="s">
        <v>17620</v>
      </c>
      <c r="O1360" t="s">
        <v>17620</v>
      </c>
      <c r="P1360" t="s">
        <v>17621</v>
      </c>
      <c r="Q1360" t="s">
        <v>17620</v>
      </c>
      <c r="V1360">
        <v>1556</v>
      </c>
      <c r="W1360">
        <v>5</v>
      </c>
      <c r="X1360">
        <v>2017</v>
      </c>
      <c r="Y1360">
        <v>2018</v>
      </c>
      <c r="Z1360">
        <v>2143.48</v>
      </c>
      <c r="AB1360" t="s">
        <v>181</v>
      </c>
      <c r="AC1360" t="s">
        <v>182</v>
      </c>
      <c r="AD1360" t="s">
        <v>183</v>
      </c>
      <c r="AE1360">
        <v>0</v>
      </c>
      <c r="AF1360">
        <v>1</v>
      </c>
      <c r="AG1360" t="s">
        <v>821</v>
      </c>
      <c r="AH1360">
        <v>100</v>
      </c>
      <c r="AK1360">
        <v>0</v>
      </c>
      <c r="AL1360">
        <v>128964</v>
      </c>
      <c r="AM1360">
        <v>28000</v>
      </c>
      <c r="AN1360">
        <v>100964</v>
      </c>
      <c r="AO1360">
        <v>1805</v>
      </c>
      <c r="AP1360">
        <v>2016</v>
      </c>
      <c r="AQ1360">
        <v>1.66</v>
      </c>
      <c r="AS1360" t="s">
        <v>17622</v>
      </c>
      <c r="AT1360" t="s">
        <v>3210</v>
      </c>
      <c r="AU1360" t="s">
        <v>177</v>
      </c>
      <c r="AV1360" t="s">
        <v>2334</v>
      </c>
      <c r="AW1360" t="s">
        <v>182</v>
      </c>
      <c r="AX1360">
        <v>1</v>
      </c>
      <c r="AY1360" t="s">
        <v>188</v>
      </c>
      <c r="AZ1360" t="s">
        <v>206</v>
      </c>
      <c r="BA1360" t="s">
        <v>355</v>
      </c>
      <c r="BB1360" t="s">
        <v>191</v>
      </c>
      <c r="BC1360" t="s">
        <v>182</v>
      </c>
      <c r="BD1360" t="s">
        <v>182</v>
      </c>
      <c r="BE1360" t="s">
        <v>383</v>
      </c>
      <c r="BF1360">
        <v>1</v>
      </c>
      <c r="BG1360">
        <v>1</v>
      </c>
      <c r="BH1360">
        <v>1979</v>
      </c>
      <c r="BI1360" t="s">
        <v>5486</v>
      </c>
      <c r="BJ1360" t="s">
        <v>194</v>
      </c>
      <c r="BK1360" t="s">
        <v>195</v>
      </c>
      <c r="BL1360" t="s">
        <v>17623</v>
      </c>
      <c r="BM1360" t="s">
        <v>292</v>
      </c>
      <c r="BN1360" t="s">
        <v>182</v>
      </c>
      <c r="BO1360" t="s">
        <v>17624</v>
      </c>
      <c r="BP1360" t="s">
        <v>1696</v>
      </c>
      <c r="BQ1360" t="s">
        <v>17625</v>
      </c>
      <c r="BR1360" t="s">
        <v>17626</v>
      </c>
      <c r="BS1360" t="s">
        <v>17627</v>
      </c>
      <c r="BT1360" t="s">
        <v>198</v>
      </c>
      <c r="BU1360" t="s">
        <v>182</v>
      </c>
      <c r="BV1360" t="s">
        <v>198</v>
      </c>
      <c r="BW1360" t="s">
        <v>198</v>
      </c>
      <c r="BX1360" t="s">
        <v>199</v>
      </c>
      <c r="BY1360" t="s">
        <v>198</v>
      </c>
      <c r="BZ1360" t="s">
        <v>199</v>
      </c>
      <c r="CA1360" t="s">
        <v>199</v>
      </c>
      <c r="CB1360" t="s">
        <v>17628</v>
      </c>
      <c r="CC1360" t="s">
        <v>201</v>
      </c>
      <c r="CD1360" t="s">
        <v>182</v>
      </c>
      <c r="CE1360" t="s">
        <v>17629</v>
      </c>
      <c r="CF1360" t="s">
        <v>2333</v>
      </c>
      <c r="CG1360" t="s">
        <v>177</v>
      </c>
      <c r="CH1360" t="s">
        <v>2334</v>
      </c>
      <c r="CI1360" t="s">
        <v>1972</v>
      </c>
      <c r="CJ1360" t="s">
        <v>17630</v>
      </c>
      <c r="CK1360" t="s">
        <v>238</v>
      </c>
      <c r="CL1360" t="s">
        <v>239</v>
      </c>
      <c r="CM1360" t="s">
        <v>17631</v>
      </c>
      <c r="CN1360" t="s">
        <v>235</v>
      </c>
      <c r="CO1360" t="s">
        <v>183</v>
      </c>
      <c r="CP1360" t="s">
        <v>211</v>
      </c>
      <c r="CQ1360" t="s">
        <v>189</v>
      </c>
      <c r="CS1360" t="s">
        <v>11234</v>
      </c>
      <c r="DC1360" t="s">
        <v>198</v>
      </c>
      <c r="DM1360" t="s">
        <v>198</v>
      </c>
      <c r="DW1360" t="s">
        <v>198</v>
      </c>
      <c r="EG1360" t="s">
        <v>198</v>
      </c>
      <c r="EQ1360" t="s">
        <v>198</v>
      </c>
      <c r="FA1360" t="s">
        <v>198</v>
      </c>
      <c r="FK1360" t="s">
        <v>198</v>
      </c>
      <c r="FU1360" t="s">
        <v>198</v>
      </c>
    </row>
    <row r="1361" spans="1:177">
      <c r="A1361" s="1" t="str">
        <f>HYPERLINK("http://digipan.lumentumllc.com/apps/getLink/index.php?t=PropLink&amp;p=15760351","PL")</f>
        <v>PL</v>
      </c>
      <c r="B1361" s="1" t="str">
        <f>HYPERLINK("http://digipan.lumentumllc.com/apps/getLink/index.php?t=TaxLink&amp;p=15760351","TL")</f>
        <v>TL</v>
      </c>
      <c r="C1361" s="1" t="str">
        <f>HYPERLINK("http://digipan.lumentumllc.com/apps/getMap/index.php?p=15760351","Map")</f>
        <v>Map</v>
      </c>
      <c r="E1361" t="s">
        <v>177</v>
      </c>
      <c r="F1361" t="s">
        <v>178</v>
      </c>
      <c r="L1361" t="s">
        <v>17632</v>
      </c>
      <c r="N1361" t="s">
        <v>17632</v>
      </c>
      <c r="O1361" t="s">
        <v>17632</v>
      </c>
      <c r="Q1361" t="s">
        <v>17632</v>
      </c>
      <c r="V1361">
        <v>1557</v>
      </c>
      <c r="W1361">
        <v>5</v>
      </c>
      <c r="X1361">
        <v>2017</v>
      </c>
      <c r="Y1361">
        <v>2018</v>
      </c>
      <c r="Z1361">
        <v>876.34</v>
      </c>
      <c r="AG1361" t="s">
        <v>184</v>
      </c>
      <c r="AH1361">
        <v>0</v>
      </c>
      <c r="AK1361">
        <v>0</v>
      </c>
      <c r="AL1361">
        <v>134806</v>
      </c>
      <c r="AM1361">
        <v>50400</v>
      </c>
      <c r="AN1361">
        <v>84406</v>
      </c>
      <c r="AO1361">
        <v>765</v>
      </c>
      <c r="AP1361">
        <v>2016</v>
      </c>
      <c r="AQ1361">
        <v>0.65</v>
      </c>
      <c r="AS1361" t="s">
        <v>17633</v>
      </c>
      <c r="AT1361" t="s">
        <v>3210</v>
      </c>
      <c r="AU1361" t="s">
        <v>177</v>
      </c>
      <c r="AV1361" t="s">
        <v>2334</v>
      </c>
      <c r="AW1361" t="s">
        <v>202</v>
      </c>
      <c r="AX1361">
        <v>2</v>
      </c>
      <c r="AY1361" t="s">
        <v>188</v>
      </c>
      <c r="AZ1361" t="s">
        <v>189</v>
      </c>
      <c r="BA1361" t="s">
        <v>190</v>
      </c>
      <c r="BB1361" t="s">
        <v>191</v>
      </c>
      <c r="BC1361" t="s">
        <v>182</v>
      </c>
      <c r="BD1361" t="s">
        <v>182</v>
      </c>
      <c r="BE1361" t="s">
        <v>12329</v>
      </c>
      <c r="BF1361">
        <v>1</v>
      </c>
      <c r="BG1361">
        <v>1</v>
      </c>
      <c r="BH1361">
        <v>1997</v>
      </c>
      <c r="BI1361" t="s">
        <v>1709</v>
      </c>
      <c r="BJ1361" t="s">
        <v>194</v>
      </c>
      <c r="BK1361" t="s">
        <v>195</v>
      </c>
      <c r="BL1361" t="s">
        <v>6052</v>
      </c>
      <c r="BM1361" t="s">
        <v>559</v>
      </c>
      <c r="BN1361" t="s">
        <v>182</v>
      </c>
      <c r="BO1361" t="s">
        <v>17634</v>
      </c>
      <c r="BP1361" t="s">
        <v>17635</v>
      </c>
      <c r="BQ1361" t="s">
        <v>562</v>
      </c>
      <c r="BR1361" t="s">
        <v>563</v>
      </c>
      <c r="BS1361" t="s">
        <v>198</v>
      </c>
      <c r="BT1361" t="s">
        <v>17636</v>
      </c>
      <c r="BU1361" t="s">
        <v>182</v>
      </c>
      <c r="BV1361" t="s">
        <v>198</v>
      </c>
      <c r="BW1361" t="s">
        <v>198</v>
      </c>
      <c r="BX1361" t="s">
        <v>199</v>
      </c>
      <c r="BY1361" t="s">
        <v>198</v>
      </c>
      <c r="BZ1361" t="s">
        <v>199</v>
      </c>
      <c r="CA1361" t="s">
        <v>199</v>
      </c>
      <c r="CB1361" t="s">
        <v>17637</v>
      </c>
      <c r="CC1361" t="s">
        <v>201</v>
      </c>
      <c r="CD1361" t="s">
        <v>202</v>
      </c>
      <c r="CE1361" t="s">
        <v>17638</v>
      </c>
      <c r="CF1361" t="s">
        <v>2333</v>
      </c>
      <c r="CG1361" t="s">
        <v>177</v>
      </c>
      <c r="CH1361" t="s">
        <v>2334</v>
      </c>
      <c r="CI1361" t="s">
        <v>17639</v>
      </c>
      <c r="CS1361" t="s">
        <v>198</v>
      </c>
      <c r="DC1361" t="s">
        <v>198</v>
      </c>
      <c r="DM1361" t="s">
        <v>198</v>
      </c>
      <c r="DW1361" t="s">
        <v>198</v>
      </c>
      <c r="EG1361" t="s">
        <v>198</v>
      </c>
      <c r="EQ1361" t="s">
        <v>198</v>
      </c>
      <c r="FA1361" t="s">
        <v>198</v>
      </c>
      <c r="FK1361" t="s">
        <v>198</v>
      </c>
      <c r="FU1361" t="s">
        <v>198</v>
      </c>
    </row>
    <row r="1362" spans="1:177">
      <c r="A1362" s="1" t="str">
        <f>HYPERLINK("http://digipan.lumentumllc.com/apps/getLink/index.php?t=PropLink&amp;p=6462084","PL")</f>
        <v>PL</v>
      </c>
      <c r="B1362" s="1" t="str">
        <f>HYPERLINK("http://digipan.lumentumllc.com/apps/getLink/index.php?t=TaxLink&amp;p=6462084","TL")</f>
        <v>TL</v>
      </c>
      <c r="C1362" s="1" t="str">
        <f>HYPERLINK("http://digipan.lumentumllc.com/apps/getMap/index.php?p=6462084","Map")</f>
        <v>Map</v>
      </c>
      <c r="E1362" t="s">
        <v>177</v>
      </c>
      <c r="F1362" t="s">
        <v>178</v>
      </c>
      <c r="L1362" t="s">
        <v>17640</v>
      </c>
      <c r="N1362" t="s">
        <v>17640</v>
      </c>
      <c r="O1362" t="s">
        <v>17640</v>
      </c>
      <c r="P1362" t="s">
        <v>17641</v>
      </c>
      <c r="Q1362" t="s">
        <v>17640</v>
      </c>
      <c r="V1362">
        <v>1559</v>
      </c>
      <c r="W1362">
        <v>5</v>
      </c>
      <c r="X1362">
        <v>2017</v>
      </c>
      <c r="Y1362">
        <v>2018</v>
      </c>
      <c r="Z1362">
        <v>1045.53</v>
      </c>
      <c r="AB1362" t="s">
        <v>181</v>
      </c>
      <c r="AC1362" t="s">
        <v>202</v>
      </c>
      <c r="AD1362" t="s">
        <v>183</v>
      </c>
      <c r="AE1362">
        <v>0</v>
      </c>
      <c r="AF1362">
        <v>3</v>
      </c>
      <c r="AG1362" t="s">
        <v>381</v>
      </c>
      <c r="AH1362">
        <v>100</v>
      </c>
      <c r="AK1362">
        <v>0</v>
      </c>
      <c r="AL1362">
        <v>101009</v>
      </c>
      <c r="AM1362">
        <v>28000</v>
      </c>
      <c r="AN1362">
        <v>73009</v>
      </c>
      <c r="AO1362">
        <v>459</v>
      </c>
      <c r="AP1362">
        <v>2016</v>
      </c>
      <c r="AQ1362">
        <v>1.04</v>
      </c>
      <c r="AS1362" t="s">
        <v>17642</v>
      </c>
      <c r="AT1362" t="s">
        <v>3210</v>
      </c>
      <c r="AU1362" t="s">
        <v>177</v>
      </c>
      <c r="AV1362" t="s">
        <v>2334</v>
      </c>
      <c r="AW1362" t="s">
        <v>202</v>
      </c>
      <c r="AX1362">
        <v>2</v>
      </c>
      <c r="AY1362" t="s">
        <v>188</v>
      </c>
      <c r="AZ1362" t="s">
        <v>189</v>
      </c>
      <c r="BA1362" t="s">
        <v>190</v>
      </c>
      <c r="BB1362" t="s">
        <v>191</v>
      </c>
      <c r="BC1362" t="s">
        <v>182</v>
      </c>
      <c r="BD1362" t="s">
        <v>182</v>
      </c>
      <c r="BE1362" t="s">
        <v>383</v>
      </c>
      <c r="BF1362">
        <v>1</v>
      </c>
      <c r="BG1362">
        <v>1</v>
      </c>
      <c r="BH1362">
        <v>2016</v>
      </c>
      <c r="BI1362" t="s">
        <v>17643</v>
      </c>
      <c r="BJ1362" t="s">
        <v>194</v>
      </c>
      <c r="BK1362" t="s">
        <v>195</v>
      </c>
      <c r="BL1362" t="s">
        <v>6211</v>
      </c>
      <c r="BM1362" t="s">
        <v>232</v>
      </c>
      <c r="BN1362" t="s">
        <v>182</v>
      </c>
      <c r="BO1362" t="s">
        <v>17644</v>
      </c>
      <c r="BP1362" t="s">
        <v>17645</v>
      </c>
      <c r="BQ1362" t="s">
        <v>800</v>
      </c>
      <c r="BR1362" t="s">
        <v>563</v>
      </c>
      <c r="BS1362" t="s">
        <v>198</v>
      </c>
      <c r="BT1362" t="s">
        <v>17646</v>
      </c>
      <c r="BU1362" t="s">
        <v>182</v>
      </c>
      <c r="BV1362" t="s">
        <v>198</v>
      </c>
      <c r="BW1362" t="s">
        <v>198</v>
      </c>
      <c r="BX1362" t="s">
        <v>199</v>
      </c>
      <c r="BY1362" t="s">
        <v>198</v>
      </c>
      <c r="BZ1362" t="s">
        <v>199</v>
      </c>
      <c r="CA1362" t="s">
        <v>199</v>
      </c>
      <c r="CB1362" t="s">
        <v>17647</v>
      </c>
      <c r="CC1362" t="s">
        <v>201</v>
      </c>
      <c r="CD1362" t="s">
        <v>202</v>
      </c>
      <c r="CE1362" t="s">
        <v>17648</v>
      </c>
      <c r="CF1362" t="s">
        <v>2333</v>
      </c>
      <c r="CG1362" t="s">
        <v>177</v>
      </c>
      <c r="CH1362" t="s">
        <v>2334</v>
      </c>
      <c r="CI1362" t="s">
        <v>9852</v>
      </c>
      <c r="CJ1362" t="s">
        <v>11069</v>
      </c>
      <c r="CK1362" t="s">
        <v>267</v>
      </c>
      <c r="CL1362" t="s">
        <v>268</v>
      </c>
      <c r="CM1362" t="s">
        <v>17649</v>
      </c>
      <c r="CN1362" t="s">
        <v>927</v>
      </c>
      <c r="CO1362" t="s">
        <v>183</v>
      </c>
      <c r="CP1362" t="s">
        <v>211</v>
      </c>
      <c r="CQ1362" t="s">
        <v>199</v>
      </c>
      <c r="CR1362" t="s">
        <v>6042</v>
      </c>
      <c r="CS1362" t="s">
        <v>604</v>
      </c>
      <c r="CT1362" t="s">
        <v>16364</v>
      </c>
      <c r="CU1362" t="s">
        <v>273</v>
      </c>
      <c r="CV1362" t="s">
        <v>274</v>
      </c>
      <c r="CW1362" t="s">
        <v>17650</v>
      </c>
      <c r="CX1362" t="s">
        <v>514</v>
      </c>
      <c r="CY1362" t="s">
        <v>183</v>
      </c>
      <c r="CZ1362" t="s">
        <v>211</v>
      </c>
      <c r="DA1362" t="s">
        <v>427</v>
      </c>
      <c r="DB1362" t="s">
        <v>6042</v>
      </c>
      <c r="DC1362" t="s">
        <v>604</v>
      </c>
      <c r="DD1362" t="s">
        <v>17651</v>
      </c>
      <c r="DE1362" t="s">
        <v>302</v>
      </c>
      <c r="DF1362" t="s">
        <v>303</v>
      </c>
      <c r="DG1362" t="s">
        <v>17652</v>
      </c>
      <c r="DH1362" t="s">
        <v>235</v>
      </c>
      <c r="DI1362" t="s">
        <v>183</v>
      </c>
      <c r="DJ1362" t="s">
        <v>211</v>
      </c>
      <c r="DL1362" t="s">
        <v>6042</v>
      </c>
      <c r="DM1362" t="s">
        <v>198</v>
      </c>
      <c r="DW1362" t="s">
        <v>198</v>
      </c>
      <c r="EG1362" t="s">
        <v>198</v>
      </c>
      <c r="EQ1362" t="s">
        <v>198</v>
      </c>
      <c r="FA1362" t="s">
        <v>198</v>
      </c>
      <c r="FK1362" t="s">
        <v>198</v>
      </c>
      <c r="FU1362" t="s">
        <v>198</v>
      </c>
    </row>
    <row r="1363" spans="1:177">
      <c r="A1363" s="1" t="str">
        <f>HYPERLINK("http://digipan.lumentumllc.com/apps/getLink/index.php?t=PropLink&amp;p=6594378","PL")</f>
        <v>PL</v>
      </c>
      <c r="B1363" s="1" t="str">
        <f>HYPERLINK("http://digipan.lumentumllc.com/apps/getLink/index.php?t=TaxLink&amp;p=6594378","TL")</f>
        <v>TL</v>
      </c>
      <c r="C1363" s="1" t="str">
        <f>HYPERLINK("http://digipan.lumentumllc.com/apps/getMap/index.php?p=6594378","Map")</f>
        <v>Map</v>
      </c>
      <c r="E1363" t="s">
        <v>177</v>
      </c>
      <c r="F1363" t="s">
        <v>178</v>
      </c>
      <c r="L1363" t="s">
        <v>17653</v>
      </c>
      <c r="N1363" t="s">
        <v>17653</v>
      </c>
      <c r="O1363" t="s">
        <v>17653</v>
      </c>
      <c r="P1363" t="s">
        <v>17654</v>
      </c>
      <c r="Q1363" t="s">
        <v>17653</v>
      </c>
      <c r="V1363">
        <v>1560</v>
      </c>
      <c r="W1363">
        <v>5</v>
      </c>
      <c r="X1363">
        <v>2017</v>
      </c>
      <c r="Y1363">
        <v>2018</v>
      </c>
      <c r="Z1363">
        <v>620.66</v>
      </c>
      <c r="AB1363" t="s">
        <v>181</v>
      </c>
      <c r="AC1363" t="s">
        <v>202</v>
      </c>
      <c r="AD1363" t="s">
        <v>183</v>
      </c>
      <c r="AE1363">
        <v>0</v>
      </c>
      <c r="AF1363">
        <v>3</v>
      </c>
      <c r="AG1363" t="s">
        <v>381</v>
      </c>
      <c r="AH1363">
        <v>100</v>
      </c>
      <c r="AK1363">
        <v>0</v>
      </c>
      <c r="AL1363">
        <v>37947</v>
      </c>
      <c r="AM1363">
        <v>28000</v>
      </c>
      <c r="AN1363">
        <v>9947</v>
      </c>
      <c r="AO1363">
        <v>480</v>
      </c>
      <c r="AP1363">
        <v>2016</v>
      </c>
      <c r="AQ1363">
        <v>1.64</v>
      </c>
      <c r="AS1363" t="s">
        <v>17655</v>
      </c>
      <c r="AT1363" t="s">
        <v>3210</v>
      </c>
      <c r="AU1363" t="s">
        <v>177</v>
      </c>
      <c r="AV1363" t="s">
        <v>2334</v>
      </c>
      <c r="AW1363" t="s">
        <v>182</v>
      </c>
      <c r="AX1363">
        <v>2</v>
      </c>
      <c r="AY1363" t="s">
        <v>188</v>
      </c>
      <c r="AZ1363" t="s">
        <v>189</v>
      </c>
      <c r="BA1363" t="s">
        <v>190</v>
      </c>
      <c r="BB1363" t="s">
        <v>191</v>
      </c>
      <c r="BC1363" t="s">
        <v>182</v>
      </c>
      <c r="BD1363" t="s">
        <v>182</v>
      </c>
      <c r="BE1363" t="s">
        <v>383</v>
      </c>
      <c r="BF1363">
        <v>1</v>
      </c>
      <c r="BG1363">
        <v>1</v>
      </c>
      <c r="BH1363">
        <v>1986</v>
      </c>
      <c r="BI1363" t="s">
        <v>1202</v>
      </c>
      <c r="BJ1363" t="s">
        <v>194</v>
      </c>
      <c r="BK1363" t="s">
        <v>195</v>
      </c>
      <c r="BL1363" t="s">
        <v>196</v>
      </c>
      <c r="BM1363" t="s">
        <v>302</v>
      </c>
      <c r="BN1363" t="s">
        <v>182</v>
      </c>
      <c r="BO1363" t="s">
        <v>17656</v>
      </c>
      <c r="BP1363" t="s">
        <v>4124</v>
      </c>
      <c r="BQ1363" t="s">
        <v>226</v>
      </c>
      <c r="BR1363" t="s">
        <v>227</v>
      </c>
      <c r="BS1363" t="s">
        <v>198</v>
      </c>
      <c r="BT1363" t="s">
        <v>17657</v>
      </c>
      <c r="BU1363" t="s">
        <v>182</v>
      </c>
      <c r="BV1363" t="s">
        <v>198</v>
      </c>
      <c r="BW1363" t="s">
        <v>198</v>
      </c>
      <c r="BX1363" t="s">
        <v>199</v>
      </c>
      <c r="BY1363" t="s">
        <v>198</v>
      </c>
      <c r="BZ1363" t="s">
        <v>199</v>
      </c>
      <c r="CA1363" t="s">
        <v>199</v>
      </c>
      <c r="CB1363" t="s">
        <v>17658</v>
      </c>
      <c r="CC1363" t="s">
        <v>201</v>
      </c>
      <c r="CD1363" t="s">
        <v>182</v>
      </c>
      <c r="CE1363" t="s">
        <v>17659</v>
      </c>
      <c r="CF1363" t="s">
        <v>2333</v>
      </c>
      <c r="CG1363" t="s">
        <v>177</v>
      </c>
      <c r="CH1363" t="s">
        <v>2334</v>
      </c>
      <c r="CI1363" t="s">
        <v>17660</v>
      </c>
      <c r="CJ1363" t="s">
        <v>2615</v>
      </c>
      <c r="CK1363" t="s">
        <v>292</v>
      </c>
      <c r="CL1363" t="s">
        <v>293</v>
      </c>
      <c r="CM1363" t="s">
        <v>17661</v>
      </c>
      <c r="CN1363" t="s">
        <v>235</v>
      </c>
      <c r="CO1363" t="s">
        <v>183</v>
      </c>
      <c r="CP1363" t="s">
        <v>211</v>
      </c>
      <c r="CQ1363" t="s">
        <v>270</v>
      </c>
      <c r="CR1363" t="s">
        <v>271</v>
      </c>
      <c r="CS1363" t="s">
        <v>4800</v>
      </c>
      <c r="CT1363" t="s">
        <v>13553</v>
      </c>
      <c r="CU1363" t="s">
        <v>267</v>
      </c>
      <c r="CV1363" t="s">
        <v>268</v>
      </c>
      <c r="CW1363" t="s">
        <v>17662</v>
      </c>
      <c r="CX1363" t="s">
        <v>511</v>
      </c>
      <c r="CY1363" t="s">
        <v>183</v>
      </c>
      <c r="CZ1363" t="s">
        <v>211</v>
      </c>
      <c r="DB1363" t="s">
        <v>271</v>
      </c>
      <c r="DC1363" t="s">
        <v>198</v>
      </c>
      <c r="DD1363" t="s">
        <v>14484</v>
      </c>
      <c r="DE1363" t="s">
        <v>273</v>
      </c>
      <c r="DF1363" t="s">
        <v>274</v>
      </c>
      <c r="DG1363" t="s">
        <v>17663</v>
      </c>
      <c r="DH1363" t="s">
        <v>514</v>
      </c>
      <c r="DI1363" t="s">
        <v>183</v>
      </c>
      <c r="DJ1363" t="s">
        <v>211</v>
      </c>
      <c r="DK1363" t="s">
        <v>250</v>
      </c>
      <c r="DM1363" t="s">
        <v>17664</v>
      </c>
      <c r="DW1363" t="s">
        <v>198</v>
      </c>
      <c r="EG1363" t="s">
        <v>198</v>
      </c>
      <c r="EQ1363" t="s">
        <v>198</v>
      </c>
      <c r="FA1363" t="s">
        <v>198</v>
      </c>
      <c r="FK1363" t="s">
        <v>198</v>
      </c>
      <c r="FU1363" t="s">
        <v>198</v>
      </c>
    </row>
    <row r="1364" spans="1:177">
      <c r="A1364" s="1" t="str">
        <f>HYPERLINK("http://digipan.lumentumllc.com/apps/getLink/index.php?t=PropLink&amp;p=15760407","PL")</f>
        <v>PL</v>
      </c>
      <c r="B1364" s="1" t="str">
        <f>HYPERLINK("http://digipan.lumentumllc.com/apps/getLink/index.php?t=TaxLink&amp;p=15760407","TL")</f>
        <v>TL</v>
      </c>
      <c r="C1364" s="1" t="str">
        <f>HYPERLINK("http://digipan.lumentumllc.com/apps/getMap/index.php?p=15760407","Map")</f>
        <v>Map</v>
      </c>
      <c r="E1364" t="s">
        <v>177</v>
      </c>
      <c r="F1364" t="s">
        <v>178</v>
      </c>
      <c r="L1364" t="s">
        <v>17665</v>
      </c>
      <c r="N1364" t="s">
        <v>17665</v>
      </c>
      <c r="O1364" t="s">
        <v>17665</v>
      </c>
      <c r="Q1364" t="s">
        <v>17665</v>
      </c>
      <c r="V1364">
        <v>1561</v>
      </c>
      <c r="W1364">
        <v>5</v>
      </c>
      <c r="X1364">
        <v>2017</v>
      </c>
      <c r="Y1364">
        <v>2018</v>
      </c>
      <c r="Z1364">
        <v>489.01</v>
      </c>
      <c r="AG1364" t="s">
        <v>184</v>
      </c>
      <c r="AH1364">
        <v>0</v>
      </c>
      <c r="AK1364">
        <v>0</v>
      </c>
      <c r="AL1364">
        <v>75630</v>
      </c>
      <c r="AM1364">
        <v>28000</v>
      </c>
      <c r="AN1364">
        <v>47630</v>
      </c>
      <c r="AO1364">
        <v>421</v>
      </c>
      <c r="AP1364">
        <v>2016</v>
      </c>
      <c r="AQ1364">
        <v>0.65</v>
      </c>
      <c r="AS1364" t="s">
        <v>17666</v>
      </c>
      <c r="AT1364" t="s">
        <v>3210</v>
      </c>
      <c r="AU1364" t="s">
        <v>177</v>
      </c>
      <c r="AV1364" t="s">
        <v>2334</v>
      </c>
      <c r="AW1364" t="s">
        <v>202</v>
      </c>
      <c r="AX1364">
        <v>2</v>
      </c>
      <c r="AY1364" t="s">
        <v>188</v>
      </c>
      <c r="AZ1364" t="s">
        <v>189</v>
      </c>
      <c r="BA1364" t="s">
        <v>190</v>
      </c>
      <c r="BB1364" t="s">
        <v>191</v>
      </c>
      <c r="BC1364" t="s">
        <v>182</v>
      </c>
      <c r="BD1364" t="s">
        <v>182</v>
      </c>
      <c r="BE1364" t="s">
        <v>17667</v>
      </c>
      <c r="BF1364">
        <v>1</v>
      </c>
      <c r="BG1364">
        <v>1</v>
      </c>
      <c r="BH1364">
        <v>2000</v>
      </c>
      <c r="BI1364" t="s">
        <v>450</v>
      </c>
      <c r="BJ1364" t="s">
        <v>194</v>
      </c>
      <c r="BK1364" t="s">
        <v>195</v>
      </c>
      <c r="BL1364" t="s">
        <v>944</v>
      </c>
      <c r="BM1364" t="s">
        <v>451</v>
      </c>
      <c r="BN1364" t="s">
        <v>182</v>
      </c>
      <c r="BO1364" t="s">
        <v>198</v>
      </c>
      <c r="BP1364" t="s">
        <v>198</v>
      </c>
      <c r="BQ1364" t="s">
        <v>198</v>
      </c>
      <c r="BR1364" t="s">
        <v>198</v>
      </c>
      <c r="BS1364" t="s">
        <v>198</v>
      </c>
      <c r="BT1364" t="s">
        <v>198</v>
      </c>
      <c r="BU1364" t="s">
        <v>182</v>
      </c>
      <c r="BV1364" t="s">
        <v>198</v>
      </c>
      <c r="BW1364" t="s">
        <v>198</v>
      </c>
      <c r="BX1364" t="s">
        <v>199</v>
      </c>
      <c r="BY1364" t="s">
        <v>198</v>
      </c>
      <c r="BZ1364" t="s">
        <v>199</v>
      </c>
      <c r="CA1364" t="s">
        <v>199</v>
      </c>
      <c r="CB1364" t="s">
        <v>17668</v>
      </c>
      <c r="CC1364" t="s">
        <v>201</v>
      </c>
      <c r="CD1364" t="s">
        <v>182</v>
      </c>
      <c r="CE1364" t="s">
        <v>17669</v>
      </c>
      <c r="CF1364" t="s">
        <v>2333</v>
      </c>
      <c r="CG1364" t="s">
        <v>177</v>
      </c>
      <c r="CH1364" t="s">
        <v>2334</v>
      </c>
      <c r="CI1364" t="s">
        <v>17670</v>
      </c>
      <c r="CS1364" t="s">
        <v>198</v>
      </c>
      <c r="DC1364" t="s">
        <v>198</v>
      </c>
      <c r="DM1364" t="s">
        <v>198</v>
      </c>
      <c r="DW1364" t="s">
        <v>198</v>
      </c>
      <c r="EG1364" t="s">
        <v>198</v>
      </c>
      <c r="EQ1364" t="s">
        <v>198</v>
      </c>
      <c r="FA1364" t="s">
        <v>198</v>
      </c>
      <c r="FK1364" t="s">
        <v>198</v>
      </c>
      <c r="FU1364" t="s">
        <v>198</v>
      </c>
    </row>
    <row r="1365" spans="1:177">
      <c r="A1365" s="1" t="str">
        <f>HYPERLINK("http://digipan.lumentumllc.com/apps/getLink/index.php?t=PropLink&amp;p=4638656","PL")</f>
        <v>PL</v>
      </c>
      <c r="B1365" s="1" t="str">
        <f>HYPERLINK("http://digipan.lumentumllc.com/apps/getLink/index.php?t=TaxLink&amp;p=4638656","TL")</f>
        <v>TL</v>
      </c>
      <c r="C1365" s="1" t="str">
        <f>HYPERLINK("http://digipan.lumentumllc.com/apps/getMap/index.php?p=4638656","Map")</f>
        <v>Map</v>
      </c>
      <c r="E1365" t="s">
        <v>177</v>
      </c>
      <c r="F1365" t="s">
        <v>178</v>
      </c>
      <c r="L1365" t="s">
        <v>17671</v>
      </c>
      <c r="N1365" t="s">
        <v>17671</v>
      </c>
      <c r="O1365" t="s">
        <v>17671</v>
      </c>
      <c r="P1365" t="s">
        <v>17672</v>
      </c>
      <c r="Q1365" t="s">
        <v>17671</v>
      </c>
      <c r="V1365">
        <v>1562</v>
      </c>
      <c r="W1365">
        <v>5</v>
      </c>
      <c r="X1365">
        <v>2017</v>
      </c>
      <c r="Y1365">
        <v>2018</v>
      </c>
      <c r="Z1365">
        <v>607.30999999999995</v>
      </c>
      <c r="AB1365" t="s">
        <v>181</v>
      </c>
      <c r="AC1365" t="s">
        <v>182</v>
      </c>
      <c r="AD1365" t="s">
        <v>183</v>
      </c>
      <c r="AE1365">
        <v>1</v>
      </c>
      <c r="AF1365">
        <v>5</v>
      </c>
      <c r="AG1365" t="s">
        <v>322</v>
      </c>
      <c r="AH1365">
        <v>83</v>
      </c>
      <c r="AI1365">
        <v>601.9</v>
      </c>
      <c r="AJ1365">
        <v>30.1</v>
      </c>
      <c r="AK1365">
        <v>632</v>
      </c>
      <c r="AL1365">
        <v>92996</v>
      </c>
      <c r="AM1365">
        <v>28000</v>
      </c>
      <c r="AN1365">
        <v>64996</v>
      </c>
      <c r="AO1365">
        <v>532</v>
      </c>
      <c r="AP1365">
        <v>2016</v>
      </c>
      <c r="AQ1365">
        <v>0.65</v>
      </c>
      <c r="AR1365">
        <v>0.68</v>
      </c>
      <c r="AS1365" t="s">
        <v>17673</v>
      </c>
      <c r="AT1365" t="s">
        <v>3210</v>
      </c>
      <c r="AU1365" t="s">
        <v>177</v>
      </c>
      <c r="AV1365" t="s">
        <v>2334</v>
      </c>
      <c r="AW1365" t="s">
        <v>202</v>
      </c>
      <c r="AX1365">
        <v>2</v>
      </c>
      <c r="AY1365" t="s">
        <v>188</v>
      </c>
      <c r="AZ1365" t="s">
        <v>189</v>
      </c>
      <c r="BA1365" t="s">
        <v>190</v>
      </c>
      <c r="BB1365" t="s">
        <v>191</v>
      </c>
      <c r="BC1365" t="s">
        <v>182</v>
      </c>
      <c r="BD1365" t="s">
        <v>182</v>
      </c>
      <c r="BE1365" t="s">
        <v>8792</v>
      </c>
      <c r="BF1365">
        <v>1</v>
      </c>
      <c r="BG1365">
        <v>1</v>
      </c>
      <c r="BH1365">
        <v>1998</v>
      </c>
      <c r="BI1365" t="s">
        <v>17674</v>
      </c>
      <c r="BJ1365" t="s">
        <v>194</v>
      </c>
      <c r="BK1365" t="s">
        <v>195</v>
      </c>
      <c r="BL1365" t="s">
        <v>199</v>
      </c>
      <c r="BM1365" t="s">
        <v>207</v>
      </c>
      <c r="BN1365" t="s">
        <v>182</v>
      </c>
      <c r="BO1365" t="s">
        <v>198</v>
      </c>
      <c r="BP1365" t="s">
        <v>198</v>
      </c>
      <c r="BQ1365" t="s">
        <v>198</v>
      </c>
      <c r="BR1365" t="s">
        <v>198</v>
      </c>
      <c r="BS1365" t="s">
        <v>198</v>
      </c>
      <c r="BT1365" t="s">
        <v>198</v>
      </c>
      <c r="BU1365" t="s">
        <v>182</v>
      </c>
      <c r="BV1365" t="s">
        <v>198</v>
      </c>
      <c r="BW1365" t="s">
        <v>198</v>
      </c>
      <c r="BX1365" t="s">
        <v>199</v>
      </c>
      <c r="BY1365" t="s">
        <v>198</v>
      </c>
      <c r="BZ1365" t="s">
        <v>199</v>
      </c>
      <c r="CA1365" t="s">
        <v>199</v>
      </c>
      <c r="CB1365" t="s">
        <v>17675</v>
      </c>
      <c r="CC1365" t="s">
        <v>201</v>
      </c>
      <c r="CD1365" t="s">
        <v>182</v>
      </c>
      <c r="CE1365" t="s">
        <v>17676</v>
      </c>
      <c r="CF1365" t="s">
        <v>2333</v>
      </c>
      <c r="CG1365" t="s">
        <v>177</v>
      </c>
      <c r="CH1365" t="s">
        <v>2334</v>
      </c>
      <c r="CI1365" t="s">
        <v>17677</v>
      </c>
      <c r="CJ1365" t="s">
        <v>13298</v>
      </c>
      <c r="CK1365" t="s">
        <v>232</v>
      </c>
      <c r="CL1365" t="s">
        <v>233</v>
      </c>
      <c r="CM1365" t="s">
        <v>17678</v>
      </c>
      <c r="CN1365" t="s">
        <v>235</v>
      </c>
      <c r="CO1365" t="s">
        <v>183</v>
      </c>
      <c r="CP1365" t="s">
        <v>266</v>
      </c>
      <c r="CS1365" t="s">
        <v>198</v>
      </c>
      <c r="CT1365" t="s">
        <v>15270</v>
      </c>
      <c r="CU1365" t="s">
        <v>292</v>
      </c>
      <c r="CV1365" t="s">
        <v>293</v>
      </c>
      <c r="CW1365" t="s">
        <v>17679</v>
      </c>
      <c r="CX1365" t="s">
        <v>235</v>
      </c>
      <c r="CY1365" t="s">
        <v>183</v>
      </c>
      <c r="CZ1365" t="s">
        <v>211</v>
      </c>
      <c r="DA1365" t="s">
        <v>212</v>
      </c>
      <c r="DC1365" t="s">
        <v>2776</v>
      </c>
      <c r="DD1365" t="s">
        <v>11146</v>
      </c>
      <c r="DE1365" t="s">
        <v>267</v>
      </c>
      <c r="DF1365" t="s">
        <v>268</v>
      </c>
      <c r="DG1365" t="s">
        <v>17680</v>
      </c>
      <c r="DH1365" t="s">
        <v>235</v>
      </c>
      <c r="DI1365" t="s">
        <v>183</v>
      </c>
      <c r="DJ1365" t="s">
        <v>211</v>
      </c>
      <c r="DK1365" t="s">
        <v>298</v>
      </c>
      <c r="DM1365" t="s">
        <v>2179</v>
      </c>
      <c r="DN1365" t="s">
        <v>17681</v>
      </c>
      <c r="DO1365" t="s">
        <v>273</v>
      </c>
      <c r="DP1365" t="s">
        <v>274</v>
      </c>
      <c r="DQ1365" t="s">
        <v>17682</v>
      </c>
      <c r="DR1365" t="s">
        <v>235</v>
      </c>
      <c r="DS1365" t="s">
        <v>183</v>
      </c>
      <c r="DT1365" t="s">
        <v>211</v>
      </c>
      <c r="DU1365" t="s">
        <v>298</v>
      </c>
      <c r="DW1365" t="s">
        <v>3727</v>
      </c>
      <c r="DX1365" t="s">
        <v>8995</v>
      </c>
      <c r="DY1365" t="s">
        <v>302</v>
      </c>
      <c r="DZ1365" t="s">
        <v>303</v>
      </c>
      <c r="EA1365" t="s">
        <v>17683</v>
      </c>
      <c r="EB1365" t="s">
        <v>235</v>
      </c>
      <c r="EC1365" t="s">
        <v>183</v>
      </c>
      <c r="ED1365" t="s">
        <v>211</v>
      </c>
      <c r="EE1365" t="s">
        <v>298</v>
      </c>
      <c r="EG1365" t="s">
        <v>464</v>
      </c>
      <c r="EH1365" t="s">
        <v>17684</v>
      </c>
      <c r="EI1365" t="s">
        <v>238</v>
      </c>
      <c r="EJ1365" t="s">
        <v>239</v>
      </c>
      <c r="EK1365" t="s">
        <v>17685</v>
      </c>
      <c r="EL1365" t="s">
        <v>278</v>
      </c>
      <c r="EM1365" t="s">
        <v>183</v>
      </c>
      <c r="EN1365" t="s">
        <v>211</v>
      </c>
      <c r="EO1365" t="s">
        <v>298</v>
      </c>
      <c r="EQ1365" t="s">
        <v>441</v>
      </c>
      <c r="FA1365" t="s">
        <v>198</v>
      </c>
      <c r="FK1365" t="s">
        <v>198</v>
      </c>
      <c r="FU1365" t="s">
        <v>198</v>
      </c>
    </row>
    <row r="1366" spans="1:177">
      <c r="A1366" s="1" t="str">
        <f>HYPERLINK("http://digipan.lumentumllc.com/apps/getLink/index.php?t=PropLink&amp;p=5248108","PL")</f>
        <v>PL</v>
      </c>
      <c r="B1366" s="1" t="str">
        <f>HYPERLINK("http://digipan.lumentumllc.com/apps/getLink/index.php?t=TaxLink&amp;p=5248108","TL")</f>
        <v>TL</v>
      </c>
      <c r="C1366" s="1" t="str">
        <f>HYPERLINK("http://digipan.lumentumllc.com/apps/getMap/index.php?p=5248108","Map")</f>
        <v>Map</v>
      </c>
      <c r="E1366" t="s">
        <v>177</v>
      </c>
      <c r="F1366" t="s">
        <v>178</v>
      </c>
      <c r="L1366" t="s">
        <v>17686</v>
      </c>
      <c r="N1366" t="s">
        <v>17686</v>
      </c>
      <c r="O1366" t="s">
        <v>17686</v>
      </c>
      <c r="P1366" t="s">
        <v>17687</v>
      </c>
      <c r="Q1366" t="s">
        <v>17686</v>
      </c>
      <c r="V1366">
        <v>1563</v>
      </c>
      <c r="W1366">
        <v>5</v>
      </c>
      <c r="X1366">
        <v>2017</v>
      </c>
      <c r="Y1366">
        <v>2018</v>
      </c>
      <c r="Z1366">
        <v>702.03</v>
      </c>
      <c r="AB1366" t="s">
        <v>181</v>
      </c>
      <c r="AC1366" t="s">
        <v>182</v>
      </c>
      <c r="AD1366" t="s">
        <v>183</v>
      </c>
      <c r="AE1366">
        <v>0</v>
      </c>
      <c r="AF1366">
        <v>7</v>
      </c>
      <c r="AG1366" t="s">
        <v>1059</v>
      </c>
      <c r="AH1366">
        <v>100</v>
      </c>
      <c r="AK1366">
        <v>0</v>
      </c>
      <c r="AL1366">
        <v>80027</v>
      </c>
      <c r="AM1366">
        <v>28000</v>
      </c>
      <c r="AN1366">
        <v>52027</v>
      </c>
      <c r="AO1366">
        <v>940</v>
      </c>
      <c r="AP1366">
        <v>2016</v>
      </c>
      <c r="AQ1366">
        <v>0.88</v>
      </c>
      <c r="AS1366" t="s">
        <v>17688</v>
      </c>
      <c r="AT1366" t="s">
        <v>3210</v>
      </c>
      <c r="AU1366" t="s">
        <v>177</v>
      </c>
      <c r="AV1366" t="s">
        <v>2334</v>
      </c>
      <c r="AW1366" t="s">
        <v>202</v>
      </c>
      <c r="AX1366">
        <v>2</v>
      </c>
      <c r="AY1366" t="s">
        <v>188</v>
      </c>
      <c r="AZ1366" t="s">
        <v>189</v>
      </c>
      <c r="BA1366" t="s">
        <v>190</v>
      </c>
      <c r="BB1366" t="s">
        <v>191</v>
      </c>
      <c r="BC1366" t="s">
        <v>182</v>
      </c>
      <c r="BD1366" t="s">
        <v>182</v>
      </c>
      <c r="BE1366" t="s">
        <v>1884</v>
      </c>
      <c r="BF1366">
        <v>1</v>
      </c>
      <c r="BG1366">
        <v>1</v>
      </c>
      <c r="BH1366">
        <v>1997</v>
      </c>
      <c r="BI1366" t="s">
        <v>17689</v>
      </c>
      <c r="BJ1366" t="s">
        <v>194</v>
      </c>
      <c r="BK1366" t="s">
        <v>195</v>
      </c>
      <c r="BL1366" t="s">
        <v>13795</v>
      </c>
      <c r="BM1366" t="s">
        <v>1825</v>
      </c>
      <c r="BN1366" t="s">
        <v>182</v>
      </c>
      <c r="BO1366" t="s">
        <v>198</v>
      </c>
      <c r="BP1366" t="s">
        <v>198</v>
      </c>
      <c r="BQ1366" t="s">
        <v>198</v>
      </c>
      <c r="BR1366" t="s">
        <v>198</v>
      </c>
      <c r="BS1366" t="s">
        <v>198</v>
      </c>
      <c r="BT1366" t="s">
        <v>198</v>
      </c>
      <c r="BU1366" t="s">
        <v>182</v>
      </c>
      <c r="BV1366" t="s">
        <v>198</v>
      </c>
      <c r="BW1366" t="s">
        <v>198</v>
      </c>
      <c r="BX1366" t="s">
        <v>199</v>
      </c>
      <c r="BY1366" t="s">
        <v>198</v>
      </c>
      <c r="BZ1366" t="s">
        <v>199</v>
      </c>
      <c r="CA1366" t="s">
        <v>199</v>
      </c>
      <c r="CB1366" t="s">
        <v>17690</v>
      </c>
      <c r="CC1366" t="s">
        <v>201</v>
      </c>
      <c r="CD1366" t="s">
        <v>182</v>
      </c>
      <c r="CE1366" t="s">
        <v>17691</v>
      </c>
      <c r="CF1366" t="s">
        <v>2333</v>
      </c>
      <c r="CG1366" t="s">
        <v>177</v>
      </c>
      <c r="CH1366" t="s">
        <v>2334</v>
      </c>
      <c r="CI1366" t="s">
        <v>17692</v>
      </c>
      <c r="CJ1366" t="s">
        <v>13309</v>
      </c>
      <c r="CK1366" t="s">
        <v>232</v>
      </c>
      <c r="CL1366" t="s">
        <v>233</v>
      </c>
      <c r="CM1366" t="s">
        <v>17693</v>
      </c>
      <c r="CN1366" t="s">
        <v>235</v>
      </c>
      <c r="CO1366" t="s">
        <v>183</v>
      </c>
      <c r="CP1366" t="s">
        <v>211</v>
      </c>
      <c r="CQ1366" t="s">
        <v>206</v>
      </c>
      <c r="CS1366" t="s">
        <v>17694</v>
      </c>
      <c r="CT1366" t="s">
        <v>15281</v>
      </c>
      <c r="CU1366" t="s">
        <v>292</v>
      </c>
      <c r="CV1366" t="s">
        <v>293</v>
      </c>
      <c r="CW1366" t="s">
        <v>17695</v>
      </c>
      <c r="CX1366" t="s">
        <v>235</v>
      </c>
      <c r="CY1366" t="s">
        <v>183</v>
      </c>
      <c r="CZ1366" t="s">
        <v>211</v>
      </c>
      <c r="DA1366" t="s">
        <v>306</v>
      </c>
      <c r="DC1366" t="s">
        <v>17694</v>
      </c>
      <c r="DD1366" t="s">
        <v>11183</v>
      </c>
      <c r="DE1366" t="s">
        <v>267</v>
      </c>
      <c r="DF1366" t="s">
        <v>268</v>
      </c>
      <c r="DG1366" t="s">
        <v>17696</v>
      </c>
      <c r="DH1366" t="s">
        <v>482</v>
      </c>
      <c r="DI1366" t="s">
        <v>183</v>
      </c>
      <c r="DJ1366" t="s">
        <v>211</v>
      </c>
      <c r="DK1366" t="s">
        <v>345</v>
      </c>
      <c r="DM1366" t="s">
        <v>10007</v>
      </c>
      <c r="DN1366" t="s">
        <v>17421</v>
      </c>
      <c r="DO1366" t="s">
        <v>273</v>
      </c>
      <c r="DP1366" t="s">
        <v>274</v>
      </c>
      <c r="DQ1366" t="s">
        <v>17697</v>
      </c>
      <c r="DR1366" t="s">
        <v>235</v>
      </c>
      <c r="DS1366" t="s">
        <v>183</v>
      </c>
      <c r="DT1366" t="s">
        <v>211</v>
      </c>
      <c r="DU1366" t="s">
        <v>337</v>
      </c>
      <c r="DW1366" t="s">
        <v>2488</v>
      </c>
      <c r="DX1366" t="s">
        <v>852</v>
      </c>
      <c r="DY1366" t="s">
        <v>302</v>
      </c>
      <c r="DZ1366" t="s">
        <v>303</v>
      </c>
      <c r="EA1366" t="s">
        <v>17698</v>
      </c>
      <c r="EB1366" t="s">
        <v>235</v>
      </c>
      <c r="EC1366" t="s">
        <v>183</v>
      </c>
      <c r="ED1366" t="s">
        <v>211</v>
      </c>
      <c r="EE1366" t="s">
        <v>909</v>
      </c>
      <c r="EG1366" t="s">
        <v>2488</v>
      </c>
      <c r="EH1366" t="s">
        <v>17699</v>
      </c>
      <c r="EI1366" t="s">
        <v>238</v>
      </c>
      <c r="EJ1366" t="s">
        <v>239</v>
      </c>
      <c r="EK1366" t="s">
        <v>17700</v>
      </c>
      <c r="EL1366" t="s">
        <v>278</v>
      </c>
      <c r="EM1366" t="s">
        <v>183</v>
      </c>
      <c r="EN1366" t="s">
        <v>211</v>
      </c>
      <c r="EO1366" t="s">
        <v>1128</v>
      </c>
      <c r="EQ1366" t="s">
        <v>2488</v>
      </c>
      <c r="ER1366" t="s">
        <v>17701</v>
      </c>
      <c r="ES1366" t="s">
        <v>346</v>
      </c>
      <c r="ET1366" t="s">
        <v>347</v>
      </c>
      <c r="EU1366" t="s">
        <v>17702</v>
      </c>
      <c r="EV1366" t="s">
        <v>816</v>
      </c>
      <c r="EW1366" t="s">
        <v>183</v>
      </c>
      <c r="EX1366" t="s">
        <v>211</v>
      </c>
      <c r="EY1366" t="s">
        <v>1253</v>
      </c>
      <c r="FA1366" t="s">
        <v>2488</v>
      </c>
      <c r="FK1366" t="s">
        <v>198</v>
      </c>
      <c r="FU1366" t="s">
        <v>198</v>
      </c>
    </row>
    <row r="1367" spans="1:177">
      <c r="A1367" s="1" t="str">
        <f>HYPERLINK("http://digipan.lumentumllc.com/apps/getLink/index.php?t=PropLink&amp;p=15760424","PL")</f>
        <v>PL</v>
      </c>
      <c r="B1367" s="1" t="str">
        <f>HYPERLINK("http://digipan.lumentumllc.com/apps/getLink/index.php?t=TaxLink&amp;p=15760424","TL")</f>
        <v>TL</v>
      </c>
      <c r="C1367" s="1" t="str">
        <f>HYPERLINK("http://digipan.lumentumllc.com/apps/getMap/index.php?p=15760424","Map")</f>
        <v>Map</v>
      </c>
      <c r="E1367" t="s">
        <v>177</v>
      </c>
      <c r="F1367" t="s">
        <v>178</v>
      </c>
      <c r="L1367" t="s">
        <v>17703</v>
      </c>
      <c r="N1367" t="s">
        <v>17703</v>
      </c>
      <c r="O1367" t="s">
        <v>17703</v>
      </c>
      <c r="Q1367" t="s">
        <v>17703</v>
      </c>
      <c r="V1367">
        <v>1564</v>
      </c>
      <c r="W1367">
        <v>5</v>
      </c>
      <c r="X1367">
        <v>2017</v>
      </c>
      <c r="Y1367">
        <v>2018</v>
      </c>
      <c r="Z1367">
        <v>715.29</v>
      </c>
      <c r="AG1367" t="s">
        <v>184</v>
      </c>
      <c r="AH1367">
        <v>0</v>
      </c>
      <c r="AK1367">
        <v>0</v>
      </c>
      <c r="AL1367">
        <v>46225</v>
      </c>
      <c r="AM1367">
        <v>28000</v>
      </c>
      <c r="AN1367">
        <v>18225</v>
      </c>
      <c r="AO1367">
        <v>534</v>
      </c>
      <c r="AP1367">
        <v>2016</v>
      </c>
      <c r="AQ1367">
        <v>1.55</v>
      </c>
      <c r="AS1367" t="s">
        <v>17704</v>
      </c>
      <c r="AT1367" t="s">
        <v>3210</v>
      </c>
      <c r="AU1367" t="s">
        <v>177</v>
      </c>
      <c r="AV1367" t="s">
        <v>2334</v>
      </c>
      <c r="AW1367" t="s">
        <v>182</v>
      </c>
      <c r="AX1367">
        <v>2</v>
      </c>
      <c r="AY1367" t="s">
        <v>188</v>
      </c>
      <c r="AZ1367" t="s">
        <v>189</v>
      </c>
      <c r="BA1367" t="s">
        <v>190</v>
      </c>
      <c r="BB1367" t="s">
        <v>191</v>
      </c>
      <c r="BC1367" t="s">
        <v>182</v>
      </c>
      <c r="BD1367" t="s">
        <v>182</v>
      </c>
      <c r="BE1367" t="s">
        <v>259</v>
      </c>
      <c r="BF1367">
        <v>1</v>
      </c>
      <c r="BG1367">
        <v>1</v>
      </c>
      <c r="BH1367">
        <v>1987</v>
      </c>
      <c r="BI1367" t="s">
        <v>2209</v>
      </c>
      <c r="BJ1367" t="s">
        <v>396</v>
      </c>
      <c r="BK1367" t="s">
        <v>195</v>
      </c>
      <c r="BL1367" t="s">
        <v>199</v>
      </c>
      <c r="BM1367" t="s">
        <v>238</v>
      </c>
      <c r="BN1367" t="s">
        <v>182</v>
      </c>
      <c r="BO1367" t="s">
        <v>198</v>
      </c>
      <c r="BP1367" t="s">
        <v>198</v>
      </c>
      <c r="BQ1367" t="s">
        <v>198</v>
      </c>
      <c r="BR1367" t="s">
        <v>198</v>
      </c>
      <c r="BS1367" t="s">
        <v>198</v>
      </c>
      <c r="BT1367" t="s">
        <v>198</v>
      </c>
      <c r="BU1367" t="s">
        <v>182</v>
      </c>
      <c r="BV1367" t="s">
        <v>198</v>
      </c>
      <c r="BW1367" t="s">
        <v>198</v>
      </c>
      <c r="BX1367" t="s">
        <v>199</v>
      </c>
      <c r="BY1367" t="s">
        <v>198</v>
      </c>
      <c r="BZ1367" t="s">
        <v>199</v>
      </c>
      <c r="CA1367" t="s">
        <v>199</v>
      </c>
      <c r="CB1367" t="s">
        <v>16113</v>
      </c>
      <c r="CC1367" t="s">
        <v>201</v>
      </c>
      <c r="CD1367" t="s">
        <v>182</v>
      </c>
      <c r="CE1367" t="s">
        <v>17705</v>
      </c>
      <c r="CF1367" t="s">
        <v>2333</v>
      </c>
      <c r="CG1367" t="s">
        <v>177</v>
      </c>
      <c r="CH1367" t="s">
        <v>2334</v>
      </c>
      <c r="CI1367" t="s">
        <v>17706</v>
      </c>
      <c r="CS1367" t="s">
        <v>198</v>
      </c>
      <c r="DC1367" t="s">
        <v>198</v>
      </c>
      <c r="DM1367" t="s">
        <v>198</v>
      </c>
      <c r="DW1367" t="s">
        <v>198</v>
      </c>
      <c r="EG1367" t="s">
        <v>198</v>
      </c>
      <c r="EQ1367" t="s">
        <v>198</v>
      </c>
      <c r="FA1367" t="s">
        <v>198</v>
      </c>
      <c r="FK1367" t="s">
        <v>198</v>
      </c>
      <c r="FU1367" t="s">
        <v>198</v>
      </c>
    </row>
    <row r="1368" spans="1:177">
      <c r="A1368" s="1" t="str">
        <f>HYPERLINK("http://digipan.lumentumllc.com/apps/getLink/index.php?t=PropLink&amp;p=5248109","PL")</f>
        <v>PL</v>
      </c>
      <c r="B1368" s="1" t="str">
        <f>HYPERLINK("http://digipan.lumentumllc.com/apps/getLink/index.php?t=TaxLink&amp;p=5248109","TL")</f>
        <v>TL</v>
      </c>
      <c r="C1368" s="1" t="str">
        <f>HYPERLINK("http://digipan.lumentumllc.com/apps/getMap/index.php?p=5248109","Map")</f>
        <v>Map</v>
      </c>
      <c r="E1368" t="s">
        <v>177</v>
      </c>
      <c r="F1368" t="s">
        <v>178</v>
      </c>
      <c r="L1368" t="s">
        <v>17707</v>
      </c>
      <c r="N1368" t="s">
        <v>17707</v>
      </c>
      <c r="O1368" t="s">
        <v>17707</v>
      </c>
      <c r="P1368" t="s">
        <v>17708</v>
      </c>
      <c r="Q1368" t="s">
        <v>17707</v>
      </c>
      <c r="V1368">
        <v>1565</v>
      </c>
      <c r="W1368">
        <v>5</v>
      </c>
      <c r="X1368">
        <v>2017</v>
      </c>
      <c r="Y1368">
        <v>2018</v>
      </c>
      <c r="Z1368">
        <v>466.7</v>
      </c>
      <c r="AB1368" t="s">
        <v>181</v>
      </c>
      <c r="AC1368" t="s">
        <v>182</v>
      </c>
      <c r="AD1368" t="s">
        <v>183</v>
      </c>
      <c r="AE1368">
        <v>1</v>
      </c>
      <c r="AF1368">
        <v>7</v>
      </c>
      <c r="AG1368" t="s">
        <v>418</v>
      </c>
      <c r="AH1368">
        <v>86</v>
      </c>
      <c r="AI1368">
        <v>460.08</v>
      </c>
      <c r="AJ1368">
        <v>23</v>
      </c>
      <c r="AK1368">
        <v>483.08</v>
      </c>
      <c r="AL1368">
        <v>71860</v>
      </c>
      <c r="AM1368">
        <v>28000</v>
      </c>
      <c r="AN1368">
        <v>43860</v>
      </c>
      <c r="AO1368">
        <v>400</v>
      </c>
      <c r="AP1368">
        <v>2016</v>
      </c>
      <c r="AQ1368">
        <v>0.65</v>
      </c>
      <c r="AR1368">
        <v>0.67</v>
      </c>
      <c r="AS1368" t="s">
        <v>17709</v>
      </c>
      <c r="AT1368" t="s">
        <v>3210</v>
      </c>
      <c r="AU1368" t="s">
        <v>177</v>
      </c>
      <c r="AV1368" t="s">
        <v>2334</v>
      </c>
      <c r="AW1368" t="s">
        <v>202</v>
      </c>
      <c r="AX1368">
        <v>2</v>
      </c>
      <c r="AY1368" t="s">
        <v>188</v>
      </c>
      <c r="AZ1368" t="s">
        <v>189</v>
      </c>
      <c r="BA1368" t="s">
        <v>190</v>
      </c>
      <c r="BB1368" t="s">
        <v>191</v>
      </c>
      <c r="BC1368" t="s">
        <v>182</v>
      </c>
      <c r="BD1368" t="s">
        <v>182</v>
      </c>
      <c r="BE1368" t="s">
        <v>5145</v>
      </c>
      <c r="BF1368">
        <v>1</v>
      </c>
      <c r="BG1368">
        <v>1</v>
      </c>
      <c r="BH1368">
        <v>1997</v>
      </c>
      <c r="BI1368" t="s">
        <v>17102</v>
      </c>
      <c r="BJ1368" t="s">
        <v>194</v>
      </c>
      <c r="BK1368" t="s">
        <v>195</v>
      </c>
      <c r="BL1368" t="s">
        <v>199</v>
      </c>
      <c r="BM1368" t="s">
        <v>1156</v>
      </c>
      <c r="BN1368" t="s">
        <v>182</v>
      </c>
      <c r="BO1368" t="s">
        <v>198</v>
      </c>
      <c r="BP1368" t="s">
        <v>198</v>
      </c>
      <c r="BQ1368" t="s">
        <v>198</v>
      </c>
      <c r="BR1368" t="s">
        <v>198</v>
      </c>
      <c r="BS1368" t="s">
        <v>198</v>
      </c>
      <c r="BT1368" t="s">
        <v>198</v>
      </c>
      <c r="BU1368" t="s">
        <v>182</v>
      </c>
      <c r="BV1368" t="s">
        <v>198</v>
      </c>
      <c r="BW1368" t="s">
        <v>198</v>
      </c>
      <c r="BX1368" t="s">
        <v>199</v>
      </c>
      <c r="BY1368" t="s">
        <v>198</v>
      </c>
      <c r="BZ1368" t="s">
        <v>199</v>
      </c>
      <c r="CA1368" t="s">
        <v>199</v>
      </c>
      <c r="CB1368" t="s">
        <v>17710</v>
      </c>
      <c r="CC1368" t="s">
        <v>201</v>
      </c>
      <c r="CD1368" t="s">
        <v>182</v>
      </c>
      <c r="CE1368" t="s">
        <v>17711</v>
      </c>
      <c r="CF1368" t="s">
        <v>2333</v>
      </c>
      <c r="CG1368" t="s">
        <v>177</v>
      </c>
      <c r="CH1368" t="s">
        <v>2334</v>
      </c>
      <c r="CI1368" t="s">
        <v>2915</v>
      </c>
      <c r="CJ1368" t="s">
        <v>11729</v>
      </c>
      <c r="CK1368" t="s">
        <v>232</v>
      </c>
      <c r="CL1368" t="s">
        <v>233</v>
      </c>
      <c r="CM1368" t="s">
        <v>17712</v>
      </c>
      <c r="CN1368" t="s">
        <v>235</v>
      </c>
      <c r="CO1368" t="s">
        <v>183</v>
      </c>
      <c r="CP1368" t="s">
        <v>266</v>
      </c>
      <c r="CS1368" t="s">
        <v>198</v>
      </c>
      <c r="CT1368" t="s">
        <v>10146</v>
      </c>
      <c r="CU1368" t="s">
        <v>292</v>
      </c>
      <c r="CV1368" t="s">
        <v>293</v>
      </c>
      <c r="CW1368" t="s">
        <v>17713</v>
      </c>
      <c r="CX1368" t="s">
        <v>235</v>
      </c>
      <c r="CY1368" t="s">
        <v>183</v>
      </c>
      <c r="CZ1368" t="s">
        <v>211</v>
      </c>
      <c r="DA1368" t="s">
        <v>298</v>
      </c>
      <c r="DC1368" t="s">
        <v>457</v>
      </c>
      <c r="DD1368" t="s">
        <v>6645</v>
      </c>
      <c r="DE1368" t="s">
        <v>267</v>
      </c>
      <c r="DF1368" t="s">
        <v>268</v>
      </c>
      <c r="DG1368" t="s">
        <v>17714</v>
      </c>
      <c r="DH1368" t="s">
        <v>235</v>
      </c>
      <c r="DI1368" t="s">
        <v>183</v>
      </c>
      <c r="DJ1368" t="s">
        <v>211</v>
      </c>
      <c r="DK1368" t="s">
        <v>298</v>
      </c>
      <c r="DM1368" t="s">
        <v>459</v>
      </c>
      <c r="DN1368" t="s">
        <v>17715</v>
      </c>
      <c r="DO1368" t="s">
        <v>273</v>
      </c>
      <c r="DP1368" t="s">
        <v>274</v>
      </c>
      <c r="DQ1368" t="s">
        <v>17716</v>
      </c>
      <c r="DR1368" t="s">
        <v>235</v>
      </c>
      <c r="DS1368" t="s">
        <v>183</v>
      </c>
      <c r="DT1368" t="s">
        <v>211</v>
      </c>
      <c r="DU1368" t="s">
        <v>471</v>
      </c>
      <c r="DW1368" t="s">
        <v>1917</v>
      </c>
      <c r="DX1368" t="s">
        <v>873</v>
      </c>
      <c r="DY1368" t="s">
        <v>302</v>
      </c>
      <c r="DZ1368" t="s">
        <v>303</v>
      </c>
      <c r="EA1368" t="s">
        <v>17717</v>
      </c>
      <c r="EB1368" t="s">
        <v>235</v>
      </c>
      <c r="EC1368" t="s">
        <v>183</v>
      </c>
      <c r="ED1368" t="s">
        <v>211</v>
      </c>
      <c r="EE1368" t="s">
        <v>298</v>
      </c>
      <c r="EG1368" t="s">
        <v>2359</v>
      </c>
      <c r="EH1368" t="s">
        <v>17718</v>
      </c>
      <c r="EI1368" t="s">
        <v>238</v>
      </c>
      <c r="EJ1368" t="s">
        <v>239</v>
      </c>
      <c r="EK1368" t="s">
        <v>17719</v>
      </c>
      <c r="EL1368" t="s">
        <v>278</v>
      </c>
      <c r="EM1368" t="s">
        <v>183</v>
      </c>
      <c r="EN1368" t="s">
        <v>211</v>
      </c>
      <c r="EO1368" t="s">
        <v>298</v>
      </c>
      <c r="EQ1368" t="s">
        <v>467</v>
      </c>
      <c r="ER1368" t="s">
        <v>17720</v>
      </c>
      <c r="ES1368" t="s">
        <v>346</v>
      </c>
      <c r="ET1368" t="s">
        <v>347</v>
      </c>
      <c r="EU1368" t="s">
        <v>17721</v>
      </c>
      <c r="EV1368" t="s">
        <v>816</v>
      </c>
      <c r="EW1368" t="s">
        <v>183</v>
      </c>
      <c r="EX1368" t="s">
        <v>211</v>
      </c>
      <c r="EY1368" t="s">
        <v>298</v>
      </c>
      <c r="FA1368" t="s">
        <v>878</v>
      </c>
      <c r="FB1368" t="s">
        <v>15590</v>
      </c>
      <c r="FC1368" t="s">
        <v>207</v>
      </c>
      <c r="FD1368" t="s">
        <v>208</v>
      </c>
      <c r="FE1368" t="s">
        <v>17722</v>
      </c>
      <c r="FF1368" t="s">
        <v>1966</v>
      </c>
      <c r="FG1368" t="s">
        <v>183</v>
      </c>
      <c r="FH1368" t="s">
        <v>211</v>
      </c>
      <c r="FI1368" t="s">
        <v>298</v>
      </c>
      <c r="FK1368" t="s">
        <v>5208</v>
      </c>
      <c r="FU1368" t="s">
        <v>198</v>
      </c>
    </row>
    <row r="1369" spans="1:177">
      <c r="A1369" s="1" t="str">
        <f>HYPERLINK("http://digipan.lumentumllc.com/apps/getLink/index.php?t=PropLink&amp;p=6129531","PL")</f>
        <v>PL</v>
      </c>
      <c r="B1369" s="1" t="str">
        <f>HYPERLINK("http://digipan.lumentumllc.com/apps/getLink/index.php?t=TaxLink&amp;p=6129531","TL")</f>
        <v>TL</v>
      </c>
      <c r="C1369" s="1" t="str">
        <f>HYPERLINK("http://digipan.lumentumllc.com/apps/getMap/index.php?p=6129531","Map")</f>
        <v>Map</v>
      </c>
      <c r="E1369" t="s">
        <v>177</v>
      </c>
      <c r="F1369" t="s">
        <v>178</v>
      </c>
      <c r="L1369" t="s">
        <v>17723</v>
      </c>
      <c r="N1369" t="s">
        <v>17723</v>
      </c>
      <c r="O1369" t="s">
        <v>17723</v>
      </c>
      <c r="P1369" t="s">
        <v>17724</v>
      </c>
      <c r="Q1369" t="s">
        <v>17723</v>
      </c>
      <c r="V1369">
        <v>1566</v>
      </c>
      <c r="W1369">
        <v>5</v>
      </c>
      <c r="X1369">
        <v>2017</v>
      </c>
      <c r="Y1369">
        <v>2018</v>
      </c>
      <c r="Z1369">
        <v>974.97</v>
      </c>
      <c r="AB1369" t="s">
        <v>181</v>
      </c>
      <c r="AC1369" t="s">
        <v>182</v>
      </c>
      <c r="AD1369" t="s">
        <v>183</v>
      </c>
      <c r="AE1369">
        <v>0</v>
      </c>
      <c r="AF1369">
        <v>1</v>
      </c>
      <c r="AG1369" t="s">
        <v>821</v>
      </c>
      <c r="AH1369">
        <v>100</v>
      </c>
      <c r="AK1369">
        <v>0</v>
      </c>
      <c r="AL1369">
        <v>113164</v>
      </c>
      <c r="AM1369">
        <v>65000</v>
      </c>
      <c r="AN1369">
        <v>48164</v>
      </c>
      <c r="AO1369">
        <v>856</v>
      </c>
      <c r="AP1369">
        <v>2016</v>
      </c>
      <c r="AQ1369">
        <v>0.86</v>
      </c>
      <c r="AS1369" t="s">
        <v>17725</v>
      </c>
      <c r="AT1369" t="s">
        <v>3210</v>
      </c>
      <c r="AU1369" t="s">
        <v>177</v>
      </c>
      <c r="AV1369" t="s">
        <v>2334</v>
      </c>
      <c r="AW1369" t="s">
        <v>202</v>
      </c>
      <c r="AX1369">
        <v>2</v>
      </c>
      <c r="AY1369" t="s">
        <v>188</v>
      </c>
      <c r="AZ1369" t="s">
        <v>189</v>
      </c>
      <c r="BA1369" t="s">
        <v>190</v>
      </c>
      <c r="BB1369" t="s">
        <v>191</v>
      </c>
      <c r="BC1369" t="s">
        <v>182</v>
      </c>
      <c r="BD1369" t="s">
        <v>182</v>
      </c>
      <c r="BE1369" t="s">
        <v>16271</v>
      </c>
      <c r="BF1369">
        <v>1</v>
      </c>
      <c r="BG1369">
        <v>1</v>
      </c>
      <c r="BH1369">
        <v>1994</v>
      </c>
      <c r="BI1369" t="s">
        <v>11595</v>
      </c>
      <c r="BJ1369" t="s">
        <v>194</v>
      </c>
      <c r="BK1369" t="s">
        <v>195</v>
      </c>
      <c r="BL1369" t="s">
        <v>17726</v>
      </c>
      <c r="BM1369" t="s">
        <v>197</v>
      </c>
      <c r="BN1369" t="s">
        <v>182</v>
      </c>
      <c r="BO1369" t="s">
        <v>560</v>
      </c>
      <c r="BP1369" t="s">
        <v>17727</v>
      </c>
      <c r="BQ1369" t="s">
        <v>562</v>
      </c>
      <c r="BR1369" t="s">
        <v>1897</v>
      </c>
      <c r="BS1369" t="s">
        <v>198</v>
      </c>
      <c r="BT1369" t="s">
        <v>17728</v>
      </c>
      <c r="BU1369" t="s">
        <v>182</v>
      </c>
      <c r="BV1369" t="s">
        <v>198</v>
      </c>
      <c r="BW1369" t="s">
        <v>198</v>
      </c>
      <c r="BX1369" t="s">
        <v>199</v>
      </c>
      <c r="BY1369" t="s">
        <v>198</v>
      </c>
      <c r="BZ1369" t="s">
        <v>199</v>
      </c>
      <c r="CA1369" t="s">
        <v>199</v>
      </c>
      <c r="CB1369" t="s">
        <v>17729</v>
      </c>
      <c r="CC1369" t="s">
        <v>201</v>
      </c>
      <c r="CD1369" t="s">
        <v>202</v>
      </c>
      <c r="CE1369" t="s">
        <v>17730</v>
      </c>
      <c r="CF1369" t="s">
        <v>2333</v>
      </c>
      <c r="CG1369" t="s">
        <v>177</v>
      </c>
      <c r="CH1369" t="s">
        <v>2334</v>
      </c>
      <c r="CI1369" t="s">
        <v>9557</v>
      </c>
      <c r="CJ1369" t="s">
        <v>17731</v>
      </c>
      <c r="CK1369" t="s">
        <v>238</v>
      </c>
      <c r="CL1369" t="s">
        <v>239</v>
      </c>
      <c r="CM1369" t="s">
        <v>17732</v>
      </c>
      <c r="CN1369" t="s">
        <v>440</v>
      </c>
      <c r="CO1369" t="s">
        <v>183</v>
      </c>
      <c r="CP1369" t="s">
        <v>211</v>
      </c>
      <c r="CQ1369" t="s">
        <v>427</v>
      </c>
      <c r="CS1369" t="s">
        <v>4706</v>
      </c>
      <c r="DC1369" t="s">
        <v>198</v>
      </c>
      <c r="DM1369" t="s">
        <v>198</v>
      </c>
      <c r="DW1369" t="s">
        <v>198</v>
      </c>
      <c r="EG1369" t="s">
        <v>198</v>
      </c>
      <c r="EQ1369" t="s">
        <v>198</v>
      </c>
      <c r="FA1369" t="s">
        <v>198</v>
      </c>
      <c r="FK1369" t="s">
        <v>198</v>
      </c>
      <c r="FU1369" t="s">
        <v>198</v>
      </c>
    </row>
    <row r="1370" spans="1:177">
      <c r="A1370" s="1" t="str">
        <f>HYPERLINK("http://digipan.lumentumllc.com/apps/getLink/index.php?t=PropLink&amp;p=15760456","PL")</f>
        <v>PL</v>
      </c>
      <c r="B1370" s="1" t="str">
        <f>HYPERLINK("http://digipan.lumentumllc.com/apps/getLink/index.php?t=TaxLink&amp;p=15760456","TL")</f>
        <v>TL</v>
      </c>
      <c r="C1370" s="1" t="str">
        <f>HYPERLINK("http://digipan.lumentumllc.com/apps/getMap/index.php?p=15760456","Map")</f>
        <v>Map</v>
      </c>
      <c r="E1370" t="s">
        <v>177</v>
      </c>
      <c r="F1370" t="s">
        <v>178</v>
      </c>
      <c r="L1370" t="s">
        <v>17733</v>
      </c>
      <c r="N1370" t="s">
        <v>17733</v>
      </c>
      <c r="O1370" t="s">
        <v>17733</v>
      </c>
      <c r="Q1370" t="s">
        <v>17733</v>
      </c>
      <c r="V1370">
        <v>1567</v>
      </c>
      <c r="W1370">
        <v>5</v>
      </c>
      <c r="X1370">
        <v>2017</v>
      </c>
      <c r="Y1370">
        <v>2018</v>
      </c>
      <c r="Z1370">
        <v>633.39</v>
      </c>
      <c r="AG1370" t="s">
        <v>184</v>
      </c>
      <c r="AH1370">
        <v>0</v>
      </c>
      <c r="AK1370">
        <v>0</v>
      </c>
      <c r="AL1370">
        <v>102394</v>
      </c>
      <c r="AM1370">
        <v>65000</v>
      </c>
      <c r="AN1370">
        <v>37394</v>
      </c>
      <c r="AO1370">
        <v>544</v>
      </c>
      <c r="AP1370">
        <v>2016</v>
      </c>
      <c r="AQ1370">
        <v>0.62</v>
      </c>
      <c r="AS1370" t="s">
        <v>17734</v>
      </c>
      <c r="AT1370" t="s">
        <v>3210</v>
      </c>
      <c r="AU1370" t="s">
        <v>177</v>
      </c>
      <c r="AV1370" t="s">
        <v>2334</v>
      </c>
      <c r="AW1370" t="s">
        <v>202</v>
      </c>
      <c r="AX1370">
        <v>2</v>
      </c>
      <c r="AY1370" t="s">
        <v>188</v>
      </c>
      <c r="AZ1370" t="s">
        <v>189</v>
      </c>
      <c r="BA1370" t="s">
        <v>190</v>
      </c>
      <c r="BB1370" t="s">
        <v>191</v>
      </c>
      <c r="BC1370" t="s">
        <v>182</v>
      </c>
      <c r="BD1370" t="s">
        <v>182</v>
      </c>
      <c r="BE1370" t="s">
        <v>3878</v>
      </c>
      <c r="BF1370">
        <v>1</v>
      </c>
      <c r="BG1370">
        <v>1</v>
      </c>
      <c r="BH1370">
        <v>1993</v>
      </c>
      <c r="BI1370" t="s">
        <v>9926</v>
      </c>
      <c r="BJ1370" t="s">
        <v>194</v>
      </c>
      <c r="BK1370" t="s">
        <v>195</v>
      </c>
      <c r="BL1370" t="s">
        <v>1081</v>
      </c>
      <c r="BM1370" t="s">
        <v>1156</v>
      </c>
      <c r="BN1370" t="s">
        <v>182</v>
      </c>
      <c r="BO1370" t="s">
        <v>8682</v>
      </c>
      <c r="BP1370" t="s">
        <v>17735</v>
      </c>
      <c r="BQ1370" t="s">
        <v>800</v>
      </c>
      <c r="BR1370" t="s">
        <v>563</v>
      </c>
      <c r="BS1370" t="s">
        <v>198</v>
      </c>
      <c r="BT1370" t="s">
        <v>15622</v>
      </c>
      <c r="BU1370" t="s">
        <v>182</v>
      </c>
      <c r="BV1370" t="s">
        <v>198</v>
      </c>
      <c r="BW1370" t="s">
        <v>198</v>
      </c>
      <c r="BX1370" t="s">
        <v>199</v>
      </c>
      <c r="BY1370" t="s">
        <v>198</v>
      </c>
      <c r="BZ1370" t="s">
        <v>199</v>
      </c>
      <c r="CA1370" t="s">
        <v>199</v>
      </c>
      <c r="CB1370" t="s">
        <v>17736</v>
      </c>
      <c r="CC1370" t="s">
        <v>201</v>
      </c>
      <c r="CD1370" t="s">
        <v>182</v>
      </c>
      <c r="CE1370" t="s">
        <v>17737</v>
      </c>
      <c r="CF1370" t="s">
        <v>2333</v>
      </c>
      <c r="CG1370" t="s">
        <v>177</v>
      </c>
      <c r="CH1370" t="s">
        <v>2334</v>
      </c>
      <c r="CI1370" t="s">
        <v>17738</v>
      </c>
      <c r="CS1370" t="s">
        <v>198</v>
      </c>
      <c r="DC1370" t="s">
        <v>198</v>
      </c>
      <c r="DM1370" t="s">
        <v>198</v>
      </c>
      <c r="DW1370" t="s">
        <v>198</v>
      </c>
      <c r="EG1370" t="s">
        <v>198</v>
      </c>
      <c r="EQ1370" t="s">
        <v>198</v>
      </c>
      <c r="FA1370" t="s">
        <v>198</v>
      </c>
      <c r="FK1370" t="s">
        <v>198</v>
      </c>
      <c r="FU1370" t="s">
        <v>198</v>
      </c>
    </row>
    <row r="1371" spans="1:177">
      <c r="A1371" s="1" t="str">
        <f>HYPERLINK("http://digipan.lumentumllc.com/apps/getLink/index.php?t=PropLink&amp;p=5248115","PL")</f>
        <v>PL</v>
      </c>
      <c r="B1371" s="1" t="str">
        <f>HYPERLINK("http://digipan.lumentumllc.com/apps/getLink/index.php?t=TaxLink&amp;p=5248115","TL")</f>
        <v>TL</v>
      </c>
      <c r="C1371" s="1" t="str">
        <f>HYPERLINK("http://digipan.lumentumllc.com/apps/getMap/index.php?p=5248115","Map")</f>
        <v>Map</v>
      </c>
      <c r="E1371" t="s">
        <v>177</v>
      </c>
      <c r="F1371" t="s">
        <v>178</v>
      </c>
      <c r="L1371" t="s">
        <v>17739</v>
      </c>
      <c r="N1371" t="s">
        <v>17739</v>
      </c>
      <c r="O1371" t="s">
        <v>17739</v>
      </c>
      <c r="P1371" t="s">
        <v>17740</v>
      </c>
      <c r="Q1371" t="s">
        <v>17739</v>
      </c>
      <c r="V1371">
        <v>1568</v>
      </c>
      <c r="W1371">
        <v>5</v>
      </c>
      <c r="X1371">
        <v>2017</v>
      </c>
      <c r="Y1371">
        <v>2018</v>
      </c>
      <c r="Z1371">
        <v>604.36</v>
      </c>
      <c r="AB1371" t="s">
        <v>181</v>
      </c>
      <c r="AC1371" t="s">
        <v>202</v>
      </c>
      <c r="AD1371" t="s">
        <v>183</v>
      </c>
      <c r="AE1371">
        <v>0</v>
      </c>
      <c r="AF1371">
        <v>7</v>
      </c>
      <c r="AG1371" t="s">
        <v>528</v>
      </c>
      <c r="AH1371">
        <v>100</v>
      </c>
      <c r="AK1371">
        <v>0</v>
      </c>
      <c r="AL1371">
        <v>94787</v>
      </c>
      <c r="AM1371">
        <v>28000</v>
      </c>
      <c r="AN1371">
        <v>66787</v>
      </c>
      <c r="AO1371">
        <v>529</v>
      </c>
      <c r="AP1371">
        <v>2016</v>
      </c>
      <c r="AQ1371">
        <v>0.64</v>
      </c>
      <c r="AS1371" t="s">
        <v>17741</v>
      </c>
      <c r="AT1371" t="s">
        <v>3210</v>
      </c>
      <c r="AU1371" t="s">
        <v>177</v>
      </c>
      <c r="AV1371" t="s">
        <v>2334</v>
      </c>
      <c r="AW1371" t="s">
        <v>202</v>
      </c>
      <c r="AX1371">
        <v>2</v>
      </c>
      <c r="AY1371" t="s">
        <v>188</v>
      </c>
      <c r="AZ1371" t="s">
        <v>189</v>
      </c>
      <c r="BA1371" t="s">
        <v>190</v>
      </c>
      <c r="BB1371" t="s">
        <v>191</v>
      </c>
      <c r="BC1371" t="s">
        <v>182</v>
      </c>
      <c r="BD1371" t="s">
        <v>182</v>
      </c>
      <c r="BE1371" t="s">
        <v>2135</v>
      </c>
      <c r="BF1371">
        <v>1</v>
      </c>
      <c r="BG1371">
        <v>1</v>
      </c>
      <c r="BH1371">
        <v>1999</v>
      </c>
      <c r="BI1371" t="s">
        <v>883</v>
      </c>
      <c r="BJ1371" t="s">
        <v>194</v>
      </c>
      <c r="BK1371" t="s">
        <v>195</v>
      </c>
      <c r="BL1371" t="s">
        <v>938</v>
      </c>
      <c r="BM1371" t="s">
        <v>451</v>
      </c>
      <c r="BN1371" t="s">
        <v>182</v>
      </c>
      <c r="BO1371" t="s">
        <v>10354</v>
      </c>
      <c r="BP1371" t="s">
        <v>17742</v>
      </c>
      <c r="BS1371" t="s">
        <v>17743</v>
      </c>
      <c r="BT1371" t="s">
        <v>198</v>
      </c>
      <c r="BU1371" t="s">
        <v>182</v>
      </c>
      <c r="BV1371" t="s">
        <v>198</v>
      </c>
      <c r="BW1371" t="s">
        <v>198</v>
      </c>
      <c r="BX1371" t="s">
        <v>199</v>
      </c>
      <c r="BY1371" t="s">
        <v>198</v>
      </c>
      <c r="BZ1371" t="s">
        <v>199</v>
      </c>
      <c r="CA1371" t="s">
        <v>199</v>
      </c>
      <c r="CB1371" t="s">
        <v>17744</v>
      </c>
      <c r="CC1371" t="s">
        <v>201</v>
      </c>
      <c r="CD1371" t="s">
        <v>182</v>
      </c>
      <c r="CE1371" t="s">
        <v>17745</v>
      </c>
      <c r="CF1371" t="s">
        <v>2333</v>
      </c>
      <c r="CG1371" t="s">
        <v>177</v>
      </c>
      <c r="CH1371" t="s">
        <v>2334</v>
      </c>
      <c r="CI1371" t="s">
        <v>9113</v>
      </c>
      <c r="CJ1371" t="s">
        <v>16227</v>
      </c>
      <c r="CK1371" t="s">
        <v>292</v>
      </c>
      <c r="CL1371" t="s">
        <v>293</v>
      </c>
      <c r="CM1371" t="s">
        <v>17746</v>
      </c>
      <c r="CN1371" t="s">
        <v>482</v>
      </c>
      <c r="CO1371" t="s">
        <v>183</v>
      </c>
      <c r="CP1371" t="s">
        <v>211</v>
      </c>
      <c r="CQ1371" t="s">
        <v>342</v>
      </c>
      <c r="CR1371" t="s">
        <v>271</v>
      </c>
      <c r="CS1371" t="s">
        <v>8487</v>
      </c>
      <c r="CT1371" t="s">
        <v>5960</v>
      </c>
      <c r="CU1371" t="s">
        <v>267</v>
      </c>
      <c r="CV1371" t="s">
        <v>268</v>
      </c>
      <c r="CW1371" t="s">
        <v>17747</v>
      </c>
      <c r="CX1371" t="s">
        <v>482</v>
      </c>
      <c r="CY1371" t="s">
        <v>183</v>
      </c>
      <c r="CZ1371" t="s">
        <v>211</v>
      </c>
      <c r="DA1371" t="s">
        <v>345</v>
      </c>
      <c r="DB1371" t="s">
        <v>271</v>
      </c>
      <c r="DC1371" t="s">
        <v>8487</v>
      </c>
      <c r="DD1371" t="s">
        <v>17748</v>
      </c>
      <c r="DE1371" t="s">
        <v>273</v>
      </c>
      <c r="DF1371" t="s">
        <v>274</v>
      </c>
      <c r="DG1371" t="s">
        <v>17749</v>
      </c>
      <c r="DH1371" t="s">
        <v>333</v>
      </c>
      <c r="DI1371" t="s">
        <v>183</v>
      </c>
      <c r="DJ1371" t="s">
        <v>211</v>
      </c>
      <c r="DK1371" t="s">
        <v>865</v>
      </c>
      <c r="DL1371" t="s">
        <v>271</v>
      </c>
      <c r="DM1371" t="s">
        <v>8487</v>
      </c>
      <c r="DN1371" t="s">
        <v>4428</v>
      </c>
      <c r="DO1371" t="s">
        <v>302</v>
      </c>
      <c r="DP1371" t="s">
        <v>303</v>
      </c>
      <c r="DQ1371" t="s">
        <v>17750</v>
      </c>
      <c r="DR1371" t="s">
        <v>436</v>
      </c>
      <c r="DS1371" t="s">
        <v>183</v>
      </c>
      <c r="DT1371" t="s">
        <v>211</v>
      </c>
      <c r="DU1371" t="s">
        <v>298</v>
      </c>
      <c r="DW1371" t="s">
        <v>464</v>
      </c>
      <c r="DX1371" t="s">
        <v>17751</v>
      </c>
      <c r="DY1371" t="s">
        <v>238</v>
      </c>
      <c r="DZ1371" t="s">
        <v>239</v>
      </c>
      <c r="EA1371" t="s">
        <v>17752</v>
      </c>
      <c r="EB1371" t="s">
        <v>278</v>
      </c>
      <c r="EC1371" t="s">
        <v>183</v>
      </c>
      <c r="ED1371" t="s">
        <v>211</v>
      </c>
      <c r="EF1371" t="s">
        <v>271</v>
      </c>
      <c r="EG1371" t="s">
        <v>198</v>
      </c>
      <c r="EH1371" t="s">
        <v>7287</v>
      </c>
      <c r="EI1371" t="s">
        <v>346</v>
      </c>
      <c r="EJ1371" t="s">
        <v>347</v>
      </c>
      <c r="EK1371" t="s">
        <v>17753</v>
      </c>
      <c r="EL1371" t="s">
        <v>816</v>
      </c>
      <c r="EM1371" t="s">
        <v>183</v>
      </c>
      <c r="EN1371" t="s">
        <v>211</v>
      </c>
      <c r="EO1371" t="s">
        <v>1263</v>
      </c>
      <c r="EP1371" t="s">
        <v>271</v>
      </c>
      <c r="EQ1371" t="s">
        <v>8487</v>
      </c>
      <c r="ER1371" t="s">
        <v>15650</v>
      </c>
      <c r="ES1371" t="s">
        <v>207</v>
      </c>
      <c r="ET1371" t="s">
        <v>208</v>
      </c>
      <c r="EU1371" t="s">
        <v>17754</v>
      </c>
      <c r="EV1371" t="s">
        <v>1966</v>
      </c>
      <c r="EW1371" t="s">
        <v>183</v>
      </c>
      <c r="EX1371" t="s">
        <v>211</v>
      </c>
      <c r="EZ1371" t="s">
        <v>271</v>
      </c>
      <c r="FA1371" t="s">
        <v>198</v>
      </c>
      <c r="FK1371" t="s">
        <v>198</v>
      </c>
      <c r="FU1371" t="s">
        <v>198</v>
      </c>
    </row>
    <row r="1372" spans="1:177">
      <c r="A1372" s="1" t="str">
        <f>HYPERLINK("http://digipan.lumentumllc.com/apps/getLink/index.php?t=PropLink&amp;p=5248116","PL")</f>
        <v>PL</v>
      </c>
      <c r="B1372" s="1" t="str">
        <f>HYPERLINK("http://digipan.lumentumllc.com/apps/getLink/index.php?t=TaxLink&amp;p=5248116","TL")</f>
        <v>TL</v>
      </c>
      <c r="C1372" s="1" t="str">
        <f>HYPERLINK("http://digipan.lumentumllc.com/apps/getMap/index.php?p=5248116","Map")</f>
        <v>Map</v>
      </c>
      <c r="E1372" t="s">
        <v>177</v>
      </c>
      <c r="F1372" t="s">
        <v>178</v>
      </c>
      <c r="L1372" t="s">
        <v>17755</v>
      </c>
      <c r="N1372" t="s">
        <v>17755</v>
      </c>
      <c r="O1372" t="s">
        <v>17755</v>
      </c>
      <c r="P1372" t="s">
        <v>17756</v>
      </c>
      <c r="Q1372" t="s">
        <v>17755</v>
      </c>
      <c r="V1372">
        <v>1569</v>
      </c>
      <c r="W1372">
        <v>5</v>
      </c>
      <c r="X1372">
        <v>2017</v>
      </c>
      <c r="Y1372">
        <v>2018</v>
      </c>
      <c r="Z1372">
        <v>862.19</v>
      </c>
      <c r="AB1372" t="s">
        <v>181</v>
      </c>
      <c r="AC1372" t="s">
        <v>182</v>
      </c>
      <c r="AD1372" t="s">
        <v>183</v>
      </c>
      <c r="AE1372">
        <v>1</v>
      </c>
      <c r="AF1372">
        <v>5</v>
      </c>
      <c r="AG1372" t="s">
        <v>322</v>
      </c>
      <c r="AH1372">
        <v>83</v>
      </c>
      <c r="AI1372">
        <v>728.74</v>
      </c>
      <c r="AJ1372">
        <v>36.44</v>
      </c>
      <c r="AK1372">
        <v>765.18</v>
      </c>
      <c r="AL1372">
        <v>56155</v>
      </c>
      <c r="AM1372">
        <v>28000</v>
      </c>
      <c r="AN1372">
        <v>28155</v>
      </c>
      <c r="AO1372">
        <v>649</v>
      </c>
      <c r="AP1372">
        <v>2016</v>
      </c>
      <c r="AQ1372">
        <v>1.54</v>
      </c>
      <c r="AR1372">
        <v>1.36</v>
      </c>
      <c r="AS1372" t="s">
        <v>17757</v>
      </c>
      <c r="AT1372" t="s">
        <v>3210</v>
      </c>
      <c r="AU1372" t="s">
        <v>177</v>
      </c>
      <c r="AV1372" t="s">
        <v>2334</v>
      </c>
      <c r="AW1372" t="s">
        <v>182</v>
      </c>
      <c r="AX1372">
        <v>2</v>
      </c>
      <c r="AY1372" t="s">
        <v>188</v>
      </c>
      <c r="AZ1372" t="s">
        <v>189</v>
      </c>
      <c r="BA1372" t="s">
        <v>190</v>
      </c>
      <c r="BB1372" t="s">
        <v>191</v>
      </c>
      <c r="BC1372" t="s">
        <v>182</v>
      </c>
      <c r="BD1372" t="s">
        <v>182</v>
      </c>
      <c r="BE1372" t="s">
        <v>383</v>
      </c>
      <c r="BF1372">
        <v>1</v>
      </c>
      <c r="BG1372">
        <v>1</v>
      </c>
      <c r="BH1372">
        <v>1986</v>
      </c>
      <c r="BI1372" t="s">
        <v>839</v>
      </c>
      <c r="BJ1372" t="s">
        <v>194</v>
      </c>
      <c r="BK1372" t="s">
        <v>195</v>
      </c>
      <c r="BL1372" t="s">
        <v>7586</v>
      </c>
      <c r="BM1372" t="s">
        <v>2351</v>
      </c>
      <c r="BN1372" t="s">
        <v>182</v>
      </c>
      <c r="BO1372" t="s">
        <v>198</v>
      </c>
      <c r="BP1372" t="s">
        <v>198</v>
      </c>
      <c r="BQ1372" t="s">
        <v>198</v>
      </c>
      <c r="BR1372" t="s">
        <v>198</v>
      </c>
      <c r="BS1372" t="s">
        <v>198</v>
      </c>
      <c r="BT1372" t="s">
        <v>198</v>
      </c>
      <c r="BU1372" t="s">
        <v>182</v>
      </c>
      <c r="BV1372" t="s">
        <v>198</v>
      </c>
      <c r="BW1372" t="s">
        <v>198</v>
      </c>
      <c r="BX1372" t="s">
        <v>199</v>
      </c>
      <c r="BY1372" t="s">
        <v>198</v>
      </c>
      <c r="BZ1372" t="s">
        <v>199</v>
      </c>
      <c r="CA1372" t="s">
        <v>199</v>
      </c>
      <c r="CB1372" t="s">
        <v>17758</v>
      </c>
      <c r="CC1372" t="s">
        <v>201</v>
      </c>
      <c r="CD1372" t="s">
        <v>182</v>
      </c>
      <c r="CE1372" t="s">
        <v>17759</v>
      </c>
      <c r="CF1372" t="s">
        <v>2333</v>
      </c>
      <c r="CG1372" t="s">
        <v>177</v>
      </c>
      <c r="CH1372" t="s">
        <v>2334</v>
      </c>
      <c r="CI1372" t="s">
        <v>17760</v>
      </c>
      <c r="CJ1372" t="s">
        <v>10752</v>
      </c>
      <c r="CK1372" t="s">
        <v>232</v>
      </c>
      <c r="CL1372" t="s">
        <v>233</v>
      </c>
      <c r="CM1372" t="s">
        <v>17761</v>
      </c>
      <c r="CN1372" t="s">
        <v>235</v>
      </c>
      <c r="CO1372" t="s">
        <v>183</v>
      </c>
      <c r="CP1372" t="s">
        <v>266</v>
      </c>
      <c r="CS1372" t="s">
        <v>198</v>
      </c>
      <c r="CT1372" t="s">
        <v>15303</v>
      </c>
      <c r="CU1372" t="s">
        <v>292</v>
      </c>
      <c r="CV1372" t="s">
        <v>293</v>
      </c>
      <c r="CW1372" t="s">
        <v>17762</v>
      </c>
      <c r="CX1372" t="s">
        <v>235</v>
      </c>
      <c r="CY1372" t="s">
        <v>183</v>
      </c>
      <c r="CZ1372" t="s">
        <v>211</v>
      </c>
      <c r="DA1372" t="s">
        <v>206</v>
      </c>
      <c r="DC1372" t="s">
        <v>17763</v>
      </c>
      <c r="DD1372" t="s">
        <v>11262</v>
      </c>
      <c r="DE1372" t="s">
        <v>267</v>
      </c>
      <c r="DF1372" t="s">
        <v>268</v>
      </c>
      <c r="DG1372" t="s">
        <v>17764</v>
      </c>
      <c r="DH1372" t="s">
        <v>235</v>
      </c>
      <c r="DI1372" t="s">
        <v>183</v>
      </c>
      <c r="DJ1372" t="s">
        <v>211</v>
      </c>
      <c r="DK1372" t="s">
        <v>296</v>
      </c>
      <c r="DM1372" t="s">
        <v>10866</v>
      </c>
      <c r="DN1372" t="s">
        <v>10973</v>
      </c>
      <c r="DO1372" t="s">
        <v>302</v>
      </c>
      <c r="DP1372" t="s">
        <v>303</v>
      </c>
      <c r="DQ1372" t="s">
        <v>17765</v>
      </c>
      <c r="DR1372" t="s">
        <v>235</v>
      </c>
      <c r="DS1372" t="s">
        <v>183</v>
      </c>
      <c r="DT1372" t="s">
        <v>211</v>
      </c>
      <c r="DU1372" t="s">
        <v>270</v>
      </c>
      <c r="DW1372" t="s">
        <v>17766</v>
      </c>
      <c r="DX1372" t="s">
        <v>17767</v>
      </c>
      <c r="DY1372" t="s">
        <v>238</v>
      </c>
      <c r="DZ1372" t="s">
        <v>239</v>
      </c>
      <c r="EA1372" t="s">
        <v>17768</v>
      </c>
      <c r="EB1372" t="s">
        <v>440</v>
      </c>
      <c r="EC1372" t="s">
        <v>183</v>
      </c>
      <c r="ED1372" t="s">
        <v>211</v>
      </c>
      <c r="EE1372" t="s">
        <v>342</v>
      </c>
      <c r="EG1372" t="s">
        <v>5179</v>
      </c>
      <c r="EH1372" t="s">
        <v>8986</v>
      </c>
      <c r="EI1372" t="s">
        <v>346</v>
      </c>
      <c r="EJ1372" t="s">
        <v>347</v>
      </c>
      <c r="EK1372" t="s">
        <v>17769</v>
      </c>
      <c r="EL1372" t="s">
        <v>816</v>
      </c>
      <c r="EM1372" t="s">
        <v>183</v>
      </c>
      <c r="EN1372" t="s">
        <v>211</v>
      </c>
      <c r="EO1372" t="s">
        <v>250</v>
      </c>
      <c r="EQ1372" t="s">
        <v>17770</v>
      </c>
      <c r="FA1372" t="s">
        <v>198</v>
      </c>
      <c r="FK1372" t="s">
        <v>198</v>
      </c>
      <c r="FU1372" t="s">
        <v>198</v>
      </c>
    </row>
    <row r="1373" spans="1:177">
      <c r="A1373" s="1" t="str">
        <f>HYPERLINK("http://digipan.lumentumllc.com/apps/getLink/index.php?t=PropLink&amp;p=5248117","PL")</f>
        <v>PL</v>
      </c>
      <c r="B1373" s="1" t="str">
        <f>HYPERLINK("http://digipan.lumentumllc.com/apps/getLink/index.php?t=TaxLink&amp;p=5248117","TL")</f>
        <v>TL</v>
      </c>
      <c r="C1373" s="1" t="str">
        <f>HYPERLINK("http://digipan.lumentumllc.com/apps/getMap/index.php?p=5248117","Map")</f>
        <v>Map</v>
      </c>
      <c r="E1373" t="s">
        <v>177</v>
      </c>
      <c r="F1373" t="s">
        <v>178</v>
      </c>
      <c r="L1373" t="s">
        <v>17771</v>
      </c>
      <c r="N1373" t="s">
        <v>17771</v>
      </c>
      <c r="O1373" t="s">
        <v>17771</v>
      </c>
      <c r="P1373" t="s">
        <v>17772</v>
      </c>
      <c r="Q1373" t="s">
        <v>17771</v>
      </c>
      <c r="V1373">
        <v>1571</v>
      </c>
      <c r="W1373">
        <v>5</v>
      </c>
      <c r="X1373">
        <v>2017</v>
      </c>
      <c r="Y1373">
        <v>2018</v>
      </c>
      <c r="Z1373">
        <v>803.81</v>
      </c>
      <c r="AB1373" t="s">
        <v>181</v>
      </c>
      <c r="AC1373" t="s">
        <v>182</v>
      </c>
      <c r="AD1373" t="s">
        <v>183</v>
      </c>
      <c r="AE1373">
        <v>0</v>
      </c>
      <c r="AF1373">
        <v>6</v>
      </c>
      <c r="AG1373" t="s">
        <v>528</v>
      </c>
      <c r="AH1373">
        <v>100</v>
      </c>
      <c r="AK1373">
        <v>0</v>
      </c>
      <c r="AL1373">
        <v>47141</v>
      </c>
      <c r="AM1373">
        <v>28000</v>
      </c>
      <c r="AN1373">
        <v>19141</v>
      </c>
      <c r="AO1373">
        <v>696</v>
      </c>
      <c r="AP1373">
        <v>2016</v>
      </c>
      <c r="AQ1373">
        <v>1.71</v>
      </c>
      <c r="AS1373" t="s">
        <v>17773</v>
      </c>
      <c r="AT1373" t="s">
        <v>3210</v>
      </c>
      <c r="AU1373" t="s">
        <v>177</v>
      </c>
      <c r="AV1373" t="s">
        <v>2334</v>
      </c>
      <c r="AW1373" t="s">
        <v>182</v>
      </c>
      <c r="AX1373">
        <v>2</v>
      </c>
      <c r="AY1373" t="s">
        <v>188</v>
      </c>
      <c r="AZ1373" t="s">
        <v>189</v>
      </c>
      <c r="BA1373" t="s">
        <v>190</v>
      </c>
      <c r="BB1373" t="s">
        <v>191</v>
      </c>
      <c r="BC1373" t="s">
        <v>182</v>
      </c>
      <c r="BD1373" t="s">
        <v>182</v>
      </c>
      <c r="BE1373" t="s">
        <v>4272</v>
      </c>
      <c r="BF1373">
        <v>1</v>
      </c>
      <c r="BG1373">
        <v>1</v>
      </c>
      <c r="BH1373">
        <v>1979</v>
      </c>
      <c r="BI1373" t="s">
        <v>284</v>
      </c>
      <c r="BJ1373" t="s">
        <v>194</v>
      </c>
      <c r="BK1373" t="s">
        <v>195</v>
      </c>
      <c r="BL1373" t="s">
        <v>764</v>
      </c>
      <c r="BM1373" t="s">
        <v>410</v>
      </c>
      <c r="BN1373" t="s">
        <v>182</v>
      </c>
      <c r="BO1373" t="s">
        <v>4123</v>
      </c>
      <c r="BP1373" t="s">
        <v>17774</v>
      </c>
      <c r="BS1373" t="s">
        <v>17775</v>
      </c>
      <c r="BT1373" t="s">
        <v>198</v>
      </c>
      <c r="BU1373" t="s">
        <v>182</v>
      </c>
      <c r="BV1373" t="s">
        <v>198</v>
      </c>
      <c r="BW1373" t="s">
        <v>198</v>
      </c>
      <c r="BX1373" t="s">
        <v>199</v>
      </c>
      <c r="BY1373" t="s">
        <v>198</v>
      </c>
      <c r="BZ1373" t="s">
        <v>199</v>
      </c>
      <c r="CA1373" t="s">
        <v>199</v>
      </c>
      <c r="CB1373" t="s">
        <v>17776</v>
      </c>
      <c r="CC1373" t="s">
        <v>201</v>
      </c>
      <c r="CD1373" t="s">
        <v>182</v>
      </c>
      <c r="CE1373" t="s">
        <v>17777</v>
      </c>
      <c r="CF1373" t="s">
        <v>2333</v>
      </c>
      <c r="CG1373" t="s">
        <v>177</v>
      </c>
      <c r="CH1373" t="s">
        <v>2334</v>
      </c>
      <c r="CI1373" t="s">
        <v>17778</v>
      </c>
      <c r="CJ1373" t="s">
        <v>10772</v>
      </c>
      <c r="CK1373" t="s">
        <v>232</v>
      </c>
      <c r="CL1373" t="s">
        <v>233</v>
      </c>
      <c r="CM1373" t="s">
        <v>17779</v>
      </c>
      <c r="CN1373" t="s">
        <v>235</v>
      </c>
      <c r="CO1373" t="s">
        <v>183</v>
      </c>
      <c r="CP1373" t="s">
        <v>211</v>
      </c>
      <c r="CQ1373" t="s">
        <v>199</v>
      </c>
      <c r="CS1373" t="s">
        <v>3758</v>
      </c>
      <c r="CT1373" t="s">
        <v>10875</v>
      </c>
      <c r="CU1373" t="s">
        <v>292</v>
      </c>
      <c r="CV1373" t="s">
        <v>293</v>
      </c>
      <c r="CW1373" t="s">
        <v>17780</v>
      </c>
      <c r="CX1373" t="s">
        <v>235</v>
      </c>
      <c r="CY1373" t="s">
        <v>183</v>
      </c>
      <c r="CZ1373" t="s">
        <v>211</v>
      </c>
      <c r="DA1373" t="s">
        <v>427</v>
      </c>
      <c r="DC1373" t="s">
        <v>3758</v>
      </c>
      <c r="DD1373" t="s">
        <v>11273</v>
      </c>
      <c r="DE1373" t="s">
        <v>267</v>
      </c>
      <c r="DF1373" t="s">
        <v>268</v>
      </c>
      <c r="DG1373" t="s">
        <v>17781</v>
      </c>
      <c r="DH1373" t="s">
        <v>235</v>
      </c>
      <c r="DI1373" t="s">
        <v>183</v>
      </c>
      <c r="DJ1373" t="s">
        <v>211</v>
      </c>
      <c r="DK1373" t="s">
        <v>633</v>
      </c>
      <c r="DM1373" t="s">
        <v>3758</v>
      </c>
      <c r="DN1373" t="s">
        <v>13338</v>
      </c>
      <c r="DO1373" t="s">
        <v>302</v>
      </c>
      <c r="DP1373" t="s">
        <v>303</v>
      </c>
      <c r="DQ1373" t="s">
        <v>17782</v>
      </c>
      <c r="DR1373" t="s">
        <v>235</v>
      </c>
      <c r="DS1373" t="s">
        <v>183</v>
      </c>
      <c r="DT1373" t="s">
        <v>211</v>
      </c>
      <c r="DU1373" t="s">
        <v>339</v>
      </c>
      <c r="DW1373" t="s">
        <v>17783</v>
      </c>
      <c r="DX1373" t="s">
        <v>17784</v>
      </c>
      <c r="DY1373" t="s">
        <v>238</v>
      </c>
      <c r="DZ1373" t="s">
        <v>239</v>
      </c>
      <c r="EA1373" t="s">
        <v>17785</v>
      </c>
      <c r="EB1373" t="s">
        <v>278</v>
      </c>
      <c r="EC1373" t="s">
        <v>183</v>
      </c>
      <c r="ED1373" t="s">
        <v>211</v>
      </c>
      <c r="EE1373" t="s">
        <v>493</v>
      </c>
      <c r="EG1373" t="s">
        <v>17783</v>
      </c>
      <c r="EH1373" t="s">
        <v>11179</v>
      </c>
      <c r="EI1373" t="s">
        <v>346</v>
      </c>
      <c r="EJ1373" t="s">
        <v>347</v>
      </c>
      <c r="EK1373" t="s">
        <v>17786</v>
      </c>
      <c r="EL1373" t="s">
        <v>816</v>
      </c>
      <c r="EM1373" t="s">
        <v>183</v>
      </c>
      <c r="EN1373" t="s">
        <v>211</v>
      </c>
      <c r="EO1373" t="s">
        <v>444</v>
      </c>
      <c r="EQ1373" t="s">
        <v>17787</v>
      </c>
      <c r="FA1373" t="s">
        <v>198</v>
      </c>
      <c r="FK1373" t="s">
        <v>198</v>
      </c>
      <c r="FU1373" t="s">
        <v>198</v>
      </c>
    </row>
    <row r="1374" spans="1:177">
      <c r="A1374" s="1" t="str">
        <f>HYPERLINK("http://digipan.lumentumllc.com/apps/getLink/index.php?t=PropLink&amp;p=5248118","PL")</f>
        <v>PL</v>
      </c>
      <c r="B1374" s="1" t="str">
        <f>HYPERLINK("http://digipan.lumentumllc.com/apps/getLink/index.php?t=TaxLink&amp;p=5248118","TL")</f>
        <v>TL</v>
      </c>
      <c r="C1374" s="1" t="str">
        <f>HYPERLINK("http://digipan.lumentumllc.com/apps/getMap/index.php?p=5248118","Map")</f>
        <v>Map</v>
      </c>
      <c r="E1374" t="s">
        <v>177</v>
      </c>
      <c r="F1374" t="s">
        <v>178</v>
      </c>
      <c r="L1374" t="s">
        <v>17788</v>
      </c>
      <c r="N1374" t="s">
        <v>17788</v>
      </c>
      <c r="O1374" t="s">
        <v>17788</v>
      </c>
      <c r="P1374" t="s">
        <v>17789</v>
      </c>
      <c r="Q1374" t="s">
        <v>17788</v>
      </c>
      <c r="V1374">
        <v>1572</v>
      </c>
      <c r="W1374">
        <v>5</v>
      </c>
      <c r="X1374">
        <v>2017</v>
      </c>
      <c r="Y1374">
        <v>2018</v>
      </c>
      <c r="Z1374">
        <v>613.80999999999995</v>
      </c>
      <c r="AB1374" t="s">
        <v>181</v>
      </c>
      <c r="AC1374" t="s">
        <v>182</v>
      </c>
      <c r="AD1374" t="s">
        <v>183</v>
      </c>
      <c r="AE1374">
        <v>1</v>
      </c>
      <c r="AF1374">
        <v>4</v>
      </c>
      <c r="AG1374" t="s">
        <v>951</v>
      </c>
      <c r="AH1374">
        <v>80</v>
      </c>
      <c r="AI1374">
        <v>608.45000000000005</v>
      </c>
      <c r="AJ1374">
        <v>30.42</v>
      </c>
      <c r="AK1374">
        <v>638.87</v>
      </c>
      <c r="AL1374">
        <v>100098</v>
      </c>
      <c r="AM1374">
        <v>28000</v>
      </c>
      <c r="AN1374">
        <v>72098</v>
      </c>
      <c r="AO1374">
        <v>538</v>
      </c>
      <c r="AP1374">
        <v>2016</v>
      </c>
      <c r="AQ1374">
        <v>0.61</v>
      </c>
      <c r="AR1374">
        <v>0.64</v>
      </c>
      <c r="AS1374" t="s">
        <v>17790</v>
      </c>
      <c r="AT1374" t="s">
        <v>3210</v>
      </c>
      <c r="AU1374" t="s">
        <v>177</v>
      </c>
      <c r="AV1374" t="s">
        <v>2334</v>
      </c>
      <c r="AW1374" t="s">
        <v>202</v>
      </c>
      <c r="AX1374">
        <v>1</v>
      </c>
      <c r="AY1374" t="s">
        <v>188</v>
      </c>
      <c r="AZ1374" t="s">
        <v>206</v>
      </c>
      <c r="BA1374" t="s">
        <v>355</v>
      </c>
      <c r="BB1374" t="s">
        <v>191</v>
      </c>
      <c r="BC1374" t="s">
        <v>182</v>
      </c>
      <c r="BD1374" t="s">
        <v>182</v>
      </c>
      <c r="BE1374" t="s">
        <v>383</v>
      </c>
      <c r="BF1374">
        <v>1</v>
      </c>
      <c r="BG1374">
        <v>1</v>
      </c>
      <c r="BH1374">
        <v>1980</v>
      </c>
      <c r="BI1374" t="s">
        <v>1347</v>
      </c>
      <c r="BJ1374" t="s">
        <v>194</v>
      </c>
      <c r="BK1374" t="s">
        <v>195</v>
      </c>
      <c r="BL1374" t="s">
        <v>199</v>
      </c>
      <c r="BM1374" t="s">
        <v>559</v>
      </c>
      <c r="BN1374" t="s">
        <v>182</v>
      </c>
      <c r="BO1374" t="s">
        <v>4123</v>
      </c>
      <c r="BP1374" t="s">
        <v>17791</v>
      </c>
      <c r="BS1374" t="s">
        <v>17588</v>
      </c>
      <c r="BT1374" t="s">
        <v>198</v>
      </c>
      <c r="BU1374" t="s">
        <v>182</v>
      </c>
      <c r="BV1374" t="s">
        <v>198</v>
      </c>
      <c r="BW1374" t="s">
        <v>198</v>
      </c>
      <c r="BX1374" t="s">
        <v>199</v>
      </c>
      <c r="BY1374" t="s">
        <v>198</v>
      </c>
      <c r="BZ1374" t="s">
        <v>199</v>
      </c>
      <c r="CA1374" t="s">
        <v>199</v>
      </c>
      <c r="CB1374" t="s">
        <v>17792</v>
      </c>
      <c r="CC1374" t="s">
        <v>201</v>
      </c>
      <c r="CD1374" t="s">
        <v>202</v>
      </c>
      <c r="CE1374" t="s">
        <v>17793</v>
      </c>
      <c r="CF1374" t="s">
        <v>2333</v>
      </c>
      <c r="CG1374" t="s">
        <v>177</v>
      </c>
      <c r="CH1374" t="s">
        <v>2334</v>
      </c>
      <c r="CI1374" t="s">
        <v>10181</v>
      </c>
      <c r="CJ1374" t="s">
        <v>12471</v>
      </c>
      <c r="CK1374" t="s">
        <v>232</v>
      </c>
      <c r="CL1374" t="s">
        <v>233</v>
      </c>
      <c r="CM1374" t="s">
        <v>17794</v>
      </c>
      <c r="CN1374" t="s">
        <v>235</v>
      </c>
      <c r="CO1374" t="s">
        <v>183</v>
      </c>
      <c r="CP1374" t="s">
        <v>266</v>
      </c>
      <c r="CS1374" t="s">
        <v>198</v>
      </c>
      <c r="CT1374" t="s">
        <v>17795</v>
      </c>
      <c r="CU1374" t="s">
        <v>273</v>
      </c>
      <c r="CV1374" t="s">
        <v>274</v>
      </c>
      <c r="CW1374" t="s">
        <v>8752</v>
      </c>
      <c r="CX1374" t="s">
        <v>235</v>
      </c>
      <c r="CY1374" t="s">
        <v>183</v>
      </c>
      <c r="CZ1374" t="s">
        <v>211</v>
      </c>
      <c r="DA1374" t="s">
        <v>290</v>
      </c>
      <c r="DC1374" t="s">
        <v>17796</v>
      </c>
      <c r="DD1374" t="s">
        <v>4458</v>
      </c>
      <c r="DE1374" t="s">
        <v>302</v>
      </c>
      <c r="DF1374" t="s">
        <v>303</v>
      </c>
      <c r="DG1374" t="s">
        <v>17797</v>
      </c>
      <c r="DH1374" t="s">
        <v>235</v>
      </c>
      <c r="DI1374" t="s">
        <v>183</v>
      </c>
      <c r="DJ1374" t="s">
        <v>211</v>
      </c>
      <c r="DK1374" t="s">
        <v>523</v>
      </c>
      <c r="DM1374" t="s">
        <v>17796</v>
      </c>
      <c r="DN1374" t="s">
        <v>17798</v>
      </c>
      <c r="DO1374" t="s">
        <v>238</v>
      </c>
      <c r="DP1374" t="s">
        <v>239</v>
      </c>
      <c r="DQ1374" t="s">
        <v>17799</v>
      </c>
      <c r="DR1374" t="s">
        <v>235</v>
      </c>
      <c r="DS1374" t="s">
        <v>183</v>
      </c>
      <c r="DT1374" t="s">
        <v>211</v>
      </c>
      <c r="DU1374" t="s">
        <v>345</v>
      </c>
      <c r="DW1374" t="s">
        <v>2676</v>
      </c>
      <c r="DX1374" t="s">
        <v>11196</v>
      </c>
      <c r="DY1374" t="s">
        <v>346</v>
      </c>
      <c r="DZ1374" t="s">
        <v>347</v>
      </c>
      <c r="EA1374" t="s">
        <v>17800</v>
      </c>
      <c r="EB1374" t="s">
        <v>235</v>
      </c>
      <c r="EC1374" t="s">
        <v>183</v>
      </c>
      <c r="ED1374" t="s">
        <v>211</v>
      </c>
      <c r="EE1374" t="s">
        <v>444</v>
      </c>
      <c r="EG1374" t="s">
        <v>17787</v>
      </c>
      <c r="EQ1374" t="s">
        <v>198</v>
      </c>
      <c r="FA1374" t="s">
        <v>198</v>
      </c>
      <c r="FK1374" t="s">
        <v>198</v>
      </c>
      <c r="FU1374" t="s">
        <v>198</v>
      </c>
    </row>
    <row r="1375" spans="1:177">
      <c r="A1375" s="1" t="str">
        <f>HYPERLINK("http://digipan.lumentumllc.com/apps/getLink/index.php?t=PropLink&amp;p=15760489","PL")</f>
        <v>PL</v>
      </c>
      <c r="B1375" s="1" t="str">
        <f>HYPERLINK("http://digipan.lumentumllc.com/apps/getLink/index.php?t=TaxLink&amp;p=15760489","TL")</f>
        <v>TL</v>
      </c>
      <c r="C1375" s="1" t="str">
        <f>HYPERLINK("http://digipan.lumentumllc.com/apps/getMap/index.php?p=15760489","Map")</f>
        <v>Map</v>
      </c>
      <c r="E1375" t="s">
        <v>177</v>
      </c>
      <c r="F1375" t="s">
        <v>178</v>
      </c>
      <c r="L1375" t="s">
        <v>17801</v>
      </c>
      <c r="N1375" t="s">
        <v>17801</v>
      </c>
      <c r="O1375" t="s">
        <v>17801</v>
      </c>
      <c r="Q1375" t="s">
        <v>17801</v>
      </c>
      <c r="V1375">
        <v>1573</v>
      </c>
      <c r="W1375">
        <v>5</v>
      </c>
      <c r="X1375">
        <v>2017</v>
      </c>
      <c r="Y1375">
        <v>2018</v>
      </c>
      <c r="Z1375">
        <v>1313.2</v>
      </c>
      <c r="AB1375" t="s">
        <v>181</v>
      </c>
      <c r="AC1375" t="s">
        <v>182</v>
      </c>
      <c r="AD1375" t="s">
        <v>183</v>
      </c>
      <c r="AE1375">
        <v>0</v>
      </c>
      <c r="AF1375">
        <v>1</v>
      </c>
      <c r="AG1375" t="s">
        <v>821</v>
      </c>
      <c r="AH1375">
        <v>100</v>
      </c>
      <c r="AK1375">
        <v>0</v>
      </c>
      <c r="AL1375">
        <v>110824</v>
      </c>
      <c r="AM1375">
        <v>28000</v>
      </c>
      <c r="AN1375">
        <v>82824</v>
      </c>
      <c r="AO1375">
        <v>1108</v>
      </c>
      <c r="AP1375">
        <v>2016</v>
      </c>
      <c r="AQ1375">
        <v>1.18</v>
      </c>
      <c r="AS1375" t="s">
        <v>17802</v>
      </c>
      <c r="AT1375" t="s">
        <v>3210</v>
      </c>
      <c r="AU1375" t="s">
        <v>177</v>
      </c>
      <c r="AV1375" t="s">
        <v>2334</v>
      </c>
      <c r="AW1375" t="s">
        <v>202</v>
      </c>
      <c r="AX1375">
        <v>2</v>
      </c>
      <c r="AY1375" t="s">
        <v>188</v>
      </c>
      <c r="AZ1375" t="s">
        <v>189</v>
      </c>
      <c r="BA1375" t="s">
        <v>190</v>
      </c>
      <c r="BB1375" t="s">
        <v>191</v>
      </c>
      <c r="BC1375" t="s">
        <v>182</v>
      </c>
      <c r="BD1375" t="s">
        <v>182</v>
      </c>
      <c r="BE1375" t="s">
        <v>3783</v>
      </c>
      <c r="BF1375">
        <v>1</v>
      </c>
      <c r="BG1375">
        <v>1</v>
      </c>
      <c r="BH1375">
        <v>2007</v>
      </c>
      <c r="BI1375" t="s">
        <v>1709</v>
      </c>
      <c r="BJ1375" t="s">
        <v>194</v>
      </c>
      <c r="BK1375" t="s">
        <v>195</v>
      </c>
      <c r="BL1375" t="s">
        <v>199</v>
      </c>
      <c r="BM1375" t="s">
        <v>679</v>
      </c>
      <c r="BN1375" t="s">
        <v>182</v>
      </c>
      <c r="BO1375" t="s">
        <v>17803</v>
      </c>
      <c r="BP1375" t="s">
        <v>17804</v>
      </c>
      <c r="BQ1375" t="s">
        <v>1520</v>
      </c>
      <c r="BR1375" t="s">
        <v>6777</v>
      </c>
      <c r="BS1375" t="s">
        <v>198</v>
      </c>
      <c r="BT1375" t="s">
        <v>17805</v>
      </c>
      <c r="BU1375" t="s">
        <v>182</v>
      </c>
      <c r="BV1375" t="s">
        <v>198</v>
      </c>
      <c r="BW1375" t="s">
        <v>198</v>
      </c>
      <c r="BX1375" t="s">
        <v>199</v>
      </c>
      <c r="BY1375" t="s">
        <v>198</v>
      </c>
      <c r="BZ1375" t="s">
        <v>199</v>
      </c>
      <c r="CA1375" t="s">
        <v>199</v>
      </c>
      <c r="CB1375" t="s">
        <v>17806</v>
      </c>
      <c r="CC1375" t="s">
        <v>201</v>
      </c>
      <c r="CD1375" t="s">
        <v>202</v>
      </c>
      <c r="CE1375" t="s">
        <v>17807</v>
      </c>
      <c r="CF1375" t="s">
        <v>2333</v>
      </c>
      <c r="CG1375" t="s">
        <v>177</v>
      </c>
      <c r="CH1375" t="s">
        <v>2334</v>
      </c>
      <c r="CI1375" t="s">
        <v>9132</v>
      </c>
      <c r="CJ1375" t="s">
        <v>13380</v>
      </c>
      <c r="CK1375" t="s">
        <v>232</v>
      </c>
      <c r="CL1375" t="s">
        <v>233</v>
      </c>
      <c r="CM1375" t="s">
        <v>17808</v>
      </c>
      <c r="CN1375" t="s">
        <v>235</v>
      </c>
      <c r="CO1375" t="s">
        <v>183</v>
      </c>
      <c r="CP1375" t="s">
        <v>211</v>
      </c>
      <c r="CQ1375" t="s">
        <v>342</v>
      </c>
      <c r="CS1375" t="s">
        <v>1088</v>
      </c>
      <c r="DC1375" t="s">
        <v>198</v>
      </c>
      <c r="DM1375" t="s">
        <v>198</v>
      </c>
      <c r="DW1375" t="s">
        <v>198</v>
      </c>
      <c r="EG1375" t="s">
        <v>198</v>
      </c>
      <c r="EQ1375" t="s">
        <v>198</v>
      </c>
      <c r="FA1375" t="s">
        <v>198</v>
      </c>
      <c r="FK1375" t="s">
        <v>198</v>
      </c>
      <c r="FU1375" t="s">
        <v>198</v>
      </c>
    </row>
    <row r="1376" spans="1:177">
      <c r="A1376" s="1" t="str">
        <f>HYPERLINK("http://digipan.lumentumllc.com/apps/getLink/index.php?t=PropLink&amp;p=5248121","PL")</f>
        <v>PL</v>
      </c>
      <c r="B1376" s="1" t="str">
        <f>HYPERLINK("http://digipan.lumentumllc.com/apps/getLink/index.php?t=TaxLink&amp;p=5248121","TL")</f>
        <v>TL</v>
      </c>
      <c r="C1376" s="1" t="str">
        <f>HYPERLINK("http://digipan.lumentumllc.com/apps/getMap/index.php?p=5248121","Map")</f>
        <v>Map</v>
      </c>
      <c r="E1376" t="s">
        <v>177</v>
      </c>
      <c r="F1376" t="s">
        <v>178</v>
      </c>
      <c r="L1376" t="s">
        <v>17809</v>
      </c>
      <c r="N1376" t="s">
        <v>17809</v>
      </c>
      <c r="O1376" t="s">
        <v>17809</v>
      </c>
      <c r="P1376" t="s">
        <v>17810</v>
      </c>
      <c r="Q1376" t="s">
        <v>17809</v>
      </c>
      <c r="V1376">
        <v>1575</v>
      </c>
      <c r="W1376">
        <v>5</v>
      </c>
      <c r="X1376">
        <v>2017</v>
      </c>
      <c r="Y1376">
        <v>2018</v>
      </c>
      <c r="Z1376">
        <v>836.01</v>
      </c>
      <c r="AB1376" t="s">
        <v>181</v>
      </c>
      <c r="AC1376" t="s">
        <v>202</v>
      </c>
      <c r="AD1376" t="s">
        <v>183</v>
      </c>
      <c r="AE1376">
        <v>1</v>
      </c>
      <c r="AF1376">
        <v>6</v>
      </c>
      <c r="AG1376" t="s">
        <v>322</v>
      </c>
      <c r="AH1376">
        <v>83</v>
      </c>
      <c r="AI1376">
        <v>714.36</v>
      </c>
      <c r="AJ1376">
        <v>35.72</v>
      </c>
      <c r="AK1376">
        <v>750.08</v>
      </c>
      <c r="AL1376">
        <v>53720</v>
      </c>
      <c r="AM1376">
        <v>28000</v>
      </c>
      <c r="AN1376">
        <v>25720</v>
      </c>
      <c r="AO1376">
        <v>636</v>
      </c>
      <c r="AP1376">
        <v>2016</v>
      </c>
      <c r="AQ1376">
        <v>1.56</v>
      </c>
      <c r="AR1376">
        <v>1.4</v>
      </c>
      <c r="AS1376" t="s">
        <v>17811</v>
      </c>
      <c r="AT1376" t="s">
        <v>3210</v>
      </c>
      <c r="AU1376" t="s">
        <v>177</v>
      </c>
      <c r="AV1376" t="s">
        <v>2334</v>
      </c>
      <c r="AW1376" t="s">
        <v>182</v>
      </c>
      <c r="AX1376">
        <v>2</v>
      </c>
      <c r="AY1376" t="s">
        <v>188</v>
      </c>
      <c r="AZ1376" t="s">
        <v>189</v>
      </c>
      <c r="BA1376" t="s">
        <v>190</v>
      </c>
      <c r="BB1376" t="s">
        <v>191</v>
      </c>
      <c r="BC1376" t="s">
        <v>182</v>
      </c>
      <c r="BD1376" t="s">
        <v>182</v>
      </c>
      <c r="BE1376" t="s">
        <v>8792</v>
      </c>
      <c r="BF1376">
        <v>1</v>
      </c>
      <c r="BG1376">
        <v>1</v>
      </c>
      <c r="BH1376">
        <v>1983</v>
      </c>
      <c r="BI1376" t="s">
        <v>14204</v>
      </c>
      <c r="BJ1376" t="s">
        <v>194</v>
      </c>
      <c r="BK1376" t="s">
        <v>195</v>
      </c>
      <c r="BL1376" t="s">
        <v>2075</v>
      </c>
      <c r="BM1376" t="s">
        <v>1825</v>
      </c>
      <c r="BN1376" t="s">
        <v>182</v>
      </c>
      <c r="BO1376" t="s">
        <v>13140</v>
      </c>
      <c r="BP1376" t="s">
        <v>17812</v>
      </c>
      <c r="BQ1376" t="s">
        <v>2227</v>
      </c>
      <c r="BR1376" t="s">
        <v>563</v>
      </c>
      <c r="BS1376" t="s">
        <v>198</v>
      </c>
      <c r="BT1376" t="s">
        <v>12356</v>
      </c>
      <c r="BU1376" t="s">
        <v>182</v>
      </c>
      <c r="BV1376" t="s">
        <v>198</v>
      </c>
      <c r="BW1376" t="s">
        <v>198</v>
      </c>
      <c r="BX1376" t="s">
        <v>199</v>
      </c>
      <c r="BY1376" t="s">
        <v>198</v>
      </c>
      <c r="BZ1376" t="s">
        <v>199</v>
      </c>
      <c r="CA1376" t="s">
        <v>199</v>
      </c>
      <c r="CB1376" t="s">
        <v>17813</v>
      </c>
      <c r="CC1376" t="s">
        <v>201</v>
      </c>
      <c r="CD1376" t="s">
        <v>202</v>
      </c>
      <c r="CE1376" t="s">
        <v>17814</v>
      </c>
      <c r="CF1376" t="s">
        <v>2333</v>
      </c>
      <c r="CG1376" t="s">
        <v>177</v>
      </c>
      <c r="CH1376" t="s">
        <v>3178</v>
      </c>
      <c r="CI1376" t="s">
        <v>17815</v>
      </c>
      <c r="CJ1376" t="s">
        <v>13605</v>
      </c>
      <c r="CK1376" t="s">
        <v>232</v>
      </c>
      <c r="CL1376" t="s">
        <v>233</v>
      </c>
      <c r="CM1376" t="s">
        <v>17816</v>
      </c>
      <c r="CN1376" t="s">
        <v>235</v>
      </c>
      <c r="CO1376" t="s">
        <v>183</v>
      </c>
      <c r="CP1376" t="s">
        <v>266</v>
      </c>
      <c r="CS1376" t="s">
        <v>198</v>
      </c>
      <c r="CT1376" t="s">
        <v>11284</v>
      </c>
      <c r="CU1376" t="s">
        <v>267</v>
      </c>
      <c r="CV1376" t="s">
        <v>268</v>
      </c>
      <c r="CW1376" t="s">
        <v>17817</v>
      </c>
      <c r="CX1376" t="s">
        <v>235</v>
      </c>
      <c r="CY1376" t="s">
        <v>183</v>
      </c>
      <c r="CZ1376" t="s">
        <v>211</v>
      </c>
      <c r="DA1376" t="s">
        <v>270</v>
      </c>
      <c r="DB1376" t="s">
        <v>271</v>
      </c>
      <c r="DC1376" t="s">
        <v>272</v>
      </c>
      <c r="DD1376" t="s">
        <v>5043</v>
      </c>
      <c r="DE1376" t="s">
        <v>273</v>
      </c>
      <c r="DF1376" t="s">
        <v>274</v>
      </c>
      <c r="DG1376" t="s">
        <v>17818</v>
      </c>
      <c r="DH1376" t="s">
        <v>235</v>
      </c>
      <c r="DI1376" t="s">
        <v>183</v>
      </c>
      <c r="DJ1376" t="s">
        <v>211</v>
      </c>
      <c r="DL1376" t="s">
        <v>271</v>
      </c>
      <c r="DM1376" t="s">
        <v>198</v>
      </c>
      <c r="DN1376" t="s">
        <v>17643</v>
      </c>
      <c r="DO1376" t="s">
        <v>302</v>
      </c>
      <c r="DP1376" t="s">
        <v>303</v>
      </c>
      <c r="DQ1376" t="s">
        <v>17819</v>
      </c>
      <c r="DR1376" t="s">
        <v>235</v>
      </c>
      <c r="DS1376" t="s">
        <v>183</v>
      </c>
      <c r="DT1376" t="s">
        <v>211</v>
      </c>
      <c r="DU1376" t="s">
        <v>345</v>
      </c>
      <c r="DW1376" t="s">
        <v>2490</v>
      </c>
      <c r="DX1376" t="s">
        <v>17820</v>
      </c>
      <c r="DY1376" t="s">
        <v>238</v>
      </c>
      <c r="DZ1376" t="s">
        <v>239</v>
      </c>
      <c r="EA1376" t="s">
        <v>17821</v>
      </c>
      <c r="EB1376" t="s">
        <v>278</v>
      </c>
      <c r="EC1376" t="s">
        <v>183</v>
      </c>
      <c r="ED1376" t="s">
        <v>211</v>
      </c>
      <c r="EE1376" t="s">
        <v>206</v>
      </c>
      <c r="EF1376" t="s">
        <v>271</v>
      </c>
      <c r="EG1376" t="s">
        <v>1293</v>
      </c>
      <c r="EH1376" t="s">
        <v>17822</v>
      </c>
      <c r="EI1376" t="s">
        <v>346</v>
      </c>
      <c r="EJ1376" t="s">
        <v>347</v>
      </c>
      <c r="EK1376" t="s">
        <v>17823</v>
      </c>
      <c r="EL1376" t="s">
        <v>816</v>
      </c>
      <c r="EM1376" t="s">
        <v>183</v>
      </c>
      <c r="EN1376" t="s">
        <v>211</v>
      </c>
      <c r="EO1376" t="s">
        <v>306</v>
      </c>
      <c r="EP1376" t="s">
        <v>271</v>
      </c>
      <c r="EQ1376" t="s">
        <v>1293</v>
      </c>
      <c r="ER1376" t="s">
        <v>17824</v>
      </c>
      <c r="ES1376" t="s">
        <v>207</v>
      </c>
      <c r="ET1376" t="s">
        <v>208</v>
      </c>
      <c r="EU1376" t="s">
        <v>17825</v>
      </c>
      <c r="EV1376" t="s">
        <v>1966</v>
      </c>
      <c r="EW1376" t="s">
        <v>183</v>
      </c>
      <c r="EX1376" t="s">
        <v>211</v>
      </c>
      <c r="EZ1376" t="s">
        <v>271</v>
      </c>
      <c r="FA1376" t="s">
        <v>198</v>
      </c>
      <c r="FK1376" t="s">
        <v>198</v>
      </c>
      <c r="FU1376" t="s">
        <v>198</v>
      </c>
    </row>
    <row r="1377" spans="1:177">
      <c r="A1377" s="1" t="str">
        <f>HYPERLINK("http://digipan.lumentumllc.com/apps/getLink/index.php?t=PropLink&amp;p=5248123","PL")</f>
        <v>PL</v>
      </c>
      <c r="B1377" s="1" t="str">
        <f>HYPERLINK("http://digipan.lumentumllc.com/apps/getLink/index.php?t=TaxLink&amp;p=5248123","TL")</f>
        <v>TL</v>
      </c>
      <c r="C1377" s="1" t="str">
        <f>HYPERLINK("http://digipan.lumentumllc.com/apps/getMap/index.php?p=5248123","Map")</f>
        <v>Map</v>
      </c>
      <c r="E1377" t="s">
        <v>177</v>
      </c>
      <c r="F1377" t="s">
        <v>178</v>
      </c>
      <c r="L1377" t="s">
        <v>17826</v>
      </c>
      <c r="N1377" t="s">
        <v>17826</v>
      </c>
      <c r="O1377" t="s">
        <v>17826</v>
      </c>
      <c r="P1377" t="s">
        <v>17827</v>
      </c>
      <c r="Q1377" t="s">
        <v>17826</v>
      </c>
      <c r="V1377">
        <v>1576</v>
      </c>
      <c r="W1377">
        <v>5</v>
      </c>
      <c r="X1377">
        <v>2017</v>
      </c>
      <c r="Y1377">
        <v>2018</v>
      </c>
      <c r="Z1377">
        <v>451.09</v>
      </c>
      <c r="AB1377" t="s">
        <v>181</v>
      </c>
      <c r="AC1377" t="s">
        <v>182</v>
      </c>
      <c r="AD1377" t="s">
        <v>183</v>
      </c>
      <c r="AE1377">
        <v>1</v>
      </c>
      <c r="AF1377">
        <v>5</v>
      </c>
      <c r="AG1377" t="s">
        <v>951</v>
      </c>
      <c r="AH1377">
        <v>80</v>
      </c>
      <c r="AI1377">
        <v>444.34</v>
      </c>
      <c r="AJ1377">
        <v>22.22</v>
      </c>
      <c r="AK1377">
        <v>466.56</v>
      </c>
      <c r="AL1377">
        <v>67478</v>
      </c>
      <c r="AM1377">
        <v>28000</v>
      </c>
      <c r="AN1377">
        <v>39478</v>
      </c>
      <c r="AO1377">
        <v>386</v>
      </c>
      <c r="AP1377">
        <v>2016</v>
      </c>
      <c r="AQ1377">
        <v>0.67</v>
      </c>
      <c r="AR1377">
        <v>0.69</v>
      </c>
      <c r="AS1377" t="s">
        <v>17828</v>
      </c>
      <c r="AT1377" t="s">
        <v>3210</v>
      </c>
      <c r="AU1377" t="s">
        <v>177</v>
      </c>
      <c r="AV1377" t="s">
        <v>2334</v>
      </c>
      <c r="AW1377" t="s">
        <v>202</v>
      </c>
      <c r="AX1377">
        <v>2</v>
      </c>
      <c r="AY1377" t="s">
        <v>188</v>
      </c>
      <c r="AZ1377" t="s">
        <v>189</v>
      </c>
      <c r="BA1377" t="s">
        <v>190</v>
      </c>
      <c r="BB1377" t="s">
        <v>191</v>
      </c>
      <c r="BC1377" t="s">
        <v>182</v>
      </c>
      <c r="BD1377" t="s">
        <v>182</v>
      </c>
      <c r="BE1377" t="s">
        <v>1223</v>
      </c>
      <c r="BF1377">
        <v>1</v>
      </c>
      <c r="BG1377">
        <v>1</v>
      </c>
      <c r="BH1377">
        <v>1998</v>
      </c>
      <c r="BI1377" t="s">
        <v>7006</v>
      </c>
      <c r="BJ1377" t="s">
        <v>194</v>
      </c>
      <c r="BK1377" t="s">
        <v>195</v>
      </c>
      <c r="BL1377" t="s">
        <v>199</v>
      </c>
      <c r="BM1377" t="s">
        <v>559</v>
      </c>
      <c r="BN1377" t="s">
        <v>182</v>
      </c>
      <c r="BO1377" t="s">
        <v>17829</v>
      </c>
      <c r="BP1377" t="s">
        <v>17830</v>
      </c>
      <c r="BR1377" t="s">
        <v>1575</v>
      </c>
      <c r="BS1377" t="s">
        <v>17831</v>
      </c>
      <c r="BT1377" t="s">
        <v>198</v>
      </c>
      <c r="BU1377" t="s">
        <v>182</v>
      </c>
      <c r="BV1377" t="s">
        <v>198</v>
      </c>
      <c r="BW1377" t="s">
        <v>198</v>
      </c>
      <c r="BX1377" t="s">
        <v>199</v>
      </c>
      <c r="BY1377" t="s">
        <v>198</v>
      </c>
      <c r="BZ1377" t="s">
        <v>199</v>
      </c>
      <c r="CA1377" t="s">
        <v>199</v>
      </c>
      <c r="CB1377" t="s">
        <v>17832</v>
      </c>
      <c r="CC1377" t="s">
        <v>201</v>
      </c>
      <c r="CD1377" t="s">
        <v>182</v>
      </c>
      <c r="CE1377" t="s">
        <v>17833</v>
      </c>
      <c r="CF1377" t="s">
        <v>2333</v>
      </c>
      <c r="CG1377" t="s">
        <v>177</v>
      </c>
      <c r="CH1377" t="s">
        <v>2334</v>
      </c>
      <c r="CI1377" t="s">
        <v>9238</v>
      </c>
      <c r="CJ1377" t="s">
        <v>12978</v>
      </c>
      <c r="CK1377" t="s">
        <v>232</v>
      </c>
      <c r="CL1377" t="s">
        <v>233</v>
      </c>
      <c r="CM1377" t="s">
        <v>17834</v>
      </c>
      <c r="CN1377" t="s">
        <v>235</v>
      </c>
      <c r="CO1377" t="s">
        <v>183</v>
      </c>
      <c r="CP1377" t="s">
        <v>266</v>
      </c>
      <c r="CS1377" t="s">
        <v>198</v>
      </c>
      <c r="CT1377" t="s">
        <v>10889</v>
      </c>
      <c r="CU1377" t="s">
        <v>292</v>
      </c>
      <c r="CV1377" t="s">
        <v>293</v>
      </c>
      <c r="CW1377" t="s">
        <v>17835</v>
      </c>
      <c r="CX1377" t="s">
        <v>235</v>
      </c>
      <c r="CY1377" t="s">
        <v>183</v>
      </c>
      <c r="CZ1377" t="s">
        <v>211</v>
      </c>
      <c r="DA1377" t="s">
        <v>206</v>
      </c>
      <c r="DC1377" t="s">
        <v>16728</v>
      </c>
      <c r="DD1377" t="s">
        <v>11295</v>
      </c>
      <c r="DE1377" t="s">
        <v>267</v>
      </c>
      <c r="DF1377" t="s">
        <v>268</v>
      </c>
      <c r="DG1377" t="s">
        <v>17836</v>
      </c>
      <c r="DH1377" t="s">
        <v>235</v>
      </c>
      <c r="DI1377" t="s">
        <v>183</v>
      </c>
      <c r="DJ1377" t="s">
        <v>211</v>
      </c>
      <c r="DK1377" t="s">
        <v>306</v>
      </c>
      <c r="DM1377" t="s">
        <v>16728</v>
      </c>
      <c r="DN1377" t="s">
        <v>17837</v>
      </c>
      <c r="DO1377" t="s">
        <v>273</v>
      </c>
      <c r="DP1377" t="s">
        <v>274</v>
      </c>
      <c r="DQ1377" t="s">
        <v>17838</v>
      </c>
      <c r="DR1377" t="s">
        <v>235</v>
      </c>
      <c r="DS1377" t="s">
        <v>183</v>
      </c>
      <c r="DT1377" t="s">
        <v>211</v>
      </c>
      <c r="DU1377" t="s">
        <v>298</v>
      </c>
      <c r="DW1377" t="s">
        <v>462</v>
      </c>
      <c r="DX1377" t="s">
        <v>17839</v>
      </c>
      <c r="DY1377" t="s">
        <v>346</v>
      </c>
      <c r="DZ1377" t="s">
        <v>347</v>
      </c>
      <c r="EA1377" t="s">
        <v>17840</v>
      </c>
      <c r="EB1377" t="s">
        <v>816</v>
      </c>
      <c r="EC1377" t="s">
        <v>183</v>
      </c>
      <c r="ED1377" t="s">
        <v>211</v>
      </c>
      <c r="EE1377" t="s">
        <v>290</v>
      </c>
      <c r="EG1377" t="s">
        <v>14042</v>
      </c>
      <c r="EH1377" t="s">
        <v>5911</v>
      </c>
      <c r="EI1377" t="s">
        <v>207</v>
      </c>
      <c r="EJ1377" t="s">
        <v>208</v>
      </c>
      <c r="EK1377" t="s">
        <v>17841</v>
      </c>
      <c r="EL1377" t="s">
        <v>1966</v>
      </c>
      <c r="EM1377" t="s">
        <v>183</v>
      </c>
      <c r="EN1377" t="s">
        <v>211</v>
      </c>
      <c r="EO1377" t="s">
        <v>296</v>
      </c>
      <c r="EQ1377" t="s">
        <v>17842</v>
      </c>
      <c r="FA1377" t="s">
        <v>198</v>
      </c>
      <c r="FK1377" t="s">
        <v>198</v>
      </c>
      <c r="FU1377" t="s">
        <v>198</v>
      </c>
    </row>
    <row r="1378" spans="1:177">
      <c r="A1378" s="1" t="str">
        <f>HYPERLINK("http://digipan.lumentumllc.com/apps/getLink/index.php?t=PropLink&amp;p=5248126","PL")</f>
        <v>PL</v>
      </c>
      <c r="B1378" s="1" t="str">
        <f>HYPERLINK("http://digipan.lumentumllc.com/apps/getLink/index.php?t=TaxLink&amp;p=5248126","TL")</f>
        <v>TL</v>
      </c>
      <c r="C1378" s="1" t="str">
        <f>HYPERLINK("http://digipan.lumentumllc.com/apps/getMap/index.php?p=5248126","Map")</f>
        <v>Map</v>
      </c>
      <c r="E1378" t="s">
        <v>177</v>
      </c>
      <c r="F1378" t="s">
        <v>178</v>
      </c>
      <c r="L1378" t="s">
        <v>17843</v>
      </c>
      <c r="N1378" t="s">
        <v>17843</v>
      </c>
      <c r="O1378" t="s">
        <v>17843</v>
      </c>
      <c r="P1378" t="s">
        <v>17844</v>
      </c>
      <c r="Q1378" t="s">
        <v>17843</v>
      </c>
      <c r="V1378">
        <v>1577</v>
      </c>
      <c r="W1378">
        <v>5</v>
      </c>
      <c r="X1378">
        <v>2017</v>
      </c>
      <c r="Y1378">
        <v>2018</v>
      </c>
      <c r="Z1378">
        <v>546.46</v>
      </c>
      <c r="AB1378" t="s">
        <v>181</v>
      </c>
      <c r="AC1378" t="s">
        <v>182</v>
      </c>
      <c r="AD1378" t="s">
        <v>183</v>
      </c>
      <c r="AE1378">
        <v>1</v>
      </c>
      <c r="AF1378">
        <v>6</v>
      </c>
      <c r="AG1378" t="s">
        <v>322</v>
      </c>
      <c r="AH1378">
        <v>83</v>
      </c>
      <c r="AI1378">
        <v>540.54</v>
      </c>
      <c r="AJ1378">
        <v>27.03</v>
      </c>
      <c r="AK1378">
        <v>567.57000000000005</v>
      </c>
      <c r="AL1378">
        <v>82810</v>
      </c>
      <c r="AM1378">
        <v>28000</v>
      </c>
      <c r="AN1378">
        <v>54810</v>
      </c>
      <c r="AO1378">
        <v>475</v>
      </c>
      <c r="AP1378">
        <v>2016</v>
      </c>
      <c r="AQ1378">
        <v>0.66</v>
      </c>
      <c r="AR1378">
        <v>0.69</v>
      </c>
      <c r="AS1378" t="s">
        <v>17845</v>
      </c>
      <c r="AT1378" t="s">
        <v>3210</v>
      </c>
      <c r="AU1378" t="s">
        <v>177</v>
      </c>
      <c r="AV1378" t="s">
        <v>2334</v>
      </c>
      <c r="AW1378" t="s">
        <v>202</v>
      </c>
      <c r="AX1378">
        <v>2</v>
      </c>
      <c r="AY1378" t="s">
        <v>188</v>
      </c>
      <c r="AZ1378" t="s">
        <v>189</v>
      </c>
      <c r="BA1378" t="s">
        <v>190</v>
      </c>
      <c r="BB1378" t="s">
        <v>191</v>
      </c>
      <c r="BC1378" t="s">
        <v>182</v>
      </c>
      <c r="BD1378" t="s">
        <v>182</v>
      </c>
      <c r="BE1378" t="s">
        <v>383</v>
      </c>
      <c r="BF1378">
        <v>1</v>
      </c>
      <c r="BG1378">
        <v>1</v>
      </c>
      <c r="BH1378">
        <v>1997</v>
      </c>
      <c r="BI1378" t="s">
        <v>13794</v>
      </c>
      <c r="BJ1378" t="s">
        <v>194</v>
      </c>
      <c r="BK1378" t="s">
        <v>195</v>
      </c>
      <c r="BL1378" t="s">
        <v>199</v>
      </c>
      <c r="BM1378" t="s">
        <v>1311</v>
      </c>
      <c r="BN1378" t="s">
        <v>182</v>
      </c>
      <c r="BO1378" t="s">
        <v>198</v>
      </c>
      <c r="BP1378" t="s">
        <v>198</v>
      </c>
      <c r="BQ1378" t="s">
        <v>198</v>
      </c>
      <c r="BR1378" t="s">
        <v>198</v>
      </c>
      <c r="BS1378" t="s">
        <v>198</v>
      </c>
      <c r="BT1378" t="s">
        <v>198</v>
      </c>
      <c r="BU1378" t="s">
        <v>182</v>
      </c>
      <c r="BV1378" t="s">
        <v>198</v>
      </c>
      <c r="BW1378" t="s">
        <v>198</v>
      </c>
      <c r="BX1378" t="s">
        <v>199</v>
      </c>
      <c r="BY1378" t="s">
        <v>198</v>
      </c>
      <c r="BZ1378" t="s">
        <v>199</v>
      </c>
      <c r="CA1378" t="s">
        <v>199</v>
      </c>
      <c r="CB1378" t="s">
        <v>17846</v>
      </c>
      <c r="CC1378" t="s">
        <v>201</v>
      </c>
      <c r="CD1378" t="s">
        <v>202</v>
      </c>
      <c r="CE1378" t="s">
        <v>17847</v>
      </c>
      <c r="CF1378" t="s">
        <v>2333</v>
      </c>
      <c r="CG1378" t="s">
        <v>177</v>
      </c>
      <c r="CH1378" t="s">
        <v>2334</v>
      </c>
      <c r="CI1378" t="s">
        <v>12376</v>
      </c>
      <c r="CJ1378" t="s">
        <v>13640</v>
      </c>
      <c r="CK1378" t="s">
        <v>232</v>
      </c>
      <c r="CL1378" t="s">
        <v>233</v>
      </c>
      <c r="CM1378" t="s">
        <v>17848</v>
      </c>
      <c r="CN1378" t="s">
        <v>235</v>
      </c>
      <c r="CO1378" t="s">
        <v>183</v>
      </c>
      <c r="CP1378" t="s">
        <v>266</v>
      </c>
      <c r="CS1378" t="s">
        <v>198</v>
      </c>
      <c r="CT1378" t="s">
        <v>2394</v>
      </c>
      <c r="CU1378" t="s">
        <v>292</v>
      </c>
      <c r="CV1378" t="s">
        <v>293</v>
      </c>
      <c r="CW1378" t="s">
        <v>4985</v>
      </c>
      <c r="CX1378" t="s">
        <v>235</v>
      </c>
      <c r="CY1378" t="s">
        <v>183</v>
      </c>
      <c r="CZ1378" t="s">
        <v>211</v>
      </c>
      <c r="DA1378" t="s">
        <v>298</v>
      </c>
      <c r="DC1378" t="s">
        <v>457</v>
      </c>
      <c r="DD1378" t="s">
        <v>652</v>
      </c>
      <c r="DE1378" t="s">
        <v>273</v>
      </c>
      <c r="DF1378" t="s">
        <v>274</v>
      </c>
      <c r="DG1378" t="s">
        <v>17849</v>
      </c>
      <c r="DH1378" t="s">
        <v>235</v>
      </c>
      <c r="DI1378" t="s">
        <v>183</v>
      </c>
      <c r="DJ1378" t="s">
        <v>211</v>
      </c>
      <c r="DK1378" t="s">
        <v>212</v>
      </c>
      <c r="DM1378" t="s">
        <v>17850</v>
      </c>
      <c r="DN1378" t="s">
        <v>17851</v>
      </c>
      <c r="DO1378" t="s">
        <v>302</v>
      </c>
      <c r="DP1378" t="s">
        <v>303</v>
      </c>
      <c r="DQ1378" t="s">
        <v>17852</v>
      </c>
      <c r="DR1378" t="s">
        <v>235</v>
      </c>
      <c r="DS1378" t="s">
        <v>183</v>
      </c>
      <c r="DT1378" t="s">
        <v>211</v>
      </c>
      <c r="DU1378" t="s">
        <v>298</v>
      </c>
      <c r="DW1378" t="s">
        <v>437</v>
      </c>
      <c r="DX1378" t="s">
        <v>17853</v>
      </c>
      <c r="DY1378" t="s">
        <v>238</v>
      </c>
      <c r="DZ1378" t="s">
        <v>239</v>
      </c>
      <c r="EA1378" t="s">
        <v>17854</v>
      </c>
      <c r="EB1378" t="s">
        <v>278</v>
      </c>
      <c r="EC1378" t="s">
        <v>183</v>
      </c>
      <c r="ED1378" t="s">
        <v>211</v>
      </c>
      <c r="EE1378" t="s">
        <v>298</v>
      </c>
      <c r="EG1378" t="s">
        <v>467</v>
      </c>
      <c r="EH1378" t="s">
        <v>17855</v>
      </c>
      <c r="EI1378" t="s">
        <v>346</v>
      </c>
      <c r="EJ1378" t="s">
        <v>347</v>
      </c>
      <c r="EK1378" t="s">
        <v>17856</v>
      </c>
      <c r="EL1378" t="s">
        <v>816</v>
      </c>
      <c r="EM1378" t="s">
        <v>183</v>
      </c>
      <c r="EN1378" t="s">
        <v>211</v>
      </c>
      <c r="EO1378" t="s">
        <v>298</v>
      </c>
      <c r="EQ1378" t="s">
        <v>878</v>
      </c>
      <c r="ER1378" t="s">
        <v>14644</v>
      </c>
      <c r="ES1378" t="s">
        <v>207</v>
      </c>
      <c r="ET1378" t="s">
        <v>208</v>
      </c>
      <c r="EU1378" t="s">
        <v>17857</v>
      </c>
      <c r="EV1378" t="s">
        <v>1966</v>
      </c>
      <c r="EW1378" t="s">
        <v>183</v>
      </c>
      <c r="EX1378" t="s">
        <v>211</v>
      </c>
      <c r="EY1378" t="s">
        <v>298</v>
      </c>
      <c r="FA1378" t="s">
        <v>474</v>
      </c>
      <c r="FK1378" t="s">
        <v>198</v>
      </c>
      <c r="FU1378" t="s">
        <v>198</v>
      </c>
    </row>
    <row r="1379" spans="1:177">
      <c r="A1379" s="1" t="str">
        <f>HYPERLINK("http://digipan.lumentumllc.com/apps/getLink/index.php?t=PropLink&amp;p=5248129","PL")</f>
        <v>PL</v>
      </c>
      <c r="B1379" s="1" t="str">
        <f>HYPERLINK("http://digipan.lumentumllc.com/apps/getLink/index.php?t=TaxLink&amp;p=5248129","TL")</f>
        <v>TL</v>
      </c>
      <c r="C1379" s="1" t="str">
        <f>HYPERLINK("http://digipan.lumentumllc.com/apps/getMap/index.php?p=5248129","Map")</f>
        <v>Map</v>
      </c>
      <c r="E1379" t="s">
        <v>177</v>
      </c>
      <c r="F1379" t="s">
        <v>178</v>
      </c>
      <c r="L1379" t="s">
        <v>17858</v>
      </c>
      <c r="N1379" t="s">
        <v>17858</v>
      </c>
      <c r="O1379" t="s">
        <v>17858</v>
      </c>
      <c r="P1379" t="s">
        <v>17859</v>
      </c>
      <c r="Q1379" t="s">
        <v>17858</v>
      </c>
      <c r="V1379">
        <v>1579</v>
      </c>
      <c r="W1379">
        <v>5</v>
      </c>
      <c r="X1379">
        <v>2017</v>
      </c>
      <c r="Y1379">
        <v>2018</v>
      </c>
      <c r="Z1379">
        <v>620.89</v>
      </c>
      <c r="AB1379" t="s">
        <v>181</v>
      </c>
      <c r="AC1379" t="s">
        <v>202</v>
      </c>
      <c r="AD1379" t="s">
        <v>183</v>
      </c>
      <c r="AE1379">
        <v>0</v>
      </c>
      <c r="AF1379">
        <v>5</v>
      </c>
      <c r="AG1379" t="s">
        <v>744</v>
      </c>
      <c r="AH1379">
        <v>100</v>
      </c>
      <c r="AK1379">
        <v>0</v>
      </c>
      <c r="AL1379">
        <v>36250</v>
      </c>
      <c r="AM1379">
        <v>28000</v>
      </c>
      <c r="AN1379">
        <v>8250</v>
      </c>
      <c r="AO1379">
        <v>519</v>
      </c>
      <c r="AP1379">
        <v>2016</v>
      </c>
      <c r="AQ1379">
        <v>1.71</v>
      </c>
      <c r="AS1379" t="s">
        <v>17860</v>
      </c>
      <c r="AT1379" t="s">
        <v>3210</v>
      </c>
      <c r="AU1379" t="s">
        <v>177</v>
      </c>
      <c r="AV1379" t="s">
        <v>2334</v>
      </c>
      <c r="AW1379" t="s">
        <v>182</v>
      </c>
      <c r="AX1379">
        <v>0</v>
      </c>
      <c r="AY1379" t="s">
        <v>312</v>
      </c>
      <c r="AZ1379" t="s">
        <v>199</v>
      </c>
      <c r="BA1379" t="s">
        <v>313</v>
      </c>
      <c r="BB1379" t="s">
        <v>191</v>
      </c>
      <c r="BC1379" t="s">
        <v>182</v>
      </c>
      <c r="BD1379" t="s">
        <v>182</v>
      </c>
      <c r="BE1379" t="s">
        <v>7258</v>
      </c>
      <c r="BF1379">
        <v>1</v>
      </c>
      <c r="BG1379">
        <v>0</v>
      </c>
      <c r="BH1379">
        <v>1982</v>
      </c>
      <c r="BI1379" t="s">
        <v>199</v>
      </c>
      <c r="BJ1379" t="s">
        <v>248</v>
      </c>
      <c r="BK1379" t="s">
        <v>2350</v>
      </c>
      <c r="BL1379" t="s">
        <v>199</v>
      </c>
      <c r="BM1379" t="s">
        <v>292</v>
      </c>
      <c r="BN1379" t="s">
        <v>182</v>
      </c>
      <c r="BO1379" t="s">
        <v>198</v>
      </c>
      <c r="BP1379" t="s">
        <v>198</v>
      </c>
      <c r="BQ1379" t="s">
        <v>198</v>
      </c>
      <c r="BR1379" t="s">
        <v>198</v>
      </c>
      <c r="BS1379" t="s">
        <v>198</v>
      </c>
      <c r="BT1379" t="s">
        <v>198</v>
      </c>
      <c r="BU1379" t="s">
        <v>182</v>
      </c>
      <c r="BV1379" t="s">
        <v>198</v>
      </c>
      <c r="BW1379" t="s">
        <v>198</v>
      </c>
      <c r="BX1379" t="s">
        <v>199</v>
      </c>
      <c r="BY1379" t="s">
        <v>198</v>
      </c>
      <c r="BZ1379" t="s">
        <v>199</v>
      </c>
      <c r="CA1379" t="s">
        <v>199</v>
      </c>
      <c r="CB1379" t="s">
        <v>17861</v>
      </c>
      <c r="CC1379" t="s">
        <v>201</v>
      </c>
      <c r="CD1379" t="s">
        <v>182</v>
      </c>
      <c r="CE1379" t="s">
        <v>17862</v>
      </c>
      <c r="CF1379" t="s">
        <v>413</v>
      </c>
      <c r="CG1379" t="s">
        <v>177</v>
      </c>
      <c r="CH1379" t="s">
        <v>414</v>
      </c>
      <c r="CI1379" t="s">
        <v>17863</v>
      </c>
      <c r="CJ1379" t="s">
        <v>17864</v>
      </c>
      <c r="CK1379" t="s">
        <v>273</v>
      </c>
      <c r="CL1379" t="s">
        <v>274</v>
      </c>
      <c r="CM1379" t="s">
        <v>17865</v>
      </c>
      <c r="CN1379" t="s">
        <v>235</v>
      </c>
      <c r="CO1379" t="s">
        <v>183</v>
      </c>
      <c r="CP1379" t="s">
        <v>211</v>
      </c>
      <c r="CQ1379" t="s">
        <v>339</v>
      </c>
      <c r="CR1379" t="s">
        <v>6042</v>
      </c>
      <c r="CS1379" t="s">
        <v>6188</v>
      </c>
      <c r="CT1379" t="s">
        <v>5258</v>
      </c>
      <c r="CU1379" t="s">
        <v>302</v>
      </c>
      <c r="CV1379" t="s">
        <v>303</v>
      </c>
      <c r="CW1379" t="s">
        <v>17866</v>
      </c>
      <c r="CX1379" t="s">
        <v>3342</v>
      </c>
      <c r="CY1379" t="s">
        <v>183</v>
      </c>
      <c r="CZ1379" t="s">
        <v>211</v>
      </c>
      <c r="DA1379" t="s">
        <v>493</v>
      </c>
      <c r="DB1379" t="s">
        <v>6042</v>
      </c>
      <c r="DC1379" t="s">
        <v>6188</v>
      </c>
      <c r="DD1379" t="s">
        <v>17867</v>
      </c>
      <c r="DE1379" t="s">
        <v>238</v>
      </c>
      <c r="DF1379" t="s">
        <v>239</v>
      </c>
      <c r="DG1379" t="s">
        <v>17868</v>
      </c>
      <c r="DH1379" t="s">
        <v>440</v>
      </c>
      <c r="DI1379" t="s">
        <v>183</v>
      </c>
      <c r="DJ1379" t="s">
        <v>211</v>
      </c>
      <c r="DL1379" t="s">
        <v>6042</v>
      </c>
      <c r="DM1379" t="s">
        <v>198</v>
      </c>
      <c r="DN1379" t="s">
        <v>17869</v>
      </c>
      <c r="DO1379" t="s">
        <v>346</v>
      </c>
      <c r="DP1379" t="s">
        <v>347</v>
      </c>
      <c r="DQ1379" t="s">
        <v>17870</v>
      </c>
      <c r="DR1379" t="s">
        <v>816</v>
      </c>
      <c r="DS1379" t="s">
        <v>183</v>
      </c>
      <c r="DT1379" t="s">
        <v>211</v>
      </c>
      <c r="DU1379" t="s">
        <v>1032</v>
      </c>
      <c r="DV1379" t="s">
        <v>6042</v>
      </c>
      <c r="DW1379" t="s">
        <v>6188</v>
      </c>
      <c r="DX1379" t="s">
        <v>16299</v>
      </c>
      <c r="DY1379" t="s">
        <v>207</v>
      </c>
      <c r="DZ1379" t="s">
        <v>208</v>
      </c>
      <c r="EA1379" t="s">
        <v>17871</v>
      </c>
      <c r="EB1379" t="s">
        <v>1966</v>
      </c>
      <c r="EC1379" t="s">
        <v>183</v>
      </c>
      <c r="ED1379" t="s">
        <v>211</v>
      </c>
      <c r="EE1379" t="s">
        <v>337</v>
      </c>
      <c r="EG1379" t="s">
        <v>4656</v>
      </c>
      <c r="EQ1379" t="s">
        <v>198</v>
      </c>
      <c r="FA1379" t="s">
        <v>198</v>
      </c>
      <c r="FK1379" t="s">
        <v>198</v>
      </c>
      <c r="FU1379" t="s">
        <v>198</v>
      </c>
    </row>
    <row r="1380" spans="1:177">
      <c r="A1380" s="1" t="str">
        <f>HYPERLINK("http://digipan.lumentumllc.com/apps/getLink/index.php?t=PropLink&amp;p=5248130","PL")</f>
        <v>PL</v>
      </c>
      <c r="B1380" s="1" t="str">
        <f>HYPERLINK("http://digipan.lumentumllc.com/apps/getLink/index.php?t=TaxLink&amp;p=5248130","TL")</f>
        <v>TL</v>
      </c>
      <c r="C1380" s="1" t="str">
        <f>HYPERLINK("http://digipan.lumentumllc.com/apps/getMap/index.php?p=5248130","Map")</f>
        <v>Map</v>
      </c>
      <c r="E1380" t="s">
        <v>177</v>
      </c>
      <c r="F1380" t="s">
        <v>178</v>
      </c>
      <c r="L1380" t="s">
        <v>17872</v>
      </c>
      <c r="N1380" t="s">
        <v>17872</v>
      </c>
      <c r="O1380" t="s">
        <v>17872</v>
      </c>
      <c r="P1380" t="s">
        <v>17873</v>
      </c>
      <c r="Q1380" t="s">
        <v>17872</v>
      </c>
      <c r="V1380">
        <v>1580</v>
      </c>
      <c r="W1380">
        <v>5</v>
      </c>
      <c r="X1380">
        <v>2017</v>
      </c>
      <c r="Y1380">
        <v>2018</v>
      </c>
      <c r="Z1380">
        <v>634.41</v>
      </c>
      <c r="AB1380" t="s">
        <v>181</v>
      </c>
      <c r="AC1380" t="s">
        <v>182</v>
      </c>
      <c r="AD1380" t="s">
        <v>183</v>
      </c>
      <c r="AE1380">
        <v>2</v>
      </c>
      <c r="AF1380">
        <v>3</v>
      </c>
      <c r="AG1380" t="s">
        <v>2376</v>
      </c>
      <c r="AH1380">
        <v>60</v>
      </c>
      <c r="AI1380">
        <v>1067.71</v>
      </c>
      <c r="AJ1380">
        <v>182.38</v>
      </c>
      <c r="AK1380">
        <v>1250.0899999999999</v>
      </c>
      <c r="AL1380">
        <v>43814</v>
      </c>
      <c r="AM1380">
        <v>28000</v>
      </c>
      <c r="AN1380">
        <v>15814</v>
      </c>
      <c r="AO1380">
        <v>475</v>
      </c>
      <c r="AP1380">
        <v>2016</v>
      </c>
      <c r="AQ1380">
        <v>1.45</v>
      </c>
      <c r="AR1380">
        <v>2.85</v>
      </c>
      <c r="AS1380" t="s">
        <v>17874</v>
      </c>
      <c r="AT1380" t="s">
        <v>3210</v>
      </c>
      <c r="AU1380" t="s">
        <v>177</v>
      </c>
      <c r="AV1380" t="s">
        <v>2334</v>
      </c>
      <c r="AW1380" t="s">
        <v>182</v>
      </c>
      <c r="AX1380">
        <v>2</v>
      </c>
      <c r="AY1380" t="s">
        <v>188</v>
      </c>
      <c r="AZ1380" t="s">
        <v>189</v>
      </c>
      <c r="BA1380" t="s">
        <v>190</v>
      </c>
      <c r="BB1380" t="s">
        <v>191</v>
      </c>
      <c r="BC1380" t="s">
        <v>182</v>
      </c>
      <c r="BD1380" t="s">
        <v>182</v>
      </c>
      <c r="BE1380" t="s">
        <v>383</v>
      </c>
      <c r="BF1380">
        <v>1</v>
      </c>
      <c r="BG1380">
        <v>1</v>
      </c>
      <c r="BH1380">
        <v>1993</v>
      </c>
      <c r="BI1380" t="s">
        <v>2209</v>
      </c>
      <c r="BJ1380" t="s">
        <v>194</v>
      </c>
      <c r="BK1380" t="s">
        <v>195</v>
      </c>
      <c r="BL1380" t="s">
        <v>17875</v>
      </c>
      <c r="BM1380" t="s">
        <v>981</v>
      </c>
      <c r="BN1380" t="s">
        <v>182</v>
      </c>
      <c r="BO1380" t="s">
        <v>11379</v>
      </c>
      <c r="BP1380" t="s">
        <v>1696</v>
      </c>
      <c r="BR1380" t="s">
        <v>1461</v>
      </c>
      <c r="BS1380" t="s">
        <v>17876</v>
      </c>
      <c r="BT1380" t="s">
        <v>198</v>
      </c>
      <c r="BU1380" t="s">
        <v>182</v>
      </c>
      <c r="BV1380" t="s">
        <v>198</v>
      </c>
      <c r="BW1380" t="s">
        <v>198</v>
      </c>
      <c r="BX1380" t="s">
        <v>199</v>
      </c>
      <c r="BY1380" t="s">
        <v>198</v>
      </c>
      <c r="BZ1380" t="s">
        <v>199</v>
      </c>
      <c r="CA1380" t="s">
        <v>199</v>
      </c>
      <c r="CB1380" t="s">
        <v>17877</v>
      </c>
      <c r="CC1380" t="s">
        <v>201</v>
      </c>
      <c r="CD1380" t="s">
        <v>182</v>
      </c>
      <c r="CE1380" t="s">
        <v>17878</v>
      </c>
      <c r="CF1380" t="s">
        <v>1029</v>
      </c>
      <c r="CG1380" t="s">
        <v>177</v>
      </c>
      <c r="CH1380" t="s">
        <v>1030</v>
      </c>
      <c r="CI1380" t="s">
        <v>9775</v>
      </c>
      <c r="CJ1380" t="s">
        <v>10800</v>
      </c>
      <c r="CK1380" t="s">
        <v>232</v>
      </c>
      <c r="CL1380" t="s">
        <v>233</v>
      </c>
      <c r="CM1380" t="s">
        <v>17879</v>
      </c>
      <c r="CN1380" t="s">
        <v>305</v>
      </c>
      <c r="CO1380" t="s">
        <v>183</v>
      </c>
      <c r="CP1380" t="s">
        <v>266</v>
      </c>
      <c r="CS1380" t="s">
        <v>198</v>
      </c>
      <c r="CT1380" t="s">
        <v>15381</v>
      </c>
      <c r="CU1380" t="s">
        <v>292</v>
      </c>
      <c r="CV1380" t="s">
        <v>293</v>
      </c>
      <c r="CW1380" t="s">
        <v>17880</v>
      </c>
      <c r="CX1380" t="s">
        <v>333</v>
      </c>
      <c r="CY1380" t="s">
        <v>183</v>
      </c>
      <c r="CZ1380" t="s">
        <v>266</v>
      </c>
      <c r="DC1380" t="s">
        <v>198</v>
      </c>
      <c r="DD1380" t="s">
        <v>284</v>
      </c>
      <c r="DE1380" t="s">
        <v>273</v>
      </c>
      <c r="DF1380" t="s">
        <v>274</v>
      </c>
      <c r="DG1380" t="s">
        <v>17881</v>
      </c>
      <c r="DH1380" t="s">
        <v>235</v>
      </c>
      <c r="DI1380" t="s">
        <v>183</v>
      </c>
      <c r="DJ1380" t="s">
        <v>211</v>
      </c>
      <c r="DK1380" t="s">
        <v>270</v>
      </c>
      <c r="DM1380" t="s">
        <v>17882</v>
      </c>
      <c r="DN1380" t="s">
        <v>17883</v>
      </c>
      <c r="DO1380" t="s">
        <v>238</v>
      </c>
      <c r="DP1380" t="s">
        <v>239</v>
      </c>
      <c r="DQ1380" t="s">
        <v>2260</v>
      </c>
      <c r="DR1380" t="s">
        <v>440</v>
      </c>
      <c r="DS1380" t="s">
        <v>183</v>
      </c>
      <c r="DT1380" t="s">
        <v>211</v>
      </c>
      <c r="DU1380" t="s">
        <v>329</v>
      </c>
      <c r="DW1380" t="s">
        <v>1622</v>
      </c>
      <c r="DX1380" t="s">
        <v>17884</v>
      </c>
      <c r="DY1380" t="s">
        <v>346</v>
      </c>
      <c r="DZ1380" t="s">
        <v>347</v>
      </c>
      <c r="EA1380" t="s">
        <v>17885</v>
      </c>
      <c r="EB1380" t="s">
        <v>816</v>
      </c>
      <c r="EC1380" t="s">
        <v>183</v>
      </c>
      <c r="ED1380" t="s">
        <v>211</v>
      </c>
      <c r="EE1380" t="s">
        <v>298</v>
      </c>
      <c r="EG1380" t="s">
        <v>1622</v>
      </c>
      <c r="EQ1380" t="s">
        <v>198</v>
      </c>
      <c r="FA1380" t="s">
        <v>198</v>
      </c>
      <c r="FK1380" t="s">
        <v>198</v>
      </c>
      <c r="FU1380" t="s">
        <v>198</v>
      </c>
    </row>
    <row r="1381" spans="1:177">
      <c r="A1381" s="1" t="str">
        <f>HYPERLINK("http://digipan.lumentumllc.com/apps/getLink/index.php?t=PropLink&amp;p=15760556","PL")</f>
        <v>PL</v>
      </c>
      <c r="B1381" s="1" t="str">
        <f>HYPERLINK("http://digipan.lumentumllc.com/apps/getLink/index.php?t=TaxLink&amp;p=15760556","TL")</f>
        <v>TL</v>
      </c>
      <c r="C1381" s="1" t="str">
        <f>HYPERLINK("http://digipan.lumentumllc.com/apps/getMap/index.php?p=15760556","Map")</f>
        <v>Map</v>
      </c>
      <c r="E1381" t="s">
        <v>177</v>
      </c>
      <c r="F1381" t="s">
        <v>178</v>
      </c>
      <c r="L1381" t="s">
        <v>17886</v>
      </c>
      <c r="N1381" t="s">
        <v>17886</v>
      </c>
      <c r="O1381" t="s">
        <v>17886</v>
      </c>
      <c r="Q1381" t="s">
        <v>17886</v>
      </c>
      <c r="V1381">
        <v>1582</v>
      </c>
      <c r="W1381">
        <v>5</v>
      </c>
      <c r="X1381">
        <v>2017</v>
      </c>
      <c r="Y1381">
        <v>2018</v>
      </c>
      <c r="Z1381">
        <v>1281.5899999999999</v>
      </c>
      <c r="AG1381" t="s">
        <v>184</v>
      </c>
      <c r="AH1381">
        <v>0</v>
      </c>
      <c r="AK1381">
        <v>0</v>
      </c>
      <c r="AL1381">
        <v>115427</v>
      </c>
      <c r="AM1381">
        <v>28000</v>
      </c>
      <c r="AN1381">
        <v>87427</v>
      </c>
      <c r="AO1381">
        <v>1614</v>
      </c>
      <c r="AP1381">
        <v>2016</v>
      </c>
      <c r="AQ1381">
        <v>1.1100000000000001</v>
      </c>
      <c r="AS1381" t="s">
        <v>17887</v>
      </c>
      <c r="AT1381" t="s">
        <v>3210</v>
      </c>
      <c r="AU1381" t="s">
        <v>177</v>
      </c>
      <c r="AV1381" t="s">
        <v>2334</v>
      </c>
      <c r="AW1381" t="s">
        <v>202</v>
      </c>
      <c r="AX1381">
        <v>1</v>
      </c>
      <c r="AY1381" t="s">
        <v>188</v>
      </c>
      <c r="AZ1381" t="s">
        <v>206</v>
      </c>
      <c r="BA1381" t="s">
        <v>355</v>
      </c>
      <c r="BB1381" t="s">
        <v>191</v>
      </c>
      <c r="BC1381" t="s">
        <v>182</v>
      </c>
      <c r="BD1381" t="s">
        <v>182</v>
      </c>
      <c r="BE1381" t="s">
        <v>8792</v>
      </c>
      <c r="BF1381">
        <v>1</v>
      </c>
      <c r="BG1381">
        <v>1</v>
      </c>
      <c r="BH1381">
        <v>1978</v>
      </c>
      <c r="BI1381" t="s">
        <v>11463</v>
      </c>
      <c r="BJ1381" t="s">
        <v>194</v>
      </c>
      <c r="BK1381" t="s">
        <v>195</v>
      </c>
      <c r="BL1381" t="s">
        <v>2281</v>
      </c>
      <c r="BM1381" t="s">
        <v>232</v>
      </c>
      <c r="BN1381" t="s">
        <v>182</v>
      </c>
      <c r="BO1381" t="s">
        <v>11962</v>
      </c>
      <c r="BP1381" t="s">
        <v>17888</v>
      </c>
      <c r="BQ1381" t="s">
        <v>1896</v>
      </c>
      <c r="BR1381" t="s">
        <v>563</v>
      </c>
      <c r="BS1381" t="s">
        <v>198</v>
      </c>
      <c r="BT1381" t="s">
        <v>3245</v>
      </c>
      <c r="BU1381" t="s">
        <v>182</v>
      </c>
      <c r="BV1381" t="s">
        <v>198</v>
      </c>
      <c r="BW1381" t="s">
        <v>198</v>
      </c>
      <c r="BX1381" t="s">
        <v>199</v>
      </c>
      <c r="BY1381" t="s">
        <v>198</v>
      </c>
      <c r="BZ1381" t="s">
        <v>199</v>
      </c>
      <c r="CA1381" t="s">
        <v>199</v>
      </c>
      <c r="CB1381" t="s">
        <v>17889</v>
      </c>
      <c r="CC1381" t="s">
        <v>201</v>
      </c>
      <c r="CD1381" t="s">
        <v>202</v>
      </c>
      <c r="CE1381" t="s">
        <v>17890</v>
      </c>
      <c r="CF1381" t="s">
        <v>2333</v>
      </c>
      <c r="CG1381" t="s">
        <v>177</v>
      </c>
      <c r="CH1381" t="s">
        <v>2334</v>
      </c>
      <c r="CI1381" t="s">
        <v>17891</v>
      </c>
      <c r="CS1381" t="s">
        <v>198</v>
      </c>
      <c r="DC1381" t="s">
        <v>198</v>
      </c>
      <c r="DM1381" t="s">
        <v>198</v>
      </c>
      <c r="DW1381" t="s">
        <v>198</v>
      </c>
      <c r="EG1381" t="s">
        <v>198</v>
      </c>
      <c r="EQ1381" t="s">
        <v>198</v>
      </c>
      <c r="FA1381" t="s">
        <v>198</v>
      </c>
      <c r="FK1381" t="s">
        <v>198</v>
      </c>
      <c r="FU1381" t="s">
        <v>198</v>
      </c>
    </row>
    <row r="1382" spans="1:177">
      <c r="A1382" s="1" t="str">
        <f>HYPERLINK("http://digipan.lumentumllc.com/apps/getLink/index.php?t=PropLink&amp;p=5248135","PL")</f>
        <v>PL</v>
      </c>
      <c r="B1382" s="1" t="str">
        <f>HYPERLINK("http://digipan.lumentumllc.com/apps/getLink/index.php?t=TaxLink&amp;p=5248135","TL")</f>
        <v>TL</v>
      </c>
      <c r="C1382" s="1" t="str">
        <f>HYPERLINK("http://digipan.lumentumllc.com/apps/getMap/index.php?p=5248135","Map")</f>
        <v>Map</v>
      </c>
      <c r="E1382" t="s">
        <v>177</v>
      </c>
      <c r="F1382" t="s">
        <v>178</v>
      </c>
      <c r="L1382" t="s">
        <v>17892</v>
      </c>
      <c r="N1382" t="s">
        <v>17892</v>
      </c>
      <c r="O1382" t="s">
        <v>17892</v>
      </c>
      <c r="P1382" t="s">
        <v>17893</v>
      </c>
      <c r="Q1382" t="s">
        <v>17892</v>
      </c>
      <c r="V1382">
        <v>1584</v>
      </c>
      <c r="W1382">
        <v>5</v>
      </c>
      <c r="X1382">
        <v>2017</v>
      </c>
      <c r="Y1382">
        <v>2018</v>
      </c>
      <c r="Z1382">
        <v>457.76</v>
      </c>
      <c r="AB1382" t="s">
        <v>181</v>
      </c>
      <c r="AC1382" t="s">
        <v>182</v>
      </c>
      <c r="AD1382" t="s">
        <v>183</v>
      </c>
      <c r="AE1382">
        <v>1</v>
      </c>
      <c r="AF1382">
        <v>7</v>
      </c>
      <c r="AG1382" t="s">
        <v>418</v>
      </c>
      <c r="AH1382">
        <v>86</v>
      </c>
      <c r="AI1382">
        <v>451.46</v>
      </c>
      <c r="AJ1382">
        <v>22.57</v>
      </c>
      <c r="AK1382">
        <v>474.03</v>
      </c>
      <c r="AL1382">
        <v>72135</v>
      </c>
      <c r="AM1382">
        <v>28000</v>
      </c>
      <c r="AN1382">
        <v>44135</v>
      </c>
      <c r="AO1382">
        <v>392</v>
      </c>
      <c r="AP1382">
        <v>2016</v>
      </c>
      <c r="AQ1382">
        <v>0.63</v>
      </c>
      <c r="AR1382">
        <v>0.66</v>
      </c>
      <c r="AS1382" t="s">
        <v>17894</v>
      </c>
      <c r="AT1382" t="s">
        <v>3210</v>
      </c>
      <c r="AU1382" t="s">
        <v>177</v>
      </c>
      <c r="AV1382" t="s">
        <v>2334</v>
      </c>
      <c r="AW1382" t="s">
        <v>202</v>
      </c>
      <c r="AX1382">
        <v>2</v>
      </c>
      <c r="AY1382" t="s">
        <v>188</v>
      </c>
      <c r="AZ1382" t="s">
        <v>189</v>
      </c>
      <c r="BA1382" t="s">
        <v>190</v>
      </c>
      <c r="BB1382" t="s">
        <v>191</v>
      </c>
      <c r="BC1382" t="s">
        <v>182</v>
      </c>
      <c r="BD1382" t="s">
        <v>182</v>
      </c>
      <c r="BE1382" t="s">
        <v>10485</v>
      </c>
      <c r="BF1382">
        <v>1</v>
      </c>
      <c r="BG1382">
        <v>1</v>
      </c>
      <c r="BH1382">
        <v>1996</v>
      </c>
      <c r="BI1382" t="s">
        <v>5931</v>
      </c>
      <c r="BJ1382" t="s">
        <v>194</v>
      </c>
      <c r="BK1382" t="s">
        <v>195</v>
      </c>
      <c r="BL1382" t="s">
        <v>1081</v>
      </c>
      <c r="BM1382" t="s">
        <v>1156</v>
      </c>
      <c r="BN1382" t="s">
        <v>182</v>
      </c>
      <c r="BO1382" t="s">
        <v>17895</v>
      </c>
      <c r="BP1382" t="s">
        <v>17896</v>
      </c>
      <c r="BS1382" t="s">
        <v>17897</v>
      </c>
      <c r="BT1382" t="s">
        <v>198</v>
      </c>
      <c r="BU1382" t="s">
        <v>182</v>
      </c>
      <c r="BV1382" t="s">
        <v>198</v>
      </c>
      <c r="BW1382" t="s">
        <v>198</v>
      </c>
      <c r="BX1382" t="s">
        <v>199</v>
      </c>
      <c r="BY1382" t="s">
        <v>198</v>
      </c>
      <c r="BZ1382" t="s">
        <v>199</v>
      </c>
      <c r="CA1382" t="s">
        <v>199</v>
      </c>
      <c r="CB1382" t="s">
        <v>17898</v>
      </c>
      <c r="CC1382" t="s">
        <v>201</v>
      </c>
      <c r="CD1382" t="s">
        <v>182</v>
      </c>
      <c r="CE1382" t="s">
        <v>17899</v>
      </c>
      <c r="CF1382" t="s">
        <v>2333</v>
      </c>
      <c r="CG1382" t="s">
        <v>177</v>
      </c>
      <c r="CH1382" t="s">
        <v>2334</v>
      </c>
      <c r="CI1382" t="s">
        <v>17900</v>
      </c>
      <c r="CJ1382" t="s">
        <v>10834</v>
      </c>
      <c r="CK1382" t="s">
        <v>232</v>
      </c>
      <c r="CL1382" t="s">
        <v>233</v>
      </c>
      <c r="CM1382" t="s">
        <v>17901</v>
      </c>
      <c r="CN1382" t="s">
        <v>235</v>
      </c>
      <c r="CO1382" t="s">
        <v>183</v>
      </c>
      <c r="CP1382" t="s">
        <v>266</v>
      </c>
      <c r="CS1382" t="s">
        <v>198</v>
      </c>
      <c r="CT1382" t="s">
        <v>15396</v>
      </c>
      <c r="CU1382" t="s">
        <v>292</v>
      </c>
      <c r="CV1382" t="s">
        <v>293</v>
      </c>
      <c r="CW1382" t="s">
        <v>17902</v>
      </c>
      <c r="CX1382" t="s">
        <v>235</v>
      </c>
      <c r="CY1382" t="s">
        <v>183</v>
      </c>
      <c r="CZ1382" t="s">
        <v>211</v>
      </c>
      <c r="DA1382" t="s">
        <v>298</v>
      </c>
      <c r="DC1382" t="s">
        <v>1066</v>
      </c>
      <c r="DD1382" t="s">
        <v>2716</v>
      </c>
      <c r="DE1382" t="s">
        <v>267</v>
      </c>
      <c r="DF1382" t="s">
        <v>268</v>
      </c>
      <c r="DG1382" t="s">
        <v>17903</v>
      </c>
      <c r="DH1382" t="s">
        <v>235</v>
      </c>
      <c r="DI1382" t="s">
        <v>183</v>
      </c>
      <c r="DJ1382" t="s">
        <v>211</v>
      </c>
      <c r="DK1382" t="s">
        <v>298</v>
      </c>
      <c r="DM1382" t="s">
        <v>5919</v>
      </c>
      <c r="DN1382" t="s">
        <v>17904</v>
      </c>
      <c r="DO1382" t="s">
        <v>273</v>
      </c>
      <c r="DP1382" t="s">
        <v>274</v>
      </c>
      <c r="DQ1382" t="s">
        <v>17905</v>
      </c>
      <c r="DR1382" t="s">
        <v>235</v>
      </c>
      <c r="DS1382" t="s">
        <v>183</v>
      </c>
      <c r="DT1382" t="s">
        <v>211</v>
      </c>
      <c r="DU1382" t="s">
        <v>298</v>
      </c>
      <c r="DW1382" t="s">
        <v>434</v>
      </c>
      <c r="DX1382" t="s">
        <v>6558</v>
      </c>
      <c r="DY1382" t="s">
        <v>302</v>
      </c>
      <c r="DZ1382" t="s">
        <v>303</v>
      </c>
      <c r="EA1382" t="s">
        <v>17906</v>
      </c>
      <c r="EB1382" t="s">
        <v>235</v>
      </c>
      <c r="EC1382" t="s">
        <v>183</v>
      </c>
      <c r="ED1382" t="s">
        <v>211</v>
      </c>
      <c r="EE1382" t="s">
        <v>298</v>
      </c>
      <c r="EG1382" t="s">
        <v>464</v>
      </c>
      <c r="EH1382" t="s">
        <v>17907</v>
      </c>
      <c r="EI1382" t="s">
        <v>238</v>
      </c>
      <c r="EJ1382" t="s">
        <v>239</v>
      </c>
      <c r="EK1382" t="s">
        <v>17908</v>
      </c>
      <c r="EL1382" t="s">
        <v>278</v>
      </c>
      <c r="EM1382" t="s">
        <v>183</v>
      </c>
      <c r="EN1382" t="s">
        <v>211</v>
      </c>
      <c r="EO1382" t="s">
        <v>298</v>
      </c>
      <c r="EQ1382" t="s">
        <v>467</v>
      </c>
      <c r="ER1382" t="s">
        <v>16105</v>
      </c>
      <c r="ES1382" t="s">
        <v>346</v>
      </c>
      <c r="ET1382" t="s">
        <v>347</v>
      </c>
      <c r="EU1382" t="s">
        <v>17909</v>
      </c>
      <c r="EV1382" t="s">
        <v>816</v>
      </c>
      <c r="EW1382" t="s">
        <v>183</v>
      </c>
      <c r="EX1382" t="s">
        <v>211</v>
      </c>
      <c r="EY1382" t="s">
        <v>298</v>
      </c>
      <c r="FA1382" t="s">
        <v>2473</v>
      </c>
      <c r="FB1382" t="s">
        <v>17910</v>
      </c>
      <c r="FC1382" t="s">
        <v>207</v>
      </c>
      <c r="FD1382" t="s">
        <v>208</v>
      </c>
      <c r="FE1382" t="s">
        <v>7869</v>
      </c>
      <c r="FF1382" t="s">
        <v>1966</v>
      </c>
      <c r="FG1382" t="s">
        <v>183</v>
      </c>
      <c r="FH1382" t="s">
        <v>211</v>
      </c>
      <c r="FI1382" t="s">
        <v>298</v>
      </c>
      <c r="FK1382" t="s">
        <v>5101</v>
      </c>
      <c r="FU1382" t="s">
        <v>198</v>
      </c>
    </row>
    <row r="1383" spans="1:177">
      <c r="A1383" s="1" t="str">
        <f>HYPERLINK("http://digipan.lumentumllc.com/apps/getLink/index.php?t=PropLink&amp;p=15760574","PL")</f>
        <v>PL</v>
      </c>
      <c r="B1383" s="1" t="str">
        <f>HYPERLINK("http://digipan.lumentumllc.com/apps/getLink/index.php?t=TaxLink&amp;p=15760574","TL")</f>
        <v>TL</v>
      </c>
      <c r="C1383" s="1" t="str">
        <f>HYPERLINK("http://digipan.lumentumllc.com/apps/getMap/index.php?p=15760574","Map")</f>
        <v>Map</v>
      </c>
      <c r="E1383" t="s">
        <v>177</v>
      </c>
      <c r="F1383" t="s">
        <v>178</v>
      </c>
      <c r="L1383" t="s">
        <v>17911</v>
      </c>
      <c r="N1383" t="s">
        <v>17911</v>
      </c>
      <c r="O1383" t="s">
        <v>17911</v>
      </c>
      <c r="Q1383" t="s">
        <v>17911</v>
      </c>
      <c r="V1383">
        <v>1585</v>
      </c>
      <c r="W1383">
        <v>5</v>
      </c>
      <c r="X1383">
        <v>2017</v>
      </c>
      <c r="Y1383">
        <v>2018</v>
      </c>
      <c r="Z1383">
        <v>278.3</v>
      </c>
      <c r="AG1383" t="s">
        <v>184</v>
      </c>
      <c r="AH1383">
        <v>0</v>
      </c>
      <c r="AK1383">
        <v>0</v>
      </c>
      <c r="AL1383">
        <v>59287</v>
      </c>
      <c r="AM1383">
        <v>28000</v>
      </c>
      <c r="AN1383">
        <v>31287</v>
      </c>
      <c r="AO1383">
        <v>218</v>
      </c>
      <c r="AP1383">
        <v>2016</v>
      </c>
      <c r="AQ1383">
        <v>0.47</v>
      </c>
      <c r="AS1383" t="s">
        <v>17912</v>
      </c>
      <c r="AT1383" t="s">
        <v>3210</v>
      </c>
      <c r="AU1383" t="s">
        <v>177</v>
      </c>
      <c r="AV1383" t="s">
        <v>2334</v>
      </c>
      <c r="AW1383" t="s">
        <v>202</v>
      </c>
      <c r="AX1383">
        <v>2</v>
      </c>
      <c r="AY1383" t="s">
        <v>188</v>
      </c>
      <c r="AZ1383" t="s">
        <v>189</v>
      </c>
      <c r="BA1383" t="s">
        <v>190</v>
      </c>
      <c r="BB1383" t="s">
        <v>191</v>
      </c>
      <c r="BC1383" t="s">
        <v>182</v>
      </c>
      <c r="BD1383" t="s">
        <v>182</v>
      </c>
      <c r="BE1383" t="s">
        <v>2800</v>
      </c>
      <c r="BF1383">
        <v>1</v>
      </c>
      <c r="BG1383">
        <v>1</v>
      </c>
      <c r="BH1383">
        <v>1993</v>
      </c>
      <c r="BI1383" t="s">
        <v>17913</v>
      </c>
      <c r="BJ1383" t="s">
        <v>194</v>
      </c>
      <c r="BK1383" t="s">
        <v>195</v>
      </c>
      <c r="BL1383" t="s">
        <v>17914</v>
      </c>
      <c r="BM1383" t="s">
        <v>1387</v>
      </c>
      <c r="BN1383" t="s">
        <v>182</v>
      </c>
      <c r="BO1383" t="s">
        <v>198</v>
      </c>
      <c r="BP1383" t="s">
        <v>198</v>
      </c>
      <c r="BQ1383" t="s">
        <v>198</v>
      </c>
      <c r="BR1383" t="s">
        <v>198</v>
      </c>
      <c r="BS1383" t="s">
        <v>198</v>
      </c>
      <c r="BT1383" t="s">
        <v>198</v>
      </c>
      <c r="BU1383" t="s">
        <v>182</v>
      </c>
      <c r="BV1383" t="s">
        <v>198</v>
      </c>
      <c r="BW1383" t="s">
        <v>198</v>
      </c>
      <c r="BX1383" t="s">
        <v>199</v>
      </c>
      <c r="BY1383" t="s">
        <v>198</v>
      </c>
      <c r="BZ1383" t="s">
        <v>199</v>
      </c>
      <c r="CA1383" t="s">
        <v>199</v>
      </c>
      <c r="CB1383" t="s">
        <v>17915</v>
      </c>
      <c r="CC1383" t="s">
        <v>201</v>
      </c>
      <c r="CD1383" t="s">
        <v>182</v>
      </c>
      <c r="CE1383" t="s">
        <v>17916</v>
      </c>
      <c r="CF1383" t="s">
        <v>413</v>
      </c>
      <c r="CG1383" t="s">
        <v>177</v>
      </c>
      <c r="CH1383" t="s">
        <v>9966</v>
      </c>
      <c r="CI1383" t="s">
        <v>17917</v>
      </c>
      <c r="CS1383" t="s">
        <v>198</v>
      </c>
      <c r="DC1383" t="s">
        <v>198</v>
      </c>
      <c r="DM1383" t="s">
        <v>198</v>
      </c>
      <c r="DW1383" t="s">
        <v>198</v>
      </c>
      <c r="EG1383" t="s">
        <v>198</v>
      </c>
      <c r="EQ1383" t="s">
        <v>198</v>
      </c>
      <c r="FA1383" t="s">
        <v>198</v>
      </c>
      <c r="FK1383" t="s">
        <v>198</v>
      </c>
      <c r="FU1383" t="s">
        <v>198</v>
      </c>
    </row>
    <row r="1384" spans="1:177">
      <c r="A1384" s="1" t="str">
        <f>HYPERLINK("http://digipan.lumentumllc.com/apps/getLink/index.php?t=PropLink&amp;p=5248139","PL")</f>
        <v>PL</v>
      </c>
      <c r="B1384" s="1" t="str">
        <f>HYPERLINK("http://digipan.lumentumllc.com/apps/getLink/index.php?t=TaxLink&amp;p=5248139","TL")</f>
        <v>TL</v>
      </c>
      <c r="C1384" s="1" t="str">
        <f>HYPERLINK("http://digipan.lumentumllc.com/apps/getMap/index.php?p=5248139","Map")</f>
        <v>Map</v>
      </c>
      <c r="E1384" t="s">
        <v>177</v>
      </c>
      <c r="F1384" t="s">
        <v>178</v>
      </c>
      <c r="L1384" t="s">
        <v>17918</v>
      </c>
      <c r="N1384" t="s">
        <v>17918</v>
      </c>
      <c r="O1384" t="s">
        <v>17918</v>
      </c>
      <c r="P1384" t="s">
        <v>17919</v>
      </c>
      <c r="Q1384" t="s">
        <v>17918</v>
      </c>
      <c r="V1384">
        <v>1586</v>
      </c>
      <c r="W1384">
        <v>5</v>
      </c>
      <c r="X1384">
        <v>2017</v>
      </c>
      <c r="Y1384">
        <v>2018</v>
      </c>
      <c r="Z1384">
        <v>548.84</v>
      </c>
      <c r="AB1384" t="s">
        <v>181</v>
      </c>
      <c r="AC1384" t="s">
        <v>182</v>
      </c>
      <c r="AD1384" t="s">
        <v>183</v>
      </c>
      <c r="AE1384">
        <v>1</v>
      </c>
      <c r="AF1384">
        <v>7</v>
      </c>
      <c r="AG1384" t="s">
        <v>418</v>
      </c>
      <c r="AH1384">
        <v>86</v>
      </c>
      <c r="AI1384">
        <v>482.58</v>
      </c>
      <c r="AJ1384">
        <v>31.37</v>
      </c>
      <c r="AK1384">
        <v>513.95000000000005</v>
      </c>
      <c r="AL1384">
        <v>36250</v>
      </c>
      <c r="AM1384">
        <v>28000</v>
      </c>
      <c r="AN1384">
        <v>8250</v>
      </c>
      <c r="AO1384">
        <v>421</v>
      </c>
      <c r="AP1384">
        <v>2016</v>
      </c>
      <c r="AQ1384">
        <v>1.51</v>
      </c>
      <c r="AR1384">
        <v>1.42</v>
      </c>
      <c r="AS1384" t="s">
        <v>17920</v>
      </c>
      <c r="AT1384" t="s">
        <v>3210</v>
      </c>
      <c r="AU1384" t="s">
        <v>177</v>
      </c>
      <c r="AV1384" t="s">
        <v>2334</v>
      </c>
      <c r="AW1384" t="s">
        <v>182</v>
      </c>
      <c r="AX1384">
        <v>0</v>
      </c>
      <c r="AY1384" t="s">
        <v>312</v>
      </c>
      <c r="AZ1384" t="s">
        <v>199</v>
      </c>
      <c r="BA1384" t="s">
        <v>313</v>
      </c>
      <c r="BB1384" t="s">
        <v>191</v>
      </c>
      <c r="BC1384" t="s">
        <v>182</v>
      </c>
      <c r="BD1384" t="s">
        <v>182</v>
      </c>
      <c r="BE1384" t="s">
        <v>8792</v>
      </c>
      <c r="BF1384">
        <v>1</v>
      </c>
      <c r="BG1384">
        <v>0</v>
      </c>
      <c r="BH1384">
        <v>0</v>
      </c>
      <c r="BI1384" t="s">
        <v>199</v>
      </c>
      <c r="BJ1384" t="s">
        <v>396</v>
      </c>
      <c r="BL1384" t="s">
        <v>9531</v>
      </c>
      <c r="BM1384" t="s">
        <v>1041</v>
      </c>
      <c r="BN1384" t="s">
        <v>182</v>
      </c>
      <c r="BO1384" t="s">
        <v>198</v>
      </c>
      <c r="BP1384" t="s">
        <v>198</v>
      </c>
      <c r="BQ1384" t="s">
        <v>198</v>
      </c>
      <c r="BR1384" t="s">
        <v>198</v>
      </c>
      <c r="BS1384" t="s">
        <v>198</v>
      </c>
      <c r="BT1384" t="s">
        <v>198</v>
      </c>
      <c r="BU1384" t="s">
        <v>182</v>
      </c>
      <c r="BV1384" t="s">
        <v>198</v>
      </c>
      <c r="BW1384" t="s">
        <v>198</v>
      </c>
      <c r="BX1384" t="s">
        <v>199</v>
      </c>
      <c r="BY1384" t="s">
        <v>198</v>
      </c>
      <c r="BZ1384" t="s">
        <v>199</v>
      </c>
      <c r="CA1384" t="s">
        <v>199</v>
      </c>
      <c r="CB1384" t="s">
        <v>17921</v>
      </c>
      <c r="CC1384" t="s">
        <v>201</v>
      </c>
      <c r="CD1384" t="s">
        <v>182</v>
      </c>
      <c r="CE1384" t="s">
        <v>17922</v>
      </c>
      <c r="CF1384" t="s">
        <v>2333</v>
      </c>
      <c r="CG1384" t="s">
        <v>177</v>
      </c>
      <c r="CH1384" t="s">
        <v>3178</v>
      </c>
      <c r="CI1384" t="s">
        <v>4045</v>
      </c>
      <c r="CJ1384" t="s">
        <v>15103</v>
      </c>
      <c r="CK1384" t="s">
        <v>232</v>
      </c>
      <c r="CL1384" t="s">
        <v>233</v>
      </c>
      <c r="CM1384" t="s">
        <v>17923</v>
      </c>
      <c r="CN1384" t="s">
        <v>688</v>
      </c>
      <c r="CO1384" t="s">
        <v>183</v>
      </c>
      <c r="CP1384" t="s">
        <v>266</v>
      </c>
      <c r="CS1384" t="s">
        <v>198</v>
      </c>
      <c r="CT1384" t="s">
        <v>17414</v>
      </c>
      <c r="CU1384" t="s">
        <v>292</v>
      </c>
      <c r="CV1384" t="s">
        <v>293</v>
      </c>
      <c r="CW1384" t="s">
        <v>17924</v>
      </c>
      <c r="CX1384" t="s">
        <v>387</v>
      </c>
      <c r="CY1384" t="s">
        <v>183</v>
      </c>
      <c r="CZ1384" t="s">
        <v>211</v>
      </c>
      <c r="DA1384" t="s">
        <v>298</v>
      </c>
      <c r="DC1384" t="s">
        <v>457</v>
      </c>
      <c r="DD1384" t="s">
        <v>6524</v>
      </c>
      <c r="DE1384" t="s">
        <v>267</v>
      </c>
      <c r="DF1384" t="s">
        <v>268</v>
      </c>
      <c r="DG1384" t="s">
        <v>17925</v>
      </c>
      <c r="DH1384" t="s">
        <v>331</v>
      </c>
      <c r="DI1384" t="s">
        <v>183</v>
      </c>
      <c r="DJ1384" t="s">
        <v>211</v>
      </c>
      <c r="DK1384" t="s">
        <v>345</v>
      </c>
      <c r="DM1384" t="s">
        <v>3125</v>
      </c>
      <c r="DN1384" t="s">
        <v>2580</v>
      </c>
      <c r="DO1384" t="s">
        <v>273</v>
      </c>
      <c r="DP1384" t="s">
        <v>274</v>
      </c>
      <c r="DQ1384" t="s">
        <v>17926</v>
      </c>
      <c r="DR1384" t="s">
        <v>796</v>
      </c>
      <c r="DS1384" t="s">
        <v>183</v>
      </c>
      <c r="DT1384" t="s">
        <v>211</v>
      </c>
      <c r="DU1384" t="s">
        <v>298</v>
      </c>
      <c r="DW1384" t="s">
        <v>1069</v>
      </c>
      <c r="DX1384" t="s">
        <v>13361</v>
      </c>
      <c r="DY1384" t="s">
        <v>302</v>
      </c>
      <c r="DZ1384" t="s">
        <v>303</v>
      </c>
      <c r="EA1384" t="s">
        <v>17927</v>
      </c>
      <c r="EB1384" t="s">
        <v>331</v>
      </c>
      <c r="EC1384" t="s">
        <v>183</v>
      </c>
      <c r="ED1384" t="s">
        <v>211</v>
      </c>
      <c r="EE1384" t="s">
        <v>342</v>
      </c>
      <c r="EG1384" t="s">
        <v>2753</v>
      </c>
      <c r="EH1384" t="s">
        <v>17928</v>
      </c>
      <c r="EI1384" t="s">
        <v>238</v>
      </c>
      <c r="EJ1384" t="s">
        <v>239</v>
      </c>
      <c r="EK1384" t="s">
        <v>15538</v>
      </c>
      <c r="EL1384" t="s">
        <v>278</v>
      </c>
      <c r="EM1384" t="s">
        <v>183</v>
      </c>
      <c r="EN1384" t="s">
        <v>211</v>
      </c>
      <c r="EO1384" t="s">
        <v>270</v>
      </c>
      <c r="EQ1384" t="s">
        <v>9506</v>
      </c>
      <c r="ER1384" t="s">
        <v>17929</v>
      </c>
      <c r="ES1384" t="s">
        <v>346</v>
      </c>
      <c r="ET1384" t="s">
        <v>347</v>
      </c>
      <c r="EU1384" t="s">
        <v>17930</v>
      </c>
      <c r="EV1384" t="s">
        <v>816</v>
      </c>
      <c r="EW1384" t="s">
        <v>183</v>
      </c>
      <c r="EX1384" t="s">
        <v>211</v>
      </c>
      <c r="EY1384" t="s">
        <v>298</v>
      </c>
      <c r="FA1384" t="s">
        <v>878</v>
      </c>
      <c r="FB1384" t="s">
        <v>16382</v>
      </c>
      <c r="FC1384" t="s">
        <v>207</v>
      </c>
      <c r="FD1384" t="s">
        <v>208</v>
      </c>
      <c r="FE1384" t="s">
        <v>11468</v>
      </c>
      <c r="FF1384" t="s">
        <v>1966</v>
      </c>
      <c r="FG1384" t="s">
        <v>183</v>
      </c>
      <c r="FH1384" t="s">
        <v>211</v>
      </c>
      <c r="FI1384" t="s">
        <v>298</v>
      </c>
      <c r="FK1384" t="s">
        <v>5492</v>
      </c>
      <c r="FU1384" t="s">
        <v>198</v>
      </c>
    </row>
    <row r="1385" spans="1:177">
      <c r="A1385" s="1" t="str">
        <f>HYPERLINK("http://digipan.lumentumllc.com/apps/getLink/index.php?t=PropLink&amp;p=5248266","PL")</f>
        <v>PL</v>
      </c>
      <c r="B1385" s="1" t="str">
        <f>HYPERLINK("http://digipan.lumentumllc.com/apps/getLink/index.php?t=TaxLink&amp;p=5248266","TL")</f>
        <v>TL</v>
      </c>
      <c r="C1385" s="1" t="str">
        <f>HYPERLINK("http://digipan.lumentumllc.com/apps/getMap/index.php?p=5248266","Map")</f>
        <v>Map</v>
      </c>
      <c r="E1385" t="s">
        <v>177</v>
      </c>
      <c r="F1385" t="s">
        <v>178</v>
      </c>
      <c r="L1385" t="s">
        <v>17931</v>
      </c>
      <c r="N1385" t="s">
        <v>17931</v>
      </c>
      <c r="O1385" t="s">
        <v>17931</v>
      </c>
      <c r="P1385" t="s">
        <v>17932</v>
      </c>
      <c r="Q1385" t="s">
        <v>17931</v>
      </c>
      <c r="V1385">
        <v>1587</v>
      </c>
      <c r="W1385">
        <v>5</v>
      </c>
      <c r="X1385">
        <v>2017</v>
      </c>
      <c r="Y1385">
        <v>2018</v>
      </c>
      <c r="Z1385">
        <v>15436.82</v>
      </c>
      <c r="AB1385" t="s">
        <v>181</v>
      </c>
      <c r="AC1385" t="s">
        <v>202</v>
      </c>
      <c r="AD1385" t="s">
        <v>183</v>
      </c>
      <c r="AE1385">
        <v>0</v>
      </c>
      <c r="AF1385">
        <v>2</v>
      </c>
      <c r="AG1385" t="s">
        <v>821</v>
      </c>
      <c r="AH1385">
        <v>100</v>
      </c>
      <c r="AK1385">
        <v>0</v>
      </c>
      <c r="AL1385">
        <v>940889</v>
      </c>
      <c r="AM1385">
        <v>940889</v>
      </c>
      <c r="AN1385">
        <v>0</v>
      </c>
      <c r="AO1385">
        <v>19258</v>
      </c>
      <c r="AP1385">
        <v>2016</v>
      </c>
      <c r="AQ1385">
        <v>1.64</v>
      </c>
      <c r="AS1385" t="s">
        <v>17933</v>
      </c>
      <c r="AT1385" t="s">
        <v>3210</v>
      </c>
      <c r="AU1385" t="s">
        <v>177</v>
      </c>
      <c r="AV1385" t="s">
        <v>2334</v>
      </c>
      <c r="AW1385" t="s">
        <v>182</v>
      </c>
      <c r="AX1385">
        <v>10</v>
      </c>
      <c r="AY1385" t="s">
        <v>3211</v>
      </c>
      <c r="AZ1385" t="s">
        <v>270</v>
      </c>
      <c r="BA1385" t="s">
        <v>3212</v>
      </c>
      <c r="BB1385" t="s">
        <v>191</v>
      </c>
      <c r="BC1385" t="s">
        <v>182</v>
      </c>
      <c r="BD1385" t="s">
        <v>182</v>
      </c>
      <c r="BE1385" t="s">
        <v>17934</v>
      </c>
      <c r="BF1385">
        <v>0</v>
      </c>
      <c r="BG1385">
        <v>0</v>
      </c>
      <c r="BH1385">
        <v>0</v>
      </c>
      <c r="BI1385" t="s">
        <v>199</v>
      </c>
      <c r="BJ1385" t="s">
        <v>248</v>
      </c>
      <c r="BL1385" t="s">
        <v>17935</v>
      </c>
      <c r="BM1385" t="s">
        <v>197</v>
      </c>
      <c r="BN1385" t="s">
        <v>182</v>
      </c>
      <c r="BO1385" t="s">
        <v>17936</v>
      </c>
      <c r="BP1385" t="s">
        <v>17937</v>
      </c>
      <c r="BQ1385" t="s">
        <v>800</v>
      </c>
      <c r="BS1385" t="s">
        <v>198</v>
      </c>
      <c r="BT1385" t="s">
        <v>228</v>
      </c>
      <c r="BU1385" t="s">
        <v>182</v>
      </c>
      <c r="BV1385" t="s">
        <v>198</v>
      </c>
      <c r="BW1385" t="s">
        <v>198</v>
      </c>
      <c r="BX1385" t="s">
        <v>199</v>
      </c>
      <c r="BY1385" t="s">
        <v>198</v>
      </c>
      <c r="BZ1385" t="s">
        <v>199</v>
      </c>
      <c r="CA1385" t="s">
        <v>199</v>
      </c>
      <c r="CB1385" t="s">
        <v>17938</v>
      </c>
      <c r="CC1385" t="s">
        <v>201</v>
      </c>
      <c r="CD1385" t="s">
        <v>202</v>
      </c>
      <c r="CE1385" t="s">
        <v>2111</v>
      </c>
      <c r="CF1385" t="s">
        <v>1029</v>
      </c>
      <c r="CG1385" t="s">
        <v>177</v>
      </c>
      <c r="CH1385" t="s">
        <v>1030</v>
      </c>
      <c r="CI1385" t="s">
        <v>17939</v>
      </c>
      <c r="CJ1385" t="s">
        <v>17940</v>
      </c>
      <c r="CK1385" t="s">
        <v>346</v>
      </c>
      <c r="CL1385" t="s">
        <v>347</v>
      </c>
      <c r="CM1385" t="s">
        <v>17941</v>
      </c>
      <c r="CN1385" t="s">
        <v>1491</v>
      </c>
      <c r="CO1385" t="s">
        <v>183</v>
      </c>
      <c r="CP1385" t="s">
        <v>211</v>
      </c>
      <c r="CR1385" t="s">
        <v>271</v>
      </c>
      <c r="CS1385" t="s">
        <v>198</v>
      </c>
      <c r="CT1385" t="s">
        <v>17942</v>
      </c>
      <c r="CU1385" t="s">
        <v>207</v>
      </c>
      <c r="CV1385" t="s">
        <v>208</v>
      </c>
      <c r="CW1385" t="s">
        <v>17943</v>
      </c>
      <c r="CX1385" t="s">
        <v>1966</v>
      </c>
      <c r="CY1385" t="s">
        <v>183</v>
      </c>
      <c r="CZ1385" t="s">
        <v>211</v>
      </c>
      <c r="DB1385" t="s">
        <v>271</v>
      </c>
      <c r="DC1385" t="s">
        <v>198</v>
      </c>
      <c r="DM1385" t="s">
        <v>198</v>
      </c>
      <c r="DW1385" t="s">
        <v>198</v>
      </c>
      <c r="EG1385" t="s">
        <v>198</v>
      </c>
      <c r="EQ1385" t="s">
        <v>198</v>
      </c>
      <c r="FA1385" t="s">
        <v>198</v>
      </c>
      <c r="FK1385" t="s">
        <v>198</v>
      </c>
      <c r="FU1385" t="s">
        <v>198</v>
      </c>
    </row>
    <row r="1386" spans="1:177">
      <c r="A1386" s="1" t="str">
        <f>HYPERLINK("http://digipan.lumentumllc.com/apps/getLink/index.php?t=PropLink&amp;p=5248267","PL")</f>
        <v>PL</v>
      </c>
      <c r="B1386" s="1" t="str">
        <f>HYPERLINK("http://digipan.lumentumllc.com/apps/getLink/index.php?t=TaxLink&amp;p=5248267","TL")</f>
        <v>TL</v>
      </c>
      <c r="C1386" s="1" t="str">
        <f>HYPERLINK("http://digipan.lumentumllc.com/apps/getMap/index.php?p=5248267","Map")</f>
        <v>Map</v>
      </c>
      <c r="E1386" t="s">
        <v>177</v>
      </c>
      <c r="F1386" t="s">
        <v>178</v>
      </c>
      <c r="L1386" t="s">
        <v>17944</v>
      </c>
      <c r="N1386" t="s">
        <v>17944</v>
      </c>
      <c r="O1386" t="s">
        <v>17944</v>
      </c>
      <c r="P1386" t="s">
        <v>17945</v>
      </c>
      <c r="Q1386" t="s">
        <v>17944</v>
      </c>
      <c r="V1386">
        <v>1588</v>
      </c>
      <c r="W1386">
        <v>5</v>
      </c>
      <c r="X1386">
        <v>2017</v>
      </c>
      <c r="Y1386">
        <v>2018</v>
      </c>
      <c r="Z1386">
        <v>175.25</v>
      </c>
      <c r="AB1386" t="s">
        <v>181</v>
      </c>
      <c r="AC1386" t="s">
        <v>182</v>
      </c>
      <c r="AD1386" t="s">
        <v>1037</v>
      </c>
      <c r="AE1386">
        <v>7</v>
      </c>
      <c r="AF1386">
        <v>0</v>
      </c>
      <c r="AG1386" t="s">
        <v>1038</v>
      </c>
      <c r="AH1386">
        <v>0</v>
      </c>
      <c r="AI1386">
        <v>1283.24</v>
      </c>
      <c r="AJ1386">
        <v>851.2</v>
      </c>
      <c r="AK1386">
        <v>2134.44</v>
      </c>
      <c r="AL1386">
        <v>8750</v>
      </c>
      <c r="AM1386">
        <v>8750</v>
      </c>
      <c r="AN1386">
        <v>0</v>
      </c>
      <c r="AO1386">
        <v>134</v>
      </c>
      <c r="AP1386">
        <v>2016</v>
      </c>
      <c r="AQ1386">
        <v>2</v>
      </c>
      <c r="AR1386">
        <v>24.39</v>
      </c>
      <c r="AS1386" t="s">
        <v>17946</v>
      </c>
      <c r="AT1386" t="s">
        <v>3210</v>
      </c>
      <c r="AU1386" t="s">
        <v>177</v>
      </c>
      <c r="AV1386" t="s">
        <v>2334</v>
      </c>
      <c r="AW1386" t="s">
        <v>182</v>
      </c>
      <c r="AX1386">
        <v>0</v>
      </c>
      <c r="AY1386" t="s">
        <v>312</v>
      </c>
      <c r="AZ1386" t="s">
        <v>199</v>
      </c>
      <c r="BA1386" t="s">
        <v>313</v>
      </c>
      <c r="BB1386" t="s">
        <v>191</v>
      </c>
      <c r="BC1386" t="s">
        <v>182</v>
      </c>
      <c r="BD1386" t="s">
        <v>182</v>
      </c>
      <c r="BE1386" t="s">
        <v>11045</v>
      </c>
      <c r="BF1386">
        <v>0</v>
      </c>
      <c r="BG1386">
        <v>0</v>
      </c>
      <c r="BH1386">
        <v>0</v>
      </c>
      <c r="BI1386" t="s">
        <v>199</v>
      </c>
      <c r="BJ1386" t="s">
        <v>315</v>
      </c>
      <c r="BL1386" t="s">
        <v>17947</v>
      </c>
      <c r="BM1386" t="s">
        <v>325</v>
      </c>
      <c r="BN1386" t="s">
        <v>182</v>
      </c>
      <c r="BO1386" t="s">
        <v>15841</v>
      </c>
      <c r="BP1386" t="s">
        <v>17948</v>
      </c>
      <c r="BQ1386" t="s">
        <v>562</v>
      </c>
      <c r="BR1386" t="s">
        <v>563</v>
      </c>
      <c r="BS1386" t="s">
        <v>198</v>
      </c>
      <c r="BT1386" t="s">
        <v>10256</v>
      </c>
      <c r="BU1386" t="s">
        <v>182</v>
      </c>
      <c r="BV1386" t="s">
        <v>198</v>
      </c>
      <c r="BW1386" t="s">
        <v>198</v>
      </c>
      <c r="BX1386" t="s">
        <v>199</v>
      </c>
      <c r="BY1386" t="s">
        <v>198</v>
      </c>
      <c r="BZ1386" t="s">
        <v>199</v>
      </c>
      <c r="CA1386" t="s">
        <v>199</v>
      </c>
      <c r="CB1386" t="s">
        <v>17949</v>
      </c>
      <c r="CC1386" t="s">
        <v>201</v>
      </c>
      <c r="CD1386" t="s">
        <v>182</v>
      </c>
      <c r="CE1386" t="s">
        <v>17950</v>
      </c>
      <c r="CF1386" t="s">
        <v>14334</v>
      </c>
      <c r="CG1386" t="s">
        <v>1602</v>
      </c>
      <c r="CH1386" t="s">
        <v>14335</v>
      </c>
      <c r="CI1386" t="s">
        <v>17951</v>
      </c>
      <c r="CJ1386" t="s">
        <v>15116</v>
      </c>
      <c r="CK1386" t="s">
        <v>232</v>
      </c>
      <c r="CL1386" t="s">
        <v>233</v>
      </c>
      <c r="CM1386" t="s">
        <v>17952</v>
      </c>
      <c r="CN1386" t="s">
        <v>482</v>
      </c>
      <c r="CO1386" t="s">
        <v>183</v>
      </c>
      <c r="CP1386" t="s">
        <v>266</v>
      </c>
      <c r="CS1386" t="s">
        <v>198</v>
      </c>
      <c r="CT1386" t="s">
        <v>2880</v>
      </c>
      <c r="CU1386" t="s">
        <v>292</v>
      </c>
      <c r="CV1386" t="s">
        <v>293</v>
      </c>
      <c r="CW1386" t="s">
        <v>8882</v>
      </c>
      <c r="CX1386" t="s">
        <v>482</v>
      </c>
      <c r="CY1386" t="s">
        <v>5</v>
      </c>
      <c r="CZ1386" t="s">
        <v>266</v>
      </c>
      <c r="DC1386" t="s">
        <v>198</v>
      </c>
      <c r="DD1386" t="s">
        <v>16875</v>
      </c>
      <c r="DE1386" t="s">
        <v>267</v>
      </c>
      <c r="DF1386" t="s">
        <v>268</v>
      </c>
      <c r="DG1386" t="s">
        <v>17953</v>
      </c>
      <c r="DH1386" t="s">
        <v>482</v>
      </c>
      <c r="DI1386" t="s">
        <v>183</v>
      </c>
      <c r="DJ1386" t="s">
        <v>266</v>
      </c>
      <c r="DM1386" t="s">
        <v>198</v>
      </c>
      <c r="DN1386" t="s">
        <v>17954</v>
      </c>
      <c r="DO1386" t="s">
        <v>273</v>
      </c>
      <c r="DP1386" t="s">
        <v>274</v>
      </c>
      <c r="DQ1386" t="s">
        <v>17955</v>
      </c>
      <c r="DR1386" t="s">
        <v>4595</v>
      </c>
      <c r="DS1386" t="s">
        <v>183</v>
      </c>
      <c r="DT1386" t="s">
        <v>266</v>
      </c>
      <c r="DW1386" t="s">
        <v>198</v>
      </c>
      <c r="DX1386" t="s">
        <v>10437</v>
      </c>
      <c r="DY1386" t="s">
        <v>302</v>
      </c>
      <c r="DZ1386" t="s">
        <v>303</v>
      </c>
      <c r="EA1386" t="s">
        <v>14934</v>
      </c>
      <c r="EB1386" t="s">
        <v>1052</v>
      </c>
      <c r="EC1386" t="s">
        <v>183</v>
      </c>
      <c r="ED1386" t="s">
        <v>266</v>
      </c>
      <c r="EG1386" t="s">
        <v>198</v>
      </c>
      <c r="EH1386" t="s">
        <v>17956</v>
      </c>
      <c r="EI1386" t="s">
        <v>238</v>
      </c>
      <c r="EJ1386" t="s">
        <v>239</v>
      </c>
      <c r="EK1386" t="s">
        <v>17957</v>
      </c>
      <c r="EL1386" t="s">
        <v>482</v>
      </c>
      <c r="EM1386" t="s">
        <v>183</v>
      </c>
      <c r="EN1386" t="s">
        <v>266</v>
      </c>
      <c r="EQ1386" t="s">
        <v>198</v>
      </c>
      <c r="ER1386" t="s">
        <v>17958</v>
      </c>
      <c r="ES1386" t="s">
        <v>346</v>
      </c>
      <c r="ET1386" t="s">
        <v>347</v>
      </c>
      <c r="EU1386" t="s">
        <v>13920</v>
      </c>
      <c r="EV1386" t="s">
        <v>402</v>
      </c>
      <c r="EW1386" t="s">
        <v>183</v>
      </c>
      <c r="EX1386" t="s">
        <v>266</v>
      </c>
      <c r="FA1386" t="s">
        <v>198</v>
      </c>
      <c r="FK1386" t="s">
        <v>198</v>
      </c>
      <c r="FU1386" t="s">
        <v>198</v>
      </c>
    </row>
    <row r="1387" spans="1:177">
      <c r="A1387" s="1" t="str">
        <f>HYPERLINK("http://digipan.lumentumllc.com/apps/getLink/index.php?t=PropLink&amp;p=5248270","PL")</f>
        <v>PL</v>
      </c>
      <c r="B1387" s="1" t="str">
        <f>HYPERLINK("http://digipan.lumentumllc.com/apps/getLink/index.php?t=TaxLink&amp;p=5248270","TL")</f>
        <v>TL</v>
      </c>
      <c r="C1387" s="1" t="str">
        <f>HYPERLINK("http://digipan.lumentumllc.com/apps/getMap/index.php?p=5248270","Map")</f>
        <v>Map</v>
      </c>
      <c r="E1387" t="s">
        <v>177</v>
      </c>
      <c r="F1387" t="s">
        <v>178</v>
      </c>
      <c r="L1387" t="s">
        <v>17959</v>
      </c>
      <c r="N1387" t="s">
        <v>17959</v>
      </c>
      <c r="O1387" t="s">
        <v>17959</v>
      </c>
      <c r="P1387" t="s">
        <v>17960</v>
      </c>
      <c r="Q1387" t="s">
        <v>17959</v>
      </c>
      <c r="V1387">
        <v>1589</v>
      </c>
      <c r="W1387">
        <v>5</v>
      </c>
      <c r="X1387">
        <v>2017</v>
      </c>
      <c r="Y1387">
        <v>2018</v>
      </c>
      <c r="Z1387">
        <v>890.33</v>
      </c>
      <c r="AB1387" t="s">
        <v>181</v>
      </c>
      <c r="AC1387" t="s">
        <v>182</v>
      </c>
      <c r="AD1387" t="s">
        <v>1037</v>
      </c>
      <c r="AE1387">
        <v>3</v>
      </c>
      <c r="AF1387">
        <v>4</v>
      </c>
      <c r="AG1387" t="s">
        <v>3859</v>
      </c>
      <c r="AH1387">
        <v>50</v>
      </c>
      <c r="AI1387">
        <v>2808.35</v>
      </c>
      <c r="AJ1387">
        <v>140.41999999999999</v>
      </c>
      <c r="AK1387">
        <v>2948.77</v>
      </c>
      <c r="AL1387">
        <v>52425</v>
      </c>
      <c r="AM1387">
        <v>24000</v>
      </c>
      <c r="AN1387">
        <v>28425</v>
      </c>
      <c r="AO1387">
        <v>790</v>
      </c>
      <c r="AP1387">
        <v>2016</v>
      </c>
      <c r="AQ1387">
        <v>1.7</v>
      </c>
      <c r="AR1387">
        <v>5.62</v>
      </c>
      <c r="AS1387" t="s">
        <v>17961</v>
      </c>
      <c r="AT1387" t="s">
        <v>3210</v>
      </c>
      <c r="AU1387" t="s">
        <v>177</v>
      </c>
      <c r="AV1387" t="s">
        <v>2334</v>
      </c>
      <c r="AW1387" t="s">
        <v>182</v>
      </c>
      <c r="AX1387">
        <v>1</v>
      </c>
      <c r="AY1387" t="s">
        <v>188</v>
      </c>
      <c r="AZ1387" t="s">
        <v>206</v>
      </c>
      <c r="BA1387" t="s">
        <v>355</v>
      </c>
      <c r="BB1387" t="s">
        <v>191</v>
      </c>
      <c r="BC1387" t="s">
        <v>182</v>
      </c>
      <c r="BD1387" t="s">
        <v>182</v>
      </c>
      <c r="BE1387" t="s">
        <v>13050</v>
      </c>
      <c r="BF1387">
        <v>1</v>
      </c>
      <c r="BG1387">
        <v>1</v>
      </c>
      <c r="BH1387">
        <v>1940</v>
      </c>
      <c r="BI1387" t="s">
        <v>15535</v>
      </c>
      <c r="BJ1387" t="s">
        <v>285</v>
      </c>
      <c r="BK1387" t="s">
        <v>195</v>
      </c>
      <c r="BL1387" t="s">
        <v>5738</v>
      </c>
      <c r="BM1387" t="s">
        <v>17962</v>
      </c>
      <c r="BN1387" t="s">
        <v>182</v>
      </c>
      <c r="BO1387" t="s">
        <v>198</v>
      </c>
      <c r="BP1387" t="s">
        <v>198</v>
      </c>
      <c r="BQ1387" t="s">
        <v>198</v>
      </c>
      <c r="BR1387" t="s">
        <v>198</v>
      </c>
      <c r="BS1387" t="s">
        <v>198</v>
      </c>
      <c r="BT1387" t="s">
        <v>198</v>
      </c>
      <c r="BU1387" t="s">
        <v>182</v>
      </c>
      <c r="BV1387" t="s">
        <v>198</v>
      </c>
      <c r="BW1387" t="s">
        <v>198</v>
      </c>
      <c r="BX1387" t="s">
        <v>199</v>
      </c>
      <c r="BY1387" t="s">
        <v>198</v>
      </c>
      <c r="BZ1387" t="s">
        <v>199</v>
      </c>
      <c r="CA1387" t="s">
        <v>199</v>
      </c>
      <c r="CB1387" t="s">
        <v>15992</v>
      </c>
      <c r="CC1387" t="s">
        <v>201</v>
      </c>
      <c r="CD1387" t="s">
        <v>202</v>
      </c>
      <c r="CE1387" t="s">
        <v>15993</v>
      </c>
      <c r="CF1387" t="s">
        <v>2333</v>
      </c>
      <c r="CG1387" t="s">
        <v>177</v>
      </c>
      <c r="CH1387" t="s">
        <v>2334</v>
      </c>
      <c r="CI1387" t="s">
        <v>17963</v>
      </c>
      <c r="CJ1387" t="s">
        <v>15137</v>
      </c>
      <c r="CK1387" t="s">
        <v>232</v>
      </c>
      <c r="CL1387" t="s">
        <v>233</v>
      </c>
      <c r="CM1387" t="s">
        <v>17964</v>
      </c>
      <c r="CN1387" t="s">
        <v>235</v>
      </c>
      <c r="CO1387" t="s">
        <v>183</v>
      </c>
      <c r="CP1387" t="s">
        <v>266</v>
      </c>
      <c r="CS1387" t="s">
        <v>198</v>
      </c>
      <c r="CT1387" t="s">
        <v>17965</v>
      </c>
      <c r="CU1387" t="s">
        <v>292</v>
      </c>
      <c r="CV1387" t="s">
        <v>293</v>
      </c>
      <c r="CW1387" t="s">
        <v>17966</v>
      </c>
      <c r="CX1387" t="s">
        <v>235</v>
      </c>
      <c r="CY1387" t="s">
        <v>183</v>
      </c>
      <c r="CZ1387" t="s">
        <v>266</v>
      </c>
      <c r="DC1387" t="s">
        <v>198</v>
      </c>
      <c r="DD1387" t="s">
        <v>16891</v>
      </c>
      <c r="DE1387" t="s">
        <v>267</v>
      </c>
      <c r="DF1387" t="s">
        <v>268</v>
      </c>
      <c r="DG1387" t="s">
        <v>17967</v>
      </c>
      <c r="DH1387" t="s">
        <v>235</v>
      </c>
      <c r="DI1387" t="s">
        <v>183</v>
      </c>
      <c r="DJ1387" t="s">
        <v>266</v>
      </c>
      <c r="DM1387" t="s">
        <v>198</v>
      </c>
      <c r="DN1387" t="s">
        <v>17968</v>
      </c>
      <c r="DO1387" t="s">
        <v>273</v>
      </c>
      <c r="DP1387" t="s">
        <v>274</v>
      </c>
      <c r="DQ1387" t="s">
        <v>17969</v>
      </c>
      <c r="DR1387" t="s">
        <v>482</v>
      </c>
      <c r="DS1387" t="s">
        <v>5</v>
      </c>
      <c r="DT1387" t="s">
        <v>211</v>
      </c>
      <c r="DU1387" t="s">
        <v>270</v>
      </c>
      <c r="DW1387" t="s">
        <v>8748</v>
      </c>
      <c r="DX1387" t="s">
        <v>17970</v>
      </c>
      <c r="DY1387" t="s">
        <v>302</v>
      </c>
      <c r="DZ1387" t="s">
        <v>303</v>
      </c>
      <c r="EA1387" t="s">
        <v>17971</v>
      </c>
      <c r="EB1387" t="s">
        <v>482</v>
      </c>
      <c r="EC1387" t="s">
        <v>183</v>
      </c>
      <c r="ED1387" t="s">
        <v>211</v>
      </c>
      <c r="EE1387" t="s">
        <v>337</v>
      </c>
      <c r="EG1387" t="s">
        <v>8748</v>
      </c>
      <c r="EH1387" t="s">
        <v>12370</v>
      </c>
      <c r="EI1387" t="s">
        <v>238</v>
      </c>
      <c r="EJ1387" t="s">
        <v>239</v>
      </c>
      <c r="EK1387" t="s">
        <v>17972</v>
      </c>
      <c r="EL1387" t="s">
        <v>482</v>
      </c>
      <c r="EM1387" t="s">
        <v>5</v>
      </c>
      <c r="EN1387" t="s">
        <v>211</v>
      </c>
      <c r="EO1387" t="s">
        <v>345</v>
      </c>
      <c r="EQ1387" t="s">
        <v>1097</v>
      </c>
      <c r="ER1387" t="s">
        <v>9813</v>
      </c>
      <c r="ES1387" t="s">
        <v>207</v>
      </c>
      <c r="ET1387" t="s">
        <v>208</v>
      </c>
      <c r="EU1387" t="s">
        <v>17973</v>
      </c>
      <c r="EV1387" t="s">
        <v>1966</v>
      </c>
      <c r="EW1387" t="s">
        <v>183</v>
      </c>
      <c r="EX1387" t="s">
        <v>211</v>
      </c>
      <c r="EY1387" t="s">
        <v>212</v>
      </c>
      <c r="FA1387" t="s">
        <v>17974</v>
      </c>
      <c r="FK1387" t="s">
        <v>198</v>
      </c>
      <c r="FU1387" t="s">
        <v>198</v>
      </c>
    </row>
    <row r="1388" spans="1:177">
      <c r="A1388" s="1" t="str">
        <f>HYPERLINK("http://digipan.lumentumllc.com/apps/getLink/index.php?t=PropLink&amp;p=4638307","PL")</f>
        <v>PL</v>
      </c>
      <c r="B1388" s="1" t="str">
        <f>HYPERLINK("http://digipan.lumentumllc.com/apps/getLink/index.php?t=TaxLink&amp;p=4638307","TL")</f>
        <v>TL</v>
      </c>
      <c r="C1388" s="1" t="str">
        <f>HYPERLINK("http://digipan.lumentumllc.com/apps/getMap/index.php?p=4638307","Map")</f>
        <v>Map</v>
      </c>
      <c r="E1388" t="s">
        <v>177</v>
      </c>
      <c r="F1388" t="s">
        <v>178</v>
      </c>
      <c r="L1388" t="s">
        <v>17975</v>
      </c>
      <c r="N1388" t="s">
        <v>17975</v>
      </c>
      <c r="O1388" t="s">
        <v>17975</v>
      </c>
      <c r="P1388" t="s">
        <v>17976</v>
      </c>
      <c r="Q1388" t="s">
        <v>17975</v>
      </c>
      <c r="V1388">
        <v>1590</v>
      </c>
      <c r="W1388">
        <v>5</v>
      </c>
      <c r="X1388">
        <v>2017</v>
      </c>
      <c r="Y1388">
        <v>2018</v>
      </c>
      <c r="Z1388">
        <v>195.72</v>
      </c>
      <c r="AB1388" t="s">
        <v>181</v>
      </c>
      <c r="AC1388" t="s">
        <v>182</v>
      </c>
      <c r="AD1388" t="s">
        <v>183</v>
      </c>
      <c r="AE1388">
        <v>1</v>
      </c>
      <c r="AF1388">
        <v>1</v>
      </c>
      <c r="AG1388" t="s">
        <v>2222</v>
      </c>
      <c r="AH1388">
        <v>50</v>
      </c>
      <c r="AI1388">
        <v>193.03</v>
      </c>
      <c r="AJ1388">
        <v>18.82</v>
      </c>
      <c r="AK1388">
        <v>211.85</v>
      </c>
      <c r="AL1388">
        <v>10000</v>
      </c>
      <c r="AM1388">
        <v>10000</v>
      </c>
      <c r="AN1388">
        <v>0</v>
      </c>
      <c r="AO1388">
        <v>154</v>
      </c>
      <c r="AP1388">
        <v>2016</v>
      </c>
      <c r="AQ1388">
        <v>1.96</v>
      </c>
      <c r="AR1388">
        <v>2.12</v>
      </c>
      <c r="AS1388" t="s">
        <v>17977</v>
      </c>
      <c r="AT1388" t="s">
        <v>3210</v>
      </c>
      <c r="AU1388" t="s">
        <v>177</v>
      </c>
      <c r="AV1388" t="s">
        <v>2334</v>
      </c>
      <c r="AW1388" t="s">
        <v>182</v>
      </c>
      <c r="AX1388">
        <v>0</v>
      </c>
      <c r="AY1388" t="s">
        <v>312</v>
      </c>
      <c r="AZ1388" t="s">
        <v>199</v>
      </c>
      <c r="BA1388" t="s">
        <v>313</v>
      </c>
      <c r="BB1388" t="s">
        <v>191</v>
      </c>
      <c r="BC1388" t="s">
        <v>182</v>
      </c>
      <c r="BD1388" t="s">
        <v>182</v>
      </c>
      <c r="BE1388" t="s">
        <v>3930</v>
      </c>
      <c r="BF1388">
        <v>0</v>
      </c>
      <c r="BG1388">
        <v>0</v>
      </c>
      <c r="BH1388">
        <v>0</v>
      </c>
      <c r="BI1388" t="s">
        <v>199</v>
      </c>
      <c r="BJ1388" t="s">
        <v>396</v>
      </c>
      <c r="BL1388" t="s">
        <v>8160</v>
      </c>
      <c r="BM1388" t="s">
        <v>325</v>
      </c>
      <c r="BN1388" t="s">
        <v>182</v>
      </c>
      <c r="BO1388" t="s">
        <v>8618</v>
      </c>
      <c r="BP1388" t="s">
        <v>225</v>
      </c>
      <c r="BQ1388" t="s">
        <v>5784</v>
      </c>
      <c r="BS1388" t="s">
        <v>17978</v>
      </c>
      <c r="BT1388" t="s">
        <v>198</v>
      </c>
      <c r="BU1388" t="s">
        <v>182</v>
      </c>
      <c r="BV1388" t="s">
        <v>198</v>
      </c>
      <c r="BW1388" t="s">
        <v>198</v>
      </c>
      <c r="BX1388" t="s">
        <v>199</v>
      </c>
      <c r="BY1388" t="s">
        <v>198</v>
      </c>
      <c r="BZ1388" t="s">
        <v>199</v>
      </c>
      <c r="CA1388" t="s">
        <v>199</v>
      </c>
      <c r="CB1388" t="s">
        <v>17979</v>
      </c>
      <c r="CC1388" t="s">
        <v>201</v>
      </c>
      <c r="CD1388" t="s">
        <v>202</v>
      </c>
      <c r="CE1388" t="s">
        <v>17980</v>
      </c>
      <c r="CF1388" t="s">
        <v>2620</v>
      </c>
      <c r="CG1388" t="s">
        <v>177</v>
      </c>
      <c r="CH1388" t="s">
        <v>17981</v>
      </c>
      <c r="CI1388" t="s">
        <v>2399</v>
      </c>
      <c r="CJ1388" t="s">
        <v>15980</v>
      </c>
      <c r="CK1388" t="s">
        <v>232</v>
      </c>
      <c r="CL1388" t="s">
        <v>233</v>
      </c>
      <c r="CM1388" t="s">
        <v>13305</v>
      </c>
      <c r="CN1388" t="s">
        <v>341</v>
      </c>
      <c r="CO1388" t="s">
        <v>183</v>
      </c>
      <c r="CP1388" t="s">
        <v>266</v>
      </c>
      <c r="CS1388" t="s">
        <v>198</v>
      </c>
      <c r="CT1388" t="s">
        <v>13963</v>
      </c>
      <c r="CU1388" t="s">
        <v>267</v>
      </c>
      <c r="CV1388" t="s">
        <v>268</v>
      </c>
      <c r="CW1388" t="s">
        <v>1196</v>
      </c>
      <c r="CX1388" t="s">
        <v>1164</v>
      </c>
      <c r="CY1388" t="s">
        <v>183</v>
      </c>
      <c r="CZ1388" t="s">
        <v>211</v>
      </c>
      <c r="DA1388" t="s">
        <v>306</v>
      </c>
      <c r="DC1388" t="s">
        <v>3849</v>
      </c>
      <c r="DM1388" t="s">
        <v>198</v>
      </c>
      <c r="DW1388" t="s">
        <v>198</v>
      </c>
      <c r="EG1388" t="s">
        <v>198</v>
      </c>
      <c r="EQ1388" t="s">
        <v>198</v>
      </c>
      <c r="FA1388" t="s">
        <v>198</v>
      </c>
      <c r="FK1388" t="s">
        <v>198</v>
      </c>
      <c r="FU1388" t="s">
        <v>198</v>
      </c>
    </row>
    <row r="1389" spans="1:177">
      <c r="A1389" s="1" t="str">
        <f>HYPERLINK("http://digipan.lumentumllc.com/apps/getLink/index.php?t=PropLink&amp;p=4638308","PL")</f>
        <v>PL</v>
      </c>
      <c r="B1389" s="1" t="str">
        <f>HYPERLINK("http://digipan.lumentumllc.com/apps/getLink/index.php?t=TaxLink&amp;p=4638308","TL")</f>
        <v>TL</v>
      </c>
      <c r="C1389" s="1" t="str">
        <f>HYPERLINK("http://digipan.lumentumllc.com/apps/getMap/index.php?p=4638308","Map")</f>
        <v>Map</v>
      </c>
      <c r="E1389" t="s">
        <v>177</v>
      </c>
      <c r="F1389" t="s">
        <v>178</v>
      </c>
      <c r="L1389" t="s">
        <v>17982</v>
      </c>
      <c r="N1389" t="s">
        <v>17982</v>
      </c>
      <c r="O1389" t="s">
        <v>17982</v>
      </c>
      <c r="P1389" t="s">
        <v>17983</v>
      </c>
      <c r="Q1389" t="s">
        <v>17982</v>
      </c>
      <c r="V1389">
        <v>1591</v>
      </c>
      <c r="W1389">
        <v>5</v>
      </c>
      <c r="X1389">
        <v>2017</v>
      </c>
      <c r="Y1389">
        <v>2018</v>
      </c>
      <c r="Z1389">
        <v>195.72</v>
      </c>
      <c r="AB1389" t="s">
        <v>181</v>
      </c>
      <c r="AC1389" t="s">
        <v>182</v>
      </c>
      <c r="AD1389" t="s">
        <v>183</v>
      </c>
      <c r="AE1389">
        <v>1</v>
      </c>
      <c r="AF1389">
        <v>1</v>
      </c>
      <c r="AG1389" t="s">
        <v>2222</v>
      </c>
      <c r="AH1389">
        <v>50</v>
      </c>
      <c r="AI1389">
        <v>193.03</v>
      </c>
      <c r="AJ1389">
        <v>18.82</v>
      </c>
      <c r="AK1389">
        <v>211.85</v>
      </c>
      <c r="AL1389">
        <v>10000</v>
      </c>
      <c r="AM1389">
        <v>10000</v>
      </c>
      <c r="AN1389">
        <v>0</v>
      </c>
      <c r="AO1389">
        <v>154</v>
      </c>
      <c r="AP1389">
        <v>2016</v>
      </c>
      <c r="AQ1389">
        <v>1.96</v>
      </c>
      <c r="AR1389">
        <v>2.12</v>
      </c>
      <c r="AS1389" t="s">
        <v>17984</v>
      </c>
      <c r="AT1389" t="s">
        <v>3210</v>
      </c>
      <c r="AU1389" t="s">
        <v>177</v>
      </c>
      <c r="AV1389" t="s">
        <v>2334</v>
      </c>
      <c r="AW1389" t="s">
        <v>182</v>
      </c>
      <c r="AX1389">
        <v>0</v>
      </c>
      <c r="AY1389" t="s">
        <v>312</v>
      </c>
      <c r="AZ1389" t="s">
        <v>199</v>
      </c>
      <c r="BA1389" t="s">
        <v>313</v>
      </c>
      <c r="BB1389" t="s">
        <v>191</v>
      </c>
      <c r="BC1389" t="s">
        <v>182</v>
      </c>
      <c r="BD1389" t="s">
        <v>182</v>
      </c>
      <c r="BE1389" t="s">
        <v>11838</v>
      </c>
      <c r="BF1389">
        <v>0</v>
      </c>
      <c r="BG1389">
        <v>0</v>
      </c>
      <c r="BH1389">
        <v>0</v>
      </c>
      <c r="BI1389" t="s">
        <v>199</v>
      </c>
      <c r="BJ1389" t="s">
        <v>248</v>
      </c>
      <c r="BL1389" t="s">
        <v>8160</v>
      </c>
      <c r="BM1389" t="s">
        <v>325</v>
      </c>
      <c r="BN1389" t="s">
        <v>182</v>
      </c>
      <c r="BO1389" t="s">
        <v>8618</v>
      </c>
      <c r="BP1389" t="s">
        <v>225</v>
      </c>
      <c r="BQ1389" t="s">
        <v>5784</v>
      </c>
      <c r="BS1389" t="s">
        <v>17978</v>
      </c>
      <c r="BT1389" t="s">
        <v>198</v>
      </c>
      <c r="BU1389" t="s">
        <v>182</v>
      </c>
      <c r="BV1389" t="s">
        <v>198</v>
      </c>
      <c r="BW1389" t="s">
        <v>198</v>
      </c>
      <c r="BX1389" t="s">
        <v>199</v>
      </c>
      <c r="BY1389" t="s">
        <v>198</v>
      </c>
      <c r="BZ1389" t="s">
        <v>199</v>
      </c>
      <c r="CA1389" t="s">
        <v>199</v>
      </c>
      <c r="CB1389" t="s">
        <v>17979</v>
      </c>
      <c r="CC1389" t="s">
        <v>201</v>
      </c>
      <c r="CD1389" t="s">
        <v>202</v>
      </c>
      <c r="CE1389" t="s">
        <v>17980</v>
      </c>
      <c r="CF1389" t="s">
        <v>2620</v>
      </c>
      <c r="CG1389" t="s">
        <v>177</v>
      </c>
      <c r="CH1389" t="s">
        <v>17981</v>
      </c>
      <c r="CI1389" t="s">
        <v>4843</v>
      </c>
      <c r="CJ1389" t="s">
        <v>15169</v>
      </c>
      <c r="CK1389" t="s">
        <v>232</v>
      </c>
      <c r="CL1389" t="s">
        <v>233</v>
      </c>
      <c r="CM1389" t="s">
        <v>13305</v>
      </c>
      <c r="CN1389" t="s">
        <v>341</v>
      </c>
      <c r="CO1389" t="s">
        <v>183</v>
      </c>
      <c r="CP1389" t="s">
        <v>266</v>
      </c>
      <c r="CS1389" t="s">
        <v>198</v>
      </c>
      <c r="CT1389" t="s">
        <v>17016</v>
      </c>
      <c r="CU1389" t="s">
        <v>267</v>
      </c>
      <c r="CV1389" t="s">
        <v>268</v>
      </c>
      <c r="CW1389" t="s">
        <v>1196</v>
      </c>
      <c r="CX1389" t="s">
        <v>1164</v>
      </c>
      <c r="CY1389" t="s">
        <v>183</v>
      </c>
      <c r="CZ1389" t="s">
        <v>211</v>
      </c>
      <c r="DA1389" t="s">
        <v>306</v>
      </c>
      <c r="DC1389" t="s">
        <v>3849</v>
      </c>
      <c r="DM1389" t="s">
        <v>198</v>
      </c>
      <c r="DW1389" t="s">
        <v>198</v>
      </c>
      <c r="EG1389" t="s">
        <v>198</v>
      </c>
      <c r="EQ1389" t="s">
        <v>198</v>
      </c>
      <c r="FA1389" t="s">
        <v>198</v>
      </c>
      <c r="FK1389" t="s">
        <v>198</v>
      </c>
      <c r="FU1389" t="s">
        <v>198</v>
      </c>
    </row>
    <row r="1390" spans="1:177">
      <c r="A1390" s="1" t="str">
        <f>HYPERLINK("http://digipan.lumentumllc.com/apps/getLink/index.php?t=PropLink&amp;p=4638309","PL")</f>
        <v>PL</v>
      </c>
      <c r="B1390" s="1" t="str">
        <f>HYPERLINK("http://digipan.lumentumllc.com/apps/getLink/index.php?t=TaxLink&amp;p=4638309","TL")</f>
        <v>TL</v>
      </c>
      <c r="C1390" s="1" t="str">
        <f>HYPERLINK("http://digipan.lumentumllc.com/apps/getMap/index.php?p=4638309","Map")</f>
        <v>Map</v>
      </c>
      <c r="E1390" t="s">
        <v>177</v>
      </c>
      <c r="F1390" t="s">
        <v>178</v>
      </c>
      <c r="L1390" t="s">
        <v>17985</v>
      </c>
      <c r="N1390" t="s">
        <v>17985</v>
      </c>
      <c r="O1390" t="s">
        <v>17985</v>
      </c>
      <c r="P1390" t="s">
        <v>17986</v>
      </c>
      <c r="Q1390" t="s">
        <v>17985</v>
      </c>
      <c r="V1390">
        <v>1592</v>
      </c>
      <c r="W1390">
        <v>5</v>
      </c>
      <c r="X1390">
        <v>2017</v>
      </c>
      <c r="Y1390">
        <v>2018</v>
      </c>
      <c r="Z1390">
        <v>195.72</v>
      </c>
      <c r="AB1390" t="s">
        <v>181</v>
      </c>
      <c r="AC1390" t="s">
        <v>182</v>
      </c>
      <c r="AD1390" t="s">
        <v>183</v>
      </c>
      <c r="AE1390">
        <v>1</v>
      </c>
      <c r="AF1390">
        <v>1</v>
      </c>
      <c r="AG1390" t="s">
        <v>2222</v>
      </c>
      <c r="AH1390">
        <v>50</v>
      </c>
      <c r="AI1390">
        <v>193.03</v>
      </c>
      <c r="AJ1390">
        <v>18.82</v>
      </c>
      <c r="AK1390">
        <v>211.85</v>
      </c>
      <c r="AL1390">
        <v>10000</v>
      </c>
      <c r="AM1390">
        <v>10000</v>
      </c>
      <c r="AN1390">
        <v>0</v>
      </c>
      <c r="AO1390">
        <v>154</v>
      </c>
      <c r="AP1390">
        <v>2016</v>
      </c>
      <c r="AQ1390">
        <v>1.96</v>
      </c>
      <c r="AR1390">
        <v>2.12</v>
      </c>
      <c r="AS1390" t="s">
        <v>17987</v>
      </c>
      <c r="AT1390" t="s">
        <v>3210</v>
      </c>
      <c r="AU1390" t="s">
        <v>177</v>
      </c>
      <c r="AV1390" t="s">
        <v>2334</v>
      </c>
      <c r="AW1390" t="s">
        <v>182</v>
      </c>
      <c r="AX1390">
        <v>0</v>
      </c>
      <c r="AY1390" t="s">
        <v>312</v>
      </c>
      <c r="AZ1390" t="s">
        <v>199</v>
      </c>
      <c r="BA1390" t="s">
        <v>313</v>
      </c>
      <c r="BB1390" t="s">
        <v>191</v>
      </c>
      <c r="BC1390" t="s">
        <v>182</v>
      </c>
      <c r="BD1390" t="s">
        <v>182</v>
      </c>
      <c r="BE1390" t="s">
        <v>11838</v>
      </c>
      <c r="BF1390">
        <v>0</v>
      </c>
      <c r="BG1390">
        <v>0</v>
      </c>
      <c r="BH1390">
        <v>0</v>
      </c>
      <c r="BI1390" t="s">
        <v>199</v>
      </c>
      <c r="BJ1390" t="s">
        <v>396</v>
      </c>
      <c r="BL1390" t="s">
        <v>8160</v>
      </c>
      <c r="BM1390" t="s">
        <v>325</v>
      </c>
      <c r="BN1390" t="s">
        <v>182</v>
      </c>
      <c r="BO1390" t="s">
        <v>8618</v>
      </c>
      <c r="BP1390" t="s">
        <v>225</v>
      </c>
      <c r="BQ1390" t="s">
        <v>5784</v>
      </c>
      <c r="BS1390" t="s">
        <v>17978</v>
      </c>
      <c r="BT1390" t="s">
        <v>198</v>
      </c>
      <c r="BU1390" t="s">
        <v>182</v>
      </c>
      <c r="BV1390" t="s">
        <v>198</v>
      </c>
      <c r="BW1390" t="s">
        <v>198</v>
      </c>
      <c r="BX1390" t="s">
        <v>199</v>
      </c>
      <c r="BY1390" t="s">
        <v>198</v>
      </c>
      <c r="BZ1390" t="s">
        <v>199</v>
      </c>
      <c r="CA1390" t="s">
        <v>199</v>
      </c>
      <c r="CB1390" t="s">
        <v>17979</v>
      </c>
      <c r="CC1390" t="s">
        <v>201</v>
      </c>
      <c r="CD1390" t="s">
        <v>202</v>
      </c>
      <c r="CE1390" t="s">
        <v>17980</v>
      </c>
      <c r="CF1390" t="s">
        <v>2620</v>
      </c>
      <c r="CG1390" t="s">
        <v>177</v>
      </c>
      <c r="CH1390" t="s">
        <v>17981</v>
      </c>
      <c r="CI1390" t="s">
        <v>7898</v>
      </c>
      <c r="CJ1390" t="s">
        <v>13898</v>
      </c>
      <c r="CK1390" t="s">
        <v>232</v>
      </c>
      <c r="CL1390" t="s">
        <v>233</v>
      </c>
      <c r="CM1390" t="s">
        <v>13305</v>
      </c>
      <c r="CN1390" t="s">
        <v>341</v>
      </c>
      <c r="CO1390" t="s">
        <v>183</v>
      </c>
      <c r="CP1390" t="s">
        <v>266</v>
      </c>
      <c r="CS1390" t="s">
        <v>198</v>
      </c>
      <c r="CT1390" t="s">
        <v>9622</v>
      </c>
      <c r="CU1390" t="s">
        <v>267</v>
      </c>
      <c r="CV1390" t="s">
        <v>268</v>
      </c>
      <c r="CW1390" t="s">
        <v>1196</v>
      </c>
      <c r="CX1390" t="s">
        <v>1164</v>
      </c>
      <c r="CY1390" t="s">
        <v>183</v>
      </c>
      <c r="CZ1390" t="s">
        <v>211</v>
      </c>
      <c r="DA1390" t="s">
        <v>306</v>
      </c>
      <c r="DC1390" t="s">
        <v>3849</v>
      </c>
      <c r="DM1390" t="s">
        <v>198</v>
      </c>
      <c r="DW1390" t="s">
        <v>198</v>
      </c>
      <c r="EG1390" t="s">
        <v>198</v>
      </c>
      <c r="EQ1390" t="s">
        <v>198</v>
      </c>
      <c r="FA1390" t="s">
        <v>198</v>
      </c>
      <c r="FK1390" t="s">
        <v>198</v>
      </c>
      <c r="FU1390" t="s">
        <v>198</v>
      </c>
    </row>
    <row r="1391" spans="1:177">
      <c r="A1391" s="1" t="str">
        <f>HYPERLINK("http://digipan.lumentumllc.com/apps/getLink/index.php?t=PropLink&amp;p=4638310","PL")</f>
        <v>PL</v>
      </c>
      <c r="B1391" s="1" t="str">
        <f>HYPERLINK("http://digipan.lumentumllc.com/apps/getLink/index.php?t=TaxLink&amp;p=4638310","TL")</f>
        <v>TL</v>
      </c>
      <c r="C1391" s="1" t="str">
        <f>HYPERLINK("http://digipan.lumentumllc.com/apps/getMap/index.php?p=4638310","Map")</f>
        <v>Map</v>
      </c>
      <c r="E1391" t="s">
        <v>177</v>
      </c>
      <c r="F1391" t="s">
        <v>178</v>
      </c>
      <c r="L1391" t="s">
        <v>17988</v>
      </c>
      <c r="N1391" t="s">
        <v>17988</v>
      </c>
      <c r="O1391" t="s">
        <v>17988</v>
      </c>
      <c r="P1391" t="s">
        <v>17989</v>
      </c>
      <c r="Q1391" t="s">
        <v>17988</v>
      </c>
      <c r="V1391">
        <v>1593</v>
      </c>
      <c r="W1391">
        <v>5</v>
      </c>
      <c r="X1391">
        <v>2017</v>
      </c>
      <c r="Y1391">
        <v>2018</v>
      </c>
      <c r="Z1391">
        <v>195.72</v>
      </c>
      <c r="AB1391" t="s">
        <v>181</v>
      </c>
      <c r="AC1391" t="s">
        <v>182</v>
      </c>
      <c r="AD1391" t="s">
        <v>183</v>
      </c>
      <c r="AE1391">
        <v>1</v>
      </c>
      <c r="AF1391">
        <v>1</v>
      </c>
      <c r="AG1391" t="s">
        <v>2222</v>
      </c>
      <c r="AH1391">
        <v>50</v>
      </c>
      <c r="AI1391">
        <v>193.03</v>
      </c>
      <c r="AJ1391">
        <v>18.82</v>
      </c>
      <c r="AK1391">
        <v>211.85</v>
      </c>
      <c r="AL1391">
        <v>10000</v>
      </c>
      <c r="AM1391">
        <v>10000</v>
      </c>
      <c r="AN1391">
        <v>0</v>
      </c>
      <c r="AO1391">
        <v>154</v>
      </c>
      <c r="AP1391">
        <v>2016</v>
      </c>
      <c r="AQ1391">
        <v>1.96</v>
      </c>
      <c r="AR1391">
        <v>2.12</v>
      </c>
      <c r="AS1391" t="s">
        <v>17990</v>
      </c>
      <c r="AT1391" t="s">
        <v>3210</v>
      </c>
      <c r="AU1391" t="s">
        <v>177</v>
      </c>
      <c r="AV1391" t="s">
        <v>2334</v>
      </c>
      <c r="AW1391" t="s">
        <v>182</v>
      </c>
      <c r="AX1391">
        <v>0</v>
      </c>
      <c r="AY1391" t="s">
        <v>312</v>
      </c>
      <c r="AZ1391" t="s">
        <v>199</v>
      </c>
      <c r="BA1391" t="s">
        <v>313</v>
      </c>
      <c r="BB1391" t="s">
        <v>191</v>
      </c>
      <c r="BC1391" t="s">
        <v>182</v>
      </c>
      <c r="BD1391" t="s">
        <v>182</v>
      </c>
      <c r="BE1391" t="s">
        <v>11838</v>
      </c>
      <c r="BF1391">
        <v>0</v>
      </c>
      <c r="BG1391">
        <v>0</v>
      </c>
      <c r="BH1391">
        <v>0</v>
      </c>
      <c r="BI1391" t="s">
        <v>199</v>
      </c>
      <c r="BJ1391" t="s">
        <v>396</v>
      </c>
      <c r="BL1391" t="s">
        <v>8160</v>
      </c>
      <c r="BM1391" t="s">
        <v>325</v>
      </c>
      <c r="BN1391" t="s">
        <v>182</v>
      </c>
      <c r="BO1391" t="s">
        <v>8618</v>
      </c>
      <c r="BP1391" t="s">
        <v>225</v>
      </c>
      <c r="BQ1391" t="s">
        <v>5784</v>
      </c>
      <c r="BS1391" t="s">
        <v>17978</v>
      </c>
      <c r="BT1391" t="s">
        <v>198</v>
      </c>
      <c r="BU1391" t="s">
        <v>182</v>
      </c>
      <c r="BV1391" t="s">
        <v>198</v>
      </c>
      <c r="BW1391" t="s">
        <v>198</v>
      </c>
      <c r="BX1391" t="s">
        <v>199</v>
      </c>
      <c r="BY1391" t="s">
        <v>198</v>
      </c>
      <c r="BZ1391" t="s">
        <v>199</v>
      </c>
      <c r="CA1391" t="s">
        <v>199</v>
      </c>
      <c r="CB1391" t="s">
        <v>17979</v>
      </c>
      <c r="CC1391" t="s">
        <v>201</v>
      </c>
      <c r="CD1391" t="s">
        <v>202</v>
      </c>
      <c r="CE1391" t="s">
        <v>17980</v>
      </c>
      <c r="CF1391" t="s">
        <v>2620</v>
      </c>
      <c r="CG1391" t="s">
        <v>177</v>
      </c>
      <c r="CH1391" t="s">
        <v>17981</v>
      </c>
      <c r="CI1391" t="s">
        <v>4045</v>
      </c>
      <c r="CJ1391" t="s">
        <v>13457</v>
      </c>
      <c r="CK1391" t="s">
        <v>232</v>
      </c>
      <c r="CL1391" t="s">
        <v>233</v>
      </c>
      <c r="CM1391" t="s">
        <v>13305</v>
      </c>
      <c r="CN1391" t="s">
        <v>341</v>
      </c>
      <c r="CO1391" t="s">
        <v>183</v>
      </c>
      <c r="CP1391" t="s">
        <v>266</v>
      </c>
      <c r="CS1391" t="s">
        <v>198</v>
      </c>
      <c r="CT1391" t="s">
        <v>16645</v>
      </c>
      <c r="CU1391" t="s">
        <v>267</v>
      </c>
      <c r="CV1391" t="s">
        <v>268</v>
      </c>
      <c r="CW1391" t="s">
        <v>1196</v>
      </c>
      <c r="CX1391" t="s">
        <v>1164</v>
      </c>
      <c r="CY1391" t="s">
        <v>183</v>
      </c>
      <c r="CZ1391" t="s">
        <v>211</v>
      </c>
      <c r="DA1391" t="s">
        <v>306</v>
      </c>
      <c r="DC1391" t="s">
        <v>3849</v>
      </c>
      <c r="DM1391" t="s">
        <v>198</v>
      </c>
      <c r="DW1391" t="s">
        <v>198</v>
      </c>
      <c r="EG1391" t="s">
        <v>198</v>
      </c>
      <c r="EQ1391" t="s">
        <v>198</v>
      </c>
      <c r="FA1391" t="s">
        <v>198</v>
      </c>
      <c r="FK1391" t="s">
        <v>198</v>
      </c>
      <c r="FU1391" t="s">
        <v>198</v>
      </c>
    </row>
    <row r="1392" spans="1:177">
      <c r="A1392" s="1" t="str">
        <f>HYPERLINK("http://digipan.lumentumllc.com/apps/getLink/index.php?t=PropLink&amp;p=4638311","PL")</f>
        <v>PL</v>
      </c>
      <c r="B1392" s="1" t="str">
        <f>HYPERLINK("http://digipan.lumentumllc.com/apps/getLink/index.php?t=TaxLink&amp;p=4638311","TL")</f>
        <v>TL</v>
      </c>
      <c r="C1392" s="1" t="str">
        <f>HYPERLINK("http://digipan.lumentumllc.com/apps/getMap/index.php?p=4638311","Map")</f>
        <v>Map</v>
      </c>
      <c r="E1392" t="s">
        <v>177</v>
      </c>
      <c r="F1392" t="s">
        <v>178</v>
      </c>
      <c r="L1392" t="s">
        <v>17991</v>
      </c>
      <c r="N1392" t="s">
        <v>17991</v>
      </c>
      <c r="O1392" t="s">
        <v>17991</v>
      </c>
      <c r="P1392" t="s">
        <v>17992</v>
      </c>
      <c r="Q1392" t="s">
        <v>17991</v>
      </c>
      <c r="V1392">
        <v>1594</v>
      </c>
      <c r="W1392">
        <v>5</v>
      </c>
      <c r="X1392">
        <v>2017</v>
      </c>
      <c r="Y1392">
        <v>2018</v>
      </c>
      <c r="Z1392">
        <v>195.72</v>
      </c>
      <c r="AB1392" t="s">
        <v>181</v>
      </c>
      <c r="AC1392" t="s">
        <v>182</v>
      </c>
      <c r="AD1392" t="s">
        <v>183</v>
      </c>
      <c r="AE1392">
        <v>1</v>
      </c>
      <c r="AF1392">
        <v>1</v>
      </c>
      <c r="AG1392" t="s">
        <v>2222</v>
      </c>
      <c r="AH1392">
        <v>50</v>
      </c>
      <c r="AI1392">
        <v>193.03</v>
      </c>
      <c r="AJ1392">
        <v>18.82</v>
      </c>
      <c r="AK1392">
        <v>211.85</v>
      </c>
      <c r="AL1392">
        <v>10000</v>
      </c>
      <c r="AM1392">
        <v>10000</v>
      </c>
      <c r="AN1392">
        <v>0</v>
      </c>
      <c r="AO1392">
        <v>154</v>
      </c>
      <c r="AP1392">
        <v>2016</v>
      </c>
      <c r="AQ1392">
        <v>1.96</v>
      </c>
      <c r="AR1392">
        <v>2.12</v>
      </c>
      <c r="AS1392" t="s">
        <v>17993</v>
      </c>
      <c r="AT1392" t="s">
        <v>3210</v>
      </c>
      <c r="AU1392" t="s">
        <v>177</v>
      </c>
      <c r="AV1392" t="s">
        <v>2334</v>
      </c>
      <c r="AW1392" t="s">
        <v>182</v>
      </c>
      <c r="AX1392">
        <v>0</v>
      </c>
      <c r="AY1392" t="s">
        <v>312</v>
      </c>
      <c r="AZ1392" t="s">
        <v>199</v>
      </c>
      <c r="BA1392" t="s">
        <v>313</v>
      </c>
      <c r="BB1392" t="s">
        <v>191</v>
      </c>
      <c r="BC1392" t="s">
        <v>182</v>
      </c>
      <c r="BD1392" t="s">
        <v>182</v>
      </c>
      <c r="BE1392" t="s">
        <v>11838</v>
      </c>
      <c r="BF1392">
        <v>0</v>
      </c>
      <c r="BG1392">
        <v>0</v>
      </c>
      <c r="BH1392">
        <v>0</v>
      </c>
      <c r="BI1392" t="s">
        <v>199</v>
      </c>
      <c r="BJ1392" t="s">
        <v>248</v>
      </c>
      <c r="BL1392" t="s">
        <v>17994</v>
      </c>
      <c r="BM1392" t="s">
        <v>302</v>
      </c>
      <c r="BN1392" t="s">
        <v>182</v>
      </c>
      <c r="BO1392" t="s">
        <v>17995</v>
      </c>
      <c r="BP1392" t="s">
        <v>17996</v>
      </c>
      <c r="BQ1392" t="s">
        <v>5460</v>
      </c>
      <c r="BR1392" t="s">
        <v>17997</v>
      </c>
      <c r="BS1392" t="s">
        <v>17619</v>
      </c>
      <c r="BT1392" t="s">
        <v>198</v>
      </c>
      <c r="BU1392" t="s">
        <v>182</v>
      </c>
      <c r="BV1392" t="s">
        <v>198</v>
      </c>
      <c r="BW1392" t="s">
        <v>198</v>
      </c>
      <c r="BX1392" t="s">
        <v>199</v>
      </c>
      <c r="BY1392" t="s">
        <v>198</v>
      </c>
      <c r="BZ1392" t="s">
        <v>199</v>
      </c>
      <c r="CA1392" t="s">
        <v>199</v>
      </c>
      <c r="CB1392" t="s">
        <v>17979</v>
      </c>
      <c r="CC1392" t="s">
        <v>201</v>
      </c>
      <c r="CD1392" t="s">
        <v>202</v>
      </c>
      <c r="CE1392" t="s">
        <v>17980</v>
      </c>
      <c r="CF1392" t="s">
        <v>2620</v>
      </c>
      <c r="CG1392" t="s">
        <v>177</v>
      </c>
      <c r="CH1392" t="s">
        <v>17981</v>
      </c>
      <c r="CI1392" t="s">
        <v>1335</v>
      </c>
      <c r="CJ1392" t="s">
        <v>13948</v>
      </c>
      <c r="CK1392" t="s">
        <v>232</v>
      </c>
      <c r="CL1392" t="s">
        <v>233</v>
      </c>
      <c r="CM1392" t="s">
        <v>13305</v>
      </c>
      <c r="CN1392" t="s">
        <v>341</v>
      </c>
      <c r="CO1392" t="s">
        <v>183</v>
      </c>
      <c r="CP1392" t="s">
        <v>266</v>
      </c>
      <c r="CS1392" t="s">
        <v>198</v>
      </c>
      <c r="CT1392" t="s">
        <v>14022</v>
      </c>
      <c r="CU1392" t="s">
        <v>267</v>
      </c>
      <c r="CV1392" t="s">
        <v>268</v>
      </c>
      <c r="CW1392" t="s">
        <v>1196</v>
      </c>
      <c r="CX1392" t="s">
        <v>1074</v>
      </c>
      <c r="CY1392" t="s">
        <v>183</v>
      </c>
      <c r="CZ1392" t="s">
        <v>211</v>
      </c>
      <c r="DA1392" t="s">
        <v>306</v>
      </c>
      <c r="DC1392" t="s">
        <v>3849</v>
      </c>
      <c r="DM1392" t="s">
        <v>198</v>
      </c>
      <c r="DW1392" t="s">
        <v>198</v>
      </c>
      <c r="EG1392" t="s">
        <v>198</v>
      </c>
      <c r="EQ1392" t="s">
        <v>198</v>
      </c>
      <c r="FA1392" t="s">
        <v>198</v>
      </c>
      <c r="FK1392" t="s">
        <v>198</v>
      </c>
      <c r="FU1392" t="s">
        <v>198</v>
      </c>
    </row>
    <row r="1393" spans="1:177">
      <c r="A1393" s="1" t="str">
        <f>HYPERLINK("http://digipan.lumentumllc.com/apps/getLink/index.php?t=PropLink&amp;p=4638312","PL")</f>
        <v>PL</v>
      </c>
      <c r="B1393" s="1" t="str">
        <f>HYPERLINK("http://digipan.lumentumllc.com/apps/getLink/index.php?t=TaxLink&amp;p=4638312","TL")</f>
        <v>TL</v>
      </c>
      <c r="C1393" s="1" t="str">
        <f>HYPERLINK("http://digipan.lumentumllc.com/apps/getMap/index.php?p=4638312","Map")</f>
        <v>Map</v>
      </c>
      <c r="E1393" t="s">
        <v>177</v>
      </c>
      <c r="F1393" t="s">
        <v>178</v>
      </c>
      <c r="L1393" t="s">
        <v>17998</v>
      </c>
      <c r="N1393" t="s">
        <v>17998</v>
      </c>
      <c r="O1393" t="s">
        <v>17998</v>
      </c>
      <c r="P1393" t="s">
        <v>17999</v>
      </c>
      <c r="Q1393" t="s">
        <v>17998</v>
      </c>
      <c r="V1393">
        <v>1595</v>
      </c>
      <c r="W1393">
        <v>5</v>
      </c>
      <c r="X1393">
        <v>2017</v>
      </c>
      <c r="Y1393">
        <v>2018</v>
      </c>
      <c r="Z1393">
        <v>195.72</v>
      </c>
      <c r="AB1393" t="s">
        <v>181</v>
      </c>
      <c r="AC1393" t="s">
        <v>182</v>
      </c>
      <c r="AD1393" t="s">
        <v>183</v>
      </c>
      <c r="AE1393">
        <v>1</v>
      </c>
      <c r="AF1393">
        <v>1</v>
      </c>
      <c r="AG1393" t="s">
        <v>2222</v>
      </c>
      <c r="AH1393">
        <v>50</v>
      </c>
      <c r="AI1393">
        <v>193.03</v>
      </c>
      <c r="AJ1393">
        <v>18.82</v>
      </c>
      <c r="AK1393">
        <v>211.85</v>
      </c>
      <c r="AL1393">
        <v>10000</v>
      </c>
      <c r="AM1393">
        <v>10000</v>
      </c>
      <c r="AN1393">
        <v>0</v>
      </c>
      <c r="AO1393">
        <v>154</v>
      </c>
      <c r="AP1393">
        <v>2016</v>
      </c>
      <c r="AQ1393">
        <v>1.96</v>
      </c>
      <c r="AR1393">
        <v>2.12</v>
      </c>
      <c r="AS1393" t="s">
        <v>18000</v>
      </c>
      <c r="AT1393" t="s">
        <v>3210</v>
      </c>
      <c r="AU1393" t="s">
        <v>177</v>
      </c>
      <c r="AV1393" t="s">
        <v>2334</v>
      </c>
      <c r="AW1393" t="s">
        <v>182</v>
      </c>
      <c r="AX1393">
        <v>0</v>
      </c>
      <c r="AY1393" t="s">
        <v>312</v>
      </c>
      <c r="AZ1393" t="s">
        <v>199</v>
      </c>
      <c r="BA1393" t="s">
        <v>313</v>
      </c>
      <c r="BB1393" t="s">
        <v>191</v>
      </c>
      <c r="BC1393" t="s">
        <v>182</v>
      </c>
      <c r="BD1393" t="s">
        <v>182</v>
      </c>
      <c r="BE1393" t="s">
        <v>3930</v>
      </c>
      <c r="BF1393">
        <v>0</v>
      </c>
      <c r="BG1393">
        <v>0</v>
      </c>
      <c r="BH1393">
        <v>0</v>
      </c>
      <c r="BI1393" t="s">
        <v>199</v>
      </c>
      <c r="BJ1393" t="s">
        <v>248</v>
      </c>
      <c r="BL1393" t="s">
        <v>8160</v>
      </c>
      <c r="BM1393" t="s">
        <v>325</v>
      </c>
      <c r="BN1393" t="s">
        <v>182</v>
      </c>
      <c r="BO1393" t="s">
        <v>17995</v>
      </c>
      <c r="BP1393" t="s">
        <v>18001</v>
      </c>
      <c r="BQ1393" t="s">
        <v>5460</v>
      </c>
      <c r="BR1393" t="s">
        <v>17997</v>
      </c>
      <c r="BS1393" t="s">
        <v>9123</v>
      </c>
      <c r="BT1393" t="s">
        <v>198</v>
      </c>
      <c r="BU1393" t="s">
        <v>182</v>
      </c>
      <c r="BV1393" t="s">
        <v>198</v>
      </c>
      <c r="BW1393" t="s">
        <v>198</v>
      </c>
      <c r="BX1393" t="s">
        <v>199</v>
      </c>
      <c r="BY1393" t="s">
        <v>198</v>
      </c>
      <c r="BZ1393" t="s">
        <v>199</v>
      </c>
      <c r="CA1393" t="s">
        <v>199</v>
      </c>
      <c r="CB1393" t="s">
        <v>17979</v>
      </c>
      <c r="CC1393" t="s">
        <v>201</v>
      </c>
      <c r="CD1393" t="s">
        <v>202</v>
      </c>
      <c r="CE1393" t="s">
        <v>17980</v>
      </c>
      <c r="CF1393" t="s">
        <v>2620</v>
      </c>
      <c r="CG1393" t="s">
        <v>177</v>
      </c>
      <c r="CH1393" t="s">
        <v>17981</v>
      </c>
      <c r="CI1393" t="s">
        <v>1364</v>
      </c>
      <c r="CJ1393" t="s">
        <v>8055</v>
      </c>
      <c r="CK1393" t="s">
        <v>232</v>
      </c>
      <c r="CL1393" t="s">
        <v>233</v>
      </c>
      <c r="CM1393" t="s">
        <v>13305</v>
      </c>
      <c r="CN1393" t="s">
        <v>341</v>
      </c>
      <c r="CO1393" t="s">
        <v>183</v>
      </c>
      <c r="CP1393" t="s">
        <v>266</v>
      </c>
      <c r="CS1393" t="s">
        <v>198</v>
      </c>
      <c r="CT1393" t="s">
        <v>11340</v>
      </c>
      <c r="CU1393" t="s">
        <v>267</v>
      </c>
      <c r="CV1393" t="s">
        <v>268</v>
      </c>
      <c r="CW1393" t="s">
        <v>1196</v>
      </c>
      <c r="CX1393" t="s">
        <v>1164</v>
      </c>
      <c r="CY1393" t="s">
        <v>183</v>
      </c>
      <c r="CZ1393" t="s">
        <v>211</v>
      </c>
      <c r="DA1393" t="s">
        <v>306</v>
      </c>
      <c r="DC1393" t="s">
        <v>3849</v>
      </c>
      <c r="DM1393" t="s">
        <v>198</v>
      </c>
      <c r="DW1393" t="s">
        <v>198</v>
      </c>
      <c r="EG1393" t="s">
        <v>198</v>
      </c>
      <c r="EQ1393" t="s">
        <v>198</v>
      </c>
      <c r="FA1393" t="s">
        <v>198</v>
      </c>
      <c r="FK1393" t="s">
        <v>198</v>
      </c>
      <c r="FU1393" t="s">
        <v>198</v>
      </c>
    </row>
    <row r="1394" spans="1:177">
      <c r="A1394" s="1" t="str">
        <f>HYPERLINK("http://digipan.lumentumllc.com/apps/getLink/index.php?t=PropLink&amp;p=5247532","PL")</f>
        <v>PL</v>
      </c>
      <c r="B1394" s="1" t="str">
        <f>HYPERLINK("http://digipan.lumentumllc.com/apps/getLink/index.php?t=TaxLink&amp;p=5247532","TL")</f>
        <v>TL</v>
      </c>
      <c r="C1394" s="1" t="str">
        <f>HYPERLINK("http://digipan.lumentumllc.com/apps/getMap/index.php?p=5247532","Map")</f>
        <v>Map</v>
      </c>
      <c r="E1394" t="s">
        <v>177</v>
      </c>
      <c r="F1394" t="s">
        <v>178</v>
      </c>
      <c r="L1394" t="s">
        <v>18002</v>
      </c>
      <c r="N1394" t="s">
        <v>18002</v>
      </c>
      <c r="O1394" t="s">
        <v>18002</v>
      </c>
      <c r="P1394" t="s">
        <v>18003</v>
      </c>
      <c r="Q1394" t="s">
        <v>18002</v>
      </c>
      <c r="V1394">
        <v>1597</v>
      </c>
      <c r="W1394">
        <v>5</v>
      </c>
      <c r="X1394">
        <v>2017</v>
      </c>
      <c r="Y1394">
        <v>2018</v>
      </c>
      <c r="Z1394">
        <v>727.03</v>
      </c>
      <c r="AB1394" t="s">
        <v>181</v>
      </c>
      <c r="AC1394" t="s">
        <v>182</v>
      </c>
      <c r="AD1394" t="s">
        <v>183</v>
      </c>
      <c r="AE1394">
        <v>0</v>
      </c>
      <c r="AF1394">
        <v>5</v>
      </c>
      <c r="AG1394" t="s">
        <v>744</v>
      </c>
      <c r="AH1394">
        <v>100</v>
      </c>
      <c r="AK1394">
        <v>0</v>
      </c>
      <c r="AL1394">
        <v>42450</v>
      </c>
      <c r="AM1394">
        <v>42450</v>
      </c>
      <c r="AN1394">
        <v>0</v>
      </c>
      <c r="AO1394">
        <v>652</v>
      </c>
      <c r="AP1394">
        <v>2016</v>
      </c>
      <c r="AQ1394">
        <v>1.71</v>
      </c>
      <c r="AS1394" t="s">
        <v>18004</v>
      </c>
      <c r="AT1394" t="s">
        <v>3210</v>
      </c>
      <c r="AU1394" t="s">
        <v>177</v>
      </c>
      <c r="AV1394" t="s">
        <v>2334</v>
      </c>
      <c r="AW1394" t="s">
        <v>182</v>
      </c>
      <c r="AX1394">
        <v>0</v>
      </c>
      <c r="AY1394" t="s">
        <v>312</v>
      </c>
      <c r="AZ1394" t="s">
        <v>199</v>
      </c>
      <c r="BA1394" t="s">
        <v>313</v>
      </c>
      <c r="BB1394" t="s">
        <v>191</v>
      </c>
      <c r="BC1394" t="s">
        <v>182</v>
      </c>
      <c r="BD1394" t="s">
        <v>182</v>
      </c>
      <c r="BE1394" t="s">
        <v>18005</v>
      </c>
      <c r="BF1394">
        <v>0</v>
      </c>
      <c r="BG1394">
        <v>0</v>
      </c>
      <c r="BH1394">
        <v>0</v>
      </c>
      <c r="BI1394" t="s">
        <v>199</v>
      </c>
      <c r="BJ1394" t="s">
        <v>315</v>
      </c>
      <c r="BL1394" t="s">
        <v>199</v>
      </c>
      <c r="BM1394" t="s">
        <v>267</v>
      </c>
      <c r="BN1394" t="s">
        <v>182</v>
      </c>
      <c r="BO1394" t="s">
        <v>198</v>
      </c>
      <c r="BP1394" t="s">
        <v>198</v>
      </c>
      <c r="BQ1394" t="s">
        <v>198</v>
      </c>
      <c r="BR1394" t="s">
        <v>198</v>
      </c>
      <c r="BS1394" t="s">
        <v>198</v>
      </c>
      <c r="BT1394" t="s">
        <v>198</v>
      </c>
      <c r="BU1394" t="s">
        <v>182</v>
      </c>
      <c r="BV1394" t="s">
        <v>198</v>
      </c>
      <c r="BW1394" t="s">
        <v>198</v>
      </c>
      <c r="BX1394" t="s">
        <v>199</v>
      </c>
      <c r="BY1394" t="s">
        <v>198</v>
      </c>
      <c r="BZ1394" t="s">
        <v>199</v>
      </c>
      <c r="CA1394" t="s">
        <v>199</v>
      </c>
      <c r="CB1394" t="s">
        <v>18006</v>
      </c>
      <c r="CC1394" t="s">
        <v>201</v>
      </c>
      <c r="CD1394" t="s">
        <v>182</v>
      </c>
      <c r="CE1394" t="s">
        <v>18007</v>
      </c>
      <c r="CF1394" t="s">
        <v>413</v>
      </c>
      <c r="CG1394" t="s">
        <v>177</v>
      </c>
      <c r="CH1394" t="s">
        <v>13246</v>
      </c>
      <c r="CI1394" t="s">
        <v>18008</v>
      </c>
      <c r="CJ1394" t="s">
        <v>4711</v>
      </c>
      <c r="CK1394" t="s">
        <v>273</v>
      </c>
      <c r="CL1394" t="s">
        <v>274</v>
      </c>
      <c r="CM1394" t="s">
        <v>18009</v>
      </c>
      <c r="CN1394" t="s">
        <v>796</v>
      </c>
      <c r="CO1394" t="s">
        <v>183</v>
      </c>
      <c r="CP1394" t="s">
        <v>211</v>
      </c>
      <c r="CQ1394" t="s">
        <v>189</v>
      </c>
      <c r="CS1394" t="s">
        <v>15468</v>
      </c>
      <c r="CT1394" t="s">
        <v>3285</v>
      </c>
      <c r="CU1394" t="s">
        <v>302</v>
      </c>
      <c r="CV1394" t="s">
        <v>303</v>
      </c>
      <c r="CW1394" t="s">
        <v>18010</v>
      </c>
      <c r="CX1394" t="s">
        <v>3342</v>
      </c>
      <c r="CY1394" t="s">
        <v>183</v>
      </c>
      <c r="CZ1394" t="s">
        <v>211</v>
      </c>
      <c r="DA1394" t="s">
        <v>460</v>
      </c>
      <c r="DC1394" t="s">
        <v>15468</v>
      </c>
      <c r="DD1394" t="s">
        <v>8984</v>
      </c>
      <c r="DE1394" t="s">
        <v>238</v>
      </c>
      <c r="DF1394" t="s">
        <v>239</v>
      </c>
      <c r="DG1394" t="s">
        <v>18011</v>
      </c>
      <c r="DH1394" t="s">
        <v>278</v>
      </c>
      <c r="DI1394" t="s">
        <v>183</v>
      </c>
      <c r="DJ1394" t="s">
        <v>211</v>
      </c>
      <c r="DK1394" t="s">
        <v>298</v>
      </c>
      <c r="DM1394" t="s">
        <v>3501</v>
      </c>
      <c r="DN1394" t="s">
        <v>18012</v>
      </c>
      <c r="DO1394" t="s">
        <v>346</v>
      </c>
      <c r="DP1394" t="s">
        <v>347</v>
      </c>
      <c r="DQ1394" t="s">
        <v>18013</v>
      </c>
      <c r="DR1394" t="s">
        <v>278</v>
      </c>
      <c r="DS1394" t="s">
        <v>183</v>
      </c>
      <c r="DT1394" t="s">
        <v>211</v>
      </c>
      <c r="DU1394" t="s">
        <v>525</v>
      </c>
      <c r="DW1394" t="s">
        <v>3501</v>
      </c>
      <c r="DX1394" t="s">
        <v>18014</v>
      </c>
      <c r="DY1394" t="s">
        <v>207</v>
      </c>
      <c r="DZ1394" t="s">
        <v>208</v>
      </c>
      <c r="EA1394" t="s">
        <v>18015</v>
      </c>
      <c r="EB1394" t="s">
        <v>1966</v>
      </c>
      <c r="EC1394" t="s">
        <v>183</v>
      </c>
      <c r="ED1394" t="s">
        <v>211</v>
      </c>
      <c r="EE1394" t="s">
        <v>298</v>
      </c>
      <c r="EG1394" t="s">
        <v>1324</v>
      </c>
      <c r="EQ1394" t="s">
        <v>198</v>
      </c>
      <c r="FA1394" t="s">
        <v>198</v>
      </c>
      <c r="FK1394" t="s">
        <v>198</v>
      </c>
      <c r="FU1394" t="s">
        <v>198</v>
      </c>
    </row>
    <row r="1395" spans="1:177">
      <c r="A1395" s="1" t="str">
        <f>HYPERLINK("http://digipan.lumentumllc.com/apps/getLink/index.php?t=PropLink&amp;p=4638320","PL")</f>
        <v>PL</v>
      </c>
      <c r="B1395" s="1" t="str">
        <f>HYPERLINK("http://digipan.lumentumllc.com/apps/getLink/index.php?t=TaxLink&amp;p=4638320","TL")</f>
        <v>TL</v>
      </c>
      <c r="C1395" s="1" t="str">
        <f>HYPERLINK("http://digipan.lumentumllc.com/apps/getMap/index.php?p=4638320","Map")</f>
        <v>Map</v>
      </c>
      <c r="E1395" t="s">
        <v>177</v>
      </c>
      <c r="F1395" t="s">
        <v>178</v>
      </c>
      <c r="L1395" t="s">
        <v>18016</v>
      </c>
      <c r="N1395" t="s">
        <v>18016</v>
      </c>
      <c r="O1395" t="s">
        <v>18016</v>
      </c>
      <c r="P1395" t="s">
        <v>18017</v>
      </c>
      <c r="Q1395" t="s">
        <v>18016</v>
      </c>
      <c r="V1395">
        <v>1598</v>
      </c>
      <c r="W1395">
        <v>5</v>
      </c>
      <c r="X1395">
        <v>2017</v>
      </c>
      <c r="Y1395">
        <v>2018</v>
      </c>
      <c r="Z1395">
        <v>1236.5</v>
      </c>
      <c r="AB1395" t="s">
        <v>181</v>
      </c>
      <c r="AC1395" t="s">
        <v>182</v>
      </c>
      <c r="AD1395" t="s">
        <v>183</v>
      </c>
      <c r="AE1395">
        <v>1</v>
      </c>
      <c r="AF1395">
        <v>3</v>
      </c>
      <c r="AG1395" t="s">
        <v>257</v>
      </c>
      <c r="AH1395">
        <v>75</v>
      </c>
      <c r="AI1395">
        <v>1083.42</v>
      </c>
      <c r="AJ1395">
        <v>54.17</v>
      </c>
      <c r="AK1395">
        <v>1137.5899999999999</v>
      </c>
      <c r="AL1395">
        <v>78424</v>
      </c>
      <c r="AM1395">
        <v>31875</v>
      </c>
      <c r="AN1395">
        <v>46549</v>
      </c>
      <c r="AO1395">
        <v>977</v>
      </c>
      <c r="AP1395">
        <v>2016</v>
      </c>
      <c r="AQ1395">
        <v>1.58</v>
      </c>
      <c r="AR1395">
        <v>1.45</v>
      </c>
      <c r="AS1395" t="s">
        <v>18018</v>
      </c>
      <c r="AT1395" t="s">
        <v>3210</v>
      </c>
      <c r="AU1395" t="s">
        <v>177</v>
      </c>
      <c r="AV1395" t="s">
        <v>2334</v>
      </c>
      <c r="AW1395" t="s">
        <v>182</v>
      </c>
      <c r="AX1395">
        <v>2</v>
      </c>
      <c r="AY1395" t="s">
        <v>188</v>
      </c>
      <c r="AZ1395" t="s">
        <v>189</v>
      </c>
      <c r="BA1395" t="s">
        <v>190</v>
      </c>
      <c r="BB1395" t="s">
        <v>191</v>
      </c>
      <c r="BC1395" t="s">
        <v>182</v>
      </c>
      <c r="BD1395" t="s">
        <v>182</v>
      </c>
      <c r="BE1395" t="s">
        <v>2589</v>
      </c>
      <c r="BF1395">
        <v>1</v>
      </c>
      <c r="BG1395">
        <v>1</v>
      </c>
      <c r="BH1395">
        <v>1994</v>
      </c>
      <c r="BI1395" t="s">
        <v>4554</v>
      </c>
      <c r="BJ1395" t="s">
        <v>194</v>
      </c>
      <c r="BK1395" t="s">
        <v>195</v>
      </c>
      <c r="BL1395" t="s">
        <v>2801</v>
      </c>
      <c r="BM1395" t="s">
        <v>410</v>
      </c>
      <c r="BN1395" t="s">
        <v>182</v>
      </c>
      <c r="BO1395" t="s">
        <v>8618</v>
      </c>
      <c r="BP1395" t="s">
        <v>9962</v>
      </c>
      <c r="BQ1395" t="s">
        <v>581</v>
      </c>
      <c r="BR1395" t="s">
        <v>563</v>
      </c>
      <c r="BS1395" t="s">
        <v>198</v>
      </c>
      <c r="BT1395" t="s">
        <v>228</v>
      </c>
      <c r="BU1395" t="s">
        <v>182</v>
      </c>
      <c r="BV1395" t="s">
        <v>198</v>
      </c>
      <c r="BW1395" t="s">
        <v>198</v>
      </c>
      <c r="BX1395" t="s">
        <v>199</v>
      </c>
      <c r="BY1395" t="s">
        <v>198</v>
      </c>
      <c r="BZ1395" t="s">
        <v>199</v>
      </c>
      <c r="CA1395" t="s">
        <v>199</v>
      </c>
      <c r="CB1395" t="s">
        <v>18019</v>
      </c>
      <c r="CC1395" t="s">
        <v>201</v>
      </c>
      <c r="CD1395" t="s">
        <v>202</v>
      </c>
      <c r="CE1395" t="s">
        <v>18020</v>
      </c>
      <c r="CF1395" t="s">
        <v>413</v>
      </c>
      <c r="CG1395" t="s">
        <v>177</v>
      </c>
      <c r="CH1395" t="s">
        <v>1044</v>
      </c>
      <c r="CI1395" t="s">
        <v>18008</v>
      </c>
      <c r="CJ1395" t="s">
        <v>13715</v>
      </c>
      <c r="CK1395" t="s">
        <v>232</v>
      </c>
      <c r="CL1395" t="s">
        <v>233</v>
      </c>
      <c r="CM1395" t="s">
        <v>18021</v>
      </c>
      <c r="CN1395" t="s">
        <v>235</v>
      </c>
      <c r="CO1395" t="s">
        <v>183</v>
      </c>
      <c r="CP1395" t="s">
        <v>266</v>
      </c>
      <c r="CS1395" t="s">
        <v>198</v>
      </c>
      <c r="CT1395" t="s">
        <v>13481</v>
      </c>
      <c r="CU1395" t="s">
        <v>292</v>
      </c>
      <c r="CV1395" t="s">
        <v>293</v>
      </c>
      <c r="CW1395" t="s">
        <v>18022</v>
      </c>
      <c r="CX1395" t="s">
        <v>235</v>
      </c>
      <c r="CY1395" t="s">
        <v>183</v>
      </c>
      <c r="CZ1395" t="s">
        <v>211</v>
      </c>
      <c r="DA1395" t="s">
        <v>298</v>
      </c>
      <c r="DC1395" t="s">
        <v>430</v>
      </c>
      <c r="DD1395" t="s">
        <v>6846</v>
      </c>
      <c r="DE1395" t="s">
        <v>267</v>
      </c>
      <c r="DF1395" t="s">
        <v>268</v>
      </c>
      <c r="DG1395" t="s">
        <v>18023</v>
      </c>
      <c r="DH1395" t="s">
        <v>235</v>
      </c>
      <c r="DI1395" t="s">
        <v>183</v>
      </c>
      <c r="DJ1395" t="s">
        <v>211</v>
      </c>
      <c r="DK1395" t="s">
        <v>298</v>
      </c>
      <c r="DM1395" t="s">
        <v>2179</v>
      </c>
      <c r="DN1395" t="s">
        <v>669</v>
      </c>
      <c r="DO1395" t="s">
        <v>273</v>
      </c>
      <c r="DP1395" t="s">
        <v>274</v>
      </c>
      <c r="DQ1395" t="s">
        <v>18024</v>
      </c>
      <c r="DR1395" t="s">
        <v>235</v>
      </c>
      <c r="DS1395" t="s">
        <v>183</v>
      </c>
      <c r="DT1395" t="s">
        <v>211</v>
      </c>
      <c r="DU1395" t="s">
        <v>298</v>
      </c>
      <c r="DW1395" t="s">
        <v>5484</v>
      </c>
      <c r="EG1395" t="s">
        <v>198</v>
      </c>
      <c r="EQ1395" t="s">
        <v>198</v>
      </c>
      <c r="FA1395" t="s">
        <v>198</v>
      </c>
      <c r="FK1395" t="s">
        <v>198</v>
      </c>
      <c r="FU1395" t="s">
        <v>198</v>
      </c>
    </row>
    <row r="1396" spans="1:177">
      <c r="A1396" s="1" t="str">
        <f>HYPERLINK("http://digipan.lumentumllc.com/apps/getLink/index.php?t=PropLink&amp;p=6129444","PL")</f>
        <v>PL</v>
      </c>
      <c r="B1396" s="1" t="str">
        <f>HYPERLINK("http://digipan.lumentumllc.com/apps/getLink/index.php?t=TaxLink&amp;p=6129444","TL")</f>
        <v>TL</v>
      </c>
      <c r="C1396" s="1" t="str">
        <f>HYPERLINK("http://digipan.lumentumllc.com/apps/getMap/index.php?p=6129444","Map")</f>
        <v>Map</v>
      </c>
      <c r="E1396" t="s">
        <v>177</v>
      </c>
      <c r="F1396" t="s">
        <v>178</v>
      </c>
      <c r="L1396" t="s">
        <v>18025</v>
      </c>
      <c r="N1396" t="s">
        <v>18025</v>
      </c>
      <c r="O1396" t="s">
        <v>18025</v>
      </c>
      <c r="P1396" t="s">
        <v>18026</v>
      </c>
      <c r="Q1396" t="s">
        <v>18025</v>
      </c>
      <c r="V1396">
        <v>1599</v>
      </c>
      <c r="W1396">
        <v>5</v>
      </c>
      <c r="X1396">
        <v>2017</v>
      </c>
      <c r="Y1396">
        <v>2018</v>
      </c>
      <c r="Z1396">
        <v>494.27</v>
      </c>
      <c r="AB1396" t="s">
        <v>181</v>
      </c>
      <c r="AC1396" t="s">
        <v>182</v>
      </c>
      <c r="AD1396" t="s">
        <v>183</v>
      </c>
      <c r="AE1396">
        <v>1</v>
      </c>
      <c r="AF1396">
        <v>2</v>
      </c>
      <c r="AG1396" t="s">
        <v>363</v>
      </c>
      <c r="AH1396">
        <v>67</v>
      </c>
      <c r="AI1396">
        <v>487.91</v>
      </c>
      <c r="AJ1396">
        <v>24.4</v>
      </c>
      <c r="AK1396">
        <v>512.30999999999995</v>
      </c>
      <c r="AL1396">
        <v>66635</v>
      </c>
      <c r="AM1396">
        <v>38000</v>
      </c>
      <c r="AN1396">
        <v>28635</v>
      </c>
      <c r="AO1396">
        <v>426</v>
      </c>
      <c r="AP1396">
        <v>2016</v>
      </c>
      <c r="AQ1396">
        <v>0.74</v>
      </c>
      <c r="AR1396">
        <v>0.77</v>
      </c>
      <c r="AS1396" t="s">
        <v>18027</v>
      </c>
      <c r="AT1396" t="s">
        <v>3210</v>
      </c>
      <c r="AU1396" t="s">
        <v>177</v>
      </c>
      <c r="AV1396" t="s">
        <v>2334</v>
      </c>
      <c r="AW1396" t="s">
        <v>202</v>
      </c>
      <c r="AX1396">
        <v>2</v>
      </c>
      <c r="AY1396" t="s">
        <v>188</v>
      </c>
      <c r="AZ1396" t="s">
        <v>189</v>
      </c>
      <c r="BA1396" t="s">
        <v>190</v>
      </c>
      <c r="BB1396" t="s">
        <v>191</v>
      </c>
      <c r="BC1396" t="s">
        <v>182</v>
      </c>
      <c r="BD1396" t="s">
        <v>182</v>
      </c>
      <c r="BE1396" t="s">
        <v>5212</v>
      </c>
      <c r="BF1396">
        <v>1</v>
      </c>
      <c r="BG1396">
        <v>1</v>
      </c>
      <c r="BH1396">
        <v>1999</v>
      </c>
      <c r="BI1396" t="s">
        <v>10774</v>
      </c>
      <c r="BJ1396" t="s">
        <v>194</v>
      </c>
      <c r="BK1396" t="s">
        <v>195</v>
      </c>
      <c r="BL1396" t="s">
        <v>199</v>
      </c>
      <c r="BM1396" t="s">
        <v>1311</v>
      </c>
      <c r="BN1396" t="s">
        <v>182</v>
      </c>
      <c r="BO1396" t="s">
        <v>198</v>
      </c>
      <c r="BP1396" t="s">
        <v>198</v>
      </c>
      <c r="BQ1396" t="s">
        <v>198</v>
      </c>
      <c r="BR1396" t="s">
        <v>198</v>
      </c>
      <c r="BS1396" t="s">
        <v>198</v>
      </c>
      <c r="BT1396" t="s">
        <v>198</v>
      </c>
      <c r="BU1396" t="s">
        <v>182</v>
      </c>
      <c r="BV1396" t="s">
        <v>198</v>
      </c>
      <c r="BW1396" t="s">
        <v>198</v>
      </c>
      <c r="BX1396" t="s">
        <v>199</v>
      </c>
      <c r="BY1396" t="s">
        <v>198</v>
      </c>
      <c r="BZ1396" t="s">
        <v>199</v>
      </c>
      <c r="CA1396" t="s">
        <v>199</v>
      </c>
      <c r="CB1396" t="s">
        <v>18028</v>
      </c>
      <c r="CC1396" t="s">
        <v>201</v>
      </c>
      <c r="CD1396" t="s">
        <v>202</v>
      </c>
      <c r="CE1396" t="s">
        <v>18027</v>
      </c>
      <c r="CF1396" t="s">
        <v>2333</v>
      </c>
      <c r="CG1396" t="s">
        <v>177</v>
      </c>
      <c r="CH1396" t="s">
        <v>2334</v>
      </c>
      <c r="CI1396" t="s">
        <v>4045</v>
      </c>
      <c r="CJ1396" t="s">
        <v>16063</v>
      </c>
      <c r="CK1396" t="s">
        <v>232</v>
      </c>
      <c r="CL1396" t="s">
        <v>233</v>
      </c>
      <c r="CM1396" t="s">
        <v>18029</v>
      </c>
      <c r="CN1396" t="s">
        <v>235</v>
      </c>
      <c r="CO1396" t="s">
        <v>183</v>
      </c>
      <c r="CP1396" t="s">
        <v>266</v>
      </c>
      <c r="CS1396" t="s">
        <v>198</v>
      </c>
      <c r="CT1396" t="s">
        <v>13499</v>
      </c>
      <c r="CU1396" t="s">
        <v>292</v>
      </c>
      <c r="CV1396" t="s">
        <v>293</v>
      </c>
      <c r="CW1396" t="s">
        <v>18030</v>
      </c>
      <c r="CX1396" t="s">
        <v>235</v>
      </c>
      <c r="CY1396" t="s">
        <v>183</v>
      </c>
      <c r="CZ1396" t="s">
        <v>211</v>
      </c>
      <c r="DA1396" t="s">
        <v>460</v>
      </c>
      <c r="DC1396" t="s">
        <v>18031</v>
      </c>
      <c r="DD1396" t="s">
        <v>18032</v>
      </c>
      <c r="DE1396" t="s">
        <v>238</v>
      </c>
      <c r="DF1396" t="s">
        <v>239</v>
      </c>
      <c r="DG1396" t="s">
        <v>18033</v>
      </c>
      <c r="DH1396" t="s">
        <v>278</v>
      </c>
      <c r="DI1396" t="s">
        <v>183</v>
      </c>
      <c r="DJ1396" t="s">
        <v>211</v>
      </c>
      <c r="DK1396" t="s">
        <v>199</v>
      </c>
      <c r="DM1396" t="s">
        <v>2922</v>
      </c>
      <c r="DW1396" t="s">
        <v>198</v>
      </c>
      <c r="EG1396" t="s">
        <v>198</v>
      </c>
      <c r="EQ1396" t="s">
        <v>198</v>
      </c>
      <c r="FA1396" t="s">
        <v>198</v>
      </c>
      <c r="FK1396" t="s">
        <v>198</v>
      </c>
      <c r="FU1396" t="s">
        <v>198</v>
      </c>
    </row>
    <row r="1397" spans="1:177">
      <c r="A1397" s="1" t="str">
        <f>HYPERLINK("http://digipan.lumentumllc.com/apps/getLink/index.php?t=PropLink&amp;p=5247589","PL")</f>
        <v>PL</v>
      </c>
      <c r="B1397" s="1" t="str">
        <f>HYPERLINK("http://digipan.lumentumllc.com/apps/getLink/index.php?t=TaxLink&amp;p=5247589","TL")</f>
        <v>TL</v>
      </c>
      <c r="C1397" s="1" t="str">
        <f>HYPERLINK("http://digipan.lumentumllc.com/apps/getMap/index.php?p=5247589","Map")</f>
        <v>Map</v>
      </c>
      <c r="E1397" t="s">
        <v>177</v>
      </c>
      <c r="F1397" t="s">
        <v>178</v>
      </c>
      <c r="L1397" t="s">
        <v>18034</v>
      </c>
      <c r="N1397" t="s">
        <v>18034</v>
      </c>
      <c r="O1397" t="s">
        <v>18034</v>
      </c>
      <c r="P1397" t="s">
        <v>18035</v>
      </c>
      <c r="Q1397" t="s">
        <v>18034</v>
      </c>
      <c r="V1397">
        <v>1600</v>
      </c>
      <c r="W1397">
        <v>5</v>
      </c>
      <c r="X1397">
        <v>2017</v>
      </c>
      <c r="Y1397">
        <v>2018</v>
      </c>
      <c r="Z1397">
        <v>517.66999999999996</v>
      </c>
      <c r="AB1397" t="s">
        <v>181</v>
      </c>
      <c r="AC1397" t="s">
        <v>182</v>
      </c>
      <c r="AD1397" t="s">
        <v>183</v>
      </c>
      <c r="AE1397">
        <v>1</v>
      </c>
      <c r="AF1397">
        <v>7</v>
      </c>
      <c r="AG1397" t="s">
        <v>418</v>
      </c>
      <c r="AH1397">
        <v>86</v>
      </c>
      <c r="AI1397">
        <v>511.49</v>
      </c>
      <c r="AJ1397">
        <v>25.57</v>
      </c>
      <c r="AK1397">
        <v>537.05999999999995</v>
      </c>
      <c r="AL1397">
        <v>70973</v>
      </c>
      <c r="AM1397">
        <v>38000</v>
      </c>
      <c r="AN1397">
        <v>32973</v>
      </c>
      <c r="AO1397">
        <v>448</v>
      </c>
      <c r="AP1397">
        <v>2016</v>
      </c>
      <c r="AQ1397">
        <v>0.73</v>
      </c>
      <c r="AR1397">
        <v>0.76</v>
      </c>
      <c r="AS1397" t="s">
        <v>18036</v>
      </c>
      <c r="AT1397" t="s">
        <v>3210</v>
      </c>
      <c r="AU1397" t="s">
        <v>177</v>
      </c>
      <c r="AV1397" t="s">
        <v>2334</v>
      </c>
      <c r="AW1397" t="s">
        <v>202</v>
      </c>
      <c r="AX1397">
        <v>2</v>
      </c>
      <c r="AY1397" t="s">
        <v>188</v>
      </c>
      <c r="AZ1397" t="s">
        <v>189</v>
      </c>
      <c r="BA1397" t="s">
        <v>190</v>
      </c>
      <c r="BB1397" t="s">
        <v>191</v>
      </c>
      <c r="BC1397" t="s">
        <v>182</v>
      </c>
      <c r="BD1397" t="s">
        <v>182</v>
      </c>
      <c r="BE1397" t="s">
        <v>5212</v>
      </c>
      <c r="BF1397">
        <v>1</v>
      </c>
      <c r="BG1397">
        <v>1</v>
      </c>
      <c r="BH1397">
        <v>1993</v>
      </c>
      <c r="BI1397" t="s">
        <v>839</v>
      </c>
      <c r="BJ1397" t="s">
        <v>194</v>
      </c>
      <c r="BK1397" t="s">
        <v>195</v>
      </c>
      <c r="BL1397" t="s">
        <v>199</v>
      </c>
      <c r="BM1397" t="s">
        <v>1387</v>
      </c>
      <c r="BN1397" t="s">
        <v>182</v>
      </c>
      <c r="BO1397" t="s">
        <v>198</v>
      </c>
      <c r="BP1397" t="s">
        <v>198</v>
      </c>
      <c r="BQ1397" t="s">
        <v>198</v>
      </c>
      <c r="BR1397" t="s">
        <v>198</v>
      </c>
      <c r="BS1397" t="s">
        <v>198</v>
      </c>
      <c r="BT1397" t="s">
        <v>198</v>
      </c>
      <c r="BU1397" t="s">
        <v>182</v>
      </c>
      <c r="BV1397" t="s">
        <v>198</v>
      </c>
      <c r="BW1397" t="s">
        <v>198</v>
      </c>
      <c r="BX1397" t="s">
        <v>199</v>
      </c>
      <c r="BY1397" t="s">
        <v>198</v>
      </c>
      <c r="BZ1397" t="s">
        <v>199</v>
      </c>
      <c r="CA1397" t="s">
        <v>199</v>
      </c>
      <c r="CB1397" t="s">
        <v>18037</v>
      </c>
      <c r="CC1397" t="s">
        <v>201</v>
      </c>
      <c r="CD1397" t="s">
        <v>182</v>
      </c>
      <c r="CE1397" t="s">
        <v>18038</v>
      </c>
      <c r="CF1397" t="s">
        <v>2333</v>
      </c>
      <c r="CG1397" t="s">
        <v>177</v>
      </c>
      <c r="CH1397" t="s">
        <v>2334</v>
      </c>
      <c r="CI1397" t="s">
        <v>18039</v>
      </c>
      <c r="CJ1397" t="s">
        <v>3333</v>
      </c>
      <c r="CK1397" t="s">
        <v>232</v>
      </c>
      <c r="CL1397" t="s">
        <v>233</v>
      </c>
      <c r="CM1397" t="s">
        <v>18040</v>
      </c>
      <c r="CN1397" t="s">
        <v>235</v>
      </c>
      <c r="CO1397" t="s">
        <v>183</v>
      </c>
      <c r="CP1397" t="s">
        <v>266</v>
      </c>
      <c r="CS1397" t="s">
        <v>198</v>
      </c>
      <c r="CT1397" t="s">
        <v>13514</v>
      </c>
      <c r="CU1397" t="s">
        <v>292</v>
      </c>
      <c r="CV1397" t="s">
        <v>293</v>
      </c>
      <c r="CW1397" t="s">
        <v>18041</v>
      </c>
      <c r="CX1397" t="s">
        <v>235</v>
      </c>
      <c r="CY1397" t="s">
        <v>183</v>
      </c>
      <c r="CZ1397" t="s">
        <v>211</v>
      </c>
      <c r="DA1397" t="s">
        <v>298</v>
      </c>
      <c r="DC1397" t="s">
        <v>8700</v>
      </c>
      <c r="DD1397" t="s">
        <v>14254</v>
      </c>
      <c r="DE1397" t="s">
        <v>267</v>
      </c>
      <c r="DF1397" t="s">
        <v>268</v>
      </c>
      <c r="DG1397" t="s">
        <v>18042</v>
      </c>
      <c r="DH1397" t="s">
        <v>235</v>
      </c>
      <c r="DI1397" t="s">
        <v>183</v>
      </c>
      <c r="DJ1397" t="s">
        <v>211</v>
      </c>
      <c r="DK1397" t="s">
        <v>298</v>
      </c>
      <c r="DM1397" t="s">
        <v>13155</v>
      </c>
      <c r="DN1397" t="s">
        <v>16754</v>
      </c>
      <c r="DO1397" t="s">
        <v>273</v>
      </c>
      <c r="DP1397" t="s">
        <v>274</v>
      </c>
      <c r="DQ1397" t="s">
        <v>17879</v>
      </c>
      <c r="DR1397" t="s">
        <v>235</v>
      </c>
      <c r="DS1397" t="s">
        <v>183</v>
      </c>
      <c r="DT1397" t="s">
        <v>211</v>
      </c>
      <c r="DU1397" t="s">
        <v>298</v>
      </c>
      <c r="DW1397" t="s">
        <v>434</v>
      </c>
      <c r="DX1397" t="s">
        <v>1215</v>
      </c>
      <c r="DY1397" t="s">
        <v>302</v>
      </c>
      <c r="DZ1397" t="s">
        <v>303</v>
      </c>
      <c r="EA1397" t="s">
        <v>18043</v>
      </c>
      <c r="EB1397" t="s">
        <v>235</v>
      </c>
      <c r="EC1397" t="s">
        <v>183</v>
      </c>
      <c r="ED1397" t="s">
        <v>211</v>
      </c>
      <c r="EE1397" t="s">
        <v>298</v>
      </c>
      <c r="EG1397" t="s">
        <v>12970</v>
      </c>
      <c r="EH1397" t="s">
        <v>18044</v>
      </c>
      <c r="EI1397" t="s">
        <v>238</v>
      </c>
      <c r="EJ1397" t="s">
        <v>239</v>
      </c>
      <c r="EK1397" t="s">
        <v>18045</v>
      </c>
      <c r="EL1397" t="s">
        <v>278</v>
      </c>
      <c r="EM1397" t="s">
        <v>183</v>
      </c>
      <c r="EN1397" t="s">
        <v>211</v>
      </c>
      <c r="EO1397" t="s">
        <v>298</v>
      </c>
      <c r="EQ1397" t="s">
        <v>1794</v>
      </c>
      <c r="ER1397" t="s">
        <v>18046</v>
      </c>
      <c r="ES1397" t="s">
        <v>346</v>
      </c>
      <c r="ET1397" t="s">
        <v>347</v>
      </c>
      <c r="EU1397" t="s">
        <v>18047</v>
      </c>
      <c r="EV1397" t="s">
        <v>278</v>
      </c>
      <c r="EW1397" t="s">
        <v>183</v>
      </c>
      <c r="EX1397" t="s">
        <v>211</v>
      </c>
      <c r="EY1397" t="s">
        <v>298</v>
      </c>
      <c r="FA1397" t="s">
        <v>443</v>
      </c>
      <c r="FB1397" t="s">
        <v>18048</v>
      </c>
      <c r="FC1397" t="s">
        <v>207</v>
      </c>
      <c r="FD1397" t="s">
        <v>208</v>
      </c>
      <c r="FE1397" t="s">
        <v>18049</v>
      </c>
      <c r="FF1397" t="s">
        <v>1966</v>
      </c>
      <c r="FG1397" t="s">
        <v>183</v>
      </c>
      <c r="FH1397" t="s">
        <v>211</v>
      </c>
      <c r="FI1397" t="s">
        <v>298</v>
      </c>
      <c r="FK1397" t="s">
        <v>5101</v>
      </c>
      <c r="FU1397" t="s">
        <v>198</v>
      </c>
    </row>
    <row r="1398" spans="1:177">
      <c r="A1398" s="1" t="str">
        <f>HYPERLINK("http://digipan.lumentumllc.com/apps/getLink/index.php?t=PropLink&amp;p=5247591","PL")</f>
        <v>PL</v>
      </c>
      <c r="B1398" s="1" t="str">
        <f>HYPERLINK("http://digipan.lumentumllc.com/apps/getLink/index.php?t=TaxLink&amp;p=5247591","TL")</f>
        <v>TL</v>
      </c>
      <c r="C1398" s="1" t="str">
        <f>HYPERLINK("http://digipan.lumentumllc.com/apps/getMap/index.php?p=5247591","Map")</f>
        <v>Map</v>
      </c>
      <c r="E1398" t="s">
        <v>177</v>
      </c>
      <c r="F1398" t="s">
        <v>178</v>
      </c>
      <c r="L1398" t="s">
        <v>18050</v>
      </c>
      <c r="N1398" t="s">
        <v>18050</v>
      </c>
      <c r="O1398" t="s">
        <v>18050</v>
      </c>
      <c r="P1398" t="s">
        <v>18051</v>
      </c>
      <c r="Q1398" t="s">
        <v>18050</v>
      </c>
      <c r="V1398">
        <v>1602</v>
      </c>
      <c r="W1398">
        <v>5</v>
      </c>
      <c r="X1398">
        <v>2017</v>
      </c>
      <c r="Y1398">
        <v>2018</v>
      </c>
      <c r="Z1398">
        <v>1010.23</v>
      </c>
      <c r="AB1398" t="s">
        <v>181</v>
      </c>
      <c r="AC1398" t="s">
        <v>182</v>
      </c>
      <c r="AD1398" t="s">
        <v>183</v>
      </c>
      <c r="AE1398">
        <v>1</v>
      </c>
      <c r="AF1398">
        <v>7</v>
      </c>
      <c r="AG1398" t="s">
        <v>418</v>
      </c>
      <c r="AH1398">
        <v>86</v>
      </c>
      <c r="AI1398">
        <v>987.99</v>
      </c>
      <c r="AJ1398">
        <v>49.4</v>
      </c>
      <c r="AK1398">
        <v>1037.3900000000001</v>
      </c>
      <c r="AL1398">
        <v>103122</v>
      </c>
      <c r="AM1398">
        <v>25000</v>
      </c>
      <c r="AN1398">
        <v>78122</v>
      </c>
      <c r="AO1398">
        <v>889</v>
      </c>
      <c r="AP1398">
        <v>2016</v>
      </c>
      <c r="AQ1398">
        <v>0.98</v>
      </c>
      <c r="AR1398">
        <v>1.01</v>
      </c>
      <c r="AS1398" t="s">
        <v>18052</v>
      </c>
      <c r="AT1398" t="s">
        <v>3210</v>
      </c>
      <c r="AU1398" t="s">
        <v>177</v>
      </c>
      <c r="AV1398" t="s">
        <v>2334</v>
      </c>
      <c r="AW1398" t="s">
        <v>202</v>
      </c>
      <c r="AX1398">
        <v>1</v>
      </c>
      <c r="AY1398" t="s">
        <v>188</v>
      </c>
      <c r="AZ1398" t="s">
        <v>206</v>
      </c>
      <c r="BA1398" t="s">
        <v>355</v>
      </c>
      <c r="BB1398" t="s">
        <v>191</v>
      </c>
      <c r="BC1398" t="s">
        <v>182</v>
      </c>
      <c r="BD1398" t="s">
        <v>182</v>
      </c>
      <c r="BE1398" t="s">
        <v>18053</v>
      </c>
      <c r="BF1398">
        <v>1</v>
      </c>
      <c r="BG1398">
        <v>1</v>
      </c>
      <c r="BH1398">
        <v>1989</v>
      </c>
      <c r="BI1398" t="s">
        <v>1271</v>
      </c>
      <c r="BJ1398" t="s">
        <v>194</v>
      </c>
      <c r="BK1398" t="s">
        <v>195</v>
      </c>
      <c r="BL1398" t="s">
        <v>18054</v>
      </c>
      <c r="BM1398" t="s">
        <v>286</v>
      </c>
      <c r="BN1398" t="s">
        <v>182</v>
      </c>
      <c r="BO1398" t="s">
        <v>3184</v>
      </c>
      <c r="BP1398" t="s">
        <v>18055</v>
      </c>
      <c r="BS1398" t="s">
        <v>18056</v>
      </c>
      <c r="BT1398" t="s">
        <v>198</v>
      </c>
      <c r="BU1398" t="s">
        <v>182</v>
      </c>
      <c r="BV1398" t="s">
        <v>198</v>
      </c>
      <c r="BW1398" t="s">
        <v>198</v>
      </c>
      <c r="BX1398" t="s">
        <v>199</v>
      </c>
      <c r="BY1398" t="s">
        <v>198</v>
      </c>
      <c r="BZ1398" t="s">
        <v>199</v>
      </c>
      <c r="CA1398" t="s">
        <v>199</v>
      </c>
      <c r="CB1398" t="s">
        <v>18057</v>
      </c>
      <c r="CC1398" t="s">
        <v>201</v>
      </c>
      <c r="CD1398" t="s">
        <v>182</v>
      </c>
      <c r="CE1398" t="s">
        <v>18058</v>
      </c>
      <c r="CF1398" t="s">
        <v>2333</v>
      </c>
      <c r="CG1398" t="s">
        <v>177</v>
      </c>
      <c r="CH1398" t="s">
        <v>2334</v>
      </c>
      <c r="CI1398" t="s">
        <v>18059</v>
      </c>
      <c r="CJ1398" t="s">
        <v>547</v>
      </c>
      <c r="CK1398" t="s">
        <v>232</v>
      </c>
      <c r="CL1398" t="s">
        <v>233</v>
      </c>
      <c r="CM1398" t="s">
        <v>18060</v>
      </c>
      <c r="CN1398" t="s">
        <v>235</v>
      </c>
      <c r="CO1398" t="s">
        <v>183</v>
      </c>
      <c r="CP1398" t="s">
        <v>266</v>
      </c>
      <c r="CS1398" t="s">
        <v>198</v>
      </c>
      <c r="CT1398" t="s">
        <v>12799</v>
      </c>
      <c r="CU1398" t="s">
        <v>292</v>
      </c>
      <c r="CV1398" t="s">
        <v>293</v>
      </c>
      <c r="CW1398" t="s">
        <v>18061</v>
      </c>
      <c r="CX1398" t="s">
        <v>235</v>
      </c>
      <c r="CY1398" t="s">
        <v>183</v>
      </c>
      <c r="CZ1398" t="s">
        <v>211</v>
      </c>
      <c r="DA1398" t="s">
        <v>345</v>
      </c>
      <c r="DC1398" t="s">
        <v>18062</v>
      </c>
      <c r="DD1398" t="s">
        <v>13812</v>
      </c>
      <c r="DE1398" t="s">
        <v>267</v>
      </c>
      <c r="DF1398" t="s">
        <v>268</v>
      </c>
      <c r="DG1398" t="s">
        <v>18063</v>
      </c>
      <c r="DH1398" t="s">
        <v>235</v>
      </c>
      <c r="DI1398" t="s">
        <v>183</v>
      </c>
      <c r="DJ1398" t="s">
        <v>211</v>
      </c>
      <c r="DK1398" t="s">
        <v>298</v>
      </c>
      <c r="DM1398" t="s">
        <v>5919</v>
      </c>
      <c r="DN1398" t="s">
        <v>18064</v>
      </c>
      <c r="DO1398" t="s">
        <v>273</v>
      </c>
      <c r="DP1398" t="s">
        <v>274</v>
      </c>
      <c r="DQ1398" t="s">
        <v>18065</v>
      </c>
      <c r="DR1398" t="s">
        <v>235</v>
      </c>
      <c r="DS1398" t="s">
        <v>183</v>
      </c>
      <c r="DT1398" t="s">
        <v>211</v>
      </c>
      <c r="DU1398" t="s">
        <v>342</v>
      </c>
      <c r="DW1398" t="s">
        <v>16796</v>
      </c>
      <c r="DX1398" t="s">
        <v>18066</v>
      </c>
      <c r="DY1398" t="s">
        <v>302</v>
      </c>
      <c r="DZ1398" t="s">
        <v>303</v>
      </c>
      <c r="EA1398" t="s">
        <v>18067</v>
      </c>
      <c r="EB1398" t="s">
        <v>235</v>
      </c>
      <c r="EC1398" t="s">
        <v>183</v>
      </c>
      <c r="ED1398" t="s">
        <v>211</v>
      </c>
      <c r="EE1398" t="s">
        <v>471</v>
      </c>
      <c r="EG1398" t="s">
        <v>18068</v>
      </c>
      <c r="EH1398" t="s">
        <v>18069</v>
      </c>
      <c r="EI1398" t="s">
        <v>238</v>
      </c>
      <c r="EJ1398" t="s">
        <v>239</v>
      </c>
      <c r="EK1398" t="s">
        <v>18070</v>
      </c>
      <c r="EL1398" t="s">
        <v>235</v>
      </c>
      <c r="EM1398" t="s">
        <v>183</v>
      </c>
      <c r="EN1398" t="s">
        <v>211</v>
      </c>
      <c r="EO1398" t="s">
        <v>298</v>
      </c>
      <c r="EQ1398" t="s">
        <v>14910</v>
      </c>
      <c r="ER1398" t="s">
        <v>18071</v>
      </c>
      <c r="ES1398" t="s">
        <v>346</v>
      </c>
      <c r="ET1398" t="s">
        <v>347</v>
      </c>
      <c r="EU1398" t="s">
        <v>18072</v>
      </c>
      <c r="EV1398" t="s">
        <v>235</v>
      </c>
      <c r="EW1398" t="s">
        <v>183</v>
      </c>
      <c r="EX1398" t="s">
        <v>211</v>
      </c>
      <c r="EY1398" t="s">
        <v>298</v>
      </c>
      <c r="FA1398" t="s">
        <v>15863</v>
      </c>
      <c r="FB1398" t="s">
        <v>16598</v>
      </c>
      <c r="FC1398" t="s">
        <v>207</v>
      </c>
      <c r="FD1398" t="s">
        <v>208</v>
      </c>
      <c r="FE1398" t="s">
        <v>18073</v>
      </c>
      <c r="FF1398" t="s">
        <v>235</v>
      </c>
      <c r="FG1398" t="s">
        <v>183</v>
      </c>
      <c r="FH1398" t="s">
        <v>211</v>
      </c>
      <c r="FI1398" t="s">
        <v>199</v>
      </c>
      <c r="FK1398" t="s">
        <v>12917</v>
      </c>
      <c r="FU1398" t="s">
        <v>198</v>
      </c>
    </row>
    <row r="1399" spans="1:177">
      <c r="A1399" s="1" t="str">
        <f>HYPERLINK("http://digipan.lumentumllc.com/apps/getLink/index.php?t=PropLink&amp;p=6129459","PL")</f>
        <v>PL</v>
      </c>
      <c r="B1399" s="1" t="str">
        <f>HYPERLINK("http://digipan.lumentumllc.com/apps/getLink/index.php?t=TaxLink&amp;p=6129459","TL")</f>
        <v>TL</v>
      </c>
      <c r="C1399" s="1" t="str">
        <f>HYPERLINK("http://digipan.lumentumllc.com/apps/getMap/index.php?p=6129459","Map")</f>
        <v>Map</v>
      </c>
      <c r="E1399" t="s">
        <v>177</v>
      </c>
      <c r="F1399" t="s">
        <v>178</v>
      </c>
      <c r="L1399" t="s">
        <v>18074</v>
      </c>
      <c r="N1399" t="s">
        <v>18074</v>
      </c>
      <c r="O1399" t="s">
        <v>18074</v>
      </c>
      <c r="P1399" t="s">
        <v>18075</v>
      </c>
      <c r="Q1399" t="s">
        <v>18074</v>
      </c>
      <c r="V1399">
        <v>1604</v>
      </c>
      <c r="W1399">
        <v>5</v>
      </c>
      <c r="X1399">
        <v>2017</v>
      </c>
      <c r="Y1399">
        <v>2018</v>
      </c>
      <c r="Z1399">
        <v>1923.54</v>
      </c>
      <c r="AB1399" t="s">
        <v>181</v>
      </c>
      <c r="AC1399" t="s">
        <v>182</v>
      </c>
      <c r="AD1399" t="s">
        <v>183</v>
      </c>
      <c r="AE1399">
        <v>0</v>
      </c>
      <c r="AF1399">
        <v>4</v>
      </c>
      <c r="AG1399" t="s">
        <v>744</v>
      </c>
      <c r="AH1399">
        <v>100</v>
      </c>
      <c r="AK1399">
        <v>0</v>
      </c>
      <c r="AL1399">
        <v>115531</v>
      </c>
      <c r="AM1399">
        <v>113750</v>
      </c>
      <c r="AN1399">
        <v>1781</v>
      </c>
      <c r="AO1399">
        <v>1777</v>
      </c>
      <c r="AP1399">
        <v>2016</v>
      </c>
      <c r="AQ1399">
        <v>1.66</v>
      </c>
      <c r="AS1399" t="s">
        <v>18076</v>
      </c>
      <c r="AT1399" t="s">
        <v>3210</v>
      </c>
      <c r="AU1399" t="s">
        <v>177</v>
      </c>
      <c r="AV1399" t="s">
        <v>2334</v>
      </c>
      <c r="AW1399" t="s">
        <v>182</v>
      </c>
      <c r="AX1399">
        <v>0</v>
      </c>
      <c r="AY1399" t="s">
        <v>312</v>
      </c>
      <c r="AZ1399" t="s">
        <v>199</v>
      </c>
      <c r="BA1399" t="s">
        <v>313</v>
      </c>
      <c r="BB1399" t="s">
        <v>191</v>
      </c>
      <c r="BC1399" t="s">
        <v>182</v>
      </c>
      <c r="BD1399" t="s">
        <v>182</v>
      </c>
      <c r="BE1399" t="s">
        <v>391</v>
      </c>
      <c r="BF1399">
        <v>1</v>
      </c>
      <c r="BG1399">
        <v>0</v>
      </c>
      <c r="BH1399">
        <v>0</v>
      </c>
      <c r="BI1399" t="s">
        <v>199</v>
      </c>
      <c r="BJ1399" t="s">
        <v>248</v>
      </c>
      <c r="BL1399" t="s">
        <v>18077</v>
      </c>
      <c r="BM1399" t="s">
        <v>1041</v>
      </c>
      <c r="BN1399" t="s">
        <v>182</v>
      </c>
      <c r="BO1399" t="s">
        <v>15599</v>
      </c>
      <c r="BP1399" t="s">
        <v>18078</v>
      </c>
      <c r="BS1399" t="s">
        <v>11276</v>
      </c>
      <c r="BT1399" t="s">
        <v>198</v>
      </c>
      <c r="BU1399" t="s">
        <v>182</v>
      </c>
      <c r="BV1399" t="s">
        <v>198</v>
      </c>
      <c r="BW1399" t="s">
        <v>198</v>
      </c>
      <c r="BX1399" t="s">
        <v>199</v>
      </c>
      <c r="BY1399" t="s">
        <v>198</v>
      </c>
      <c r="BZ1399" t="s">
        <v>199</v>
      </c>
      <c r="CA1399" t="s">
        <v>199</v>
      </c>
      <c r="CB1399" t="s">
        <v>18079</v>
      </c>
      <c r="CC1399" t="s">
        <v>201</v>
      </c>
      <c r="CD1399" t="s">
        <v>182</v>
      </c>
      <c r="CE1399" t="s">
        <v>18080</v>
      </c>
      <c r="CF1399" t="s">
        <v>2333</v>
      </c>
      <c r="CG1399" t="s">
        <v>177</v>
      </c>
      <c r="CH1399" t="s">
        <v>2334</v>
      </c>
      <c r="CI1399" t="s">
        <v>18081</v>
      </c>
      <c r="CJ1399" t="s">
        <v>2615</v>
      </c>
      <c r="CK1399" t="s">
        <v>232</v>
      </c>
      <c r="CL1399" t="s">
        <v>233</v>
      </c>
      <c r="CM1399" t="s">
        <v>18082</v>
      </c>
      <c r="CN1399" t="s">
        <v>235</v>
      </c>
      <c r="CO1399" t="s">
        <v>183</v>
      </c>
      <c r="CP1399" t="s">
        <v>211</v>
      </c>
      <c r="CQ1399" t="s">
        <v>290</v>
      </c>
      <c r="CS1399" t="s">
        <v>18083</v>
      </c>
      <c r="CT1399" t="s">
        <v>11069</v>
      </c>
      <c r="CU1399" t="s">
        <v>292</v>
      </c>
      <c r="CV1399" t="s">
        <v>293</v>
      </c>
      <c r="CW1399" t="s">
        <v>18084</v>
      </c>
      <c r="CX1399" t="s">
        <v>235</v>
      </c>
      <c r="CY1399" t="s">
        <v>183</v>
      </c>
      <c r="CZ1399" t="s">
        <v>211</v>
      </c>
      <c r="DA1399" t="s">
        <v>427</v>
      </c>
      <c r="DC1399" t="s">
        <v>2774</v>
      </c>
      <c r="DD1399" t="s">
        <v>18085</v>
      </c>
      <c r="DE1399" t="s">
        <v>273</v>
      </c>
      <c r="DF1399" t="s">
        <v>274</v>
      </c>
      <c r="DG1399" t="s">
        <v>18086</v>
      </c>
      <c r="DH1399" t="s">
        <v>235</v>
      </c>
      <c r="DI1399" t="s">
        <v>183</v>
      </c>
      <c r="DJ1399" t="s">
        <v>211</v>
      </c>
      <c r="DK1399" t="s">
        <v>199</v>
      </c>
      <c r="DM1399" t="s">
        <v>16461</v>
      </c>
      <c r="DN1399" t="s">
        <v>11980</v>
      </c>
      <c r="DO1399" t="s">
        <v>302</v>
      </c>
      <c r="DP1399" t="s">
        <v>303</v>
      </c>
      <c r="DQ1399" t="s">
        <v>18087</v>
      </c>
      <c r="DR1399" t="s">
        <v>235</v>
      </c>
      <c r="DS1399" t="s">
        <v>183</v>
      </c>
      <c r="DT1399" t="s">
        <v>211</v>
      </c>
      <c r="DU1399" t="s">
        <v>427</v>
      </c>
      <c r="DW1399" t="s">
        <v>16461</v>
      </c>
      <c r="EG1399" t="s">
        <v>198</v>
      </c>
      <c r="EQ1399" t="s">
        <v>198</v>
      </c>
      <c r="FA1399" t="s">
        <v>198</v>
      </c>
      <c r="FK1399" t="s">
        <v>198</v>
      </c>
      <c r="FU1399" t="s">
        <v>198</v>
      </c>
    </row>
    <row r="1400" spans="1:177">
      <c r="A1400" s="1" t="str">
        <f>HYPERLINK("http://digipan.lumentumllc.com/apps/getLink/index.php?t=PropLink&amp;p=5247640","PL")</f>
        <v>PL</v>
      </c>
      <c r="B1400" s="1" t="str">
        <f>HYPERLINK("http://digipan.lumentumllc.com/apps/getLink/index.php?t=TaxLink&amp;p=5247640","TL")</f>
        <v>TL</v>
      </c>
      <c r="C1400" s="1" t="str">
        <f>HYPERLINK("http://digipan.lumentumllc.com/apps/getMap/index.php?p=5247640","Map")</f>
        <v>Map</v>
      </c>
      <c r="E1400" t="s">
        <v>177</v>
      </c>
      <c r="F1400" t="s">
        <v>178</v>
      </c>
      <c r="L1400" t="s">
        <v>18088</v>
      </c>
      <c r="N1400" t="s">
        <v>18088</v>
      </c>
      <c r="O1400" t="s">
        <v>18088</v>
      </c>
      <c r="P1400" t="s">
        <v>18089</v>
      </c>
      <c r="Q1400" t="s">
        <v>18088</v>
      </c>
      <c r="V1400">
        <v>1605</v>
      </c>
      <c r="W1400">
        <v>5</v>
      </c>
      <c r="X1400">
        <v>2017</v>
      </c>
      <c r="Y1400">
        <v>2018</v>
      </c>
      <c r="Z1400">
        <v>624.69000000000005</v>
      </c>
      <c r="AB1400" t="s">
        <v>181</v>
      </c>
      <c r="AC1400" t="s">
        <v>182</v>
      </c>
      <c r="AD1400" t="s">
        <v>183</v>
      </c>
      <c r="AE1400">
        <v>1</v>
      </c>
      <c r="AF1400">
        <v>7</v>
      </c>
      <c r="AG1400" t="s">
        <v>418</v>
      </c>
      <c r="AH1400">
        <v>86</v>
      </c>
      <c r="AI1400">
        <v>586.49</v>
      </c>
      <c r="AJ1400">
        <v>38.119999999999997</v>
      </c>
      <c r="AK1400">
        <v>624.61</v>
      </c>
      <c r="AL1400">
        <v>36200</v>
      </c>
      <c r="AM1400">
        <v>28700</v>
      </c>
      <c r="AN1400">
        <v>7500</v>
      </c>
      <c r="AO1400">
        <v>517</v>
      </c>
      <c r="AP1400">
        <v>2016</v>
      </c>
      <c r="AQ1400">
        <v>1.73</v>
      </c>
      <c r="AR1400">
        <v>1.73</v>
      </c>
      <c r="AS1400" t="s">
        <v>18090</v>
      </c>
      <c r="AT1400" t="s">
        <v>3210</v>
      </c>
      <c r="AU1400" t="s">
        <v>177</v>
      </c>
      <c r="AV1400" t="s">
        <v>2334</v>
      </c>
      <c r="AW1400" t="s">
        <v>182</v>
      </c>
      <c r="AX1400">
        <v>0</v>
      </c>
      <c r="AY1400" t="s">
        <v>312</v>
      </c>
      <c r="AZ1400" t="s">
        <v>199</v>
      </c>
      <c r="BA1400" t="s">
        <v>313</v>
      </c>
      <c r="BB1400" t="s">
        <v>191</v>
      </c>
      <c r="BC1400" t="s">
        <v>182</v>
      </c>
      <c r="BD1400" t="s">
        <v>182</v>
      </c>
      <c r="BE1400" t="s">
        <v>12682</v>
      </c>
      <c r="BF1400">
        <v>1</v>
      </c>
      <c r="BG1400">
        <v>0</v>
      </c>
      <c r="BH1400">
        <v>0</v>
      </c>
      <c r="BI1400" t="s">
        <v>199</v>
      </c>
      <c r="BJ1400" t="s">
        <v>248</v>
      </c>
      <c r="BL1400" t="s">
        <v>18091</v>
      </c>
      <c r="BM1400" t="s">
        <v>325</v>
      </c>
      <c r="BN1400" t="s">
        <v>182</v>
      </c>
      <c r="BO1400" t="s">
        <v>18092</v>
      </c>
      <c r="BP1400" t="s">
        <v>11037</v>
      </c>
      <c r="BQ1400" t="s">
        <v>226</v>
      </c>
      <c r="BR1400" t="s">
        <v>227</v>
      </c>
      <c r="BS1400" t="s">
        <v>198</v>
      </c>
      <c r="BT1400" t="s">
        <v>228</v>
      </c>
      <c r="BU1400" t="s">
        <v>182</v>
      </c>
      <c r="BV1400" t="s">
        <v>198</v>
      </c>
      <c r="BW1400" t="s">
        <v>198</v>
      </c>
      <c r="BX1400" t="s">
        <v>199</v>
      </c>
      <c r="BY1400" t="s">
        <v>198</v>
      </c>
      <c r="BZ1400" t="s">
        <v>199</v>
      </c>
      <c r="CA1400" t="s">
        <v>199</v>
      </c>
      <c r="CB1400" t="s">
        <v>18093</v>
      </c>
      <c r="CC1400" t="s">
        <v>201</v>
      </c>
      <c r="CD1400" t="s">
        <v>202</v>
      </c>
      <c r="CE1400" t="s">
        <v>18094</v>
      </c>
      <c r="CF1400" t="s">
        <v>5331</v>
      </c>
      <c r="CG1400" t="s">
        <v>177</v>
      </c>
      <c r="CH1400" t="s">
        <v>371</v>
      </c>
      <c r="CI1400" t="s">
        <v>18095</v>
      </c>
      <c r="CJ1400" t="s">
        <v>4877</v>
      </c>
      <c r="CK1400" t="s">
        <v>232</v>
      </c>
      <c r="CL1400" t="s">
        <v>233</v>
      </c>
      <c r="CM1400" t="s">
        <v>18096</v>
      </c>
      <c r="CN1400" t="s">
        <v>688</v>
      </c>
      <c r="CO1400" t="s">
        <v>183</v>
      </c>
      <c r="CP1400" t="s">
        <v>266</v>
      </c>
      <c r="CS1400" t="s">
        <v>198</v>
      </c>
      <c r="CT1400" t="s">
        <v>13530</v>
      </c>
      <c r="CU1400" t="s">
        <v>292</v>
      </c>
      <c r="CV1400" t="s">
        <v>293</v>
      </c>
      <c r="CW1400" t="s">
        <v>18097</v>
      </c>
      <c r="CX1400" t="s">
        <v>333</v>
      </c>
      <c r="CY1400" t="s">
        <v>183</v>
      </c>
      <c r="CZ1400" t="s">
        <v>211</v>
      </c>
      <c r="DA1400" t="s">
        <v>298</v>
      </c>
      <c r="DC1400" t="s">
        <v>1641</v>
      </c>
      <c r="DD1400" t="s">
        <v>11370</v>
      </c>
      <c r="DE1400" t="s">
        <v>267</v>
      </c>
      <c r="DF1400" t="s">
        <v>268</v>
      </c>
      <c r="DG1400" t="s">
        <v>18098</v>
      </c>
      <c r="DH1400" t="s">
        <v>331</v>
      </c>
      <c r="DI1400" t="s">
        <v>183</v>
      </c>
      <c r="DJ1400" t="s">
        <v>211</v>
      </c>
      <c r="DK1400" t="s">
        <v>345</v>
      </c>
      <c r="DM1400" t="s">
        <v>4103</v>
      </c>
      <c r="DN1400" t="s">
        <v>8793</v>
      </c>
      <c r="DO1400" t="s">
        <v>273</v>
      </c>
      <c r="DP1400" t="s">
        <v>274</v>
      </c>
      <c r="DQ1400" t="s">
        <v>2265</v>
      </c>
      <c r="DR1400" t="s">
        <v>796</v>
      </c>
      <c r="DS1400" t="s">
        <v>183</v>
      </c>
      <c r="DT1400" t="s">
        <v>211</v>
      </c>
      <c r="DU1400" t="s">
        <v>345</v>
      </c>
      <c r="DW1400" t="s">
        <v>392</v>
      </c>
      <c r="DX1400" t="s">
        <v>18099</v>
      </c>
      <c r="DY1400" t="s">
        <v>302</v>
      </c>
      <c r="DZ1400" t="s">
        <v>303</v>
      </c>
      <c r="EA1400" t="s">
        <v>18100</v>
      </c>
      <c r="EB1400" t="s">
        <v>3342</v>
      </c>
      <c r="EC1400" t="s">
        <v>183</v>
      </c>
      <c r="ED1400" t="s">
        <v>211</v>
      </c>
      <c r="EE1400" t="s">
        <v>493</v>
      </c>
      <c r="EG1400" t="s">
        <v>18101</v>
      </c>
      <c r="EH1400" t="s">
        <v>18102</v>
      </c>
      <c r="EI1400" t="s">
        <v>238</v>
      </c>
      <c r="EJ1400" t="s">
        <v>239</v>
      </c>
      <c r="EK1400" t="s">
        <v>18103</v>
      </c>
      <c r="EL1400" t="s">
        <v>278</v>
      </c>
      <c r="EM1400" t="s">
        <v>183</v>
      </c>
      <c r="EN1400" t="s">
        <v>211</v>
      </c>
      <c r="EO1400" t="s">
        <v>298</v>
      </c>
      <c r="EQ1400" t="s">
        <v>467</v>
      </c>
      <c r="ER1400" t="s">
        <v>8647</v>
      </c>
      <c r="ES1400" t="s">
        <v>346</v>
      </c>
      <c r="ET1400" t="s">
        <v>347</v>
      </c>
      <c r="EU1400" t="s">
        <v>18104</v>
      </c>
      <c r="EV1400" t="s">
        <v>278</v>
      </c>
      <c r="EW1400" t="s">
        <v>183</v>
      </c>
      <c r="EX1400" t="s">
        <v>211</v>
      </c>
      <c r="EY1400" t="s">
        <v>298</v>
      </c>
      <c r="FA1400" t="s">
        <v>1136</v>
      </c>
      <c r="FB1400" t="s">
        <v>16640</v>
      </c>
      <c r="FC1400" t="s">
        <v>207</v>
      </c>
      <c r="FD1400" t="s">
        <v>208</v>
      </c>
      <c r="FE1400" t="s">
        <v>18105</v>
      </c>
      <c r="FF1400" t="s">
        <v>1966</v>
      </c>
      <c r="FG1400" t="s">
        <v>183</v>
      </c>
      <c r="FH1400" t="s">
        <v>211</v>
      </c>
      <c r="FI1400" t="s">
        <v>298</v>
      </c>
      <c r="FK1400" t="s">
        <v>4772</v>
      </c>
      <c r="FU1400" t="s">
        <v>198</v>
      </c>
    </row>
    <row r="1401" spans="1:177">
      <c r="A1401" s="1" t="str">
        <f>HYPERLINK("http://digipan.lumentumllc.com/apps/getLink/index.php?t=PropLink&amp;p=6886871","PL")</f>
        <v>PL</v>
      </c>
      <c r="B1401" s="1" t="str">
        <f>HYPERLINK("http://digipan.lumentumllc.com/apps/getLink/index.php?t=TaxLink&amp;p=6886871","TL")</f>
        <v>TL</v>
      </c>
      <c r="C1401" s="1" t="str">
        <f>HYPERLINK("http://digipan.lumentumllc.com/apps/getMap/index.php?p=6886871","Map")</f>
        <v>Map</v>
      </c>
      <c r="E1401" t="s">
        <v>177</v>
      </c>
      <c r="F1401" t="s">
        <v>178</v>
      </c>
      <c r="L1401" t="s">
        <v>18106</v>
      </c>
      <c r="N1401" t="s">
        <v>18106</v>
      </c>
      <c r="O1401" t="s">
        <v>18106</v>
      </c>
      <c r="P1401" t="s">
        <v>18107</v>
      </c>
      <c r="Q1401" t="s">
        <v>18106</v>
      </c>
      <c r="V1401">
        <v>1607</v>
      </c>
      <c r="W1401">
        <v>5</v>
      </c>
      <c r="X1401">
        <v>2017</v>
      </c>
      <c r="Y1401">
        <v>2018</v>
      </c>
      <c r="Z1401">
        <v>3306.52</v>
      </c>
      <c r="AB1401" t="s">
        <v>181</v>
      </c>
      <c r="AC1401" t="s">
        <v>182</v>
      </c>
      <c r="AD1401" t="s">
        <v>183</v>
      </c>
      <c r="AE1401">
        <v>0</v>
      </c>
      <c r="AF1401">
        <v>1</v>
      </c>
      <c r="AG1401" t="s">
        <v>821</v>
      </c>
      <c r="AH1401">
        <v>100</v>
      </c>
      <c r="AK1401">
        <v>0</v>
      </c>
      <c r="AL1401">
        <v>200000</v>
      </c>
      <c r="AM1401">
        <v>200000</v>
      </c>
      <c r="AN1401">
        <v>0</v>
      </c>
      <c r="AO1401">
        <v>3070</v>
      </c>
      <c r="AP1401">
        <v>2016</v>
      </c>
      <c r="AQ1401">
        <v>1.65</v>
      </c>
      <c r="AS1401" t="s">
        <v>14388</v>
      </c>
      <c r="AT1401" t="s">
        <v>3210</v>
      </c>
      <c r="AU1401" t="s">
        <v>177</v>
      </c>
      <c r="AV1401" t="s">
        <v>2334</v>
      </c>
      <c r="AW1401" t="s">
        <v>182</v>
      </c>
      <c r="AX1401">
        <v>0</v>
      </c>
      <c r="AY1401" t="s">
        <v>312</v>
      </c>
      <c r="AZ1401" t="s">
        <v>199</v>
      </c>
      <c r="BA1401" t="s">
        <v>313</v>
      </c>
      <c r="BB1401" t="s">
        <v>191</v>
      </c>
      <c r="BC1401" t="s">
        <v>182</v>
      </c>
      <c r="BD1401" t="s">
        <v>182</v>
      </c>
      <c r="BE1401" t="s">
        <v>576</v>
      </c>
      <c r="BF1401">
        <v>0</v>
      </c>
      <c r="BG1401">
        <v>0</v>
      </c>
      <c r="BH1401">
        <v>0</v>
      </c>
      <c r="BI1401" t="s">
        <v>199</v>
      </c>
      <c r="BJ1401" t="s">
        <v>315</v>
      </c>
      <c r="BL1401" t="s">
        <v>578</v>
      </c>
      <c r="BM1401" t="s">
        <v>197</v>
      </c>
      <c r="BN1401" t="s">
        <v>182</v>
      </c>
      <c r="BO1401" t="s">
        <v>198</v>
      </c>
      <c r="BP1401" t="s">
        <v>198</v>
      </c>
      <c r="BQ1401" t="s">
        <v>198</v>
      </c>
      <c r="BR1401" t="s">
        <v>198</v>
      </c>
      <c r="BS1401" t="s">
        <v>198</v>
      </c>
      <c r="BT1401" t="s">
        <v>198</v>
      </c>
      <c r="BU1401" t="s">
        <v>182</v>
      </c>
      <c r="BV1401" t="s">
        <v>198</v>
      </c>
      <c r="BW1401" t="s">
        <v>198</v>
      </c>
      <c r="BX1401" t="s">
        <v>199</v>
      </c>
      <c r="BY1401" t="s">
        <v>198</v>
      </c>
      <c r="BZ1401" t="s">
        <v>199</v>
      </c>
      <c r="CA1401" t="s">
        <v>199</v>
      </c>
      <c r="CB1401" t="s">
        <v>18108</v>
      </c>
      <c r="CC1401" t="s">
        <v>201</v>
      </c>
      <c r="CD1401" t="s">
        <v>202</v>
      </c>
      <c r="CE1401" t="s">
        <v>18109</v>
      </c>
      <c r="CF1401" t="s">
        <v>2333</v>
      </c>
      <c r="CG1401" t="s">
        <v>177</v>
      </c>
      <c r="CH1401" t="s">
        <v>2334</v>
      </c>
      <c r="CI1401" t="s">
        <v>18110</v>
      </c>
      <c r="CJ1401" t="s">
        <v>13724</v>
      </c>
      <c r="CK1401" t="s">
        <v>267</v>
      </c>
      <c r="CL1401" t="s">
        <v>268</v>
      </c>
      <c r="CM1401" t="s">
        <v>18111</v>
      </c>
      <c r="CN1401" t="s">
        <v>235</v>
      </c>
      <c r="CO1401" t="s">
        <v>183</v>
      </c>
      <c r="CP1401" t="s">
        <v>211</v>
      </c>
      <c r="CQ1401" t="s">
        <v>199</v>
      </c>
      <c r="CS1401" t="s">
        <v>4266</v>
      </c>
      <c r="DC1401" t="s">
        <v>198</v>
      </c>
      <c r="DM1401" t="s">
        <v>198</v>
      </c>
      <c r="DW1401" t="s">
        <v>198</v>
      </c>
      <c r="EG1401" t="s">
        <v>198</v>
      </c>
      <c r="EQ1401" t="s">
        <v>198</v>
      </c>
      <c r="FA1401" t="s">
        <v>198</v>
      </c>
      <c r="FK1401" t="s">
        <v>198</v>
      </c>
      <c r="FU1401" t="s">
        <v>198</v>
      </c>
    </row>
    <row r="1402" spans="1:177">
      <c r="A1402" s="1" t="str">
        <f>HYPERLINK("http://digipan.lumentumllc.com/apps/getLink/index.php?t=PropLink&amp;p=5248500","PL")</f>
        <v>PL</v>
      </c>
      <c r="B1402" s="1" t="str">
        <f>HYPERLINK("http://digipan.lumentumllc.com/apps/getLink/index.php?t=TaxLink&amp;p=5248500","TL")</f>
        <v>TL</v>
      </c>
      <c r="C1402" s="1" t="str">
        <f>HYPERLINK("http://digipan.lumentumllc.com/apps/getMap/index.php?p=5248500","Map")</f>
        <v>Map</v>
      </c>
      <c r="E1402" t="s">
        <v>177</v>
      </c>
      <c r="F1402" t="s">
        <v>178</v>
      </c>
      <c r="L1402" t="s">
        <v>18112</v>
      </c>
      <c r="N1402" t="s">
        <v>18112</v>
      </c>
      <c r="O1402" t="s">
        <v>18112</v>
      </c>
      <c r="P1402" t="s">
        <v>18113</v>
      </c>
      <c r="Q1402" t="s">
        <v>18112</v>
      </c>
      <c r="V1402">
        <v>1608</v>
      </c>
      <c r="W1402">
        <v>5</v>
      </c>
      <c r="X1402">
        <v>2017</v>
      </c>
      <c r="Y1402">
        <v>2018</v>
      </c>
      <c r="Z1402">
        <v>1669.27</v>
      </c>
      <c r="AG1402" t="s">
        <v>184</v>
      </c>
      <c r="AH1402">
        <v>0</v>
      </c>
      <c r="AK1402">
        <v>0</v>
      </c>
      <c r="AL1402">
        <v>100000</v>
      </c>
      <c r="AM1402">
        <v>100000</v>
      </c>
      <c r="AN1402">
        <v>0</v>
      </c>
      <c r="AO1402">
        <v>1535</v>
      </c>
      <c r="AP1402">
        <v>2016</v>
      </c>
      <c r="AQ1402">
        <v>1.67</v>
      </c>
      <c r="AS1402" t="s">
        <v>18114</v>
      </c>
      <c r="AT1402" t="s">
        <v>3210</v>
      </c>
      <c r="AU1402" t="s">
        <v>177</v>
      </c>
      <c r="AV1402" t="s">
        <v>2334</v>
      </c>
      <c r="AW1402" t="s">
        <v>182</v>
      </c>
      <c r="AX1402">
        <v>0</v>
      </c>
      <c r="AY1402" t="s">
        <v>312</v>
      </c>
      <c r="AZ1402" t="s">
        <v>199</v>
      </c>
      <c r="BA1402" t="s">
        <v>313</v>
      </c>
      <c r="BB1402" t="s">
        <v>191</v>
      </c>
      <c r="BC1402" t="s">
        <v>182</v>
      </c>
      <c r="BD1402" t="s">
        <v>182</v>
      </c>
      <c r="BE1402" t="s">
        <v>469</v>
      </c>
      <c r="BF1402">
        <v>0</v>
      </c>
      <c r="BG1402">
        <v>0</v>
      </c>
      <c r="BH1402">
        <v>0</v>
      </c>
      <c r="BI1402" t="s">
        <v>199</v>
      </c>
      <c r="BJ1402" t="s">
        <v>315</v>
      </c>
      <c r="BL1402" t="s">
        <v>2735</v>
      </c>
      <c r="BM1402" t="s">
        <v>273</v>
      </c>
      <c r="BN1402" t="s">
        <v>182</v>
      </c>
      <c r="BO1402" t="s">
        <v>198</v>
      </c>
      <c r="BP1402" t="s">
        <v>198</v>
      </c>
      <c r="BQ1402" t="s">
        <v>198</v>
      </c>
      <c r="BR1402" t="s">
        <v>198</v>
      </c>
      <c r="BS1402" t="s">
        <v>198</v>
      </c>
      <c r="BT1402" t="s">
        <v>198</v>
      </c>
      <c r="BU1402" t="s">
        <v>182</v>
      </c>
      <c r="BV1402" t="s">
        <v>198</v>
      </c>
      <c r="BW1402" t="s">
        <v>198</v>
      </c>
      <c r="BX1402" t="s">
        <v>199</v>
      </c>
      <c r="BY1402" t="s">
        <v>198</v>
      </c>
      <c r="BZ1402" t="s">
        <v>199</v>
      </c>
      <c r="CA1402" t="s">
        <v>199</v>
      </c>
      <c r="CB1402" t="s">
        <v>18115</v>
      </c>
      <c r="CC1402" t="s">
        <v>201</v>
      </c>
      <c r="CD1402" t="s">
        <v>202</v>
      </c>
      <c r="CE1402" t="s">
        <v>18116</v>
      </c>
      <c r="CF1402" t="s">
        <v>2333</v>
      </c>
      <c r="CG1402" t="s">
        <v>177</v>
      </c>
      <c r="CH1402" t="s">
        <v>2334</v>
      </c>
      <c r="CI1402" t="s">
        <v>17951</v>
      </c>
      <c r="CS1402" t="s">
        <v>198</v>
      </c>
      <c r="DC1402" t="s">
        <v>198</v>
      </c>
      <c r="DM1402" t="s">
        <v>198</v>
      </c>
      <c r="DW1402" t="s">
        <v>198</v>
      </c>
      <c r="EG1402" t="s">
        <v>198</v>
      </c>
      <c r="EQ1402" t="s">
        <v>198</v>
      </c>
      <c r="FA1402" t="s">
        <v>198</v>
      </c>
      <c r="FK1402" t="s">
        <v>198</v>
      </c>
      <c r="FU1402" t="s">
        <v>198</v>
      </c>
    </row>
    <row r="1403" spans="1:177">
      <c r="A1403" s="1" t="str">
        <f>HYPERLINK("http://digipan.lumentumllc.com/apps/getLink/index.php?t=PropLink&amp;p=5248502","PL")</f>
        <v>PL</v>
      </c>
      <c r="B1403" s="1" t="str">
        <f>HYPERLINK("http://digipan.lumentumllc.com/apps/getLink/index.php?t=TaxLink&amp;p=5248502","TL")</f>
        <v>TL</v>
      </c>
      <c r="C1403" s="1" t="str">
        <f>HYPERLINK("http://digipan.lumentumllc.com/apps/getMap/index.php?p=5248502","Map")</f>
        <v>Map</v>
      </c>
      <c r="E1403" t="s">
        <v>177</v>
      </c>
      <c r="F1403" t="s">
        <v>178</v>
      </c>
      <c r="L1403" t="s">
        <v>18117</v>
      </c>
      <c r="N1403" t="s">
        <v>18117</v>
      </c>
      <c r="O1403" t="s">
        <v>18117</v>
      </c>
      <c r="P1403" t="s">
        <v>18118</v>
      </c>
      <c r="Q1403" t="s">
        <v>18117</v>
      </c>
      <c r="V1403">
        <v>1609</v>
      </c>
      <c r="W1403">
        <v>5</v>
      </c>
      <c r="X1403">
        <v>2017</v>
      </c>
      <c r="Y1403">
        <v>2018</v>
      </c>
      <c r="Z1403">
        <v>981.35</v>
      </c>
      <c r="AB1403" t="s">
        <v>181</v>
      </c>
      <c r="AC1403" t="s">
        <v>182</v>
      </c>
      <c r="AD1403" t="s">
        <v>183</v>
      </c>
      <c r="AE1403">
        <v>1</v>
      </c>
      <c r="AF1403">
        <v>2</v>
      </c>
      <c r="AG1403" t="s">
        <v>363</v>
      </c>
      <c r="AH1403">
        <v>67</v>
      </c>
      <c r="AI1403">
        <v>1559.98</v>
      </c>
      <c r="AJ1403">
        <v>78</v>
      </c>
      <c r="AK1403">
        <v>1637.98</v>
      </c>
      <c r="AL1403">
        <v>97088</v>
      </c>
      <c r="AM1403">
        <v>28250</v>
      </c>
      <c r="AN1403">
        <v>68838</v>
      </c>
      <c r="AO1403">
        <v>1417</v>
      </c>
      <c r="AP1403">
        <v>2016</v>
      </c>
      <c r="AQ1403">
        <v>1.01</v>
      </c>
      <c r="AR1403">
        <v>1.69</v>
      </c>
      <c r="AS1403" t="s">
        <v>18119</v>
      </c>
      <c r="AT1403" t="s">
        <v>3210</v>
      </c>
      <c r="AU1403" t="s">
        <v>177</v>
      </c>
      <c r="AV1403" t="s">
        <v>2334</v>
      </c>
      <c r="AW1403" t="s">
        <v>182</v>
      </c>
      <c r="AX1403">
        <v>2</v>
      </c>
      <c r="AY1403" t="s">
        <v>188</v>
      </c>
      <c r="AZ1403" t="s">
        <v>189</v>
      </c>
      <c r="BA1403" t="s">
        <v>190</v>
      </c>
      <c r="BB1403" t="s">
        <v>191</v>
      </c>
      <c r="BC1403" t="s">
        <v>182</v>
      </c>
      <c r="BD1403" t="s">
        <v>182</v>
      </c>
      <c r="BE1403" t="s">
        <v>18120</v>
      </c>
      <c r="BF1403">
        <v>1</v>
      </c>
      <c r="BG1403">
        <v>1</v>
      </c>
      <c r="BH1403">
        <v>2005</v>
      </c>
      <c r="BI1403" t="s">
        <v>1709</v>
      </c>
      <c r="BJ1403" t="s">
        <v>194</v>
      </c>
      <c r="BL1403" t="s">
        <v>2050</v>
      </c>
      <c r="BM1403" t="s">
        <v>325</v>
      </c>
      <c r="BN1403" t="s">
        <v>182</v>
      </c>
      <c r="BO1403" t="s">
        <v>18121</v>
      </c>
      <c r="BP1403" t="s">
        <v>18122</v>
      </c>
      <c r="BS1403" t="s">
        <v>18123</v>
      </c>
      <c r="BT1403" t="s">
        <v>198</v>
      </c>
      <c r="BU1403" t="s">
        <v>182</v>
      </c>
      <c r="BV1403" t="s">
        <v>198</v>
      </c>
      <c r="BW1403" t="s">
        <v>198</v>
      </c>
      <c r="BX1403" t="s">
        <v>199</v>
      </c>
      <c r="BY1403" t="s">
        <v>198</v>
      </c>
      <c r="BZ1403" t="s">
        <v>199</v>
      </c>
      <c r="CA1403" t="s">
        <v>199</v>
      </c>
      <c r="CB1403" t="s">
        <v>18124</v>
      </c>
      <c r="CC1403" t="s">
        <v>201</v>
      </c>
      <c r="CD1403" t="s">
        <v>182</v>
      </c>
      <c r="CE1403" t="s">
        <v>14158</v>
      </c>
      <c r="CF1403" t="s">
        <v>2333</v>
      </c>
      <c r="CG1403" t="s">
        <v>177</v>
      </c>
      <c r="CH1403" t="s">
        <v>3178</v>
      </c>
      <c r="CI1403" t="s">
        <v>18125</v>
      </c>
      <c r="CJ1403" t="s">
        <v>15270</v>
      </c>
      <c r="CK1403" t="s">
        <v>232</v>
      </c>
      <c r="CL1403" t="s">
        <v>233</v>
      </c>
      <c r="CM1403" t="s">
        <v>18126</v>
      </c>
      <c r="CN1403" t="s">
        <v>235</v>
      </c>
      <c r="CO1403" t="s">
        <v>183</v>
      </c>
      <c r="CP1403" t="s">
        <v>266</v>
      </c>
      <c r="CS1403" t="s">
        <v>198</v>
      </c>
      <c r="CT1403" t="s">
        <v>11126</v>
      </c>
      <c r="CU1403" t="s">
        <v>292</v>
      </c>
      <c r="CV1403" t="s">
        <v>293</v>
      </c>
      <c r="CW1403" t="s">
        <v>18127</v>
      </c>
      <c r="CX1403" t="s">
        <v>235</v>
      </c>
      <c r="CY1403" t="s">
        <v>183</v>
      </c>
      <c r="CZ1403" t="s">
        <v>211</v>
      </c>
      <c r="DA1403" t="s">
        <v>345</v>
      </c>
      <c r="DC1403" t="s">
        <v>375</v>
      </c>
      <c r="DD1403" t="s">
        <v>18128</v>
      </c>
      <c r="DE1403" t="s">
        <v>238</v>
      </c>
      <c r="DF1403" t="s">
        <v>239</v>
      </c>
      <c r="DG1403" t="s">
        <v>18129</v>
      </c>
      <c r="DH1403" t="s">
        <v>440</v>
      </c>
      <c r="DI1403" t="s">
        <v>183</v>
      </c>
      <c r="DJ1403" t="s">
        <v>211</v>
      </c>
      <c r="DK1403" t="s">
        <v>206</v>
      </c>
      <c r="DM1403" t="s">
        <v>11626</v>
      </c>
      <c r="DW1403" t="s">
        <v>198</v>
      </c>
      <c r="EG1403" t="s">
        <v>198</v>
      </c>
      <c r="EQ1403" t="s">
        <v>198</v>
      </c>
      <c r="FA1403" t="s">
        <v>198</v>
      </c>
      <c r="FK1403" t="s">
        <v>198</v>
      </c>
      <c r="FU1403" t="s">
        <v>198</v>
      </c>
    </row>
    <row r="1404" spans="1:177">
      <c r="A1404" s="1" t="str">
        <f>HYPERLINK("http://digipan.lumentumllc.com/apps/getLink/index.php?t=PropLink&amp;p=15763548","PL")</f>
        <v>PL</v>
      </c>
      <c r="B1404" s="1" t="str">
        <f>HYPERLINK("http://digipan.lumentumllc.com/apps/getLink/index.php?t=TaxLink&amp;p=15763548","TL")</f>
        <v>TL</v>
      </c>
      <c r="C1404" s="1" t="str">
        <f>HYPERLINK("http://digipan.lumentumllc.com/apps/getMap/index.php?p=15763548","Map")</f>
        <v>Map</v>
      </c>
      <c r="E1404" t="s">
        <v>177</v>
      </c>
      <c r="F1404" t="s">
        <v>178</v>
      </c>
      <c r="L1404" t="s">
        <v>18130</v>
      </c>
      <c r="N1404" t="s">
        <v>18130</v>
      </c>
      <c r="O1404" t="s">
        <v>18130</v>
      </c>
      <c r="Q1404" t="s">
        <v>18130</v>
      </c>
      <c r="V1404">
        <v>1610</v>
      </c>
      <c r="W1404">
        <v>5</v>
      </c>
      <c r="X1404">
        <v>2017</v>
      </c>
      <c r="Y1404">
        <v>2018</v>
      </c>
      <c r="Z1404">
        <v>1607.53</v>
      </c>
      <c r="AG1404" t="s">
        <v>184</v>
      </c>
      <c r="AH1404">
        <v>0</v>
      </c>
      <c r="AK1404">
        <v>0</v>
      </c>
      <c r="AL1404">
        <v>156825</v>
      </c>
      <c r="AM1404">
        <v>47000</v>
      </c>
      <c r="AN1404">
        <v>109825</v>
      </c>
      <c r="AO1404">
        <v>1437</v>
      </c>
      <c r="AP1404">
        <v>2016</v>
      </c>
      <c r="AQ1404">
        <v>1.03</v>
      </c>
      <c r="AS1404" t="s">
        <v>18131</v>
      </c>
      <c r="AT1404" t="s">
        <v>3210</v>
      </c>
      <c r="AU1404" t="s">
        <v>177</v>
      </c>
      <c r="AV1404" t="s">
        <v>2334</v>
      </c>
      <c r="AW1404" t="s">
        <v>202</v>
      </c>
      <c r="AX1404">
        <v>1</v>
      </c>
      <c r="AY1404" t="s">
        <v>188</v>
      </c>
      <c r="AZ1404" t="s">
        <v>206</v>
      </c>
      <c r="BA1404" t="s">
        <v>355</v>
      </c>
      <c r="BB1404" t="s">
        <v>191</v>
      </c>
      <c r="BC1404" t="s">
        <v>182</v>
      </c>
      <c r="BD1404" t="s">
        <v>182</v>
      </c>
      <c r="BE1404" t="s">
        <v>18132</v>
      </c>
      <c r="BF1404">
        <v>1</v>
      </c>
      <c r="BG1404">
        <v>1</v>
      </c>
      <c r="BH1404">
        <v>1988</v>
      </c>
      <c r="BI1404" t="s">
        <v>15882</v>
      </c>
      <c r="BJ1404" t="s">
        <v>194</v>
      </c>
      <c r="BK1404" t="s">
        <v>195</v>
      </c>
      <c r="BL1404" t="s">
        <v>18133</v>
      </c>
      <c r="BM1404" t="s">
        <v>451</v>
      </c>
      <c r="BN1404" t="s">
        <v>182</v>
      </c>
      <c r="BO1404" t="s">
        <v>8682</v>
      </c>
      <c r="BP1404" t="s">
        <v>18134</v>
      </c>
      <c r="BQ1404" t="s">
        <v>800</v>
      </c>
      <c r="BR1404" t="s">
        <v>563</v>
      </c>
      <c r="BS1404" t="s">
        <v>198</v>
      </c>
      <c r="BT1404" t="s">
        <v>18135</v>
      </c>
      <c r="BU1404" t="s">
        <v>182</v>
      </c>
      <c r="BV1404" t="s">
        <v>198</v>
      </c>
      <c r="BW1404" t="s">
        <v>198</v>
      </c>
      <c r="BX1404" t="s">
        <v>199</v>
      </c>
      <c r="BY1404" t="s">
        <v>198</v>
      </c>
      <c r="BZ1404" t="s">
        <v>199</v>
      </c>
      <c r="CA1404" t="s">
        <v>199</v>
      </c>
      <c r="CB1404" t="s">
        <v>18136</v>
      </c>
      <c r="CC1404" t="s">
        <v>201</v>
      </c>
      <c r="CD1404" t="s">
        <v>182</v>
      </c>
      <c r="CE1404" t="s">
        <v>18137</v>
      </c>
      <c r="CF1404" t="s">
        <v>2333</v>
      </c>
      <c r="CG1404" t="s">
        <v>177</v>
      </c>
      <c r="CH1404" t="s">
        <v>2334</v>
      </c>
      <c r="CI1404" t="s">
        <v>18138</v>
      </c>
      <c r="CS1404" t="s">
        <v>198</v>
      </c>
      <c r="DC1404" t="s">
        <v>198</v>
      </c>
      <c r="DM1404" t="s">
        <v>198</v>
      </c>
      <c r="DW1404" t="s">
        <v>198</v>
      </c>
      <c r="EG1404" t="s">
        <v>198</v>
      </c>
      <c r="EQ1404" t="s">
        <v>198</v>
      </c>
      <c r="FA1404" t="s">
        <v>198</v>
      </c>
      <c r="FK1404" t="s">
        <v>198</v>
      </c>
      <c r="FU1404" t="s">
        <v>198</v>
      </c>
    </row>
    <row r="1405" spans="1:177">
      <c r="A1405" s="1" t="str">
        <f>HYPERLINK("http://digipan.lumentumllc.com/apps/getLink/index.php?t=PropLink&amp;p=15763556","PL")</f>
        <v>PL</v>
      </c>
      <c r="B1405" s="1" t="str">
        <f>HYPERLINK("http://digipan.lumentumllc.com/apps/getLink/index.php?t=TaxLink&amp;p=15763556","TL")</f>
        <v>TL</v>
      </c>
      <c r="C1405" s="1" t="str">
        <f>HYPERLINK("http://digipan.lumentumllc.com/apps/getMap/index.php?p=15763556","Map")</f>
        <v>Map</v>
      </c>
      <c r="E1405" t="s">
        <v>177</v>
      </c>
      <c r="F1405" t="s">
        <v>178</v>
      </c>
      <c r="L1405" t="s">
        <v>18139</v>
      </c>
      <c r="N1405" t="s">
        <v>18139</v>
      </c>
      <c r="O1405" t="s">
        <v>18139</v>
      </c>
      <c r="Q1405" t="s">
        <v>18139</v>
      </c>
      <c r="V1405">
        <v>1611</v>
      </c>
      <c r="W1405">
        <v>5</v>
      </c>
      <c r="X1405">
        <v>2017</v>
      </c>
      <c r="Y1405">
        <v>2018</v>
      </c>
      <c r="Z1405">
        <v>2319.7199999999998</v>
      </c>
      <c r="AG1405" t="s">
        <v>184</v>
      </c>
      <c r="AH1405">
        <v>0</v>
      </c>
      <c r="AK1405">
        <v>0</v>
      </c>
      <c r="AL1405">
        <v>139729</v>
      </c>
      <c r="AM1405">
        <v>89540</v>
      </c>
      <c r="AN1405">
        <v>50189</v>
      </c>
      <c r="AO1405">
        <v>2155</v>
      </c>
      <c r="AP1405">
        <v>2016</v>
      </c>
      <c r="AQ1405">
        <v>1.66</v>
      </c>
      <c r="AS1405" t="s">
        <v>18140</v>
      </c>
      <c r="AT1405" t="s">
        <v>3210</v>
      </c>
      <c r="AU1405" t="s">
        <v>177</v>
      </c>
      <c r="AV1405" t="s">
        <v>2334</v>
      </c>
      <c r="AW1405" t="s">
        <v>182</v>
      </c>
      <c r="AX1405">
        <v>41</v>
      </c>
      <c r="AY1405" t="s">
        <v>5663</v>
      </c>
      <c r="AZ1405" t="s">
        <v>1006</v>
      </c>
      <c r="BA1405" t="s">
        <v>5664</v>
      </c>
      <c r="BB1405" t="s">
        <v>191</v>
      </c>
      <c r="BC1405" t="s">
        <v>182</v>
      </c>
      <c r="BD1405" t="s">
        <v>182</v>
      </c>
      <c r="BE1405" t="s">
        <v>8615</v>
      </c>
      <c r="BF1405">
        <v>1</v>
      </c>
      <c r="BG1405">
        <v>0</v>
      </c>
      <c r="BH1405">
        <v>2000</v>
      </c>
      <c r="BI1405" t="s">
        <v>18141</v>
      </c>
      <c r="BJ1405" t="s">
        <v>315</v>
      </c>
      <c r="BK1405" t="s">
        <v>195</v>
      </c>
      <c r="BL1405" t="s">
        <v>18142</v>
      </c>
      <c r="BM1405" t="s">
        <v>267</v>
      </c>
      <c r="BN1405" t="s">
        <v>182</v>
      </c>
      <c r="BO1405" t="s">
        <v>198</v>
      </c>
      <c r="BP1405" t="s">
        <v>198</v>
      </c>
      <c r="BQ1405" t="s">
        <v>198</v>
      </c>
      <c r="BR1405" t="s">
        <v>198</v>
      </c>
      <c r="BS1405" t="s">
        <v>198</v>
      </c>
      <c r="BT1405" t="s">
        <v>198</v>
      </c>
      <c r="BU1405" t="s">
        <v>182</v>
      </c>
      <c r="BV1405" t="s">
        <v>198</v>
      </c>
      <c r="BW1405" t="s">
        <v>198</v>
      </c>
      <c r="BX1405" t="s">
        <v>199</v>
      </c>
      <c r="BY1405" t="s">
        <v>198</v>
      </c>
      <c r="BZ1405" t="s">
        <v>199</v>
      </c>
      <c r="CA1405" t="s">
        <v>199</v>
      </c>
      <c r="CB1405" t="s">
        <v>18143</v>
      </c>
      <c r="CC1405" t="s">
        <v>201</v>
      </c>
      <c r="CD1405" t="s">
        <v>182</v>
      </c>
      <c r="CE1405" t="s">
        <v>18144</v>
      </c>
      <c r="CF1405" t="s">
        <v>18145</v>
      </c>
      <c r="CG1405" t="s">
        <v>1602</v>
      </c>
      <c r="CH1405" t="s">
        <v>18146</v>
      </c>
      <c r="CI1405" t="s">
        <v>18147</v>
      </c>
      <c r="CS1405" t="s">
        <v>198</v>
      </c>
      <c r="DC1405" t="s">
        <v>198</v>
      </c>
      <c r="DM1405" t="s">
        <v>198</v>
      </c>
      <c r="DW1405" t="s">
        <v>198</v>
      </c>
      <c r="EG1405" t="s">
        <v>198</v>
      </c>
      <c r="EQ1405" t="s">
        <v>198</v>
      </c>
      <c r="FA1405" t="s">
        <v>198</v>
      </c>
      <c r="FK1405" t="s">
        <v>198</v>
      </c>
      <c r="FU1405" t="s">
        <v>198</v>
      </c>
    </row>
    <row r="1406" spans="1:177">
      <c r="A1406" s="1" t="str">
        <f>HYPERLINK("http://digipan.lumentumllc.com/apps/getLink/index.php?t=PropLink&amp;p=5248505","PL")</f>
        <v>PL</v>
      </c>
      <c r="B1406" s="1" t="str">
        <f>HYPERLINK("http://digipan.lumentumllc.com/apps/getLink/index.php?t=TaxLink&amp;p=5248505","TL")</f>
        <v>TL</v>
      </c>
      <c r="C1406" s="1" t="str">
        <f>HYPERLINK("http://digipan.lumentumllc.com/apps/getMap/index.php?p=5248505","Map")</f>
        <v>Map</v>
      </c>
      <c r="E1406" t="s">
        <v>177</v>
      </c>
      <c r="F1406" t="s">
        <v>178</v>
      </c>
      <c r="L1406" t="s">
        <v>18148</v>
      </c>
      <c r="N1406" t="s">
        <v>18148</v>
      </c>
      <c r="O1406" t="s">
        <v>18148</v>
      </c>
      <c r="P1406" t="s">
        <v>18149</v>
      </c>
      <c r="Q1406" t="s">
        <v>18148</v>
      </c>
      <c r="V1406">
        <v>1612</v>
      </c>
      <c r="W1406">
        <v>5</v>
      </c>
      <c r="X1406">
        <v>2017</v>
      </c>
      <c r="Y1406">
        <v>2018</v>
      </c>
      <c r="Z1406">
        <v>1985.87</v>
      </c>
      <c r="AB1406" t="s">
        <v>181</v>
      </c>
      <c r="AC1406" t="s">
        <v>182</v>
      </c>
      <c r="AD1406" t="s">
        <v>183</v>
      </c>
      <c r="AE1406">
        <v>0</v>
      </c>
      <c r="AF1406">
        <v>8</v>
      </c>
      <c r="AG1406" t="s">
        <v>1059</v>
      </c>
      <c r="AH1406">
        <v>100</v>
      </c>
      <c r="AK1406">
        <v>0</v>
      </c>
      <c r="AL1406">
        <v>119338</v>
      </c>
      <c r="AM1406">
        <v>67501</v>
      </c>
      <c r="AN1406">
        <v>51837</v>
      </c>
      <c r="AO1406">
        <v>1783</v>
      </c>
      <c r="AP1406">
        <v>2016</v>
      </c>
      <c r="AQ1406">
        <v>1.66</v>
      </c>
      <c r="AS1406" t="s">
        <v>18150</v>
      </c>
      <c r="AT1406" t="s">
        <v>3210</v>
      </c>
      <c r="AU1406" t="s">
        <v>177</v>
      </c>
      <c r="AV1406" t="s">
        <v>2334</v>
      </c>
      <c r="AW1406" t="s">
        <v>182</v>
      </c>
      <c r="AX1406">
        <v>11</v>
      </c>
      <c r="AY1406" t="s">
        <v>3641</v>
      </c>
      <c r="AZ1406" t="s">
        <v>212</v>
      </c>
      <c r="BA1406" t="s">
        <v>5959</v>
      </c>
      <c r="BB1406" t="s">
        <v>191</v>
      </c>
      <c r="BC1406" t="s">
        <v>182</v>
      </c>
      <c r="BD1406" t="s">
        <v>182</v>
      </c>
      <c r="BE1406" t="s">
        <v>5369</v>
      </c>
      <c r="BF1406">
        <v>1</v>
      </c>
      <c r="BG1406">
        <v>0</v>
      </c>
      <c r="BH1406">
        <v>1961</v>
      </c>
      <c r="BI1406" t="s">
        <v>7202</v>
      </c>
      <c r="BJ1406" t="s">
        <v>194</v>
      </c>
      <c r="BK1406" t="s">
        <v>840</v>
      </c>
      <c r="BL1406" t="s">
        <v>199</v>
      </c>
      <c r="BM1406" t="s">
        <v>232</v>
      </c>
      <c r="BN1406" t="s">
        <v>182</v>
      </c>
      <c r="BO1406" t="s">
        <v>198</v>
      </c>
      <c r="BP1406" t="s">
        <v>198</v>
      </c>
      <c r="BQ1406" t="s">
        <v>198</v>
      </c>
      <c r="BR1406" t="s">
        <v>198</v>
      </c>
      <c r="BS1406" t="s">
        <v>198</v>
      </c>
      <c r="BT1406" t="s">
        <v>198</v>
      </c>
      <c r="BU1406" t="s">
        <v>182</v>
      </c>
      <c r="BV1406" t="s">
        <v>198</v>
      </c>
      <c r="BW1406" t="s">
        <v>198</v>
      </c>
      <c r="BX1406" t="s">
        <v>199</v>
      </c>
      <c r="BY1406" t="s">
        <v>198</v>
      </c>
      <c r="BZ1406" t="s">
        <v>199</v>
      </c>
      <c r="CA1406" t="s">
        <v>199</v>
      </c>
      <c r="CB1406" t="s">
        <v>18151</v>
      </c>
      <c r="CC1406" t="s">
        <v>201</v>
      </c>
      <c r="CD1406" t="s">
        <v>202</v>
      </c>
      <c r="CE1406" t="s">
        <v>18152</v>
      </c>
      <c r="CF1406" t="s">
        <v>18153</v>
      </c>
      <c r="CG1406" t="s">
        <v>5791</v>
      </c>
      <c r="CH1406" t="s">
        <v>18154</v>
      </c>
      <c r="CI1406" t="s">
        <v>18155</v>
      </c>
      <c r="CJ1406" t="s">
        <v>9552</v>
      </c>
      <c r="CK1406" t="s">
        <v>232</v>
      </c>
      <c r="CL1406" t="s">
        <v>233</v>
      </c>
      <c r="CM1406" t="s">
        <v>18156</v>
      </c>
      <c r="CN1406" t="s">
        <v>235</v>
      </c>
      <c r="CO1406" t="s">
        <v>183</v>
      </c>
      <c r="CP1406" t="s">
        <v>211</v>
      </c>
      <c r="CQ1406" t="s">
        <v>342</v>
      </c>
      <c r="CS1406" t="s">
        <v>7659</v>
      </c>
      <c r="CT1406" t="s">
        <v>10283</v>
      </c>
      <c r="CU1406" t="s">
        <v>292</v>
      </c>
      <c r="CV1406" t="s">
        <v>293</v>
      </c>
      <c r="CW1406" t="s">
        <v>18157</v>
      </c>
      <c r="CX1406" t="s">
        <v>235</v>
      </c>
      <c r="CY1406" t="s">
        <v>183</v>
      </c>
      <c r="CZ1406" t="s">
        <v>211</v>
      </c>
      <c r="DA1406" t="s">
        <v>270</v>
      </c>
      <c r="DC1406" t="s">
        <v>9664</v>
      </c>
      <c r="DD1406" t="s">
        <v>14177</v>
      </c>
      <c r="DE1406" t="s">
        <v>267</v>
      </c>
      <c r="DF1406" t="s">
        <v>268</v>
      </c>
      <c r="DG1406" t="s">
        <v>18158</v>
      </c>
      <c r="DH1406" t="s">
        <v>235</v>
      </c>
      <c r="DI1406" t="s">
        <v>183</v>
      </c>
      <c r="DJ1406" t="s">
        <v>211</v>
      </c>
      <c r="DK1406" t="s">
        <v>345</v>
      </c>
      <c r="DM1406" t="s">
        <v>7453</v>
      </c>
      <c r="DN1406" t="s">
        <v>6937</v>
      </c>
      <c r="DO1406" t="s">
        <v>273</v>
      </c>
      <c r="DP1406" t="s">
        <v>274</v>
      </c>
      <c r="DQ1406" t="s">
        <v>18159</v>
      </c>
      <c r="DR1406" t="s">
        <v>235</v>
      </c>
      <c r="DS1406" t="s">
        <v>183</v>
      </c>
      <c r="DT1406" t="s">
        <v>211</v>
      </c>
      <c r="DU1406" t="s">
        <v>298</v>
      </c>
      <c r="DW1406" t="s">
        <v>2856</v>
      </c>
      <c r="DX1406" t="s">
        <v>8109</v>
      </c>
      <c r="DY1406" t="s">
        <v>302</v>
      </c>
      <c r="DZ1406" t="s">
        <v>303</v>
      </c>
      <c r="EA1406" t="s">
        <v>18160</v>
      </c>
      <c r="EB1406" t="s">
        <v>235</v>
      </c>
      <c r="EC1406" t="s">
        <v>183</v>
      </c>
      <c r="ED1406" t="s">
        <v>211</v>
      </c>
      <c r="EE1406" t="s">
        <v>345</v>
      </c>
      <c r="EG1406" t="s">
        <v>18161</v>
      </c>
      <c r="EH1406" t="s">
        <v>18162</v>
      </c>
      <c r="EI1406" t="s">
        <v>238</v>
      </c>
      <c r="EJ1406" t="s">
        <v>239</v>
      </c>
      <c r="EK1406" t="s">
        <v>18163</v>
      </c>
      <c r="EL1406" t="s">
        <v>511</v>
      </c>
      <c r="EM1406" t="s">
        <v>183</v>
      </c>
      <c r="EN1406" t="s">
        <v>211</v>
      </c>
      <c r="EO1406" t="s">
        <v>298</v>
      </c>
      <c r="EQ1406" t="s">
        <v>3501</v>
      </c>
      <c r="ER1406" t="s">
        <v>2652</v>
      </c>
      <c r="ES1406" t="s">
        <v>346</v>
      </c>
      <c r="ET1406" t="s">
        <v>347</v>
      </c>
      <c r="EU1406" t="s">
        <v>18164</v>
      </c>
      <c r="EV1406" t="s">
        <v>247</v>
      </c>
      <c r="EW1406" t="s">
        <v>183</v>
      </c>
      <c r="EX1406" t="s">
        <v>211</v>
      </c>
      <c r="EY1406" t="s">
        <v>298</v>
      </c>
      <c r="FA1406" t="s">
        <v>878</v>
      </c>
      <c r="FB1406" t="s">
        <v>18165</v>
      </c>
      <c r="FC1406" t="s">
        <v>207</v>
      </c>
      <c r="FD1406" t="s">
        <v>208</v>
      </c>
      <c r="FE1406" t="s">
        <v>18166</v>
      </c>
      <c r="FF1406" t="s">
        <v>833</v>
      </c>
      <c r="FG1406" t="s">
        <v>183</v>
      </c>
      <c r="FH1406" t="s">
        <v>211</v>
      </c>
      <c r="FI1406" t="s">
        <v>337</v>
      </c>
      <c r="FK1406" t="s">
        <v>4656</v>
      </c>
      <c r="FU1406" t="s">
        <v>198</v>
      </c>
    </row>
    <row r="1407" spans="1:177">
      <c r="A1407" s="1" t="str">
        <f>HYPERLINK("http://digipan.lumentumllc.com/apps/getLink/index.php?t=PropLink&amp;p=5248506","PL")</f>
        <v>PL</v>
      </c>
      <c r="B1407" s="1" t="str">
        <f>HYPERLINK("http://digipan.lumentumllc.com/apps/getLink/index.php?t=TaxLink&amp;p=5248506","TL")</f>
        <v>TL</v>
      </c>
      <c r="C1407" s="1" t="str">
        <f>HYPERLINK("http://digipan.lumentumllc.com/apps/getMap/index.php?p=5248506","Map")</f>
        <v>Map</v>
      </c>
      <c r="E1407" t="s">
        <v>177</v>
      </c>
      <c r="F1407" t="s">
        <v>178</v>
      </c>
      <c r="L1407" t="s">
        <v>18167</v>
      </c>
      <c r="N1407" t="s">
        <v>18167</v>
      </c>
      <c r="O1407" t="s">
        <v>18167</v>
      </c>
      <c r="P1407" t="s">
        <v>18168</v>
      </c>
      <c r="Q1407" t="s">
        <v>18167</v>
      </c>
      <c r="V1407">
        <v>1613</v>
      </c>
      <c r="W1407">
        <v>5</v>
      </c>
      <c r="X1407">
        <v>2017</v>
      </c>
      <c r="Y1407">
        <v>2018</v>
      </c>
      <c r="Z1407">
        <v>2904.33</v>
      </c>
      <c r="AB1407" t="s">
        <v>181</v>
      </c>
      <c r="AC1407" t="s">
        <v>182</v>
      </c>
      <c r="AD1407" t="s">
        <v>183</v>
      </c>
      <c r="AE1407">
        <v>1</v>
      </c>
      <c r="AF1407">
        <v>4</v>
      </c>
      <c r="AG1407" t="s">
        <v>257</v>
      </c>
      <c r="AH1407">
        <v>75</v>
      </c>
      <c r="AI1407">
        <v>3030.84</v>
      </c>
      <c r="AJ1407">
        <v>151.54</v>
      </c>
      <c r="AK1407">
        <v>3182.38</v>
      </c>
      <c r="AL1407">
        <v>175435</v>
      </c>
      <c r="AM1407">
        <v>67498</v>
      </c>
      <c r="AN1407">
        <v>107937</v>
      </c>
      <c r="AO1407">
        <v>2777</v>
      </c>
      <c r="AP1407">
        <v>2016</v>
      </c>
      <c r="AQ1407">
        <v>1.66</v>
      </c>
      <c r="AR1407">
        <v>1.81</v>
      </c>
      <c r="AS1407" t="s">
        <v>18169</v>
      </c>
      <c r="AT1407" t="s">
        <v>3210</v>
      </c>
      <c r="AU1407" t="s">
        <v>177</v>
      </c>
      <c r="AV1407" t="s">
        <v>2334</v>
      </c>
      <c r="AW1407" t="s">
        <v>182</v>
      </c>
      <c r="AX1407">
        <v>27</v>
      </c>
      <c r="AY1407" t="s">
        <v>3641</v>
      </c>
      <c r="AZ1407" t="s">
        <v>616</v>
      </c>
      <c r="BA1407" t="s">
        <v>6072</v>
      </c>
      <c r="BB1407" t="s">
        <v>191</v>
      </c>
      <c r="BC1407" t="s">
        <v>182</v>
      </c>
      <c r="BD1407" t="s">
        <v>182</v>
      </c>
      <c r="BE1407" t="s">
        <v>5369</v>
      </c>
      <c r="BF1407">
        <v>1</v>
      </c>
      <c r="BG1407">
        <v>16</v>
      </c>
      <c r="BH1407">
        <v>1986</v>
      </c>
      <c r="BI1407" t="s">
        <v>18170</v>
      </c>
      <c r="BJ1407" t="s">
        <v>194</v>
      </c>
      <c r="BK1407" t="s">
        <v>3643</v>
      </c>
      <c r="BL1407" t="s">
        <v>5504</v>
      </c>
      <c r="BM1407" t="s">
        <v>1041</v>
      </c>
      <c r="BN1407" t="s">
        <v>182</v>
      </c>
      <c r="BO1407" t="s">
        <v>198</v>
      </c>
      <c r="BP1407" t="s">
        <v>198</v>
      </c>
      <c r="BQ1407" t="s">
        <v>198</v>
      </c>
      <c r="BR1407" t="s">
        <v>198</v>
      </c>
      <c r="BS1407" t="s">
        <v>198</v>
      </c>
      <c r="BT1407" t="s">
        <v>198</v>
      </c>
      <c r="BU1407" t="s">
        <v>182</v>
      </c>
      <c r="BV1407" t="s">
        <v>198</v>
      </c>
      <c r="BW1407" t="s">
        <v>198</v>
      </c>
      <c r="BX1407" t="s">
        <v>199</v>
      </c>
      <c r="BY1407" t="s">
        <v>198</v>
      </c>
      <c r="BZ1407" t="s">
        <v>199</v>
      </c>
      <c r="CA1407" t="s">
        <v>199</v>
      </c>
      <c r="CB1407" t="s">
        <v>18171</v>
      </c>
      <c r="CC1407" t="s">
        <v>201</v>
      </c>
      <c r="CD1407" t="s">
        <v>182</v>
      </c>
      <c r="CE1407" t="s">
        <v>18169</v>
      </c>
      <c r="CF1407" t="s">
        <v>2333</v>
      </c>
      <c r="CG1407" t="s">
        <v>177</v>
      </c>
      <c r="CH1407" t="s">
        <v>2334</v>
      </c>
      <c r="CI1407" t="s">
        <v>18172</v>
      </c>
      <c r="CJ1407" t="s">
        <v>15295</v>
      </c>
      <c r="CK1407" t="s">
        <v>232</v>
      </c>
      <c r="CL1407" t="s">
        <v>233</v>
      </c>
      <c r="CM1407" t="s">
        <v>18173</v>
      </c>
      <c r="CN1407" t="s">
        <v>235</v>
      </c>
      <c r="CO1407" t="s">
        <v>183</v>
      </c>
      <c r="CP1407" t="s">
        <v>266</v>
      </c>
      <c r="CS1407" t="s">
        <v>198</v>
      </c>
      <c r="CT1407" t="s">
        <v>14195</v>
      </c>
      <c r="CU1407" t="s">
        <v>267</v>
      </c>
      <c r="CV1407" t="s">
        <v>268</v>
      </c>
      <c r="CW1407" t="s">
        <v>18174</v>
      </c>
      <c r="CX1407" t="s">
        <v>235</v>
      </c>
      <c r="CY1407" t="s">
        <v>183</v>
      </c>
      <c r="CZ1407" t="s">
        <v>211</v>
      </c>
      <c r="DA1407" t="s">
        <v>199</v>
      </c>
      <c r="DC1407" t="s">
        <v>18175</v>
      </c>
      <c r="DD1407" t="s">
        <v>2061</v>
      </c>
      <c r="DE1407" t="s">
        <v>302</v>
      </c>
      <c r="DF1407" t="s">
        <v>303</v>
      </c>
      <c r="DG1407" t="s">
        <v>18176</v>
      </c>
      <c r="DH1407" t="s">
        <v>235</v>
      </c>
      <c r="DI1407" t="s">
        <v>183</v>
      </c>
      <c r="DJ1407" t="s">
        <v>211</v>
      </c>
      <c r="DK1407" t="s">
        <v>250</v>
      </c>
      <c r="DM1407" t="s">
        <v>18177</v>
      </c>
      <c r="DN1407" t="s">
        <v>18178</v>
      </c>
      <c r="DO1407" t="s">
        <v>346</v>
      </c>
      <c r="DP1407" t="s">
        <v>347</v>
      </c>
      <c r="DQ1407" t="s">
        <v>18179</v>
      </c>
      <c r="DR1407" t="s">
        <v>440</v>
      </c>
      <c r="DS1407" t="s">
        <v>183</v>
      </c>
      <c r="DT1407" t="s">
        <v>211</v>
      </c>
      <c r="DU1407" t="s">
        <v>342</v>
      </c>
      <c r="DW1407" t="s">
        <v>3169</v>
      </c>
      <c r="DX1407" t="s">
        <v>10139</v>
      </c>
      <c r="DY1407" t="s">
        <v>207</v>
      </c>
      <c r="DZ1407" t="s">
        <v>208</v>
      </c>
      <c r="EA1407" t="s">
        <v>18180</v>
      </c>
      <c r="EB1407" t="s">
        <v>254</v>
      </c>
      <c r="EC1407" t="s">
        <v>183</v>
      </c>
      <c r="ED1407" t="s">
        <v>211</v>
      </c>
      <c r="EE1407" t="s">
        <v>270</v>
      </c>
      <c r="EG1407" t="s">
        <v>2345</v>
      </c>
      <c r="EQ1407" t="s">
        <v>198</v>
      </c>
      <c r="FA1407" t="s">
        <v>198</v>
      </c>
      <c r="FK1407" t="s">
        <v>198</v>
      </c>
      <c r="FU1407" t="s">
        <v>198</v>
      </c>
    </row>
    <row r="1408" spans="1:177">
      <c r="A1408" s="1" t="str">
        <f>HYPERLINK("http://digipan.lumentumllc.com/apps/getLink/index.php?t=PropLink&amp;p=5248508","PL")</f>
        <v>PL</v>
      </c>
      <c r="B1408" s="1" t="str">
        <f>HYPERLINK("http://digipan.lumentumllc.com/apps/getLink/index.php?t=TaxLink&amp;p=5248508","TL")</f>
        <v>TL</v>
      </c>
      <c r="C1408" s="1" t="str">
        <f>HYPERLINK("http://digipan.lumentumllc.com/apps/getMap/index.php?p=5248508","Map")</f>
        <v>Map</v>
      </c>
      <c r="E1408" t="s">
        <v>177</v>
      </c>
      <c r="F1408" t="s">
        <v>178</v>
      </c>
      <c r="L1408" t="s">
        <v>18181</v>
      </c>
      <c r="N1408" t="s">
        <v>18181</v>
      </c>
      <c r="O1408" t="s">
        <v>18181</v>
      </c>
      <c r="P1408" t="s">
        <v>18182</v>
      </c>
      <c r="Q1408" t="s">
        <v>18181</v>
      </c>
      <c r="V1408">
        <v>1614</v>
      </c>
      <c r="W1408">
        <v>5</v>
      </c>
      <c r="X1408">
        <v>2017</v>
      </c>
      <c r="Y1408">
        <v>2018</v>
      </c>
      <c r="Z1408">
        <v>4574.2299999999996</v>
      </c>
      <c r="AG1408" t="s">
        <v>184</v>
      </c>
      <c r="AH1408">
        <v>0</v>
      </c>
      <c r="AK1408">
        <v>0</v>
      </c>
      <c r="AL1408">
        <v>277428</v>
      </c>
      <c r="AM1408">
        <v>247420</v>
      </c>
      <c r="AN1408">
        <v>30008</v>
      </c>
      <c r="AO1408">
        <v>4269</v>
      </c>
      <c r="AP1408">
        <v>2016</v>
      </c>
      <c r="AQ1408">
        <v>1.65</v>
      </c>
      <c r="AS1408" t="s">
        <v>18183</v>
      </c>
      <c r="AT1408" t="s">
        <v>3210</v>
      </c>
      <c r="AU1408" t="s">
        <v>177</v>
      </c>
      <c r="AV1408" t="s">
        <v>2334</v>
      </c>
      <c r="AW1408" t="s">
        <v>182</v>
      </c>
      <c r="AX1408">
        <v>12</v>
      </c>
      <c r="AY1408" t="s">
        <v>3641</v>
      </c>
      <c r="AZ1408" t="s">
        <v>427</v>
      </c>
      <c r="BA1408" t="s">
        <v>7093</v>
      </c>
      <c r="BB1408" t="s">
        <v>191</v>
      </c>
      <c r="BC1408" t="s">
        <v>182</v>
      </c>
      <c r="BD1408" t="s">
        <v>1528</v>
      </c>
      <c r="BE1408" t="s">
        <v>18184</v>
      </c>
      <c r="BF1408">
        <v>1</v>
      </c>
      <c r="BG1408">
        <v>0</v>
      </c>
      <c r="BH1408">
        <v>1993</v>
      </c>
      <c r="BI1408" t="s">
        <v>18185</v>
      </c>
      <c r="BJ1408" t="s">
        <v>285</v>
      </c>
      <c r="BK1408" t="s">
        <v>195</v>
      </c>
      <c r="BL1408" t="s">
        <v>2735</v>
      </c>
      <c r="BM1408" t="s">
        <v>292</v>
      </c>
      <c r="BN1408" t="s">
        <v>182</v>
      </c>
      <c r="BO1408" t="s">
        <v>18186</v>
      </c>
      <c r="BP1408" t="s">
        <v>18187</v>
      </c>
      <c r="BQ1408" t="s">
        <v>1896</v>
      </c>
      <c r="BR1408" t="s">
        <v>582</v>
      </c>
      <c r="BS1408" t="s">
        <v>198</v>
      </c>
      <c r="BT1408" t="s">
        <v>18188</v>
      </c>
      <c r="BU1408" t="s">
        <v>182</v>
      </c>
      <c r="BV1408" t="s">
        <v>198</v>
      </c>
      <c r="BW1408" t="s">
        <v>198</v>
      </c>
      <c r="BX1408" t="s">
        <v>199</v>
      </c>
      <c r="BY1408" t="s">
        <v>198</v>
      </c>
      <c r="BZ1408" t="s">
        <v>199</v>
      </c>
      <c r="CA1408" t="s">
        <v>199</v>
      </c>
      <c r="CB1408" t="s">
        <v>18115</v>
      </c>
      <c r="CC1408" t="s">
        <v>201</v>
      </c>
      <c r="CD1408" t="s">
        <v>202</v>
      </c>
      <c r="CE1408" t="s">
        <v>18116</v>
      </c>
      <c r="CF1408" t="s">
        <v>2333</v>
      </c>
      <c r="CG1408" t="s">
        <v>177</v>
      </c>
      <c r="CH1408" t="s">
        <v>2334</v>
      </c>
      <c r="CI1408" t="s">
        <v>18189</v>
      </c>
      <c r="CS1408" t="s">
        <v>198</v>
      </c>
      <c r="DC1408" t="s">
        <v>198</v>
      </c>
      <c r="DM1408" t="s">
        <v>198</v>
      </c>
      <c r="DW1408" t="s">
        <v>198</v>
      </c>
      <c r="EG1408" t="s">
        <v>198</v>
      </c>
      <c r="EQ1408" t="s">
        <v>198</v>
      </c>
      <c r="FA1408" t="s">
        <v>198</v>
      </c>
      <c r="FK1408" t="s">
        <v>198</v>
      </c>
      <c r="FU1408" t="s">
        <v>198</v>
      </c>
    </row>
    <row r="1409" spans="1:177">
      <c r="A1409" s="1" t="str">
        <f>HYPERLINK("http://digipan.lumentumllc.com/apps/getLink/index.php?t=PropLink&amp;p=15763596","PL")</f>
        <v>PL</v>
      </c>
      <c r="B1409" s="1" t="str">
        <f>HYPERLINK("http://digipan.lumentumllc.com/apps/getLink/index.php?t=TaxLink&amp;p=15763596","TL")</f>
        <v>TL</v>
      </c>
      <c r="C1409" s="1" t="str">
        <f>HYPERLINK("http://digipan.lumentumllc.com/apps/getMap/index.php?p=15763596","Map")</f>
        <v>Map</v>
      </c>
      <c r="E1409" t="s">
        <v>177</v>
      </c>
      <c r="F1409" t="s">
        <v>178</v>
      </c>
      <c r="L1409" t="s">
        <v>18190</v>
      </c>
      <c r="N1409" t="s">
        <v>18190</v>
      </c>
      <c r="O1409" t="s">
        <v>18190</v>
      </c>
      <c r="Q1409" t="s">
        <v>18190</v>
      </c>
      <c r="V1409">
        <v>1615</v>
      </c>
      <c r="W1409">
        <v>5</v>
      </c>
      <c r="X1409">
        <v>2017</v>
      </c>
      <c r="Y1409">
        <v>2018</v>
      </c>
      <c r="Z1409">
        <v>751.81</v>
      </c>
      <c r="AB1409" t="s">
        <v>181</v>
      </c>
      <c r="AC1409" t="s">
        <v>182</v>
      </c>
      <c r="AD1409" t="s">
        <v>183</v>
      </c>
      <c r="AE1409">
        <v>1</v>
      </c>
      <c r="AF1409">
        <v>0</v>
      </c>
      <c r="AG1409" t="s">
        <v>1200</v>
      </c>
      <c r="AH1409">
        <v>0</v>
      </c>
      <c r="AI1409">
        <v>525.07000000000005</v>
      </c>
      <c r="AJ1409">
        <v>26.25</v>
      </c>
      <c r="AK1409">
        <v>551.32000000000005</v>
      </c>
      <c r="AL1409">
        <v>43963</v>
      </c>
      <c r="AM1409">
        <v>25000</v>
      </c>
      <c r="AN1409">
        <v>18963</v>
      </c>
      <c r="AO1409">
        <v>461</v>
      </c>
      <c r="AP1409">
        <v>2016</v>
      </c>
      <c r="AQ1409">
        <v>1.71</v>
      </c>
      <c r="AR1409">
        <v>1.25</v>
      </c>
      <c r="AS1409" t="s">
        <v>18191</v>
      </c>
      <c r="AT1409" t="s">
        <v>3210</v>
      </c>
      <c r="AU1409" t="s">
        <v>177</v>
      </c>
      <c r="AV1409" t="s">
        <v>2334</v>
      </c>
      <c r="AW1409" t="s">
        <v>182</v>
      </c>
      <c r="AX1409">
        <v>2</v>
      </c>
      <c r="AY1409" t="s">
        <v>188</v>
      </c>
      <c r="AZ1409" t="s">
        <v>189</v>
      </c>
      <c r="BA1409" t="s">
        <v>190</v>
      </c>
      <c r="BB1409" t="s">
        <v>191</v>
      </c>
      <c r="BC1409" t="s">
        <v>182</v>
      </c>
      <c r="BD1409" t="s">
        <v>182</v>
      </c>
      <c r="BE1409" t="s">
        <v>383</v>
      </c>
      <c r="BF1409">
        <v>1</v>
      </c>
      <c r="BG1409">
        <v>1</v>
      </c>
      <c r="BH1409">
        <v>1986</v>
      </c>
      <c r="BI1409" t="s">
        <v>12092</v>
      </c>
      <c r="BJ1409" t="s">
        <v>194</v>
      </c>
      <c r="BK1409" t="s">
        <v>195</v>
      </c>
      <c r="BL1409" t="s">
        <v>2050</v>
      </c>
      <c r="BM1409" t="s">
        <v>232</v>
      </c>
      <c r="BN1409" t="s">
        <v>182</v>
      </c>
      <c r="BO1409" t="s">
        <v>198</v>
      </c>
      <c r="BP1409" t="s">
        <v>198</v>
      </c>
      <c r="BQ1409" t="s">
        <v>198</v>
      </c>
      <c r="BR1409" t="s">
        <v>198</v>
      </c>
      <c r="BS1409" t="s">
        <v>198</v>
      </c>
      <c r="BT1409" t="s">
        <v>198</v>
      </c>
      <c r="BU1409" t="s">
        <v>182</v>
      </c>
      <c r="BV1409" t="s">
        <v>198</v>
      </c>
      <c r="BW1409" t="s">
        <v>198</v>
      </c>
      <c r="BX1409" t="s">
        <v>199</v>
      </c>
      <c r="BY1409" t="s">
        <v>198</v>
      </c>
      <c r="BZ1409" t="s">
        <v>199</v>
      </c>
      <c r="CA1409" t="s">
        <v>199</v>
      </c>
      <c r="CB1409" t="s">
        <v>18192</v>
      </c>
      <c r="CC1409" t="s">
        <v>201</v>
      </c>
      <c r="CD1409" t="s">
        <v>202</v>
      </c>
      <c r="CE1409" t="s">
        <v>18193</v>
      </c>
      <c r="CF1409" t="s">
        <v>5331</v>
      </c>
      <c r="CG1409" t="s">
        <v>177</v>
      </c>
      <c r="CH1409" t="s">
        <v>371</v>
      </c>
      <c r="CI1409" t="s">
        <v>18194</v>
      </c>
      <c r="CJ1409" t="s">
        <v>16227</v>
      </c>
      <c r="CK1409" t="s">
        <v>232</v>
      </c>
      <c r="CL1409" t="s">
        <v>233</v>
      </c>
      <c r="CM1409" t="s">
        <v>5760</v>
      </c>
      <c r="CN1409" t="s">
        <v>235</v>
      </c>
      <c r="CO1409" t="s">
        <v>183</v>
      </c>
      <c r="CP1409" t="s">
        <v>266</v>
      </c>
      <c r="CS1409" t="s">
        <v>198</v>
      </c>
      <c r="DC1409" t="s">
        <v>198</v>
      </c>
      <c r="DM1409" t="s">
        <v>198</v>
      </c>
      <c r="DW1409" t="s">
        <v>198</v>
      </c>
      <c r="EG1409" t="s">
        <v>198</v>
      </c>
      <c r="EQ1409" t="s">
        <v>198</v>
      </c>
      <c r="FA1409" t="s">
        <v>198</v>
      </c>
      <c r="FK1409" t="s">
        <v>198</v>
      </c>
      <c r="FU1409" t="s">
        <v>198</v>
      </c>
    </row>
    <row r="1410" spans="1:177">
      <c r="A1410" s="1" t="str">
        <f>HYPERLINK("http://digipan.lumentumllc.com/apps/getLink/index.php?t=PropLink&amp;p=5248511","PL")</f>
        <v>PL</v>
      </c>
      <c r="B1410" s="1" t="str">
        <f>HYPERLINK("http://digipan.lumentumllc.com/apps/getLink/index.php?t=TaxLink&amp;p=5248511","TL")</f>
        <v>TL</v>
      </c>
      <c r="C1410" s="1" t="str">
        <f>HYPERLINK("http://digipan.lumentumllc.com/apps/getMap/index.php?p=5248511","Map")</f>
        <v>Map</v>
      </c>
      <c r="E1410" t="s">
        <v>177</v>
      </c>
      <c r="F1410" t="s">
        <v>178</v>
      </c>
      <c r="L1410" t="s">
        <v>18195</v>
      </c>
      <c r="N1410" t="s">
        <v>18195</v>
      </c>
      <c r="O1410" t="s">
        <v>18195</v>
      </c>
      <c r="P1410" t="s">
        <v>18196</v>
      </c>
      <c r="Q1410" t="s">
        <v>18195</v>
      </c>
      <c r="V1410">
        <v>1616</v>
      </c>
      <c r="W1410">
        <v>5</v>
      </c>
      <c r="X1410">
        <v>2017</v>
      </c>
      <c r="Y1410">
        <v>2018</v>
      </c>
      <c r="Z1410">
        <v>441.32</v>
      </c>
      <c r="AG1410" t="s">
        <v>184</v>
      </c>
      <c r="AH1410">
        <v>0</v>
      </c>
      <c r="AK1410">
        <v>0</v>
      </c>
      <c r="AL1410">
        <v>25000</v>
      </c>
      <c r="AM1410">
        <v>25000</v>
      </c>
      <c r="AN1410">
        <v>0</v>
      </c>
      <c r="AO1410">
        <v>384</v>
      </c>
      <c r="AP1410">
        <v>2016</v>
      </c>
      <c r="AQ1410">
        <v>1.77</v>
      </c>
      <c r="AS1410" t="s">
        <v>14388</v>
      </c>
      <c r="AT1410" t="s">
        <v>3210</v>
      </c>
      <c r="AU1410" t="s">
        <v>177</v>
      </c>
      <c r="AV1410" t="s">
        <v>2334</v>
      </c>
      <c r="AW1410" t="s">
        <v>182</v>
      </c>
      <c r="AX1410">
        <v>0</v>
      </c>
      <c r="AY1410" t="s">
        <v>312</v>
      </c>
      <c r="AZ1410" t="s">
        <v>199</v>
      </c>
      <c r="BA1410" t="s">
        <v>313</v>
      </c>
      <c r="BB1410" t="s">
        <v>191</v>
      </c>
      <c r="BC1410" t="s">
        <v>182</v>
      </c>
      <c r="BD1410" t="s">
        <v>182</v>
      </c>
      <c r="BE1410" t="s">
        <v>383</v>
      </c>
      <c r="BF1410">
        <v>0</v>
      </c>
      <c r="BG1410">
        <v>0</v>
      </c>
      <c r="BH1410">
        <v>0</v>
      </c>
      <c r="BI1410" t="s">
        <v>199</v>
      </c>
      <c r="BJ1410" t="s">
        <v>315</v>
      </c>
      <c r="BL1410" t="s">
        <v>2735</v>
      </c>
      <c r="BM1410" t="s">
        <v>273</v>
      </c>
      <c r="BN1410" t="s">
        <v>182</v>
      </c>
      <c r="BO1410" t="s">
        <v>198</v>
      </c>
      <c r="BP1410" t="s">
        <v>198</v>
      </c>
      <c r="BQ1410" t="s">
        <v>198</v>
      </c>
      <c r="BR1410" t="s">
        <v>198</v>
      </c>
      <c r="BS1410" t="s">
        <v>198</v>
      </c>
      <c r="BT1410" t="s">
        <v>198</v>
      </c>
      <c r="BU1410" t="s">
        <v>182</v>
      </c>
      <c r="BV1410" t="s">
        <v>198</v>
      </c>
      <c r="BW1410" t="s">
        <v>198</v>
      </c>
      <c r="BX1410" t="s">
        <v>199</v>
      </c>
      <c r="BY1410" t="s">
        <v>198</v>
      </c>
      <c r="BZ1410" t="s">
        <v>199</v>
      </c>
      <c r="CA1410" t="s">
        <v>199</v>
      </c>
      <c r="CB1410" t="s">
        <v>18115</v>
      </c>
      <c r="CC1410" t="s">
        <v>201</v>
      </c>
      <c r="CD1410" t="s">
        <v>202</v>
      </c>
      <c r="CE1410" t="s">
        <v>18116</v>
      </c>
      <c r="CF1410" t="s">
        <v>2333</v>
      </c>
      <c r="CG1410" t="s">
        <v>177</v>
      </c>
      <c r="CH1410" t="s">
        <v>2334</v>
      </c>
      <c r="CI1410" t="s">
        <v>16352</v>
      </c>
      <c r="CS1410" t="s">
        <v>198</v>
      </c>
      <c r="DC1410" t="s">
        <v>198</v>
      </c>
      <c r="DM1410" t="s">
        <v>198</v>
      </c>
      <c r="DW1410" t="s">
        <v>198</v>
      </c>
      <c r="EG1410" t="s">
        <v>198</v>
      </c>
      <c r="EQ1410" t="s">
        <v>198</v>
      </c>
      <c r="FA1410" t="s">
        <v>198</v>
      </c>
      <c r="FK1410" t="s">
        <v>198</v>
      </c>
      <c r="FU1410" t="s">
        <v>198</v>
      </c>
    </row>
    <row r="1411" spans="1:177">
      <c r="A1411" s="1" t="str">
        <f>HYPERLINK("http://digipan.lumentumllc.com/apps/getLink/index.php?t=PropLink&amp;p=4638866","PL")</f>
        <v>PL</v>
      </c>
      <c r="B1411" s="1" t="str">
        <f>HYPERLINK("http://digipan.lumentumllc.com/apps/getLink/index.php?t=TaxLink&amp;p=4638866","TL")</f>
        <v>TL</v>
      </c>
      <c r="C1411" s="1" t="str">
        <f>HYPERLINK("http://digipan.lumentumllc.com/apps/getMap/index.php?p=4638866","Map")</f>
        <v>Map</v>
      </c>
      <c r="E1411" t="s">
        <v>177</v>
      </c>
      <c r="F1411" t="s">
        <v>178</v>
      </c>
      <c r="L1411" t="s">
        <v>18197</v>
      </c>
      <c r="N1411" t="s">
        <v>18197</v>
      </c>
      <c r="O1411" t="s">
        <v>18197</v>
      </c>
      <c r="P1411" t="s">
        <v>18198</v>
      </c>
      <c r="Q1411" t="s">
        <v>18197</v>
      </c>
      <c r="V1411">
        <v>1617</v>
      </c>
      <c r="W1411">
        <v>5</v>
      </c>
      <c r="X1411">
        <v>2017</v>
      </c>
      <c r="Y1411">
        <v>2018</v>
      </c>
      <c r="Z1411">
        <v>378.13</v>
      </c>
      <c r="AB1411" t="s">
        <v>181</v>
      </c>
      <c r="AC1411" t="s">
        <v>182</v>
      </c>
      <c r="AD1411" t="s">
        <v>183</v>
      </c>
      <c r="AE1411">
        <v>1</v>
      </c>
      <c r="AF1411">
        <v>1</v>
      </c>
      <c r="AG1411" t="s">
        <v>1200</v>
      </c>
      <c r="AH1411">
        <v>0</v>
      </c>
      <c r="AI1411">
        <v>303.7</v>
      </c>
      <c r="AJ1411">
        <v>15.19</v>
      </c>
      <c r="AK1411">
        <v>318.89</v>
      </c>
      <c r="AL1411">
        <v>47388</v>
      </c>
      <c r="AM1411">
        <v>22500</v>
      </c>
      <c r="AN1411">
        <v>24888</v>
      </c>
      <c r="AO1411">
        <v>256</v>
      </c>
      <c r="AP1411">
        <v>2016</v>
      </c>
      <c r="AQ1411">
        <v>0.8</v>
      </c>
      <c r="AR1411">
        <v>0.67</v>
      </c>
      <c r="AS1411" t="s">
        <v>18199</v>
      </c>
      <c r="AT1411" t="s">
        <v>3210</v>
      </c>
      <c r="AU1411" t="s">
        <v>177</v>
      </c>
      <c r="AV1411" t="s">
        <v>2334</v>
      </c>
      <c r="AW1411" t="s">
        <v>202</v>
      </c>
      <c r="AX1411">
        <v>2</v>
      </c>
      <c r="AY1411" t="s">
        <v>188</v>
      </c>
      <c r="AZ1411" t="s">
        <v>189</v>
      </c>
      <c r="BA1411" t="s">
        <v>190</v>
      </c>
      <c r="BB1411" t="s">
        <v>9158</v>
      </c>
      <c r="BC1411" t="s">
        <v>182</v>
      </c>
      <c r="BD1411" t="s">
        <v>182</v>
      </c>
      <c r="BE1411" t="s">
        <v>383</v>
      </c>
      <c r="BF1411">
        <v>1</v>
      </c>
      <c r="BG1411">
        <v>1</v>
      </c>
      <c r="BH1411">
        <v>1994</v>
      </c>
      <c r="BI1411" t="s">
        <v>4941</v>
      </c>
      <c r="BJ1411" t="s">
        <v>194</v>
      </c>
      <c r="BK1411" t="s">
        <v>195</v>
      </c>
      <c r="BL1411" t="s">
        <v>199</v>
      </c>
      <c r="BM1411" t="s">
        <v>346</v>
      </c>
      <c r="BN1411" t="s">
        <v>182</v>
      </c>
      <c r="BO1411" t="s">
        <v>198</v>
      </c>
      <c r="BP1411" t="s">
        <v>198</v>
      </c>
      <c r="BQ1411" t="s">
        <v>198</v>
      </c>
      <c r="BR1411" t="s">
        <v>198</v>
      </c>
      <c r="BS1411" t="s">
        <v>198</v>
      </c>
      <c r="BT1411" t="s">
        <v>198</v>
      </c>
      <c r="BU1411" t="s">
        <v>182</v>
      </c>
      <c r="BV1411" t="s">
        <v>198</v>
      </c>
      <c r="BW1411" t="s">
        <v>198</v>
      </c>
      <c r="BX1411" t="s">
        <v>199</v>
      </c>
      <c r="BY1411" t="s">
        <v>198</v>
      </c>
      <c r="BZ1411" t="s">
        <v>199</v>
      </c>
      <c r="CA1411" t="s">
        <v>199</v>
      </c>
      <c r="CB1411" t="s">
        <v>18200</v>
      </c>
      <c r="CC1411" t="s">
        <v>201</v>
      </c>
      <c r="CD1411" t="s">
        <v>202</v>
      </c>
      <c r="CE1411" t="s">
        <v>18201</v>
      </c>
      <c r="CF1411" t="s">
        <v>2333</v>
      </c>
      <c r="CG1411" t="s">
        <v>177</v>
      </c>
      <c r="CH1411" t="s">
        <v>3178</v>
      </c>
      <c r="CI1411" t="s">
        <v>18202</v>
      </c>
      <c r="CJ1411" t="s">
        <v>15303</v>
      </c>
      <c r="CK1411" t="s">
        <v>232</v>
      </c>
      <c r="CL1411" t="s">
        <v>233</v>
      </c>
      <c r="CM1411" t="s">
        <v>18203</v>
      </c>
      <c r="CN1411" t="s">
        <v>235</v>
      </c>
      <c r="CO1411" t="s">
        <v>183</v>
      </c>
      <c r="CP1411" t="s">
        <v>266</v>
      </c>
      <c r="CS1411" t="s">
        <v>198</v>
      </c>
      <c r="CT1411" t="s">
        <v>15041</v>
      </c>
      <c r="CU1411" t="s">
        <v>207</v>
      </c>
      <c r="CV1411" t="s">
        <v>208</v>
      </c>
      <c r="CW1411" t="s">
        <v>18204</v>
      </c>
      <c r="CX1411" t="s">
        <v>1966</v>
      </c>
      <c r="CY1411" t="s">
        <v>183</v>
      </c>
      <c r="CZ1411" t="s">
        <v>211</v>
      </c>
      <c r="DA1411" t="s">
        <v>250</v>
      </c>
      <c r="DC1411" t="s">
        <v>18205</v>
      </c>
      <c r="DM1411" t="s">
        <v>198</v>
      </c>
      <c r="DW1411" t="s">
        <v>198</v>
      </c>
      <c r="EG1411" t="s">
        <v>198</v>
      </c>
      <c r="EQ1411" t="s">
        <v>198</v>
      </c>
      <c r="FA1411" t="s">
        <v>198</v>
      </c>
      <c r="FK1411" t="s">
        <v>198</v>
      </c>
      <c r="FU1411" t="s">
        <v>198</v>
      </c>
    </row>
    <row r="1412" spans="1:177">
      <c r="A1412" s="1" t="str">
        <f>HYPERLINK("http://digipan.lumentumllc.com/apps/getLink/index.php?t=PropLink&amp;p=5248591","PL")</f>
        <v>PL</v>
      </c>
      <c r="B1412" s="1" t="str">
        <f>HYPERLINK("http://digipan.lumentumllc.com/apps/getLink/index.php?t=TaxLink&amp;p=5248591","TL")</f>
        <v>TL</v>
      </c>
      <c r="C1412" s="1" t="str">
        <f>HYPERLINK("http://digipan.lumentumllc.com/apps/getMap/index.php?p=5248591","Map")</f>
        <v>Map</v>
      </c>
      <c r="E1412" t="s">
        <v>177</v>
      </c>
      <c r="F1412" t="s">
        <v>178</v>
      </c>
      <c r="L1412" t="s">
        <v>18206</v>
      </c>
      <c r="N1412" t="s">
        <v>18206</v>
      </c>
      <c r="O1412" t="s">
        <v>18206</v>
      </c>
      <c r="P1412" t="s">
        <v>18207</v>
      </c>
      <c r="Q1412" t="s">
        <v>18206</v>
      </c>
      <c r="V1412">
        <v>1618</v>
      </c>
      <c r="W1412">
        <v>5</v>
      </c>
      <c r="X1412">
        <v>2017</v>
      </c>
      <c r="Y1412">
        <v>2018</v>
      </c>
      <c r="Z1412">
        <v>470.08</v>
      </c>
      <c r="AB1412" t="s">
        <v>181</v>
      </c>
      <c r="AC1412" t="s">
        <v>182</v>
      </c>
      <c r="AD1412" t="s">
        <v>183</v>
      </c>
      <c r="AE1412">
        <v>1</v>
      </c>
      <c r="AF1412">
        <v>5</v>
      </c>
      <c r="AG1412" t="s">
        <v>322</v>
      </c>
      <c r="AH1412">
        <v>83</v>
      </c>
      <c r="AI1412">
        <v>463.52</v>
      </c>
      <c r="AJ1412">
        <v>23.18</v>
      </c>
      <c r="AK1412">
        <v>486.7</v>
      </c>
      <c r="AL1412">
        <v>59694</v>
      </c>
      <c r="AM1412">
        <v>25000</v>
      </c>
      <c r="AN1412">
        <v>34694</v>
      </c>
      <c r="AO1412">
        <v>404</v>
      </c>
      <c r="AP1412">
        <v>2016</v>
      </c>
      <c r="AQ1412">
        <v>0.79</v>
      </c>
      <c r="AR1412">
        <v>0.82</v>
      </c>
      <c r="AS1412" t="s">
        <v>18208</v>
      </c>
      <c r="AT1412" t="s">
        <v>3210</v>
      </c>
      <c r="AU1412" t="s">
        <v>177</v>
      </c>
      <c r="AV1412" t="s">
        <v>2334</v>
      </c>
      <c r="AW1412" t="s">
        <v>202</v>
      </c>
      <c r="AX1412">
        <v>2</v>
      </c>
      <c r="AY1412" t="s">
        <v>188</v>
      </c>
      <c r="AZ1412" t="s">
        <v>189</v>
      </c>
      <c r="BA1412" t="s">
        <v>190</v>
      </c>
      <c r="BB1412" t="s">
        <v>191</v>
      </c>
      <c r="BC1412" t="s">
        <v>182</v>
      </c>
      <c r="BD1412" t="s">
        <v>182</v>
      </c>
      <c r="BE1412" t="s">
        <v>383</v>
      </c>
      <c r="BF1412">
        <v>1</v>
      </c>
      <c r="BG1412">
        <v>1</v>
      </c>
      <c r="BH1412">
        <v>1995</v>
      </c>
      <c r="BI1412" t="s">
        <v>9622</v>
      </c>
      <c r="BJ1412" t="s">
        <v>194</v>
      </c>
      <c r="BK1412" t="s">
        <v>195</v>
      </c>
      <c r="BL1412" t="s">
        <v>18209</v>
      </c>
      <c r="BM1412" t="s">
        <v>1041</v>
      </c>
      <c r="BN1412" t="s">
        <v>182</v>
      </c>
      <c r="BO1412" t="s">
        <v>18210</v>
      </c>
      <c r="BP1412" t="s">
        <v>18211</v>
      </c>
      <c r="BQ1412" t="s">
        <v>226</v>
      </c>
      <c r="BR1412" t="s">
        <v>227</v>
      </c>
      <c r="BS1412" t="s">
        <v>198</v>
      </c>
      <c r="BT1412" t="s">
        <v>228</v>
      </c>
      <c r="BU1412" t="s">
        <v>182</v>
      </c>
      <c r="BV1412" t="s">
        <v>198</v>
      </c>
      <c r="BW1412" t="s">
        <v>198</v>
      </c>
      <c r="BX1412" t="s">
        <v>199</v>
      </c>
      <c r="BY1412" t="s">
        <v>198</v>
      </c>
      <c r="BZ1412" t="s">
        <v>199</v>
      </c>
      <c r="CA1412" t="s">
        <v>199</v>
      </c>
      <c r="CB1412" t="s">
        <v>18212</v>
      </c>
      <c r="CC1412" t="s">
        <v>201</v>
      </c>
      <c r="CD1412" t="s">
        <v>182</v>
      </c>
      <c r="CE1412" t="s">
        <v>18213</v>
      </c>
      <c r="CF1412" t="s">
        <v>2333</v>
      </c>
      <c r="CG1412" t="s">
        <v>177</v>
      </c>
      <c r="CH1412" t="s">
        <v>2334</v>
      </c>
      <c r="CI1412" t="s">
        <v>18214</v>
      </c>
      <c r="CJ1412" t="s">
        <v>10889</v>
      </c>
      <c r="CK1412" t="s">
        <v>232</v>
      </c>
      <c r="CL1412" t="s">
        <v>233</v>
      </c>
      <c r="CM1412" t="s">
        <v>18215</v>
      </c>
      <c r="CN1412" t="s">
        <v>235</v>
      </c>
      <c r="CO1412" t="s">
        <v>183</v>
      </c>
      <c r="CP1412" t="s">
        <v>266</v>
      </c>
      <c r="CS1412" t="s">
        <v>198</v>
      </c>
      <c r="CT1412" t="s">
        <v>5960</v>
      </c>
      <c r="CU1412" t="s">
        <v>292</v>
      </c>
      <c r="CV1412" t="s">
        <v>293</v>
      </c>
      <c r="CW1412" t="s">
        <v>18216</v>
      </c>
      <c r="CX1412" t="s">
        <v>235</v>
      </c>
      <c r="CY1412" t="s">
        <v>183</v>
      </c>
      <c r="CZ1412" t="s">
        <v>211</v>
      </c>
      <c r="DA1412" t="s">
        <v>444</v>
      </c>
      <c r="DC1412" t="s">
        <v>5194</v>
      </c>
      <c r="DD1412" t="s">
        <v>15309</v>
      </c>
      <c r="DE1412" t="s">
        <v>267</v>
      </c>
      <c r="DF1412" t="s">
        <v>268</v>
      </c>
      <c r="DG1412" t="s">
        <v>18217</v>
      </c>
      <c r="DH1412" t="s">
        <v>235</v>
      </c>
      <c r="DI1412" t="s">
        <v>183</v>
      </c>
      <c r="DJ1412" t="s">
        <v>211</v>
      </c>
      <c r="DK1412" t="s">
        <v>487</v>
      </c>
      <c r="DM1412" t="s">
        <v>18218</v>
      </c>
      <c r="DN1412" t="s">
        <v>18219</v>
      </c>
      <c r="DO1412" t="s">
        <v>273</v>
      </c>
      <c r="DP1412" t="s">
        <v>274</v>
      </c>
      <c r="DQ1412" t="s">
        <v>18220</v>
      </c>
      <c r="DR1412" t="s">
        <v>235</v>
      </c>
      <c r="DS1412" t="s">
        <v>183</v>
      </c>
      <c r="DT1412" t="s">
        <v>211</v>
      </c>
      <c r="DU1412" t="s">
        <v>471</v>
      </c>
      <c r="DW1412" t="s">
        <v>18221</v>
      </c>
      <c r="DX1412" t="s">
        <v>18222</v>
      </c>
      <c r="DY1412" t="s">
        <v>302</v>
      </c>
      <c r="DZ1412" t="s">
        <v>303</v>
      </c>
      <c r="EA1412" t="s">
        <v>18223</v>
      </c>
      <c r="EB1412" t="s">
        <v>235</v>
      </c>
      <c r="EC1412" t="s">
        <v>183</v>
      </c>
      <c r="ED1412" t="s">
        <v>211</v>
      </c>
      <c r="EE1412" t="s">
        <v>487</v>
      </c>
      <c r="EG1412" t="s">
        <v>18224</v>
      </c>
      <c r="EH1412" t="s">
        <v>18225</v>
      </c>
      <c r="EI1412" t="s">
        <v>346</v>
      </c>
      <c r="EJ1412" t="s">
        <v>347</v>
      </c>
      <c r="EK1412" t="s">
        <v>18226</v>
      </c>
      <c r="EL1412" t="s">
        <v>278</v>
      </c>
      <c r="EM1412" t="s">
        <v>183</v>
      </c>
      <c r="EN1412" t="s">
        <v>211</v>
      </c>
      <c r="EO1412" t="s">
        <v>264</v>
      </c>
      <c r="EQ1412" t="s">
        <v>1878</v>
      </c>
      <c r="FA1412" t="s">
        <v>198</v>
      </c>
      <c r="FK1412" t="s">
        <v>198</v>
      </c>
      <c r="FU1412" t="s">
        <v>198</v>
      </c>
    </row>
    <row r="1413" spans="1:177">
      <c r="A1413" s="1" t="str">
        <f>HYPERLINK("http://digipan.lumentumllc.com/apps/getLink/index.php?t=PropLink&amp;p=4638868","PL")</f>
        <v>PL</v>
      </c>
      <c r="B1413" s="1" t="str">
        <f>HYPERLINK("http://digipan.lumentumllc.com/apps/getLink/index.php?t=TaxLink&amp;p=4638868","TL")</f>
        <v>TL</v>
      </c>
      <c r="C1413" s="1" t="str">
        <f>HYPERLINK("http://digipan.lumentumllc.com/apps/getMap/index.php?p=4638868","Map")</f>
        <v>Map</v>
      </c>
      <c r="E1413" t="s">
        <v>177</v>
      </c>
      <c r="F1413" t="s">
        <v>178</v>
      </c>
      <c r="L1413" t="s">
        <v>18227</v>
      </c>
      <c r="N1413" t="s">
        <v>18227</v>
      </c>
      <c r="O1413" t="s">
        <v>18227</v>
      </c>
      <c r="P1413" t="s">
        <v>18228</v>
      </c>
      <c r="Q1413" t="s">
        <v>18227</v>
      </c>
      <c r="V1413">
        <v>1619</v>
      </c>
      <c r="W1413">
        <v>5</v>
      </c>
      <c r="X1413">
        <v>2017</v>
      </c>
      <c r="Y1413">
        <v>2018</v>
      </c>
      <c r="Z1413">
        <v>2151.9</v>
      </c>
      <c r="AB1413" t="s">
        <v>181</v>
      </c>
      <c r="AC1413" t="s">
        <v>182</v>
      </c>
      <c r="AD1413" t="s">
        <v>183</v>
      </c>
      <c r="AE1413">
        <v>1</v>
      </c>
      <c r="AF1413">
        <v>4</v>
      </c>
      <c r="AG1413" t="s">
        <v>951</v>
      </c>
      <c r="AH1413">
        <v>80</v>
      </c>
      <c r="AI1413">
        <v>2186.5500000000002</v>
      </c>
      <c r="AJ1413">
        <v>109.33</v>
      </c>
      <c r="AK1413">
        <v>2295.88</v>
      </c>
      <c r="AL1413">
        <v>129479</v>
      </c>
      <c r="AM1413">
        <v>42575</v>
      </c>
      <c r="AN1413">
        <v>86904</v>
      </c>
      <c r="AO1413">
        <v>1997</v>
      </c>
      <c r="AP1413">
        <v>2016</v>
      </c>
      <c r="AQ1413">
        <v>1.66</v>
      </c>
      <c r="AR1413">
        <v>1.77</v>
      </c>
      <c r="AS1413" t="s">
        <v>18229</v>
      </c>
      <c r="AT1413" t="s">
        <v>3210</v>
      </c>
      <c r="AU1413" t="s">
        <v>177</v>
      </c>
      <c r="AV1413" t="s">
        <v>2334</v>
      </c>
      <c r="AW1413" t="s">
        <v>182</v>
      </c>
      <c r="AX1413">
        <v>1</v>
      </c>
      <c r="AY1413" t="s">
        <v>188</v>
      </c>
      <c r="AZ1413" t="s">
        <v>206</v>
      </c>
      <c r="BA1413" t="s">
        <v>355</v>
      </c>
      <c r="BB1413" t="s">
        <v>191</v>
      </c>
      <c r="BC1413" t="s">
        <v>182</v>
      </c>
      <c r="BD1413" t="s">
        <v>182</v>
      </c>
      <c r="BE1413" t="s">
        <v>247</v>
      </c>
      <c r="BF1413">
        <v>1</v>
      </c>
      <c r="BG1413">
        <v>1</v>
      </c>
      <c r="BH1413">
        <v>1991</v>
      </c>
      <c r="BI1413" t="s">
        <v>9780</v>
      </c>
      <c r="BJ1413" t="s">
        <v>194</v>
      </c>
      <c r="BK1413" t="s">
        <v>195</v>
      </c>
      <c r="BL1413" t="s">
        <v>199</v>
      </c>
      <c r="BM1413" t="s">
        <v>410</v>
      </c>
      <c r="BN1413" t="s">
        <v>182</v>
      </c>
      <c r="BO1413" t="s">
        <v>198</v>
      </c>
      <c r="BP1413" t="s">
        <v>198</v>
      </c>
      <c r="BQ1413" t="s">
        <v>198</v>
      </c>
      <c r="BR1413" t="s">
        <v>198</v>
      </c>
      <c r="BS1413" t="s">
        <v>198</v>
      </c>
      <c r="BT1413" t="s">
        <v>198</v>
      </c>
      <c r="BU1413" t="s">
        <v>182</v>
      </c>
      <c r="BV1413" t="s">
        <v>198</v>
      </c>
      <c r="BW1413" t="s">
        <v>198</v>
      </c>
      <c r="BX1413" t="s">
        <v>199</v>
      </c>
      <c r="BY1413" t="s">
        <v>198</v>
      </c>
      <c r="BZ1413" t="s">
        <v>199</v>
      </c>
      <c r="CA1413" t="s">
        <v>199</v>
      </c>
      <c r="CB1413" t="s">
        <v>18230</v>
      </c>
      <c r="CC1413" t="s">
        <v>201</v>
      </c>
      <c r="CD1413" t="s">
        <v>182</v>
      </c>
      <c r="CE1413" t="s">
        <v>18231</v>
      </c>
      <c r="CF1413" t="s">
        <v>5331</v>
      </c>
      <c r="CG1413" t="s">
        <v>177</v>
      </c>
      <c r="CH1413" t="s">
        <v>371</v>
      </c>
      <c r="CI1413" t="s">
        <v>18232</v>
      </c>
      <c r="CJ1413" t="s">
        <v>13593</v>
      </c>
      <c r="CK1413" t="s">
        <v>232</v>
      </c>
      <c r="CL1413" t="s">
        <v>233</v>
      </c>
      <c r="CM1413" t="s">
        <v>18233</v>
      </c>
      <c r="CN1413" t="s">
        <v>235</v>
      </c>
      <c r="CO1413" t="s">
        <v>183</v>
      </c>
      <c r="CP1413" t="s">
        <v>266</v>
      </c>
      <c r="CS1413" t="s">
        <v>198</v>
      </c>
      <c r="CT1413" t="s">
        <v>11262</v>
      </c>
      <c r="CU1413" t="s">
        <v>292</v>
      </c>
      <c r="CV1413" t="s">
        <v>293</v>
      </c>
      <c r="CW1413" t="s">
        <v>18234</v>
      </c>
      <c r="CX1413" t="s">
        <v>235</v>
      </c>
      <c r="CY1413" t="s">
        <v>183</v>
      </c>
      <c r="CZ1413" t="s">
        <v>211</v>
      </c>
      <c r="DA1413" t="s">
        <v>345</v>
      </c>
      <c r="DC1413" t="s">
        <v>2298</v>
      </c>
      <c r="DD1413" t="s">
        <v>15315</v>
      </c>
      <c r="DE1413" t="s">
        <v>267</v>
      </c>
      <c r="DF1413" t="s">
        <v>268</v>
      </c>
      <c r="DG1413" t="s">
        <v>18235</v>
      </c>
      <c r="DH1413" t="s">
        <v>235</v>
      </c>
      <c r="DI1413" t="s">
        <v>183</v>
      </c>
      <c r="DJ1413" t="s">
        <v>211</v>
      </c>
      <c r="DK1413" t="s">
        <v>298</v>
      </c>
      <c r="DM1413" t="s">
        <v>8316</v>
      </c>
      <c r="DN1413" t="s">
        <v>8577</v>
      </c>
      <c r="DO1413" t="s">
        <v>273</v>
      </c>
      <c r="DP1413" t="s">
        <v>274</v>
      </c>
      <c r="DQ1413" t="s">
        <v>18236</v>
      </c>
      <c r="DR1413" t="s">
        <v>235</v>
      </c>
      <c r="DS1413" t="s">
        <v>183</v>
      </c>
      <c r="DT1413" t="s">
        <v>211</v>
      </c>
      <c r="DU1413" t="s">
        <v>471</v>
      </c>
      <c r="DW1413" t="s">
        <v>18237</v>
      </c>
      <c r="DX1413" t="s">
        <v>5362</v>
      </c>
      <c r="DY1413" t="s">
        <v>302</v>
      </c>
      <c r="DZ1413" t="s">
        <v>303</v>
      </c>
      <c r="EA1413" t="s">
        <v>18238</v>
      </c>
      <c r="EB1413" t="s">
        <v>235</v>
      </c>
      <c r="EC1413" t="s">
        <v>183</v>
      </c>
      <c r="ED1413" t="s">
        <v>211</v>
      </c>
      <c r="EE1413" t="s">
        <v>296</v>
      </c>
      <c r="EG1413" t="s">
        <v>18239</v>
      </c>
      <c r="EQ1413" t="s">
        <v>198</v>
      </c>
      <c r="FA1413" t="s">
        <v>198</v>
      </c>
      <c r="FK1413" t="s">
        <v>198</v>
      </c>
      <c r="FU1413" t="s">
        <v>198</v>
      </c>
    </row>
    <row r="1414" spans="1:177">
      <c r="A1414" s="1" t="str">
        <f>HYPERLINK("http://digipan.lumentumllc.com/apps/getLink/index.php?t=PropLink&amp;p=5248594","PL")</f>
        <v>PL</v>
      </c>
      <c r="B1414" s="1" t="str">
        <f>HYPERLINK("http://digipan.lumentumllc.com/apps/getLink/index.php?t=TaxLink&amp;p=5248594","TL")</f>
        <v>TL</v>
      </c>
      <c r="C1414" s="1" t="str">
        <f>HYPERLINK("http://digipan.lumentumllc.com/apps/getMap/index.php?p=5248594","Map")</f>
        <v>Map</v>
      </c>
      <c r="E1414" t="s">
        <v>177</v>
      </c>
      <c r="F1414" t="s">
        <v>178</v>
      </c>
      <c r="L1414" t="s">
        <v>18240</v>
      </c>
      <c r="N1414" t="s">
        <v>18240</v>
      </c>
      <c r="O1414" t="s">
        <v>18240</v>
      </c>
      <c r="P1414" t="s">
        <v>18241</v>
      </c>
      <c r="Q1414" t="s">
        <v>18240</v>
      </c>
      <c r="V1414">
        <v>1620</v>
      </c>
      <c r="W1414">
        <v>5</v>
      </c>
      <c r="X1414">
        <v>2017</v>
      </c>
      <c r="Y1414">
        <v>2018</v>
      </c>
      <c r="Z1414">
        <v>111.87</v>
      </c>
      <c r="AB1414" t="s">
        <v>181</v>
      </c>
      <c r="AC1414" t="s">
        <v>182</v>
      </c>
      <c r="AD1414" t="s">
        <v>183</v>
      </c>
      <c r="AE1414">
        <v>0</v>
      </c>
      <c r="AF1414">
        <v>7</v>
      </c>
      <c r="AG1414" t="s">
        <v>528</v>
      </c>
      <c r="AH1414">
        <v>100</v>
      </c>
      <c r="AK1414">
        <v>0</v>
      </c>
      <c r="AL1414">
        <v>4878</v>
      </c>
      <c r="AM1414">
        <v>4878</v>
      </c>
      <c r="AN1414">
        <v>0</v>
      </c>
      <c r="AO1414">
        <v>75</v>
      </c>
      <c r="AP1414">
        <v>2016</v>
      </c>
      <c r="AQ1414">
        <v>2.29</v>
      </c>
      <c r="AS1414" t="s">
        <v>15739</v>
      </c>
      <c r="AT1414" t="s">
        <v>3210</v>
      </c>
      <c r="AU1414" t="s">
        <v>177</v>
      </c>
      <c r="AV1414" t="s">
        <v>2334</v>
      </c>
      <c r="AW1414" t="s">
        <v>182</v>
      </c>
      <c r="AX1414">
        <v>10</v>
      </c>
      <c r="AY1414" t="s">
        <v>3211</v>
      </c>
      <c r="AZ1414" t="s">
        <v>270</v>
      </c>
      <c r="BA1414" t="s">
        <v>3212</v>
      </c>
      <c r="BB1414" t="s">
        <v>191</v>
      </c>
      <c r="BC1414" t="s">
        <v>182</v>
      </c>
      <c r="BD1414" t="s">
        <v>182</v>
      </c>
      <c r="BE1414" t="s">
        <v>5689</v>
      </c>
      <c r="BF1414">
        <v>0</v>
      </c>
      <c r="BG1414">
        <v>0</v>
      </c>
      <c r="BH1414">
        <v>0</v>
      </c>
      <c r="BI1414" t="s">
        <v>199</v>
      </c>
      <c r="BJ1414" t="s">
        <v>315</v>
      </c>
      <c r="BL1414" t="s">
        <v>11990</v>
      </c>
      <c r="BM1414" t="s">
        <v>559</v>
      </c>
      <c r="BN1414" t="s">
        <v>182</v>
      </c>
      <c r="BO1414" t="s">
        <v>198</v>
      </c>
      <c r="BP1414" t="s">
        <v>198</v>
      </c>
      <c r="BQ1414" t="s">
        <v>198</v>
      </c>
      <c r="BR1414" t="s">
        <v>198</v>
      </c>
      <c r="BS1414" t="s">
        <v>198</v>
      </c>
      <c r="BT1414" t="s">
        <v>198</v>
      </c>
      <c r="BU1414" t="s">
        <v>182</v>
      </c>
      <c r="BV1414" t="s">
        <v>198</v>
      </c>
      <c r="BW1414" t="s">
        <v>198</v>
      </c>
      <c r="BX1414" t="s">
        <v>199</v>
      </c>
      <c r="BY1414" t="s">
        <v>198</v>
      </c>
      <c r="BZ1414" t="s">
        <v>199</v>
      </c>
      <c r="CA1414" t="s">
        <v>199</v>
      </c>
      <c r="CB1414" t="s">
        <v>18242</v>
      </c>
      <c r="CC1414" t="s">
        <v>201</v>
      </c>
      <c r="CD1414" t="s">
        <v>182</v>
      </c>
      <c r="CE1414" t="s">
        <v>18243</v>
      </c>
      <c r="CF1414" t="s">
        <v>2333</v>
      </c>
      <c r="CG1414" t="s">
        <v>177</v>
      </c>
      <c r="CH1414" t="s">
        <v>2334</v>
      </c>
      <c r="CI1414" t="s">
        <v>18244</v>
      </c>
      <c r="CJ1414" t="s">
        <v>16752</v>
      </c>
      <c r="CK1414" t="s">
        <v>292</v>
      </c>
      <c r="CL1414" t="s">
        <v>293</v>
      </c>
      <c r="CM1414" t="s">
        <v>18245</v>
      </c>
      <c r="CN1414" t="s">
        <v>482</v>
      </c>
      <c r="CO1414" t="s">
        <v>183</v>
      </c>
      <c r="CP1414" t="s">
        <v>211</v>
      </c>
      <c r="CQ1414" t="s">
        <v>199</v>
      </c>
      <c r="CS1414" t="s">
        <v>6152</v>
      </c>
      <c r="CT1414" t="s">
        <v>14572</v>
      </c>
      <c r="CU1414" t="s">
        <v>267</v>
      </c>
      <c r="CV1414" t="s">
        <v>268</v>
      </c>
      <c r="CW1414" t="s">
        <v>18246</v>
      </c>
      <c r="CX1414" t="s">
        <v>333</v>
      </c>
      <c r="CY1414" t="s">
        <v>183</v>
      </c>
      <c r="CZ1414" t="s">
        <v>211</v>
      </c>
      <c r="DA1414" t="s">
        <v>427</v>
      </c>
      <c r="DC1414" t="s">
        <v>6152</v>
      </c>
      <c r="DD1414" t="s">
        <v>16941</v>
      </c>
      <c r="DE1414" t="s">
        <v>273</v>
      </c>
      <c r="DF1414" t="s">
        <v>274</v>
      </c>
      <c r="DG1414" t="s">
        <v>18247</v>
      </c>
      <c r="DH1414" t="s">
        <v>235</v>
      </c>
      <c r="DI1414" t="s">
        <v>183</v>
      </c>
      <c r="DJ1414" t="s">
        <v>211</v>
      </c>
      <c r="DK1414" t="s">
        <v>342</v>
      </c>
      <c r="DM1414" t="s">
        <v>8604</v>
      </c>
      <c r="DN1414" t="s">
        <v>18248</v>
      </c>
      <c r="DO1414" t="s">
        <v>302</v>
      </c>
      <c r="DP1414" t="s">
        <v>303</v>
      </c>
      <c r="DQ1414" t="s">
        <v>18249</v>
      </c>
      <c r="DR1414" t="s">
        <v>341</v>
      </c>
      <c r="DS1414" t="s">
        <v>183</v>
      </c>
      <c r="DT1414" t="s">
        <v>211</v>
      </c>
      <c r="DU1414" t="s">
        <v>345</v>
      </c>
      <c r="DW1414" t="s">
        <v>8604</v>
      </c>
      <c r="DX1414" t="s">
        <v>18250</v>
      </c>
      <c r="DY1414" t="s">
        <v>238</v>
      </c>
      <c r="DZ1414" t="s">
        <v>239</v>
      </c>
      <c r="EA1414" t="s">
        <v>18251</v>
      </c>
      <c r="EB1414" t="s">
        <v>482</v>
      </c>
      <c r="EC1414" t="s">
        <v>183</v>
      </c>
      <c r="ED1414" t="s">
        <v>211</v>
      </c>
      <c r="EE1414" t="s">
        <v>345</v>
      </c>
      <c r="EG1414" t="s">
        <v>3388</v>
      </c>
      <c r="EH1414" t="s">
        <v>18252</v>
      </c>
      <c r="EI1414" t="s">
        <v>346</v>
      </c>
      <c r="EJ1414" t="s">
        <v>347</v>
      </c>
      <c r="EK1414" t="s">
        <v>18253</v>
      </c>
      <c r="EL1414" t="s">
        <v>278</v>
      </c>
      <c r="EM1414" t="s">
        <v>183</v>
      </c>
      <c r="EN1414" t="s">
        <v>211</v>
      </c>
      <c r="EO1414" t="s">
        <v>633</v>
      </c>
      <c r="EQ1414" t="s">
        <v>9371</v>
      </c>
      <c r="ER1414" t="s">
        <v>10168</v>
      </c>
      <c r="ES1414" t="s">
        <v>207</v>
      </c>
      <c r="ET1414" t="s">
        <v>208</v>
      </c>
      <c r="EU1414" t="s">
        <v>18254</v>
      </c>
      <c r="EV1414" t="s">
        <v>1966</v>
      </c>
      <c r="EW1414" t="s">
        <v>183</v>
      </c>
      <c r="EX1414" t="s">
        <v>211</v>
      </c>
      <c r="EY1414" t="s">
        <v>847</v>
      </c>
      <c r="FA1414" t="s">
        <v>1111</v>
      </c>
      <c r="FK1414" t="s">
        <v>198</v>
      </c>
      <c r="FU1414" t="s">
        <v>198</v>
      </c>
    </row>
    <row r="1415" spans="1:177">
      <c r="A1415" s="1" t="str">
        <f>HYPERLINK("http://digipan.lumentumllc.com/apps/getLink/index.php?t=PropLink&amp;p=5248595","PL")</f>
        <v>PL</v>
      </c>
      <c r="B1415" s="1" t="str">
        <f>HYPERLINK("http://digipan.lumentumllc.com/apps/getLink/index.php?t=TaxLink&amp;p=5248595","TL")</f>
        <v>TL</v>
      </c>
      <c r="C1415" s="1" t="str">
        <f>HYPERLINK("http://digipan.lumentumllc.com/apps/getMap/index.php?p=5248595","Map")</f>
        <v>Map</v>
      </c>
      <c r="E1415" t="s">
        <v>177</v>
      </c>
      <c r="F1415" t="s">
        <v>178</v>
      </c>
      <c r="L1415" t="s">
        <v>18255</v>
      </c>
      <c r="N1415" t="s">
        <v>18255</v>
      </c>
      <c r="O1415" t="s">
        <v>18255</v>
      </c>
      <c r="P1415" t="s">
        <v>18256</v>
      </c>
      <c r="Q1415" t="s">
        <v>18255</v>
      </c>
      <c r="V1415">
        <v>1621</v>
      </c>
      <c r="W1415">
        <v>5</v>
      </c>
      <c r="X1415">
        <v>2017</v>
      </c>
      <c r="Y1415">
        <v>2018</v>
      </c>
      <c r="Z1415">
        <v>3251.84</v>
      </c>
      <c r="AB1415" t="s">
        <v>181</v>
      </c>
      <c r="AC1415" t="s">
        <v>202</v>
      </c>
      <c r="AD1415" t="s">
        <v>183</v>
      </c>
      <c r="AE1415">
        <v>0</v>
      </c>
      <c r="AF1415">
        <v>7</v>
      </c>
      <c r="AG1415" t="s">
        <v>528</v>
      </c>
      <c r="AH1415">
        <v>100</v>
      </c>
      <c r="AK1415">
        <v>0</v>
      </c>
      <c r="AL1415">
        <v>196660</v>
      </c>
      <c r="AM1415">
        <v>110391</v>
      </c>
      <c r="AN1415">
        <v>86269</v>
      </c>
      <c r="AO1415">
        <v>2922</v>
      </c>
      <c r="AP1415">
        <v>2016</v>
      </c>
      <c r="AQ1415">
        <v>1.65</v>
      </c>
      <c r="AS1415" t="s">
        <v>18257</v>
      </c>
      <c r="AT1415" t="s">
        <v>3210</v>
      </c>
      <c r="AU1415" t="s">
        <v>177</v>
      </c>
      <c r="AV1415" t="s">
        <v>2334</v>
      </c>
      <c r="AW1415" t="s">
        <v>182</v>
      </c>
      <c r="AX1415">
        <v>11</v>
      </c>
      <c r="AY1415" t="s">
        <v>3641</v>
      </c>
      <c r="AZ1415" t="s">
        <v>212</v>
      </c>
      <c r="BA1415" t="s">
        <v>5959</v>
      </c>
      <c r="BB1415" t="s">
        <v>191</v>
      </c>
      <c r="BC1415" t="s">
        <v>182</v>
      </c>
      <c r="BD1415" t="s">
        <v>182</v>
      </c>
      <c r="BE1415" t="s">
        <v>7600</v>
      </c>
      <c r="BF1415">
        <v>2</v>
      </c>
      <c r="BG1415">
        <v>0</v>
      </c>
      <c r="BH1415">
        <v>1961</v>
      </c>
      <c r="BI1415" t="s">
        <v>18258</v>
      </c>
      <c r="BJ1415" t="s">
        <v>285</v>
      </c>
      <c r="BK1415" t="s">
        <v>840</v>
      </c>
      <c r="BL1415" t="s">
        <v>8617</v>
      </c>
      <c r="BM1415" t="s">
        <v>533</v>
      </c>
      <c r="BN1415" t="s">
        <v>182</v>
      </c>
      <c r="BO1415" t="s">
        <v>18210</v>
      </c>
      <c r="BP1415" t="s">
        <v>18259</v>
      </c>
      <c r="BS1415" t="s">
        <v>18260</v>
      </c>
      <c r="BT1415" t="s">
        <v>198</v>
      </c>
      <c r="BU1415" t="s">
        <v>182</v>
      </c>
      <c r="BV1415" t="s">
        <v>198</v>
      </c>
      <c r="BW1415" t="s">
        <v>198</v>
      </c>
      <c r="BX1415" t="s">
        <v>199</v>
      </c>
      <c r="BY1415" t="s">
        <v>198</v>
      </c>
      <c r="BZ1415" t="s">
        <v>199</v>
      </c>
      <c r="CA1415" t="s">
        <v>199</v>
      </c>
      <c r="CB1415" t="s">
        <v>18261</v>
      </c>
      <c r="CC1415" t="s">
        <v>201</v>
      </c>
      <c r="CD1415" t="s">
        <v>182</v>
      </c>
      <c r="CE1415" t="s">
        <v>18262</v>
      </c>
      <c r="CF1415" t="s">
        <v>18263</v>
      </c>
      <c r="CG1415" t="s">
        <v>1602</v>
      </c>
      <c r="CH1415" t="s">
        <v>18264</v>
      </c>
      <c r="CI1415" t="s">
        <v>18265</v>
      </c>
      <c r="CJ1415" t="s">
        <v>10922</v>
      </c>
      <c r="CK1415" t="s">
        <v>232</v>
      </c>
      <c r="CL1415" t="s">
        <v>233</v>
      </c>
      <c r="CM1415" t="s">
        <v>18266</v>
      </c>
      <c r="CN1415" t="s">
        <v>235</v>
      </c>
      <c r="CO1415" t="s">
        <v>183</v>
      </c>
      <c r="CP1415" t="s">
        <v>211</v>
      </c>
      <c r="CQ1415" t="s">
        <v>290</v>
      </c>
      <c r="CS1415" t="s">
        <v>11996</v>
      </c>
      <c r="CT1415" t="s">
        <v>15337</v>
      </c>
      <c r="CU1415" t="s">
        <v>267</v>
      </c>
      <c r="CV1415" t="s">
        <v>268</v>
      </c>
      <c r="CW1415" t="s">
        <v>18267</v>
      </c>
      <c r="CX1415" t="s">
        <v>235</v>
      </c>
      <c r="CY1415" t="s">
        <v>183</v>
      </c>
      <c r="CZ1415" t="s">
        <v>211</v>
      </c>
      <c r="DA1415" t="s">
        <v>270</v>
      </c>
      <c r="DB1415" t="s">
        <v>271</v>
      </c>
      <c r="DC1415" t="s">
        <v>6027</v>
      </c>
      <c r="DD1415" t="s">
        <v>718</v>
      </c>
      <c r="DE1415" t="s">
        <v>273</v>
      </c>
      <c r="DF1415" t="s">
        <v>274</v>
      </c>
      <c r="DG1415" t="s">
        <v>18268</v>
      </c>
      <c r="DH1415" t="s">
        <v>235</v>
      </c>
      <c r="DI1415" t="s">
        <v>183</v>
      </c>
      <c r="DJ1415" t="s">
        <v>211</v>
      </c>
      <c r="DL1415" t="s">
        <v>271</v>
      </c>
      <c r="DM1415" t="s">
        <v>198</v>
      </c>
      <c r="DN1415" t="s">
        <v>18269</v>
      </c>
      <c r="DO1415" t="s">
        <v>302</v>
      </c>
      <c r="DP1415" t="s">
        <v>303</v>
      </c>
      <c r="DQ1415" t="s">
        <v>18270</v>
      </c>
      <c r="DR1415" t="s">
        <v>235</v>
      </c>
      <c r="DS1415" t="s">
        <v>183</v>
      </c>
      <c r="DT1415" t="s">
        <v>211</v>
      </c>
      <c r="DU1415" t="s">
        <v>847</v>
      </c>
      <c r="DW1415" t="s">
        <v>11762</v>
      </c>
      <c r="DX1415" t="s">
        <v>18271</v>
      </c>
      <c r="DY1415" t="s">
        <v>238</v>
      </c>
      <c r="DZ1415" t="s">
        <v>239</v>
      </c>
      <c r="EA1415" t="s">
        <v>18272</v>
      </c>
      <c r="EB1415" t="s">
        <v>235</v>
      </c>
      <c r="EC1415" t="s">
        <v>183</v>
      </c>
      <c r="ED1415" t="s">
        <v>211</v>
      </c>
      <c r="EE1415" t="s">
        <v>334</v>
      </c>
      <c r="EG1415" t="s">
        <v>915</v>
      </c>
      <c r="EH1415" t="s">
        <v>18273</v>
      </c>
      <c r="EI1415" t="s">
        <v>346</v>
      </c>
      <c r="EJ1415" t="s">
        <v>347</v>
      </c>
      <c r="EK1415" t="s">
        <v>18274</v>
      </c>
      <c r="EL1415" t="s">
        <v>247</v>
      </c>
      <c r="EM1415" t="s">
        <v>183</v>
      </c>
      <c r="EN1415" t="s">
        <v>211</v>
      </c>
      <c r="EO1415" t="s">
        <v>633</v>
      </c>
      <c r="EQ1415" t="s">
        <v>18275</v>
      </c>
      <c r="ER1415" t="s">
        <v>5550</v>
      </c>
      <c r="ES1415" t="s">
        <v>207</v>
      </c>
      <c r="ET1415" t="s">
        <v>208</v>
      </c>
      <c r="EU1415" t="s">
        <v>18276</v>
      </c>
      <c r="EV1415" t="s">
        <v>833</v>
      </c>
      <c r="EW1415" t="s">
        <v>183</v>
      </c>
      <c r="EX1415" t="s">
        <v>211</v>
      </c>
      <c r="EY1415" t="s">
        <v>337</v>
      </c>
      <c r="FA1415" t="s">
        <v>6863</v>
      </c>
      <c r="FK1415" t="s">
        <v>198</v>
      </c>
      <c r="FU1415" t="s">
        <v>198</v>
      </c>
    </row>
    <row r="1416" spans="1:177">
      <c r="A1416" s="1" t="str">
        <f>HYPERLINK("http://digipan.lumentumllc.com/apps/getLink/index.php?t=PropLink&amp;p=5248598","PL")</f>
        <v>PL</v>
      </c>
      <c r="B1416" s="1" t="str">
        <f>HYPERLINK("http://digipan.lumentumllc.com/apps/getLink/index.php?t=TaxLink&amp;p=5248598","TL")</f>
        <v>TL</v>
      </c>
      <c r="C1416" s="1" t="str">
        <f>HYPERLINK("http://digipan.lumentumllc.com/apps/getMap/index.php?p=5248598","Map")</f>
        <v>Map</v>
      </c>
      <c r="E1416" t="s">
        <v>177</v>
      </c>
      <c r="F1416" t="s">
        <v>178</v>
      </c>
      <c r="L1416" t="s">
        <v>18277</v>
      </c>
      <c r="N1416" t="s">
        <v>18277</v>
      </c>
      <c r="O1416" t="s">
        <v>18277</v>
      </c>
      <c r="P1416" t="s">
        <v>18278</v>
      </c>
      <c r="Q1416" t="s">
        <v>18277</v>
      </c>
      <c r="V1416">
        <v>1622</v>
      </c>
      <c r="W1416">
        <v>5</v>
      </c>
      <c r="X1416">
        <v>2017</v>
      </c>
      <c r="Y1416">
        <v>2018</v>
      </c>
      <c r="Z1416">
        <v>647.6</v>
      </c>
      <c r="AB1416" t="s">
        <v>181</v>
      </c>
      <c r="AC1416" t="s">
        <v>182</v>
      </c>
      <c r="AD1416" t="s">
        <v>183</v>
      </c>
      <c r="AE1416">
        <v>0</v>
      </c>
      <c r="AF1416">
        <v>1</v>
      </c>
      <c r="AG1416" t="s">
        <v>821</v>
      </c>
      <c r="AH1416">
        <v>100</v>
      </c>
      <c r="AK1416">
        <v>0</v>
      </c>
      <c r="AL1416">
        <v>37600</v>
      </c>
      <c r="AM1416">
        <v>17500</v>
      </c>
      <c r="AN1416">
        <v>20100</v>
      </c>
      <c r="AO1416">
        <v>579</v>
      </c>
      <c r="AP1416">
        <v>2016</v>
      </c>
      <c r="AQ1416">
        <v>1.72</v>
      </c>
      <c r="AS1416" t="s">
        <v>18279</v>
      </c>
      <c r="AT1416" t="s">
        <v>3210</v>
      </c>
      <c r="AU1416" t="s">
        <v>177</v>
      </c>
      <c r="AV1416" t="s">
        <v>2334</v>
      </c>
      <c r="AW1416" t="s">
        <v>182</v>
      </c>
      <c r="AX1416">
        <v>2</v>
      </c>
      <c r="AY1416" t="s">
        <v>188</v>
      </c>
      <c r="AZ1416" t="s">
        <v>189</v>
      </c>
      <c r="BA1416" t="s">
        <v>190</v>
      </c>
      <c r="BB1416" t="s">
        <v>191</v>
      </c>
      <c r="BC1416" t="s">
        <v>182</v>
      </c>
      <c r="BD1416" t="s">
        <v>182</v>
      </c>
      <c r="BE1416" t="s">
        <v>383</v>
      </c>
      <c r="BF1416">
        <v>1</v>
      </c>
      <c r="BG1416">
        <v>1</v>
      </c>
      <c r="BH1416">
        <v>1974</v>
      </c>
      <c r="BI1416" t="s">
        <v>5187</v>
      </c>
      <c r="BJ1416" t="s">
        <v>194</v>
      </c>
      <c r="BK1416" t="s">
        <v>195</v>
      </c>
      <c r="BL1416" t="s">
        <v>199</v>
      </c>
      <c r="BM1416" t="s">
        <v>358</v>
      </c>
      <c r="BN1416" t="s">
        <v>182</v>
      </c>
      <c r="BO1416" t="s">
        <v>198</v>
      </c>
      <c r="BP1416" t="s">
        <v>198</v>
      </c>
      <c r="BQ1416" t="s">
        <v>198</v>
      </c>
      <c r="BR1416" t="s">
        <v>198</v>
      </c>
      <c r="BS1416" t="s">
        <v>198</v>
      </c>
      <c r="BT1416" t="s">
        <v>198</v>
      </c>
      <c r="BU1416" t="s">
        <v>182</v>
      </c>
      <c r="BV1416" t="s">
        <v>198</v>
      </c>
      <c r="BW1416" t="s">
        <v>198</v>
      </c>
      <c r="BX1416" t="s">
        <v>199</v>
      </c>
      <c r="BY1416" t="s">
        <v>198</v>
      </c>
      <c r="BZ1416" t="s">
        <v>199</v>
      </c>
      <c r="CA1416" t="s">
        <v>199</v>
      </c>
      <c r="CB1416" t="s">
        <v>18280</v>
      </c>
      <c r="CC1416" t="s">
        <v>201</v>
      </c>
      <c r="CD1416" t="s">
        <v>202</v>
      </c>
      <c r="CE1416" t="s">
        <v>18281</v>
      </c>
      <c r="CF1416" t="s">
        <v>2333</v>
      </c>
      <c r="CG1416" t="s">
        <v>177</v>
      </c>
      <c r="CH1416" t="s">
        <v>3178</v>
      </c>
      <c r="CI1416" t="s">
        <v>18282</v>
      </c>
      <c r="CJ1416" t="s">
        <v>11284</v>
      </c>
      <c r="CK1416" t="s">
        <v>292</v>
      </c>
      <c r="CL1416" t="s">
        <v>293</v>
      </c>
      <c r="CM1416" t="s">
        <v>18283</v>
      </c>
      <c r="CN1416" t="s">
        <v>482</v>
      </c>
      <c r="CO1416" t="s">
        <v>183</v>
      </c>
      <c r="CP1416" t="s">
        <v>211</v>
      </c>
      <c r="CQ1416" t="s">
        <v>329</v>
      </c>
      <c r="CS1416" t="s">
        <v>7501</v>
      </c>
      <c r="DC1416" t="s">
        <v>198</v>
      </c>
      <c r="DM1416" t="s">
        <v>198</v>
      </c>
      <c r="DW1416" t="s">
        <v>198</v>
      </c>
      <c r="EG1416" t="s">
        <v>198</v>
      </c>
      <c r="EQ1416" t="s">
        <v>198</v>
      </c>
      <c r="FA1416" t="s">
        <v>198</v>
      </c>
      <c r="FK1416" t="s">
        <v>198</v>
      </c>
      <c r="FU1416" t="s">
        <v>198</v>
      </c>
    </row>
    <row r="1417" spans="1:177">
      <c r="A1417" s="1" t="str">
        <f>HYPERLINK("http://digipan.lumentumllc.com/apps/getLink/index.php?t=PropLink&amp;p=15764098","PL")</f>
        <v>PL</v>
      </c>
      <c r="B1417" s="1" t="str">
        <f>HYPERLINK("http://digipan.lumentumllc.com/apps/getLink/index.php?t=TaxLink&amp;p=15764098","TL")</f>
        <v>TL</v>
      </c>
      <c r="C1417" s="1" t="str">
        <f>HYPERLINK("http://digipan.lumentumllc.com/apps/getMap/index.php?p=15764098","Map")</f>
        <v>Map</v>
      </c>
      <c r="E1417" t="s">
        <v>177</v>
      </c>
      <c r="F1417" t="s">
        <v>178</v>
      </c>
      <c r="L1417" t="s">
        <v>18284</v>
      </c>
      <c r="N1417" t="s">
        <v>18284</v>
      </c>
      <c r="O1417" t="s">
        <v>18284</v>
      </c>
      <c r="Q1417" t="s">
        <v>18284</v>
      </c>
      <c r="V1417">
        <v>1623</v>
      </c>
      <c r="W1417">
        <v>5</v>
      </c>
      <c r="X1417">
        <v>2017</v>
      </c>
      <c r="Y1417">
        <v>2018</v>
      </c>
      <c r="Z1417">
        <v>755.08</v>
      </c>
      <c r="AG1417" t="s">
        <v>184</v>
      </c>
      <c r="AH1417">
        <v>0</v>
      </c>
      <c r="AK1417">
        <v>0</v>
      </c>
      <c r="AL1417">
        <v>91232</v>
      </c>
      <c r="AM1417">
        <v>42450</v>
      </c>
      <c r="AN1417">
        <v>48782</v>
      </c>
      <c r="AO1417">
        <v>654</v>
      </c>
      <c r="AP1417">
        <v>2016</v>
      </c>
      <c r="AQ1417">
        <v>0.83</v>
      </c>
      <c r="AS1417" t="s">
        <v>18285</v>
      </c>
      <c r="AT1417" t="s">
        <v>3210</v>
      </c>
      <c r="AU1417" t="s">
        <v>177</v>
      </c>
      <c r="AV1417" t="s">
        <v>2334</v>
      </c>
      <c r="AW1417" t="s">
        <v>202</v>
      </c>
      <c r="AX1417">
        <v>2</v>
      </c>
      <c r="AY1417" t="s">
        <v>188</v>
      </c>
      <c r="AZ1417" t="s">
        <v>189</v>
      </c>
      <c r="BA1417" t="s">
        <v>190</v>
      </c>
      <c r="BB1417" t="s">
        <v>191</v>
      </c>
      <c r="BC1417" t="s">
        <v>182</v>
      </c>
      <c r="BD1417" t="s">
        <v>182</v>
      </c>
      <c r="BE1417" t="s">
        <v>18005</v>
      </c>
      <c r="BF1417">
        <v>1</v>
      </c>
      <c r="BG1417">
        <v>1</v>
      </c>
      <c r="BH1417">
        <v>1998</v>
      </c>
      <c r="BI1417" t="s">
        <v>18286</v>
      </c>
      <c r="BJ1417" t="s">
        <v>194</v>
      </c>
      <c r="BK1417" t="s">
        <v>195</v>
      </c>
      <c r="BL1417" t="s">
        <v>3374</v>
      </c>
      <c r="BM1417" t="s">
        <v>533</v>
      </c>
      <c r="BN1417" t="s">
        <v>182</v>
      </c>
      <c r="BO1417" t="s">
        <v>18287</v>
      </c>
      <c r="BP1417" t="s">
        <v>2542</v>
      </c>
      <c r="BQ1417" t="s">
        <v>904</v>
      </c>
      <c r="BR1417" t="s">
        <v>563</v>
      </c>
      <c r="BS1417" t="s">
        <v>198</v>
      </c>
      <c r="BT1417" t="s">
        <v>18288</v>
      </c>
      <c r="BU1417" t="s">
        <v>182</v>
      </c>
      <c r="BV1417" t="s">
        <v>198</v>
      </c>
      <c r="BW1417" t="s">
        <v>198</v>
      </c>
      <c r="BX1417" t="s">
        <v>199</v>
      </c>
      <c r="BY1417" t="s">
        <v>198</v>
      </c>
      <c r="BZ1417" t="s">
        <v>199</v>
      </c>
      <c r="CA1417" t="s">
        <v>199</v>
      </c>
      <c r="CB1417" t="s">
        <v>18289</v>
      </c>
      <c r="CC1417" t="s">
        <v>201</v>
      </c>
      <c r="CD1417" t="s">
        <v>182</v>
      </c>
      <c r="CE1417" t="s">
        <v>18290</v>
      </c>
      <c r="CF1417" t="s">
        <v>2333</v>
      </c>
      <c r="CG1417" t="s">
        <v>177</v>
      </c>
      <c r="CH1417" t="s">
        <v>2334</v>
      </c>
      <c r="CI1417" t="s">
        <v>5383</v>
      </c>
      <c r="CS1417" t="s">
        <v>198</v>
      </c>
      <c r="DC1417" t="s">
        <v>198</v>
      </c>
      <c r="DM1417" t="s">
        <v>198</v>
      </c>
      <c r="DW1417" t="s">
        <v>198</v>
      </c>
      <c r="EG1417" t="s">
        <v>198</v>
      </c>
      <c r="EQ1417" t="s">
        <v>198</v>
      </c>
      <c r="FA1417" t="s">
        <v>198</v>
      </c>
      <c r="FK1417" t="s">
        <v>198</v>
      </c>
      <c r="FU1417" t="s">
        <v>198</v>
      </c>
    </row>
    <row r="1418" spans="1:177">
      <c r="A1418" s="1" t="str">
        <f>HYPERLINK("http://digipan.lumentumllc.com/apps/getLink/index.php?t=PropLink&amp;p=5248601","PL")</f>
        <v>PL</v>
      </c>
      <c r="B1418" s="1" t="str">
        <f>HYPERLINK("http://digipan.lumentumllc.com/apps/getLink/index.php?t=TaxLink&amp;p=5248601","TL")</f>
        <v>TL</v>
      </c>
      <c r="C1418" s="1" t="str">
        <f>HYPERLINK("http://digipan.lumentumllc.com/apps/getMap/index.php?p=5248601","Map")</f>
        <v>Map</v>
      </c>
      <c r="E1418" t="s">
        <v>177</v>
      </c>
      <c r="F1418" t="s">
        <v>178</v>
      </c>
      <c r="L1418" t="s">
        <v>18291</v>
      </c>
      <c r="N1418" t="s">
        <v>18291</v>
      </c>
      <c r="O1418" t="s">
        <v>18291</v>
      </c>
      <c r="P1418" t="s">
        <v>18292</v>
      </c>
      <c r="Q1418" t="s">
        <v>18291</v>
      </c>
      <c r="V1418">
        <v>1624</v>
      </c>
      <c r="W1418">
        <v>5</v>
      </c>
      <c r="X1418">
        <v>2017</v>
      </c>
      <c r="Y1418">
        <v>2018</v>
      </c>
      <c r="Z1418">
        <v>547.95000000000005</v>
      </c>
      <c r="AB1418" t="s">
        <v>181</v>
      </c>
      <c r="AC1418" t="s">
        <v>202</v>
      </c>
      <c r="AD1418" t="s">
        <v>183</v>
      </c>
      <c r="AE1418">
        <v>0</v>
      </c>
      <c r="AF1418">
        <v>7</v>
      </c>
      <c r="AG1418" t="s">
        <v>528</v>
      </c>
      <c r="AH1418">
        <v>100</v>
      </c>
      <c r="AK1418">
        <v>0</v>
      </c>
      <c r="AL1418">
        <v>31513</v>
      </c>
      <c r="AM1418">
        <v>8750</v>
      </c>
      <c r="AN1418">
        <v>22763</v>
      </c>
      <c r="AO1418">
        <v>487</v>
      </c>
      <c r="AP1418">
        <v>2016</v>
      </c>
      <c r="AQ1418">
        <v>1.74</v>
      </c>
      <c r="AS1418" t="s">
        <v>18293</v>
      </c>
      <c r="AT1418" t="s">
        <v>3210</v>
      </c>
      <c r="AU1418" t="s">
        <v>177</v>
      </c>
      <c r="AV1418" t="s">
        <v>2334</v>
      </c>
      <c r="AW1418" t="s">
        <v>182</v>
      </c>
      <c r="AX1418">
        <v>1</v>
      </c>
      <c r="AY1418" t="s">
        <v>188</v>
      </c>
      <c r="AZ1418" t="s">
        <v>206</v>
      </c>
      <c r="BA1418" t="s">
        <v>355</v>
      </c>
      <c r="BB1418" t="s">
        <v>191</v>
      </c>
      <c r="BC1418" t="s">
        <v>182</v>
      </c>
      <c r="BD1418" t="s">
        <v>182</v>
      </c>
      <c r="BE1418" t="s">
        <v>12936</v>
      </c>
      <c r="BF1418">
        <v>1</v>
      </c>
      <c r="BG1418">
        <v>1</v>
      </c>
      <c r="BH1418">
        <v>1961</v>
      </c>
      <c r="BI1418" t="s">
        <v>6362</v>
      </c>
      <c r="BJ1418" t="s">
        <v>194</v>
      </c>
      <c r="BK1418" t="s">
        <v>195</v>
      </c>
      <c r="BL1418" t="s">
        <v>199</v>
      </c>
      <c r="BM1418" t="s">
        <v>1474</v>
      </c>
      <c r="BN1418" t="s">
        <v>182</v>
      </c>
      <c r="BO1418" t="s">
        <v>198</v>
      </c>
      <c r="BP1418" t="s">
        <v>198</v>
      </c>
      <c r="BQ1418" t="s">
        <v>198</v>
      </c>
      <c r="BR1418" t="s">
        <v>198</v>
      </c>
      <c r="BS1418" t="s">
        <v>198</v>
      </c>
      <c r="BT1418" t="s">
        <v>198</v>
      </c>
      <c r="BU1418" t="s">
        <v>182</v>
      </c>
      <c r="BV1418" t="s">
        <v>198</v>
      </c>
      <c r="BW1418" t="s">
        <v>198</v>
      </c>
      <c r="BX1418" t="s">
        <v>199</v>
      </c>
      <c r="BY1418" t="s">
        <v>198</v>
      </c>
      <c r="BZ1418" t="s">
        <v>199</v>
      </c>
      <c r="CA1418" t="s">
        <v>199</v>
      </c>
      <c r="CB1418" t="s">
        <v>18294</v>
      </c>
      <c r="CC1418" t="s">
        <v>1407</v>
      </c>
      <c r="CD1418" t="s">
        <v>202</v>
      </c>
      <c r="CE1418" t="s">
        <v>18295</v>
      </c>
      <c r="CF1418" t="s">
        <v>2333</v>
      </c>
      <c r="CG1418" t="s">
        <v>177</v>
      </c>
      <c r="CH1418" t="s">
        <v>2334</v>
      </c>
      <c r="CI1418" t="s">
        <v>5383</v>
      </c>
      <c r="CJ1418" t="s">
        <v>11304</v>
      </c>
      <c r="CK1418" t="s">
        <v>292</v>
      </c>
      <c r="CL1418" t="s">
        <v>293</v>
      </c>
      <c r="CM1418" t="s">
        <v>18296</v>
      </c>
      <c r="CN1418" t="s">
        <v>235</v>
      </c>
      <c r="CO1418" t="s">
        <v>183</v>
      </c>
      <c r="CP1418" t="s">
        <v>211</v>
      </c>
      <c r="CQ1418" t="s">
        <v>337</v>
      </c>
      <c r="CS1418" t="s">
        <v>18297</v>
      </c>
      <c r="CT1418" t="s">
        <v>2528</v>
      </c>
      <c r="CU1418" t="s">
        <v>267</v>
      </c>
      <c r="CV1418" t="s">
        <v>268</v>
      </c>
      <c r="CW1418" t="s">
        <v>18298</v>
      </c>
      <c r="CX1418" t="s">
        <v>838</v>
      </c>
      <c r="CY1418" t="s">
        <v>183</v>
      </c>
      <c r="CZ1418" t="s">
        <v>211</v>
      </c>
      <c r="DA1418" t="s">
        <v>250</v>
      </c>
      <c r="DB1418" t="s">
        <v>271</v>
      </c>
      <c r="DC1418" t="s">
        <v>14197</v>
      </c>
      <c r="DD1418" t="s">
        <v>16991</v>
      </c>
      <c r="DE1418" t="s">
        <v>273</v>
      </c>
      <c r="DF1418" t="s">
        <v>274</v>
      </c>
      <c r="DG1418" t="s">
        <v>18299</v>
      </c>
      <c r="DH1418" t="s">
        <v>3342</v>
      </c>
      <c r="DI1418" t="s">
        <v>183</v>
      </c>
      <c r="DJ1418" t="s">
        <v>211</v>
      </c>
      <c r="DL1418" t="s">
        <v>271</v>
      </c>
      <c r="DM1418" t="s">
        <v>198</v>
      </c>
      <c r="DN1418" t="s">
        <v>18300</v>
      </c>
      <c r="DO1418" t="s">
        <v>302</v>
      </c>
      <c r="DP1418" t="s">
        <v>303</v>
      </c>
      <c r="DQ1418" t="s">
        <v>18301</v>
      </c>
      <c r="DR1418" t="s">
        <v>436</v>
      </c>
      <c r="DS1418" t="s">
        <v>183</v>
      </c>
      <c r="DT1418" t="s">
        <v>211</v>
      </c>
      <c r="DV1418" t="s">
        <v>271</v>
      </c>
      <c r="DW1418" t="s">
        <v>198</v>
      </c>
      <c r="DX1418" t="s">
        <v>18302</v>
      </c>
      <c r="DY1418" t="s">
        <v>238</v>
      </c>
      <c r="DZ1418" t="s">
        <v>239</v>
      </c>
      <c r="EA1418" t="s">
        <v>18303</v>
      </c>
      <c r="EB1418" t="s">
        <v>278</v>
      </c>
      <c r="EC1418" t="s">
        <v>183</v>
      </c>
      <c r="ED1418" t="s">
        <v>211</v>
      </c>
      <c r="EE1418" t="s">
        <v>963</v>
      </c>
      <c r="EF1418" t="s">
        <v>271</v>
      </c>
      <c r="EG1418" t="s">
        <v>14197</v>
      </c>
      <c r="EH1418" t="s">
        <v>18304</v>
      </c>
      <c r="EI1418" t="s">
        <v>346</v>
      </c>
      <c r="EJ1418" t="s">
        <v>347</v>
      </c>
      <c r="EK1418" t="s">
        <v>18305</v>
      </c>
      <c r="EL1418" t="s">
        <v>247</v>
      </c>
      <c r="EM1418" t="s">
        <v>183</v>
      </c>
      <c r="EN1418" t="s">
        <v>211</v>
      </c>
      <c r="EO1418" t="s">
        <v>616</v>
      </c>
      <c r="EQ1418" t="s">
        <v>18306</v>
      </c>
      <c r="ER1418" t="s">
        <v>18307</v>
      </c>
      <c r="ES1418" t="s">
        <v>207</v>
      </c>
      <c r="ET1418" t="s">
        <v>208</v>
      </c>
      <c r="EU1418" t="s">
        <v>18308</v>
      </c>
      <c r="EV1418" t="s">
        <v>1966</v>
      </c>
      <c r="EW1418" t="s">
        <v>183</v>
      </c>
      <c r="EX1418" t="s">
        <v>211</v>
      </c>
      <c r="EY1418" t="s">
        <v>298</v>
      </c>
      <c r="FA1418" t="s">
        <v>5208</v>
      </c>
      <c r="FK1418" t="s">
        <v>198</v>
      </c>
      <c r="FU1418" t="s">
        <v>198</v>
      </c>
    </row>
    <row r="1419" spans="1:177">
      <c r="A1419" s="1" t="str">
        <f>HYPERLINK("http://digipan.lumentumllc.com/apps/getLink/index.php?t=PropLink&amp;p=5248602","PL")</f>
        <v>PL</v>
      </c>
      <c r="B1419" s="1" t="str">
        <f>HYPERLINK("http://digipan.lumentumllc.com/apps/getLink/index.php?t=TaxLink&amp;p=5248602","TL")</f>
        <v>TL</v>
      </c>
      <c r="C1419" s="1" t="str">
        <f>HYPERLINK("http://digipan.lumentumllc.com/apps/getMap/index.php?p=5248602","Map")</f>
        <v>Map</v>
      </c>
      <c r="E1419" t="s">
        <v>177</v>
      </c>
      <c r="F1419" t="s">
        <v>178</v>
      </c>
      <c r="L1419" t="s">
        <v>18309</v>
      </c>
      <c r="N1419" t="s">
        <v>18309</v>
      </c>
      <c r="O1419" t="s">
        <v>18309</v>
      </c>
      <c r="P1419" t="s">
        <v>18310</v>
      </c>
      <c r="Q1419" t="s">
        <v>18309</v>
      </c>
      <c r="V1419">
        <v>1625</v>
      </c>
      <c r="W1419">
        <v>5</v>
      </c>
      <c r="X1419">
        <v>2017</v>
      </c>
      <c r="Y1419">
        <v>2018</v>
      </c>
      <c r="Z1419">
        <v>1490.23</v>
      </c>
      <c r="AB1419" t="s">
        <v>181</v>
      </c>
      <c r="AC1419" t="s">
        <v>182</v>
      </c>
      <c r="AD1419" t="s">
        <v>183</v>
      </c>
      <c r="AE1419">
        <v>0</v>
      </c>
      <c r="AF1419">
        <v>8</v>
      </c>
      <c r="AG1419" t="s">
        <v>1059</v>
      </c>
      <c r="AH1419">
        <v>100</v>
      </c>
      <c r="AK1419">
        <v>0</v>
      </c>
      <c r="AL1419">
        <v>89065</v>
      </c>
      <c r="AM1419">
        <v>18750</v>
      </c>
      <c r="AN1419">
        <v>70315</v>
      </c>
      <c r="AO1419">
        <v>1326</v>
      </c>
      <c r="AP1419">
        <v>2016</v>
      </c>
      <c r="AQ1419">
        <v>1.67</v>
      </c>
      <c r="AS1419" t="s">
        <v>18311</v>
      </c>
      <c r="AT1419" t="s">
        <v>3210</v>
      </c>
      <c r="AU1419" t="s">
        <v>177</v>
      </c>
      <c r="AV1419" t="s">
        <v>2334</v>
      </c>
      <c r="AW1419" t="s">
        <v>182</v>
      </c>
      <c r="AX1419">
        <v>8</v>
      </c>
      <c r="AY1419" t="s">
        <v>188</v>
      </c>
      <c r="AZ1419" t="s">
        <v>329</v>
      </c>
      <c r="BA1419" t="s">
        <v>6773</v>
      </c>
      <c r="BB1419" t="s">
        <v>191</v>
      </c>
      <c r="BC1419" t="s">
        <v>182</v>
      </c>
      <c r="BD1419" t="s">
        <v>182</v>
      </c>
      <c r="BE1419" t="s">
        <v>383</v>
      </c>
      <c r="BF1419">
        <v>1</v>
      </c>
      <c r="BG1419">
        <v>1</v>
      </c>
      <c r="BH1419">
        <v>1975</v>
      </c>
      <c r="BI1419" t="s">
        <v>14781</v>
      </c>
      <c r="BJ1419" t="s">
        <v>194</v>
      </c>
      <c r="BK1419" t="s">
        <v>195</v>
      </c>
      <c r="BL1419" t="s">
        <v>578</v>
      </c>
      <c r="BM1419" t="s">
        <v>559</v>
      </c>
      <c r="BN1419" t="s">
        <v>182</v>
      </c>
      <c r="BO1419" t="s">
        <v>18312</v>
      </c>
      <c r="BP1419" t="s">
        <v>18313</v>
      </c>
      <c r="BQ1419" t="s">
        <v>1520</v>
      </c>
      <c r="BS1419" t="s">
        <v>198</v>
      </c>
      <c r="BT1419" t="s">
        <v>18314</v>
      </c>
      <c r="BU1419" t="s">
        <v>182</v>
      </c>
      <c r="BV1419" t="s">
        <v>198</v>
      </c>
      <c r="BW1419" t="s">
        <v>198</v>
      </c>
      <c r="BX1419" t="s">
        <v>199</v>
      </c>
      <c r="BY1419" t="s">
        <v>198</v>
      </c>
      <c r="BZ1419" t="s">
        <v>199</v>
      </c>
      <c r="CA1419" t="s">
        <v>199</v>
      </c>
      <c r="CB1419" t="s">
        <v>18315</v>
      </c>
      <c r="CC1419" t="s">
        <v>201</v>
      </c>
      <c r="CD1419" t="s">
        <v>182</v>
      </c>
      <c r="CE1419" t="s">
        <v>17122</v>
      </c>
      <c r="CF1419" t="s">
        <v>2333</v>
      </c>
      <c r="CG1419" t="s">
        <v>177</v>
      </c>
      <c r="CH1419" t="s">
        <v>2334</v>
      </c>
      <c r="CI1419" t="s">
        <v>18316</v>
      </c>
      <c r="CJ1419" t="s">
        <v>15381</v>
      </c>
      <c r="CK1419" t="s">
        <v>232</v>
      </c>
      <c r="CL1419" t="s">
        <v>233</v>
      </c>
      <c r="CM1419" t="s">
        <v>18317</v>
      </c>
      <c r="CN1419" t="s">
        <v>235</v>
      </c>
      <c r="CO1419" t="s">
        <v>183</v>
      </c>
      <c r="CP1419" t="s">
        <v>211</v>
      </c>
      <c r="CQ1419" t="s">
        <v>339</v>
      </c>
      <c r="CS1419" t="s">
        <v>17125</v>
      </c>
      <c r="CT1419" t="s">
        <v>1893</v>
      </c>
      <c r="CU1419" t="s">
        <v>292</v>
      </c>
      <c r="CV1419" t="s">
        <v>293</v>
      </c>
      <c r="CW1419" t="s">
        <v>18318</v>
      </c>
      <c r="CX1419" t="s">
        <v>235</v>
      </c>
      <c r="CY1419" t="s">
        <v>183</v>
      </c>
      <c r="CZ1419" t="s">
        <v>211</v>
      </c>
      <c r="DA1419" t="s">
        <v>296</v>
      </c>
      <c r="DC1419" t="s">
        <v>4218</v>
      </c>
      <c r="DD1419" t="s">
        <v>2554</v>
      </c>
      <c r="DE1419" t="s">
        <v>267</v>
      </c>
      <c r="DF1419" t="s">
        <v>268</v>
      </c>
      <c r="DG1419" t="s">
        <v>18319</v>
      </c>
      <c r="DH1419" t="s">
        <v>235</v>
      </c>
      <c r="DI1419" t="s">
        <v>183</v>
      </c>
      <c r="DJ1419" t="s">
        <v>211</v>
      </c>
      <c r="DK1419" t="s">
        <v>206</v>
      </c>
      <c r="DM1419" t="s">
        <v>17128</v>
      </c>
      <c r="DN1419" t="s">
        <v>17018</v>
      </c>
      <c r="DO1419" t="s">
        <v>273</v>
      </c>
      <c r="DP1419" t="s">
        <v>274</v>
      </c>
      <c r="DQ1419" t="s">
        <v>18320</v>
      </c>
      <c r="DR1419" t="s">
        <v>235</v>
      </c>
      <c r="DS1419" t="s">
        <v>183</v>
      </c>
      <c r="DT1419" t="s">
        <v>211</v>
      </c>
      <c r="DU1419" t="s">
        <v>296</v>
      </c>
      <c r="DW1419" t="s">
        <v>4786</v>
      </c>
      <c r="DX1419" t="s">
        <v>18321</v>
      </c>
      <c r="DY1419" t="s">
        <v>302</v>
      </c>
      <c r="DZ1419" t="s">
        <v>303</v>
      </c>
      <c r="EA1419" t="s">
        <v>18322</v>
      </c>
      <c r="EB1419" t="s">
        <v>235</v>
      </c>
      <c r="EC1419" t="s">
        <v>183</v>
      </c>
      <c r="ED1419" t="s">
        <v>211</v>
      </c>
      <c r="EE1419" t="s">
        <v>250</v>
      </c>
      <c r="EG1419" t="s">
        <v>18306</v>
      </c>
      <c r="EH1419" t="s">
        <v>18323</v>
      </c>
      <c r="EI1419" t="s">
        <v>238</v>
      </c>
      <c r="EJ1419" t="s">
        <v>239</v>
      </c>
      <c r="EK1419" t="s">
        <v>18324</v>
      </c>
      <c r="EL1419" t="s">
        <v>235</v>
      </c>
      <c r="EM1419" t="s">
        <v>183</v>
      </c>
      <c r="EN1419" t="s">
        <v>211</v>
      </c>
      <c r="EO1419" t="s">
        <v>296</v>
      </c>
      <c r="EQ1419" t="s">
        <v>17134</v>
      </c>
      <c r="ER1419" t="s">
        <v>18325</v>
      </c>
      <c r="ES1419" t="s">
        <v>346</v>
      </c>
      <c r="ET1419" t="s">
        <v>347</v>
      </c>
      <c r="EU1419" t="s">
        <v>18326</v>
      </c>
      <c r="EV1419" t="s">
        <v>235</v>
      </c>
      <c r="EW1419" t="s">
        <v>183</v>
      </c>
      <c r="EX1419" t="s">
        <v>211</v>
      </c>
      <c r="EY1419" t="s">
        <v>296</v>
      </c>
      <c r="FA1419" t="s">
        <v>5220</v>
      </c>
      <c r="FB1419" t="s">
        <v>10217</v>
      </c>
      <c r="FC1419" t="s">
        <v>207</v>
      </c>
      <c r="FD1419" t="s">
        <v>208</v>
      </c>
      <c r="FE1419" t="s">
        <v>18327</v>
      </c>
      <c r="FF1419" t="s">
        <v>235</v>
      </c>
      <c r="FG1419" t="s">
        <v>183</v>
      </c>
      <c r="FH1419" t="s">
        <v>211</v>
      </c>
      <c r="FI1419" t="s">
        <v>206</v>
      </c>
      <c r="FK1419" t="s">
        <v>11276</v>
      </c>
      <c r="FU1419" t="s">
        <v>198</v>
      </c>
    </row>
    <row r="1420" spans="1:177">
      <c r="A1420" s="1" t="str">
        <f>HYPERLINK("http://digipan.lumentumllc.com/apps/getLink/index.php?t=PropLink&amp;p=5248603","PL")</f>
        <v>PL</v>
      </c>
      <c r="B1420" s="1" t="str">
        <f>HYPERLINK("http://digipan.lumentumllc.com/apps/getLink/index.php?t=TaxLink&amp;p=5248603","TL")</f>
        <v>TL</v>
      </c>
      <c r="C1420" s="1" t="str">
        <f>HYPERLINK("http://digipan.lumentumllc.com/apps/getMap/index.php?p=5248603","Map")</f>
        <v>Map</v>
      </c>
      <c r="E1420" t="s">
        <v>177</v>
      </c>
      <c r="F1420" t="s">
        <v>178</v>
      </c>
      <c r="L1420" t="s">
        <v>18328</v>
      </c>
      <c r="N1420" t="s">
        <v>18328</v>
      </c>
      <c r="O1420" t="s">
        <v>18328</v>
      </c>
      <c r="P1420" t="s">
        <v>18329</v>
      </c>
      <c r="Q1420" t="s">
        <v>18328</v>
      </c>
      <c r="V1420">
        <v>1626</v>
      </c>
      <c r="W1420">
        <v>5</v>
      </c>
      <c r="X1420">
        <v>2017</v>
      </c>
      <c r="Y1420">
        <v>2018</v>
      </c>
      <c r="Z1420">
        <v>568.76</v>
      </c>
      <c r="AB1420" t="s">
        <v>181</v>
      </c>
      <c r="AC1420" t="s">
        <v>182</v>
      </c>
      <c r="AD1420" t="s">
        <v>183</v>
      </c>
      <c r="AE1420">
        <v>0</v>
      </c>
      <c r="AF1420">
        <v>8</v>
      </c>
      <c r="AG1420" t="s">
        <v>1059</v>
      </c>
      <c r="AH1420">
        <v>100</v>
      </c>
      <c r="AK1420">
        <v>0</v>
      </c>
      <c r="AL1420">
        <v>32783</v>
      </c>
      <c r="AM1420">
        <v>18750</v>
      </c>
      <c r="AN1420">
        <v>14033</v>
      </c>
      <c r="AO1420">
        <v>503</v>
      </c>
      <c r="AP1420">
        <v>2016</v>
      </c>
      <c r="AQ1420">
        <v>1.73</v>
      </c>
      <c r="AS1420" t="s">
        <v>18330</v>
      </c>
      <c r="AT1420" t="s">
        <v>3210</v>
      </c>
      <c r="AU1420" t="s">
        <v>177</v>
      </c>
      <c r="AV1420" t="s">
        <v>2334</v>
      </c>
      <c r="AW1420" t="s">
        <v>182</v>
      </c>
      <c r="AX1420">
        <v>2</v>
      </c>
      <c r="AY1420" t="s">
        <v>188</v>
      </c>
      <c r="AZ1420" t="s">
        <v>189</v>
      </c>
      <c r="BA1420" t="s">
        <v>190</v>
      </c>
      <c r="BB1420" t="s">
        <v>191</v>
      </c>
      <c r="BC1420" t="s">
        <v>182</v>
      </c>
      <c r="BD1420" t="s">
        <v>182</v>
      </c>
      <c r="BE1420" t="s">
        <v>383</v>
      </c>
      <c r="BF1420">
        <v>1</v>
      </c>
      <c r="BG1420">
        <v>1</v>
      </c>
      <c r="BH1420">
        <v>1971</v>
      </c>
      <c r="BI1420" t="s">
        <v>5764</v>
      </c>
      <c r="BJ1420" t="s">
        <v>194</v>
      </c>
      <c r="BK1420" t="s">
        <v>195</v>
      </c>
      <c r="BL1420" t="s">
        <v>18331</v>
      </c>
      <c r="BM1420" t="s">
        <v>286</v>
      </c>
      <c r="BN1420" t="s">
        <v>182</v>
      </c>
      <c r="BO1420" t="s">
        <v>2328</v>
      </c>
      <c r="BP1420" t="s">
        <v>18332</v>
      </c>
      <c r="BS1420" t="s">
        <v>13325</v>
      </c>
      <c r="BT1420" t="s">
        <v>198</v>
      </c>
      <c r="BU1420" t="s">
        <v>182</v>
      </c>
      <c r="BV1420" t="s">
        <v>198</v>
      </c>
      <c r="BW1420" t="s">
        <v>198</v>
      </c>
      <c r="BX1420" t="s">
        <v>199</v>
      </c>
      <c r="BY1420" t="s">
        <v>198</v>
      </c>
      <c r="BZ1420" t="s">
        <v>199</v>
      </c>
      <c r="CA1420" t="s">
        <v>199</v>
      </c>
      <c r="CB1420" t="s">
        <v>18315</v>
      </c>
      <c r="CC1420" t="s">
        <v>201</v>
      </c>
      <c r="CD1420" t="s">
        <v>182</v>
      </c>
      <c r="CE1420" t="s">
        <v>17122</v>
      </c>
      <c r="CF1420" t="s">
        <v>2333</v>
      </c>
      <c r="CG1420" t="s">
        <v>177</v>
      </c>
      <c r="CH1420" t="s">
        <v>2334</v>
      </c>
      <c r="CI1420" t="s">
        <v>18333</v>
      </c>
      <c r="CJ1420" t="s">
        <v>13008</v>
      </c>
      <c r="CK1420" t="s">
        <v>232</v>
      </c>
      <c r="CL1420" t="s">
        <v>233</v>
      </c>
      <c r="CM1420" t="s">
        <v>18334</v>
      </c>
      <c r="CN1420" t="s">
        <v>235</v>
      </c>
      <c r="CO1420" t="s">
        <v>183</v>
      </c>
      <c r="CP1420" t="s">
        <v>211</v>
      </c>
      <c r="CQ1420" t="s">
        <v>339</v>
      </c>
      <c r="CS1420" t="s">
        <v>17125</v>
      </c>
      <c r="CT1420" t="s">
        <v>11736</v>
      </c>
      <c r="CU1420" t="s">
        <v>292</v>
      </c>
      <c r="CV1420" t="s">
        <v>293</v>
      </c>
      <c r="CW1420" t="s">
        <v>17722</v>
      </c>
      <c r="CX1420" t="s">
        <v>235</v>
      </c>
      <c r="CY1420" t="s">
        <v>183</v>
      </c>
      <c r="CZ1420" t="s">
        <v>211</v>
      </c>
      <c r="DA1420" t="s">
        <v>493</v>
      </c>
      <c r="DC1420" t="s">
        <v>17125</v>
      </c>
      <c r="DD1420" t="s">
        <v>2571</v>
      </c>
      <c r="DE1420" t="s">
        <v>267</v>
      </c>
      <c r="DF1420" t="s">
        <v>268</v>
      </c>
      <c r="DG1420" t="s">
        <v>18335</v>
      </c>
      <c r="DH1420" t="s">
        <v>235</v>
      </c>
      <c r="DI1420" t="s">
        <v>183</v>
      </c>
      <c r="DJ1420" t="s">
        <v>211</v>
      </c>
      <c r="DK1420" t="s">
        <v>206</v>
      </c>
      <c r="DM1420" t="s">
        <v>17128</v>
      </c>
      <c r="DN1420" t="s">
        <v>17040</v>
      </c>
      <c r="DO1420" t="s">
        <v>273</v>
      </c>
      <c r="DP1420" t="s">
        <v>274</v>
      </c>
      <c r="DQ1420" t="s">
        <v>18336</v>
      </c>
      <c r="DR1420" t="s">
        <v>514</v>
      </c>
      <c r="DS1420" t="s">
        <v>183</v>
      </c>
      <c r="DT1420" t="s">
        <v>211</v>
      </c>
      <c r="DU1420" t="s">
        <v>296</v>
      </c>
      <c r="DW1420" t="s">
        <v>4786</v>
      </c>
      <c r="DX1420" t="s">
        <v>18337</v>
      </c>
      <c r="DY1420" t="s">
        <v>302</v>
      </c>
      <c r="DZ1420" t="s">
        <v>303</v>
      </c>
      <c r="EA1420" t="s">
        <v>18338</v>
      </c>
      <c r="EB1420" t="s">
        <v>235</v>
      </c>
      <c r="EC1420" t="s">
        <v>183</v>
      </c>
      <c r="ED1420" t="s">
        <v>211</v>
      </c>
      <c r="EE1420" t="s">
        <v>250</v>
      </c>
      <c r="EG1420" t="s">
        <v>18306</v>
      </c>
      <c r="EH1420" t="s">
        <v>18339</v>
      </c>
      <c r="EI1420" t="s">
        <v>238</v>
      </c>
      <c r="EJ1420" t="s">
        <v>239</v>
      </c>
      <c r="EK1420" t="s">
        <v>18340</v>
      </c>
      <c r="EL1420" t="s">
        <v>440</v>
      </c>
      <c r="EM1420" t="s">
        <v>183</v>
      </c>
      <c r="EN1420" t="s">
        <v>211</v>
      </c>
      <c r="EO1420" t="s">
        <v>296</v>
      </c>
      <c r="EQ1420" t="s">
        <v>17134</v>
      </c>
      <c r="ER1420" t="s">
        <v>3011</v>
      </c>
      <c r="ES1420" t="s">
        <v>346</v>
      </c>
      <c r="ET1420" t="s">
        <v>347</v>
      </c>
      <c r="EU1420" t="s">
        <v>18341</v>
      </c>
      <c r="EV1420" t="s">
        <v>278</v>
      </c>
      <c r="EW1420" t="s">
        <v>183</v>
      </c>
      <c r="EX1420" t="s">
        <v>211</v>
      </c>
      <c r="EY1420" t="s">
        <v>427</v>
      </c>
      <c r="FA1420" t="s">
        <v>6979</v>
      </c>
      <c r="FB1420" t="s">
        <v>18342</v>
      </c>
      <c r="FC1420" t="s">
        <v>207</v>
      </c>
      <c r="FD1420" t="s">
        <v>208</v>
      </c>
      <c r="FE1420" t="s">
        <v>18343</v>
      </c>
      <c r="FF1420" t="s">
        <v>1966</v>
      </c>
      <c r="FG1420" t="s">
        <v>183</v>
      </c>
      <c r="FH1420" t="s">
        <v>211</v>
      </c>
      <c r="FI1420" t="s">
        <v>206</v>
      </c>
      <c r="FK1420" t="s">
        <v>11276</v>
      </c>
      <c r="FU1420" t="s">
        <v>198</v>
      </c>
    </row>
    <row r="1421" spans="1:177">
      <c r="A1421" s="1" t="str">
        <f>HYPERLINK("http://digipan.lumentumllc.com/apps/getLink/index.php?t=PropLink&amp;p=5248604","PL")</f>
        <v>PL</v>
      </c>
      <c r="B1421" s="1" t="str">
        <f>HYPERLINK("http://digipan.lumentumllc.com/apps/getLink/index.php?t=TaxLink&amp;p=5248604","TL")</f>
        <v>TL</v>
      </c>
      <c r="C1421" s="1" t="str">
        <f>HYPERLINK("http://digipan.lumentumllc.com/apps/getMap/index.php?p=5248604","Map")</f>
        <v>Map</v>
      </c>
      <c r="E1421" t="s">
        <v>177</v>
      </c>
      <c r="F1421" t="s">
        <v>178</v>
      </c>
      <c r="L1421" t="s">
        <v>18344</v>
      </c>
      <c r="N1421" t="s">
        <v>18344</v>
      </c>
      <c r="O1421" t="s">
        <v>18344</v>
      </c>
      <c r="P1421" t="s">
        <v>18345</v>
      </c>
      <c r="Q1421" t="s">
        <v>18344</v>
      </c>
      <c r="V1421">
        <v>1627</v>
      </c>
      <c r="W1421">
        <v>5</v>
      </c>
      <c r="X1421">
        <v>2017</v>
      </c>
      <c r="Y1421">
        <v>2018</v>
      </c>
      <c r="Z1421">
        <v>154.80000000000001</v>
      </c>
      <c r="AB1421" t="s">
        <v>181</v>
      </c>
      <c r="AC1421" t="s">
        <v>182</v>
      </c>
      <c r="AD1421" t="s">
        <v>183</v>
      </c>
      <c r="AE1421">
        <v>0</v>
      </c>
      <c r="AF1421">
        <v>8</v>
      </c>
      <c r="AG1421" t="s">
        <v>1059</v>
      </c>
      <c r="AH1421">
        <v>100</v>
      </c>
      <c r="AK1421">
        <v>0</v>
      </c>
      <c r="AL1421">
        <v>7500</v>
      </c>
      <c r="AM1421">
        <v>7500</v>
      </c>
      <c r="AN1421">
        <v>0</v>
      </c>
      <c r="AO1421">
        <v>115</v>
      </c>
      <c r="AP1421">
        <v>2016</v>
      </c>
      <c r="AQ1421">
        <v>2.06</v>
      </c>
      <c r="AS1421" t="s">
        <v>18346</v>
      </c>
      <c r="AT1421" t="s">
        <v>3210</v>
      </c>
      <c r="AU1421" t="s">
        <v>177</v>
      </c>
      <c r="AV1421" t="s">
        <v>2334</v>
      </c>
      <c r="AW1421" t="s">
        <v>182</v>
      </c>
      <c r="AX1421">
        <v>0</v>
      </c>
      <c r="AY1421" t="s">
        <v>312</v>
      </c>
      <c r="AZ1421" t="s">
        <v>199</v>
      </c>
      <c r="BA1421" t="s">
        <v>313</v>
      </c>
      <c r="BB1421" t="s">
        <v>191</v>
      </c>
      <c r="BC1421" t="s">
        <v>182</v>
      </c>
      <c r="BD1421" t="s">
        <v>182</v>
      </c>
      <c r="BE1421" t="s">
        <v>5880</v>
      </c>
      <c r="BF1421">
        <v>0</v>
      </c>
      <c r="BG1421">
        <v>0</v>
      </c>
      <c r="BH1421">
        <v>0</v>
      </c>
      <c r="BI1421" t="s">
        <v>199</v>
      </c>
      <c r="BJ1421" t="s">
        <v>315</v>
      </c>
      <c r="BL1421" t="s">
        <v>18331</v>
      </c>
      <c r="BM1421" t="s">
        <v>286</v>
      </c>
      <c r="BN1421" t="s">
        <v>182</v>
      </c>
      <c r="BO1421" t="s">
        <v>2328</v>
      </c>
      <c r="BP1421" t="s">
        <v>18332</v>
      </c>
      <c r="BS1421" t="s">
        <v>13325</v>
      </c>
      <c r="BT1421" t="s">
        <v>198</v>
      </c>
      <c r="BU1421" t="s">
        <v>182</v>
      </c>
      <c r="BV1421" t="s">
        <v>198</v>
      </c>
      <c r="BW1421" t="s">
        <v>198</v>
      </c>
      <c r="BX1421" t="s">
        <v>199</v>
      </c>
      <c r="BY1421" t="s">
        <v>198</v>
      </c>
      <c r="BZ1421" t="s">
        <v>199</v>
      </c>
      <c r="CA1421" t="s">
        <v>199</v>
      </c>
      <c r="CB1421" t="s">
        <v>18315</v>
      </c>
      <c r="CC1421" t="s">
        <v>201</v>
      </c>
      <c r="CD1421" t="s">
        <v>182</v>
      </c>
      <c r="CE1421" t="s">
        <v>17122</v>
      </c>
      <c r="CF1421" t="s">
        <v>2333</v>
      </c>
      <c r="CG1421" t="s">
        <v>177</v>
      </c>
      <c r="CH1421" t="s">
        <v>2334</v>
      </c>
      <c r="CI1421" t="s">
        <v>18347</v>
      </c>
      <c r="CJ1421" t="s">
        <v>15396</v>
      </c>
      <c r="CK1421" t="s">
        <v>232</v>
      </c>
      <c r="CL1421" t="s">
        <v>233</v>
      </c>
      <c r="CM1421" t="s">
        <v>13122</v>
      </c>
      <c r="CN1421" t="s">
        <v>2679</v>
      </c>
      <c r="CO1421" t="s">
        <v>183</v>
      </c>
      <c r="CP1421" t="s">
        <v>211</v>
      </c>
      <c r="CQ1421" t="s">
        <v>339</v>
      </c>
      <c r="CS1421" t="s">
        <v>17125</v>
      </c>
      <c r="CT1421" t="s">
        <v>2716</v>
      </c>
      <c r="CU1421" t="s">
        <v>292</v>
      </c>
      <c r="CV1421" t="s">
        <v>293</v>
      </c>
      <c r="CW1421" t="s">
        <v>13076</v>
      </c>
      <c r="CX1421" t="s">
        <v>482</v>
      </c>
      <c r="CY1421" t="s">
        <v>183</v>
      </c>
      <c r="CZ1421" t="s">
        <v>211</v>
      </c>
      <c r="DA1421" t="s">
        <v>296</v>
      </c>
      <c r="DC1421" t="s">
        <v>4218</v>
      </c>
      <c r="DD1421" t="s">
        <v>18348</v>
      </c>
      <c r="DE1421" t="s">
        <v>267</v>
      </c>
      <c r="DF1421" t="s">
        <v>268</v>
      </c>
      <c r="DG1421" t="s">
        <v>13102</v>
      </c>
      <c r="DH1421" t="s">
        <v>235</v>
      </c>
      <c r="DI1421" t="s">
        <v>183</v>
      </c>
      <c r="DJ1421" t="s">
        <v>211</v>
      </c>
      <c r="DK1421" t="s">
        <v>206</v>
      </c>
      <c r="DM1421" t="s">
        <v>17128</v>
      </c>
      <c r="DN1421" t="s">
        <v>17057</v>
      </c>
      <c r="DO1421" t="s">
        <v>273</v>
      </c>
      <c r="DP1421" t="s">
        <v>274</v>
      </c>
      <c r="DQ1421" t="s">
        <v>11181</v>
      </c>
      <c r="DR1421" t="s">
        <v>402</v>
      </c>
      <c r="DS1421" t="s">
        <v>183</v>
      </c>
      <c r="DT1421" t="s">
        <v>211</v>
      </c>
      <c r="DU1421" t="s">
        <v>296</v>
      </c>
      <c r="DW1421" t="s">
        <v>4786</v>
      </c>
      <c r="DX1421" t="s">
        <v>13112</v>
      </c>
      <c r="DY1421" t="s">
        <v>302</v>
      </c>
      <c r="DZ1421" t="s">
        <v>303</v>
      </c>
      <c r="EA1421" t="s">
        <v>3728</v>
      </c>
      <c r="EB1421" t="s">
        <v>2515</v>
      </c>
      <c r="EC1421" t="s">
        <v>183</v>
      </c>
      <c r="ED1421" t="s">
        <v>211</v>
      </c>
      <c r="EE1421" t="s">
        <v>250</v>
      </c>
      <c r="EG1421" t="s">
        <v>18306</v>
      </c>
      <c r="EH1421" t="s">
        <v>18349</v>
      </c>
      <c r="EI1421" t="s">
        <v>238</v>
      </c>
      <c r="EJ1421" t="s">
        <v>239</v>
      </c>
      <c r="EK1421" t="s">
        <v>8906</v>
      </c>
      <c r="EL1421" t="s">
        <v>4595</v>
      </c>
      <c r="EM1421" t="s">
        <v>183</v>
      </c>
      <c r="EN1421" t="s">
        <v>211</v>
      </c>
      <c r="EO1421" t="s">
        <v>296</v>
      </c>
      <c r="EQ1421" t="s">
        <v>17134</v>
      </c>
      <c r="ER1421" t="s">
        <v>18350</v>
      </c>
      <c r="ES1421" t="s">
        <v>346</v>
      </c>
      <c r="ET1421" t="s">
        <v>347</v>
      </c>
      <c r="EU1421" t="s">
        <v>18351</v>
      </c>
      <c r="EV1421" t="s">
        <v>278</v>
      </c>
      <c r="EW1421" t="s">
        <v>183</v>
      </c>
      <c r="EX1421" t="s">
        <v>211</v>
      </c>
      <c r="EY1421" t="s">
        <v>296</v>
      </c>
      <c r="FA1421" t="s">
        <v>5220</v>
      </c>
      <c r="FB1421" t="s">
        <v>18352</v>
      </c>
      <c r="FC1421" t="s">
        <v>207</v>
      </c>
      <c r="FD1421" t="s">
        <v>208</v>
      </c>
      <c r="FE1421" t="s">
        <v>18353</v>
      </c>
      <c r="FF1421" t="s">
        <v>1966</v>
      </c>
      <c r="FG1421" t="s">
        <v>183</v>
      </c>
      <c r="FH1421" t="s">
        <v>211</v>
      </c>
      <c r="FI1421" t="s">
        <v>206</v>
      </c>
      <c r="FK1421" t="s">
        <v>11276</v>
      </c>
      <c r="FU1421" t="s">
        <v>198</v>
      </c>
    </row>
    <row r="1422" spans="1:177">
      <c r="A1422" s="1" t="str">
        <f>HYPERLINK("http://digipan.lumentumllc.com/apps/getLink/index.php?t=PropLink&amp;p=5248607","PL")</f>
        <v>PL</v>
      </c>
      <c r="B1422" s="1" t="str">
        <f>HYPERLINK("http://digipan.lumentumllc.com/apps/getLink/index.php?t=TaxLink&amp;p=5248607","TL")</f>
        <v>TL</v>
      </c>
      <c r="C1422" s="1" t="str">
        <f>HYPERLINK("http://digipan.lumentumllc.com/apps/getMap/index.php?p=5248607","Map")</f>
        <v>Map</v>
      </c>
      <c r="E1422" t="s">
        <v>177</v>
      </c>
      <c r="F1422" t="s">
        <v>178</v>
      </c>
      <c r="L1422" t="s">
        <v>18354</v>
      </c>
      <c r="N1422" t="s">
        <v>18354</v>
      </c>
      <c r="O1422" t="s">
        <v>18354</v>
      </c>
      <c r="P1422" t="s">
        <v>18355</v>
      </c>
      <c r="Q1422" t="s">
        <v>18354</v>
      </c>
      <c r="V1422">
        <v>1628</v>
      </c>
      <c r="W1422">
        <v>5</v>
      </c>
      <c r="X1422">
        <v>2017</v>
      </c>
      <c r="Y1422">
        <v>2018</v>
      </c>
      <c r="Z1422">
        <v>953.28</v>
      </c>
      <c r="AB1422" t="s">
        <v>181</v>
      </c>
      <c r="AC1422" t="s">
        <v>182</v>
      </c>
      <c r="AD1422" t="s">
        <v>183</v>
      </c>
      <c r="AE1422">
        <v>1</v>
      </c>
      <c r="AF1422">
        <v>7</v>
      </c>
      <c r="AG1422" t="s">
        <v>418</v>
      </c>
      <c r="AH1422">
        <v>86</v>
      </c>
      <c r="AI1422">
        <v>957.67</v>
      </c>
      <c r="AJ1422">
        <v>47.88</v>
      </c>
      <c r="AK1422">
        <v>1005.55</v>
      </c>
      <c r="AL1422">
        <v>56269</v>
      </c>
      <c r="AM1422">
        <v>17850</v>
      </c>
      <c r="AN1422">
        <v>38419</v>
      </c>
      <c r="AO1422">
        <v>861</v>
      </c>
      <c r="AP1422">
        <v>2016</v>
      </c>
      <c r="AQ1422">
        <v>1.69</v>
      </c>
      <c r="AR1422">
        <v>1.79</v>
      </c>
      <c r="AS1422" t="s">
        <v>18356</v>
      </c>
      <c r="AT1422" t="s">
        <v>3210</v>
      </c>
      <c r="AU1422" t="s">
        <v>177</v>
      </c>
      <c r="AV1422" t="s">
        <v>2334</v>
      </c>
      <c r="AW1422" t="s">
        <v>182</v>
      </c>
      <c r="AX1422">
        <v>1</v>
      </c>
      <c r="AY1422" t="s">
        <v>188</v>
      </c>
      <c r="AZ1422" t="s">
        <v>206</v>
      </c>
      <c r="BA1422" t="s">
        <v>355</v>
      </c>
      <c r="BB1422" t="s">
        <v>191</v>
      </c>
      <c r="BC1422" t="s">
        <v>182</v>
      </c>
      <c r="BD1422" t="s">
        <v>182</v>
      </c>
      <c r="BE1422" t="s">
        <v>6085</v>
      </c>
      <c r="BF1422">
        <v>1</v>
      </c>
      <c r="BG1422">
        <v>1</v>
      </c>
      <c r="BH1422">
        <v>1963</v>
      </c>
      <c r="BI1422" t="s">
        <v>9871</v>
      </c>
      <c r="BJ1422" t="s">
        <v>194</v>
      </c>
      <c r="BK1422" t="s">
        <v>195</v>
      </c>
      <c r="BL1422" t="s">
        <v>199</v>
      </c>
      <c r="BM1422" t="s">
        <v>346</v>
      </c>
      <c r="BN1422" t="s">
        <v>182</v>
      </c>
      <c r="BO1422" t="s">
        <v>198</v>
      </c>
      <c r="BP1422" t="s">
        <v>198</v>
      </c>
      <c r="BQ1422" t="s">
        <v>198</v>
      </c>
      <c r="BR1422" t="s">
        <v>198</v>
      </c>
      <c r="BS1422" t="s">
        <v>198</v>
      </c>
      <c r="BT1422" t="s">
        <v>198</v>
      </c>
      <c r="BU1422" t="s">
        <v>182</v>
      </c>
      <c r="BV1422" t="s">
        <v>198</v>
      </c>
      <c r="BW1422" t="s">
        <v>198</v>
      </c>
      <c r="BX1422" t="s">
        <v>199</v>
      </c>
      <c r="BY1422" t="s">
        <v>198</v>
      </c>
      <c r="BZ1422" t="s">
        <v>199</v>
      </c>
      <c r="CA1422" t="s">
        <v>199</v>
      </c>
      <c r="CB1422" t="s">
        <v>18357</v>
      </c>
      <c r="CC1422" t="s">
        <v>201</v>
      </c>
      <c r="CD1422" t="s">
        <v>202</v>
      </c>
      <c r="CE1422" t="s">
        <v>18358</v>
      </c>
      <c r="CF1422" t="s">
        <v>5331</v>
      </c>
      <c r="CG1422" t="s">
        <v>177</v>
      </c>
      <c r="CH1422" t="s">
        <v>371</v>
      </c>
      <c r="CI1422" t="s">
        <v>18359</v>
      </c>
      <c r="CJ1422" t="s">
        <v>15406</v>
      </c>
      <c r="CK1422" t="s">
        <v>232</v>
      </c>
      <c r="CL1422" t="s">
        <v>233</v>
      </c>
      <c r="CM1422" t="s">
        <v>18360</v>
      </c>
      <c r="CN1422" t="s">
        <v>235</v>
      </c>
      <c r="CO1422" t="s">
        <v>183</v>
      </c>
      <c r="CP1422" t="s">
        <v>266</v>
      </c>
      <c r="CS1422" t="s">
        <v>198</v>
      </c>
      <c r="CT1422" t="s">
        <v>18361</v>
      </c>
      <c r="CU1422" t="s">
        <v>292</v>
      </c>
      <c r="CV1422" t="s">
        <v>293</v>
      </c>
      <c r="CW1422" t="s">
        <v>18362</v>
      </c>
      <c r="CX1422" t="s">
        <v>235</v>
      </c>
      <c r="CY1422" t="s">
        <v>183</v>
      </c>
      <c r="CZ1422" t="s">
        <v>211</v>
      </c>
      <c r="DA1422" t="s">
        <v>298</v>
      </c>
      <c r="DC1422" t="s">
        <v>1641</v>
      </c>
      <c r="DD1422" t="s">
        <v>17466</v>
      </c>
      <c r="DE1422" t="s">
        <v>267</v>
      </c>
      <c r="DF1422" t="s">
        <v>268</v>
      </c>
      <c r="DG1422" t="s">
        <v>18363</v>
      </c>
      <c r="DH1422" t="s">
        <v>235</v>
      </c>
      <c r="DI1422" t="s">
        <v>183</v>
      </c>
      <c r="DJ1422" t="s">
        <v>211</v>
      </c>
      <c r="DK1422" t="s">
        <v>298</v>
      </c>
      <c r="DM1422" t="s">
        <v>459</v>
      </c>
      <c r="DN1422" t="s">
        <v>18364</v>
      </c>
      <c r="DO1422" t="s">
        <v>273</v>
      </c>
      <c r="DP1422" t="s">
        <v>274</v>
      </c>
      <c r="DQ1422" t="s">
        <v>18365</v>
      </c>
      <c r="DR1422" t="s">
        <v>235</v>
      </c>
      <c r="DS1422" t="s">
        <v>183</v>
      </c>
      <c r="DT1422" t="s">
        <v>211</v>
      </c>
      <c r="DU1422" t="s">
        <v>298</v>
      </c>
      <c r="DW1422" t="s">
        <v>462</v>
      </c>
      <c r="DX1422" t="s">
        <v>15469</v>
      </c>
      <c r="DY1422" t="s">
        <v>302</v>
      </c>
      <c r="DZ1422" t="s">
        <v>303</v>
      </c>
      <c r="EA1422" t="s">
        <v>18366</v>
      </c>
      <c r="EB1422" t="s">
        <v>235</v>
      </c>
      <c r="EC1422" t="s">
        <v>183</v>
      </c>
      <c r="ED1422" t="s">
        <v>211</v>
      </c>
      <c r="EE1422" t="s">
        <v>298</v>
      </c>
      <c r="EG1422" t="s">
        <v>437</v>
      </c>
      <c r="EH1422" t="s">
        <v>7418</v>
      </c>
      <c r="EI1422" t="s">
        <v>238</v>
      </c>
      <c r="EJ1422" t="s">
        <v>239</v>
      </c>
      <c r="EK1422" t="s">
        <v>18367</v>
      </c>
      <c r="EL1422" t="s">
        <v>331</v>
      </c>
      <c r="EM1422" t="s">
        <v>183</v>
      </c>
      <c r="EN1422" t="s">
        <v>211</v>
      </c>
      <c r="EO1422" t="s">
        <v>298</v>
      </c>
      <c r="EQ1422" t="s">
        <v>9167</v>
      </c>
      <c r="ER1422" t="s">
        <v>18368</v>
      </c>
      <c r="ES1422" t="s">
        <v>346</v>
      </c>
      <c r="ET1422" t="s">
        <v>347</v>
      </c>
      <c r="EU1422" t="s">
        <v>18369</v>
      </c>
      <c r="EV1422" t="s">
        <v>278</v>
      </c>
      <c r="EW1422" t="s">
        <v>183</v>
      </c>
      <c r="EX1422" t="s">
        <v>211</v>
      </c>
      <c r="EY1422" t="s">
        <v>298</v>
      </c>
      <c r="FA1422" t="s">
        <v>878</v>
      </c>
      <c r="FB1422" t="s">
        <v>16781</v>
      </c>
      <c r="FC1422" t="s">
        <v>207</v>
      </c>
      <c r="FD1422" t="s">
        <v>208</v>
      </c>
      <c r="FE1422" t="s">
        <v>18370</v>
      </c>
      <c r="FF1422" t="s">
        <v>1966</v>
      </c>
      <c r="FG1422" t="s">
        <v>183</v>
      </c>
      <c r="FH1422" t="s">
        <v>211</v>
      </c>
      <c r="FI1422" t="s">
        <v>298</v>
      </c>
      <c r="FK1422" t="s">
        <v>1167</v>
      </c>
      <c r="FU1422" t="s">
        <v>198</v>
      </c>
    </row>
    <row r="1423" spans="1:177">
      <c r="A1423" s="1" t="str">
        <f>HYPERLINK("http://digipan.lumentumllc.com/apps/getLink/index.php?t=PropLink&amp;p=6594426","PL")</f>
        <v>PL</v>
      </c>
      <c r="B1423" s="1" t="str">
        <f>HYPERLINK("http://digipan.lumentumllc.com/apps/getLink/index.php?t=TaxLink&amp;p=6594426","TL")</f>
        <v>TL</v>
      </c>
      <c r="C1423" s="1" t="str">
        <f>HYPERLINK("http://digipan.lumentumllc.com/apps/getMap/index.php?p=6594426","Map")</f>
        <v>Map</v>
      </c>
      <c r="E1423" t="s">
        <v>177</v>
      </c>
      <c r="F1423" t="s">
        <v>178</v>
      </c>
      <c r="L1423" t="s">
        <v>18371</v>
      </c>
      <c r="N1423" t="s">
        <v>18371</v>
      </c>
      <c r="O1423" t="s">
        <v>18371</v>
      </c>
      <c r="P1423" t="s">
        <v>18372</v>
      </c>
      <c r="Q1423" t="s">
        <v>18371</v>
      </c>
      <c r="V1423">
        <v>1629</v>
      </c>
      <c r="W1423">
        <v>5</v>
      </c>
      <c r="X1423">
        <v>2017</v>
      </c>
      <c r="Y1423">
        <v>2018</v>
      </c>
      <c r="Z1423">
        <v>166.66</v>
      </c>
      <c r="AG1423" t="s">
        <v>184</v>
      </c>
      <c r="AH1423">
        <v>0</v>
      </c>
      <c r="AK1423">
        <v>0</v>
      </c>
      <c r="AL1423">
        <v>8225</v>
      </c>
      <c r="AM1423">
        <v>8225</v>
      </c>
      <c r="AN1423">
        <v>0</v>
      </c>
      <c r="AO1423">
        <v>126</v>
      </c>
      <c r="AP1423">
        <v>2016</v>
      </c>
      <c r="AQ1423">
        <v>2.0299999999999998</v>
      </c>
      <c r="AS1423" t="s">
        <v>18373</v>
      </c>
      <c r="AT1423" t="s">
        <v>3210</v>
      </c>
      <c r="AU1423" t="s">
        <v>177</v>
      </c>
      <c r="AV1423" t="s">
        <v>2334</v>
      </c>
      <c r="AW1423" t="s">
        <v>182</v>
      </c>
      <c r="AX1423">
        <v>0</v>
      </c>
      <c r="AY1423" t="s">
        <v>312</v>
      </c>
      <c r="AZ1423" t="s">
        <v>199</v>
      </c>
      <c r="BA1423" t="s">
        <v>313</v>
      </c>
      <c r="BB1423" t="s">
        <v>191</v>
      </c>
      <c r="BC1423" t="s">
        <v>182</v>
      </c>
      <c r="BD1423" t="s">
        <v>182</v>
      </c>
      <c r="BE1423" t="s">
        <v>18374</v>
      </c>
      <c r="BF1423">
        <v>0</v>
      </c>
      <c r="BG1423">
        <v>0</v>
      </c>
      <c r="BH1423">
        <v>0</v>
      </c>
      <c r="BI1423" t="s">
        <v>199</v>
      </c>
      <c r="BJ1423" t="s">
        <v>315</v>
      </c>
      <c r="BL1423" t="s">
        <v>18375</v>
      </c>
      <c r="BM1423" t="s">
        <v>207</v>
      </c>
      <c r="BN1423" t="s">
        <v>182</v>
      </c>
      <c r="BO1423" t="s">
        <v>198</v>
      </c>
      <c r="BP1423" t="s">
        <v>198</v>
      </c>
      <c r="BQ1423" t="s">
        <v>198</v>
      </c>
      <c r="BR1423" t="s">
        <v>198</v>
      </c>
      <c r="BS1423" t="s">
        <v>198</v>
      </c>
      <c r="BT1423" t="s">
        <v>198</v>
      </c>
      <c r="BU1423" t="s">
        <v>182</v>
      </c>
      <c r="BV1423" t="s">
        <v>198</v>
      </c>
      <c r="BW1423" t="s">
        <v>198</v>
      </c>
      <c r="BX1423" t="s">
        <v>199</v>
      </c>
      <c r="BY1423" t="s">
        <v>198</v>
      </c>
      <c r="BZ1423" t="s">
        <v>199</v>
      </c>
      <c r="CA1423" t="s">
        <v>199</v>
      </c>
      <c r="CB1423" t="s">
        <v>18376</v>
      </c>
      <c r="CC1423" t="s">
        <v>201</v>
      </c>
      <c r="CD1423" t="s">
        <v>182</v>
      </c>
      <c r="CE1423" t="s">
        <v>18377</v>
      </c>
      <c r="CF1423" t="s">
        <v>2333</v>
      </c>
      <c r="CG1423" t="s">
        <v>177</v>
      </c>
      <c r="CH1423" t="s">
        <v>3178</v>
      </c>
      <c r="CI1423" t="s">
        <v>18378</v>
      </c>
      <c r="CS1423" t="s">
        <v>198</v>
      </c>
      <c r="DC1423" t="s">
        <v>198</v>
      </c>
      <c r="DM1423" t="s">
        <v>198</v>
      </c>
      <c r="DW1423" t="s">
        <v>198</v>
      </c>
      <c r="EG1423" t="s">
        <v>198</v>
      </c>
      <c r="EQ1423" t="s">
        <v>198</v>
      </c>
      <c r="FA1423" t="s">
        <v>198</v>
      </c>
      <c r="FK1423" t="s">
        <v>198</v>
      </c>
      <c r="FU1423" t="s">
        <v>198</v>
      </c>
    </row>
    <row r="1424" spans="1:177">
      <c r="A1424" s="1" t="str">
        <f>HYPERLINK("http://digipan.lumentumllc.com/apps/getLink/index.php?t=PropLink&amp;p=4638873","PL")</f>
        <v>PL</v>
      </c>
      <c r="B1424" s="1" t="str">
        <f>HYPERLINK("http://digipan.lumentumllc.com/apps/getLink/index.php?t=TaxLink&amp;p=4638873","TL")</f>
        <v>TL</v>
      </c>
      <c r="C1424" s="1" t="str">
        <f>HYPERLINK("http://digipan.lumentumllc.com/apps/getMap/index.php?p=4638873","Map")</f>
        <v>Map</v>
      </c>
      <c r="E1424" t="s">
        <v>177</v>
      </c>
      <c r="F1424" t="s">
        <v>178</v>
      </c>
      <c r="L1424" t="s">
        <v>18379</v>
      </c>
      <c r="N1424" t="s">
        <v>18379</v>
      </c>
      <c r="O1424" t="s">
        <v>18379</v>
      </c>
      <c r="P1424" t="s">
        <v>18380</v>
      </c>
      <c r="Q1424" t="s">
        <v>18379</v>
      </c>
      <c r="V1424">
        <v>1630</v>
      </c>
      <c r="W1424">
        <v>5</v>
      </c>
      <c r="X1424">
        <v>2017</v>
      </c>
      <c r="Y1424">
        <v>2018</v>
      </c>
      <c r="Z1424">
        <v>899.02</v>
      </c>
      <c r="AG1424" t="s">
        <v>184</v>
      </c>
      <c r="AH1424">
        <v>0</v>
      </c>
      <c r="AK1424">
        <v>0</v>
      </c>
      <c r="AL1424">
        <v>135973</v>
      </c>
      <c r="AM1424">
        <v>38250</v>
      </c>
      <c r="AN1424">
        <v>97723</v>
      </c>
      <c r="AO1424">
        <v>786</v>
      </c>
      <c r="AP1424">
        <v>2016</v>
      </c>
      <c r="AQ1424">
        <v>0.66</v>
      </c>
      <c r="AS1424" t="s">
        <v>18381</v>
      </c>
      <c r="AT1424" t="s">
        <v>3210</v>
      </c>
      <c r="AU1424" t="s">
        <v>177</v>
      </c>
      <c r="AV1424" t="s">
        <v>2334</v>
      </c>
      <c r="AW1424" t="s">
        <v>202</v>
      </c>
      <c r="AX1424">
        <v>1</v>
      </c>
      <c r="AY1424" t="s">
        <v>188</v>
      </c>
      <c r="AZ1424" t="s">
        <v>206</v>
      </c>
      <c r="BA1424" t="s">
        <v>355</v>
      </c>
      <c r="BB1424" t="s">
        <v>191</v>
      </c>
      <c r="BC1424" t="s">
        <v>182</v>
      </c>
      <c r="BD1424" t="s">
        <v>182</v>
      </c>
      <c r="BE1424" t="s">
        <v>18382</v>
      </c>
      <c r="BF1424">
        <v>1</v>
      </c>
      <c r="BG1424">
        <v>1</v>
      </c>
      <c r="BH1424">
        <v>1960</v>
      </c>
      <c r="BI1424" t="s">
        <v>18383</v>
      </c>
      <c r="BJ1424" t="s">
        <v>194</v>
      </c>
      <c r="BK1424" t="s">
        <v>195</v>
      </c>
      <c r="BL1424" t="s">
        <v>11514</v>
      </c>
      <c r="BM1424" t="s">
        <v>1474</v>
      </c>
      <c r="BN1424" t="s">
        <v>182</v>
      </c>
      <c r="BO1424" t="s">
        <v>1204</v>
      </c>
      <c r="BP1424" t="s">
        <v>18384</v>
      </c>
      <c r="BQ1424" t="s">
        <v>800</v>
      </c>
      <c r="BR1424" t="s">
        <v>563</v>
      </c>
      <c r="BS1424" t="s">
        <v>198</v>
      </c>
      <c r="BT1424" t="s">
        <v>18385</v>
      </c>
      <c r="BU1424" t="s">
        <v>182</v>
      </c>
      <c r="BV1424" t="s">
        <v>198</v>
      </c>
      <c r="BW1424" t="s">
        <v>198</v>
      </c>
      <c r="BX1424" t="s">
        <v>199</v>
      </c>
      <c r="BY1424" t="s">
        <v>198</v>
      </c>
      <c r="BZ1424" t="s">
        <v>199</v>
      </c>
      <c r="CA1424" t="s">
        <v>199</v>
      </c>
      <c r="CB1424" t="s">
        <v>18386</v>
      </c>
      <c r="CC1424" t="s">
        <v>201</v>
      </c>
      <c r="CD1424" t="s">
        <v>182</v>
      </c>
      <c r="CE1424" t="s">
        <v>18377</v>
      </c>
      <c r="CF1424" t="s">
        <v>2333</v>
      </c>
      <c r="CG1424" t="s">
        <v>177</v>
      </c>
      <c r="CH1424" t="s">
        <v>3178</v>
      </c>
      <c r="CI1424" t="s">
        <v>18387</v>
      </c>
      <c r="CS1424" t="s">
        <v>198</v>
      </c>
      <c r="DC1424" t="s">
        <v>198</v>
      </c>
      <c r="DM1424" t="s">
        <v>198</v>
      </c>
      <c r="DW1424" t="s">
        <v>198</v>
      </c>
      <c r="EG1424" t="s">
        <v>198</v>
      </c>
      <c r="EQ1424" t="s">
        <v>198</v>
      </c>
      <c r="FA1424" t="s">
        <v>198</v>
      </c>
      <c r="FK1424" t="s">
        <v>198</v>
      </c>
      <c r="FU1424" t="s">
        <v>198</v>
      </c>
    </row>
    <row r="1425" spans="1:177">
      <c r="A1425" s="1" t="str">
        <f>HYPERLINK("http://digipan.lumentumllc.com/apps/getLink/index.php?t=PropLink&amp;p=5248608","PL")</f>
        <v>PL</v>
      </c>
      <c r="B1425" s="1" t="str">
        <f>HYPERLINK("http://digipan.lumentumllc.com/apps/getLink/index.php?t=TaxLink&amp;p=5248608","TL")</f>
        <v>TL</v>
      </c>
      <c r="C1425" s="1" t="str">
        <f>HYPERLINK("http://digipan.lumentumllc.com/apps/getMap/index.php?p=5248608","Map")</f>
        <v>Map</v>
      </c>
      <c r="E1425" t="s">
        <v>177</v>
      </c>
      <c r="F1425" t="s">
        <v>178</v>
      </c>
      <c r="L1425" t="s">
        <v>18388</v>
      </c>
      <c r="N1425" t="s">
        <v>18388</v>
      </c>
      <c r="O1425" t="s">
        <v>18388</v>
      </c>
      <c r="P1425" t="s">
        <v>18389</v>
      </c>
      <c r="Q1425" t="s">
        <v>18388</v>
      </c>
      <c r="V1425">
        <v>1631</v>
      </c>
      <c r="W1425">
        <v>5</v>
      </c>
      <c r="X1425">
        <v>2017</v>
      </c>
      <c r="Y1425">
        <v>2018</v>
      </c>
      <c r="Z1425">
        <v>891.56</v>
      </c>
      <c r="AB1425" t="s">
        <v>181</v>
      </c>
      <c r="AC1425" t="s">
        <v>182</v>
      </c>
      <c r="AD1425" t="s">
        <v>183</v>
      </c>
      <c r="AE1425">
        <v>0</v>
      </c>
      <c r="AF1425">
        <v>3</v>
      </c>
      <c r="AG1425" t="s">
        <v>216</v>
      </c>
      <c r="AH1425">
        <v>100</v>
      </c>
      <c r="AK1425">
        <v>0</v>
      </c>
      <c r="AL1425">
        <v>52500</v>
      </c>
      <c r="AM1425">
        <v>52500</v>
      </c>
      <c r="AN1425">
        <v>0</v>
      </c>
      <c r="AO1425">
        <v>806</v>
      </c>
      <c r="AP1425">
        <v>2016</v>
      </c>
      <c r="AQ1425">
        <v>1.7</v>
      </c>
      <c r="AS1425" t="s">
        <v>18390</v>
      </c>
      <c r="AT1425" t="s">
        <v>3210</v>
      </c>
      <c r="AU1425" t="s">
        <v>177</v>
      </c>
      <c r="AV1425" t="s">
        <v>2334</v>
      </c>
      <c r="AW1425" t="s">
        <v>182</v>
      </c>
      <c r="AX1425">
        <v>0</v>
      </c>
      <c r="AY1425" t="s">
        <v>312</v>
      </c>
      <c r="AZ1425" t="s">
        <v>199</v>
      </c>
      <c r="BA1425" t="s">
        <v>313</v>
      </c>
      <c r="BB1425" t="s">
        <v>191</v>
      </c>
      <c r="BC1425" t="s">
        <v>182</v>
      </c>
      <c r="BD1425" t="s">
        <v>182</v>
      </c>
      <c r="BE1425" t="s">
        <v>936</v>
      </c>
      <c r="BF1425">
        <v>0</v>
      </c>
      <c r="BG1425">
        <v>0</v>
      </c>
      <c r="BH1425">
        <v>0</v>
      </c>
      <c r="BI1425" t="s">
        <v>199</v>
      </c>
      <c r="BJ1425" t="s">
        <v>315</v>
      </c>
      <c r="BL1425" t="s">
        <v>199</v>
      </c>
      <c r="BM1425" t="s">
        <v>2351</v>
      </c>
      <c r="BN1425" t="s">
        <v>182</v>
      </c>
      <c r="BO1425" t="s">
        <v>198</v>
      </c>
      <c r="BP1425" t="s">
        <v>198</v>
      </c>
      <c r="BQ1425" t="s">
        <v>198</v>
      </c>
      <c r="BR1425" t="s">
        <v>198</v>
      </c>
      <c r="BS1425" t="s">
        <v>198</v>
      </c>
      <c r="BT1425" t="s">
        <v>198</v>
      </c>
      <c r="BU1425" t="s">
        <v>182</v>
      </c>
      <c r="BV1425" t="s">
        <v>198</v>
      </c>
      <c r="BW1425" t="s">
        <v>198</v>
      </c>
      <c r="BX1425" t="s">
        <v>199</v>
      </c>
      <c r="BY1425" t="s">
        <v>198</v>
      </c>
      <c r="BZ1425" t="s">
        <v>199</v>
      </c>
      <c r="CA1425" t="s">
        <v>199</v>
      </c>
      <c r="CB1425" t="s">
        <v>18391</v>
      </c>
      <c r="CC1425" t="s">
        <v>201</v>
      </c>
      <c r="CD1425" t="s">
        <v>182</v>
      </c>
      <c r="CE1425" t="s">
        <v>18377</v>
      </c>
      <c r="CF1425" t="s">
        <v>2333</v>
      </c>
      <c r="CG1425" t="s">
        <v>177</v>
      </c>
      <c r="CH1425" t="s">
        <v>3178</v>
      </c>
      <c r="CI1425" t="s">
        <v>18392</v>
      </c>
      <c r="CJ1425" t="s">
        <v>18393</v>
      </c>
      <c r="CK1425" t="s">
        <v>302</v>
      </c>
      <c r="CL1425" t="s">
        <v>303</v>
      </c>
      <c r="CM1425" t="s">
        <v>8231</v>
      </c>
      <c r="CN1425" t="s">
        <v>3342</v>
      </c>
      <c r="CO1425" t="s">
        <v>183</v>
      </c>
      <c r="CP1425" t="s">
        <v>211</v>
      </c>
      <c r="CQ1425" t="s">
        <v>212</v>
      </c>
      <c r="CS1425" t="s">
        <v>15609</v>
      </c>
      <c r="CT1425" t="s">
        <v>18394</v>
      </c>
      <c r="CU1425" t="s">
        <v>346</v>
      </c>
      <c r="CV1425" t="s">
        <v>347</v>
      </c>
      <c r="CW1425" t="s">
        <v>18395</v>
      </c>
      <c r="CX1425" t="s">
        <v>278</v>
      </c>
      <c r="CY1425" t="s">
        <v>183</v>
      </c>
      <c r="CZ1425" t="s">
        <v>211</v>
      </c>
      <c r="DA1425" t="s">
        <v>298</v>
      </c>
      <c r="DC1425" t="s">
        <v>878</v>
      </c>
      <c r="DD1425" t="s">
        <v>10274</v>
      </c>
      <c r="DE1425" t="s">
        <v>207</v>
      </c>
      <c r="DF1425" t="s">
        <v>208</v>
      </c>
      <c r="DG1425" t="s">
        <v>18396</v>
      </c>
      <c r="DH1425" t="s">
        <v>1966</v>
      </c>
      <c r="DI1425" t="s">
        <v>183</v>
      </c>
      <c r="DJ1425" t="s">
        <v>211</v>
      </c>
      <c r="DK1425" t="s">
        <v>345</v>
      </c>
      <c r="DM1425" t="s">
        <v>1419</v>
      </c>
      <c r="DW1425" t="s">
        <v>198</v>
      </c>
      <c r="EG1425" t="s">
        <v>198</v>
      </c>
      <c r="EQ1425" t="s">
        <v>198</v>
      </c>
      <c r="FA1425" t="s">
        <v>198</v>
      </c>
      <c r="FK1425" t="s">
        <v>198</v>
      </c>
      <c r="FU1425" t="s">
        <v>198</v>
      </c>
    </row>
    <row r="1426" spans="1:177">
      <c r="A1426" s="1" t="str">
        <f>HYPERLINK("http://digipan.lumentumllc.com/apps/getLink/index.php?t=PropLink&amp;p=5248622","PL")</f>
        <v>PL</v>
      </c>
      <c r="B1426" s="1" t="str">
        <f>HYPERLINK("http://digipan.lumentumllc.com/apps/getLink/index.php?t=TaxLink&amp;p=5248622","TL")</f>
        <v>TL</v>
      </c>
      <c r="C1426" s="1" t="str">
        <f>HYPERLINK("http://digipan.lumentumllc.com/apps/getMap/index.php?p=5248622","Map")</f>
        <v>Map</v>
      </c>
      <c r="E1426" t="s">
        <v>177</v>
      </c>
      <c r="F1426" t="s">
        <v>178</v>
      </c>
      <c r="L1426" t="s">
        <v>18397</v>
      </c>
      <c r="N1426" t="s">
        <v>18397</v>
      </c>
      <c r="O1426" t="s">
        <v>18397</v>
      </c>
      <c r="P1426" t="s">
        <v>18398</v>
      </c>
      <c r="Q1426" t="s">
        <v>18397</v>
      </c>
      <c r="V1426">
        <v>1632</v>
      </c>
      <c r="W1426">
        <v>5</v>
      </c>
      <c r="X1426">
        <v>2017</v>
      </c>
      <c r="Y1426">
        <v>2018</v>
      </c>
      <c r="Z1426">
        <v>601.82000000000005</v>
      </c>
      <c r="AB1426" t="s">
        <v>181</v>
      </c>
      <c r="AC1426" t="s">
        <v>182</v>
      </c>
      <c r="AD1426" t="s">
        <v>183</v>
      </c>
      <c r="AE1426">
        <v>0</v>
      </c>
      <c r="AF1426">
        <v>6</v>
      </c>
      <c r="AG1426" t="s">
        <v>3266</v>
      </c>
      <c r="AH1426">
        <v>100</v>
      </c>
      <c r="AK1426">
        <v>0</v>
      </c>
      <c r="AL1426">
        <v>91831</v>
      </c>
      <c r="AM1426">
        <v>25250</v>
      </c>
      <c r="AN1426">
        <v>66581</v>
      </c>
      <c r="AO1426">
        <v>526</v>
      </c>
      <c r="AP1426">
        <v>2016</v>
      </c>
      <c r="AQ1426">
        <v>0.66</v>
      </c>
      <c r="AS1426" t="s">
        <v>18399</v>
      </c>
      <c r="AT1426" t="s">
        <v>3210</v>
      </c>
      <c r="AU1426" t="s">
        <v>177</v>
      </c>
      <c r="AV1426" t="s">
        <v>2334</v>
      </c>
      <c r="AW1426" t="s">
        <v>202</v>
      </c>
      <c r="AX1426">
        <v>2</v>
      </c>
      <c r="AY1426" t="s">
        <v>188</v>
      </c>
      <c r="AZ1426" t="s">
        <v>189</v>
      </c>
      <c r="BA1426" t="s">
        <v>190</v>
      </c>
      <c r="BB1426" t="s">
        <v>191</v>
      </c>
      <c r="BC1426" t="s">
        <v>182</v>
      </c>
      <c r="BD1426" t="s">
        <v>182</v>
      </c>
      <c r="BE1426" t="s">
        <v>899</v>
      </c>
      <c r="BF1426">
        <v>1</v>
      </c>
      <c r="BG1426">
        <v>1</v>
      </c>
      <c r="BH1426">
        <v>2001</v>
      </c>
      <c r="BI1426" t="s">
        <v>883</v>
      </c>
      <c r="BJ1426" t="s">
        <v>194</v>
      </c>
      <c r="BK1426" t="s">
        <v>195</v>
      </c>
      <c r="BL1426" t="s">
        <v>944</v>
      </c>
      <c r="BM1426" t="s">
        <v>1825</v>
      </c>
      <c r="BN1426" t="s">
        <v>182</v>
      </c>
      <c r="BO1426" t="s">
        <v>7723</v>
      </c>
      <c r="BP1426" t="s">
        <v>18400</v>
      </c>
      <c r="BR1426" t="s">
        <v>1461</v>
      </c>
      <c r="BS1426" t="s">
        <v>18401</v>
      </c>
      <c r="BT1426" t="s">
        <v>198</v>
      </c>
      <c r="BU1426" t="s">
        <v>182</v>
      </c>
      <c r="BV1426" t="s">
        <v>198</v>
      </c>
      <c r="BW1426" t="s">
        <v>198</v>
      </c>
      <c r="BX1426" t="s">
        <v>199</v>
      </c>
      <c r="BY1426" t="s">
        <v>198</v>
      </c>
      <c r="BZ1426" t="s">
        <v>199</v>
      </c>
      <c r="CA1426" t="s">
        <v>199</v>
      </c>
      <c r="CB1426" t="s">
        <v>18402</v>
      </c>
      <c r="CC1426" t="s">
        <v>201</v>
      </c>
      <c r="CD1426" t="s">
        <v>182</v>
      </c>
      <c r="CE1426" t="s">
        <v>18403</v>
      </c>
      <c r="CF1426" t="s">
        <v>2333</v>
      </c>
      <c r="CG1426" t="s">
        <v>177</v>
      </c>
      <c r="CH1426" t="s">
        <v>3178</v>
      </c>
      <c r="CI1426" t="s">
        <v>18404</v>
      </c>
      <c r="CJ1426" t="s">
        <v>6524</v>
      </c>
      <c r="CK1426" t="s">
        <v>292</v>
      </c>
      <c r="CL1426" t="s">
        <v>293</v>
      </c>
      <c r="CM1426" t="s">
        <v>18405</v>
      </c>
      <c r="CN1426" t="s">
        <v>235</v>
      </c>
      <c r="CO1426" t="s">
        <v>183</v>
      </c>
      <c r="CP1426" t="s">
        <v>211</v>
      </c>
      <c r="CQ1426" t="s">
        <v>212</v>
      </c>
      <c r="CS1426" t="s">
        <v>2337</v>
      </c>
      <c r="CT1426" t="s">
        <v>16229</v>
      </c>
      <c r="CU1426" t="s">
        <v>267</v>
      </c>
      <c r="CV1426" t="s">
        <v>268</v>
      </c>
      <c r="CW1426" t="s">
        <v>18406</v>
      </c>
      <c r="CX1426" t="s">
        <v>235</v>
      </c>
      <c r="CY1426" t="s">
        <v>183</v>
      </c>
      <c r="CZ1426" t="s">
        <v>211</v>
      </c>
      <c r="DA1426" t="s">
        <v>329</v>
      </c>
      <c r="DC1426" t="s">
        <v>8601</v>
      </c>
      <c r="DD1426" t="s">
        <v>17102</v>
      </c>
      <c r="DE1426" t="s">
        <v>273</v>
      </c>
      <c r="DF1426" t="s">
        <v>274</v>
      </c>
      <c r="DG1426" t="s">
        <v>18407</v>
      </c>
      <c r="DH1426" t="s">
        <v>235</v>
      </c>
      <c r="DI1426" t="s">
        <v>183</v>
      </c>
      <c r="DJ1426" t="s">
        <v>211</v>
      </c>
      <c r="DK1426" t="s">
        <v>298</v>
      </c>
      <c r="DM1426" t="s">
        <v>8601</v>
      </c>
      <c r="DN1426" t="s">
        <v>15015</v>
      </c>
      <c r="DO1426" t="s">
        <v>302</v>
      </c>
      <c r="DP1426" t="s">
        <v>303</v>
      </c>
      <c r="DQ1426" t="s">
        <v>18408</v>
      </c>
      <c r="DR1426" t="s">
        <v>235</v>
      </c>
      <c r="DS1426" t="s">
        <v>183</v>
      </c>
      <c r="DT1426" t="s">
        <v>211</v>
      </c>
      <c r="DU1426" t="s">
        <v>212</v>
      </c>
      <c r="DW1426" t="s">
        <v>1789</v>
      </c>
      <c r="DX1426" t="s">
        <v>18409</v>
      </c>
      <c r="DY1426" t="s">
        <v>346</v>
      </c>
      <c r="DZ1426" t="s">
        <v>347</v>
      </c>
      <c r="EA1426" t="s">
        <v>18410</v>
      </c>
      <c r="EB1426" t="s">
        <v>278</v>
      </c>
      <c r="EC1426" t="s">
        <v>183</v>
      </c>
      <c r="ED1426" t="s">
        <v>211</v>
      </c>
      <c r="EE1426" t="s">
        <v>270</v>
      </c>
      <c r="EG1426" t="s">
        <v>10786</v>
      </c>
      <c r="EH1426" t="s">
        <v>10413</v>
      </c>
      <c r="EI1426" t="s">
        <v>207</v>
      </c>
      <c r="EJ1426" t="s">
        <v>208</v>
      </c>
      <c r="EK1426" t="s">
        <v>18411</v>
      </c>
      <c r="EL1426" t="s">
        <v>254</v>
      </c>
      <c r="EM1426" t="s">
        <v>183</v>
      </c>
      <c r="EN1426" t="s">
        <v>211</v>
      </c>
      <c r="EO1426" t="s">
        <v>342</v>
      </c>
      <c r="EQ1426" t="s">
        <v>18412</v>
      </c>
      <c r="FA1426" t="s">
        <v>198</v>
      </c>
      <c r="FK1426" t="s">
        <v>198</v>
      </c>
      <c r="FU1426" t="s">
        <v>198</v>
      </c>
    </row>
    <row r="1427" spans="1:177">
      <c r="A1427" s="1" t="str">
        <f>HYPERLINK("http://digipan.lumentumllc.com/apps/getLink/index.php?t=PropLink&amp;p=5248624","PL")</f>
        <v>PL</v>
      </c>
      <c r="B1427" s="1" t="str">
        <f>HYPERLINK("http://digipan.lumentumllc.com/apps/getLink/index.php?t=TaxLink&amp;p=5248624","TL")</f>
        <v>TL</v>
      </c>
      <c r="C1427" s="1" t="str">
        <f>HYPERLINK("http://digipan.lumentumllc.com/apps/getMap/index.php?p=5248624","Map")</f>
        <v>Map</v>
      </c>
      <c r="E1427" t="s">
        <v>177</v>
      </c>
      <c r="F1427" t="s">
        <v>178</v>
      </c>
      <c r="L1427" t="s">
        <v>18413</v>
      </c>
      <c r="N1427" t="s">
        <v>18413</v>
      </c>
      <c r="O1427" t="s">
        <v>18413</v>
      </c>
      <c r="P1427" t="s">
        <v>18414</v>
      </c>
      <c r="Q1427" t="s">
        <v>18413</v>
      </c>
      <c r="V1427">
        <v>1633</v>
      </c>
      <c r="W1427">
        <v>5</v>
      </c>
      <c r="X1427">
        <v>2017</v>
      </c>
      <c r="Y1427">
        <v>2018</v>
      </c>
      <c r="Z1427">
        <v>510.89</v>
      </c>
      <c r="AB1427" t="s">
        <v>181</v>
      </c>
      <c r="AC1427" t="s">
        <v>182</v>
      </c>
      <c r="AD1427" t="s">
        <v>183</v>
      </c>
      <c r="AE1427">
        <v>7</v>
      </c>
      <c r="AF1427">
        <v>0</v>
      </c>
      <c r="AG1427" t="s">
        <v>1038</v>
      </c>
      <c r="AH1427">
        <v>0</v>
      </c>
      <c r="AI1427">
        <v>6124.33</v>
      </c>
      <c r="AJ1427">
        <v>306.22000000000003</v>
      </c>
      <c r="AK1427">
        <v>6430.55</v>
      </c>
      <c r="AL1427">
        <v>29250</v>
      </c>
      <c r="AM1427">
        <v>29250</v>
      </c>
      <c r="AN1427">
        <v>0</v>
      </c>
      <c r="AO1427">
        <v>449</v>
      </c>
      <c r="AP1427">
        <v>2016</v>
      </c>
      <c r="AQ1427">
        <v>1.75</v>
      </c>
      <c r="AR1427">
        <v>21.98</v>
      </c>
      <c r="AS1427" t="s">
        <v>18390</v>
      </c>
      <c r="AT1427" t="s">
        <v>3210</v>
      </c>
      <c r="AU1427" t="s">
        <v>177</v>
      </c>
      <c r="AV1427" t="s">
        <v>2334</v>
      </c>
      <c r="AW1427" t="s">
        <v>182</v>
      </c>
      <c r="AX1427">
        <v>0</v>
      </c>
      <c r="AY1427" t="s">
        <v>312</v>
      </c>
      <c r="AZ1427" t="s">
        <v>199</v>
      </c>
      <c r="BA1427" t="s">
        <v>313</v>
      </c>
      <c r="BB1427" t="s">
        <v>191</v>
      </c>
      <c r="BC1427" t="s">
        <v>182</v>
      </c>
      <c r="BD1427" t="s">
        <v>182</v>
      </c>
      <c r="BE1427" t="s">
        <v>16656</v>
      </c>
      <c r="BF1427">
        <v>0</v>
      </c>
      <c r="BG1427">
        <v>0</v>
      </c>
      <c r="BH1427">
        <v>0</v>
      </c>
      <c r="BI1427" t="s">
        <v>199</v>
      </c>
      <c r="BJ1427" t="s">
        <v>315</v>
      </c>
      <c r="BL1427" t="s">
        <v>5540</v>
      </c>
      <c r="BM1427" t="s">
        <v>325</v>
      </c>
      <c r="BN1427" t="s">
        <v>182</v>
      </c>
      <c r="BO1427" t="s">
        <v>9199</v>
      </c>
      <c r="BP1427" t="s">
        <v>18415</v>
      </c>
      <c r="BQ1427" t="s">
        <v>800</v>
      </c>
      <c r="BR1427" t="s">
        <v>563</v>
      </c>
      <c r="BS1427" t="s">
        <v>198</v>
      </c>
      <c r="BT1427" t="s">
        <v>18416</v>
      </c>
      <c r="BU1427" t="s">
        <v>182</v>
      </c>
      <c r="BV1427" t="s">
        <v>198</v>
      </c>
      <c r="BW1427" t="s">
        <v>198</v>
      </c>
      <c r="BX1427" t="s">
        <v>199</v>
      </c>
      <c r="BY1427" t="s">
        <v>198</v>
      </c>
      <c r="BZ1427" t="s">
        <v>199</v>
      </c>
      <c r="CA1427" t="s">
        <v>199</v>
      </c>
      <c r="CB1427" t="s">
        <v>18417</v>
      </c>
      <c r="CC1427" t="s">
        <v>201</v>
      </c>
      <c r="CD1427" t="s">
        <v>182</v>
      </c>
      <c r="CE1427" t="s">
        <v>18418</v>
      </c>
      <c r="CF1427" t="s">
        <v>413</v>
      </c>
      <c r="CG1427" t="s">
        <v>177</v>
      </c>
      <c r="CH1427" t="s">
        <v>4489</v>
      </c>
      <c r="CI1427" t="s">
        <v>4099</v>
      </c>
      <c r="CJ1427" t="s">
        <v>15437</v>
      </c>
      <c r="CK1427" t="s">
        <v>232</v>
      </c>
      <c r="CL1427" t="s">
        <v>233</v>
      </c>
      <c r="CM1427" t="s">
        <v>18419</v>
      </c>
      <c r="CN1427" t="s">
        <v>235</v>
      </c>
      <c r="CO1427" t="s">
        <v>183</v>
      </c>
      <c r="CP1427" t="s">
        <v>266</v>
      </c>
      <c r="CS1427" t="s">
        <v>198</v>
      </c>
      <c r="CT1427" t="s">
        <v>17701</v>
      </c>
      <c r="CU1427" t="s">
        <v>292</v>
      </c>
      <c r="CV1427" t="s">
        <v>233</v>
      </c>
      <c r="CW1427" t="s">
        <v>18420</v>
      </c>
      <c r="CX1427" t="s">
        <v>331</v>
      </c>
      <c r="CY1427" t="s">
        <v>183</v>
      </c>
      <c r="CZ1427" t="s">
        <v>266</v>
      </c>
      <c r="DC1427" t="s">
        <v>198</v>
      </c>
      <c r="DD1427" t="s">
        <v>18421</v>
      </c>
      <c r="DE1427" t="s">
        <v>267</v>
      </c>
      <c r="DF1427" t="s">
        <v>233</v>
      </c>
      <c r="DG1427" t="s">
        <v>18422</v>
      </c>
      <c r="DH1427" t="s">
        <v>331</v>
      </c>
      <c r="DI1427" t="s">
        <v>183</v>
      </c>
      <c r="DJ1427" t="s">
        <v>266</v>
      </c>
      <c r="DM1427" t="s">
        <v>198</v>
      </c>
      <c r="DN1427" t="s">
        <v>18423</v>
      </c>
      <c r="DO1427" t="s">
        <v>273</v>
      </c>
      <c r="DP1427" t="s">
        <v>233</v>
      </c>
      <c r="DQ1427" t="s">
        <v>18424</v>
      </c>
      <c r="DR1427" t="s">
        <v>331</v>
      </c>
      <c r="DS1427" t="s">
        <v>183</v>
      </c>
      <c r="DT1427" t="s">
        <v>266</v>
      </c>
      <c r="DW1427" t="s">
        <v>198</v>
      </c>
      <c r="DX1427" t="s">
        <v>18425</v>
      </c>
      <c r="DY1427" t="s">
        <v>302</v>
      </c>
      <c r="DZ1427" t="s">
        <v>233</v>
      </c>
      <c r="EA1427" t="s">
        <v>18426</v>
      </c>
      <c r="EB1427" t="s">
        <v>331</v>
      </c>
      <c r="EC1427" t="s">
        <v>183</v>
      </c>
      <c r="ED1427" t="s">
        <v>266</v>
      </c>
      <c r="EG1427" t="s">
        <v>198</v>
      </c>
      <c r="EH1427" t="s">
        <v>17855</v>
      </c>
      <c r="EI1427" t="s">
        <v>238</v>
      </c>
      <c r="EJ1427" t="s">
        <v>233</v>
      </c>
      <c r="EK1427" t="s">
        <v>18427</v>
      </c>
      <c r="EL1427" t="s">
        <v>331</v>
      </c>
      <c r="EM1427" t="s">
        <v>183</v>
      </c>
      <c r="EN1427" t="s">
        <v>266</v>
      </c>
      <c r="EQ1427" t="s">
        <v>198</v>
      </c>
      <c r="ER1427" t="s">
        <v>18428</v>
      </c>
      <c r="ES1427" t="s">
        <v>346</v>
      </c>
      <c r="ET1427" t="s">
        <v>233</v>
      </c>
      <c r="EU1427" t="s">
        <v>18429</v>
      </c>
      <c r="EV1427" t="s">
        <v>331</v>
      </c>
      <c r="EW1427" t="s">
        <v>183</v>
      </c>
      <c r="EX1427" t="s">
        <v>266</v>
      </c>
      <c r="FA1427" t="s">
        <v>198</v>
      </c>
      <c r="FK1427" t="s">
        <v>198</v>
      </c>
      <c r="FU1427" t="s">
        <v>198</v>
      </c>
    </row>
    <row r="1428" spans="1:177">
      <c r="A1428" s="1" t="str">
        <f>HYPERLINK("http://digipan.lumentumllc.com/apps/getLink/index.php?t=PropLink&amp;p=15764220","PL")</f>
        <v>PL</v>
      </c>
      <c r="B1428" s="1" t="str">
        <f>HYPERLINK("http://digipan.lumentumllc.com/apps/getLink/index.php?t=TaxLink&amp;p=15764220","TL")</f>
        <v>TL</v>
      </c>
      <c r="C1428" s="1" t="str">
        <f>HYPERLINK("http://digipan.lumentumllc.com/apps/getMap/index.php?p=15764220","Map")</f>
        <v>Map</v>
      </c>
      <c r="E1428" t="s">
        <v>177</v>
      </c>
      <c r="F1428" t="s">
        <v>178</v>
      </c>
      <c r="L1428" t="s">
        <v>18430</v>
      </c>
      <c r="N1428" t="s">
        <v>18430</v>
      </c>
      <c r="O1428" t="s">
        <v>18430</v>
      </c>
      <c r="Q1428" t="s">
        <v>18430</v>
      </c>
      <c r="V1428">
        <v>1634</v>
      </c>
      <c r="W1428">
        <v>5</v>
      </c>
      <c r="X1428">
        <v>2017</v>
      </c>
      <c r="Y1428">
        <v>2018</v>
      </c>
      <c r="Z1428">
        <v>1504.78</v>
      </c>
      <c r="AG1428" t="s">
        <v>184</v>
      </c>
      <c r="AH1428">
        <v>0</v>
      </c>
      <c r="AK1428">
        <v>0</v>
      </c>
      <c r="AL1428">
        <v>93205</v>
      </c>
      <c r="AM1428">
        <v>32750</v>
      </c>
      <c r="AN1428">
        <v>60455</v>
      </c>
      <c r="AO1428">
        <v>1220</v>
      </c>
      <c r="AP1428">
        <v>2016</v>
      </c>
      <c r="AQ1428">
        <v>1.61</v>
      </c>
      <c r="AS1428" t="s">
        <v>18431</v>
      </c>
      <c r="AT1428" t="s">
        <v>3210</v>
      </c>
      <c r="AU1428" t="s">
        <v>177</v>
      </c>
      <c r="AV1428" t="s">
        <v>2334</v>
      </c>
      <c r="AW1428" t="s">
        <v>182</v>
      </c>
      <c r="AX1428">
        <v>2</v>
      </c>
      <c r="AY1428" t="s">
        <v>188</v>
      </c>
      <c r="AZ1428" t="s">
        <v>189</v>
      </c>
      <c r="BA1428" t="s">
        <v>190</v>
      </c>
      <c r="BB1428" t="s">
        <v>191</v>
      </c>
      <c r="BC1428" t="s">
        <v>182</v>
      </c>
      <c r="BD1428" t="s">
        <v>182</v>
      </c>
      <c r="BE1428" t="s">
        <v>10682</v>
      </c>
      <c r="BF1428">
        <v>1</v>
      </c>
      <c r="BG1428">
        <v>1</v>
      </c>
      <c r="BH1428">
        <v>2002</v>
      </c>
      <c r="BI1428" t="s">
        <v>15861</v>
      </c>
      <c r="BJ1428" t="s">
        <v>194</v>
      </c>
      <c r="BK1428" t="s">
        <v>195</v>
      </c>
      <c r="BL1428" t="s">
        <v>18432</v>
      </c>
      <c r="BM1428" t="s">
        <v>559</v>
      </c>
      <c r="BN1428" t="s">
        <v>182</v>
      </c>
      <c r="BO1428" t="s">
        <v>18433</v>
      </c>
      <c r="BP1428" t="s">
        <v>18434</v>
      </c>
      <c r="BQ1428" t="s">
        <v>562</v>
      </c>
      <c r="BR1428" t="s">
        <v>563</v>
      </c>
      <c r="BS1428" t="s">
        <v>198</v>
      </c>
      <c r="BT1428" t="s">
        <v>18435</v>
      </c>
      <c r="BU1428" t="s">
        <v>182</v>
      </c>
      <c r="BV1428" t="s">
        <v>198</v>
      </c>
      <c r="BW1428" t="s">
        <v>198</v>
      </c>
      <c r="BX1428" t="s">
        <v>199</v>
      </c>
      <c r="BY1428" t="s">
        <v>198</v>
      </c>
      <c r="BZ1428" t="s">
        <v>199</v>
      </c>
      <c r="CA1428" t="s">
        <v>199</v>
      </c>
      <c r="CB1428" t="s">
        <v>17178</v>
      </c>
      <c r="CC1428" t="s">
        <v>1407</v>
      </c>
      <c r="CD1428" t="s">
        <v>202</v>
      </c>
      <c r="CE1428" t="s">
        <v>17179</v>
      </c>
      <c r="CF1428" t="s">
        <v>5331</v>
      </c>
      <c r="CG1428" t="s">
        <v>177</v>
      </c>
      <c r="CH1428" t="s">
        <v>371</v>
      </c>
      <c r="CI1428" t="s">
        <v>18436</v>
      </c>
      <c r="CS1428" t="s">
        <v>198</v>
      </c>
      <c r="DC1428" t="s">
        <v>198</v>
      </c>
      <c r="DM1428" t="s">
        <v>198</v>
      </c>
      <c r="DW1428" t="s">
        <v>198</v>
      </c>
      <c r="EG1428" t="s">
        <v>198</v>
      </c>
      <c r="EQ1428" t="s">
        <v>198</v>
      </c>
      <c r="FA1428" t="s">
        <v>198</v>
      </c>
      <c r="FK1428" t="s">
        <v>198</v>
      </c>
      <c r="FU1428" t="s">
        <v>198</v>
      </c>
    </row>
    <row r="1429" spans="1:177">
      <c r="A1429" s="1" t="str">
        <f>HYPERLINK("http://digipan.lumentumllc.com/apps/getLink/index.php?t=PropLink&amp;p=5248627","PL")</f>
        <v>PL</v>
      </c>
      <c r="B1429" s="1" t="str">
        <f>HYPERLINK("http://digipan.lumentumllc.com/apps/getLink/index.php?t=TaxLink&amp;p=5248627","TL")</f>
        <v>TL</v>
      </c>
      <c r="C1429" s="1" t="str">
        <f>HYPERLINK("http://digipan.lumentumllc.com/apps/getMap/index.php?p=5248627","Map")</f>
        <v>Map</v>
      </c>
      <c r="E1429" t="s">
        <v>177</v>
      </c>
      <c r="F1429" t="s">
        <v>178</v>
      </c>
      <c r="L1429" t="s">
        <v>18437</v>
      </c>
      <c r="N1429" t="s">
        <v>18437</v>
      </c>
      <c r="O1429" t="s">
        <v>18437</v>
      </c>
      <c r="P1429" t="s">
        <v>18438</v>
      </c>
      <c r="Q1429" t="s">
        <v>18437</v>
      </c>
      <c r="V1429">
        <v>1635</v>
      </c>
      <c r="W1429">
        <v>5</v>
      </c>
      <c r="X1429">
        <v>2017</v>
      </c>
      <c r="Y1429">
        <v>2018</v>
      </c>
      <c r="Z1429">
        <v>566.74</v>
      </c>
      <c r="AB1429" t="s">
        <v>181</v>
      </c>
      <c r="AC1429" t="s">
        <v>182</v>
      </c>
      <c r="AD1429" t="s">
        <v>183</v>
      </c>
      <c r="AE1429">
        <v>7</v>
      </c>
      <c r="AF1429">
        <v>0</v>
      </c>
      <c r="AG1429" t="s">
        <v>1038</v>
      </c>
      <c r="AH1429">
        <v>0</v>
      </c>
      <c r="AI1429">
        <v>3295.57</v>
      </c>
      <c r="AJ1429">
        <v>2151.02</v>
      </c>
      <c r="AK1429">
        <v>5446.59</v>
      </c>
      <c r="AL1429">
        <v>35000</v>
      </c>
      <c r="AM1429">
        <v>35000</v>
      </c>
      <c r="AN1429">
        <v>0</v>
      </c>
      <c r="AO1429">
        <v>444</v>
      </c>
      <c r="AP1429">
        <v>2016</v>
      </c>
      <c r="AQ1429">
        <v>1.62</v>
      </c>
      <c r="AR1429">
        <v>15.56</v>
      </c>
      <c r="AS1429" t="s">
        <v>18439</v>
      </c>
      <c r="AT1429" t="s">
        <v>3210</v>
      </c>
      <c r="AU1429" t="s">
        <v>177</v>
      </c>
      <c r="AV1429" t="s">
        <v>2334</v>
      </c>
      <c r="AW1429" t="s">
        <v>182</v>
      </c>
      <c r="AX1429">
        <v>0</v>
      </c>
      <c r="AY1429" t="s">
        <v>312</v>
      </c>
      <c r="AZ1429" t="s">
        <v>199</v>
      </c>
      <c r="BA1429" t="s">
        <v>313</v>
      </c>
      <c r="BB1429" t="s">
        <v>191</v>
      </c>
      <c r="BC1429" t="s">
        <v>182</v>
      </c>
      <c r="BD1429" t="s">
        <v>182</v>
      </c>
      <c r="BE1429" t="s">
        <v>18440</v>
      </c>
      <c r="BF1429">
        <v>0</v>
      </c>
      <c r="BG1429">
        <v>0</v>
      </c>
      <c r="BH1429">
        <v>0</v>
      </c>
      <c r="BI1429" t="s">
        <v>199</v>
      </c>
      <c r="BJ1429" t="s">
        <v>396</v>
      </c>
      <c r="BL1429" t="s">
        <v>18441</v>
      </c>
      <c r="BM1429" t="s">
        <v>410</v>
      </c>
      <c r="BN1429" t="s">
        <v>182</v>
      </c>
      <c r="BO1429" t="s">
        <v>198</v>
      </c>
      <c r="BP1429" t="s">
        <v>198</v>
      </c>
      <c r="BQ1429" t="s">
        <v>198</v>
      </c>
      <c r="BR1429" t="s">
        <v>198</v>
      </c>
      <c r="BS1429" t="s">
        <v>198</v>
      </c>
      <c r="BT1429" t="s">
        <v>198</v>
      </c>
      <c r="BU1429" t="s">
        <v>182</v>
      </c>
      <c r="BV1429" t="s">
        <v>198</v>
      </c>
      <c r="BW1429" t="s">
        <v>198</v>
      </c>
      <c r="BX1429" t="s">
        <v>199</v>
      </c>
      <c r="BY1429" t="s">
        <v>198</v>
      </c>
      <c r="BZ1429" t="s">
        <v>199</v>
      </c>
      <c r="CA1429" t="s">
        <v>199</v>
      </c>
      <c r="CB1429" t="s">
        <v>18442</v>
      </c>
      <c r="CC1429" t="s">
        <v>201</v>
      </c>
      <c r="CD1429" t="s">
        <v>182</v>
      </c>
      <c r="CE1429" t="s">
        <v>18443</v>
      </c>
      <c r="CF1429" t="s">
        <v>413</v>
      </c>
      <c r="CG1429" t="s">
        <v>177</v>
      </c>
      <c r="CH1429" t="s">
        <v>2991</v>
      </c>
      <c r="CI1429" t="s">
        <v>1972</v>
      </c>
      <c r="CJ1429" t="s">
        <v>16442</v>
      </c>
      <c r="CK1429" t="s">
        <v>232</v>
      </c>
      <c r="CL1429" t="s">
        <v>233</v>
      </c>
      <c r="CM1429" t="s">
        <v>18444</v>
      </c>
      <c r="CN1429" t="s">
        <v>486</v>
      </c>
      <c r="CO1429" t="s">
        <v>183</v>
      </c>
      <c r="CP1429" t="s">
        <v>266</v>
      </c>
      <c r="CS1429" t="s">
        <v>198</v>
      </c>
      <c r="CT1429" t="s">
        <v>11314</v>
      </c>
      <c r="CU1429" t="s">
        <v>292</v>
      </c>
      <c r="CV1429" t="s">
        <v>293</v>
      </c>
      <c r="CW1429" t="s">
        <v>18445</v>
      </c>
      <c r="CX1429" t="s">
        <v>482</v>
      </c>
      <c r="CY1429" t="s">
        <v>183</v>
      </c>
      <c r="CZ1429" t="s">
        <v>266</v>
      </c>
      <c r="DC1429" t="s">
        <v>198</v>
      </c>
      <c r="DD1429" t="s">
        <v>11387</v>
      </c>
      <c r="DE1429" t="s">
        <v>267</v>
      </c>
      <c r="DF1429" t="s">
        <v>268</v>
      </c>
      <c r="DG1429" t="s">
        <v>18446</v>
      </c>
      <c r="DH1429" t="s">
        <v>482</v>
      </c>
      <c r="DI1429" t="s">
        <v>183</v>
      </c>
      <c r="DJ1429" t="s">
        <v>266</v>
      </c>
      <c r="DM1429" t="s">
        <v>198</v>
      </c>
      <c r="DN1429" t="s">
        <v>17154</v>
      </c>
      <c r="DO1429" t="s">
        <v>273</v>
      </c>
      <c r="DP1429" t="s">
        <v>274</v>
      </c>
      <c r="DQ1429" t="s">
        <v>18447</v>
      </c>
      <c r="DR1429" t="s">
        <v>3395</v>
      </c>
      <c r="DS1429" t="s">
        <v>183</v>
      </c>
      <c r="DT1429" t="s">
        <v>266</v>
      </c>
      <c r="DW1429" t="s">
        <v>198</v>
      </c>
      <c r="DX1429" t="s">
        <v>18448</v>
      </c>
      <c r="DY1429" t="s">
        <v>302</v>
      </c>
      <c r="DZ1429" t="s">
        <v>303</v>
      </c>
      <c r="EA1429" t="s">
        <v>18449</v>
      </c>
      <c r="EB1429" t="s">
        <v>1615</v>
      </c>
      <c r="EC1429" t="s">
        <v>183</v>
      </c>
      <c r="ED1429" t="s">
        <v>266</v>
      </c>
      <c r="EG1429" t="s">
        <v>198</v>
      </c>
      <c r="EH1429" t="s">
        <v>18450</v>
      </c>
      <c r="EI1429" t="s">
        <v>238</v>
      </c>
      <c r="EJ1429" t="s">
        <v>239</v>
      </c>
      <c r="EK1429" t="s">
        <v>18451</v>
      </c>
      <c r="EL1429" t="s">
        <v>482</v>
      </c>
      <c r="EM1429" t="s">
        <v>183</v>
      </c>
      <c r="EN1429" t="s">
        <v>266</v>
      </c>
      <c r="EQ1429" t="s">
        <v>198</v>
      </c>
      <c r="ER1429" t="s">
        <v>18452</v>
      </c>
      <c r="ES1429" t="s">
        <v>346</v>
      </c>
      <c r="ET1429" t="s">
        <v>347</v>
      </c>
      <c r="EU1429" t="s">
        <v>11466</v>
      </c>
      <c r="EV1429" t="s">
        <v>400</v>
      </c>
      <c r="EW1429" t="s">
        <v>183</v>
      </c>
      <c r="EX1429" t="s">
        <v>266</v>
      </c>
      <c r="FA1429" t="s">
        <v>198</v>
      </c>
      <c r="FK1429" t="s">
        <v>198</v>
      </c>
      <c r="FU1429" t="s">
        <v>198</v>
      </c>
    </row>
    <row r="1430" spans="1:177">
      <c r="A1430" s="1" t="str">
        <f>HYPERLINK("http://digipan.lumentumllc.com/apps/getLink/index.php?t=PropLink&amp;p=15764334","PL")</f>
        <v>PL</v>
      </c>
      <c r="B1430" s="1" t="str">
        <f>HYPERLINK("http://digipan.lumentumllc.com/apps/getLink/index.php?t=TaxLink&amp;p=15764334","TL")</f>
        <v>TL</v>
      </c>
      <c r="C1430" s="1" t="str">
        <f>HYPERLINK("http://digipan.lumentumllc.com/apps/getMap/index.php?p=15764334","Map")</f>
        <v>Map</v>
      </c>
      <c r="E1430" t="s">
        <v>177</v>
      </c>
      <c r="F1430" t="s">
        <v>178</v>
      </c>
      <c r="L1430" t="s">
        <v>18453</v>
      </c>
      <c r="N1430" t="s">
        <v>18453</v>
      </c>
      <c r="O1430" t="s">
        <v>18453</v>
      </c>
      <c r="Q1430" t="s">
        <v>18453</v>
      </c>
      <c r="V1430">
        <v>1636</v>
      </c>
      <c r="W1430">
        <v>5</v>
      </c>
      <c r="X1430">
        <v>2017</v>
      </c>
      <c r="Y1430">
        <v>2018</v>
      </c>
      <c r="Z1430">
        <v>3474.41</v>
      </c>
      <c r="AB1430" t="s">
        <v>181</v>
      </c>
      <c r="AC1430" t="s">
        <v>182</v>
      </c>
      <c r="AD1430" t="s">
        <v>183</v>
      </c>
      <c r="AE1430">
        <v>0</v>
      </c>
      <c r="AF1430">
        <v>1</v>
      </c>
      <c r="AG1430" t="s">
        <v>821</v>
      </c>
      <c r="AH1430">
        <v>100</v>
      </c>
      <c r="AK1430">
        <v>0</v>
      </c>
      <c r="AL1430">
        <v>210255</v>
      </c>
      <c r="AM1430">
        <v>36750</v>
      </c>
      <c r="AN1430">
        <v>173505</v>
      </c>
      <c r="AO1430">
        <v>1964</v>
      </c>
      <c r="AP1430">
        <v>2016</v>
      </c>
      <c r="AQ1430">
        <v>1.65</v>
      </c>
      <c r="AS1430" t="s">
        <v>18454</v>
      </c>
      <c r="AT1430" t="s">
        <v>3210</v>
      </c>
      <c r="AU1430" t="s">
        <v>177</v>
      </c>
      <c r="AV1430" t="s">
        <v>2334</v>
      </c>
      <c r="AW1430" t="s">
        <v>182</v>
      </c>
      <c r="AX1430">
        <v>1</v>
      </c>
      <c r="AY1430" t="s">
        <v>188</v>
      </c>
      <c r="AZ1430" t="s">
        <v>206</v>
      </c>
      <c r="BA1430" t="s">
        <v>355</v>
      </c>
      <c r="BB1430" t="s">
        <v>191</v>
      </c>
      <c r="BC1430" t="s">
        <v>182</v>
      </c>
      <c r="BD1430" t="s">
        <v>182</v>
      </c>
      <c r="BE1430" t="s">
        <v>6050</v>
      </c>
      <c r="BF1430">
        <v>1</v>
      </c>
      <c r="BG1430">
        <v>1</v>
      </c>
      <c r="BH1430">
        <v>2004</v>
      </c>
      <c r="BI1430" t="s">
        <v>1225</v>
      </c>
      <c r="BJ1430" t="s">
        <v>248</v>
      </c>
      <c r="BK1430" t="s">
        <v>195</v>
      </c>
      <c r="BL1430" t="s">
        <v>16718</v>
      </c>
      <c r="BM1430" t="s">
        <v>232</v>
      </c>
      <c r="BN1430" t="s">
        <v>182</v>
      </c>
      <c r="BO1430" t="s">
        <v>18455</v>
      </c>
      <c r="BP1430" t="s">
        <v>580</v>
      </c>
      <c r="BQ1430" t="s">
        <v>800</v>
      </c>
      <c r="BR1430" t="s">
        <v>563</v>
      </c>
      <c r="BS1430" t="s">
        <v>198</v>
      </c>
      <c r="BT1430" t="s">
        <v>13855</v>
      </c>
      <c r="BU1430" t="s">
        <v>182</v>
      </c>
      <c r="BV1430" t="s">
        <v>198</v>
      </c>
      <c r="BW1430" t="s">
        <v>198</v>
      </c>
      <c r="BX1430" t="s">
        <v>199</v>
      </c>
      <c r="BY1430" t="s">
        <v>198</v>
      </c>
      <c r="BZ1430" t="s">
        <v>199</v>
      </c>
      <c r="CA1430" t="s">
        <v>199</v>
      </c>
      <c r="CB1430" t="s">
        <v>18456</v>
      </c>
      <c r="CC1430" t="s">
        <v>201</v>
      </c>
      <c r="CD1430" t="s">
        <v>202</v>
      </c>
      <c r="CE1430" t="s">
        <v>18457</v>
      </c>
      <c r="CF1430" t="s">
        <v>2333</v>
      </c>
      <c r="CG1430" t="s">
        <v>177</v>
      </c>
      <c r="CH1430" t="s">
        <v>2334</v>
      </c>
      <c r="CI1430" t="s">
        <v>7898</v>
      </c>
      <c r="CJ1430" t="s">
        <v>17965</v>
      </c>
      <c r="CK1430" t="s">
        <v>232</v>
      </c>
      <c r="CL1430" t="s">
        <v>233</v>
      </c>
      <c r="CM1430" t="s">
        <v>18458</v>
      </c>
      <c r="CN1430" t="s">
        <v>235</v>
      </c>
      <c r="CO1430" t="s">
        <v>183</v>
      </c>
      <c r="CP1430" t="s">
        <v>211</v>
      </c>
      <c r="CQ1430" t="s">
        <v>296</v>
      </c>
      <c r="CS1430" t="s">
        <v>1034</v>
      </c>
      <c r="DC1430" t="s">
        <v>198</v>
      </c>
      <c r="DM1430" t="s">
        <v>198</v>
      </c>
      <c r="DW1430" t="s">
        <v>198</v>
      </c>
      <c r="EG1430" t="s">
        <v>198</v>
      </c>
      <c r="EQ1430" t="s">
        <v>198</v>
      </c>
      <c r="FA1430" t="s">
        <v>198</v>
      </c>
      <c r="FK1430" t="s">
        <v>198</v>
      </c>
      <c r="FU1430" t="s">
        <v>198</v>
      </c>
    </row>
    <row r="1431" spans="1:177">
      <c r="A1431" s="1" t="str">
        <f>HYPERLINK("http://digipan.lumentumllc.com/apps/getLink/index.php?t=PropLink&amp;p=5248629","PL")</f>
        <v>PL</v>
      </c>
      <c r="B1431" s="1" t="str">
        <f>HYPERLINK("http://digipan.lumentumllc.com/apps/getLink/index.php?t=TaxLink&amp;p=5248629","TL")</f>
        <v>TL</v>
      </c>
      <c r="C1431" s="1" t="str">
        <f>HYPERLINK("http://digipan.lumentumllc.com/apps/getMap/index.php?p=5248629","Map")</f>
        <v>Map</v>
      </c>
      <c r="E1431" t="s">
        <v>177</v>
      </c>
      <c r="F1431" t="s">
        <v>178</v>
      </c>
      <c r="L1431" t="s">
        <v>18459</v>
      </c>
      <c r="N1431" t="s">
        <v>18459</v>
      </c>
      <c r="O1431" t="s">
        <v>18459</v>
      </c>
      <c r="P1431" t="s">
        <v>18460</v>
      </c>
      <c r="Q1431" t="s">
        <v>18459</v>
      </c>
      <c r="V1431">
        <v>1637</v>
      </c>
      <c r="W1431">
        <v>5</v>
      </c>
      <c r="X1431">
        <v>2017</v>
      </c>
      <c r="Y1431">
        <v>2018</v>
      </c>
      <c r="Z1431">
        <v>1177.3800000000001</v>
      </c>
      <c r="AB1431" t="s">
        <v>181</v>
      </c>
      <c r="AC1431" t="s">
        <v>182</v>
      </c>
      <c r="AD1431" t="s">
        <v>183</v>
      </c>
      <c r="AE1431">
        <v>1</v>
      </c>
      <c r="AF1431">
        <v>4</v>
      </c>
      <c r="AG1431" t="s">
        <v>257</v>
      </c>
      <c r="AH1431">
        <v>75</v>
      </c>
      <c r="AI1431">
        <v>1153.99</v>
      </c>
      <c r="AJ1431">
        <v>57.7</v>
      </c>
      <c r="AK1431">
        <v>1211.69</v>
      </c>
      <c r="AL1431">
        <v>137814</v>
      </c>
      <c r="AM1431">
        <v>35000</v>
      </c>
      <c r="AN1431">
        <v>102814</v>
      </c>
      <c r="AO1431">
        <v>1042</v>
      </c>
      <c r="AP1431">
        <v>2016</v>
      </c>
      <c r="AQ1431">
        <v>0.85</v>
      </c>
      <c r="AR1431">
        <v>0.88</v>
      </c>
      <c r="AS1431" t="s">
        <v>18461</v>
      </c>
      <c r="AT1431" t="s">
        <v>3210</v>
      </c>
      <c r="AU1431" t="s">
        <v>177</v>
      </c>
      <c r="AV1431" t="s">
        <v>2334</v>
      </c>
      <c r="AW1431" t="s">
        <v>202</v>
      </c>
      <c r="AX1431">
        <v>1</v>
      </c>
      <c r="AY1431" t="s">
        <v>188</v>
      </c>
      <c r="AZ1431" t="s">
        <v>206</v>
      </c>
      <c r="BA1431" t="s">
        <v>355</v>
      </c>
      <c r="BB1431" t="s">
        <v>191</v>
      </c>
      <c r="BC1431" t="s">
        <v>182</v>
      </c>
      <c r="BD1431" t="s">
        <v>182</v>
      </c>
      <c r="BE1431" t="s">
        <v>6557</v>
      </c>
      <c r="BF1431">
        <v>1</v>
      </c>
      <c r="BG1431">
        <v>1</v>
      </c>
      <c r="BH1431">
        <v>2004</v>
      </c>
      <c r="BI1431" t="s">
        <v>937</v>
      </c>
      <c r="BJ1431" t="s">
        <v>248</v>
      </c>
      <c r="BK1431" t="s">
        <v>195</v>
      </c>
      <c r="BL1431" t="s">
        <v>18462</v>
      </c>
      <c r="BM1431" t="s">
        <v>533</v>
      </c>
      <c r="BN1431" t="s">
        <v>182</v>
      </c>
      <c r="BO1431" t="s">
        <v>1855</v>
      </c>
      <c r="BP1431" t="s">
        <v>18463</v>
      </c>
      <c r="BQ1431" t="s">
        <v>800</v>
      </c>
      <c r="BR1431" t="s">
        <v>6200</v>
      </c>
      <c r="BS1431" t="s">
        <v>18464</v>
      </c>
      <c r="BT1431" t="s">
        <v>18465</v>
      </c>
      <c r="BU1431" t="s">
        <v>182</v>
      </c>
      <c r="BV1431" t="s">
        <v>198</v>
      </c>
      <c r="BW1431" t="s">
        <v>198</v>
      </c>
      <c r="BX1431" t="s">
        <v>199</v>
      </c>
      <c r="BY1431" t="s">
        <v>198</v>
      </c>
      <c r="BZ1431" t="s">
        <v>199</v>
      </c>
      <c r="CA1431" t="s">
        <v>199</v>
      </c>
      <c r="CB1431" t="s">
        <v>18466</v>
      </c>
      <c r="CC1431" t="s">
        <v>201</v>
      </c>
      <c r="CD1431" t="s">
        <v>182</v>
      </c>
      <c r="CE1431" t="s">
        <v>18467</v>
      </c>
      <c r="CF1431" t="s">
        <v>2333</v>
      </c>
      <c r="CG1431" t="s">
        <v>177</v>
      </c>
      <c r="CH1431" t="s">
        <v>2334</v>
      </c>
      <c r="CI1431" t="s">
        <v>18468</v>
      </c>
      <c r="CJ1431" t="s">
        <v>15449</v>
      </c>
      <c r="CK1431" t="s">
        <v>232</v>
      </c>
      <c r="CL1431" t="s">
        <v>233</v>
      </c>
      <c r="CM1431" t="s">
        <v>18469</v>
      </c>
      <c r="CN1431" t="s">
        <v>235</v>
      </c>
      <c r="CO1431" t="s">
        <v>183</v>
      </c>
      <c r="CP1431" t="s">
        <v>266</v>
      </c>
      <c r="CS1431" t="s">
        <v>198</v>
      </c>
      <c r="CT1431" t="s">
        <v>2418</v>
      </c>
      <c r="CU1431" t="s">
        <v>302</v>
      </c>
      <c r="CV1431" t="s">
        <v>303</v>
      </c>
      <c r="CW1431" t="s">
        <v>18470</v>
      </c>
      <c r="CX1431" t="s">
        <v>235</v>
      </c>
      <c r="CY1431" t="s">
        <v>183</v>
      </c>
      <c r="CZ1431" t="s">
        <v>211</v>
      </c>
      <c r="DA1431" t="s">
        <v>206</v>
      </c>
      <c r="DC1431" t="s">
        <v>18471</v>
      </c>
      <c r="DD1431" t="s">
        <v>18472</v>
      </c>
      <c r="DE1431" t="s">
        <v>238</v>
      </c>
      <c r="DF1431" t="s">
        <v>239</v>
      </c>
      <c r="DG1431" t="s">
        <v>18473</v>
      </c>
      <c r="DH1431" t="s">
        <v>235</v>
      </c>
      <c r="DI1431" t="s">
        <v>183</v>
      </c>
      <c r="DJ1431" t="s">
        <v>211</v>
      </c>
      <c r="DK1431" t="s">
        <v>339</v>
      </c>
      <c r="DM1431" t="s">
        <v>8816</v>
      </c>
      <c r="DN1431" t="s">
        <v>18474</v>
      </c>
      <c r="DO1431" t="s">
        <v>346</v>
      </c>
      <c r="DP1431" t="s">
        <v>347</v>
      </c>
      <c r="DQ1431" t="s">
        <v>18475</v>
      </c>
      <c r="DR1431" t="s">
        <v>235</v>
      </c>
      <c r="DS1431" t="s">
        <v>183</v>
      </c>
      <c r="DT1431" t="s">
        <v>211</v>
      </c>
      <c r="DU1431" t="s">
        <v>189</v>
      </c>
      <c r="DW1431" t="s">
        <v>16843</v>
      </c>
      <c r="DX1431" t="s">
        <v>16895</v>
      </c>
      <c r="DY1431" t="s">
        <v>207</v>
      </c>
      <c r="DZ1431" t="s">
        <v>208</v>
      </c>
      <c r="EA1431" t="s">
        <v>18476</v>
      </c>
      <c r="EB1431" t="s">
        <v>235</v>
      </c>
      <c r="EC1431" t="s">
        <v>183</v>
      </c>
      <c r="ED1431" t="s">
        <v>211</v>
      </c>
      <c r="EE1431" t="s">
        <v>264</v>
      </c>
      <c r="EG1431" t="s">
        <v>2276</v>
      </c>
      <c r="EQ1431" t="s">
        <v>198</v>
      </c>
      <c r="FA1431" t="s">
        <v>198</v>
      </c>
      <c r="FK1431" t="s">
        <v>198</v>
      </c>
      <c r="FU1431" t="s">
        <v>198</v>
      </c>
    </row>
    <row r="1432" spans="1:177">
      <c r="A1432" s="1" t="str">
        <f>HYPERLINK("http://digipan.lumentumllc.com/apps/getLink/index.php?t=PropLink&amp;p=5248630","PL")</f>
        <v>PL</v>
      </c>
      <c r="B1432" s="1" t="str">
        <f>HYPERLINK("http://digipan.lumentumllc.com/apps/getLink/index.php?t=TaxLink&amp;p=5248630","TL")</f>
        <v>TL</v>
      </c>
      <c r="C1432" s="1" t="str">
        <f>HYPERLINK("http://digipan.lumentumllc.com/apps/getMap/index.php?p=5248630","Map")</f>
        <v>Map</v>
      </c>
      <c r="E1432" t="s">
        <v>177</v>
      </c>
      <c r="F1432" t="s">
        <v>178</v>
      </c>
      <c r="L1432" t="s">
        <v>18477</v>
      </c>
      <c r="N1432" t="s">
        <v>18477</v>
      </c>
      <c r="O1432" t="s">
        <v>18477</v>
      </c>
      <c r="P1432" t="s">
        <v>18478</v>
      </c>
      <c r="Q1432" t="s">
        <v>18477</v>
      </c>
      <c r="V1432">
        <v>1638</v>
      </c>
      <c r="W1432">
        <v>5</v>
      </c>
      <c r="X1432">
        <v>2017</v>
      </c>
      <c r="Y1432">
        <v>2018</v>
      </c>
      <c r="Z1432">
        <v>377.22</v>
      </c>
      <c r="AB1432" t="s">
        <v>181</v>
      </c>
      <c r="AC1432" t="s">
        <v>202</v>
      </c>
      <c r="AD1432" t="s">
        <v>183</v>
      </c>
      <c r="AE1432">
        <v>1</v>
      </c>
      <c r="AF1432">
        <v>6</v>
      </c>
      <c r="AG1432" t="s">
        <v>322</v>
      </c>
      <c r="AH1432">
        <v>83</v>
      </c>
      <c r="AI1432">
        <v>361.31</v>
      </c>
      <c r="AJ1432">
        <v>18.07</v>
      </c>
      <c r="AK1432">
        <v>379.38</v>
      </c>
      <c r="AL1432">
        <v>74149</v>
      </c>
      <c r="AM1432">
        <v>17920</v>
      </c>
      <c r="AN1432">
        <v>56229</v>
      </c>
      <c r="AO1432">
        <v>309</v>
      </c>
      <c r="AP1432">
        <v>2016</v>
      </c>
      <c r="AQ1432">
        <v>0.51</v>
      </c>
      <c r="AR1432">
        <v>0.51</v>
      </c>
      <c r="AS1432" t="s">
        <v>18479</v>
      </c>
      <c r="AT1432" t="s">
        <v>3210</v>
      </c>
      <c r="AU1432" t="s">
        <v>177</v>
      </c>
      <c r="AV1432" t="s">
        <v>2334</v>
      </c>
      <c r="AW1432" t="s">
        <v>202</v>
      </c>
      <c r="AX1432">
        <v>1</v>
      </c>
      <c r="AY1432" t="s">
        <v>188</v>
      </c>
      <c r="AZ1432" t="s">
        <v>206</v>
      </c>
      <c r="BA1432" t="s">
        <v>355</v>
      </c>
      <c r="BB1432" t="s">
        <v>191</v>
      </c>
      <c r="BC1432" t="s">
        <v>182</v>
      </c>
      <c r="BD1432" t="s">
        <v>182</v>
      </c>
      <c r="BE1432" t="s">
        <v>235</v>
      </c>
      <c r="BF1432">
        <v>1</v>
      </c>
      <c r="BG1432">
        <v>1</v>
      </c>
      <c r="BH1432">
        <v>1958</v>
      </c>
      <c r="BI1432" t="s">
        <v>2199</v>
      </c>
      <c r="BJ1432" t="s">
        <v>194</v>
      </c>
      <c r="BK1432" t="s">
        <v>195</v>
      </c>
      <c r="BL1432" t="s">
        <v>17382</v>
      </c>
      <c r="BM1432" t="s">
        <v>9802</v>
      </c>
      <c r="BN1432" t="s">
        <v>182</v>
      </c>
      <c r="BO1432" t="s">
        <v>198</v>
      </c>
      <c r="BP1432" t="s">
        <v>198</v>
      </c>
      <c r="BQ1432" t="s">
        <v>198</v>
      </c>
      <c r="BR1432" t="s">
        <v>198</v>
      </c>
      <c r="BS1432" t="s">
        <v>198</v>
      </c>
      <c r="BT1432" t="s">
        <v>198</v>
      </c>
      <c r="BU1432" t="s">
        <v>182</v>
      </c>
      <c r="BV1432" t="s">
        <v>198</v>
      </c>
      <c r="BW1432" t="s">
        <v>198</v>
      </c>
      <c r="BX1432" t="s">
        <v>199</v>
      </c>
      <c r="BY1432" t="s">
        <v>198</v>
      </c>
      <c r="BZ1432" t="s">
        <v>199</v>
      </c>
      <c r="CA1432" t="s">
        <v>199</v>
      </c>
      <c r="CB1432" t="s">
        <v>18480</v>
      </c>
      <c r="CC1432" t="s">
        <v>201</v>
      </c>
      <c r="CD1432" t="s">
        <v>202</v>
      </c>
      <c r="CE1432" t="s">
        <v>18481</v>
      </c>
      <c r="CF1432" t="s">
        <v>2333</v>
      </c>
      <c r="CG1432" t="s">
        <v>177</v>
      </c>
      <c r="CH1432" t="s">
        <v>3178</v>
      </c>
      <c r="CI1432" t="s">
        <v>18482</v>
      </c>
      <c r="CJ1432" t="s">
        <v>9073</v>
      </c>
      <c r="CK1432" t="s">
        <v>232</v>
      </c>
      <c r="CL1432" t="s">
        <v>233</v>
      </c>
      <c r="CM1432" t="s">
        <v>18483</v>
      </c>
      <c r="CN1432" t="s">
        <v>235</v>
      </c>
      <c r="CO1432" t="s">
        <v>183</v>
      </c>
      <c r="CP1432" t="s">
        <v>266</v>
      </c>
      <c r="CS1432" t="s">
        <v>198</v>
      </c>
      <c r="CT1432" t="s">
        <v>11426</v>
      </c>
      <c r="CU1432" t="s">
        <v>267</v>
      </c>
      <c r="CV1432" t="s">
        <v>268</v>
      </c>
      <c r="CW1432" t="s">
        <v>18484</v>
      </c>
      <c r="CX1432" t="s">
        <v>235</v>
      </c>
      <c r="CY1432" t="s">
        <v>183</v>
      </c>
      <c r="CZ1432" t="s">
        <v>211</v>
      </c>
      <c r="DA1432" t="s">
        <v>270</v>
      </c>
      <c r="DB1432" t="s">
        <v>271</v>
      </c>
      <c r="DC1432" t="s">
        <v>3650</v>
      </c>
      <c r="DD1432" t="s">
        <v>3043</v>
      </c>
      <c r="DE1432" t="s">
        <v>273</v>
      </c>
      <c r="DF1432" t="s">
        <v>274</v>
      </c>
      <c r="DG1432" t="s">
        <v>18485</v>
      </c>
      <c r="DH1432" t="s">
        <v>235</v>
      </c>
      <c r="DI1432" t="s">
        <v>183</v>
      </c>
      <c r="DJ1432" t="s">
        <v>211</v>
      </c>
      <c r="DL1432" t="s">
        <v>271</v>
      </c>
      <c r="DM1432" t="s">
        <v>198</v>
      </c>
      <c r="DN1432" t="s">
        <v>17359</v>
      </c>
      <c r="DO1432" t="s">
        <v>302</v>
      </c>
      <c r="DP1432" t="s">
        <v>303</v>
      </c>
      <c r="DQ1432" t="s">
        <v>18486</v>
      </c>
      <c r="DR1432" t="s">
        <v>235</v>
      </c>
      <c r="DS1432" t="s">
        <v>183</v>
      </c>
      <c r="DT1432" t="s">
        <v>211</v>
      </c>
      <c r="DU1432" t="s">
        <v>334</v>
      </c>
      <c r="DW1432" t="s">
        <v>4873</v>
      </c>
      <c r="DX1432" t="s">
        <v>18487</v>
      </c>
      <c r="DY1432" t="s">
        <v>238</v>
      </c>
      <c r="DZ1432" t="s">
        <v>239</v>
      </c>
      <c r="EA1432" t="s">
        <v>18488</v>
      </c>
      <c r="EB1432" t="s">
        <v>440</v>
      </c>
      <c r="EC1432" t="s">
        <v>183</v>
      </c>
      <c r="ED1432" t="s">
        <v>211</v>
      </c>
      <c r="EE1432" t="s">
        <v>337</v>
      </c>
      <c r="EG1432" t="s">
        <v>18489</v>
      </c>
      <c r="EH1432" t="s">
        <v>18490</v>
      </c>
      <c r="EI1432" t="s">
        <v>346</v>
      </c>
      <c r="EJ1432" t="s">
        <v>347</v>
      </c>
      <c r="EK1432" t="s">
        <v>18491</v>
      </c>
      <c r="EL1432" t="s">
        <v>278</v>
      </c>
      <c r="EM1432" t="s">
        <v>183</v>
      </c>
      <c r="EN1432" t="s">
        <v>211</v>
      </c>
      <c r="EO1432" t="s">
        <v>865</v>
      </c>
      <c r="EQ1432" t="s">
        <v>1097</v>
      </c>
      <c r="ER1432" t="s">
        <v>18492</v>
      </c>
      <c r="ES1432" t="s">
        <v>207</v>
      </c>
      <c r="ET1432" t="s">
        <v>208</v>
      </c>
      <c r="EU1432" t="s">
        <v>18493</v>
      </c>
      <c r="EV1432" t="s">
        <v>469</v>
      </c>
      <c r="EW1432" t="s">
        <v>183</v>
      </c>
      <c r="EX1432" t="s">
        <v>211</v>
      </c>
      <c r="EY1432" t="s">
        <v>298</v>
      </c>
      <c r="FA1432" t="s">
        <v>1167</v>
      </c>
      <c r="FK1432" t="s">
        <v>198</v>
      </c>
      <c r="FU1432" t="s">
        <v>198</v>
      </c>
    </row>
    <row r="1433" spans="1:177">
      <c r="A1433" s="1" t="str">
        <f>HYPERLINK("http://digipan.lumentumllc.com/apps/getLink/index.php?t=PropLink&amp;p=5248637","PL")</f>
        <v>PL</v>
      </c>
      <c r="B1433" s="1" t="str">
        <f>HYPERLINK("http://digipan.lumentumllc.com/apps/getLink/index.php?t=TaxLink&amp;p=5248637","TL")</f>
        <v>TL</v>
      </c>
      <c r="C1433" s="1" t="str">
        <f>HYPERLINK("http://digipan.lumentumllc.com/apps/getMap/index.php?p=5248637","Map")</f>
        <v>Map</v>
      </c>
      <c r="E1433" t="s">
        <v>177</v>
      </c>
      <c r="F1433" t="s">
        <v>178</v>
      </c>
      <c r="L1433" t="s">
        <v>18494</v>
      </c>
      <c r="N1433" t="s">
        <v>18494</v>
      </c>
      <c r="O1433" t="s">
        <v>18494</v>
      </c>
      <c r="P1433" t="s">
        <v>18495</v>
      </c>
      <c r="Q1433" t="s">
        <v>18494</v>
      </c>
      <c r="V1433">
        <v>1641</v>
      </c>
      <c r="W1433">
        <v>5</v>
      </c>
      <c r="X1433">
        <v>2017</v>
      </c>
      <c r="Y1433">
        <v>2018</v>
      </c>
      <c r="Z1433">
        <v>318.68</v>
      </c>
      <c r="AB1433" t="s">
        <v>181</v>
      </c>
      <c r="AC1433" t="s">
        <v>182</v>
      </c>
      <c r="AD1433" t="s">
        <v>183</v>
      </c>
      <c r="AE1433">
        <v>0</v>
      </c>
      <c r="AF1433">
        <v>6</v>
      </c>
      <c r="AG1433" t="s">
        <v>3266</v>
      </c>
      <c r="AH1433">
        <v>100</v>
      </c>
      <c r="AK1433">
        <v>0</v>
      </c>
      <c r="AL1433">
        <v>17510</v>
      </c>
      <c r="AM1433">
        <v>17510</v>
      </c>
      <c r="AN1433">
        <v>0</v>
      </c>
      <c r="AO1433">
        <v>269</v>
      </c>
      <c r="AP1433">
        <v>2016</v>
      </c>
      <c r="AQ1433">
        <v>1.82</v>
      </c>
      <c r="AS1433" t="s">
        <v>6270</v>
      </c>
      <c r="AT1433" t="s">
        <v>3210</v>
      </c>
      <c r="AU1433" t="s">
        <v>177</v>
      </c>
      <c r="AV1433" t="s">
        <v>2334</v>
      </c>
      <c r="AW1433" t="s">
        <v>182</v>
      </c>
      <c r="AX1433">
        <v>0</v>
      </c>
      <c r="AY1433" t="s">
        <v>312</v>
      </c>
      <c r="AZ1433" t="s">
        <v>199</v>
      </c>
      <c r="BA1433" t="s">
        <v>313</v>
      </c>
      <c r="BB1433" t="s">
        <v>191</v>
      </c>
      <c r="BC1433" t="s">
        <v>182</v>
      </c>
      <c r="BD1433" t="s">
        <v>182</v>
      </c>
      <c r="BE1433" t="s">
        <v>6986</v>
      </c>
      <c r="BF1433">
        <v>0</v>
      </c>
      <c r="BG1433">
        <v>0</v>
      </c>
      <c r="BH1433">
        <v>0</v>
      </c>
      <c r="BI1433" t="s">
        <v>199</v>
      </c>
      <c r="BJ1433" t="s">
        <v>315</v>
      </c>
      <c r="BL1433" t="s">
        <v>199</v>
      </c>
      <c r="BM1433" t="s">
        <v>368</v>
      </c>
      <c r="BN1433" t="s">
        <v>182</v>
      </c>
      <c r="BO1433" t="s">
        <v>198</v>
      </c>
      <c r="BP1433" t="s">
        <v>198</v>
      </c>
      <c r="BQ1433" t="s">
        <v>198</v>
      </c>
      <c r="BR1433" t="s">
        <v>198</v>
      </c>
      <c r="BS1433" t="s">
        <v>198</v>
      </c>
      <c r="BT1433" t="s">
        <v>198</v>
      </c>
      <c r="BU1433" t="s">
        <v>182</v>
      </c>
      <c r="BV1433" t="s">
        <v>198</v>
      </c>
      <c r="BW1433" t="s">
        <v>198</v>
      </c>
      <c r="BX1433" t="s">
        <v>199</v>
      </c>
      <c r="BY1433" t="s">
        <v>198</v>
      </c>
      <c r="BZ1433" t="s">
        <v>199</v>
      </c>
      <c r="CA1433" t="s">
        <v>199</v>
      </c>
      <c r="CB1433" t="s">
        <v>18496</v>
      </c>
      <c r="CC1433" t="s">
        <v>201</v>
      </c>
      <c r="CD1433" t="s">
        <v>182</v>
      </c>
      <c r="CE1433" t="s">
        <v>18497</v>
      </c>
      <c r="CF1433" t="s">
        <v>3077</v>
      </c>
      <c r="CG1433" t="s">
        <v>177</v>
      </c>
      <c r="CH1433" t="s">
        <v>3078</v>
      </c>
      <c r="CI1433" t="s">
        <v>18498</v>
      </c>
      <c r="CJ1433" t="s">
        <v>11028</v>
      </c>
      <c r="CK1433" t="s">
        <v>232</v>
      </c>
      <c r="CL1433" t="s">
        <v>233</v>
      </c>
      <c r="CM1433" t="s">
        <v>18499</v>
      </c>
      <c r="CN1433" t="s">
        <v>2515</v>
      </c>
      <c r="CO1433" t="s">
        <v>183</v>
      </c>
      <c r="CP1433" t="s">
        <v>211</v>
      </c>
      <c r="CQ1433" t="s">
        <v>264</v>
      </c>
      <c r="CS1433" t="s">
        <v>8684</v>
      </c>
      <c r="CT1433" t="s">
        <v>771</v>
      </c>
      <c r="CU1433" t="s">
        <v>273</v>
      </c>
      <c r="CV1433" t="s">
        <v>274</v>
      </c>
      <c r="CW1433" t="s">
        <v>18500</v>
      </c>
      <c r="CX1433" t="s">
        <v>796</v>
      </c>
      <c r="CY1433" t="s">
        <v>183</v>
      </c>
      <c r="CZ1433" t="s">
        <v>211</v>
      </c>
      <c r="DA1433" t="s">
        <v>342</v>
      </c>
      <c r="DC1433" t="s">
        <v>11932</v>
      </c>
      <c r="DD1433" t="s">
        <v>18501</v>
      </c>
      <c r="DE1433" t="s">
        <v>302</v>
      </c>
      <c r="DF1433" t="s">
        <v>303</v>
      </c>
      <c r="DG1433" t="s">
        <v>18502</v>
      </c>
      <c r="DH1433" t="s">
        <v>331</v>
      </c>
      <c r="DI1433" t="s">
        <v>183</v>
      </c>
      <c r="DJ1433" t="s">
        <v>211</v>
      </c>
      <c r="DK1433" t="s">
        <v>487</v>
      </c>
      <c r="DM1433" t="s">
        <v>7734</v>
      </c>
      <c r="DN1433" t="s">
        <v>18503</v>
      </c>
      <c r="DO1433" t="s">
        <v>238</v>
      </c>
      <c r="DP1433" t="s">
        <v>239</v>
      </c>
      <c r="DQ1433" t="s">
        <v>18504</v>
      </c>
      <c r="DR1433" t="s">
        <v>440</v>
      </c>
      <c r="DS1433" t="s">
        <v>183</v>
      </c>
      <c r="DT1433" t="s">
        <v>211</v>
      </c>
      <c r="DU1433" t="s">
        <v>487</v>
      </c>
      <c r="DW1433" t="s">
        <v>18306</v>
      </c>
      <c r="DX1433" t="s">
        <v>3035</v>
      </c>
      <c r="DY1433" t="s">
        <v>346</v>
      </c>
      <c r="DZ1433" t="s">
        <v>347</v>
      </c>
      <c r="EA1433" t="s">
        <v>18505</v>
      </c>
      <c r="EB1433" t="s">
        <v>278</v>
      </c>
      <c r="EC1433" t="s">
        <v>183</v>
      </c>
      <c r="ED1433" t="s">
        <v>211</v>
      </c>
      <c r="EE1433" t="s">
        <v>329</v>
      </c>
      <c r="EG1433" t="s">
        <v>2927</v>
      </c>
      <c r="EH1433" t="s">
        <v>18506</v>
      </c>
      <c r="EI1433" t="s">
        <v>207</v>
      </c>
      <c r="EJ1433" t="s">
        <v>208</v>
      </c>
      <c r="EK1433" t="s">
        <v>18507</v>
      </c>
      <c r="EL1433" t="s">
        <v>1966</v>
      </c>
      <c r="EM1433" t="s">
        <v>183</v>
      </c>
      <c r="EN1433" t="s">
        <v>211</v>
      </c>
      <c r="EO1433" t="s">
        <v>270</v>
      </c>
      <c r="EQ1433" t="s">
        <v>2345</v>
      </c>
      <c r="FA1433" t="s">
        <v>198</v>
      </c>
      <c r="FK1433" t="s">
        <v>198</v>
      </c>
      <c r="FU1433" t="s">
        <v>198</v>
      </c>
    </row>
    <row r="1434" spans="1:177">
      <c r="A1434" s="1" t="str">
        <f>HYPERLINK("http://digipan.lumentumllc.com/apps/getLink/index.php?t=PropLink&amp;p=15764443","PL")</f>
        <v>PL</v>
      </c>
      <c r="B1434" s="1" t="str">
        <f>HYPERLINK("http://digipan.lumentumllc.com/apps/getLink/index.php?t=TaxLink&amp;p=15764443","TL")</f>
        <v>TL</v>
      </c>
      <c r="C1434" s="1" t="str">
        <f>HYPERLINK("http://digipan.lumentumllc.com/apps/getMap/index.php?p=15764443","Map")</f>
        <v>Map</v>
      </c>
      <c r="E1434" t="s">
        <v>177</v>
      </c>
      <c r="F1434" t="s">
        <v>178</v>
      </c>
      <c r="L1434" t="s">
        <v>18508</v>
      </c>
      <c r="N1434" t="s">
        <v>18508</v>
      </c>
      <c r="O1434" t="s">
        <v>18508</v>
      </c>
      <c r="Q1434" t="s">
        <v>18508</v>
      </c>
      <c r="V1434">
        <v>1642</v>
      </c>
      <c r="W1434">
        <v>5</v>
      </c>
      <c r="X1434">
        <v>2017</v>
      </c>
      <c r="Y1434">
        <v>2018</v>
      </c>
      <c r="Z1434">
        <v>549.04999999999995</v>
      </c>
      <c r="AG1434" t="s">
        <v>184</v>
      </c>
      <c r="AH1434">
        <v>0</v>
      </c>
      <c r="AK1434">
        <v>0</v>
      </c>
      <c r="AL1434">
        <v>75432</v>
      </c>
      <c r="AM1434">
        <v>21000</v>
      </c>
      <c r="AN1434">
        <v>54432</v>
      </c>
      <c r="AO1434">
        <v>477</v>
      </c>
      <c r="AP1434">
        <v>2016</v>
      </c>
      <c r="AQ1434">
        <v>0.73</v>
      </c>
      <c r="AS1434" t="s">
        <v>18509</v>
      </c>
      <c r="AT1434" t="s">
        <v>3210</v>
      </c>
      <c r="AU1434" t="s">
        <v>177</v>
      </c>
      <c r="AV1434" t="s">
        <v>2334</v>
      </c>
      <c r="AW1434" t="s">
        <v>202</v>
      </c>
      <c r="AX1434">
        <v>2</v>
      </c>
      <c r="AY1434" t="s">
        <v>188</v>
      </c>
      <c r="AZ1434" t="s">
        <v>189</v>
      </c>
      <c r="BA1434" t="s">
        <v>190</v>
      </c>
      <c r="BB1434" t="s">
        <v>191</v>
      </c>
      <c r="BC1434" t="s">
        <v>182</v>
      </c>
      <c r="BD1434" t="s">
        <v>182</v>
      </c>
      <c r="BE1434" t="s">
        <v>3682</v>
      </c>
      <c r="BF1434">
        <v>2</v>
      </c>
      <c r="BG1434">
        <v>2</v>
      </c>
      <c r="BH1434">
        <v>2002</v>
      </c>
      <c r="BI1434" t="s">
        <v>501</v>
      </c>
      <c r="BJ1434" t="s">
        <v>194</v>
      </c>
      <c r="BK1434" t="s">
        <v>195</v>
      </c>
      <c r="BL1434" t="s">
        <v>18510</v>
      </c>
      <c r="BM1434" t="s">
        <v>533</v>
      </c>
      <c r="BN1434" t="s">
        <v>182</v>
      </c>
      <c r="BO1434" t="s">
        <v>16830</v>
      </c>
      <c r="BP1434" t="s">
        <v>2016</v>
      </c>
      <c r="BQ1434" t="s">
        <v>562</v>
      </c>
      <c r="BR1434" t="s">
        <v>6200</v>
      </c>
      <c r="BS1434" t="s">
        <v>198</v>
      </c>
      <c r="BT1434" t="s">
        <v>18511</v>
      </c>
      <c r="BU1434" t="s">
        <v>182</v>
      </c>
      <c r="BV1434" t="s">
        <v>198</v>
      </c>
      <c r="BW1434" t="s">
        <v>198</v>
      </c>
      <c r="BX1434" t="s">
        <v>199</v>
      </c>
      <c r="BY1434" t="s">
        <v>198</v>
      </c>
      <c r="BZ1434" t="s">
        <v>199</v>
      </c>
      <c r="CA1434" t="s">
        <v>199</v>
      </c>
      <c r="CB1434" t="s">
        <v>18512</v>
      </c>
      <c r="CC1434" t="s">
        <v>201</v>
      </c>
      <c r="CD1434" t="s">
        <v>182</v>
      </c>
      <c r="CE1434" t="s">
        <v>18513</v>
      </c>
      <c r="CF1434" t="s">
        <v>2333</v>
      </c>
      <c r="CG1434" t="s">
        <v>177</v>
      </c>
      <c r="CH1434" t="s">
        <v>2334</v>
      </c>
      <c r="CI1434" t="s">
        <v>18514</v>
      </c>
      <c r="CS1434" t="s">
        <v>198</v>
      </c>
      <c r="DC1434" t="s">
        <v>198</v>
      </c>
      <c r="DM1434" t="s">
        <v>198</v>
      </c>
      <c r="DW1434" t="s">
        <v>198</v>
      </c>
      <c r="EG1434" t="s">
        <v>198</v>
      </c>
      <c r="EQ1434" t="s">
        <v>198</v>
      </c>
      <c r="FA1434" t="s">
        <v>198</v>
      </c>
      <c r="FK1434" t="s">
        <v>198</v>
      </c>
      <c r="FU1434" t="s">
        <v>198</v>
      </c>
    </row>
    <row r="1435" spans="1:177">
      <c r="A1435" s="1" t="str">
        <f>HYPERLINK("http://digipan.lumentumllc.com/apps/getLink/index.php?t=PropLink&amp;p=5248638","PL")</f>
        <v>PL</v>
      </c>
      <c r="B1435" s="1" t="str">
        <f>HYPERLINK("http://digipan.lumentumllc.com/apps/getLink/index.php?t=TaxLink&amp;p=5248638","TL")</f>
        <v>TL</v>
      </c>
      <c r="C1435" s="1" t="str">
        <f>HYPERLINK("http://digipan.lumentumllc.com/apps/getMap/index.php?p=5248638","Map")</f>
        <v>Map</v>
      </c>
      <c r="E1435" t="s">
        <v>177</v>
      </c>
      <c r="F1435" t="s">
        <v>178</v>
      </c>
      <c r="L1435" t="s">
        <v>18515</v>
      </c>
      <c r="N1435" t="s">
        <v>18515</v>
      </c>
      <c r="O1435" t="s">
        <v>18515</v>
      </c>
      <c r="P1435" t="s">
        <v>18516</v>
      </c>
      <c r="Q1435" t="s">
        <v>18515</v>
      </c>
      <c r="V1435">
        <v>1643</v>
      </c>
      <c r="W1435">
        <v>5</v>
      </c>
      <c r="X1435">
        <v>2017</v>
      </c>
      <c r="Y1435">
        <v>2018</v>
      </c>
      <c r="Z1435">
        <v>365.61</v>
      </c>
      <c r="AB1435" t="s">
        <v>181</v>
      </c>
      <c r="AC1435" t="s">
        <v>182</v>
      </c>
      <c r="AD1435" t="s">
        <v>1037</v>
      </c>
      <c r="AE1435">
        <v>0</v>
      </c>
      <c r="AF1435">
        <v>3</v>
      </c>
      <c r="AG1435" t="s">
        <v>216</v>
      </c>
      <c r="AH1435">
        <v>100</v>
      </c>
      <c r="AK1435">
        <v>0</v>
      </c>
      <c r="AL1435">
        <v>72989</v>
      </c>
      <c r="AM1435">
        <v>16368</v>
      </c>
      <c r="AN1435">
        <v>56621</v>
      </c>
      <c r="AO1435">
        <v>0</v>
      </c>
      <c r="AP1435">
        <v>0</v>
      </c>
      <c r="AQ1435">
        <v>0.5</v>
      </c>
      <c r="AS1435" t="s">
        <v>18517</v>
      </c>
      <c r="AT1435" t="s">
        <v>3210</v>
      </c>
      <c r="AU1435" t="s">
        <v>177</v>
      </c>
      <c r="AV1435" t="s">
        <v>2334</v>
      </c>
      <c r="AW1435" t="s">
        <v>202</v>
      </c>
      <c r="AX1435">
        <v>1</v>
      </c>
      <c r="AY1435" t="s">
        <v>188</v>
      </c>
      <c r="AZ1435" t="s">
        <v>206</v>
      </c>
      <c r="BA1435" t="s">
        <v>355</v>
      </c>
      <c r="BB1435" t="s">
        <v>191</v>
      </c>
      <c r="BC1435" t="s">
        <v>182</v>
      </c>
      <c r="BD1435" t="s">
        <v>182</v>
      </c>
      <c r="BE1435" t="s">
        <v>6180</v>
      </c>
      <c r="BF1435">
        <v>1</v>
      </c>
      <c r="BG1435">
        <v>1</v>
      </c>
      <c r="BH1435">
        <v>1976</v>
      </c>
      <c r="BI1435" t="s">
        <v>2522</v>
      </c>
      <c r="BJ1435" t="s">
        <v>194</v>
      </c>
      <c r="BK1435" t="s">
        <v>195</v>
      </c>
      <c r="BL1435" t="s">
        <v>980</v>
      </c>
      <c r="BM1435" t="s">
        <v>945</v>
      </c>
      <c r="BN1435" t="s">
        <v>182</v>
      </c>
      <c r="BO1435" t="s">
        <v>198</v>
      </c>
      <c r="BP1435" t="s">
        <v>198</v>
      </c>
      <c r="BQ1435" t="s">
        <v>198</v>
      </c>
      <c r="BR1435" t="s">
        <v>198</v>
      </c>
      <c r="BS1435" t="s">
        <v>198</v>
      </c>
      <c r="BT1435" t="s">
        <v>198</v>
      </c>
      <c r="BU1435" t="s">
        <v>182</v>
      </c>
      <c r="BV1435" t="s">
        <v>198</v>
      </c>
      <c r="BW1435" t="s">
        <v>198</v>
      </c>
      <c r="BX1435" t="s">
        <v>199</v>
      </c>
      <c r="BY1435" t="s">
        <v>198</v>
      </c>
      <c r="BZ1435" t="s">
        <v>199</v>
      </c>
      <c r="CA1435" t="s">
        <v>199</v>
      </c>
      <c r="CB1435" t="s">
        <v>18518</v>
      </c>
      <c r="CC1435" t="s">
        <v>201</v>
      </c>
      <c r="CD1435" t="s">
        <v>182</v>
      </c>
      <c r="CE1435" t="s">
        <v>18519</v>
      </c>
      <c r="CF1435" t="s">
        <v>2333</v>
      </c>
      <c r="CG1435" t="s">
        <v>177</v>
      </c>
      <c r="CH1435" t="s">
        <v>3178</v>
      </c>
      <c r="CI1435" t="s">
        <v>18520</v>
      </c>
      <c r="CJ1435" t="s">
        <v>8072</v>
      </c>
      <c r="CK1435" t="s">
        <v>292</v>
      </c>
      <c r="CL1435" t="s">
        <v>293</v>
      </c>
      <c r="CM1435" t="s">
        <v>18521</v>
      </c>
      <c r="CN1435" t="s">
        <v>482</v>
      </c>
      <c r="CO1435" t="s">
        <v>5</v>
      </c>
      <c r="CP1435" t="s">
        <v>211</v>
      </c>
      <c r="CQ1435" t="s">
        <v>270</v>
      </c>
      <c r="CS1435" t="s">
        <v>9523</v>
      </c>
      <c r="CT1435" t="s">
        <v>18522</v>
      </c>
      <c r="CU1435" t="s">
        <v>346</v>
      </c>
      <c r="CV1435" t="s">
        <v>347</v>
      </c>
      <c r="CW1435" t="s">
        <v>18523</v>
      </c>
      <c r="CX1435" t="s">
        <v>278</v>
      </c>
      <c r="CY1435" t="s">
        <v>183</v>
      </c>
      <c r="CZ1435" t="s">
        <v>211</v>
      </c>
      <c r="DA1435" t="s">
        <v>342</v>
      </c>
      <c r="DC1435" t="s">
        <v>1355</v>
      </c>
      <c r="DD1435" t="s">
        <v>17023</v>
      </c>
      <c r="DE1435" t="s">
        <v>207</v>
      </c>
      <c r="DF1435" t="s">
        <v>208</v>
      </c>
      <c r="DG1435" t="s">
        <v>18524</v>
      </c>
      <c r="DH1435" t="s">
        <v>688</v>
      </c>
      <c r="DI1435" t="s">
        <v>183</v>
      </c>
      <c r="DJ1435" t="s">
        <v>211</v>
      </c>
      <c r="DK1435" t="s">
        <v>298</v>
      </c>
      <c r="DM1435" t="s">
        <v>1167</v>
      </c>
      <c r="DW1435" t="s">
        <v>198</v>
      </c>
      <c r="EG1435" t="s">
        <v>198</v>
      </c>
      <c r="EQ1435" t="s">
        <v>198</v>
      </c>
      <c r="FA1435" t="s">
        <v>198</v>
      </c>
      <c r="FK1435" t="s">
        <v>198</v>
      </c>
      <c r="FU1435" t="s">
        <v>198</v>
      </c>
    </row>
    <row r="1436" spans="1:177">
      <c r="A1436" s="1" t="str">
        <f>HYPERLINK("http://digipan.lumentumllc.com/apps/getLink/index.php?t=PropLink&amp;p=5248640","PL")</f>
        <v>PL</v>
      </c>
      <c r="B1436" s="1" t="str">
        <f>HYPERLINK("http://digipan.lumentumllc.com/apps/getLink/index.php?t=TaxLink&amp;p=5248640","TL")</f>
        <v>TL</v>
      </c>
      <c r="C1436" s="1" t="str">
        <f>HYPERLINK("http://digipan.lumentumllc.com/apps/getMap/index.php?p=5248640","Map")</f>
        <v>Map</v>
      </c>
      <c r="E1436" t="s">
        <v>177</v>
      </c>
      <c r="F1436" t="s">
        <v>178</v>
      </c>
      <c r="L1436" t="s">
        <v>18525</v>
      </c>
      <c r="N1436" t="s">
        <v>18525</v>
      </c>
      <c r="O1436" t="s">
        <v>18525</v>
      </c>
      <c r="P1436" t="s">
        <v>18526</v>
      </c>
      <c r="Q1436" t="s">
        <v>18525</v>
      </c>
      <c r="V1436">
        <v>1644</v>
      </c>
      <c r="W1436">
        <v>5</v>
      </c>
      <c r="X1436">
        <v>2017</v>
      </c>
      <c r="Y1436">
        <v>2018</v>
      </c>
      <c r="Z1436">
        <v>14813.11</v>
      </c>
      <c r="AB1436" t="s">
        <v>181</v>
      </c>
      <c r="AC1436" t="s">
        <v>182</v>
      </c>
      <c r="AD1436" t="s">
        <v>183</v>
      </c>
      <c r="AE1436">
        <v>0</v>
      </c>
      <c r="AF1436">
        <v>2</v>
      </c>
      <c r="AG1436" t="s">
        <v>821</v>
      </c>
      <c r="AH1436">
        <v>100</v>
      </c>
      <c r="AK1436">
        <v>0</v>
      </c>
      <c r="AL1436">
        <v>902795</v>
      </c>
      <c r="AM1436">
        <v>431240</v>
      </c>
      <c r="AN1436">
        <v>471555</v>
      </c>
      <c r="AO1436">
        <v>11563</v>
      </c>
      <c r="AP1436">
        <v>2016</v>
      </c>
      <c r="AQ1436">
        <v>1.64</v>
      </c>
      <c r="AS1436" t="s">
        <v>18527</v>
      </c>
      <c r="AT1436" t="s">
        <v>3210</v>
      </c>
      <c r="AU1436" t="s">
        <v>177</v>
      </c>
      <c r="AV1436" t="s">
        <v>2334</v>
      </c>
      <c r="AW1436" t="s">
        <v>182</v>
      </c>
      <c r="AX1436">
        <v>14</v>
      </c>
      <c r="AY1436" t="s">
        <v>3641</v>
      </c>
      <c r="AZ1436" t="s">
        <v>460</v>
      </c>
      <c r="BA1436" t="s">
        <v>6032</v>
      </c>
      <c r="BB1436" t="s">
        <v>191</v>
      </c>
      <c r="BC1436" t="s">
        <v>182</v>
      </c>
      <c r="BD1436" t="s">
        <v>182</v>
      </c>
      <c r="BE1436" t="s">
        <v>1884</v>
      </c>
      <c r="BF1436">
        <v>1</v>
      </c>
      <c r="BG1436">
        <v>0</v>
      </c>
      <c r="BH1436">
        <v>2000</v>
      </c>
      <c r="BI1436" t="s">
        <v>18528</v>
      </c>
      <c r="BJ1436" t="s">
        <v>194</v>
      </c>
      <c r="BK1436" t="s">
        <v>840</v>
      </c>
      <c r="BL1436" t="s">
        <v>16544</v>
      </c>
      <c r="BM1436" t="s">
        <v>232</v>
      </c>
      <c r="BN1436" t="s">
        <v>182</v>
      </c>
      <c r="BO1436" t="s">
        <v>8618</v>
      </c>
      <c r="BP1436" t="s">
        <v>18529</v>
      </c>
      <c r="BQ1436" t="s">
        <v>581</v>
      </c>
      <c r="BR1436" t="s">
        <v>3108</v>
      </c>
      <c r="BS1436" t="s">
        <v>198</v>
      </c>
      <c r="BT1436" t="s">
        <v>228</v>
      </c>
      <c r="BU1436" t="s">
        <v>182</v>
      </c>
      <c r="BV1436" t="s">
        <v>198</v>
      </c>
      <c r="BW1436" t="s">
        <v>198</v>
      </c>
      <c r="BX1436" t="s">
        <v>199</v>
      </c>
      <c r="BY1436" t="s">
        <v>198</v>
      </c>
      <c r="BZ1436" t="s">
        <v>199</v>
      </c>
      <c r="CA1436" t="s">
        <v>199</v>
      </c>
      <c r="CB1436" t="s">
        <v>18530</v>
      </c>
      <c r="CC1436" t="s">
        <v>201</v>
      </c>
      <c r="CD1436" t="s">
        <v>202</v>
      </c>
      <c r="CE1436" t="s">
        <v>18531</v>
      </c>
      <c r="CF1436" t="s">
        <v>18532</v>
      </c>
      <c r="CG1436" t="s">
        <v>177</v>
      </c>
      <c r="CH1436" t="s">
        <v>18533</v>
      </c>
      <c r="CI1436" t="s">
        <v>18534</v>
      </c>
      <c r="CJ1436" t="s">
        <v>18535</v>
      </c>
      <c r="CK1436" t="s">
        <v>292</v>
      </c>
      <c r="CL1436" t="s">
        <v>293</v>
      </c>
      <c r="CM1436" t="s">
        <v>18536</v>
      </c>
      <c r="CN1436" t="s">
        <v>235</v>
      </c>
      <c r="CO1436" t="s">
        <v>183</v>
      </c>
      <c r="CP1436" t="s">
        <v>211</v>
      </c>
      <c r="CQ1436" t="s">
        <v>264</v>
      </c>
      <c r="CS1436" t="s">
        <v>18537</v>
      </c>
      <c r="CT1436" t="s">
        <v>17044</v>
      </c>
      <c r="CU1436" t="s">
        <v>207</v>
      </c>
      <c r="CV1436" t="s">
        <v>208</v>
      </c>
      <c r="CW1436" t="s">
        <v>18538</v>
      </c>
      <c r="CX1436" t="s">
        <v>391</v>
      </c>
      <c r="CY1436" t="s">
        <v>183</v>
      </c>
      <c r="CZ1436" t="s">
        <v>211</v>
      </c>
      <c r="DA1436" t="s">
        <v>342</v>
      </c>
      <c r="DC1436" t="s">
        <v>18539</v>
      </c>
      <c r="DM1436" t="s">
        <v>198</v>
      </c>
      <c r="DW1436" t="s">
        <v>198</v>
      </c>
      <c r="EG1436" t="s">
        <v>198</v>
      </c>
      <c r="EQ1436" t="s">
        <v>198</v>
      </c>
      <c r="FA1436" t="s">
        <v>198</v>
      </c>
      <c r="FK1436" t="s">
        <v>198</v>
      </c>
      <c r="FU1436" t="s">
        <v>198</v>
      </c>
    </row>
    <row r="1437" spans="1:177">
      <c r="A1437" s="1" t="str">
        <f>HYPERLINK("http://digipan.lumentumllc.com/apps/getLink/index.php?t=PropLink&amp;p=5248642","PL")</f>
        <v>PL</v>
      </c>
      <c r="B1437" s="1" t="str">
        <f>HYPERLINK("http://digipan.lumentumllc.com/apps/getLink/index.php?t=TaxLink&amp;p=5248642","TL")</f>
        <v>TL</v>
      </c>
      <c r="C1437" s="1" t="str">
        <f>HYPERLINK("http://digipan.lumentumllc.com/apps/getMap/index.php?p=5248642","Map")</f>
        <v>Map</v>
      </c>
      <c r="E1437" t="s">
        <v>177</v>
      </c>
      <c r="F1437" t="s">
        <v>178</v>
      </c>
      <c r="L1437" t="s">
        <v>18540</v>
      </c>
      <c r="N1437" t="s">
        <v>18540</v>
      </c>
      <c r="O1437" t="s">
        <v>18540</v>
      </c>
      <c r="P1437" t="s">
        <v>18541</v>
      </c>
      <c r="Q1437" t="s">
        <v>18540</v>
      </c>
      <c r="V1437">
        <v>1645</v>
      </c>
      <c r="W1437">
        <v>5</v>
      </c>
      <c r="X1437">
        <v>2017</v>
      </c>
      <c r="Y1437">
        <v>2018</v>
      </c>
      <c r="Z1437">
        <v>526.84</v>
      </c>
      <c r="AB1437" t="s">
        <v>181</v>
      </c>
      <c r="AC1437" t="s">
        <v>182</v>
      </c>
      <c r="AD1437" t="s">
        <v>183</v>
      </c>
      <c r="AE1437">
        <v>0</v>
      </c>
      <c r="AF1437">
        <v>6</v>
      </c>
      <c r="AG1437" t="s">
        <v>3266</v>
      </c>
      <c r="AH1437">
        <v>100</v>
      </c>
      <c r="AK1437">
        <v>0</v>
      </c>
      <c r="AL1437">
        <v>30224</v>
      </c>
      <c r="AM1437">
        <v>20000</v>
      </c>
      <c r="AN1437">
        <v>10224</v>
      </c>
      <c r="AO1437">
        <v>466</v>
      </c>
      <c r="AP1437">
        <v>2016</v>
      </c>
      <c r="AQ1437">
        <v>1.74</v>
      </c>
      <c r="AS1437" t="s">
        <v>18542</v>
      </c>
      <c r="AT1437" t="s">
        <v>3210</v>
      </c>
      <c r="AU1437" t="s">
        <v>177</v>
      </c>
      <c r="AV1437" t="s">
        <v>2334</v>
      </c>
      <c r="AW1437" t="s">
        <v>182</v>
      </c>
      <c r="AX1437">
        <v>2</v>
      </c>
      <c r="AY1437" t="s">
        <v>188</v>
      </c>
      <c r="AZ1437" t="s">
        <v>189</v>
      </c>
      <c r="BA1437" t="s">
        <v>190</v>
      </c>
      <c r="BB1437" t="s">
        <v>191</v>
      </c>
      <c r="BC1437" t="s">
        <v>182</v>
      </c>
      <c r="BD1437" t="s">
        <v>182</v>
      </c>
      <c r="BE1437" t="s">
        <v>6523</v>
      </c>
      <c r="BF1437">
        <v>1</v>
      </c>
      <c r="BG1437">
        <v>1</v>
      </c>
      <c r="BH1437">
        <v>1983</v>
      </c>
      <c r="BI1437" t="s">
        <v>5981</v>
      </c>
      <c r="BJ1437" t="s">
        <v>194</v>
      </c>
      <c r="BK1437" t="s">
        <v>195</v>
      </c>
      <c r="BL1437" t="s">
        <v>938</v>
      </c>
      <c r="BM1437" t="s">
        <v>273</v>
      </c>
      <c r="BN1437" t="s">
        <v>182</v>
      </c>
      <c r="BO1437" t="s">
        <v>2328</v>
      </c>
      <c r="BP1437" t="s">
        <v>12355</v>
      </c>
      <c r="BS1437" t="s">
        <v>13740</v>
      </c>
      <c r="BT1437" t="s">
        <v>198</v>
      </c>
      <c r="BU1437" t="s">
        <v>182</v>
      </c>
      <c r="BV1437" t="s">
        <v>198</v>
      </c>
      <c r="BW1437" t="s">
        <v>198</v>
      </c>
      <c r="BX1437" t="s">
        <v>199</v>
      </c>
      <c r="BY1437" t="s">
        <v>198</v>
      </c>
      <c r="BZ1437" t="s">
        <v>199</v>
      </c>
      <c r="CA1437" t="s">
        <v>199</v>
      </c>
      <c r="CB1437" t="s">
        <v>18543</v>
      </c>
      <c r="CC1437" t="s">
        <v>201</v>
      </c>
      <c r="CD1437" t="s">
        <v>202</v>
      </c>
      <c r="CE1437" t="s">
        <v>18544</v>
      </c>
      <c r="CF1437" t="s">
        <v>5331</v>
      </c>
      <c r="CG1437" t="s">
        <v>177</v>
      </c>
      <c r="CH1437" t="s">
        <v>5332</v>
      </c>
      <c r="CI1437" t="s">
        <v>18545</v>
      </c>
      <c r="CJ1437" t="s">
        <v>18546</v>
      </c>
      <c r="CK1437" t="s">
        <v>292</v>
      </c>
      <c r="CL1437" t="s">
        <v>293</v>
      </c>
      <c r="CM1437" t="s">
        <v>18547</v>
      </c>
      <c r="CN1437" t="s">
        <v>482</v>
      </c>
      <c r="CO1437" t="s">
        <v>183</v>
      </c>
      <c r="CP1437" t="s">
        <v>211</v>
      </c>
      <c r="CQ1437" t="s">
        <v>270</v>
      </c>
      <c r="CS1437" t="s">
        <v>9664</v>
      </c>
      <c r="CT1437" t="s">
        <v>14484</v>
      </c>
      <c r="CU1437" t="s">
        <v>267</v>
      </c>
      <c r="CV1437" t="s">
        <v>268</v>
      </c>
      <c r="CW1437" t="s">
        <v>18548</v>
      </c>
      <c r="CX1437" t="s">
        <v>511</v>
      </c>
      <c r="CY1437" t="s">
        <v>183</v>
      </c>
      <c r="CZ1437" t="s">
        <v>211</v>
      </c>
      <c r="DA1437" t="s">
        <v>337</v>
      </c>
      <c r="DC1437" t="s">
        <v>9664</v>
      </c>
      <c r="DD1437" t="s">
        <v>18549</v>
      </c>
      <c r="DE1437" t="s">
        <v>302</v>
      </c>
      <c r="DF1437" t="s">
        <v>303</v>
      </c>
      <c r="DG1437" t="s">
        <v>18550</v>
      </c>
      <c r="DH1437" t="s">
        <v>235</v>
      </c>
      <c r="DI1437" t="s">
        <v>183</v>
      </c>
      <c r="DJ1437" t="s">
        <v>211</v>
      </c>
      <c r="DK1437" t="s">
        <v>250</v>
      </c>
      <c r="DM1437" t="s">
        <v>18177</v>
      </c>
      <c r="DN1437" t="s">
        <v>18551</v>
      </c>
      <c r="DO1437" t="s">
        <v>238</v>
      </c>
      <c r="DP1437" t="s">
        <v>239</v>
      </c>
      <c r="DQ1437" t="s">
        <v>18552</v>
      </c>
      <c r="DR1437" t="s">
        <v>247</v>
      </c>
      <c r="DS1437" t="s">
        <v>183</v>
      </c>
      <c r="DT1437" t="s">
        <v>211</v>
      </c>
      <c r="DU1437" t="s">
        <v>487</v>
      </c>
      <c r="DW1437" t="s">
        <v>18177</v>
      </c>
      <c r="DX1437" t="s">
        <v>18553</v>
      </c>
      <c r="DY1437" t="s">
        <v>346</v>
      </c>
      <c r="DZ1437" t="s">
        <v>347</v>
      </c>
      <c r="EA1437" t="s">
        <v>18554</v>
      </c>
      <c r="EB1437" t="s">
        <v>278</v>
      </c>
      <c r="EC1437" t="s">
        <v>183</v>
      </c>
      <c r="ED1437" t="s">
        <v>211</v>
      </c>
      <c r="EE1437" t="s">
        <v>298</v>
      </c>
      <c r="EG1437" t="s">
        <v>1136</v>
      </c>
      <c r="EH1437" t="s">
        <v>18555</v>
      </c>
      <c r="EI1437" t="s">
        <v>207</v>
      </c>
      <c r="EJ1437" t="s">
        <v>208</v>
      </c>
      <c r="EK1437" t="s">
        <v>18556</v>
      </c>
      <c r="EL1437" t="s">
        <v>1966</v>
      </c>
      <c r="EM1437" t="s">
        <v>183</v>
      </c>
      <c r="EN1437" t="s">
        <v>211</v>
      </c>
      <c r="EO1437" t="s">
        <v>345</v>
      </c>
      <c r="EQ1437" t="s">
        <v>1355</v>
      </c>
      <c r="FA1437" t="s">
        <v>198</v>
      </c>
      <c r="FK1437" t="s">
        <v>198</v>
      </c>
      <c r="FU1437" t="s">
        <v>198</v>
      </c>
    </row>
    <row r="1438" spans="1:177">
      <c r="A1438" s="1" t="str">
        <f>HYPERLINK("http://digipan.lumentumllc.com/apps/getLink/index.php?t=PropLink&amp;p=5248644","PL")</f>
        <v>PL</v>
      </c>
      <c r="B1438" s="1" t="str">
        <f>HYPERLINK("http://digipan.lumentumllc.com/apps/getLink/index.php?t=TaxLink&amp;p=5248644","TL")</f>
        <v>TL</v>
      </c>
      <c r="C1438" s="1" t="str">
        <f>HYPERLINK("http://digipan.lumentumllc.com/apps/getMap/index.php?p=5248644","Map")</f>
        <v>Map</v>
      </c>
      <c r="E1438" t="s">
        <v>177</v>
      </c>
      <c r="F1438" t="s">
        <v>178</v>
      </c>
      <c r="L1438" t="s">
        <v>18557</v>
      </c>
      <c r="N1438" t="s">
        <v>18557</v>
      </c>
      <c r="O1438" t="s">
        <v>18557</v>
      </c>
      <c r="P1438" t="s">
        <v>18558</v>
      </c>
      <c r="Q1438" t="s">
        <v>18557</v>
      </c>
      <c r="V1438">
        <v>1646</v>
      </c>
      <c r="W1438">
        <v>6</v>
      </c>
      <c r="X1438">
        <v>2017</v>
      </c>
      <c r="Y1438">
        <v>2018</v>
      </c>
      <c r="Z1438">
        <v>482.25</v>
      </c>
      <c r="AB1438" t="s">
        <v>181</v>
      </c>
      <c r="AC1438" t="s">
        <v>182</v>
      </c>
      <c r="AD1438" t="s">
        <v>183</v>
      </c>
      <c r="AE1438">
        <v>7</v>
      </c>
      <c r="AF1438">
        <v>0</v>
      </c>
      <c r="AG1438" t="s">
        <v>1038</v>
      </c>
      <c r="AH1438">
        <v>0</v>
      </c>
      <c r="AI1438">
        <v>3031.89</v>
      </c>
      <c r="AJ1438">
        <v>969.3</v>
      </c>
      <c r="AK1438">
        <v>4001.19</v>
      </c>
      <c r="AL1438">
        <v>27500</v>
      </c>
      <c r="AM1438">
        <v>20000</v>
      </c>
      <c r="AN1438">
        <v>7500</v>
      </c>
      <c r="AO1438">
        <v>384</v>
      </c>
      <c r="AP1438">
        <v>2016</v>
      </c>
      <c r="AQ1438">
        <v>1.75</v>
      </c>
      <c r="AR1438">
        <v>14.55</v>
      </c>
      <c r="AS1438" t="s">
        <v>18559</v>
      </c>
      <c r="AT1438" t="s">
        <v>3210</v>
      </c>
      <c r="AU1438" t="s">
        <v>177</v>
      </c>
      <c r="AV1438" t="s">
        <v>2334</v>
      </c>
      <c r="AW1438" t="s">
        <v>182</v>
      </c>
      <c r="AX1438">
        <v>0</v>
      </c>
      <c r="AY1438" t="s">
        <v>312</v>
      </c>
      <c r="AZ1438" t="s">
        <v>199</v>
      </c>
      <c r="BA1438" t="s">
        <v>313</v>
      </c>
      <c r="BB1438" t="s">
        <v>191</v>
      </c>
      <c r="BC1438" t="s">
        <v>182</v>
      </c>
      <c r="BD1438" t="s">
        <v>182</v>
      </c>
      <c r="BE1438" t="s">
        <v>6523</v>
      </c>
      <c r="BF1438">
        <v>1</v>
      </c>
      <c r="BG1438">
        <v>0</v>
      </c>
      <c r="BH1438">
        <v>0</v>
      </c>
      <c r="BI1438" t="s">
        <v>199</v>
      </c>
      <c r="BJ1438" t="s">
        <v>248</v>
      </c>
      <c r="BL1438" t="s">
        <v>18560</v>
      </c>
      <c r="BM1438" t="s">
        <v>207</v>
      </c>
      <c r="BN1438" t="s">
        <v>182</v>
      </c>
      <c r="BO1438" t="s">
        <v>198</v>
      </c>
      <c r="BP1438" t="s">
        <v>198</v>
      </c>
      <c r="BQ1438" t="s">
        <v>198</v>
      </c>
      <c r="BR1438" t="s">
        <v>198</v>
      </c>
      <c r="BS1438" t="s">
        <v>198</v>
      </c>
      <c r="BT1438" t="s">
        <v>198</v>
      </c>
      <c r="BU1438" t="s">
        <v>182</v>
      </c>
      <c r="BV1438" t="s">
        <v>198</v>
      </c>
      <c r="BW1438" t="s">
        <v>198</v>
      </c>
      <c r="BX1438" t="s">
        <v>199</v>
      </c>
      <c r="BY1438" t="s">
        <v>198</v>
      </c>
      <c r="BZ1438" t="s">
        <v>199</v>
      </c>
      <c r="CA1438" t="s">
        <v>199</v>
      </c>
      <c r="CB1438" t="s">
        <v>18561</v>
      </c>
      <c r="CC1438" t="s">
        <v>201</v>
      </c>
      <c r="CD1438" t="s">
        <v>182</v>
      </c>
      <c r="CE1438" t="s">
        <v>11005</v>
      </c>
      <c r="CF1438" t="s">
        <v>11006</v>
      </c>
      <c r="CG1438" t="s">
        <v>177</v>
      </c>
      <c r="CH1438" t="s">
        <v>11007</v>
      </c>
      <c r="CI1438" t="s">
        <v>18562</v>
      </c>
      <c r="CJ1438" t="s">
        <v>13481</v>
      </c>
      <c r="CK1438" t="s">
        <v>232</v>
      </c>
      <c r="CL1438" t="s">
        <v>233</v>
      </c>
      <c r="CM1438" t="s">
        <v>5636</v>
      </c>
      <c r="CN1438" t="s">
        <v>486</v>
      </c>
      <c r="CO1438" t="s">
        <v>183</v>
      </c>
      <c r="CP1438" t="s">
        <v>266</v>
      </c>
      <c r="CS1438" t="s">
        <v>198</v>
      </c>
      <c r="CT1438" t="s">
        <v>15857</v>
      </c>
      <c r="CU1438" t="s">
        <v>292</v>
      </c>
      <c r="CV1438" t="s">
        <v>293</v>
      </c>
      <c r="CW1438" t="s">
        <v>18563</v>
      </c>
      <c r="CX1438" t="s">
        <v>482</v>
      </c>
      <c r="CY1438" t="s">
        <v>183</v>
      </c>
      <c r="CZ1438" t="s">
        <v>266</v>
      </c>
      <c r="DC1438" t="s">
        <v>198</v>
      </c>
      <c r="DD1438" t="s">
        <v>16408</v>
      </c>
      <c r="DE1438" t="s">
        <v>267</v>
      </c>
      <c r="DF1438" t="s">
        <v>268</v>
      </c>
      <c r="DG1438" t="s">
        <v>18564</v>
      </c>
      <c r="DH1438" t="s">
        <v>482</v>
      </c>
      <c r="DI1438" t="s">
        <v>183</v>
      </c>
      <c r="DJ1438" t="s">
        <v>266</v>
      </c>
      <c r="DM1438" t="s">
        <v>198</v>
      </c>
      <c r="DN1438" t="s">
        <v>786</v>
      </c>
      <c r="DO1438" t="s">
        <v>273</v>
      </c>
      <c r="DP1438" t="s">
        <v>274</v>
      </c>
      <c r="DQ1438" t="s">
        <v>18565</v>
      </c>
      <c r="DR1438" t="s">
        <v>235</v>
      </c>
      <c r="DS1438" t="s">
        <v>183</v>
      </c>
      <c r="DT1438" t="s">
        <v>266</v>
      </c>
      <c r="DW1438" t="s">
        <v>198</v>
      </c>
      <c r="DX1438" t="s">
        <v>15561</v>
      </c>
      <c r="DY1438" t="s">
        <v>302</v>
      </c>
      <c r="DZ1438" t="s">
        <v>303</v>
      </c>
      <c r="EA1438" t="s">
        <v>18566</v>
      </c>
      <c r="EB1438" t="s">
        <v>278</v>
      </c>
      <c r="EC1438" t="s">
        <v>183</v>
      </c>
      <c r="ED1438" t="s">
        <v>266</v>
      </c>
      <c r="EG1438" t="s">
        <v>198</v>
      </c>
      <c r="EH1438" t="s">
        <v>18567</v>
      </c>
      <c r="EI1438" t="s">
        <v>238</v>
      </c>
      <c r="EJ1438" t="s">
        <v>239</v>
      </c>
      <c r="EK1438" t="s">
        <v>18568</v>
      </c>
      <c r="EL1438" t="s">
        <v>278</v>
      </c>
      <c r="EM1438" t="s">
        <v>183</v>
      </c>
      <c r="EN1438" t="s">
        <v>266</v>
      </c>
      <c r="EQ1438" t="s">
        <v>198</v>
      </c>
      <c r="ER1438" t="s">
        <v>18569</v>
      </c>
      <c r="ES1438" t="s">
        <v>346</v>
      </c>
      <c r="ET1438" t="s">
        <v>347</v>
      </c>
      <c r="EU1438" t="s">
        <v>18570</v>
      </c>
      <c r="EV1438" t="s">
        <v>278</v>
      </c>
      <c r="EW1438" t="s">
        <v>183</v>
      </c>
      <c r="EX1438" t="s">
        <v>266</v>
      </c>
      <c r="FA1438" t="s">
        <v>198</v>
      </c>
      <c r="FK1438" t="s">
        <v>198</v>
      </c>
      <c r="FU1438" t="s">
        <v>198</v>
      </c>
    </row>
    <row r="1439" spans="1:177">
      <c r="A1439" s="1" t="str">
        <f>HYPERLINK("http://digipan.lumentumllc.com/apps/getLink/index.php?t=PropLink&amp;p=15764495","PL")</f>
        <v>PL</v>
      </c>
      <c r="B1439" s="1" t="str">
        <f>HYPERLINK("http://digipan.lumentumllc.com/apps/getLink/index.php?t=TaxLink&amp;p=15764495","TL")</f>
        <v>TL</v>
      </c>
      <c r="C1439" s="1" t="str">
        <f>HYPERLINK("http://digipan.lumentumllc.com/apps/getMap/index.php?p=15764495","Map")</f>
        <v>Map</v>
      </c>
      <c r="E1439" t="s">
        <v>177</v>
      </c>
      <c r="F1439" t="s">
        <v>178</v>
      </c>
      <c r="L1439" t="s">
        <v>18571</v>
      </c>
      <c r="N1439" t="s">
        <v>18571</v>
      </c>
      <c r="O1439" t="s">
        <v>18571</v>
      </c>
      <c r="Q1439" t="s">
        <v>18571</v>
      </c>
      <c r="V1439">
        <v>1648</v>
      </c>
      <c r="W1439">
        <v>6</v>
      </c>
      <c r="X1439">
        <v>2017</v>
      </c>
      <c r="Y1439">
        <v>2018</v>
      </c>
      <c r="Z1439">
        <v>565.49</v>
      </c>
      <c r="AG1439" t="s">
        <v>184</v>
      </c>
      <c r="AH1439">
        <v>0</v>
      </c>
      <c r="AK1439">
        <v>0</v>
      </c>
      <c r="AL1439">
        <v>32584</v>
      </c>
      <c r="AM1439">
        <v>25000</v>
      </c>
      <c r="AN1439">
        <v>7584</v>
      </c>
      <c r="AO1439">
        <v>501</v>
      </c>
      <c r="AP1439">
        <v>2016</v>
      </c>
      <c r="AQ1439">
        <v>1.74</v>
      </c>
      <c r="AS1439" t="s">
        <v>18572</v>
      </c>
      <c r="AT1439" t="s">
        <v>3210</v>
      </c>
      <c r="AU1439" t="s">
        <v>177</v>
      </c>
      <c r="AV1439" t="s">
        <v>2334</v>
      </c>
      <c r="AW1439" t="s">
        <v>182</v>
      </c>
      <c r="AX1439">
        <v>2</v>
      </c>
      <c r="AY1439" t="s">
        <v>188</v>
      </c>
      <c r="AZ1439" t="s">
        <v>189</v>
      </c>
      <c r="BA1439" t="s">
        <v>190</v>
      </c>
      <c r="BB1439" t="s">
        <v>191</v>
      </c>
      <c r="BC1439" t="s">
        <v>182</v>
      </c>
      <c r="BD1439" t="s">
        <v>182</v>
      </c>
      <c r="BE1439" t="s">
        <v>383</v>
      </c>
      <c r="BF1439">
        <v>1</v>
      </c>
      <c r="BG1439">
        <v>1</v>
      </c>
      <c r="BH1439">
        <v>1982</v>
      </c>
      <c r="BI1439" t="s">
        <v>4122</v>
      </c>
      <c r="BJ1439" t="s">
        <v>194</v>
      </c>
      <c r="BK1439" t="s">
        <v>195</v>
      </c>
      <c r="BL1439" t="s">
        <v>4302</v>
      </c>
      <c r="BM1439" t="s">
        <v>267</v>
      </c>
      <c r="BN1439" t="s">
        <v>182</v>
      </c>
      <c r="BO1439" t="s">
        <v>2986</v>
      </c>
      <c r="BP1439" t="s">
        <v>11037</v>
      </c>
      <c r="BQ1439" t="s">
        <v>603</v>
      </c>
      <c r="BR1439" t="s">
        <v>1897</v>
      </c>
      <c r="BS1439" t="s">
        <v>198</v>
      </c>
      <c r="BT1439" t="s">
        <v>18573</v>
      </c>
      <c r="BU1439" t="s">
        <v>182</v>
      </c>
      <c r="BV1439" t="s">
        <v>198</v>
      </c>
      <c r="BW1439" t="s">
        <v>198</v>
      </c>
      <c r="BX1439" t="s">
        <v>199</v>
      </c>
      <c r="BY1439" t="s">
        <v>198</v>
      </c>
      <c r="BZ1439" t="s">
        <v>199</v>
      </c>
      <c r="CA1439" t="s">
        <v>199</v>
      </c>
      <c r="CB1439" t="s">
        <v>18574</v>
      </c>
      <c r="CC1439" t="s">
        <v>201</v>
      </c>
      <c r="CD1439" t="s">
        <v>182</v>
      </c>
      <c r="CE1439" t="s">
        <v>18575</v>
      </c>
      <c r="CF1439" t="s">
        <v>2333</v>
      </c>
      <c r="CG1439" t="s">
        <v>177</v>
      </c>
      <c r="CH1439" t="s">
        <v>2334</v>
      </c>
      <c r="CI1439" t="s">
        <v>18576</v>
      </c>
      <c r="CS1439" t="s">
        <v>198</v>
      </c>
      <c r="DC1439" t="s">
        <v>198</v>
      </c>
      <c r="DM1439" t="s">
        <v>198</v>
      </c>
      <c r="DW1439" t="s">
        <v>198</v>
      </c>
      <c r="EG1439" t="s">
        <v>198</v>
      </c>
      <c r="EQ1439" t="s">
        <v>198</v>
      </c>
      <c r="FA1439" t="s">
        <v>198</v>
      </c>
      <c r="FK1439" t="s">
        <v>198</v>
      </c>
      <c r="FU1439" t="s">
        <v>198</v>
      </c>
    </row>
    <row r="1440" spans="1:177">
      <c r="A1440" s="1" t="str">
        <f>HYPERLINK("http://digipan.lumentumllc.com/apps/getLink/index.php?t=PropLink&amp;p=4638885","PL")</f>
        <v>PL</v>
      </c>
      <c r="B1440" s="1" t="str">
        <f>HYPERLINK("http://digipan.lumentumllc.com/apps/getLink/index.php?t=TaxLink&amp;p=4638885","TL")</f>
        <v>TL</v>
      </c>
      <c r="C1440" s="1" t="str">
        <f>HYPERLINK("http://digipan.lumentumllc.com/apps/getMap/index.php?p=4638885","Map")</f>
        <v>Map</v>
      </c>
      <c r="E1440" t="s">
        <v>177</v>
      </c>
      <c r="F1440" t="s">
        <v>178</v>
      </c>
      <c r="L1440" t="s">
        <v>18577</v>
      </c>
      <c r="N1440" t="s">
        <v>18577</v>
      </c>
      <c r="O1440" t="s">
        <v>18577</v>
      </c>
      <c r="P1440" t="s">
        <v>18578</v>
      </c>
      <c r="Q1440" t="s">
        <v>18577</v>
      </c>
      <c r="V1440">
        <v>1649</v>
      </c>
      <c r="W1440">
        <v>6</v>
      </c>
      <c r="X1440">
        <v>2017</v>
      </c>
      <c r="Y1440">
        <v>2018</v>
      </c>
      <c r="Z1440">
        <v>689.59</v>
      </c>
      <c r="AB1440" t="s">
        <v>181</v>
      </c>
      <c r="AC1440" t="s">
        <v>182</v>
      </c>
      <c r="AD1440" t="s">
        <v>183</v>
      </c>
      <c r="AE1440">
        <v>1</v>
      </c>
      <c r="AF1440">
        <v>1</v>
      </c>
      <c r="AG1440" t="s">
        <v>2222</v>
      </c>
      <c r="AH1440">
        <v>50</v>
      </c>
      <c r="AI1440">
        <v>614.30999999999995</v>
      </c>
      <c r="AJ1440">
        <v>30.72</v>
      </c>
      <c r="AK1440">
        <v>645.03</v>
      </c>
      <c r="AL1440">
        <v>41783</v>
      </c>
      <c r="AM1440">
        <v>25000</v>
      </c>
      <c r="AN1440">
        <v>16783</v>
      </c>
      <c r="AO1440">
        <v>543</v>
      </c>
      <c r="AP1440">
        <v>2016</v>
      </c>
      <c r="AQ1440">
        <v>1.65</v>
      </c>
      <c r="AR1440">
        <v>1.54</v>
      </c>
      <c r="AS1440" t="s">
        <v>18579</v>
      </c>
      <c r="AT1440" t="s">
        <v>3210</v>
      </c>
      <c r="AU1440" t="s">
        <v>177</v>
      </c>
      <c r="AV1440" t="s">
        <v>2334</v>
      </c>
      <c r="AW1440" t="s">
        <v>182</v>
      </c>
      <c r="AX1440">
        <v>2</v>
      </c>
      <c r="AY1440" t="s">
        <v>188</v>
      </c>
      <c r="AZ1440" t="s">
        <v>189</v>
      </c>
      <c r="BA1440" t="s">
        <v>190</v>
      </c>
      <c r="BB1440" t="s">
        <v>191</v>
      </c>
      <c r="BC1440" t="s">
        <v>182</v>
      </c>
      <c r="BD1440" t="s">
        <v>182</v>
      </c>
      <c r="BE1440" t="s">
        <v>383</v>
      </c>
      <c r="BF1440">
        <v>1</v>
      </c>
      <c r="BG1440">
        <v>1</v>
      </c>
      <c r="BH1440">
        <v>1993</v>
      </c>
      <c r="BI1440" t="s">
        <v>3824</v>
      </c>
      <c r="BJ1440" t="s">
        <v>194</v>
      </c>
      <c r="BK1440" t="s">
        <v>195</v>
      </c>
      <c r="BL1440" t="s">
        <v>199</v>
      </c>
      <c r="BM1440" t="s">
        <v>679</v>
      </c>
      <c r="BN1440" t="s">
        <v>182</v>
      </c>
      <c r="BO1440" t="s">
        <v>198</v>
      </c>
      <c r="BP1440" t="s">
        <v>198</v>
      </c>
      <c r="BQ1440" t="s">
        <v>198</v>
      </c>
      <c r="BR1440" t="s">
        <v>198</v>
      </c>
      <c r="BS1440" t="s">
        <v>198</v>
      </c>
      <c r="BT1440" t="s">
        <v>198</v>
      </c>
      <c r="BU1440" t="s">
        <v>182</v>
      </c>
      <c r="BV1440" t="s">
        <v>198</v>
      </c>
      <c r="BW1440" t="s">
        <v>198</v>
      </c>
      <c r="BX1440" t="s">
        <v>199</v>
      </c>
      <c r="BY1440" t="s">
        <v>198</v>
      </c>
      <c r="BZ1440" t="s">
        <v>199</v>
      </c>
      <c r="CA1440" t="s">
        <v>199</v>
      </c>
      <c r="CB1440" t="s">
        <v>18580</v>
      </c>
      <c r="CC1440" t="s">
        <v>201</v>
      </c>
      <c r="CD1440" t="s">
        <v>182</v>
      </c>
      <c r="CE1440" t="s">
        <v>18581</v>
      </c>
      <c r="CF1440" t="s">
        <v>2333</v>
      </c>
      <c r="CG1440" t="s">
        <v>177</v>
      </c>
      <c r="CH1440" t="s">
        <v>2334</v>
      </c>
      <c r="CI1440" t="s">
        <v>18582</v>
      </c>
      <c r="CJ1440" t="s">
        <v>13486</v>
      </c>
      <c r="CK1440" t="s">
        <v>232</v>
      </c>
      <c r="CL1440" t="s">
        <v>233</v>
      </c>
      <c r="CM1440" t="s">
        <v>18583</v>
      </c>
      <c r="CN1440" t="s">
        <v>235</v>
      </c>
      <c r="CO1440" t="s">
        <v>183</v>
      </c>
      <c r="CP1440" t="s">
        <v>266</v>
      </c>
      <c r="CS1440" t="s">
        <v>198</v>
      </c>
      <c r="CT1440" t="s">
        <v>4134</v>
      </c>
      <c r="CU1440" t="s">
        <v>292</v>
      </c>
      <c r="CV1440" t="s">
        <v>293</v>
      </c>
      <c r="CW1440" t="s">
        <v>18584</v>
      </c>
      <c r="CX1440" t="s">
        <v>235</v>
      </c>
      <c r="CY1440" t="s">
        <v>183</v>
      </c>
      <c r="CZ1440" t="s">
        <v>211</v>
      </c>
      <c r="DA1440" t="s">
        <v>444</v>
      </c>
      <c r="DC1440" t="s">
        <v>12244</v>
      </c>
      <c r="DM1440" t="s">
        <v>198</v>
      </c>
      <c r="DW1440" t="s">
        <v>198</v>
      </c>
      <c r="EG1440" t="s">
        <v>198</v>
      </c>
      <c r="EQ1440" t="s">
        <v>198</v>
      </c>
      <c r="FA1440" t="s">
        <v>198</v>
      </c>
      <c r="FK1440" t="s">
        <v>198</v>
      </c>
      <c r="FU1440" t="s">
        <v>198</v>
      </c>
    </row>
    <row r="1441" spans="1:177">
      <c r="A1441" s="1" t="str">
        <f>HYPERLINK("http://digipan.lumentumllc.com/apps/getLink/index.php?t=PropLink&amp;p=5248656","PL")</f>
        <v>PL</v>
      </c>
      <c r="B1441" s="1" t="str">
        <f>HYPERLINK("http://digipan.lumentumllc.com/apps/getLink/index.php?t=TaxLink&amp;p=5248656","TL")</f>
        <v>TL</v>
      </c>
      <c r="C1441" s="1" t="str">
        <f>HYPERLINK("http://digipan.lumentumllc.com/apps/getMap/index.php?p=5248656","Map")</f>
        <v>Map</v>
      </c>
      <c r="E1441" t="s">
        <v>177</v>
      </c>
      <c r="F1441" t="s">
        <v>178</v>
      </c>
      <c r="L1441" t="s">
        <v>18585</v>
      </c>
      <c r="N1441" t="s">
        <v>18585</v>
      </c>
      <c r="O1441" t="s">
        <v>18585</v>
      </c>
      <c r="P1441" t="s">
        <v>18586</v>
      </c>
      <c r="Q1441" t="s">
        <v>18585</v>
      </c>
      <c r="V1441">
        <v>1650</v>
      </c>
      <c r="W1441">
        <v>6</v>
      </c>
      <c r="X1441">
        <v>2017</v>
      </c>
      <c r="Y1441">
        <v>2018</v>
      </c>
      <c r="Z1441">
        <v>1016.9</v>
      </c>
      <c r="AB1441" t="s">
        <v>181</v>
      </c>
      <c r="AC1441" t="s">
        <v>182</v>
      </c>
      <c r="AD1441" t="s">
        <v>183</v>
      </c>
      <c r="AE1441">
        <v>1</v>
      </c>
      <c r="AF1441">
        <v>0</v>
      </c>
      <c r="AG1441" t="s">
        <v>1200</v>
      </c>
      <c r="AH1441">
        <v>0</v>
      </c>
      <c r="AI1441">
        <v>1034.98</v>
      </c>
      <c r="AJ1441">
        <v>51.75</v>
      </c>
      <c r="AK1441">
        <v>1086.73</v>
      </c>
      <c r="AL1441">
        <v>60156</v>
      </c>
      <c r="AM1441">
        <v>25000</v>
      </c>
      <c r="AN1441">
        <v>35156</v>
      </c>
      <c r="AO1441">
        <v>932</v>
      </c>
      <c r="AP1441">
        <v>2016</v>
      </c>
      <c r="AQ1441">
        <v>1.69</v>
      </c>
      <c r="AR1441">
        <v>1.81</v>
      </c>
      <c r="AS1441" t="s">
        <v>18587</v>
      </c>
      <c r="AT1441" t="s">
        <v>3210</v>
      </c>
      <c r="AU1441" t="s">
        <v>177</v>
      </c>
      <c r="AV1441" t="s">
        <v>2334</v>
      </c>
      <c r="AW1441" t="s">
        <v>182</v>
      </c>
      <c r="AX1441">
        <v>2</v>
      </c>
      <c r="AY1441" t="s">
        <v>188</v>
      </c>
      <c r="AZ1441" t="s">
        <v>189</v>
      </c>
      <c r="BA1441" t="s">
        <v>190</v>
      </c>
      <c r="BB1441" t="s">
        <v>191</v>
      </c>
      <c r="BC1441" t="s">
        <v>182</v>
      </c>
      <c r="BD1441" t="s">
        <v>182</v>
      </c>
      <c r="BE1441" t="s">
        <v>383</v>
      </c>
      <c r="BF1441">
        <v>1</v>
      </c>
      <c r="BG1441">
        <v>1</v>
      </c>
      <c r="BH1441">
        <v>1978</v>
      </c>
      <c r="BI1441" t="s">
        <v>14935</v>
      </c>
      <c r="BJ1441" t="s">
        <v>194</v>
      </c>
      <c r="BK1441" t="s">
        <v>195</v>
      </c>
      <c r="BL1441" t="s">
        <v>764</v>
      </c>
      <c r="BM1441" t="s">
        <v>559</v>
      </c>
      <c r="BN1441" t="s">
        <v>182</v>
      </c>
      <c r="BO1441" t="s">
        <v>18588</v>
      </c>
      <c r="BP1441" t="s">
        <v>1574</v>
      </c>
      <c r="BQ1441" t="s">
        <v>226</v>
      </c>
      <c r="BR1441" t="s">
        <v>227</v>
      </c>
      <c r="BS1441" t="s">
        <v>18589</v>
      </c>
      <c r="BT1441" t="s">
        <v>18590</v>
      </c>
      <c r="BU1441" t="s">
        <v>182</v>
      </c>
      <c r="BV1441" t="s">
        <v>198</v>
      </c>
      <c r="BW1441" t="s">
        <v>198</v>
      </c>
      <c r="BX1441" t="s">
        <v>199</v>
      </c>
      <c r="BY1441" t="s">
        <v>198</v>
      </c>
      <c r="BZ1441" t="s">
        <v>199</v>
      </c>
      <c r="CA1441" t="s">
        <v>199</v>
      </c>
      <c r="CB1441" t="s">
        <v>18591</v>
      </c>
      <c r="CC1441" t="s">
        <v>201</v>
      </c>
      <c r="CD1441" t="s">
        <v>182</v>
      </c>
      <c r="CE1441" t="s">
        <v>18592</v>
      </c>
      <c r="CF1441" t="s">
        <v>2333</v>
      </c>
      <c r="CG1441" t="s">
        <v>177</v>
      </c>
      <c r="CH1441" t="s">
        <v>2334</v>
      </c>
      <c r="CI1441" t="s">
        <v>18593</v>
      </c>
      <c r="CJ1441" t="s">
        <v>13514</v>
      </c>
      <c r="CK1441" t="s">
        <v>232</v>
      </c>
      <c r="CL1441" t="s">
        <v>233</v>
      </c>
      <c r="CM1441" t="s">
        <v>18594</v>
      </c>
      <c r="CN1441" t="s">
        <v>235</v>
      </c>
      <c r="CO1441" t="s">
        <v>183</v>
      </c>
      <c r="CP1441" t="s">
        <v>266</v>
      </c>
      <c r="CS1441" t="s">
        <v>198</v>
      </c>
      <c r="DC1441" t="s">
        <v>198</v>
      </c>
      <c r="DM1441" t="s">
        <v>198</v>
      </c>
      <c r="DW1441" t="s">
        <v>198</v>
      </c>
      <c r="EG1441" t="s">
        <v>198</v>
      </c>
      <c r="EQ1441" t="s">
        <v>198</v>
      </c>
      <c r="FA1441" t="s">
        <v>198</v>
      </c>
      <c r="FK1441" t="s">
        <v>198</v>
      </c>
      <c r="FU1441" t="s">
        <v>198</v>
      </c>
    </row>
    <row r="1442" spans="1:177">
      <c r="A1442" s="1" t="str">
        <f>HYPERLINK("http://digipan.lumentumllc.com/apps/getLink/index.php?t=PropLink&amp;p=15764505","PL")</f>
        <v>PL</v>
      </c>
      <c r="B1442" s="1" t="str">
        <f>HYPERLINK("http://digipan.lumentumllc.com/apps/getLink/index.php?t=TaxLink&amp;p=15764505","TL")</f>
        <v>TL</v>
      </c>
      <c r="C1442" s="1" t="str">
        <f>HYPERLINK("http://digipan.lumentumllc.com/apps/getMap/index.php?p=15764505","Map")</f>
        <v>Map</v>
      </c>
      <c r="E1442" t="s">
        <v>177</v>
      </c>
      <c r="F1442" t="s">
        <v>178</v>
      </c>
      <c r="L1442" t="s">
        <v>18595</v>
      </c>
      <c r="N1442" t="s">
        <v>18595</v>
      </c>
      <c r="O1442" t="s">
        <v>18595</v>
      </c>
      <c r="Q1442" t="s">
        <v>18595</v>
      </c>
      <c r="V1442">
        <v>1651</v>
      </c>
      <c r="W1442">
        <v>6</v>
      </c>
      <c r="X1442">
        <v>2017</v>
      </c>
      <c r="Y1442">
        <v>2018</v>
      </c>
      <c r="Z1442">
        <v>253.83</v>
      </c>
      <c r="AG1442" t="s">
        <v>184</v>
      </c>
      <c r="AH1442">
        <v>0</v>
      </c>
      <c r="AK1442">
        <v>0</v>
      </c>
      <c r="AL1442">
        <v>45204</v>
      </c>
      <c r="AM1442">
        <v>25000</v>
      </c>
      <c r="AN1442">
        <v>20204</v>
      </c>
      <c r="AO1442">
        <v>196</v>
      </c>
      <c r="AP1442">
        <v>2016</v>
      </c>
      <c r="AQ1442">
        <v>0.56000000000000005</v>
      </c>
      <c r="AS1442" t="s">
        <v>18596</v>
      </c>
      <c r="AT1442" t="s">
        <v>3210</v>
      </c>
      <c r="AU1442" t="s">
        <v>177</v>
      </c>
      <c r="AV1442" t="s">
        <v>2334</v>
      </c>
      <c r="AW1442" t="s">
        <v>202</v>
      </c>
      <c r="AX1442">
        <v>2</v>
      </c>
      <c r="AY1442" t="s">
        <v>188</v>
      </c>
      <c r="AZ1442" t="s">
        <v>189</v>
      </c>
      <c r="BA1442" t="s">
        <v>190</v>
      </c>
      <c r="BB1442" t="s">
        <v>191</v>
      </c>
      <c r="BC1442" t="s">
        <v>182</v>
      </c>
      <c r="BD1442" t="s">
        <v>182</v>
      </c>
      <c r="BE1442" t="s">
        <v>383</v>
      </c>
      <c r="BF1442">
        <v>1</v>
      </c>
      <c r="BG1442">
        <v>1</v>
      </c>
      <c r="BH1442">
        <v>1974</v>
      </c>
      <c r="BI1442" t="s">
        <v>17466</v>
      </c>
      <c r="BJ1442" t="s">
        <v>194</v>
      </c>
      <c r="BK1442" t="s">
        <v>195</v>
      </c>
      <c r="BL1442" t="s">
        <v>4273</v>
      </c>
      <c r="BM1442" t="s">
        <v>1825</v>
      </c>
      <c r="BN1442" t="s">
        <v>182</v>
      </c>
      <c r="BO1442" t="s">
        <v>18597</v>
      </c>
      <c r="BP1442" t="s">
        <v>18598</v>
      </c>
      <c r="BQ1442" t="s">
        <v>904</v>
      </c>
      <c r="BR1442" t="s">
        <v>3108</v>
      </c>
      <c r="BS1442" t="s">
        <v>198</v>
      </c>
      <c r="BT1442" t="s">
        <v>18599</v>
      </c>
      <c r="BU1442" t="s">
        <v>182</v>
      </c>
      <c r="BV1442" t="s">
        <v>198</v>
      </c>
      <c r="BW1442" t="s">
        <v>198</v>
      </c>
      <c r="BX1442" t="s">
        <v>199</v>
      </c>
      <c r="BY1442" t="s">
        <v>198</v>
      </c>
      <c r="BZ1442" t="s">
        <v>199</v>
      </c>
      <c r="CA1442" t="s">
        <v>199</v>
      </c>
      <c r="CB1442" t="s">
        <v>18600</v>
      </c>
      <c r="CC1442" t="s">
        <v>201</v>
      </c>
      <c r="CD1442" t="s">
        <v>182</v>
      </c>
      <c r="CE1442" t="s">
        <v>18601</v>
      </c>
      <c r="CF1442" t="s">
        <v>2333</v>
      </c>
      <c r="CG1442" t="s">
        <v>177</v>
      </c>
      <c r="CH1442" t="s">
        <v>2334</v>
      </c>
      <c r="CI1442" t="s">
        <v>18602</v>
      </c>
      <c r="CS1442" t="s">
        <v>198</v>
      </c>
      <c r="DC1442" t="s">
        <v>198</v>
      </c>
      <c r="DM1442" t="s">
        <v>198</v>
      </c>
      <c r="DW1442" t="s">
        <v>198</v>
      </c>
      <c r="EG1442" t="s">
        <v>198</v>
      </c>
      <c r="EQ1442" t="s">
        <v>198</v>
      </c>
      <c r="FA1442" t="s">
        <v>198</v>
      </c>
      <c r="FK1442" t="s">
        <v>198</v>
      </c>
      <c r="FU1442" t="s">
        <v>198</v>
      </c>
    </row>
    <row r="1443" spans="1:177">
      <c r="A1443" s="1" t="str">
        <f>HYPERLINK("http://digipan.lumentumllc.com/apps/getLink/index.php?t=PropLink&amp;p=5248660","PL")</f>
        <v>PL</v>
      </c>
      <c r="B1443" s="1" t="str">
        <f>HYPERLINK("http://digipan.lumentumllc.com/apps/getLink/index.php?t=TaxLink&amp;p=5248660","TL")</f>
        <v>TL</v>
      </c>
      <c r="C1443" s="1" t="str">
        <f>HYPERLINK("http://digipan.lumentumllc.com/apps/getMap/index.php?p=5248660","Map")</f>
        <v>Map</v>
      </c>
      <c r="E1443" t="s">
        <v>177</v>
      </c>
      <c r="F1443" t="s">
        <v>178</v>
      </c>
      <c r="L1443" t="s">
        <v>18603</v>
      </c>
      <c r="N1443" t="s">
        <v>18603</v>
      </c>
      <c r="O1443" t="s">
        <v>18603</v>
      </c>
      <c r="P1443" t="s">
        <v>18604</v>
      </c>
      <c r="Q1443" t="s">
        <v>18603</v>
      </c>
      <c r="V1443">
        <v>1652</v>
      </c>
      <c r="W1443">
        <v>6</v>
      </c>
      <c r="X1443">
        <v>2017</v>
      </c>
      <c r="Y1443">
        <v>2018</v>
      </c>
      <c r="Z1443">
        <v>943</v>
      </c>
      <c r="AB1443" t="s">
        <v>181</v>
      </c>
      <c r="AC1443" t="s">
        <v>182</v>
      </c>
      <c r="AD1443" t="s">
        <v>183</v>
      </c>
      <c r="AE1443">
        <v>0</v>
      </c>
      <c r="AF1443">
        <v>4</v>
      </c>
      <c r="AG1443" t="s">
        <v>744</v>
      </c>
      <c r="AH1443">
        <v>100</v>
      </c>
      <c r="AK1443">
        <v>0</v>
      </c>
      <c r="AL1443">
        <v>55642</v>
      </c>
      <c r="AM1443">
        <v>25000</v>
      </c>
      <c r="AN1443">
        <v>30642</v>
      </c>
      <c r="AO1443">
        <v>860</v>
      </c>
      <c r="AP1443">
        <v>2016</v>
      </c>
      <c r="AQ1443">
        <v>1.69</v>
      </c>
      <c r="AS1443" t="s">
        <v>18605</v>
      </c>
      <c r="AT1443" t="s">
        <v>3210</v>
      </c>
      <c r="AU1443" t="s">
        <v>177</v>
      </c>
      <c r="AV1443" t="s">
        <v>2334</v>
      </c>
      <c r="AW1443" t="s">
        <v>182</v>
      </c>
      <c r="AX1443">
        <v>2</v>
      </c>
      <c r="AY1443" t="s">
        <v>188</v>
      </c>
      <c r="AZ1443" t="s">
        <v>189</v>
      </c>
      <c r="BA1443" t="s">
        <v>190</v>
      </c>
      <c r="BB1443" t="s">
        <v>191</v>
      </c>
      <c r="BC1443" t="s">
        <v>182</v>
      </c>
      <c r="BD1443" t="s">
        <v>182</v>
      </c>
      <c r="BE1443" t="s">
        <v>899</v>
      </c>
      <c r="BF1443">
        <v>1</v>
      </c>
      <c r="BG1443">
        <v>1</v>
      </c>
      <c r="BH1443">
        <v>1984</v>
      </c>
      <c r="BI1443" t="s">
        <v>14824</v>
      </c>
      <c r="BJ1443" t="s">
        <v>194</v>
      </c>
      <c r="BK1443" t="s">
        <v>195</v>
      </c>
      <c r="BL1443" t="s">
        <v>9514</v>
      </c>
      <c r="BM1443" t="s">
        <v>1414</v>
      </c>
      <c r="BN1443" t="s">
        <v>182</v>
      </c>
      <c r="BO1443" t="s">
        <v>198</v>
      </c>
      <c r="BP1443" t="s">
        <v>198</v>
      </c>
      <c r="BQ1443" t="s">
        <v>198</v>
      </c>
      <c r="BR1443" t="s">
        <v>198</v>
      </c>
      <c r="BS1443" t="s">
        <v>198</v>
      </c>
      <c r="BT1443" t="s">
        <v>198</v>
      </c>
      <c r="BU1443" t="s">
        <v>182</v>
      </c>
      <c r="BV1443" t="s">
        <v>198</v>
      </c>
      <c r="BW1443" t="s">
        <v>198</v>
      </c>
      <c r="BX1443" t="s">
        <v>199</v>
      </c>
      <c r="BY1443" t="s">
        <v>198</v>
      </c>
      <c r="BZ1443" t="s">
        <v>199</v>
      </c>
      <c r="CA1443" t="s">
        <v>199</v>
      </c>
      <c r="CB1443" t="s">
        <v>18606</v>
      </c>
      <c r="CC1443" t="s">
        <v>201</v>
      </c>
      <c r="CD1443" t="s">
        <v>182</v>
      </c>
      <c r="CE1443" t="s">
        <v>18607</v>
      </c>
      <c r="CF1443" t="s">
        <v>18608</v>
      </c>
      <c r="CG1443" t="s">
        <v>1602</v>
      </c>
      <c r="CH1443" t="s">
        <v>18609</v>
      </c>
      <c r="CI1443" t="s">
        <v>18610</v>
      </c>
      <c r="CJ1443" t="s">
        <v>17016</v>
      </c>
      <c r="CK1443" t="s">
        <v>292</v>
      </c>
      <c r="CL1443" t="s">
        <v>293</v>
      </c>
      <c r="CM1443" t="s">
        <v>18611</v>
      </c>
      <c r="CN1443" t="s">
        <v>235</v>
      </c>
      <c r="CO1443" t="s">
        <v>183</v>
      </c>
      <c r="CP1443" t="s">
        <v>211</v>
      </c>
      <c r="CQ1443" t="s">
        <v>342</v>
      </c>
      <c r="CS1443" t="s">
        <v>10007</v>
      </c>
      <c r="CT1443" t="s">
        <v>17421</v>
      </c>
      <c r="CU1443" t="s">
        <v>267</v>
      </c>
      <c r="CV1443" t="s">
        <v>268</v>
      </c>
      <c r="CW1443" t="s">
        <v>18612</v>
      </c>
      <c r="CX1443" t="s">
        <v>235</v>
      </c>
      <c r="CY1443" t="s">
        <v>183</v>
      </c>
      <c r="CZ1443" t="s">
        <v>211</v>
      </c>
      <c r="DA1443" t="s">
        <v>298</v>
      </c>
      <c r="DC1443" t="s">
        <v>5806</v>
      </c>
      <c r="DD1443" t="s">
        <v>8594</v>
      </c>
      <c r="DE1443" t="s">
        <v>273</v>
      </c>
      <c r="DF1443" t="s">
        <v>274</v>
      </c>
      <c r="DG1443" t="s">
        <v>17695</v>
      </c>
      <c r="DH1443" t="s">
        <v>235</v>
      </c>
      <c r="DI1443" t="s">
        <v>183</v>
      </c>
      <c r="DJ1443" t="s">
        <v>211</v>
      </c>
      <c r="DK1443" t="s">
        <v>298</v>
      </c>
      <c r="DM1443" t="s">
        <v>1069</v>
      </c>
      <c r="DN1443" t="s">
        <v>18613</v>
      </c>
      <c r="DO1443" t="s">
        <v>346</v>
      </c>
      <c r="DP1443" t="s">
        <v>347</v>
      </c>
      <c r="DQ1443" t="s">
        <v>18614</v>
      </c>
      <c r="DR1443" t="s">
        <v>278</v>
      </c>
      <c r="DS1443" t="s">
        <v>183</v>
      </c>
      <c r="DT1443" t="s">
        <v>211</v>
      </c>
      <c r="DU1443" t="s">
        <v>345</v>
      </c>
      <c r="DW1443" t="s">
        <v>3226</v>
      </c>
      <c r="EG1443" t="s">
        <v>198</v>
      </c>
      <c r="EQ1443" t="s">
        <v>198</v>
      </c>
      <c r="FA1443" t="s">
        <v>198</v>
      </c>
      <c r="FK1443" t="s">
        <v>198</v>
      </c>
      <c r="FU1443" t="s">
        <v>198</v>
      </c>
    </row>
    <row r="1444" spans="1:177">
      <c r="A1444" s="1" t="str">
        <f>HYPERLINK("http://digipan.lumentumllc.com/apps/getLink/index.php?t=PropLink&amp;p=5248662","PL")</f>
        <v>PL</v>
      </c>
      <c r="B1444" s="1" t="str">
        <f>HYPERLINK("http://digipan.lumentumllc.com/apps/getLink/index.php?t=TaxLink&amp;p=5248662","TL")</f>
        <v>TL</v>
      </c>
      <c r="C1444" s="1" t="str">
        <f>HYPERLINK("http://digipan.lumentumllc.com/apps/getMap/index.php?p=5248662","Map")</f>
        <v>Map</v>
      </c>
      <c r="E1444" t="s">
        <v>177</v>
      </c>
      <c r="F1444" t="s">
        <v>178</v>
      </c>
      <c r="L1444" t="s">
        <v>18615</v>
      </c>
      <c r="N1444" t="s">
        <v>18615</v>
      </c>
      <c r="O1444" t="s">
        <v>18615</v>
      </c>
      <c r="P1444" t="s">
        <v>18616</v>
      </c>
      <c r="Q1444" t="s">
        <v>18615</v>
      </c>
      <c r="V1444">
        <v>1653</v>
      </c>
      <c r="W1444">
        <v>6</v>
      </c>
      <c r="X1444">
        <v>2017</v>
      </c>
      <c r="Y1444">
        <v>2018</v>
      </c>
      <c r="Z1444">
        <v>585.20000000000005</v>
      </c>
      <c r="AB1444" t="s">
        <v>181</v>
      </c>
      <c r="AC1444" t="s">
        <v>182</v>
      </c>
      <c r="AD1444" t="s">
        <v>183</v>
      </c>
      <c r="AE1444">
        <v>0</v>
      </c>
      <c r="AF1444">
        <v>3</v>
      </c>
      <c r="AG1444" t="s">
        <v>381</v>
      </c>
      <c r="AH1444">
        <v>100</v>
      </c>
      <c r="AK1444">
        <v>0</v>
      </c>
      <c r="AL1444">
        <v>83279</v>
      </c>
      <c r="AM1444">
        <v>25000</v>
      </c>
      <c r="AN1444">
        <v>58279</v>
      </c>
      <c r="AO1444">
        <v>511</v>
      </c>
      <c r="AP1444">
        <v>2016</v>
      </c>
      <c r="AQ1444">
        <v>0.7</v>
      </c>
      <c r="AS1444" t="s">
        <v>18617</v>
      </c>
      <c r="AT1444" t="s">
        <v>3210</v>
      </c>
      <c r="AU1444" t="s">
        <v>177</v>
      </c>
      <c r="AV1444" t="s">
        <v>2334</v>
      </c>
      <c r="AW1444" t="s">
        <v>202</v>
      </c>
      <c r="AX1444">
        <v>2</v>
      </c>
      <c r="AY1444" t="s">
        <v>188</v>
      </c>
      <c r="AZ1444" t="s">
        <v>189</v>
      </c>
      <c r="BA1444" t="s">
        <v>190</v>
      </c>
      <c r="BB1444" t="s">
        <v>191</v>
      </c>
      <c r="BC1444" t="s">
        <v>182</v>
      </c>
      <c r="BD1444" t="s">
        <v>182</v>
      </c>
      <c r="BE1444" t="s">
        <v>383</v>
      </c>
      <c r="BF1444">
        <v>1</v>
      </c>
      <c r="BG1444">
        <v>1</v>
      </c>
      <c r="BH1444">
        <v>1997</v>
      </c>
      <c r="BI1444" t="s">
        <v>1709</v>
      </c>
      <c r="BJ1444" t="s">
        <v>194</v>
      </c>
      <c r="BK1444" t="s">
        <v>195</v>
      </c>
      <c r="BL1444" t="s">
        <v>13795</v>
      </c>
      <c r="BM1444" t="s">
        <v>1779</v>
      </c>
      <c r="BN1444" t="s">
        <v>182</v>
      </c>
      <c r="BO1444" t="s">
        <v>198</v>
      </c>
      <c r="BP1444" t="s">
        <v>198</v>
      </c>
      <c r="BQ1444" t="s">
        <v>198</v>
      </c>
      <c r="BR1444" t="s">
        <v>198</v>
      </c>
      <c r="BS1444" t="s">
        <v>198</v>
      </c>
      <c r="BT1444" t="s">
        <v>198</v>
      </c>
      <c r="BU1444" t="s">
        <v>182</v>
      </c>
      <c r="BV1444" t="s">
        <v>198</v>
      </c>
      <c r="BW1444" t="s">
        <v>198</v>
      </c>
      <c r="BX1444" t="s">
        <v>199</v>
      </c>
      <c r="BY1444" t="s">
        <v>198</v>
      </c>
      <c r="BZ1444" t="s">
        <v>199</v>
      </c>
      <c r="CA1444" t="s">
        <v>199</v>
      </c>
      <c r="CB1444" t="s">
        <v>18618</v>
      </c>
      <c r="CC1444" t="s">
        <v>201</v>
      </c>
      <c r="CD1444" t="s">
        <v>182</v>
      </c>
      <c r="CE1444" t="s">
        <v>18619</v>
      </c>
      <c r="CF1444" t="s">
        <v>2333</v>
      </c>
      <c r="CG1444" t="s">
        <v>177</v>
      </c>
      <c r="CH1444" t="s">
        <v>2334</v>
      </c>
      <c r="CI1444" t="s">
        <v>18620</v>
      </c>
      <c r="CJ1444" t="s">
        <v>14022</v>
      </c>
      <c r="CK1444" t="s">
        <v>292</v>
      </c>
      <c r="CL1444" t="s">
        <v>293</v>
      </c>
      <c r="CM1444" t="s">
        <v>18621</v>
      </c>
      <c r="CN1444" t="s">
        <v>235</v>
      </c>
      <c r="CO1444" t="s">
        <v>183</v>
      </c>
      <c r="CP1444" t="s">
        <v>211</v>
      </c>
      <c r="CQ1444" t="s">
        <v>298</v>
      </c>
      <c r="CS1444" t="s">
        <v>457</v>
      </c>
      <c r="CT1444" t="s">
        <v>18622</v>
      </c>
      <c r="CU1444" t="s">
        <v>273</v>
      </c>
      <c r="CV1444" t="s">
        <v>274</v>
      </c>
      <c r="CW1444" t="s">
        <v>18623</v>
      </c>
      <c r="CX1444" t="s">
        <v>235</v>
      </c>
      <c r="CY1444" t="s">
        <v>183</v>
      </c>
      <c r="CZ1444" t="s">
        <v>211</v>
      </c>
      <c r="DA1444" t="s">
        <v>329</v>
      </c>
      <c r="DC1444" t="s">
        <v>1765</v>
      </c>
      <c r="DD1444" t="s">
        <v>18624</v>
      </c>
      <c r="DE1444" t="s">
        <v>346</v>
      </c>
      <c r="DF1444" t="s">
        <v>347</v>
      </c>
      <c r="DG1444" t="s">
        <v>18625</v>
      </c>
      <c r="DH1444" t="s">
        <v>278</v>
      </c>
      <c r="DI1444" t="s">
        <v>183</v>
      </c>
      <c r="DJ1444" t="s">
        <v>211</v>
      </c>
      <c r="DK1444" t="s">
        <v>250</v>
      </c>
      <c r="DM1444" t="s">
        <v>18626</v>
      </c>
      <c r="DW1444" t="s">
        <v>198</v>
      </c>
      <c r="EG1444" t="s">
        <v>198</v>
      </c>
      <c r="EQ1444" t="s">
        <v>198</v>
      </c>
      <c r="FA1444" t="s">
        <v>198</v>
      </c>
      <c r="FK1444" t="s">
        <v>198</v>
      </c>
      <c r="FU1444" t="s">
        <v>198</v>
      </c>
    </row>
    <row r="1445" spans="1:177">
      <c r="A1445" s="1" t="str">
        <f>HYPERLINK("http://digipan.lumentumllc.com/apps/getLink/index.php?t=PropLink&amp;p=5248663","PL")</f>
        <v>PL</v>
      </c>
      <c r="B1445" s="1" t="str">
        <f>HYPERLINK("http://digipan.lumentumllc.com/apps/getLink/index.php?t=TaxLink&amp;p=5248663","TL")</f>
        <v>TL</v>
      </c>
      <c r="C1445" s="1" t="str">
        <f>HYPERLINK("http://digipan.lumentumllc.com/apps/getMap/index.php?p=5248663","Map")</f>
        <v>Map</v>
      </c>
      <c r="E1445" t="s">
        <v>177</v>
      </c>
      <c r="F1445" t="s">
        <v>178</v>
      </c>
      <c r="L1445" t="s">
        <v>18627</v>
      </c>
      <c r="N1445" t="s">
        <v>18627</v>
      </c>
      <c r="O1445" t="s">
        <v>18627</v>
      </c>
      <c r="P1445" t="s">
        <v>18628</v>
      </c>
      <c r="Q1445" t="s">
        <v>18627</v>
      </c>
      <c r="V1445">
        <v>1654</v>
      </c>
      <c r="W1445">
        <v>6</v>
      </c>
      <c r="X1445">
        <v>2017</v>
      </c>
      <c r="Y1445">
        <v>2018</v>
      </c>
      <c r="Z1445">
        <v>486.32</v>
      </c>
      <c r="AB1445" t="s">
        <v>181</v>
      </c>
      <c r="AC1445" t="s">
        <v>182</v>
      </c>
      <c r="AD1445" t="s">
        <v>183</v>
      </c>
      <c r="AE1445">
        <v>1</v>
      </c>
      <c r="AF1445">
        <v>6</v>
      </c>
      <c r="AG1445" t="s">
        <v>418</v>
      </c>
      <c r="AH1445">
        <v>86</v>
      </c>
      <c r="AI1445">
        <v>480.51</v>
      </c>
      <c r="AJ1445">
        <v>24.03</v>
      </c>
      <c r="AK1445">
        <v>504.54</v>
      </c>
      <c r="AL1445">
        <v>69065</v>
      </c>
      <c r="AM1445">
        <v>25000</v>
      </c>
      <c r="AN1445">
        <v>44065</v>
      </c>
      <c r="AO1445">
        <v>419</v>
      </c>
      <c r="AP1445">
        <v>2016</v>
      </c>
      <c r="AQ1445">
        <v>0.7</v>
      </c>
      <c r="AR1445">
        <v>0.73</v>
      </c>
      <c r="AS1445" t="s">
        <v>18629</v>
      </c>
      <c r="AT1445" t="s">
        <v>3210</v>
      </c>
      <c r="AU1445" t="s">
        <v>177</v>
      </c>
      <c r="AV1445" t="s">
        <v>2334</v>
      </c>
      <c r="AW1445" t="s">
        <v>202</v>
      </c>
      <c r="AX1445">
        <v>2</v>
      </c>
      <c r="AY1445" t="s">
        <v>188</v>
      </c>
      <c r="AZ1445" t="s">
        <v>189</v>
      </c>
      <c r="BA1445" t="s">
        <v>190</v>
      </c>
      <c r="BB1445" t="s">
        <v>191</v>
      </c>
      <c r="BC1445" t="s">
        <v>182</v>
      </c>
      <c r="BD1445" t="s">
        <v>182</v>
      </c>
      <c r="BE1445" t="s">
        <v>383</v>
      </c>
      <c r="BF1445">
        <v>2</v>
      </c>
      <c r="BG1445">
        <v>2</v>
      </c>
      <c r="BH1445">
        <v>1971</v>
      </c>
      <c r="BI1445" t="s">
        <v>18630</v>
      </c>
      <c r="BJ1445" t="s">
        <v>194</v>
      </c>
      <c r="BK1445" t="s">
        <v>195</v>
      </c>
      <c r="BL1445" t="s">
        <v>4009</v>
      </c>
      <c r="BM1445" t="s">
        <v>302</v>
      </c>
      <c r="BN1445" t="s">
        <v>182</v>
      </c>
      <c r="BO1445" t="s">
        <v>198</v>
      </c>
      <c r="BP1445" t="s">
        <v>198</v>
      </c>
      <c r="BQ1445" t="s">
        <v>198</v>
      </c>
      <c r="BR1445" t="s">
        <v>198</v>
      </c>
      <c r="BS1445" t="s">
        <v>198</v>
      </c>
      <c r="BT1445" t="s">
        <v>198</v>
      </c>
      <c r="BU1445" t="s">
        <v>182</v>
      </c>
      <c r="BV1445" t="s">
        <v>198</v>
      </c>
      <c r="BW1445" t="s">
        <v>198</v>
      </c>
      <c r="BX1445" t="s">
        <v>199</v>
      </c>
      <c r="BY1445" t="s">
        <v>198</v>
      </c>
      <c r="BZ1445" t="s">
        <v>199</v>
      </c>
      <c r="CA1445" t="s">
        <v>199</v>
      </c>
      <c r="CB1445" t="s">
        <v>18631</v>
      </c>
      <c r="CC1445" t="s">
        <v>201</v>
      </c>
      <c r="CD1445" t="s">
        <v>202</v>
      </c>
      <c r="CE1445" t="s">
        <v>18632</v>
      </c>
      <c r="CF1445" t="s">
        <v>2333</v>
      </c>
      <c r="CG1445" t="s">
        <v>177</v>
      </c>
      <c r="CH1445" t="s">
        <v>2334</v>
      </c>
      <c r="CI1445" t="s">
        <v>18633</v>
      </c>
      <c r="CJ1445" t="s">
        <v>11069</v>
      </c>
      <c r="CK1445" t="s">
        <v>232</v>
      </c>
      <c r="CL1445" t="s">
        <v>233</v>
      </c>
      <c r="CM1445" t="s">
        <v>18634</v>
      </c>
      <c r="CN1445" t="s">
        <v>235</v>
      </c>
      <c r="CO1445" t="s">
        <v>183</v>
      </c>
      <c r="CP1445" t="s">
        <v>266</v>
      </c>
      <c r="CS1445" t="s">
        <v>198</v>
      </c>
      <c r="CT1445" t="s">
        <v>11340</v>
      </c>
      <c r="CU1445" t="s">
        <v>292</v>
      </c>
      <c r="CV1445" t="s">
        <v>293</v>
      </c>
      <c r="CW1445" t="s">
        <v>18635</v>
      </c>
      <c r="CX1445" t="s">
        <v>235</v>
      </c>
      <c r="CY1445" t="s">
        <v>183</v>
      </c>
      <c r="CZ1445" t="s">
        <v>211</v>
      </c>
      <c r="DA1445" t="s">
        <v>270</v>
      </c>
      <c r="DC1445" t="s">
        <v>18636</v>
      </c>
      <c r="DD1445" t="s">
        <v>17715</v>
      </c>
      <c r="DE1445" t="s">
        <v>267</v>
      </c>
      <c r="DF1445" t="s">
        <v>268</v>
      </c>
      <c r="DG1445" t="s">
        <v>18637</v>
      </c>
      <c r="DH1445" t="s">
        <v>235</v>
      </c>
      <c r="DI1445" t="s">
        <v>183</v>
      </c>
      <c r="DJ1445" t="s">
        <v>211</v>
      </c>
      <c r="DK1445" t="s">
        <v>298</v>
      </c>
      <c r="DM1445" t="s">
        <v>13155</v>
      </c>
      <c r="DN1445" t="s">
        <v>11109</v>
      </c>
      <c r="DO1445" t="s">
        <v>273</v>
      </c>
      <c r="DP1445" t="s">
        <v>274</v>
      </c>
      <c r="DQ1445" t="s">
        <v>18638</v>
      </c>
      <c r="DR1445" t="s">
        <v>235</v>
      </c>
      <c r="DS1445" t="s">
        <v>183</v>
      </c>
      <c r="DT1445" t="s">
        <v>211</v>
      </c>
      <c r="DU1445" t="s">
        <v>270</v>
      </c>
      <c r="DW1445" t="s">
        <v>18639</v>
      </c>
      <c r="DX1445" t="s">
        <v>18640</v>
      </c>
      <c r="DY1445" t="s">
        <v>302</v>
      </c>
      <c r="DZ1445" t="s">
        <v>303</v>
      </c>
      <c r="EA1445" t="s">
        <v>18641</v>
      </c>
      <c r="EB1445" t="s">
        <v>235</v>
      </c>
      <c r="EC1445" t="s">
        <v>183</v>
      </c>
      <c r="ED1445" t="s">
        <v>211</v>
      </c>
      <c r="EE1445" t="s">
        <v>298</v>
      </c>
      <c r="EG1445" t="s">
        <v>3499</v>
      </c>
      <c r="EH1445" t="s">
        <v>18642</v>
      </c>
      <c r="EI1445" t="s">
        <v>238</v>
      </c>
      <c r="EJ1445" t="s">
        <v>239</v>
      </c>
      <c r="EK1445" t="s">
        <v>18643</v>
      </c>
      <c r="EL1445" t="s">
        <v>440</v>
      </c>
      <c r="EM1445" t="s">
        <v>183</v>
      </c>
      <c r="EN1445" t="s">
        <v>211</v>
      </c>
      <c r="EO1445" t="s">
        <v>298</v>
      </c>
      <c r="EQ1445" t="s">
        <v>2904</v>
      </c>
      <c r="ER1445" t="s">
        <v>18644</v>
      </c>
      <c r="ES1445" t="s">
        <v>346</v>
      </c>
      <c r="ET1445" t="s">
        <v>347</v>
      </c>
      <c r="EU1445" t="s">
        <v>18645</v>
      </c>
      <c r="EV1445" t="s">
        <v>278</v>
      </c>
      <c r="EW1445" t="s">
        <v>183</v>
      </c>
      <c r="EX1445" t="s">
        <v>211</v>
      </c>
      <c r="EY1445" t="s">
        <v>270</v>
      </c>
      <c r="FA1445" t="s">
        <v>10474</v>
      </c>
      <c r="FK1445" t="s">
        <v>198</v>
      </c>
      <c r="FU1445" t="s">
        <v>198</v>
      </c>
    </row>
    <row r="1446" spans="1:177">
      <c r="A1446" s="1" t="str">
        <f>HYPERLINK("http://digipan.lumentumllc.com/apps/getLink/index.php?t=PropLink&amp;p=15764525","PL")</f>
        <v>PL</v>
      </c>
      <c r="B1446" s="1" t="str">
        <f>HYPERLINK("http://digipan.lumentumllc.com/apps/getLink/index.php?t=TaxLink&amp;p=15764525","TL")</f>
        <v>TL</v>
      </c>
      <c r="C1446" s="1" t="str">
        <f>HYPERLINK("http://digipan.lumentumllc.com/apps/getMap/index.php?p=15764525","Map")</f>
        <v>Map</v>
      </c>
      <c r="E1446" t="s">
        <v>177</v>
      </c>
      <c r="F1446" t="s">
        <v>178</v>
      </c>
      <c r="L1446" t="s">
        <v>18646</v>
      </c>
      <c r="N1446" t="s">
        <v>18646</v>
      </c>
      <c r="O1446" t="s">
        <v>18646</v>
      </c>
      <c r="Q1446" t="s">
        <v>18646</v>
      </c>
      <c r="V1446">
        <v>1655</v>
      </c>
      <c r="W1446">
        <v>6</v>
      </c>
      <c r="X1446">
        <v>2017</v>
      </c>
      <c r="Y1446">
        <v>2018</v>
      </c>
      <c r="Z1446">
        <v>431.06</v>
      </c>
      <c r="AB1446" t="s">
        <v>181</v>
      </c>
      <c r="AC1446" t="s">
        <v>182</v>
      </c>
      <c r="AD1446" t="s">
        <v>183</v>
      </c>
      <c r="AE1446">
        <v>1</v>
      </c>
      <c r="AF1446">
        <v>0</v>
      </c>
      <c r="AG1446" t="s">
        <v>1200</v>
      </c>
      <c r="AH1446">
        <v>0</v>
      </c>
      <c r="AI1446">
        <v>422.92</v>
      </c>
      <c r="AJ1446">
        <v>21.15</v>
      </c>
      <c r="AK1446">
        <v>444.07</v>
      </c>
      <c r="AL1446">
        <v>56164</v>
      </c>
      <c r="AM1446">
        <v>25000</v>
      </c>
      <c r="AN1446">
        <v>31164</v>
      </c>
      <c r="AO1446">
        <v>366</v>
      </c>
      <c r="AP1446">
        <v>2016</v>
      </c>
      <c r="AQ1446">
        <v>0.77</v>
      </c>
      <c r="AR1446">
        <v>0.79</v>
      </c>
      <c r="AS1446" t="s">
        <v>18647</v>
      </c>
      <c r="AT1446" t="s">
        <v>3210</v>
      </c>
      <c r="AU1446" t="s">
        <v>177</v>
      </c>
      <c r="AV1446" t="s">
        <v>2334</v>
      </c>
      <c r="AW1446" t="s">
        <v>202</v>
      </c>
      <c r="AX1446">
        <v>2</v>
      </c>
      <c r="AY1446" t="s">
        <v>188</v>
      </c>
      <c r="AZ1446" t="s">
        <v>189</v>
      </c>
      <c r="BA1446" t="s">
        <v>190</v>
      </c>
      <c r="BB1446" t="s">
        <v>191</v>
      </c>
      <c r="BC1446" t="s">
        <v>182</v>
      </c>
      <c r="BD1446" t="s">
        <v>182</v>
      </c>
      <c r="BE1446" t="s">
        <v>383</v>
      </c>
      <c r="BF1446">
        <v>1</v>
      </c>
      <c r="BG1446">
        <v>1</v>
      </c>
      <c r="BH1446">
        <v>2000</v>
      </c>
      <c r="BI1446" t="s">
        <v>1271</v>
      </c>
      <c r="BJ1446" t="s">
        <v>194</v>
      </c>
      <c r="BK1446" t="s">
        <v>195</v>
      </c>
      <c r="BL1446" t="s">
        <v>7000</v>
      </c>
      <c r="BM1446" t="s">
        <v>4597</v>
      </c>
      <c r="BN1446" t="s">
        <v>182</v>
      </c>
      <c r="BO1446" t="s">
        <v>198</v>
      </c>
      <c r="BP1446" t="s">
        <v>198</v>
      </c>
      <c r="BQ1446" t="s">
        <v>198</v>
      </c>
      <c r="BR1446" t="s">
        <v>198</v>
      </c>
      <c r="BS1446" t="s">
        <v>198</v>
      </c>
      <c r="BT1446" t="s">
        <v>198</v>
      </c>
      <c r="BU1446" t="s">
        <v>182</v>
      </c>
      <c r="BV1446" t="s">
        <v>198</v>
      </c>
      <c r="BW1446" t="s">
        <v>198</v>
      </c>
      <c r="BX1446" t="s">
        <v>199</v>
      </c>
      <c r="BY1446" t="s">
        <v>198</v>
      </c>
      <c r="BZ1446" t="s">
        <v>199</v>
      </c>
      <c r="CA1446" t="s">
        <v>199</v>
      </c>
      <c r="CB1446" t="s">
        <v>18648</v>
      </c>
      <c r="CC1446" t="s">
        <v>201</v>
      </c>
      <c r="CD1446" t="s">
        <v>182</v>
      </c>
      <c r="CE1446" t="s">
        <v>18649</v>
      </c>
      <c r="CF1446" t="s">
        <v>2333</v>
      </c>
      <c r="CG1446" t="s">
        <v>177</v>
      </c>
      <c r="CH1446" t="s">
        <v>2334</v>
      </c>
      <c r="CI1446" t="s">
        <v>18650</v>
      </c>
      <c r="CJ1446" t="s">
        <v>11102</v>
      </c>
      <c r="CK1446" t="s">
        <v>232</v>
      </c>
      <c r="CL1446" t="s">
        <v>233</v>
      </c>
      <c r="CM1446" t="s">
        <v>18651</v>
      </c>
      <c r="CN1446" t="s">
        <v>235</v>
      </c>
      <c r="CO1446" t="s">
        <v>183</v>
      </c>
      <c r="CP1446" t="s">
        <v>266</v>
      </c>
      <c r="CS1446" t="s">
        <v>198</v>
      </c>
      <c r="DC1446" t="s">
        <v>198</v>
      </c>
      <c r="DM1446" t="s">
        <v>198</v>
      </c>
      <c r="DW1446" t="s">
        <v>198</v>
      </c>
      <c r="EG1446" t="s">
        <v>198</v>
      </c>
      <c r="EQ1446" t="s">
        <v>198</v>
      </c>
      <c r="FA1446" t="s">
        <v>198</v>
      </c>
      <c r="FK1446" t="s">
        <v>198</v>
      </c>
      <c r="FU1446" t="s">
        <v>198</v>
      </c>
    </row>
    <row r="1447" spans="1:177">
      <c r="A1447" s="1" t="str">
        <f>HYPERLINK("http://digipan.lumentumllc.com/apps/getLink/index.php?t=PropLink&amp;p=15764528","PL")</f>
        <v>PL</v>
      </c>
      <c r="B1447" s="1" t="str">
        <f>HYPERLINK("http://digipan.lumentumllc.com/apps/getLink/index.php?t=TaxLink&amp;p=15764528","TL")</f>
        <v>TL</v>
      </c>
      <c r="C1447" s="1" t="str">
        <f>HYPERLINK("http://digipan.lumentumllc.com/apps/getMap/index.php?p=15764528","Map")</f>
        <v>Map</v>
      </c>
      <c r="E1447" t="s">
        <v>177</v>
      </c>
      <c r="F1447" t="s">
        <v>178</v>
      </c>
      <c r="L1447" t="s">
        <v>18652</v>
      </c>
      <c r="N1447" t="s">
        <v>18652</v>
      </c>
      <c r="O1447" t="s">
        <v>18652</v>
      </c>
      <c r="Q1447" t="s">
        <v>18652</v>
      </c>
      <c r="V1447">
        <v>1656</v>
      </c>
      <c r="W1447">
        <v>6</v>
      </c>
      <c r="X1447">
        <v>2017</v>
      </c>
      <c r="Y1447">
        <v>2018</v>
      </c>
      <c r="Z1447">
        <v>635.27</v>
      </c>
      <c r="AG1447" t="s">
        <v>184</v>
      </c>
      <c r="AH1447">
        <v>0</v>
      </c>
      <c r="AK1447">
        <v>0</v>
      </c>
      <c r="AL1447">
        <v>36846</v>
      </c>
      <c r="AM1447">
        <v>25000</v>
      </c>
      <c r="AN1447">
        <v>11846</v>
      </c>
      <c r="AO1447">
        <v>584</v>
      </c>
      <c r="AP1447">
        <v>2016</v>
      </c>
      <c r="AQ1447">
        <v>1.72</v>
      </c>
      <c r="AS1447" t="s">
        <v>18653</v>
      </c>
      <c r="AT1447" t="s">
        <v>3210</v>
      </c>
      <c r="AU1447" t="s">
        <v>177</v>
      </c>
      <c r="AV1447" t="s">
        <v>2334</v>
      </c>
      <c r="AW1447" t="s">
        <v>182</v>
      </c>
      <c r="AX1447">
        <v>2</v>
      </c>
      <c r="AY1447" t="s">
        <v>188</v>
      </c>
      <c r="AZ1447" t="s">
        <v>189</v>
      </c>
      <c r="BA1447" t="s">
        <v>190</v>
      </c>
      <c r="BB1447" t="s">
        <v>191</v>
      </c>
      <c r="BC1447" t="s">
        <v>182</v>
      </c>
      <c r="BD1447" t="s">
        <v>182</v>
      </c>
      <c r="BE1447" t="s">
        <v>383</v>
      </c>
      <c r="BF1447">
        <v>1</v>
      </c>
      <c r="BG1447">
        <v>1</v>
      </c>
      <c r="BH1447">
        <v>1985</v>
      </c>
      <c r="BI1447" t="s">
        <v>10774</v>
      </c>
      <c r="BJ1447" t="s">
        <v>194</v>
      </c>
      <c r="BK1447" t="s">
        <v>195</v>
      </c>
      <c r="BL1447" t="s">
        <v>18654</v>
      </c>
      <c r="BM1447" t="s">
        <v>197</v>
      </c>
      <c r="BN1447" t="s">
        <v>182</v>
      </c>
      <c r="BO1447" t="s">
        <v>7615</v>
      </c>
      <c r="BP1447" t="s">
        <v>2911</v>
      </c>
      <c r="BQ1447" t="s">
        <v>800</v>
      </c>
      <c r="BR1447" t="s">
        <v>582</v>
      </c>
      <c r="BS1447" t="s">
        <v>198</v>
      </c>
      <c r="BT1447" t="s">
        <v>228</v>
      </c>
      <c r="BU1447" t="s">
        <v>182</v>
      </c>
      <c r="BV1447" t="s">
        <v>198</v>
      </c>
      <c r="BW1447" t="s">
        <v>198</v>
      </c>
      <c r="BX1447" t="s">
        <v>199</v>
      </c>
      <c r="BY1447" t="s">
        <v>198</v>
      </c>
      <c r="BZ1447" t="s">
        <v>199</v>
      </c>
      <c r="CA1447" t="s">
        <v>199</v>
      </c>
      <c r="CB1447" t="s">
        <v>18655</v>
      </c>
      <c r="CC1447" t="s">
        <v>201</v>
      </c>
      <c r="CD1447" t="s">
        <v>202</v>
      </c>
      <c r="CE1447" t="s">
        <v>18656</v>
      </c>
      <c r="CF1447" t="s">
        <v>2333</v>
      </c>
      <c r="CG1447" t="s">
        <v>177</v>
      </c>
      <c r="CH1447" t="s">
        <v>2334</v>
      </c>
      <c r="CI1447" t="s">
        <v>18657</v>
      </c>
      <c r="CS1447" t="s">
        <v>198</v>
      </c>
      <c r="DC1447" t="s">
        <v>198</v>
      </c>
      <c r="DM1447" t="s">
        <v>198</v>
      </c>
      <c r="DW1447" t="s">
        <v>198</v>
      </c>
      <c r="EG1447" t="s">
        <v>198</v>
      </c>
      <c r="EQ1447" t="s">
        <v>198</v>
      </c>
      <c r="FA1447" t="s">
        <v>198</v>
      </c>
      <c r="FK1447" t="s">
        <v>198</v>
      </c>
      <c r="FU1447" t="s">
        <v>198</v>
      </c>
    </row>
    <row r="1448" spans="1:177">
      <c r="A1448" s="1" t="str">
        <f>HYPERLINK("http://digipan.lumentumllc.com/apps/getLink/index.php?t=PropLink&amp;p=7112643","PL")</f>
        <v>PL</v>
      </c>
      <c r="B1448" s="1" t="str">
        <f>HYPERLINK("http://digipan.lumentumllc.com/apps/getLink/index.php?t=TaxLink&amp;p=7112643","TL")</f>
        <v>TL</v>
      </c>
      <c r="C1448" s="1" t="str">
        <f>HYPERLINK("http://digipan.lumentumllc.com/apps/getMap/index.php?p=7112643","Map")</f>
        <v>Map</v>
      </c>
      <c r="E1448" t="s">
        <v>177</v>
      </c>
      <c r="F1448" t="s">
        <v>178</v>
      </c>
      <c r="L1448" t="s">
        <v>18658</v>
      </c>
      <c r="N1448" t="s">
        <v>18658</v>
      </c>
      <c r="O1448" t="s">
        <v>18658</v>
      </c>
      <c r="P1448" t="s">
        <v>18659</v>
      </c>
      <c r="Q1448" t="s">
        <v>18658</v>
      </c>
      <c r="V1448">
        <v>1657</v>
      </c>
      <c r="W1448">
        <v>6</v>
      </c>
      <c r="X1448">
        <v>2017</v>
      </c>
      <c r="Y1448">
        <v>2018</v>
      </c>
      <c r="Z1448">
        <v>568.55999999999995</v>
      </c>
      <c r="AB1448" t="s">
        <v>181</v>
      </c>
      <c r="AC1448" t="s">
        <v>182</v>
      </c>
      <c r="AD1448" t="s">
        <v>183</v>
      </c>
      <c r="AE1448">
        <v>2</v>
      </c>
      <c r="AF1448">
        <v>0</v>
      </c>
      <c r="AG1448" t="s">
        <v>1737</v>
      </c>
      <c r="AH1448">
        <v>0</v>
      </c>
      <c r="AI1448">
        <v>1218.02</v>
      </c>
      <c r="AJ1448">
        <v>60.9</v>
      </c>
      <c r="AK1448">
        <v>1278.92</v>
      </c>
      <c r="AL1448">
        <v>32772</v>
      </c>
      <c r="AM1448">
        <v>25000</v>
      </c>
      <c r="AN1448">
        <v>7772</v>
      </c>
      <c r="AO1448">
        <v>534</v>
      </c>
      <c r="AP1448">
        <v>2016</v>
      </c>
      <c r="AQ1448">
        <v>1.73</v>
      </c>
      <c r="AR1448">
        <v>3.9</v>
      </c>
      <c r="AS1448" t="s">
        <v>18660</v>
      </c>
      <c r="AT1448" t="s">
        <v>3210</v>
      </c>
      <c r="AU1448" t="s">
        <v>177</v>
      </c>
      <c r="AV1448" t="s">
        <v>2334</v>
      </c>
      <c r="AW1448" t="s">
        <v>182</v>
      </c>
      <c r="AX1448">
        <v>2</v>
      </c>
      <c r="AY1448" t="s">
        <v>188</v>
      </c>
      <c r="AZ1448" t="s">
        <v>189</v>
      </c>
      <c r="BA1448" t="s">
        <v>190</v>
      </c>
      <c r="BB1448" t="s">
        <v>191</v>
      </c>
      <c r="BC1448" t="s">
        <v>182</v>
      </c>
      <c r="BD1448" t="s">
        <v>182</v>
      </c>
      <c r="BE1448" t="s">
        <v>7258</v>
      </c>
      <c r="BF1448">
        <v>1</v>
      </c>
      <c r="BG1448">
        <v>1</v>
      </c>
      <c r="BH1448">
        <v>1977</v>
      </c>
      <c r="BI1448" t="s">
        <v>2209</v>
      </c>
      <c r="BJ1448" t="s">
        <v>194</v>
      </c>
      <c r="BK1448" t="s">
        <v>195</v>
      </c>
      <c r="BL1448" t="s">
        <v>199</v>
      </c>
      <c r="BM1448" t="s">
        <v>346</v>
      </c>
      <c r="BN1448" t="s">
        <v>182</v>
      </c>
      <c r="BO1448" t="s">
        <v>198</v>
      </c>
      <c r="BP1448" t="s">
        <v>198</v>
      </c>
      <c r="BQ1448" t="s">
        <v>198</v>
      </c>
      <c r="BR1448" t="s">
        <v>198</v>
      </c>
      <c r="BS1448" t="s">
        <v>198</v>
      </c>
      <c r="BT1448" t="s">
        <v>198</v>
      </c>
      <c r="BU1448" t="s">
        <v>182</v>
      </c>
      <c r="BV1448" t="s">
        <v>198</v>
      </c>
      <c r="BW1448" t="s">
        <v>198</v>
      </c>
      <c r="BX1448" t="s">
        <v>199</v>
      </c>
      <c r="BY1448" t="s">
        <v>198</v>
      </c>
      <c r="BZ1448" t="s">
        <v>199</v>
      </c>
      <c r="CA1448" t="s">
        <v>199</v>
      </c>
      <c r="CB1448" t="s">
        <v>18661</v>
      </c>
      <c r="CC1448" t="s">
        <v>201</v>
      </c>
      <c r="CD1448" t="s">
        <v>202</v>
      </c>
      <c r="CE1448" t="s">
        <v>18662</v>
      </c>
      <c r="CF1448" t="s">
        <v>2333</v>
      </c>
      <c r="CG1448" t="s">
        <v>177</v>
      </c>
      <c r="CH1448" t="s">
        <v>2334</v>
      </c>
      <c r="CI1448" t="s">
        <v>18663</v>
      </c>
      <c r="CJ1448" t="s">
        <v>11126</v>
      </c>
      <c r="CK1448" t="s">
        <v>232</v>
      </c>
      <c r="CL1448" t="s">
        <v>233</v>
      </c>
      <c r="CM1448" t="s">
        <v>18664</v>
      </c>
      <c r="CN1448" t="s">
        <v>235</v>
      </c>
      <c r="CO1448" t="s">
        <v>183</v>
      </c>
      <c r="CP1448" t="s">
        <v>266</v>
      </c>
      <c r="CS1448" t="s">
        <v>198</v>
      </c>
      <c r="CT1448" t="s">
        <v>7376</v>
      </c>
      <c r="CU1448" t="s">
        <v>292</v>
      </c>
      <c r="CV1448" t="s">
        <v>293</v>
      </c>
      <c r="CW1448" t="s">
        <v>18665</v>
      </c>
      <c r="CX1448" t="s">
        <v>235</v>
      </c>
      <c r="CY1448" t="s">
        <v>183</v>
      </c>
      <c r="CZ1448" t="s">
        <v>266</v>
      </c>
      <c r="DC1448" t="s">
        <v>198</v>
      </c>
      <c r="DM1448" t="s">
        <v>198</v>
      </c>
      <c r="DW1448" t="s">
        <v>198</v>
      </c>
      <c r="EG1448" t="s">
        <v>198</v>
      </c>
      <c r="EQ1448" t="s">
        <v>198</v>
      </c>
      <c r="FA1448" t="s">
        <v>198</v>
      </c>
      <c r="FK1448" t="s">
        <v>198</v>
      </c>
      <c r="FU1448" t="s">
        <v>198</v>
      </c>
    </row>
    <row r="1449" spans="1:177">
      <c r="A1449" s="1" t="str">
        <f>HYPERLINK("http://digipan.lumentumllc.com/apps/getLink/index.php?t=PropLink&amp;p=5248669","PL")</f>
        <v>PL</v>
      </c>
      <c r="B1449" s="1" t="str">
        <f>HYPERLINK("http://digipan.lumentumllc.com/apps/getLink/index.php?t=TaxLink&amp;p=5248669","TL")</f>
        <v>TL</v>
      </c>
      <c r="C1449" s="1" t="str">
        <f>HYPERLINK("http://digipan.lumentumllc.com/apps/getMap/index.php?p=5248669","Map")</f>
        <v>Map</v>
      </c>
      <c r="E1449" t="s">
        <v>177</v>
      </c>
      <c r="F1449" t="s">
        <v>178</v>
      </c>
      <c r="L1449" t="s">
        <v>18666</v>
      </c>
      <c r="N1449" t="s">
        <v>18666</v>
      </c>
      <c r="O1449" t="s">
        <v>18666</v>
      </c>
      <c r="P1449" t="s">
        <v>18667</v>
      </c>
      <c r="Q1449" t="s">
        <v>18666</v>
      </c>
      <c r="V1449">
        <v>1660</v>
      </c>
      <c r="W1449">
        <v>6</v>
      </c>
      <c r="X1449">
        <v>2017</v>
      </c>
      <c r="Y1449">
        <v>2018</v>
      </c>
      <c r="Z1449">
        <v>564.12</v>
      </c>
      <c r="AB1449" t="s">
        <v>181</v>
      </c>
      <c r="AC1449" t="s">
        <v>202</v>
      </c>
      <c r="AD1449" t="s">
        <v>183</v>
      </c>
      <c r="AE1449">
        <v>1</v>
      </c>
      <c r="AF1449">
        <v>6</v>
      </c>
      <c r="AG1449" t="s">
        <v>322</v>
      </c>
      <c r="AH1449">
        <v>83</v>
      </c>
      <c r="AI1449">
        <v>525.07000000000005</v>
      </c>
      <c r="AJ1449">
        <v>28.88</v>
      </c>
      <c r="AK1449">
        <v>553.95000000000005</v>
      </c>
      <c r="AL1449">
        <v>32500</v>
      </c>
      <c r="AM1449">
        <v>25000</v>
      </c>
      <c r="AN1449">
        <v>7500</v>
      </c>
      <c r="AO1449">
        <v>461</v>
      </c>
      <c r="AP1449">
        <v>2016</v>
      </c>
      <c r="AQ1449">
        <v>1.74</v>
      </c>
      <c r="AR1449">
        <v>1.7</v>
      </c>
      <c r="AS1449" t="s">
        <v>18668</v>
      </c>
      <c r="AT1449" t="s">
        <v>3210</v>
      </c>
      <c r="AU1449" t="s">
        <v>177</v>
      </c>
      <c r="AV1449" t="s">
        <v>2334</v>
      </c>
      <c r="AW1449" t="s">
        <v>182</v>
      </c>
      <c r="AX1449">
        <v>0</v>
      </c>
      <c r="AY1449" t="s">
        <v>312</v>
      </c>
      <c r="AZ1449" t="s">
        <v>199</v>
      </c>
      <c r="BA1449" t="s">
        <v>313</v>
      </c>
      <c r="BB1449" t="s">
        <v>191</v>
      </c>
      <c r="BC1449" t="s">
        <v>182</v>
      </c>
      <c r="BD1449" t="s">
        <v>182</v>
      </c>
      <c r="BE1449" t="s">
        <v>383</v>
      </c>
      <c r="BF1449">
        <v>0</v>
      </c>
      <c r="BG1449">
        <v>0</v>
      </c>
      <c r="BH1449">
        <v>0</v>
      </c>
      <c r="BI1449" t="s">
        <v>199</v>
      </c>
      <c r="BJ1449" t="s">
        <v>248</v>
      </c>
      <c r="BL1449" t="s">
        <v>199</v>
      </c>
      <c r="BM1449" t="s">
        <v>2351</v>
      </c>
      <c r="BN1449" t="s">
        <v>182</v>
      </c>
      <c r="BO1449" t="s">
        <v>198</v>
      </c>
      <c r="BP1449" t="s">
        <v>198</v>
      </c>
      <c r="BQ1449" t="s">
        <v>198</v>
      </c>
      <c r="BR1449" t="s">
        <v>198</v>
      </c>
      <c r="BS1449" t="s">
        <v>198</v>
      </c>
      <c r="BT1449" t="s">
        <v>198</v>
      </c>
      <c r="BU1449" t="s">
        <v>182</v>
      </c>
      <c r="BV1449" t="s">
        <v>198</v>
      </c>
      <c r="BW1449" t="s">
        <v>198</v>
      </c>
      <c r="BX1449" t="s">
        <v>199</v>
      </c>
      <c r="BY1449" t="s">
        <v>198</v>
      </c>
      <c r="BZ1449" t="s">
        <v>199</v>
      </c>
      <c r="CA1449" t="s">
        <v>199</v>
      </c>
      <c r="CB1449" t="s">
        <v>18669</v>
      </c>
      <c r="CC1449" t="s">
        <v>201</v>
      </c>
      <c r="CD1449" t="s">
        <v>182</v>
      </c>
      <c r="CE1449" t="s">
        <v>18670</v>
      </c>
      <c r="CF1449" t="s">
        <v>2333</v>
      </c>
      <c r="CG1449" t="s">
        <v>177</v>
      </c>
      <c r="CH1449" t="s">
        <v>2334</v>
      </c>
      <c r="CI1449" t="s">
        <v>18671</v>
      </c>
      <c r="CJ1449" t="s">
        <v>5960</v>
      </c>
      <c r="CK1449" t="s">
        <v>232</v>
      </c>
      <c r="CL1449" t="s">
        <v>233</v>
      </c>
      <c r="CM1449" t="s">
        <v>5760</v>
      </c>
      <c r="CN1449" t="s">
        <v>1164</v>
      </c>
      <c r="CO1449" t="s">
        <v>183</v>
      </c>
      <c r="CP1449" t="s">
        <v>266</v>
      </c>
      <c r="CS1449" t="s">
        <v>198</v>
      </c>
      <c r="CT1449" t="s">
        <v>18672</v>
      </c>
      <c r="CU1449" t="s">
        <v>267</v>
      </c>
      <c r="CV1449" t="s">
        <v>268</v>
      </c>
      <c r="CW1449" t="s">
        <v>18673</v>
      </c>
      <c r="CX1449" t="s">
        <v>1341</v>
      </c>
      <c r="CY1449" t="s">
        <v>183</v>
      </c>
      <c r="CZ1449" t="s">
        <v>211</v>
      </c>
      <c r="DA1449" t="s">
        <v>199</v>
      </c>
      <c r="DB1449" t="s">
        <v>271</v>
      </c>
      <c r="DC1449" t="s">
        <v>604</v>
      </c>
      <c r="DD1449" t="s">
        <v>4166</v>
      </c>
      <c r="DE1449" t="s">
        <v>273</v>
      </c>
      <c r="DF1449" t="s">
        <v>274</v>
      </c>
      <c r="DG1449" t="s">
        <v>1548</v>
      </c>
      <c r="DH1449" t="s">
        <v>796</v>
      </c>
      <c r="DI1449" t="s">
        <v>183</v>
      </c>
      <c r="DJ1449" t="s">
        <v>211</v>
      </c>
      <c r="DK1449" t="s">
        <v>427</v>
      </c>
      <c r="DL1449" t="s">
        <v>271</v>
      </c>
      <c r="DM1449" t="s">
        <v>604</v>
      </c>
      <c r="DN1449" t="s">
        <v>11463</v>
      </c>
      <c r="DO1449" t="s">
        <v>302</v>
      </c>
      <c r="DP1449" t="s">
        <v>303</v>
      </c>
      <c r="DQ1449" t="s">
        <v>10990</v>
      </c>
      <c r="DR1449" t="s">
        <v>3342</v>
      </c>
      <c r="DS1449" t="s">
        <v>183</v>
      </c>
      <c r="DT1449" t="s">
        <v>211</v>
      </c>
      <c r="DV1449" t="s">
        <v>271</v>
      </c>
      <c r="DW1449" t="s">
        <v>198</v>
      </c>
      <c r="DX1449" t="s">
        <v>18674</v>
      </c>
      <c r="DY1449" t="s">
        <v>238</v>
      </c>
      <c r="DZ1449" t="s">
        <v>239</v>
      </c>
      <c r="EA1449" t="s">
        <v>10992</v>
      </c>
      <c r="EB1449" t="s">
        <v>278</v>
      </c>
      <c r="EC1449" t="s">
        <v>183</v>
      </c>
      <c r="ED1449" t="s">
        <v>211</v>
      </c>
      <c r="EE1449" t="s">
        <v>334</v>
      </c>
      <c r="EG1449" t="s">
        <v>18675</v>
      </c>
      <c r="EH1449" t="s">
        <v>12139</v>
      </c>
      <c r="EI1449" t="s">
        <v>346</v>
      </c>
      <c r="EJ1449" t="s">
        <v>347</v>
      </c>
      <c r="EK1449" t="s">
        <v>18676</v>
      </c>
      <c r="EL1449" t="s">
        <v>278</v>
      </c>
      <c r="EM1449" t="s">
        <v>183</v>
      </c>
      <c r="EN1449" t="s">
        <v>211</v>
      </c>
      <c r="EO1449" t="s">
        <v>633</v>
      </c>
      <c r="EQ1449" t="s">
        <v>5257</v>
      </c>
      <c r="ER1449" t="s">
        <v>18677</v>
      </c>
      <c r="ES1449" t="s">
        <v>207</v>
      </c>
      <c r="ET1449" t="s">
        <v>208</v>
      </c>
      <c r="EU1449" t="s">
        <v>18678</v>
      </c>
      <c r="EV1449" t="s">
        <v>1966</v>
      </c>
      <c r="EW1449" t="s">
        <v>183</v>
      </c>
      <c r="EX1449" t="s">
        <v>211</v>
      </c>
      <c r="EY1449" t="s">
        <v>298</v>
      </c>
      <c r="FA1449" t="s">
        <v>1381</v>
      </c>
      <c r="FK1449" t="s">
        <v>198</v>
      </c>
      <c r="FU1449" t="s">
        <v>198</v>
      </c>
    </row>
    <row r="1450" spans="1:177">
      <c r="A1450" s="1" t="str">
        <f>HYPERLINK("http://digipan.lumentumllc.com/apps/getLink/index.php?t=PropLink&amp;p=4638896","PL")</f>
        <v>PL</v>
      </c>
      <c r="B1450" s="1" t="str">
        <f>HYPERLINK("http://digipan.lumentumllc.com/apps/getLink/index.php?t=TaxLink&amp;p=4638896","TL")</f>
        <v>TL</v>
      </c>
      <c r="C1450" s="1" t="str">
        <f>HYPERLINK("http://digipan.lumentumllc.com/apps/getMap/index.php?p=4638896","Map")</f>
        <v>Map</v>
      </c>
      <c r="E1450" t="s">
        <v>177</v>
      </c>
      <c r="F1450" t="s">
        <v>178</v>
      </c>
      <c r="L1450" t="s">
        <v>18679</v>
      </c>
      <c r="N1450" t="s">
        <v>18679</v>
      </c>
      <c r="O1450" t="s">
        <v>18679</v>
      </c>
      <c r="P1450" t="s">
        <v>18680</v>
      </c>
      <c r="Q1450" t="s">
        <v>18679</v>
      </c>
      <c r="V1450">
        <v>1662</v>
      </c>
      <c r="W1450">
        <v>6</v>
      </c>
      <c r="X1450">
        <v>2017</v>
      </c>
      <c r="Y1450">
        <v>2018</v>
      </c>
      <c r="Z1450">
        <v>341.96</v>
      </c>
      <c r="AB1450" t="s">
        <v>181</v>
      </c>
      <c r="AC1450" t="s">
        <v>182</v>
      </c>
      <c r="AD1450" t="s">
        <v>183</v>
      </c>
      <c r="AE1450">
        <v>1</v>
      </c>
      <c r="AF1450">
        <v>4</v>
      </c>
      <c r="AG1450" t="s">
        <v>257</v>
      </c>
      <c r="AH1450">
        <v>75</v>
      </c>
      <c r="AI1450">
        <v>326.57</v>
      </c>
      <c r="AJ1450">
        <v>16.329999999999998</v>
      </c>
      <c r="AK1450">
        <v>342.9</v>
      </c>
      <c r="AL1450">
        <v>47349</v>
      </c>
      <c r="AM1450">
        <v>31250</v>
      </c>
      <c r="AN1450">
        <v>16099</v>
      </c>
      <c r="AO1450">
        <v>277</v>
      </c>
      <c r="AP1450">
        <v>2016</v>
      </c>
      <c r="AQ1450">
        <v>0.72</v>
      </c>
      <c r="AR1450">
        <v>0.72</v>
      </c>
      <c r="AS1450" t="s">
        <v>18681</v>
      </c>
      <c r="AT1450" t="s">
        <v>3210</v>
      </c>
      <c r="AU1450" t="s">
        <v>177</v>
      </c>
      <c r="AV1450" t="s">
        <v>2334</v>
      </c>
      <c r="AW1450" t="s">
        <v>202</v>
      </c>
      <c r="AX1450">
        <v>2</v>
      </c>
      <c r="AY1450" t="s">
        <v>188</v>
      </c>
      <c r="AZ1450" t="s">
        <v>189</v>
      </c>
      <c r="BA1450" t="s">
        <v>190</v>
      </c>
      <c r="BB1450" t="s">
        <v>191</v>
      </c>
      <c r="BC1450" t="s">
        <v>182</v>
      </c>
      <c r="BD1450" t="s">
        <v>182</v>
      </c>
      <c r="BE1450" t="s">
        <v>18682</v>
      </c>
      <c r="BF1450">
        <v>1</v>
      </c>
      <c r="BG1450">
        <v>1</v>
      </c>
      <c r="BH1450">
        <v>1981</v>
      </c>
      <c r="BI1450" t="s">
        <v>532</v>
      </c>
      <c r="BJ1450" t="s">
        <v>194</v>
      </c>
      <c r="BK1450" t="s">
        <v>195</v>
      </c>
      <c r="BL1450" t="s">
        <v>980</v>
      </c>
      <c r="BM1450" t="s">
        <v>981</v>
      </c>
      <c r="BN1450" t="s">
        <v>182</v>
      </c>
      <c r="BO1450" t="s">
        <v>198</v>
      </c>
      <c r="BP1450" t="s">
        <v>198</v>
      </c>
      <c r="BQ1450" t="s">
        <v>198</v>
      </c>
      <c r="BR1450" t="s">
        <v>198</v>
      </c>
      <c r="BS1450" t="s">
        <v>198</v>
      </c>
      <c r="BT1450" t="s">
        <v>198</v>
      </c>
      <c r="BU1450" t="s">
        <v>182</v>
      </c>
      <c r="BV1450" t="s">
        <v>198</v>
      </c>
      <c r="BW1450" t="s">
        <v>198</v>
      </c>
      <c r="BX1450" t="s">
        <v>199</v>
      </c>
      <c r="BY1450" t="s">
        <v>198</v>
      </c>
      <c r="BZ1450" t="s">
        <v>199</v>
      </c>
      <c r="CA1450" t="s">
        <v>199</v>
      </c>
      <c r="CB1450" t="s">
        <v>18683</v>
      </c>
      <c r="CC1450" t="s">
        <v>201</v>
      </c>
      <c r="CD1450" t="s">
        <v>182</v>
      </c>
      <c r="CE1450" t="s">
        <v>18684</v>
      </c>
      <c r="CF1450" t="s">
        <v>2333</v>
      </c>
      <c r="CG1450" t="s">
        <v>177</v>
      </c>
      <c r="CH1450" t="s">
        <v>2334</v>
      </c>
      <c r="CI1450" t="s">
        <v>18685</v>
      </c>
      <c r="CJ1450" t="s">
        <v>11273</v>
      </c>
      <c r="CK1450" t="s">
        <v>232</v>
      </c>
      <c r="CL1450" t="s">
        <v>233</v>
      </c>
      <c r="CM1450" t="s">
        <v>18686</v>
      </c>
      <c r="CN1450" t="s">
        <v>235</v>
      </c>
      <c r="CO1450" t="s">
        <v>183</v>
      </c>
      <c r="CP1450" t="s">
        <v>266</v>
      </c>
      <c r="CS1450" t="s">
        <v>198</v>
      </c>
      <c r="CT1450" t="s">
        <v>5043</v>
      </c>
      <c r="CU1450" t="s">
        <v>267</v>
      </c>
      <c r="CV1450" t="s">
        <v>268</v>
      </c>
      <c r="CW1450" t="s">
        <v>18687</v>
      </c>
      <c r="CX1450" t="s">
        <v>235</v>
      </c>
      <c r="CY1450" t="s">
        <v>183</v>
      </c>
      <c r="CZ1450" t="s">
        <v>211</v>
      </c>
      <c r="DA1450" t="s">
        <v>212</v>
      </c>
      <c r="DC1450" t="s">
        <v>18688</v>
      </c>
      <c r="DD1450" t="s">
        <v>18689</v>
      </c>
      <c r="DE1450" t="s">
        <v>273</v>
      </c>
      <c r="DF1450" t="s">
        <v>274</v>
      </c>
      <c r="DG1450" t="s">
        <v>18690</v>
      </c>
      <c r="DH1450" t="s">
        <v>235</v>
      </c>
      <c r="DI1450" t="s">
        <v>183</v>
      </c>
      <c r="DJ1450" t="s">
        <v>211</v>
      </c>
      <c r="DK1450" t="s">
        <v>298</v>
      </c>
      <c r="DM1450" t="s">
        <v>7141</v>
      </c>
      <c r="DN1450" t="s">
        <v>18691</v>
      </c>
      <c r="DO1450" t="s">
        <v>302</v>
      </c>
      <c r="DP1450" t="s">
        <v>303</v>
      </c>
      <c r="DQ1450" t="s">
        <v>9396</v>
      </c>
      <c r="DR1450" t="s">
        <v>235</v>
      </c>
      <c r="DS1450" t="s">
        <v>183</v>
      </c>
      <c r="DT1450" t="s">
        <v>211</v>
      </c>
      <c r="DU1450" t="s">
        <v>189</v>
      </c>
      <c r="DW1450" t="s">
        <v>15916</v>
      </c>
      <c r="DX1450" t="s">
        <v>8681</v>
      </c>
      <c r="DY1450" t="s">
        <v>207</v>
      </c>
      <c r="DZ1450" t="s">
        <v>208</v>
      </c>
      <c r="EA1450" t="s">
        <v>18692</v>
      </c>
      <c r="EB1450" t="s">
        <v>1966</v>
      </c>
      <c r="EC1450" t="s">
        <v>183</v>
      </c>
      <c r="ED1450" t="s">
        <v>211</v>
      </c>
      <c r="EE1450" t="s">
        <v>329</v>
      </c>
      <c r="EG1450" t="s">
        <v>5141</v>
      </c>
      <c r="EQ1450" t="s">
        <v>198</v>
      </c>
      <c r="FA1450" t="s">
        <v>198</v>
      </c>
      <c r="FK1450" t="s">
        <v>198</v>
      </c>
      <c r="FU1450" t="s">
        <v>198</v>
      </c>
    </row>
    <row r="1451" spans="1:177">
      <c r="A1451" s="1" t="str">
        <f>HYPERLINK("http://digipan.lumentumllc.com/apps/getLink/index.php?t=PropLink&amp;p=5248678","PL")</f>
        <v>PL</v>
      </c>
      <c r="B1451" s="1" t="str">
        <f>HYPERLINK("http://digipan.lumentumllc.com/apps/getLink/index.php?t=TaxLink&amp;p=5248678","TL")</f>
        <v>TL</v>
      </c>
      <c r="C1451" s="1" t="str">
        <f>HYPERLINK("http://digipan.lumentumllc.com/apps/getMap/index.php?p=5248678","Map")</f>
        <v>Map</v>
      </c>
      <c r="E1451" t="s">
        <v>177</v>
      </c>
      <c r="F1451" t="s">
        <v>178</v>
      </c>
      <c r="L1451" t="s">
        <v>18693</v>
      </c>
      <c r="N1451" t="s">
        <v>18693</v>
      </c>
      <c r="O1451" t="s">
        <v>18693</v>
      </c>
      <c r="P1451" t="s">
        <v>18694</v>
      </c>
      <c r="Q1451" t="s">
        <v>18693</v>
      </c>
      <c r="V1451">
        <v>1664</v>
      </c>
      <c r="W1451">
        <v>6</v>
      </c>
      <c r="X1451">
        <v>2017</v>
      </c>
      <c r="Y1451">
        <v>2018</v>
      </c>
      <c r="Z1451">
        <v>543.64</v>
      </c>
      <c r="AB1451" t="s">
        <v>181</v>
      </c>
      <c r="AC1451" t="s">
        <v>182</v>
      </c>
      <c r="AD1451" t="s">
        <v>183</v>
      </c>
      <c r="AE1451">
        <v>1</v>
      </c>
      <c r="AF1451">
        <v>7</v>
      </c>
      <c r="AG1451" t="s">
        <v>418</v>
      </c>
      <c r="AH1451">
        <v>86</v>
      </c>
      <c r="AI1451">
        <v>545.83000000000004</v>
      </c>
      <c r="AJ1451">
        <v>35.479999999999997</v>
      </c>
      <c r="AK1451">
        <v>581.30999999999995</v>
      </c>
      <c r="AL1451">
        <v>31250</v>
      </c>
      <c r="AM1451">
        <v>31250</v>
      </c>
      <c r="AN1451">
        <v>0</v>
      </c>
      <c r="AO1451">
        <v>480</v>
      </c>
      <c r="AP1451">
        <v>2016</v>
      </c>
      <c r="AQ1451">
        <v>1.74</v>
      </c>
      <c r="AR1451">
        <v>1.86</v>
      </c>
      <c r="AS1451" t="s">
        <v>18695</v>
      </c>
      <c r="AT1451" t="s">
        <v>3210</v>
      </c>
      <c r="AU1451" t="s">
        <v>177</v>
      </c>
      <c r="AV1451" t="s">
        <v>2334</v>
      </c>
      <c r="AW1451" t="s">
        <v>182</v>
      </c>
      <c r="AX1451">
        <v>0</v>
      </c>
      <c r="AY1451" t="s">
        <v>312</v>
      </c>
      <c r="AZ1451" t="s">
        <v>199</v>
      </c>
      <c r="BA1451" t="s">
        <v>313</v>
      </c>
      <c r="BB1451" t="s">
        <v>191</v>
      </c>
      <c r="BC1451" t="s">
        <v>182</v>
      </c>
      <c r="BD1451" t="s">
        <v>182</v>
      </c>
      <c r="BE1451" t="s">
        <v>18696</v>
      </c>
      <c r="BF1451">
        <v>0</v>
      </c>
      <c r="BG1451">
        <v>0</v>
      </c>
      <c r="BH1451">
        <v>0</v>
      </c>
      <c r="BI1451" t="s">
        <v>199</v>
      </c>
      <c r="BJ1451" t="s">
        <v>396</v>
      </c>
      <c r="BL1451" t="s">
        <v>199</v>
      </c>
      <c r="BM1451" t="s">
        <v>368</v>
      </c>
      <c r="BN1451" t="s">
        <v>182</v>
      </c>
      <c r="BO1451" t="s">
        <v>198</v>
      </c>
      <c r="BP1451" t="s">
        <v>198</v>
      </c>
      <c r="BQ1451" t="s">
        <v>198</v>
      </c>
      <c r="BR1451" t="s">
        <v>198</v>
      </c>
      <c r="BS1451" t="s">
        <v>198</v>
      </c>
      <c r="BT1451" t="s">
        <v>198</v>
      </c>
      <c r="BU1451" t="s">
        <v>182</v>
      </c>
      <c r="BV1451" t="s">
        <v>198</v>
      </c>
      <c r="BW1451" t="s">
        <v>198</v>
      </c>
      <c r="BX1451" t="s">
        <v>199</v>
      </c>
      <c r="BY1451" t="s">
        <v>198</v>
      </c>
      <c r="BZ1451" t="s">
        <v>199</v>
      </c>
      <c r="CA1451" t="s">
        <v>199</v>
      </c>
      <c r="CB1451" t="s">
        <v>18697</v>
      </c>
      <c r="CC1451" t="s">
        <v>201</v>
      </c>
      <c r="CD1451" t="s">
        <v>202</v>
      </c>
      <c r="CE1451" t="s">
        <v>18698</v>
      </c>
      <c r="CF1451" t="s">
        <v>2333</v>
      </c>
      <c r="CG1451" t="s">
        <v>177</v>
      </c>
      <c r="CH1451" t="s">
        <v>2334</v>
      </c>
      <c r="CI1451" t="s">
        <v>18699</v>
      </c>
      <c r="CJ1451" t="s">
        <v>11284</v>
      </c>
      <c r="CK1451" t="s">
        <v>232</v>
      </c>
      <c r="CL1451" t="s">
        <v>233</v>
      </c>
      <c r="CM1451" t="s">
        <v>18700</v>
      </c>
      <c r="CN1451" t="s">
        <v>688</v>
      </c>
      <c r="CO1451" t="s">
        <v>183</v>
      </c>
      <c r="CP1451" t="s">
        <v>266</v>
      </c>
      <c r="CS1451" t="s">
        <v>198</v>
      </c>
      <c r="CT1451" t="s">
        <v>7268</v>
      </c>
      <c r="CU1451" t="s">
        <v>292</v>
      </c>
      <c r="CV1451" t="s">
        <v>293</v>
      </c>
      <c r="CW1451" t="s">
        <v>9122</v>
      </c>
      <c r="CX1451" t="s">
        <v>14474</v>
      </c>
      <c r="CY1451" t="s">
        <v>183</v>
      </c>
      <c r="CZ1451" t="s">
        <v>211</v>
      </c>
      <c r="DA1451" t="s">
        <v>298</v>
      </c>
      <c r="DC1451" t="s">
        <v>457</v>
      </c>
      <c r="DD1451" t="s">
        <v>17449</v>
      </c>
      <c r="DE1451" t="s">
        <v>267</v>
      </c>
      <c r="DF1451" t="s">
        <v>268</v>
      </c>
      <c r="DG1451" t="s">
        <v>18701</v>
      </c>
      <c r="DH1451" t="s">
        <v>922</v>
      </c>
      <c r="DI1451" t="s">
        <v>183</v>
      </c>
      <c r="DJ1451" t="s">
        <v>211</v>
      </c>
      <c r="DK1451" t="s">
        <v>298</v>
      </c>
      <c r="DM1451" t="s">
        <v>2179</v>
      </c>
      <c r="DN1451" t="s">
        <v>18702</v>
      </c>
      <c r="DO1451" t="s">
        <v>273</v>
      </c>
      <c r="DP1451" t="s">
        <v>274</v>
      </c>
      <c r="DQ1451" t="s">
        <v>18703</v>
      </c>
      <c r="DR1451" t="s">
        <v>331</v>
      </c>
      <c r="DS1451" t="s">
        <v>183</v>
      </c>
      <c r="DT1451" t="s">
        <v>211</v>
      </c>
      <c r="DU1451" t="s">
        <v>212</v>
      </c>
      <c r="DW1451" t="s">
        <v>4967</v>
      </c>
      <c r="DX1451" t="s">
        <v>839</v>
      </c>
      <c r="DY1451" t="s">
        <v>302</v>
      </c>
      <c r="DZ1451" t="s">
        <v>303</v>
      </c>
      <c r="EA1451" t="s">
        <v>18704</v>
      </c>
      <c r="EB1451" t="s">
        <v>3342</v>
      </c>
      <c r="EC1451" t="s">
        <v>183</v>
      </c>
      <c r="ED1451" t="s">
        <v>211</v>
      </c>
      <c r="EE1451" t="s">
        <v>342</v>
      </c>
      <c r="EG1451" t="s">
        <v>2753</v>
      </c>
      <c r="EH1451" t="s">
        <v>18705</v>
      </c>
      <c r="EI1451" t="s">
        <v>238</v>
      </c>
      <c r="EJ1451" t="s">
        <v>239</v>
      </c>
      <c r="EK1451" t="s">
        <v>18706</v>
      </c>
      <c r="EL1451" t="s">
        <v>440</v>
      </c>
      <c r="EM1451" t="s">
        <v>183</v>
      </c>
      <c r="EN1451" t="s">
        <v>211</v>
      </c>
      <c r="EO1451" t="s">
        <v>270</v>
      </c>
      <c r="EQ1451" t="s">
        <v>9506</v>
      </c>
      <c r="ER1451" t="s">
        <v>18707</v>
      </c>
      <c r="ES1451" t="s">
        <v>346</v>
      </c>
      <c r="ET1451" t="s">
        <v>347</v>
      </c>
      <c r="EU1451" t="s">
        <v>18708</v>
      </c>
      <c r="EV1451" t="s">
        <v>278</v>
      </c>
      <c r="EW1451" t="s">
        <v>183</v>
      </c>
      <c r="EX1451" t="s">
        <v>211</v>
      </c>
      <c r="EY1451" t="s">
        <v>298</v>
      </c>
      <c r="FA1451" t="s">
        <v>878</v>
      </c>
      <c r="FB1451" t="s">
        <v>18709</v>
      </c>
      <c r="FC1451" t="s">
        <v>207</v>
      </c>
      <c r="FD1451" t="s">
        <v>208</v>
      </c>
      <c r="FE1451" t="s">
        <v>18710</v>
      </c>
      <c r="FF1451" t="s">
        <v>2515</v>
      </c>
      <c r="FG1451" t="s">
        <v>183</v>
      </c>
      <c r="FH1451" t="s">
        <v>211</v>
      </c>
      <c r="FI1451" t="s">
        <v>306</v>
      </c>
      <c r="FK1451" t="s">
        <v>3685</v>
      </c>
      <c r="FU1451" t="s">
        <v>198</v>
      </c>
    </row>
    <row r="1452" spans="1:177">
      <c r="A1452" s="1" t="str">
        <f>HYPERLINK("http://digipan.lumentumllc.com/apps/getLink/index.php?t=PropLink&amp;p=6129662","PL")</f>
        <v>PL</v>
      </c>
      <c r="B1452" s="1" t="str">
        <f>HYPERLINK("http://digipan.lumentumllc.com/apps/getLink/index.php?t=TaxLink&amp;p=6129662","TL")</f>
        <v>TL</v>
      </c>
      <c r="C1452" s="1" t="str">
        <f>HYPERLINK("http://digipan.lumentumllc.com/apps/getMap/index.php?p=6129662","Map")</f>
        <v>Map</v>
      </c>
      <c r="E1452" t="s">
        <v>177</v>
      </c>
      <c r="F1452" t="s">
        <v>178</v>
      </c>
      <c r="L1452" t="s">
        <v>18711</v>
      </c>
      <c r="N1452" t="s">
        <v>18711</v>
      </c>
      <c r="O1452" t="s">
        <v>18711</v>
      </c>
      <c r="P1452" t="s">
        <v>18712</v>
      </c>
      <c r="Q1452" t="s">
        <v>18711</v>
      </c>
      <c r="V1452">
        <v>1665</v>
      </c>
      <c r="W1452">
        <v>6</v>
      </c>
      <c r="X1452">
        <v>2017</v>
      </c>
      <c r="Y1452">
        <v>2018</v>
      </c>
      <c r="Z1452">
        <v>1490.95</v>
      </c>
      <c r="AB1452" t="s">
        <v>181</v>
      </c>
      <c r="AC1452" t="s">
        <v>182</v>
      </c>
      <c r="AD1452" t="s">
        <v>183</v>
      </c>
      <c r="AE1452">
        <v>0</v>
      </c>
      <c r="AF1452">
        <v>1</v>
      </c>
      <c r="AG1452" t="s">
        <v>821</v>
      </c>
      <c r="AH1452">
        <v>100</v>
      </c>
      <c r="AK1452">
        <v>0</v>
      </c>
      <c r="AL1452">
        <v>90211</v>
      </c>
      <c r="AM1452">
        <v>64260</v>
      </c>
      <c r="AN1452">
        <v>25951</v>
      </c>
      <c r="AO1452">
        <v>1232</v>
      </c>
      <c r="AP1452">
        <v>2016</v>
      </c>
      <c r="AQ1452">
        <v>1.65</v>
      </c>
      <c r="AS1452" t="s">
        <v>18713</v>
      </c>
      <c r="AT1452" t="s">
        <v>3210</v>
      </c>
      <c r="AU1452" t="s">
        <v>177</v>
      </c>
      <c r="AV1452" t="s">
        <v>2334</v>
      </c>
      <c r="AW1452" t="s">
        <v>182</v>
      </c>
      <c r="AX1452">
        <v>2</v>
      </c>
      <c r="AY1452" t="s">
        <v>188</v>
      </c>
      <c r="AZ1452" t="s">
        <v>189</v>
      </c>
      <c r="BA1452" t="s">
        <v>190</v>
      </c>
      <c r="BB1452" t="s">
        <v>191</v>
      </c>
      <c r="BC1452" t="s">
        <v>182</v>
      </c>
      <c r="BD1452" t="s">
        <v>182</v>
      </c>
      <c r="BE1452" t="s">
        <v>15788</v>
      </c>
      <c r="BF1452">
        <v>1</v>
      </c>
      <c r="BG1452">
        <v>1</v>
      </c>
      <c r="BH1452">
        <v>1973</v>
      </c>
      <c r="BI1452" t="s">
        <v>14195</v>
      </c>
      <c r="BJ1452" t="s">
        <v>194</v>
      </c>
      <c r="BK1452" t="s">
        <v>195</v>
      </c>
      <c r="BL1452" t="s">
        <v>2735</v>
      </c>
      <c r="BM1452" t="s">
        <v>559</v>
      </c>
      <c r="BN1452" t="s">
        <v>182</v>
      </c>
      <c r="BO1452" t="s">
        <v>198</v>
      </c>
      <c r="BP1452" t="s">
        <v>198</v>
      </c>
      <c r="BQ1452" t="s">
        <v>198</v>
      </c>
      <c r="BR1452" t="s">
        <v>198</v>
      </c>
      <c r="BS1452" t="s">
        <v>198</v>
      </c>
      <c r="BT1452" t="s">
        <v>198</v>
      </c>
      <c r="BU1452" t="s">
        <v>182</v>
      </c>
      <c r="BV1452" t="s">
        <v>198</v>
      </c>
      <c r="BW1452" t="s">
        <v>198</v>
      </c>
      <c r="BX1452" t="s">
        <v>199</v>
      </c>
      <c r="BY1452" t="s">
        <v>198</v>
      </c>
      <c r="BZ1452" t="s">
        <v>199</v>
      </c>
      <c r="CA1452" t="s">
        <v>199</v>
      </c>
      <c r="CB1452" t="s">
        <v>18714</v>
      </c>
      <c r="CC1452" t="s">
        <v>201</v>
      </c>
      <c r="CD1452" t="s">
        <v>182</v>
      </c>
      <c r="CE1452" t="s">
        <v>15493</v>
      </c>
      <c r="CF1452" t="s">
        <v>5331</v>
      </c>
      <c r="CG1452" t="s">
        <v>177</v>
      </c>
      <c r="CH1452" t="s">
        <v>371</v>
      </c>
      <c r="CI1452" t="s">
        <v>18715</v>
      </c>
      <c r="CJ1452" t="s">
        <v>18716</v>
      </c>
      <c r="CK1452" t="s">
        <v>238</v>
      </c>
      <c r="CL1452" t="s">
        <v>239</v>
      </c>
      <c r="CM1452" t="s">
        <v>18717</v>
      </c>
      <c r="CN1452" t="s">
        <v>235</v>
      </c>
      <c r="CO1452" t="s">
        <v>183</v>
      </c>
      <c r="CP1452" t="s">
        <v>211</v>
      </c>
      <c r="CQ1452" t="s">
        <v>298</v>
      </c>
      <c r="CS1452" t="s">
        <v>467</v>
      </c>
      <c r="DC1452" t="s">
        <v>198</v>
      </c>
      <c r="DM1452" t="s">
        <v>198</v>
      </c>
      <c r="DW1452" t="s">
        <v>198</v>
      </c>
      <c r="EG1452" t="s">
        <v>198</v>
      </c>
      <c r="EQ1452" t="s">
        <v>198</v>
      </c>
      <c r="FA1452" t="s">
        <v>198</v>
      </c>
      <c r="FK1452" t="s">
        <v>198</v>
      </c>
      <c r="FU1452" t="s">
        <v>198</v>
      </c>
    </row>
    <row r="1453" spans="1:177">
      <c r="A1453" s="1" t="str">
        <f>HYPERLINK("http://digipan.lumentumllc.com/apps/getLink/index.php?t=PropLink&amp;p=15764630","PL")</f>
        <v>PL</v>
      </c>
      <c r="B1453" s="1" t="str">
        <f>HYPERLINK("http://digipan.lumentumllc.com/apps/getLink/index.php?t=TaxLink&amp;p=15764630","TL")</f>
        <v>TL</v>
      </c>
      <c r="C1453" s="1" t="str">
        <f>HYPERLINK("http://digipan.lumentumllc.com/apps/getMap/index.php?p=15764630","Map")</f>
        <v>Map</v>
      </c>
      <c r="E1453" t="s">
        <v>177</v>
      </c>
      <c r="F1453" t="s">
        <v>178</v>
      </c>
      <c r="L1453" t="s">
        <v>18718</v>
      </c>
      <c r="N1453" t="s">
        <v>18718</v>
      </c>
      <c r="O1453" t="s">
        <v>18718</v>
      </c>
      <c r="Q1453" t="s">
        <v>18718</v>
      </c>
      <c r="V1453">
        <v>1666</v>
      </c>
      <c r="W1453">
        <v>6</v>
      </c>
      <c r="X1453">
        <v>2017</v>
      </c>
      <c r="Y1453">
        <v>2018</v>
      </c>
      <c r="Z1453">
        <v>2747.18</v>
      </c>
      <c r="AG1453" t="s">
        <v>184</v>
      </c>
      <c r="AH1453">
        <v>0</v>
      </c>
      <c r="AK1453">
        <v>0</v>
      </c>
      <c r="AL1453">
        <v>165837</v>
      </c>
      <c r="AM1453">
        <v>24600</v>
      </c>
      <c r="AN1453">
        <v>141237</v>
      </c>
      <c r="AO1453">
        <v>2368</v>
      </c>
      <c r="AP1453">
        <v>2016</v>
      </c>
      <c r="AQ1453">
        <v>1.66</v>
      </c>
      <c r="AS1453" t="s">
        <v>18719</v>
      </c>
      <c r="AT1453" t="s">
        <v>3210</v>
      </c>
      <c r="AU1453" t="s">
        <v>177</v>
      </c>
      <c r="AV1453" t="s">
        <v>2334</v>
      </c>
      <c r="AW1453" t="s">
        <v>182</v>
      </c>
      <c r="AX1453">
        <v>1</v>
      </c>
      <c r="AY1453" t="s">
        <v>188</v>
      </c>
      <c r="AZ1453" t="s">
        <v>206</v>
      </c>
      <c r="BA1453" t="s">
        <v>355</v>
      </c>
      <c r="BB1453" t="s">
        <v>191</v>
      </c>
      <c r="BC1453" t="s">
        <v>182</v>
      </c>
      <c r="BD1453" t="s">
        <v>182</v>
      </c>
      <c r="BE1453" t="s">
        <v>3241</v>
      </c>
      <c r="BF1453">
        <v>1</v>
      </c>
      <c r="BG1453">
        <v>1</v>
      </c>
      <c r="BH1453">
        <v>1985</v>
      </c>
      <c r="BI1453" t="s">
        <v>18720</v>
      </c>
      <c r="BJ1453" t="s">
        <v>194</v>
      </c>
      <c r="BK1453" t="s">
        <v>195</v>
      </c>
      <c r="BL1453" t="s">
        <v>199</v>
      </c>
      <c r="BM1453" t="s">
        <v>267</v>
      </c>
      <c r="BN1453" t="s">
        <v>182</v>
      </c>
      <c r="BO1453" t="s">
        <v>198</v>
      </c>
      <c r="BP1453" t="s">
        <v>198</v>
      </c>
      <c r="BQ1453" t="s">
        <v>198</v>
      </c>
      <c r="BR1453" t="s">
        <v>198</v>
      </c>
      <c r="BS1453" t="s">
        <v>198</v>
      </c>
      <c r="BT1453" t="s">
        <v>198</v>
      </c>
      <c r="BU1453" t="s">
        <v>182</v>
      </c>
      <c r="BV1453" t="s">
        <v>198</v>
      </c>
      <c r="BW1453" t="s">
        <v>198</v>
      </c>
      <c r="BX1453" t="s">
        <v>199</v>
      </c>
      <c r="BY1453" t="s">
        <v>198</v>
      </c>
      <c r="BZ1453" t="s">
        <v>199</v>
      </c>
      <c r="CA1453" t="s">
        <v>199</v>
      </c>
      <c r="CB1453" t="s">
        <v>18721</v>
      </c>
      <c r="CC1453" t="s">
        <v>201</v>
      </c>
      <c r="CD1453" t="s">
        <v>182</v>
      </c>
      <c r="CE1453" t="s">
        <v>18722</v>
      </c>
      <c r="CF1453" t="s">
        <v>2333</v>
      </c>
      <c r="CG1453" t="s">
        <v>177</v>
      </c>
      <c r="CH1453" t="s">
        <v>2334</v>
      </c>
      <c r="CI1453" t="s">
        <v>18723</v>
      </c>
      <c r="CS1453" t="s">
        <v>198</v>
      </c>
      <c r="DC1453" t="s">
        <v>198</v>
      </c>
      <c r="DM1453" t="s">
        <v>198</v>
      </c>
      <c r="DW1453" t="s">
        <v>198</v>
      </c>
      <c r="EG1453" t="s">
        <v>198</v>
      </c>
      <c r="EQ1453" t="s">
        <v>198</v>
      </c>
      <c r="FA1453" t="s">
        <v>198</v>
      </c>
      <c r="FK1453" t="s">
        <v>198</v>
      </c>
      <c r="FU1453" t="s">
        <v>198</v>
      </c>
    </row>
    <row r="1454" spans="1:177">
      <c r="A1454" s="1" t="str">
        <f>HYPERLINK("http://digipan.lumentumllc.com/apps/getLink/index.php?t=PropLink&amp;p=5248688","PL")</f>
        <v>PL</v>
      </c>
      <c r="B1454" s="1" t="str">
        <f>HYPERLINK("http://digipan.lumentumllc.com/apps/getLink/index.php?t=TaxLink&amp;p=5248688","TL")</f>
        <v>TL</v>
      </c>
      <c r="C1454" s="1" t="str">
        <f>HYPERLINK("http://digipan.lumentumllc.com/apps/getMap/index.php?p=5248688","Map")</f>
        <v>Map</v>
      </c>
      <c r="E1454" t="s">
        <v>177</v>
      </c>
      <c r="F1454" t="s">
        <v>178</v>
      </c>
      <c r="L1454" t="s">
        <v>18724</v>
      </c>
      <c r="N1454" t="s">
        <v>18724</v>
      </c>
      <c r="O1454" t="s">
        <v>18724</v>
      </c>
      <c r="P1454" t="s">
        <v>18725</v>
      </c>
      <c r="Q1454" t="s">
        <v>18724</v>
      </c>
      <c r="V1454">
        <v>1671</v>
      </c>
      <c r="W1454">
        <v>6</v>
      </c>
      <c r="X1454">
        <v>2017</v>
      </c>
      <c r="Y1454">
        <v>2018</v>
      </c>
      <c r="Z1454">
        <v>791.97</v>
      </c>
      <c r="AB1454" t="s">
        <v>181</v>
      </c>
      <c r="AC1454" t="s">
        <v>182</v>
      </c>
      <c r="AD1454" t="s">
        <v>183</v>
      </c>
      <c r="AE1454">
        <v>0</v>
      </c>
      <c r="AF1454">
        <v>7</v>
      </c>
      <c r="AG1454" t="s">
        <v>528</v>
      </c>
      <c r="AH1454">
        <v>100</v>
      </c>
      <c r="AK1454">
        <v>0</v>
      </c>
      <c r="AL1454">
        <v>46417</v>
      </c>
      <c r="AM1454">
        <v>34200</v>
      </c>
      <c r="AN1454">
        <v>12217</v>
      </c>
      <c r="AO1454">
        <v>751</v>
      </c>
      <c r="AP1454">
        <v>2016</v>
      </c>
      <c r="AQ1454">
        <v>1.71</v>
      </c>
      <c r="AS1454" t="s">
        <v>18726</v>
      </c>
      <c r="AT1454" t="s">
        <v>3210</v>
      </c>
      <c r="AU1454" t="s">
        <v>177</v>
      </c>
      <c r="AV1454" t="s">
        <v>2334</v>
      </c>
      <c r="AW1454" t="s">
        <v>182</v>
      </c>
      <c r="AX1454">
        <v>2</v>
      </c>
      <c r="AY1454" t="s">
        <v>188</v>
      </c>
      <c r="AZ1454" t="s">
        <v>189</v>
      </c>
      <c r="BA1454" t="s">
        <v>190</v>
      </c>
      <c r="BB1454" t="s">
        <v>191</v>
      </c>
      <c r="BC1454" t="s">
        <v>182</v>
      </c>
      <c r="BD1454" t="s">
        <v>182</v>
      </c>
      <c r="BE1454" t="s">
        <v>11471</v>
      </c>
      <c r="BF1454">
        <v>1</v>
      </c>
      <c r="BG1454">
        <v>1</v>
      </c>
      <c r="BH1454">
        <v>1975</v>
      </c>
      <c r="BI1454" t="s">
        <v>17643</v>
      </c>
      <c r="BJ1454" t="s">
        <v>285</v>
      </c>
      <c r="BK1454" t="s">
        <v>195</v>
      </c>
      <c r="BL1454" t="s">
        <v>199</v>
      </c>
      <c r="BM1454" t="s">
        <v>679</v>
      </c>
      <c r="BN1454" t="s">
        <v>182</v>
      </c>
      <c r="BO1454" t="s">
        <v>8682</v>
      </c>
      <c r="BP1454" t="s">
        <v>18727</v>
      </c>
      <c r="BQ1454" t="s">
        <v>800</v>
      </c>
      <c r="BR1454" t="s">
        <v>2318</v>
      </c>
      <c r="BS1454" t="s">
        <v>198</v>
      </c>
      <c r="BT1454" t="s">
        <v>18728</v>
      </c>
      <c r="BU1454" t="s">
        <v>182</v>
      </c>
      <c r="BV1454" t="s">
        <v>198</v>
      </c>
      <c r="BW1454" t="s">
        <v>198</v>
      </c>
      <c r="BX1454" t="s">
        <v>199</v>
      </c>
      <c r="BY1454" t="s">
        <v>198</v>
      </c>
      <c r="BZ1454" t="s">
        <v>199</v>
      </c>
      <c r="CA1454" t="s">
        <v>199</v>
      </c>
      <c r="CB1454" t="s">
        <v>18729</v>
      </c>
      <c r="CC1454" t="s">
        <v>201</v>
      </c>
      <c r="CD1454" t="s">
        <v>182</v>
      </c>
      <c r="CE1454" t="s">
        <v>16555</v>
      </c>
      <c r="CF1454" t="s">
        <v>2333</v>
      </c>
      <c r="CG1454" t="s">
        <v>177</v>
      </c>
      <c r="CH1454" t="s">
        <v>2334</v>
      </c>
      <c r="CI1454" t="s">
        <v>18730</v>
      </c>
      <c r="CJ1454" t="s">
        <v>15309</v>
      </c>
      <c r="CK1454" t="s">
        <v>292</v>
      </c>
      <c r="CL1454" t="s">
        <v>293</v>
      </c>
      <c r="CM1454" t="s">
        <v>18731</v>
      </c>
      <c r="CN1454" t="s">
        <v>235</v>
      </c>
      <c r="CO1454" t="s">
        <v>183</v>
      </c>
      <c r="CP1454" t="s">
        <v>211</v>
      </c>
      <c r="CQ1454" t="s">
        <v>270</v>
      </c>
      <c r="CS1454" t="s">
        <v>3319</v>
      </c>
      <c r="CT1454" t="s">
        <v>284</v>
      </c>
      <c r="CU1454" t="s">
        <v>267</v>
      </c>
      <c r="CV1454" t="s">
        <v>268</v>
      </c>
      <c r="CW1454" t="s">
        <v>18732</v>
      </c>
      <c r="CX1454" t="s">
        <v>235</v>
      </c>
      <c r="CY1454" t="s">
        <v>183</v>
      </c>
      <c r="CZ1454" t="s">
        <v>211</v>
      </c>
      <c r="DA1454" t="s">
        <v>298</v>
      </c>
      <c r="DC1454" t="s">
        <v>459</v>
      </c>
      <c r="DD1454" t="s">
        <v>5282</v>
      </c>
      <c r="DE1454" t="s">
        <v>273</v>
      </c>
      <c r="DF1454" t="s">
        <v>274</v>
      </c>
      <c r="DG1454" t="s">
        <v>18733</v>
      </c>
      <c r="DH1454" t="s">
        <v>3342</v>
      </c>
      <c r="DI1454" t="s">
        <v>183</v>
      </c>
      <c r="DJ1454" t="s">
        <v>211</v>
      </c>
      <c r="DK1454" t="s">
        <v>298</v>
      </c>
      <c r="DM1454" t="s">
        <v>1811</v>
      </c>
      <c r="DN1454" t="s">
        <v>18734</v>
      </c>
      <c r="DO1454" t="s">
        <v>302</v>
      </c>
      <c r="DP1454" t="s">
        <v>303</v>
      </c>
      <c r="DQ1454" t="s">
        <v>18735</v>
      </c>
      <c r="DR1454" t="s">
        <v>3342</v>
      </c>
      <c r="DS1454" t="s">
        <v>183</v>
      </c>
      <c r="DT1454" t="s">
        <v>211</v>
      </c>
      <c r="DU1454" t="s">
        <v>298</v>
      </c>
      <c r="DW1454" t="s">
        <v>437</v>
      </c>
      <c r="DX1454" t="s">
        <v>18736</v>
      </c>
      <c r="DY1454" t="s">
        <v>238</v>
      </c>
      <c r="DZ1454" t="s">
        <v>239</v>
      </c>
      <c r="EA1454" t="s">
        <v>18737</v>
      </c>
      <c r="EB1454" t="s">
        <v>440</v>
      </c>
      <c r="EC1454" t="s">
        <v>183</v>
      </c>
      <c r="ED1454" t="s">
        <v>211</v>
      </c>
      <c r="EE1454" t="s">
        <v>298</v>
      </c>
      <c r="EG1454" t="s">
        <v>1815</v>
      </c>
      <c r="EH1454" t="s">
        <v>15716</v>
      </c>
      <c r="EI1454" t="s">
        <v>346</v>
      </c>
      <c r="EJ1454" t="s">
        <v>347</v>
      </c>
      <c r="EK1454" t="s">
        <v>18738</v>
      </c>
      <c r="EL1454" t="s">
        <v>278</v>
      </c>
      <c r="EM1454" t="s">
        <v>183</v>
      </c>
      <c r="EN1454" t="s">
        <v>211</v>
      </c>
      <c r="EO1454" t="s">
        <v>298</v>
      </c>
      <c r="EQ1454" t="s">
        <v>1622</v>
      </c>
      <c r="ER1454" t="s">
        <v>17386</v>
      </c>
      <c r="ES1454" t="s">
        <v>207</v>
      </c>
      <c r="ET1454" t="s">
        <v>208</v>
      </c>
      <c r="EU1454" t="s">
        <v>18739</v>
      </c>
      <c r="EV1454" t="s">
        <v>254</v>
      </c>
      <c r="EW1454" t="s">
        <v>183</v>
      </c>
      <c r="EX1454" t="s">
        <v>211</v>
      </c>
      <c r="EY1454" t="s">
        <v>523</v>
      </c>
      <c r="FA1454" t="s">
        <v>1020</v>
      </c>
      <c r="FK1454" t="s">
        <v>198</v>
      </c>
      <c r="FU1454" t="s">
        <v>198</v>
      </c>
    </row>
    <row r="1455" spans="1:177">
      <c r="A1455" s="1" t="str">
        <f>HYPERLINK("http://digipan.lumentumllc.com/apps/getLink/index.php?t=PropLink&amp;p=5246016","PL")</f>
        <v>PL</v>
      </c>
      <c r="B1455" s="1" t="str">
        <f>HYPERLINK("http://digipan.lumentumllc.com/apps/getLink/index.php?t=TaxLink&amp;p=5246016","TL")</f>
        <v>TL</v>
      </c>
      <c r="C1455" s="1" t="str">
        <f>HYPERLINK("http://digipan.lumentumllc.com/apps/getMap/index.php?p=5246016","Map")</f>
        <v>Map</v>
      </c>
      <c r="E1455" t="s">
        <v>177</v>
      </c>
      <c r="F1455" t="s">
        <v>178</v>
      </c>
      <c r="L1455" t="s">
        <v>18740</v>
      </c>
      <c r="N1455" t="s">
        <v>18740</v>
      </c>
      <c r="O1455" t="s">
        <v>18740</v>
      </c>
      <c r="P1455" t="s">
        <v>18741</v>
      </c>
      <c r="Q1455" t="s">
        <v>18740</v>
      </c>
      <c r="V1455">
        <v>1673</v>
      </c>
      <c r="W1455">
        <v>6</v>
      </c>
      <c r="X1455">
        <v>2017</v>
      </c>
      <c r="Y1455">
        <v>2018</v>
      </c>
      <c r="Z1455">
        <v>53.32</v>
      </c>
      <c r="AB1455" t="s">
        <v>181</v>
      </c>
      <c r="AC1455" t="s">
        <v>182</v>
      </c>
      <c r="AD1455" t="s">
        <v>183</v>
      </c>
      <c r="AE1455">
        <v>7</v>
      </c>
      <c r="AF1455">
        <v>0</v>
      </c>
      <c r="AG1455" t="s">
        <v>1038</v>
      </c>
      <c r="AH1455">
        <v>0</v>
      </c>
      <c r="AI1455">
        <v>299.87</v>
      </c>
      <c r="AJ1455">
        <v>126.31</v>
      </c>
      <c r="AK1455">
        <v>426.18</v>
      </c>
      <c r="AL1455">
        <v>1280</v>
      </c>
      <c r="AM1455">
        <v>1280</v>
      </c>
      <c r="AN1455">
        <v>0</v>
      </c>
      <c r="AO1455">
        <v>20</v>
      </c>
      <c r="AP1455">
        <v>2016</v>
      </c>
      <c r="AQ1455">
        <v>4.17</v>
      </c>
      <c r="AR1455">
        <v>33.299999999999997</v>
      </c>
      <c r="AS1455" t="s">
        <v>18742</v>
      </c>
      <c r="AT1455" t="s">
        <v>15040</v>
      </c>
      <c r="AU1455" t="s">
        <v>177</v>
      </c>
      <c r="AV1455" t="s">
        <v>371</v>
      </c>
      <c r="AW1455" t="s">
        <v>182</v>
      </c>
      <c r="AX1455">
        <v>0</v>
      </c>
      <c r="AY1455" t="s">
        <v>312</v>
      </c>
      <c r="AZ1455" t="s">
        <v>199</v>
      </c>
      <c r="BA1455" t="s">
        <v>313</v>
      </c>
      <c r="BB1455" t="s">
        <v>191</v>
      </c>
      <c r="BC1455" t="s">
        <v>182</v>
      </c>
      <c r="BD1455" t="s">
        <v>182</v>
      </c>
      <c r="BE1455" t="s">
        <v>2135</v>
      </c>
      <c r="BF1455">
        <v>0</v>
      </c>
      <c r="BG1455">
        <v>0</v>
      </c>
      <c r="BH1455">
        <v>0</v>
      </c>
      <c r="BI1455" t="s">
        <v>199</v>
      </c>
      <c r="BJ1455" t="s">
        <v>315</v>
      </c>
      <c r="BL1455" t="s">
        <v>18743</v>
      </c>
      <c r="BM1455" t="s">
        <v>1041</v>
      </c>
      <c r="BN1455" t="s">
        <v>182</v>
      </c>
      <c r="BO1455" t="s">
        <v>9860</v>
      </c>
      <c r="BP1455" t="s">
        <v>18744</v>
      </c>
      <c r="BQ1455" t="s">
        <v>562</v>
      </c>
      <c r="BR1455" t="s">
        <v>643</v>
      </c>
      <c r="BS1455" t="s">
        <v>198</v>
      </c>
      <c r="BT1455" t="s">
        <v>4341</v>
      </c>
      <c r="BU1455" t="s">
        <v>182</v>
      </c>
      <c r="BV1455" t="s">
        <v>198</v>
      </c>
      <c r="BW1455" t="s">
        <v>198</v>
      </c>
      <c r="BX1455" t="s">
        <v>199</v>
      </c>
      <c r="BY1455" t="s">
        <v>198</v>
      </c>
      <c r="BZ1455" t="s">
        <v>199</v>
      </c>
      <c r="CA1455" t="s">
        <v>199</v>
      </c>
      <c r="CB1455" t="s">
        <v>18745</v>
      </c>
      <c r="CC1455" t="s">
        <v>201</v>
      </c>
      <c r="CD1455" t="s">
        <v>182</v>
      </c>
      <c r="CE1455" t="s">
        <v>11005</v>
      </c>
      <c r="CF1455" t="s">
        <v>11006</v>
      </c>
      <c r="CG1455" t="s">
        <v>177</v>
      </c>
      <c r="CH1455" t="s">
        <v>11007</v>
      </c>
      <c r="CI1455" t="s">
        <v>18746</v>
      </c>
      <c r="CJ1455" t="s">
        <v>16891</v>
      </c>
      <c r="CK1455" t="s">
        <v>232</v>
      </c>
      <c r="CL1455" t="s">
        <v>233</v>
      </c>
      <c r="CM1455" t="s">
        <v>18747</v>
      </c>
      <c r="CN1455" t="s">
        <v>486</v>
      </c>
      <c r="CO1455" t="s">
        <v>183</v>
      </c>
      <c r="CP1455" t="s">
        <v>266</v>
      </c>
      <c r="CS1455" t="s">
        <v>198</v>
      </c>
      <c r="CT1455" t="s">
        <v>15315</v>
      </c>
      <c r="CU1455" t="s">
        <v>292</v>
      </c>
      <c r="CV1455" t="s">
        <v>293</v>
      </c>
      <c r="CW1455" t="s">
        <v>18748</v>
      </c>
      <c r="CX1455" t="s">
        <v>333</v>
      </c>
      <c r="CY1455" t="s">
        <v>183</v>
      </c>
      <c r="CZ1455" t="s">
        <v>266</v>
      </c>
      <c r="DC1455" t="s">
        <v>198</v>
      </c>
      <c r="DD1455" t="s">
        <v>2580</v>
      </c>
      <c r="DE1455" t="s">
        <v>267</v>
      </c>
      <c r="DF1455" t="s">
        <v>268</v>
      </c>
      <c r="DG1455" t="s">
        <v>18749</v>
      </c>
      <c r="DH1455" t="s">
        <v>482</v>
      </c>
      <c r="DI1455" t="s">
        <v>183</v>
      </c>
      <c r="DJ1455" t="s">
        <v>266</v>
      </c>
      <c r="DM1455" t="s">
        <v>198</v>
      </c>
      <c r="DN1455" t="s">
        <v>12232</v>
      </c>
      <c r="DO1455" t="s">
        <v>273</v>
      </c>
      <c r="DP1455" t="s">
        <v>274</v>
      </c>
      <c r="DQ1455" t="s">
        <v>18750</v>
      </c>
      <c r="DR1455" t="s">
        <v>482</v>
      </c>
      <c r="DS1455" t="s">
        <v>183</v>
      </c>
      <c r="DT1455" t="s">
        <v>266</v>
      </c>
      <c r="DW1455" t="s">
        <v>198</v>
      </c>
      <c r="DX1455" t="s">
        <v>2199</v>
      </c>
      <c r="DY1455" t="s">
        <v>302</v>
      </c>
      <c r="DZ1455" t="s">
        <v>303</v>
      </c>
      <c r="EA1455" t="s">
        <v>18751</v>
      </c>
      <c r="EB1455" t="s">
        <v>576</v>
      </c>
      <c r="EC1455" t="s">
        <v>183</v>
      </c>
      <c r="ED1455" t="s">
        <v>266</v>
      </c>
      <c r="EG1455" t="s">
        <v>198</v>
      </c>
      <c r="EH1455" t="s">
        <v>12095</v>
      </c>
      <c r="EI1455" t="s">
        <v>238</v>
      </c>
      <c r="EJ1455" t="s">
        <v>239</v>
      </c>
      <c r="EK1455" t="s">
        <v>18752</v>
      </c>
      <c r="EL1455" t="s">
        <v>331</v>
      </c>
      <c r="EM1455" t="s">
        <v>183</v>
      </c>
      <c r="EN1455" t="s">
        <v>266</v>
      </c>
      <c r="EQ1455" t="s">
        <v>198</v>
      </c>
      <c r="ER1455" t="s">
        <v>18753</v>
      </c>
      <c r="ES1455" t="s">
        <v>346</v>
      </c>
      <c r="ET1455" t="s">
        <v>347</v>
      </c>
      <c r="EU1455" t="s">
        <v>18754</v>
      </c>
      <c r="EV1455" t="s">
        <v>278</v>
      </c>
      <c r="EW1455" t="s">
        <v>183</v>
      </c>
      <c r="EX1455" t="s">
        <v>266</v>
      </c>
      <c r="FA1455" t="s">
        <v>198</v>
      </c>
      <c r="FK1455" t="s">
        <v>198</v>
      </c>
      <c r="FU1455" t="s">
        <v>198</v>
      </c>
    </row>
    <row r="1456" spans="1:177">
      <c r="A1456" s="1" t="str">
        <f>HYPERLINK("http://digipan.lumentumllc.com/apps/getLink/index.php?t=PropLink&amp;p=6461899","PL")</f>
        <v>PL</v>
      </c>
      <c r="B1456" s="1" t="str">
        <f>HYPERLINK("http://digipan.lumentumllc.com/apps/getLink/index.php?t=TaxLink&amp;p=6461899","TL")</f>
        <v>TL</v>
      </c>
      <c r="C1456" s="1" t="str">
        <f>HYPERLINK("http://digipan.lumentumllc.com/apps/getMap/index.php?p=6461899","Map")</f>
        <v>Map</v>
      </c>
      <c r="E1456" t="s">
        <v>177</v>
      </c>
      <c r="F1456" t="s">
        <v>178</v>
      </c>
      <c r="L1456" t="s">
        <v>18755</v>
      </c>
      <c r="N1456" t="s">
        <v>18755</v>
      </c>
      <c r="O1456" t="s">
        <v>18755</v>
      </c>
      <c r="P1456" t="s">
        <v>18756</v>
      </c>
      <c r="Q1456" t="s">
        <v>18755</v>
      </c>
      <c r="V1456">
        <v>1674</v>
      </c>
      <c r="W1456">
        <v>6</v>
      </c>
      <c r="X1456">
        <v>2017</v>
      </c>
      <c r="Y1456">
        <v>2018</v>
      </c>
      <c r="Z1456">
        <v>3680.78</v>
      </c>
      <c r="AB1456" t="s">
        <v>181</v>
      </c>
      <c r="AC1456" t="s">
        <v>182</v>
      </c>
      <c r="AD1456" t="s">
        <v>183</v>
      </c>
      <c r="AE1456">
        <v>0</v>
      </c>
      <c r="AF1456">
        <v>5</v>
      </c>
      <c r="AG1456" t="s">
        <v>3266</v>
      </c>
      <c r="AH1456">
        <v>100</v>
      </c>
      <c r="AK1456">
        <v>0</v>
      </c>
      <c r="AL1456">
        <v>579296</v>
      </c>
      <c r="AM1456">
        <v>468750</v>
      </c>
      <c r="AN1456">
        <v>110546</v>
      </c>
      <c r="AO1456">
        <v>3342</v>
      </c>
      <c r="AP1456">
        <v>2016</v>
      </c>
      <c r="AQ1456">
        <v>0.64</v>
      </c>
      <c r="AS1456" t="s">
        <v>18757</v>
      </c>
      <c r="AT1456" t="s">
        <v>15040</v>
      </c>
      <c r="AU1456" t="s">
        <v>177</v>
      </c>
      <c r="AV1456" t="s">
        <v>371</v>
      </c>
      <c r="AW1456" t="s">
        <v>202</v>
      </c>
      <c r="AX1456">
        <v>1</v>
      </c>
      <c r="AY1456" t="s">
        <v>188</v>
      </c>
      <c r="AZ1456" t="s">
        <v>206</v>
      </c>
      <c r="BA1456" t="s">
        <v>355</v>
      </c>
      <c r="BB1456" t="s">
        <v>191</v>
      </c>
      <c r="BC1456" t="s">
        <v>182</v>
      </c>
      <c r="BD1456" t="s">
        <v>182</v>
      </c>
      <c r="BE1456" t="s">
        <v>247</v>
      </c>
      <c r="BF1456">
        <v>1</v>
      </c>
      <c r="BG1456">
        <v>1</v>
      </c>
      <c r="BH1456">
        <v>1952</v>
      </c>
      <c r="BI1456" t="s">
        <v>18758</v>
      </c>
      <c r="BJ1456" t="s">
        <v>194</v>
      </c>
      <c r="BK1456" t="s">
        <v>195</v>
      </c>
      <c r="BL1456" t="s">
        <v>199</v>
      </c>
      <c r="BM1456" t="s">
        <v>207</v>
      </c>
      <c r="BN1456" t="s">
        <v>182</v>
      </c>
      <c r="BO1456" t="s">
        <v>3842</v>
      </c>
      <c r="BP1456" t="s">
        <v>5669</v>
      </c>
      <c r="BR1456" t="s">
        <v>1461</v>
      </c>
      <c r="BS1456" t="s">
        <v>18759</v>
      </c>
      <c r="BT1456" t="s">
        <v>198</v>
      </c>
      <c r="BU1456" t="s">
        <v>182</v>
      </c>
      <c r="BV1456" t="s">
        <v>198</v>
      </c>
      <c r="BW1456" t="s">
        <v>198</v>
      </c>
      <c r="BX1456" t="s">
        <v>199</v>
      </c>
      <c r="BY1456" t="s">
        <v>198</v>
      </c>
      <c r="BZ1456" t="s">
        <v>199</v>
      </c>
      <c r="CA1456" t="s">
        <v>199</v>
      </c>
      <c r="CB1456" t="s">
        <v>18760</v>
      </c>
      <c r="CC1456" t="s">
        <v>201</v>
      </c>
      <c r="CD1456" t="s">
        <v>182</v>
      </c>
      <c r="CE1456" t="s">
        <v>18761</v>
      </c>
      <c r="CF1456" t="s">
        <v>5331</v>
      </c>
      <c r="CG1456" t="s">
        <v>177</v>
      </c>
      <c r="CH1456" t="s">
        <v>371</v>
      </c>
      <c r="CI1456" t="s">
        <v>18762</v>
      </c>
      <c r="CJ1456" t="s">
        <v>8072</v>
      </c>
      <c r="CK1456" t="s">
        <v>232</v>
      </c>
      <c r="CL1456" t="s">
        <v>233</v>
      </c>
      <c r="CM1456" t="s">
        <v>18763</v>
      </c>
      <c r="CN1456" t="s">
        <v>235</v>
      </c>
      <c r="CO1456" t="s">
        <v>183</v>
      </c>
      <c r="CP1456" t="s">
        <v>211</v>
      </c>
      <c r="CQ1456" t="s">
        <v>342</v>
      </c>
      <c r="CS1456" t="s">
        <v>18764</v>
      </c>
      <c r="CT1456" t="s">
        <v>11154</v>
      </c>
      <c r="CU1456" t="s">
        <v>292</v>
      </c>
      <c r="CV1456" t="s">
        <v>293</v>
      </c>
      <c r="CW1456" t="s">
        <v>18765</v>
      </c>
      <c r="CX1456" t="s">
        <v>235</v>
      </c>
      <c r="CY1456" t="s">
        <v>183</v>
      </c>
      <c r="CZ1456" t="s">
        <v>211</v>
      </c>
      <c r="DA1456" t="s">
        <v>212</v>
      </c>
      <c r="DC1456" t="s">
        <v>10445</v>
      </c>
      <c r="DD1456" t="s">
        <v>9915</v>
      </c>
      <c r="DE1456" t="s">
        <v>267</v>
      </c>
      <c r="DF1456" t="s">
        <v>268</v>
      </c>
      <c r="DG1456" t="s">
        <v>18766</v>
      </c>
      <c r="DH1456" t="s">
        <v>235</v>
      </c>
      <c r="DI1456" t="s">
        <v>183</v>
      </c>
      <c r="DJ1456" t="s">
        <v>211</v>
      </c>
      <c r="DK1456" t="s">
        <v>342</v>
      </c>
      <c r="DM1456" t="s">
        <v>13104</v>
      </c>
      <c r="DN1456" t="s">
        <v>18767</v>
      </c>
      <c r="DO1456" t="s">
        <v>273</v>
      </c>
      <c r="DP1456" t="s">
        <v>274</v>
      </c>
      <c r="DQ1456" t="s">
        <v>18768</v>
      </c>
      <c r="DR1456" t="s">
        <v>235</v>
      </c>
      <c r="DS1456" t="s">
        <v>183</v>
      </c>
      <c r="DT1456" t="s">
        <v>211</v>
      </c>
      <c r="DU1456" t="s">
        <v>206</v>
      </c>
      <c r="DW1456" t="s">
        <v>17367</v>
      </c>
      <c r="DX1456" t="s">
        <v>18769</v>
      </c>
      <c r="DY1456" t="s">
        <v>302</v>
      </c>
      <c r="DZ1456" t="s">
        <v>303</v>
      </c>
      <c r="EA1456" t="s">
        <v>18770</v>
      </c>
      <c r="EB1456" t="s">
        <v>235</v>
      </c>
      <c r="EC1456" t="s">
        <v>183</v>
      </c>
      <c r="ED1456" t="s">
        <v>211</v>
      </c>
      <c r="EE1456" t="s">
        <v>306</v>
      </c>
      <c r="EG1456" t="s">
        <v>17367</v>
      </c>
      <c r="EQ1456" t="s">
        <v>198</v>
      </c>
      <c r="FA1456" t="s">
        <v>198</v>
      </c>
      <c r="FK1456" t="s">
        <v>198</v>
      </c>
      <c r="FU1456" t="s">
        <v>198</v>
      </c>
    </row>
    <row r="1457" spans="1:177">
      <c r="A1457" s="1" t="str">
        <f>HYPERLINK("http://digipan.lumentumllc.com/apps/getLink/index.php?t=PropLink&amp;p=4637619","PL")</f>
        <v>PL</v>
      </c>
      <c r="B1457" s="1" t="str">
        <f>HYPERLINK("http://digipan.lumentumllc.com/apps/getLink/index.php?t=TaxLink&amp;p=4637619","TL")</f>
        <v>TL</v>
      </c>
      <c r="C1457" s="1" t="str">
        <f>HYPERLINK("http://digipan.lumentumllc.com/apps/getMap/index.php?p=4637619","Map")</f>
        <v>Map</v>
      </c>
      <c r="E1457" t="s">
        <v>177</v>
      </c>
      <c r="F1457" t="s">
        <v>178</v>
      </c>
      <c r="L1457" t="s">
        <v>18771</v>
      </c>
      <c r="N1457" t="s">
        <v>18771</v>
      </c>
      <c r="O1457" t="s">
        <v>18771</v>
      </c>
      <c r="P1457" t="s">
        <v>18772</v>
      </c>
      <c r="Q1457" t="s">
        <v>18771</v>
      </c>
      <c r="V1457">
        <v>1675</v>
      </c>
      <c r="W1457">
        <v>6</v>
      </c>
      <c r="X1457">
        <v>2017</v>
      </c>
      <c r="Y1457">
        <v>2018</v>
      </c>
      <c r="Z1457">
        <v>215.09</v>
      </c>
      <c r="AB1457" t="s">
        <v>181</v>
      </c>
      <c r="AC1457" t="s">
        <v>182</v>
      </c>
      <c r="AD1457" t="s">
        <v>183</v>
      </c>
      <c r="AE1457">
        <v>1</v>
      </c>
      <c r="AF1457">
        <v>5</v>
      </c>
      <c r="AG1457" t="s">
        <v>322</v>
      </c>
      <c r="AH1457">
        <v>83</v>
      </c>
      <c r="AI1457">
        <v>212.72</v>
      </c>
      <c r="AJ1457">
        <v>20.74</v>
      </c>
      <c r="AK1457">
        <v>233.46</v>
      </c>
      <c r="AL1457">
        <v>11000</v>
      </c>
      <c r="AM1457">
        <v>11000</v>
      </c>
      <c r="AN1457">
        <v>0</v>
      </c>
      <c r="AO1457">
        <v>172</v>
      </c>
      <c r="AP1457">
        <v>2016</v>
      </c>
      <c r="AQ1457">
        <v>1.96</v>
      </c>
      <c r="AR1457">
        <v>2.12</v>
      </c>
      <c r="AS1457" t="s">
        <v>18773</v>
      </c>
      <c r="AT1457" t="s">
        <v>15040</v>
      </c>
      <c r="AU1457" t="s">
        <v>177</v>
      </c>
      <c r="AV1457" t="s">
        <v>371</v>
      </c>
      <c r="AW1457" t="s">
        <v>182</v>
      </c>
      <c r="AX1457">
        <v>0</v>
      </c>
      <c r="AY1457" t="s">
        <v>312</v>
      </c>
      <c r="AZ1457" t="s">
        <v>199</v>
      </c>
      <c r="BA1457" t="s">
        <v>313</v>
      </c>
      <c r="BB1457" t="s">
        <v>191</v>
      </c>
      <c r="BC1457" t="s">
        <v>182</v>
      </c>
      <c r="BD1457" t="s">
        <v>182</v>
      </c>
      <c r="BE1457" t="s">
        <v>3930</v>
      </c>
      <c r="BF1457">
        <v>0</v>
      </c>
      <c r="BG1457">
        <v>0</v>
      </c>
      <c r="BH1457">
        <v>0</v>
      </c>
      <c r="BI1457" t="s">
        <v>199</v>
      </c>
      <c r="BJ1457" t="s">
        <v>315</v>
      </c>
      <c r="BL1457" t="s">
        <v>199</v>
      </c>
      <c r="BM1457" t="s">
        <v>7155</v>
      </c>
      <c r="BN1457" t="s">
        <v>182</v>
      </c>
      <c r="BO1457" t="s">
        <v>198</v>
      </c>
      <c r="BP1457" t="s">
        <v>198</v>
      </c>
      <c r="BQ1457" t="s">
        <v>198</v>
      </c>
      <c r="BR1457" t="s">
        <v>198</v>
      </c>
      <c r="BS1457" t="s">
        <v>198</v>
      </c>
      <c r="BT1457" t="s">
        <v>198</v>
      </c>
      <c r="BU1457" t="s">
        <v>182</v>
      </c>
      <c r="BV1457" t="s">
        <v>198</v>
      </c>
      <c r="BW1457" t="s">
        <v>198</v>
      </c>
      <c r="BX1457" t="s">
        <v>199</v>
      </c>
      <c r="BY1457" t="s">
        <v>198</v>
      </c>
      <c r="BZ1457" t="s">
        <v>199</v>
      </c>
      <c r="CA1457" t="s">
        <v>199</v>
      </c>
      <c r="CB1457" t="s">
        <v>18774</v>
      </c>
      <c r="CC1457" t="s">
        <v>201</v>
      </c>
      <c r="CD1457" t="s">
        <v>182</v>
      </c>
      <c r="CE1457" t="s">
        <v>18775</v>
      </c>
      <c r="CF1457" t="s">
        <v>5331</v>
      </c>
      <c r="CG1457" t="s">
        <v>177</v>
      </c>
      <c r="CH1457" t="s">
        <v>371</v>
      </c>
      <c r="CI1457" t="s">
        <v>18776</v>
      </c>
      <c r="CJ1457" t="s">
        <v>18535</v>
      </c>
      <c r="CK1457" t="s">
        <v>232</v>
      </c>
      <c r="CL1457" t="s">
        <v>233</v>
      </c>
      <c r="CM1457" t="s">
        <v>18777</v>
      </c>
      <c r="CN1457" t="s">
        <v>341</v>
      </c>
      <c r="CO1457" t="s">
        <v>183</v>
      </c>
      <c r="CP1457" t="s">
        <v>266</v>
      </c>
      <c r="CS1457" t="s">
        <v>198</v>
      </c>
      <c r="CT1457" t="s">
        <v>15328</v>
      </c>
      <c r="CU1457" t="s">
        <v>292</v>
      </c>
      <c r="CV1457" t="s">
        <v>293</v>
      </c>
      <c r="CW1457" t="s">
        <v>18778</v>
      </c>
      <c r="CX1457" t="s">
        <v>387</v>
      </c>
      <c r="CY1457" t="s">
        <v>183</v>
      </c>
      <c r="CZ1457" t="s">
        <v>211</v>
      </c>
      <c r="DA1457" t="s">
        <v>345</v>
      </c>
      <c r="DC1457" t="s">
        <v>1609</v>
      </c>
      <c r="DD1457" t="s">
        <v>12502</v>
      </c>
      <c r="DE1457" t="s">
        <v>267</v>
      </c>
      <c r="DF1457" t="s">
        <v>268</v>
      </c>
      <c r="DG1457" t="s">
        <v>18779</v>
      </c>
      <c r="DH1457" t="s">
        <v>1722</v>
      </c>
      <c r="DI1457" t="s">
        <v>183</v>
      </c>
      <c r="DJ1457" t="s">
        <v>211</v>
      </c>
      <c r="DK1457" t="s">
        <v>337</v>
      </c>
      <c r="DM1457" t="s">
        <v>10934</v>
      </c>
      <c r="DN1457" t="s">
        <v>17651</v>
      </c>
      <c r="DO1457" t="s">
        <v>273</v>
      </c>
      <c r="DP1457" t="s">
        <v>274</v>
      </c>
      <c r="DQ1457" t="s">
        <v>18780</v>
      </c>
      <c r="DR1457" t="s">
        <v>511</v>
      </c>
      <c r="DS1457" t="s">
        <v>183</v>
      </c>
      <c r="DT1457" t="s">
        <v>211</v>
      </c>
      <c r="DU1457" t="s">
        <v>345</v>
      </c>
      <c r="DW1457" t="s">
        <v>11099</v>
      </c>
      <c r="DX1457" t="s">
        <v>18781</v>
      </c>
      <c r="DY1457" t="s">
        <v>302</v>
      </c>
      <c r="DZ1457" t="s">
        <v>303</v>
      </c>
      <c r="EA1457" t="s">
        <v>18782</v>
      </c>
      <c r="EB1457" t="s">
        <v>278</v>
      </c>
      <c r="EC1457" t="s">
        <v>183</v>
      </c>
      <c r="ED1457" t="s">
        <v>211</v>
      </c>
      <c r="EE1457" t="s">
        <v>298</v>
      </c>
      <c r="EG1457" t="s">
        <v>464</v>
      </c>
      <c r="EH1457" t="s">
        <v>12342</v>
      </c>
      <c r="EI1457" t="s">
        <v>238</v>
      </c>
      <c r="EJ1457" t="s">
        <v>239</v>
      </c>
      <c r="EK1457" t="s">
        <v>18783</v>
      </c>
      <c r="EL1457" t="s">
        <v>278</v>
      </c>
      <c r="EM1457" t="s">
        <v>183</v>
      </c>
      <c r="EN1457" t="s">
        <v>211</v>
      </c>
      <c r="EO1457" t="s">
        <v>345</v>
      </c>
      <c r="EQ1457" t="s">
        <v>2753</v>
      </c>
      <c r="FA1457" t="s">
        <v>198</v>
      </c>
      <c r="FK1457" t="s">
        <v>198</v>
      </c>
      <c r="FU1457" t="s">
        <v>198</v>
      </c>
    </row>
    <row r="1458" spans="1:177">
      <c r="A1458" s="1" t="str">
        <f>HYPERLINK("http://digipan.lumentumllc.com/apps/getLink/index.php?t=PropLink&amp;p=5246060","PL")</f>
        <v>PL</v>
      </c>
      <c r="B1458" s="1" t="str">
        <f>HYPERLINK("http://digipan.lumentumllc.com/apps/getLink/index.php?t=TaxLink&amp;p=5246060","TL")</f>
        <v>TL</v>
      </c>
      <c r="C1458" s="1" t="str">
        <f>HYPERLINK("http://digipan.lumentumllc.com/apps/getMap/index.php?p=5246060","Map")</f>
        <v>Map</v>
      </c>
      <c r="E1458" t="s">
        <v>177</v>
      </c>
      <c r="F1458" t="s">
        <v>178</v>
      </c>
      <c r="L1458" t="s">
        <v>18784</v>
      </c>
      <c r="N1458" t="s">
        <v>18784</v>
      </c>
      <c r="O1458" t="s">
        <v>18784</v>
      </c>
      <c r="P1458" t="s">
        <v>18785</v>
      </c>
      <c r="Q1458" t="s">
        <v>18784</v>
      </c>
      <c r="V1458">
        <v>1676</v>
      </c>
      <c r="W1458">
        <v>6</v>
      </c>
      <c r="X1458">
        <v>2017</v>
      </c>
      <c r="Y1458">
        <v>2018</v>
      </c>
      <c r="Z1458">
        <v>561.67999999999995</v>
      </c>
      <c r="AB1458" t="s">
        <v>181</v>
      </c>
      <c r="AC1458" t="s">
        <v>182</v>
      </c>
      <c r="AD1458" t="s">
        <v>183</v>
      </c>
      <c r="AE1458">
        <v>1</v>
      </c>
      <c r="AF1458">
        <v>6</v>
      </c>
      <c r="AG1458" t="s">
        <v>322</v>
      </c>
      <c r="AH1458">
        <v>83</v>
      </c>
      <c r="AI1458">
        <v>537.41</v>
      </c>
      <c r="AJ1458">
        <v>26.87</v>
      </c>
      <c r="AK1458">
        <v>564.28</v>
      </c>
      <c r="AL1458">
        <v>32391</v>
      </c>
      <c r="AM1458">
        <v>11000</v>
      </c>
      <c r="AN1458">
        <v>21391</v>
      </c>
      <c r="AO1458">
        <v>472</v>
      </c>
      <c r="AP1458">
        <v>2016</v>
      </c>
      <c r="AQ1458">
        <v>1.73</v>
      </c>
      <c r="AR1458">
        <v>1.74</v>
      </c>
      <c r="AS1458" t="s">
        <v>18786</v>
      </c>
      <c r="AT1458" t="s">
        <v>15040</v>
      </c>
      <c r="AU1458" t="s">
        <v>177</v>
      </c>
      <c r="AV1458" t="s">
        <v>371</v>
      </c>
      <c r="AW1458" t="s">
        <v>182</v>
      </c>
      <c r="AX1458">
        <v>1</v>
      </c>
      <c r="AY1458" t="s">
        <v>188</v>
      </c>
      <c r="AZ1458" t="s">
        <v>206</v>
      </c>
      <c r="BA1458" t="s">
        <v>355</v>
      </c>
      <c r="BB1458" t="s">
        <v>191</v>
      </c>
      <c r="BC1458" t="s">
        <v>182</v>
      </c>
      <c r="BD1458" t="s">
        <v>182</v>
      </c>
      <c r="BE1458" t="s">
        <v>3930</v>
      </c>
      <c r="BF1458">
        <v>1</v>
      </c>
      <c r="BG1458">
        <v>1</v>
      </c>
      <c r="BH1458">
        <v>1961</v>
      </c>
      <c r="BI1458" t="s">
        <v>7907</v>
      </c>
      <c r="BJ1458" t="s">
        <v>285</v>
      </c>
      <c r="BK1458" t="s">
        <v>195</v>
      </c>
      <c r="BL1458" t="s">
        <v>841</v>
      </c>
      <c r="BM1458" t="s">
        <v>1041</v>
      </c>
      <c r="BN1458" t="s">
        <v>182</v>
      </c>
      <c r="BO1458" t="s">
        <v>198</v>
      </c>
      <c r="BP1458" t="s">
        <v>198</v>
      </c>
      <c r="BQ1458" t="s">
        <v>198</v>
      </c>
      <c r="BR1458" t="s">
        <v>198</v>
      </c>
      <c r="BS1458" t="s">
        <v>198</v>
      </c>
      <c r="BT1458" t="s">
        <v>198</v>
      </c>
      <c r="BU1458" t="s">
        <v>182</v>
      </c>
      <c r="BV1458" t="s">
        <v>198</v>
      </c>
      <c r="BW1458" t="s">
        <v>198</v>
      </c>
      <c r="BX1458" t="s">
        <v>199</v>
      </c>
      <c r="BY1458" t="s">
        <v>198</v>
      </c>
      <c r="BZ1458" t="s">
        <v>199</v>
      </c>
      <c r="CA1458" t="s">
        <v>199</v>
      </c>
      <c r="CB1458" t="s">
        <v>18787</v>
      </c>
      <c r="CC1458" t="s">
        <v>201</v>
      </c>
      <c r="CD1458" t="s">
        <v>182</v>
      </c>
      <c r="CE1458" t="s">
        <v>18788</v>
      </c>
      <c r="CF1458" t="s">
        <v>5331</v>
      </c>
      <c r="CG1458" t="s">
        <v>177</v>
      </c>
      <c r="CH1458" t="s">
        <v>371</v>
      </c>
      <c r="CI1458" t="s">
        <v>18789</v>
      </c>
      <c r="CJ1458" t="s">
        <v>18546</v>
      </c>
      <c r="CK1458" t="s">
        <v>232</v>
      </c>
      <c r="CL1458" t="s">
        <v>233</v>
      </c>
      <c r="CM1458" t="s">
        <v>18790</v>
      </c>
      <c r="CN1458" t="s">
        <v>235</v>
      </c>
      <c r="CO1458" t="s">
        <v>183</v>
      </c>
      <c r="CP1458" t="s">
        <v>266</v>
      </c>
      <c r="CS1458" t="s">
        <v>198</v>
      </c>
      <c r="CT1458" t="s">
        <v>14572</v>
      </c>
      <c r="CU1458" t="s">
        <v>292</v>
      </c>
      <c r="CV1458" t="s">
        <v>293</v>
      </c>
      <c r="CW1458" t="s">
        <v>18791</v>
      </c>
      <c r="CX1458" t="s">
        <v>235</v>
      </c>
      <c r="CY1458" t="s">
        <v>183</v>
      </c>
      <c r="CZ1458" t="s">
        <v>211</v>
      </c>
      <c r="DA1458" t="s">
        <v>189</v>
      </c>
      <c r="DC1458" t="s">
        <v>18792</v>
      </c>
      <c r="DD1458" t="s">
        <v>17954</v>
      </c>
      <c r="DE1458" t="s">
        <v>267</v>
      </c>
      <c r="DF1458" t="s">
        <v>268</v>
      </c>
      <c r="DG1458" t="s">
        <v>18793</v>
      </c>
      <c r="DH1458" t="s">
        <v>482</v>
      </c>
      <c r="DI1458" t="s">
        <v>183</v>
      </c>
      <c r="DJ1458" t="s">
        <v>211</v>
      </c>
      <c r="DK1458" t="s">
        <v>460</v>
      </c>
      <c r="DM1458" t="s">
        <v>18792</v>
      </c>
      <c r="DN1458" t="s">
        <v>814</v>
      </c>
      <c r="DO1458" t="s">
        <v>273</v>
      </c>
      <c r="DP1458" t="s">
        <v>274</v>
      </c>
      <c r="DQ1458" t="s">
        <v>18794</v>
      </c>
      <c r="DR1458" t="s">
        <v>4595</v>
      </c>
      <c r="DS1458" t="s">
        <v>183</v>
      </c>
      <c r="DT1458" t="s">
        <v>211</v>
      </c>
      <c r="DU1458" t="s">
        <v>847</v>
      </c>
      <c r="DW1458" t="s">
        <v>18792</v>
      </c>
      <c r="DX1458" t="s">
        <v>10222</v>
      </c>
      <c r="DY1458" t="s">
        <v>302</v>
      </c>
      <c r="DZ1458" t="s">
        <v>303</v>
      </c>
      <c r="EA1458" t="s">
        <v>18795</v>
      </c>
      <c r="EB1458" t="s">
        <v>436</v>
      </c>
      <c r="EC1458" t="s">
        <v>183</v>
      </c>
      <c r="ED1458" t="s">
        <v>211</v>
      </c>
      <c r="EE1458" t="s">
        <v>847</v>
      </c>
      <c r="EG1458" t="s">
        <v>18796</v>
      </c>
      <c r="EH1458" t="s">
        <v>14684</v>
      </c>
      <c r="EI1458" t="s">
        <v>238</v>
      </c>
      <c r="EJ1458" t="s">
        <v>239</v>
      </c>
      <c r="EK1458" t="s">
        <v>18797</v>
      </c>
      <c r="EL1458" t="s">
        <v>389</v>
      </c>
      <c r="EM1458" t="s">
        <v>183</v>
      </c>
      <c r="EN1458" t="s">
        <v>211</v>
      </c>
      <c r="EO1458" t="s">
        <v>963</v>
      </c>
      <c r="EQ1458" t="s">
        <v>4185</v>
      </c>
      <c r="ER1458" t="s">
        <v>7285</v>
      </c>
      <c r="ES1458" t="s">
        <v>207</v>
      </c>
      <c r="ET1458" t="s">
        <v>208</v>
      </c>
      <c r="EU1458" t="s">
        <v>18798</v>
      </c>
      <c r="EV1458" t="s">
        <v>1052</v>
      </c>
      <c r="EW1458" t="s">
        <v>183</v>
      </c>
      <c r="EX1458" t="s">
        <v>211</v>
      </c>
      <c r="EY1458" t="s">
        <v>18799</v>
      </c>
      <c r="FA1458" t="s">
        <v>18796</v>
      </c>
      <c r="FK1458" t="s">
        <v>198</v>
      </c>
      <c r="FU1458" t="s">
        <v>198</v>
      </c>
    </row>
    <row r="1459" spans="1:177">
      <c r="A1459" s="1" t="str">
        <f>HYPERLINK("http://digipan.lumentumllc.com/apps/getLink/index.php?t=PropLink&amp;p=5246064","PL")</f>
        <v>PL</v>
      </c>
      <c r="B1459" s="1" t="str">
        <f>HYPERLINK("http://digipan.lumentumllc.com/apps/getLink/index.php?t=TaxLink&amp;p=5246064","TL")</f>
        <v>TL</v>
      </c>
      <c r="C1459" s="1" t="str">
        <f>HYPERLINK("http://digipan.lumentumllc.com/apps/getMap/index.php?p=5246064","Map")</f>
        <v>Map</v>
      </c>
      <c r="E1459" t="s">
        <v>177</v>
      </c>
      <c r="F1459" t="s">
        <v>178</v>
      </c>
      <c r="L1459" t="s">
        <v>18800</v>
      </c>
      <c r="N1459" t="s">
        <v>18800</v>
      </c>
      <c r="O1459" t="s">
        <v>18800</v>
      </c>
      <c r="P1459" t="s">
        <v>18801</v>
      </c>
      <c r="Q1459" t="s">
        <v>18800</v>
      </c>
      <c r="V1459">
        <v>1678</v>
      </c>
      <c r="W1459">
        <v>6</v>
      </c>
      <c r="X1459">
        <v>2017</v>
      </c>
      <c r="Y1459">
        <v>2018</v>
      </c>
      <c r="Z1459">
        <v>215.09</v>
      </c>
      <c r="AB1459" t="s">
        <v>181</v>
      </c>
      <c r="AC1459" t="s">
        <v>182</v>
      </c>
      <c r="AD1459" t="s">
        <v>183</v>
      </c>
      <c r="AE1459">
        <v>1</v>
      </c>
      <c r="AF1459">
        <v>5</v>
      </c>
      <c r="AG1459" t="s">
        <v>951</v>
      </c>
      <c r="AH1459">
        <v>80</v>
      </c>
      <c r="AI1459">
        <v>212.72</v>
      </c>
      <c r="AJ1459">
        <v>20.74</v>
      </c>
      <c r="AK1459">
        <v>233.46</v>
      </c>
      <c r="AL1459">
        <v>11000</v>
      </c>
      <c r="AM1459">
        <v>11000</v>
      </c>
      <c r="AN1459">
        <v>0</v>
      </c>
      <c r="AO1459">
        <v>172</v>
      </c>
      <c r="AP1459">
        <v>2016</v>
      </c>
      <c r="AQ1459">
        <v>1.96</v>
      </c>
      <c r="AR1459">
        <v>2.12</v>
      </c>
      <c r="AS1459" t="s">
        <v>18802</v>
      </c>
      <c r="AT1459" t="s">
        <v>15040</v>
      </c>
      <c r="AU1459" t="s">
        <v>177</v>
      </c>
      <c r="AV1459" t="s">
        <v>371</v>
      </c>
      <c r="AW1459" t="s">
        <v>182</v>
      </c>
      <c r="AX1459">
        <v>0</v>
      </c>
      <c r="AY1459" t="s">
        <v>312</v>
      </c>
      <c r="AZ1459" t="s">
        <v>199</v>
      </c>
      <c r="BA1459" t="s">
        <v>313</v>
      </c>
      <c r="BB1459" t="s">
        <v>191</v>
      </c>
      <c r="BC1459" t="s">
        <v>182</v>
      </c>
      <c r="BD1459" t="s">
        <v>182</v>
      </c>
      <c r="BE1459" t="s">
        <v>3930</v>
      </c>
      <c r="BF1459">
        <v>0</v>
      </c>
      <c r="BG1459">
        <v>0</v>
      </c>
      <c r="BH1459">
        <v>0</v>
      </c>
      <c r="BI1459" t="s">
        <v>199</v>
      </c>
      <c r="BJ1459" t="s">
        <v>248</v>
      </c>
      <c r="BL1459" t="s">
        <v>2395</v>
      </c>
      <c r="BM1459" t="s">
        <v>1041</v>
      </c>
      <c r="BN1459" t="s">
        <v>182</v>
      </c>
      <c r="BO1459" t="s">
        <v>198</v>
      </c>
      <c r="BP1459" t="s">
        <v>198</v>
      </c>
      <c r="BQ1459" t="s">
        <v>198</v>
      </c>
      <c r="BR1459" t="s">
        <v>198</v>
      </c>
      <c r="BS1459" t="s">
        <v>198</v>
      </c>
      <c r="BT1459" t="s">
        <v>198</v>
      </c>
      <c r="BU1459" t="s">
        <v>182</v>
      </c>
      <c r="BV1459" t="s">
        <v>198</v>
      </c>
      <c r="BW1459" t="s">
        <v>198</v>
      </c>
      <c r="BX1459" t="s">
        <v>199</v>
      </c>
      <c r="BY1459" t="s">
        <v>198</v>
      </c>
      <c r="BZ1459" t="s">
        <v>199</v>
      </c>
      <c r="CA1459" t="s">
        <v>199</v>
      </c>
      <c r="CB1459" t="s">
        <v>18787</v>
      </c>
      <c r="CC1459" t="s">
        <v>201</v>
      </c>
      <c r="CD1459" t="s">
        <v>182</v>
      </c>
      <c r="CE1459" t="s">
        <v>18788</v>
      </c>
      <c r="CF1459" t="s">
        <v>5331</v>
      </c>
      <c r="CG1459" t="s">
        <v>177</v>
      </c>
      <c r="CH1459" t="s">
        <v>371</v>
      </c>
      <c r="CI1459" t="s">
        <v>18789</v>
      </c>
      <c r="CJ1459" t="s">
        <v>13935</v>
      </c>
      <c r="CK1459" t="s">
        <v>232</v>
      </c>
      <c r="CL1459" t="s">
        <v>233</v>
      </c>
      <c r="CM1459" t="s">
        <v>18777</v>
      </c>
      <c r="CN1459" t="s">
        <v>341</v>
      </c>
      <c r="CO1459" t="s">
        <v>183</v>
      </c>
      <c r="CP1459" t="s">
        <v>266</v>
      </c>
      <c r="CS1459" t="s">
        <v>198</v>
      </c>
      <c r="CT1459" t="s">
        <v>6266</v>
      </c>
      <c r="CU1459" t="s">
        <v>292</v>
      </c>
      <c r="CV1459" t="s">
        <v>293</v>
      </c>
      <c r="CW1459" t="s">
        <v>18778</v>
      </c>
      <c r="CX1459" t="s">
        <v>482</v>
      </c>
      <c r="CY1459" t="s">
        <v>183</v>
      </c>
      <c r="CZ1459" t="s">
        <v>211</v>
      </c>
      <c r="DA1459" t="s">
        <v>189</v>
      </c>
      <c r="DC1459" t="s">
        <v>18792</v>
      </c>
      <c r="DD1459" t="s">
        <v>16638</v>
      </c>
      <c r="DE1459" t="s">
        <v>267</v>
      </c>
      <c r="DF1459" t="s">
        <v>268</v>
      </c>
      <c r="DG1459" t="s">
        <v>18779</v>
      </c>
      <c r="DH1459" t="s">
        <v>1966</v>
      </c>
      <c r="DI1459" t="s">
        <v>183</v>
      </c>
      <c r="DJ1459" t="s">
        <v>211</v>
      </c>
      <c r="DK1459" t="s">
        <v>460</v>
      </c>
      <c r="DM1459" t="s">
        <v>18792</v>
      </c>
      <c r="DN1459" t="s">
        <v>873</v>
      </c>
      <c r="DO1459" t="s">
        <v>273</v>
      </c>
      <c r="DP1459" t="s">
        <v>274</v>
      </c>
      <c r="DQ1459" t="s">
        <v>18780</v>
      </c>
      <c r="DR1459" t="s">
        <v>400</v>
      </c>
      <c r="DS1459" t="s">
        <v>183</v>
      </c>
      <c r="DT1459" t="s">
        <v>211</v>
      </c>
      <c r="DU1459" t="s">
        <v>847</v>
      </c>
      <c r="DW1459" t="s">
        <v>18792</v>
      </c>
      <c r="DX1459" t="s">
        <v>14713</v>
      </c>
      <c r="DY1459" t="s">
        <v>238</v>
      </c>
      <c r="DZ1459" t="s">
        <v>239</v>
      </c>
      <c r="EA1459" t="s">
        <v>18803</v>
      </c>
      <c r="EB1459" t="s">
        <v>254</v>
      </c>
      <c r="EC1459" t="s">
        <v>183</v>
      </c>
      <c r="ED1459" t="s">
        <v>211</v>
      </c>
      <c r="EE1459" t="s">
        <v>339</v>
      </c>
      <c r="EG1459" t="s">
        <v>11918</v>
      </c>
      <c r="EH1459" t="s">
        <v>18804</v>
      </c>
      <c r="EI1459" t="s">
        <v>207</v>
      </c>
      <c r="EJ1459" t="s">
        <v>208</v>
      </c>
      <c r="EK1459" t="s">
        <v>18805</v>
      </c>
      <c r="EL1459" t="s">
        <v>576</v>
      </c>
      <c r="EM1459" t="s">
        <v>183</v>
      </c>
      <c r="EN1459" t="s">
        <v>211</v>
      </c>
      <c r="EO1459" t="s">
        <v>966</v>
      </c>
      <c r="EQ1459" t="s">
        <v>11918</v>
      </c>
      <c r="FA1459" t="s">
        <v>198</v>
      </c>
      <c r="FK1459" t="s">
        <v>198</v>
      </c>
      <c r="FU1459" t="s">
        <v>198</v>
      </c>
    </row>
    <row r="1460" spans="1:177">
      <c r="A1460" s="1" t="str">
        <f>HYPERLINK("http://digipan.lumentumllc.com/apps/getLink/index.php?t=PropLink&amp;p=5246066","PL")</f>
        <v>PL</v>
      </c>
      <c r="B1460" s="1" t="str">
        <f>HYPERLINK("http://digipan.lumentumllc.com/apps/getLink/index.php?t=TaxLink&amp;p=5246066","TL")</f>
        <v>TL</v>
      </c>
      <c r="C1460" s="1" t="str">
        <f>HYPERLINK("http://digipan.lumentumllc.com/apps/getMap/index.php?p=5246066","Map")</f>
        <v>Map</v>
      </c>
      <c r="E1460" t="s">
        <v>177</v>
      </c>
      <c r="F1460" t="s">
        <v>178</v>
      </c>
      <c r="L1460" t="s">
        <v>18806</v>
      </c>
      <c r="N1460" t="s">
        <v>18806</v>
      </c>
      <c r="O1460" t="s">
        <v>18806</v>
      </c>
      <c r="P1460" t="s">
        <v>18807</v>
      </c>
      <c r="Q1460" t="s">
        <v>18806</v>
      </c>
      <c r="V1460">
        <v>1679</v>
      </c>
      <c r="W1460">
        <v>6</v>
      </c>
      <c r="X1460">
        <v>2017</v>
      </c>
      <c r="Y1460">
        <v>2018</v>
      </c>
      <c r="Z1460">
        <v>215.09</v>
      </c>
      <c r="AB1460" t="s">
        <v>181</v>
      </c>
      <c r="AC1460" t="s">
        <v>182</v>
      </c>
      <c r="AD1460" t="s">
        <v>183</v>
      </c>
      <c r="AE1460">
        <v>1</v>
      </c>
      <c r="AF1460">
        <v>4</v>
      </c>
      <c r="AG1460" t="s">
        <v>257</v>
      </c>
      <c r="AH1460">
        <v>75</v>
      </c>
      <c r="AI1460">
        <v>212.72</v>
      </c>
      <c r="AJ1460">
        <v>20.74</v>
      </c>
      <c r="AK1460">
        <v>233.46</v>
      </c>
      <c r="AL1460">
        <v>11000</v>
      </c>
      <c r="AM1460">
        <v>11000</v>
      </c>
      <c r="AN1460">
        <v>0</v>
      </c>
      <c r="AO1460">
        <v>172</v>
      </c>
      <c r="AP1460">
        <v>2016</v>
      </c>
      <c r="AQ1460">
        <v>1.96</v>
      </c>
      <c r="AR1460">
        <v>2.12</v>
      </c>
      <c r="AS1460" t="s">
        <v>18773</v>
      </c>
      <c r="AT1460" t="s">
        <v>15040</v>
      </c>
      <c r="AU1460" t="s">
        <v>177</v>
      </c>
      <c r="AV1460" t="s">
        <v>371</v>
      </c>
      <c r="AW1460" t="s">
        <v>182</v>
      </c>
      <c r="AX1460">
        <v>0</v>
      </c>
      <c r="AY1460" t="s">
        <v>312</v>
      </c>
      <c r="AZ1460" t="s">
        <v>199</v>
      </c>
      <c r="BA1460" t="s">
        <v>313</v>
      </c>
      <c r="BB1460" t="s">
        <v>191</v>
      </c>
      <c r="BC1460" t="s">
        <v>182</v>
      </c>
      <c r="BD1460" t="s">
        <v>182</v>
      </c>
      <c r="BE1460" t="s">
        <v>3930</v>
      </c>
      <c r="BF1460">
        <v>0</v>
      </c>
      <c r="BG1460">
        <v>0</v>
      </c>
      <c r="BH1460">
        <v>0</v>
      </c>
      <c r="BI1460" t="s">
        <v>199</v>
      </c>
      <c r="BJ1460" t="s">
        <v>315</v>
      </c>
      <c r="BL1460" t="s">
        <v>199</v>
      </c>
      <c r="BM1460" t="s">
        <v>302</v>
      </c>
      <c r="BN1460" t="s">
        <v>182</v>
      </c>
      <c r="BO1460" t="s">
        <v>198</v>
      </c>
      <c r="BP1460" t="s">
        <v>198</v>
      </c>
      <c r="BQ1460" t="s">
        <v>198</v>
      </c>
      <c r="BR1460" t="s">
        <v>198</v>
      </c>
      <c r="BS1460" t="s">
        <v>198</v>
      </c>
      <c r="BT1460" t="s">
        <v>198</v>
      </c>
      <c r="BU1460" t="s">
        <v>182</v>
      </c>
      <c r="BV1460" t="s">
        <v>198</v>
      </c>
      <c r="BW1460" t="s">
        <v>198</v>
      </c>
      <c r="BX1460" t="s">
        <v>199</v>
      </c>
      <c r="BY1460" t="s">
        <v>198</v>
      </c>
      <c r="BZ1460" t="s">
        <v>199</v>
      </c>
      <c r="CA1460" t="s">
        <v>199</v>
      </c>
      <c r="CB1460" t="s">
        <v>18808</v>
      </c>
      <c r="CC1460" t="s">
        <v>201</v>
      </c>
      <c r="CD1460" t="s">
        <v>182</v>
      </c>
      <c r="CE1460" t="s">
        <v>18809</v>
      </c>
      <c r="CF1460" t="s">
        <v>5331</v>
      </c>
      <c r="CG1460" t="s">
        <v>177</v>
      </c>
      <c r="CH1460" t="s">
        <v>371</v>
      </c>
      <c r="CI1460" t="s">
        <v>18810</v>
      </c>
      <c r="CJ1460" t="s">
        <v>13946</v>
      </c>
      <c r="CK1460" t="s">
        <v>232</v>
      </c>
      <c r="CL1460" t="s">
        <v>233</v>
      </c>
      <c r="CM1460" t="s">
        <v>18777</v>
      </c>
      <c r="CN1460" t="s">
        <v>341</v>
      </c>
      <c r="CO1460" t="s">
        <v>183</v>
      </c>
      <c r="CP1460" t="s">
        <v>266</v>
      </c>
      <c r="CS1460" t="s">
        <v>198</v>
      </c>
      <c r="CT1460" t="s">
        <v>7349</v>
      </c>
      <c r="CU1460" t="s">
        <v>292</v>
      </c>
      <c r="CV1460" t="s">
        <v>293</v>
      </c>
      <c r="CW1460" t="s">
        <v>18778</v>
      </c>
      <c r="CX1460" t="s">
        <v>235</v>
      </c>
      <c r="CY1460" t="s">
        <v>183</v>
      </c>
      <c r="CZ1460" t="s">
        <v>211</v>
      </c>
      <c r="DA1460" t="s">
        <v>523</v>
      </c>
      <c r="DC1460" t="s">
        <v>12207</v>
      </c>
      <c r="DD1460" t="s">
        <v>2028</v>
      </c>
      <c r="DE1460" t="s">
        <v>273</v>
      </c>
      <c r="DF1460" t="s">
        <v>274</v>
      </c>
      <c r="DG1460" t="s">
        <v>18780</v>
      </c>
      <c r="DH1460" t="s">
        <v>235</v>
      </c>
      <c r="DI1460" t="s">
        <v>183</v>
      </c>
      <c r="DJ1460" t="s">
        <v>211</v>
      </c>
      <c r="DK1460" t="s">
        <v>329</v>
      </c>
      <c r="DM1460" t="s">
        <v>2184</v>
      </c>
      <c r="DN1460" t="s">
        <v>18811</v>
      </c>
      <c r="DO1460" t="s">
        <v>346</v>
      </c>
      <c r="DP1460" t="s">
        <v>347</v>
      </c>
      <c r="DQ1460" t="s">
        <v>18812</v>
      </c>
      <c r="DR1460" t="s">
        <v>278</v>
      </c>
      <c r="DS1460" t="s">
        <v>183</v>
      </c>
      <c r="DT1460" t="s">
        <v>211</v>
      </c>
      <c r="DU1460" t="s">
        <v>298</v>
      </c>
      <c r="DW1460" t="s">
        <v>1818</v>
      </c>
      <c r="DX1460" t="s">
        <v>11194</v>
      </c>
      <c r="DY1460" t="s">
        <v>207</v>
      </c>
      <c r="DZ1460" t="s">
        <v>208</v>
      </c>
      <c r="EA1460" t="s">
        <v>18813</v>
      </c>
      <c r="EB1460" t="s">
        <v>341</v>
      </c>
      <c r="EC1460" t="s">
        <v>183</v>
      </c>
      <c r="ED1460" t="s">
        <v>211</v>
      </c>
      <c r="EE1460" t="s">
        <v>296</v>
      </c>
      <c r="EG1460" t="s">
        <v>18814</v>
      </c>
      <c r="EQ1460" t="s">
        <v>198</v>
      </c>
      <c r="FA1460" t="s">
        <v>198</v>
      </c>
      <c r="FK1460" t="s">
        <v>198</v>
      </c>
      <c r="FU1460" t="s">
        <v>198</v>
      </c>
    </row>
    <row r="1461" spans="1:177">
      <c r="A1461" s="1" t="str">
        <f>HYPERLINK("http://digipan.lumentumllc.com/apps/getLink/index.php?t=PropLink&amp;p=7112409","PL")</f>
        <v>PL</v>
      </c>
      <c r="B1461" s="1" t="str">
        <f>HYPERLINK("http://digipan.lumentumllc.com/apps/getLink/index.php?t=TaxLink&amp;p=7112409","TL")</f>
        <v>TL</v>
      </c>
      <c r="C1461" s="1" t="str">
        <f>HYPERLINK("http://digipan.lumentumllc.com/apps/getMap/index.php?p=7112409","Map")</f>
        <v>Map</v>
      </c>
      <c r="E1461" t="s">
        <v>177</v>
      </c>
      <c r="F1461" t="s">
        <v>178</v>
      </c>
      <c r="L1461" t="s">
        <v>18815</v>
      </c>
      <c r="N1461" t="s">
        <v>18815</v>
      </c>
      <c r="O1461" t="s">
        <v>18815</v>
      </c>
      <c r="P1461" t="s">
        <v>18816</v>
      </c>
      <c r="Q1461" t="s">
        <v>18815</v>
      </c>
      <c r="V1461">
        <v>1680</v>
      </c>
      <c r="W1461">
        <v>6</v>
      </c>
      <c r="X1461">
        <v>2017</v>
      </c>
      <c r="Y1461">
        <v>2018</v>
      </c>
      <c r="Z1461">
        <v>215.09</v>
      </c>
      <c r="AB1461" t="s">
        <v>181</v>
      </c>
      <c r="AC1461" t="s">
        <v>182</v>
      </c>
      <c r="AD1461" t="s">
        <v>183</v>
      </c>
      <c r="AE1461">
        <v>1</v>
      </c>
      <c r="AF1461">
        <v>1</v>
      </c>
      <c r="AG1461" t="s">
        <v>2222</v>
      </c>
      <c r="AH1461">
        <v>50</v>
      </c>
      <c r="AI1461">
        <v>212.72</v>
      </c>
      <c r="AJ1461">
        <v>20.74</v>
      </c>
      <c r="AK1461">
        <v>233.46</v>
      </c>
      <c r="AL1461">
        <v>11000</v>
      </c>
      <c r="AM1461">
        <v>11000</v>
      </c>
      <c r="AN1461">
        <v>0</v>
      </c>
      <c r="AO1461">
        <v>172</v>
      </c>
      <c r="AP1461">
        <v>2016</v>
      </c>
      <c r="AQ1461">
        <v>1.96</v>
      </c>
      <c r="AR1461">
        <v>2.12</v>
      </c>
      <c r="AS1461" t="s">
        <v>18817</v>
      </c>
      <c r="AT1461" t="s">
        <v>15040</v>
      </c>
      <c r="AU1461" t="s">
        <v>177</v>
      </c>
      <c r="AV1461" t="s">
        <v>371</v>
      </c>
      <c r="AW1461" t="s">
        <v>182</v>
      </c>
      <c r="AX1461">
        <v>0</v>
      </c>
      <c r="AY1461" t="s">
        <v>312</v>
      </c>
      <c r="AZ1461" t="s">
        <v>199</v>
      </c>
      <c r="BA1461" t="s">
        <v>313</v>
      </c>
      <c r="BB1461" t="s">
        <v>191</v>
      </c>
      <c r="BC1461" t="s">
        <v>182</v>
      </c>
      <c r="BD1461" t="s">
        <v>182</v>
      </c>
      <c r="BE1461" t="s">
        <v>3930</v>
      </c>
      <c r="BF1461">
        <v>0</v>
      </c>
      <c r="BG1461">
        <v>0</v>
      </c>
      <c r="BH1461">
        <v>0</v>
      </c>
      <c r="BI1461" t="s">
        <v>199</v>
      </c>
      <c r="BJ1461" t="s">
        <v>248</v>
      </c>
      <c r="BL1461" t="s">
        <v>199</v>
      </c>
      <c r="BM1461" t="s">
        <v>292</v>
      </c>
      <c r="BN1461" t="s">
        <v>182</v>
      </c>
      <c r="BO1461" t="s">
        <v>18818</v>
      </c>
      <c r="BP1461" t="s">
        <v>18819</v>
      </c>
      <c r="BQ1461" t="s">
        <v>2053</v>
      </c>
      <c r="BS1461" t="s">
        <v>198</v>
      </c>
      <c r="BT1461" t="s">
        <v>18820</v>
      </c>
      <c r="BU1461" t="s">
        <v>182</v>
      </c>
      <c r="BV1461" t="s">
        <v>198</v>
      </c>
      <c r="BW1461" t="s">
        <v>198</v>
      </c>
      <c r="BX1461" t="s">
        <v>199</v>
      </c>
      <c r="BY1461" t="s">
        <v>198</v>
      </c>
      <c r="BZ1461" t="s">
        <v>199</v>
      </c>
      <c r="CA1461" t="s">
        <v>199</v>
      </c>
      <c r="CB1461" t="s">
        <v>18808</v>
      </c>
      <c r="CC1461" t="s">
        <v>201</v>
      </c>
      <c r="CD1461" t="s">
        <v>182</v>
      </c>
      <c r="CE1461" t="s">
        <v>18821</v>
      </c>
      <c r="CF1461" t="s">
        <v>5331</v>
      </c>
      <c r="CG1461" t="s">
        <v>177</v>
      </c>
      <c r="CH1461" t="s">
        <v>371</v>
      </c>
      <c r="CI1461" t="s">
        <v>18822</v>
      </c>
      <c r="CJ1461" t="s">
        <v>4134</v>
      </c>
      <c r="CK1461" t="s">
        <v>232</v>
      </c>
      <c r="CL1461" t="s">
        <v>233</v>
      </c>
      <c r="CM1461" t="s">
        <v>18777</v>
      </c>
      <c r="CN1461" t="s">
        <v>341</v>
      </c>
      <c r="CO1461" t="s">
        <v>183</v>
      </c>
      <c r="CP1461" t="s">
        <v>266</v>
      </c>
      <c r="CS1461" t="s">
        <v>198</v>
      </c>
      <c r="CT1461" t="s">
        <v>2528</v>
      </c>
      <c r="CU1461" t="s">
        <v>292</v>
      </c>
      <c r="CV1461" t="s">
        <v>293</v>
      </c>
      <c r="CW1461" t="s">
        <v>18778</v>
      </c>
      <c r="CX1461" t="s">
        <v>389</v>
      </c>
      <c r="CY1461" t="s">
        <v>183</v>
      </c>
      <c r="CZ1461" t="s">
        <v>211</v>
      </c>
      <c r="DA1461" t="s">
        <v>523</v>
      </c>
      <c r="DC1461" t="s">
        <v>12207</v>
      </c>
      <c r="DM1461" t="s">
        <v>198</v>
      </c>
      <c r="DW1461" t="s">
        <v>198</v>
      </c>
      <c r="EG1461" t="s">
        <v>198</v>
      </c>
      <c r="EQ1461" t="s">
        <v>198</v>
      </c>
      <c r="FA1461" t="s">
        <v>198</v>
      </c>
      <c r="FK1461" t="s">
        <v>198</v>
      </c>
      <c r="FU1461" t="s">
        <v>198</v>
      </c>
    </row>
    <row r="1462" spans="1:177">
      <c r="A1462" s="1" t="str">
        <f>HYPERLINK("http://digipan.lumentumllc.com/apps/getLink/index.php?t=PropLink&amp;p=6886698","PL")</f>
        <v>PL</v>
      </c>
      <c r="B1462" s="1" t="str">
        <f>HYPERLINK("http://digipan.lumentumllc.com/apps/getLink/index.php?t=TaxLink&amp;p=6886698","TL")</f>
        <v>TL</v>
      </c>
      <c r="C1462" s="1" t="str">
        <f>HYPERLINK("","")</f>
        <v/>
      </c>
      <c r="E1462" t="s">
        <v>177</v>
      </c>
      <c r="F1462" t="s">
        <v>178</v>
      </c>
      <c r="L1462" t="s">
        <v>18823</v>
      </c>
      <c r="N1462" t="s">
        <v>18823</v>
      </c>
      <c r="O1462" t="s">
        <v>18823</v>
      </c>
      <c r="P1462" t="s">
        <v>18824</v>
      </c>
      <c r="Q1462" t="s">
        <v>18823</v>
      </c>
      <c r="V1462">
        <v>1681</v>
      </c>
      <c r="W1462">
        <v>6</v>
      </c>
      <c r="X1462">
        <v>2017</v>
      </c>
      <c r="Y1462">
        <v>2018</v>
      </c>
      <c r="Z1462">
        <v>232.08</v>
      </c>
      <c r="AB1462" t="s">
        <v>181</v>
      </c>
      <c r="AC1462" t="s">
        <v>182</v>
      </c>
      <c r="AD1462" t="s">
        <v>183</v>
      </c>
      <c r="AE1462">
        <v>2</v>
      </c>
      <c r="AF1462">
        <v>1</v>
      </c>
      <c r="AG1462" t="s">
        <v>2087</v>
      </c>
      <c r="AH1462">
        <v>33</v>
      </c>
      <c r="AI1462">
        <v>533.61</v>
      </c>
      <c r="AJ1462">
        <v>118.07</v>
      </c>
      <c r="AK1462">
        <v>651.67999999999995</v>
      </c>
      <c r="AL1462">
        <v>12100</v>
      </c>
      <c r="AM1462">
        <v>12100</v>
      </c>
      <c r="AN1462">
        <v>0</v>
      </c>
      <c r="AO1462">
        <v>188</v>
      </c>
      <c r="AP1462">
        <v>2016</v>
      </c>
      <c r="AQ1462">
        <v>1.92</v>
      </c>
      <c r="AR1462">
        <v>5.39</v>
      </c>
      <c r="AS1462" t="s">
        <v>18773</v>
      </c>
      <c r="AT1462" t="s">
        <v>15040</v>
      </c>
      <c r="AU1462" t="s">
        <v>177</v>
      </c>
      <c r="AV1462" t="s">
        <v>371</v>
      </c>
      <c r="AW1462" t="s">
        <v>182</v>
      </c>
      <c r="AX1462">
        <v>0</v>
      </c>
      <c r="AY1462" t="s">
        <v>312</v>
      </c>
      <c r="AZ1462" t="s">
        <v>199</v>
      </c>
      <c r="BA1462" t="s">
        <v>313</v>
      </c>
      <c r="BB1462" t="s">
        <v>191</v>
      </c>
      <c r="BC1462" t="s">
        <v>182</v>
      </c>
      <c r="BD1462" t="s">
        <v>182</v>
      </c>
      <c r="BE1462" t="s">
        <v>1722</v>
      </c>
      <c r="BF1462">
        <v>0</v>
      </c>
      <c r="BG1462">
        <v>0</v>
      </c>
      <c r="BH1462">
        <v>0</v>
      </c>
      <c r="BI1462" t="s">
        <v>199</v>
      </c>
      <c r="BJ1462" t="s">
        <v>315</v>
      </c>
      <c r="BL1462" t="s">
        <v>18825</v>
      </c>
      <c r="BM1462" t="s">
        <v>1041</v>
      </c>
      <c r="BN1462" t="s">
        <v>182</v>
      </c>
      <c r="BO1462" t="s">
        <v>198</v>
      </c>
      <c r="BP1462" t="s">
        <v>198</v>
      </c>
      <c r="BQ1462" t="s">
        <v>198</v>
      </c>
      <c r="BR1462" t="s">
        <v>198</v>
      </c>
      <c r="BS1462" t="s">
        <v>198</v>
      </c>
      <c r="BT1462" t="s">
        <v>198</v>
      </c>
      <c r="BU1462" t="s">
        <v>182</v>
      </c>
      <c r="BV1462" t="s">
        <v>198</v>
      </c>
      <c r="BW1462" t="s">
        <v>198</v>
      </c>
      <c r="BX1462" t="s">
        <v>199</v>
      </c>
      <c r="BY1462" t="s">
        <v>198</v>
      </c>
      <c r="BZ1462" t="s">
        <v>199</v>
      </c>
      <c r="CA1462" t="s">
        <v>199</v>
      </c>
      <c r="CB1462" t="s">
        <v>18787</v>
      </c>
      <c r="CC1462" t="s">
        <v>201</v>
      </c>
      <c r="CD1462" t="s">
        <v>182</v>
      </c>
      <c r="CE1462" t="s">
        <v>18788</v>
      </c>
      <c r="CF1462" t="s">
        <v>5331</v>
      </c>
      <c r="CG1462" t="s">
        <v>177</v>
      </c>
      <c r="CH1462" t="s">
        <v>371</v>
      </c>
      <c r="CI1462" t="s">
        <v>18789</v>
      </c>
      <c r="CJ1462" t="s">
        <v>13963</v>
      </c>
      <c r="CK1462" t="s">
        <v>232</v>
      </c>
      <c r="CL1462" t="s">
        <v>233</v>
      </c>
      <c r="CM1462" t="s">
        <v>18826</v>
      </c>
      <c r="CN1462" t="s">
        <v>341</v>
      </c>
      <c r="CO1462" t="s">
        <v>183</v>
      </c>
      <c r="CP1462" t="s">
        <v>266</v>
      </c>
      <c r="CS1462" t="s">
        <v>198</v>
      </c>
      <c r="CT1462" t="s">
        <v>2554</v>
      </c>
      <c r="CU1462" t="s">
        <v>292</v>
      </c>
      <c r="CV1462" t="s">
        <v>293</v>
      </c>
      <c r="CW1462" t="s">
        <v>18827</v>
      </c>
      <c r="CX1462" t="s">
        <v>389</v>
      </c>
      <c r="CY1462" t="s">
        <v>183</v>
      </c>
      <c r="CZ1462" t="s">
        <v>266</v>
      </c>
      <c r="DC1462" t="s">
        <v>198</v>
      </c>
      <c r="DD1462" t="s">
        <v>18828</v>
      </c>
      <c r="DE1462" t="s">
        <v>267</v>
      </c>
      <c r="DF1462" t="s">
        <v>268</v>
      </c>
      <c r="DG1462" t="s">
        <v>18829</v>
      </c>
      <c r="DH1462" t="s">
        <v>1164</v>
      </c>
      <c r="DI1462" t="s">
        <v>183</v>
      </c>
      <c r="DJ1462" t="s">
        <v>211</v>
      </c>
      <c r="DK1462" t="s">
        <v>345</v>
      </c>
      <c r="DM1462" t="s">
        <v>7547</v>
      </c>
      <c r="DW1462" t="s">
        <v>198</v>
      </c>
      <c r="EG1462" t="s">
        <v>198</v>
      </c>
      <c r="EQ1462" t="s">
        <v>198</v>
      </c>
      <c r="FA1462" t="s">
        <v>198</v>
      </c>
      <c r="FK1462" t="s">
        <v>198</v>
      </c>
      <c r="FU1462" t="s">
        <v>198</v>
      </c>
    </row>
    <row r="1463" spans="1:177">
      <c r="A1463" s="1" t="str">
        <f>HYPERLINK("http://digipan.lumentumllc.com/apps/getLink/index.php?t=PropLink&amp;p=6129103","PL")</f>
        <v>PL</v>
      </c>
      <c r="B1463" s="1" t="str">
        <f>HYPERLINK("http://digipan.lumentumllc.com/apps/getLink/index.php?t=TaxLink&amp;p=6129103","TL")</f>
        <v>TL</v>
      </c>
      <c r="C1463" s="1" t="str">
        <f>HYPERLINK("http://digipan.lumentumllc.com/apps/getMap/index.php?p=6129103","Map")</f>
        <v>Map</v>
      </c>
      <c r="E1463" t="s">
        <v>177</v>
      </c>
      <c r="F1463" t="s">
        <v>178</v>
      </c>
      <c r="L1463" t="s">
        <v>18830</v>
      </c>
      <c r="N1463" t="s">
        <v>18830</v>
      </c>
      <c r="O1463" t="s">
        <v>18830</v>
      </c>
      <c r="P1463" t="s">
        <v>18831</v>
      </c>
      <c r="Q1463" t="s">
        <v>18830</v>
      </c>
      <c r="V1463">
        <v>1682</v>
      </c>
      <c r="W1463">
        <v>6</v>
      </c>
      <c r="X1463">
        <v>2017</v>
      </c>
      <c r="Y1463">
        <v>2018</v>
      </c>
      <c r="Z1463">
        <v>200.58</v>
      </c>
      <c r="AG1463" t="s">
        <v>184</v>
      </c>
      <c r="AH1463">
        <v>0</v>
      </c>
      <c r="AK1463">
        <v>0</v>
      </c>
      <c r="AL1463">
        <v>40592</v>
      </c>
      <c r="AM1463">
        <v>25000</v>
      </c>
      <c r="AN1463">
        <v>15592</v>
      </c>
      <c r="AO1463">
        <v>606</v>
      </c>
      <c r="AP1463">
        <v>2016</v>
      </c>
      <c r="AQ1463">
        <v>0.49</v>
      </c>
      <c r="AS1463" t="s">
        <v>18832</v>
      </c>
      <c r="AT1463" t="s">
        <v>3210</v>
      </c>
      <c r="AU1463" t="s">
        <v>177</v>
      </c>
      <c r="AV1463" t="s">
        <v>2334</v>
      </c>
      <c r="AW1463" t="s">
        <v>182</v>
      </c>
      <c r="AX1463">
        <v>2</v>
      </c>
      <c r="AY1463" t="s">
        <v>188</v>
      </c>
      <c r="AZ1463" t="s">
        <v>189</v>
      </c>
      <c r="BA1463" t="s">
        <v>190</v>
      </c>
      <c r="BB1463" t="s">
        <v>191</v>
      </c>
      <c r="BC1463" t="s">
        <v>182</v>
      </c>
      <c r="BD1463" t="s">
        <v>182</v>
      </c>
      <c r="BE1463" t="s">
        <v>383</v>
      </c>
      <c r="BF1463">
        <v>1</v>
      </c>
      <c r="BG1463">
        <v>1</v>
      </c>
      <c r="BH1463">
        <v>1983</v>
      </c>
      <c r="BI1463" t="s">
        <v>10112</v>
      </c>
      <c r="BJ1463" t="s">
        <v>194</v>
      </c>
      <c r="BK1463" t="s">
        <v>195</v>
      </c>
      <c r="BL1463" t="s">
        <v>6575</v>
      </c>
      <c r="BM1463" t="s">
        <v>1332</v>
      </c>
      <c r="BN1463" t="s">
        <v>182</v>
      </c>
      <c r="BO1463" t="s">
        <v>198</v>
      </c>
      <c r="BP1463" t="s">
        <v>198</v>
      </c>
      <c r="BQ1463" t="s">
        <v>198</v>
      </c>
      <c r="BR1463" t="s">
        <v>198</v>
      </c>
      <c r="BS1463" t="s">
        <v>198</v>
      </c>
      <c r="BT1463" t="s">
        <v>198</v>
      </c>
      <c r="BU1463" t="s">
        <v>182</v>
      </c>
      <c r="BV1463" t="s">
        <v>198</v>
      </c>
      <c r="BW1463" t="s">
        <v>198</v>
      </c>
      <c r="BX1463" t="s">
        <v>199</v>
      </c>
      <c r="BY1463" t="s">
        <v>198</v>
      </c>
      <c r="BZ1463" t="s">
        <v>199</v>
      </c>
      <c r="CA1463" t="s">
        <v>199</v>
      </c>
      <c r="CB1463" t="s">
        <v>18833</v>
      </c>
      <c r="CC1463" t="s">
        <v>201</v>
      </c>
      <c r="CD1463" t="s">
        <v>182</v>
      </c>
      <c r="CE1463" t="s">
        <v>18834</v>
      </c>
      <c r="CF1463" t="s">
        <v>18835</v>
      </c>
      <c r="CG1463" t="s">
        <v>18836</v>
      </c>
      <c r="CH1463" t="s">
        <v>18837</v>
      </c>
      <c r="CI1463" t="s">
        <v>18838</v>
      </c>
      <c r="CS1463" t="s">
        <v>198</v>
      </c>
      <c r="DC1463" t="s">
        <v>198</v>
      </c>
      <c r="DM1463" t="s">
        <v>198</v>
      </c>
      <c r="DW1463" t="s">
        <v>198</v>
      </c>
      <c r="EG1463" t="s">
        <v>198</v>
      </c>
      <c r="EQ1463" t="s">
        <v>198</v>
      </c>
      <c r="FA1463" t="s">
        <v>198</v>
      </c>
      <c r="FK1463" t="s">
        <v>198</v>
      </c>
      <c r="FU1463" t="s">
        <v>198</v>
      </c>
    </row>
    <row r="1464" spans="1:177">
      <c r="A1464" s="1" t="str">
        <f>HYPERLINK("http://digipan.lumentumllc.com/apps/getLink/index.php?t=PropLink&amp;p=6129104","PL")</f>
        <v>PL</v>
      </c>
      <c r="B1464" s="1" t="str">
        <f>HYPERLINK("http://digipan.lumentumllc.com/apps/getLink/index.php?t=TaxLink&amp;p=6129104","TL")</f>
        <v>TL</v>
      </c>
      <c r="C1464" s="1" t="str">
        <f>HYPERLINK("http://digipan.lumentumllc.com/apps/getMap/index.php?p=6129104","Map")</f>
        <v>Map</v>
      </c>
      <c r="E1464" t="s">
        <v>177</v>
      </c>
      <c r="F1464" t="s">
        <v>178</v>
      </c>
      <c r="L1464" t="s">
        <v>18839</v>
      </c>
      <c r="N1464" t="s">
        <v>18839</v>
      </c>
      <c r="O1464" t="s">
        <v>18839</v>
      </c>
      <c r="P1464" t="s">
        <v>18840</v>
      </c>
      <c r="Q1464" t="s">
        <v>18839</v>
      </c>
      <c r="V1464">
        <v>1683</v>
      </c>
      <c r="W1464">
        <v>6</v>
      </c>
      <c r="X1464">
        <v>2017</v>
      </c>
      <c r="Y1464">
        <v>2018</v>
      </c>
      <c r="Z1464">
        <v>947.81</v>
      </c>
      <c r="AB1464" t="s">
        <v>181</v>
      </c>
      <c r="AC1464" t="s">
        <v>182</v>
      </c>
      <c r="AD1464" t="s">
        <v>183</v>
      </c>
      <c r="AE1464">
        <v>1</v>
      </c>
      <c r="AF1464">
        <v>5</v>
      </c>
      <c r="AG1464" t="s">
        <v>322</v>
      </c>
      <c r="AH1464">
        <v>83</v>
      </c>
      <c r="AI1464">
        <v>955.64</v>
      </c>
      <c r="AJ1464">
        <v>47.78</v>
      </c>
      <c r="AK1464">
        <v>1003.42</v>
      </c>
      <c r="AL1464">
        <v>55935</v>
      </c>
      <c r="AM1464">
        <v>55935</v>
      </c>
      <c r="AN1464">
        <v>0</v>
      </c>
      <c r="AO1464">
        <v>859</v>
      </c>
      <c r="AP1464">
        <v>2016</v>
      </c>
      <c r="AQ1464">
        <v>1.69</v>
      </c>
      <c r="AR1464">
        <v>1.79</v>
      </c>
      <c r="AS1464" t="s">
        <v>18841</v>
      </c>
      <c r="AT1464" t="s">
        <v>15040</v>
      </c>
      <c r="AU1464" t="s">
        <v>177</v>
      </c>
      <c r="AV1464" t="s">
        <v>371</v>
      </c>
      <c r="AW1464" t="s">
        <v>182</v>
      </c>
      <c r="AX1464">
        <v>0</v>
      </c>
      <c r="AY1464" t="s">
        <v>312</v>
      </c>
      <c r="AZ1464" t="s">
        <v>199</v>
      </c>
      <c r="BA1464" t="s">
        <v>313</v>
      </c>
      <c r="BB1464" t="s">
        <v>191</v>
      </c>
      <c r="BC1464" t="s">
        <v>182</v>
      </c>
      <c r="BD1464" t="s">
        <v>182</v>
      </c>
      <c r="BE1464" t="s">
        <v>18120</v>
      </c>
      <c r="BF1464">
        <v>0</v>
      </c>
      <c r="BG1464">
        <v>0</v>
      </c>
      <c r="BH1464">
        <v>0</v>
      </c>
      <c r="BI1464" t="s">
        <v>199</v>
      </c>
      <c r="BJ1464" t="s">
        <v>248</v>
      </c>
      <c r="BL1464" t="s">
        <v>199</v>
      </c>
      <c r="BM1464" t="s">
        <v>346</v>
      </c>
      <c r="BN1464" t="s">
        <v>182</v>
      </c>
      <c r="BO1464" t="s">
        <v>198</v>
      </c>
      <c r="BP1464" t="s">
        <v>198</v>
      </c>
      <c r="BQ1464" t="s">
        <v>198</v>
      </c>
      <c r="BR1464" t="s">
        <v>198</v>
      </c>
      <c r="BS1464" t="s">
        <v>198</v>
      </c>
      <c r="BT1464" t="s">
        <v>198</v>
      </c>
      <c r="BU1464" t="s">
        <v>182</v>
      </c>
      <c r="BV1464" t="s">
        <v>198</v>
      </c>
      <c r="BW1464" t="s">
        <v>198</v>
      </c>
      <c r="BX1464" t="s">
        <v>199</v>
      </c>
      <c r="BY1464" t="s">
        <v>198</v>
      </c>
      <c r="BZ1464" t="s">
        <v>199</v>
      </c>
      <c r="CA1464" t="s">
        <v>199</v>
      </c>
      <c r="CB1464" t="s">
        <v>18842</v>
      </c>
      <c r="CC1464" t="s">
        <v>201</v>
      </c>
      <c r="CD1464" t="s">
        <v>202</v>
      </c>
      <c r="CE1464" t="s">
        <v>18843</v>
      </c>
      <c r="CF1464" t="s">
        <v>2333</v>
      </c>
      <c r="CG1464" t="s">
        <v>177</v>
      </c>
      <c r="CH1464" t="s">
        <v>2334</v>
      </c>
      <c r="CI1464" t="s">
        <v>18844</v>
      </c>
      <c r="CJ1464" t="s">
        <v>9622</v>
      </c>
      <c r="CK1464" t="s">
        <v>232</v>
      </c>
      <c r="CL1464" t="s">
        <v>233</v>
      </c>
      <c r="CM1464" t="s">
        <v>15719</v>
      </c>
      <c r="CN1464" t="s">
        <v>235</v>
      </c>
      <c r="CO1464" t="s">
        <v>183</v>
      </c>
      <c r="CP1464" t="s">
        <v>266</v>
      </c>
      <c r="CS1464" t="s">
        <v>198</v>
      </c>
      <c r="CT1464" t="s">
        <v>18348</v>
      </c>
      <c r="CU1464" t="s">
        <v>292</v>
      </c>
      <c r="CV1464" t="s">
        <v>293</v>
      </c>
      <c r="CW1464" t="s">
        <v>18845</v>
      </c>
      <c r="CX1464" t="s">
        <v>331</v>
      </c>
      <c r="CY1464" t="s">
        <v>183</v>
      </c>
      <c r="CZ1464" t="s">
        <v>211</v>
      </c>
      <c r="DA1464" t="s">
        <v>523</v>
      </c>
      <c r="DC1464" t="s">
        <v>18846</v>
      </c>
      <c r="DD1464" t="s">
        <v>8526</v>
      </c>
      <c r="DE1464" t="s">
        <v>267</v>
      </c>
      <c r="DF1464" t="s">
        <v>268</v>
      </c>
      <c r="DG1464" t="s">
        <v>18847</v>
      </c>
      <c r="DH1464" t="s">
        <v>331</v>
      </c>
      <c r="DI1464" t="s">
        <v>183</v>
      </c>
      <c r="DJ1464" t="s">
        <v>211</v>
      </c>
      <c r="DK1464" t="s">
        <v>523</v>
      </c>
      <c r="DM1464" t="s">
        <v>5195</v>
      </c>
      <c r="DN1464" t="s">
        <v>4428</v>
      </c>
      <c r="DO1464" t="s">
        <v>273</v>
      </c>
      <c r="DP1464" t="s">
        <v>274</v>
      </c>
      <c r="DQ1464" t="s">
        <v>18848</v>
      </c>
      <c r="DR1464" t="s">
        <v>796</v>
      </c>
      <c r="DS1464" t="s">
        <v>183</v>
      </c>
      <c r="DT1464" t="s">
        <v>211</v>
      </c>
      <c r="DU1464" t="s">
        <v>298</v>
      </c>
      <c r="DW1464" t="s">
        <v>1811</v>
      </c>
      <c r="DX1464" t="s">
        <v>18849</v>
      </c>
      <c r="DY1464" t="s">
        <v>302</v>
      </c>
      <c r="DZ1464" t="s">
        <v>303</v>
      </c>
      <c r="EA1464" t="s">
        <v>18850</v>
      </c>
      <c r="EB1464" t="s">
        <v>3342</v>
      </c>
      <c r="EC1464" t="s">
        <v>183</v>
      </c>
      <c r="ED1464" t="s">
        <v>211</v>
      </c>
      <c r="EE1464" t="s">
        <v>298</v>
      </c>
      <c r="EG1464" t="s">
        <v>3143</v>
      </c>
      <c r="EH1464" t="s">
        <v>10437</v>
      </c>
      <c r="EI1464" t="s">
        <v>238</v>
      </c>
      <c r="EJ1464" t="s">
        <v>239</v>
      </c>
      <c r="EK1464" t="s">
        <v>18851</v>
      </c>
      <c r="EL1464" t="s">
        <v>331</v>
      </c>
      <c r="EM1464" t="s">
        <v>183</v>
      </c>
      <c r="EN1464" t="s">
        <v>211</v>
      </c>
      <c r="EO1464" t="s">
        <v>298</v>
      </c>
      <c r="EQ1464" t="s">
        <v>546</v>
      </c>
      <c r="FA1464" t="s">
        <v>198</v>
      </c>
      <c r="FK1464" t="s">
        <v>198</v>
      </c>
      <c r="FU1464" t="s">
        <v>198</v>
      </c>
    </row>
    <row r="1465" spans="1:177">
      <c r="A1465" s="1" t="str">
        <f>HYPERLINK("http://digipan.lumentumllc.com/apps/getLink/index.php?t=PropLink&amp;p=6886752","PL")</f>
        <v>PL</v>
      </c>
      <c r="B1465" s="1" t="str">
        <f>HYPERLINK("http://digipan.lumentumllc.com/apps/getLink/index.php?t=TaxLink&amp;p=6886752","TL")</f>
        <v>TL</v>
      </c>
      <c r="C1465" s="1" t="str">
        <f>HYPERLINK("http://digipan.lumentumllc.com/apps/getMap/index.php?p=6886752","Map")</f>
        <v>Map</v>
      </c>
      <c r="E1465" t="s">
        <v>177</v>
      </c>
      <c r="F1465" t="s">
        <v>178</v>
      </c>
      <c r="L1465" t="s">
        <v>18852</v>
      </c>
      <c r="N1465" t="s">
        <v>18852</v>
      </c>
      <c r="O1465" t="s">
        <v>18852</v>
      </c>
      <c r="P1465" t="s">
        <v>18853</v>
      </c>
      <c r="Q1465" t="s">
        <v>18852</v>
      </c>
      <c r="V1465">
        <v>1684</v>
      </c>
      <c r="W1465">
        <v>6</v>
      </c>
      <c r="X1465">
        <v>2017</v>
      </c>
      <c r="Y1465">
        <v>2018</v>
      </c>
      <c r="Z1465">
        <v>285.45999999999998</v>
      </c>
      <c r="AB1465" t="s">
        <v>181</v>
      </c>
      <c r="AC1465" t="s">
        <v>182</v>
      </c>
      <c r="AD1465" t="s">
        <v>1037</v>
      </c>
      <c r="AE1465">
        <v>0</v>
      </c>
      <c r="AF1465">
        <v>6</v>
      </c>
      <c r="AG1465" t="s">
        <v>3266</v>
      </c>
      <c r="AH1465">
        <v>100</v>
      </c>
      <c r="AK1465">
        <v>0</v>
      </c>
      <c r="AL1465">
        <v>43744</v>
      </c>
      <c r="AM1465">
        <v>18750</v>
      </c>
      <c r="AN1465">
        <v>24994</v>
      </c>
      <c r="AO1465">
        <v>225</v>
      </c>
      <c r="AP1465">
        <v>2016</v>
      </c>
      <c r="AQ1465">
        <v>0.65</v>
      </c>
      <c r="AS1465" t="s">
        <v>18854</v>
      </c>
      <c r="AT1465" t="s">
        <v>3210</v>
      </c>
      <c r="AU1465" t="s">
        <v>177</v>
      </c>
      <c r="AV1465" t="s">
        <v>2334</v>
      </c>
      <c r="AW1465" t="s">
        <v>202</v>
      </c>
      <c r="AX1465">
        <v>1</v>
      </c>
      <c r="AY1465" t="s">
        <v>188</v>
      </c>
      <c r="AZ1465" t="s">
        <v>206</v>
      </c>
      <c r="BA1465" t="s">
        <v>355</v>
      </c>
      <c r="BB1465" t="s">
        <v>191</v>
      </c>
      <c r="BC1465" t="s">
        <v>182</v>
      </c>
      <c r="BD1465" t="s">
        <v>182</v>
      </c>
      <c r="BE1465" t="s">
        <v>383</v>
      </c>
      <c r="BF1465">
        <v>1</v>
      </c>
      <c r="BG1465">
        <v>1</v>
      </c>
      <c r="BH1465">
        <v>1952</v>
      </c>
      <c r="BI1465" t="s">
        <v>12114</v>
      </c>
      <c r="BJ1465" t="s">
        <v>194</v>
      </c>
      <c r="BK1465" t="s">
        <v>195</v>
      </c>
      <c r="BL1465" t="s">
        <v>199</v>
      </c>
      <c r="BM1465" t="s">
        <v>346</v>
      </c>
      <c r="BN1465" t="s">
        <v>182</v>
      </c>
      <c r="BO1465" t="s">
        <v>198</v>
      </c>
      <c r="BP1465" t="s">
        <v>198</v>
      </c>
      <c r="BQ1465" t="s">
        <v>198</v>
      </c>
      <c r="BR1465" t="s">
        <v>198</v>
      </c>
      <c r="BS1465" t="s">
        <v>198</v>
      </c>
      <c r="BT1465" t="s">
        <v>198</v>
      </c>
      <c r="BU1465" t="s">
        <v>182</v>
      </c>
      <c r="BV1465" t="s">
        <v>198</v>
      </c>
      <c r="BW1465" t="s">
        <v>198</v>
      </c>
      <c r="BX1465" t="s">
        <v>199</v>
      </c>
      <c r="BY1465" t="s">
        <v>198</v>
      </c>
      <c r="BZ1465" t="s">
        <v>199</v>
      </c>
      <c r="CA1465" t="s">
        <v>199</v>
      </c>
      <c r="CB1465" t="s">
        <v>18855</v>
      </c>
      <c r="CC1465" t="s">
        <v>201</v>
      </c>
      <c r="CD1465" t="s">
        <v>182</v>
      </c>
      <c r="CE1465" t="s">
        <v>18856</v>
      </c>
      <c r="CF1465" t="s">
        <v>2333</v>
      </c>
      <c r="CG1465" t="s">
        <v>177</v>
      </c>
      <c r="CH1465" t="s">
        <v>2334</v>
      </c>
      <c r="CI1465" t="s">
        <v>18857</v>
      </c>
      <c r="CJ1465" t="s">
        <v>16645</v>
      </c>
      <c r="CK1465" t="s">
        <v>232</v>
      </c>
      <c r="CL1465" t="s">
        <v>233</v>
      </c>
      <c r="CM1465" t="s">
        <v>18858</v>
      </c>
      <c r="CN1465" t="s">
        <v>235</v>
      </c>
      <c r="CO1465" t="s">
        <v>183</v>
      </c>
      <c r="CP1465" t="s">
        <v>211</v>
      </c>
      <c r="CQ1465" t="s">
        <v>290</v>
      </c>
      <c r="CS1465" t="s">
        <v>18846</v>
      </c>
      <c r="CT1465" t="s">
        <v>861</v>
      </c>
      <c r="CU1465" t="s">
        <v>292</v>
      </c>
      <c r="CV1465" t="s">
        <v>293</v>
      </c>
      <c r="CW1465" t="s">
        <v>18859</v>
      </c>
      <c r="CX1465" t="s">
        <v>235</v>
      </c>
      <c r="CY1465" t="s">
        <v>183</v>
      </c>
      <c r="CZ1465" t="s">
        <v>211</v>
      </c>
      <c r="DA1465" t="s">
        <v>523</v>
      </c>
      <c r="DC1465" t="s">
        <v>18846</v>
      </c>
      <c r="DD1465" t="s">
        <v>5931</v>
      </c>
      <c r="DE1465" t="s">
        <v>267</v>
      </c>
      <c r="DF1465" t="s">
        <v>268</v>
      </c>
      <c r="DG1465" t="s">
        <v>18860</v>
      </c>
      <c r="DH1465" t="s">
        <v>235</v>
      </c>
      <c r="DI1465" t="s">
        <v>183</v>
      </c>
      <c r="DJ1465" t="s">
        <v>211</v>
      </c>
      <c r="DK1465" t="s">
        <v>345</v>
      </c>
      <c r="DM1465" t="s">
        <v>7547</v>
      </c>
      <c r="DN1465" t="s">
        <v>9719</v>
      </c>
      <c r="DO1465" t="s">
        <v>273</v>
      </c>
      <c r="DP1465" t="s">
        <v>274</v>
      </c>
      <c r="DQ1465" t="s">
        <v>18861</v>
      </c>
      <c r="DR1465" t="s">
        <v>482</v>
      </c>
      <c r="DS1465" t="s">
        <v>183</v>
      </c>
      <c r="DT1465" t="s">
        <v>211</v>
      </c>
      <c r="DU1465" t="s">
        <v>298</v>
      </c>
      <c r="DW1465" t="s">
        <v>1811</v>
      </c>
      <c r="DX1465" t="s">
        <v>17956</v>
      </c>
      <c r="DY1465" t="s">
        <v>302</v>
      </c>
      <c r="DZ1465" t="s">
        <v>303</v>
      </c>
      <c r="EA1465" t="s">
        <v>18862</v>
      </c>
      <c r="EB1465" t="s">
        <v>482</v>
      </c>
      <c r="EC1465" t="s">
        <v>5</v>
      </c>
      <c r="ED1465" t="s">
        <v>211</v>
      </c>
      <c r="EE1465" t="s">
        <v>298</v>
      </c>
      <c r="EG1465" t="s">
        <v>2184</v>
      </c>
      <c r="EH1465" t="s">
        <v>18863</v>
      </c>
      <c r="EI1465" t="s">
        <v>207</v>
      </c>
      <c r="EJ1465" t="s">
        <v>208</v>
      </c>
      <c r="EK1465" t="s">
        <v>18864</v>
      </c>
      <c r="EL1465" t="s">
        <v>469</v>
      </c>
      <c r="EM1465" t="s">
        <v>183</v>
      </c>
      <c r="EN1465" t="s">
        <v>211</v>
      </c>
      <c r="EO1465" t="s">
        <v>342</v>
      </c>
      <c r="EQ1465" t="s">
        <v>18865</v>
      </c>
      <c r="FA1465" t="s">
        <v>198</v>
      </c>
      <c r="FK1465" t="s">
        <v>198</v>
      </c>
      <c r="FU1465" t="s">
        <v>198</v>
      </c>
    </row>
    <row r="1466" spans="1:177">
      <c r="A1466" s="1" t="str">
        <f>HYPERLINK("http://digipan.lumentumllc.com/apps/getLink/index.php?t=PropLink&amp;p=5246554","PL")</f>
        <v>PL</v>
      </c>
      <c r="B1466" s="1" t="str">
        <f>HYPERLINK("http://digipan.lumentumllc.com/apps/getLink/index.php?t=TaxLink&amp;p=5246554","TL")</f>
        <v>TL</v>
      </c>
      <c r="C1466" s="1" t="str">
        <f>HYPERLINK("http://digipan.lumentumllc.com/apps/getMap/index.php?p=5246554","Map")</f>
        <v>Map</v>
      </c>
      <c r="E1466" t="s">
        <v>177</v>
      </c>
      <c r="F1466" t="s">
        <v>178</v>
      </c>
      <c r="L1466" t="s">
        <v>18866</v>
      </c>
      <c r="N1466" t="s">
        <v>18866</v>
      </c>
      <c r="O1466" t="s">
        <v>18866</v>
      </c>
      <c r="P1466" t="s">
        <v>18867</v>
      </c>
      <c r="Q1466" t="s">
        <v>18866</v>
      </c>
      <c r="V1466">
        <v>1685</v>
      </c>
      <c r="W1466">
        <v>6</v>
      </c>
      <c r="X1466">
        <v>2017</v>
      </c>
      <c r="Y1466">
        <v>2018</v>
      </c>
      <c r="Z1466">
        <v>175.25</v>
      </c>
      <c r="AB1466" t="s">
        <v>181</v>
      </c>
      <c r="AC1466" t="s">
        <v>202</v>
      </c>
      <c r="AD1466" t="s">
        <v>1037</v>
      </c>
      <c r="AE1466">
        <v>1</v>
      </c>
      <c r="AF1466">
        <v>7</v>
      </c>
      <c r="AG1466" t="s">
        <v>418</v>
      </c>
      <c r="AH1466">
        <v>86</v>
      </c>
      <c r="AI1466">
        <v>172.27</v>
      </c>
      <c r="AJ1466">
        <v>8.61</v>
      </c>
      <c r="AK1466">
        <v>180.88</v>
      </c>
      <c r="AL1466">
        <v>8750</v>
      </c>
      <c r="AM1466">
        <v>8750</v>
      </c>
      <c r="AN1466">
        <v>0</v>
      </c>
      <c r="AO1466">
        <v>134</v>
      </c>
      <c r="AP1466">
        <v>2016</v>
      </c>
      <c r="AQ1466">
        <v>2</v>
      </c>
      <c r="AR1466">
        <v>2.0699999999999998</v>
      </c>
      <c r="AS1466" t="s">
        <v>18868</v>
      </c>
      <c r="AT1466" t="s">
        <v>15040</v>
      </c>
      <c r="AU1466" t="s">
        <v>177</v>
      </c>
      <c r="AV1466" t="s">
        <v>371</v>
      </c>
      <c r="AW1466" t="s">
        <v>182</v>
      </c>
      <c r="AX1466">
        <v>0</v>
      </c>
      <c r="AY1466" t="s">
        <v>312</v>
      </c>
      <c r="AZ1466" t="s">
        <v>199</v>
      </c>
      <c r="BA1466" t="s">
        <v>313</v>
      </c>
      <c r="BB1466" t="s">
        <v>191</v>
      </c>
      <c r="BC1466" t="s">
        <v>182</v>
      </c>
      <c r="BD1466" t="s">
        <v>182</v>
      </c>
      <c r="BE1466" t="s">
        <v>5880</v>
      </c>
      <c r="BF1466">
        <v>0</v>
      </c>
      <c r="BG1466">
        <v>0</v>
      </c>
      <c r="BH1466">
        <v>0</v>
      </c>
      <c r="BI1466" t="s">
        <v>199</v>
      </c>
      <c r="BJ1466" t="s">
        <v>315</v>
      </c>
      <c r="BL1466" t="s">
        <v>199</v>
      </c>
      <c r="BM1466" t="s">
        <v>1387</v>
      </c>
      <c r="BN1466" t="s">
        <v>182</v>
      </c>
      <c r="BO1466" t="s">
        <v>198</v>
      </c>
      <c r="BP1466" t="s">
        <v>198</v>
      </c>
      <c r="BQ1466" t="s">
        <v>198</v>
      </c>
      <c r="BR1466" t="s">
        <v>198</v>
      </c>
      <c r="BS1466" t="s">
        <v>198</v>
      </c>
      <c r="BT1466" t="s">
        <v>198</v>
      </c>
      <c r="BU1466" t="s">
        <v>182</v>
      </c>
      <c r="BV1466" t="s">
        <v>198</v>
      </c>
      <c r="BW1466" t="s">
        <v>198</v>
      </c>
      <c r="BX1466" t="s">
        <v>199</v>
      </c>
      <c r="BY1466" t="s">
        <v>198</v>
      </c>
      <c r="BZ1466" t="s">
        <v>199</v>
      </c>
      <c r="CA1466" t="s">
        <v>199</v>
      </c>
      <c r="CB1466" t="s">
        <v>18869</v>
      </c>
      <c r="CC1466" t="s">
        <v>201</v>
      </c>
      <c r="CD1466" t="s">
        <v>202</v>
      </c>
      <c r="CE1466" t="s">
        <v>18870</v>
      </c>
      <c r="CF1466" t="s">
        <v>18871</v>
      </c>
      <c r="CG1466" t="s">
        <v>18872</v>
      </c>
      <c r="CH1466" t="s">
        <v>18873</v>
      </c>
      <c r="CI1466" t="s">
        <v>18857</v>
      </c>
      <c r="CJ1466" t="s">
        <v>14022</v>
      </c>
      <c r="CK1466" t="s">
        <v>232</v>
      </c>
      <c r="CL1466" t="s">
        <v>233</v>
      </c>
      <c r="CM1466" t="s">
        <v>17952</v>
      </c>
      <c r="CN1466" t="s">
        <v>235</v>
      </c>
      <c r="CO1466" t="s">
        <v>183</v>
      </c>
      <c r="CP1466" t="s">
        <v>266</v>
      </c>
      <c r="CS1466" t="s">
        <v>198</v>
      </c>
      <c r="CT1466" t="s">
        <v>16229</v>
      </c>
      <c r="CU1466" t="s">
        <v>292</v>
      </c>
      <c r="CV1466" t="s">
        <v>293</v>
      </c>
      <c r="CW1466" t="s">
        <v>8882</v>
      </c>
      <c r="CX1466" t="s">
        <v>482</v>
      </c>
      <c r="CY1466" t="s">
        <v>5</v>
      </c>
      <c r="CZ1466" t="s">
        <v>211</v>
      </c>
      <c r="DA1466" t="s">
        <v>189</v>
      </c>
      <c r="DB1466" t="s">
        <v>271</v>
      </c>
      <c r="DC1466" t="s">
        <v>18874</v>
      </c>
      <c r="DD1466" t="s">
        <v>2443</v>
      </c>
      <c r="DE1466" t="s">
        <v>267</v>
      </c>
      <c r="DF1466" t="s">
        <v>268</v>
      </c>
      <c r="DG1466" t="s">
        <v>17953</v>
      </c>
      <c r="DH1466" t="s">
        <v>482</v>
      </c>
      <c r="DI1466" t="s">
        <v>183</v>
      </c>
      <c r="DJ1466" t="s">
        <v>211</v>
      </c>
      <c r="DL1466" t="s">
        <v>271</v>
      </c>
      <c r="DM1466" t="s">
        <v>198</v>
      </c>
      <c r="DN1466" t="s">
        <v>13338</v>
      </c>
      <c r="DO1466" t="s">
        <v>273</v>
      </c>
      <c r="DP1466" t="s">
        <v>274</v>
      </c>
      <c r="DQ1466" t="s">
        <v>17955</v>
      </c>
      <c r="DR1466" t="s">
        <v>511</v>
      </c>
      <c r="DS1466" t="s">
        <v>183</v>
      </c>
      <c r="DT1466" t="s">
        <v>211</v>
      </c>
      <c r="DV1466" t="s">
        <v>271</v>
      </c>
      <c r="DW1466" t="s">
        <v>198</v>
      </c>
      <c r="DX1466" t="s">
        <v>18875</v>
      </c>
      <c r="DY1466" t="s">
        <v>302</v>
      </c>
      <c r="DZ1466" t="s">
        <v>303</v>
      </c>
      <c r="EA1466" t="s">
        <v>14934</v>
      </c>
      <c r="EB1466" t="s">
        <v>2515</v>
      </c>
      <c r="EC1466" t="s">
        <v>183</v>
      </c>
      <c r="ED1466" t="s">
        <v>211</v>
      </c>
      <c r="EE1466" t="s">
        <v>9675</v>
      </c>
      <c r="EF1466" t="s">
        <v>271</v>
      </c>
      <c r="EG1466" t="s">
        <v>18874</v>
      </c>
      <c r="EH1466" t="s">
        <v>18876</v>
      </c>
      <c r="EI1466" t="s">
        <v>238</v>
      </c>
      <c r="EJ1466" t="s">
        <v>239</v>
      </c>
      <c r="EK1466" t="s">
        <v>13308</v>
      </c>
      <c r="EL1466" t="s">
        <v>482</v>
      </c>
      <c r="EM1466" t="s">
        <v>183</v>
      </c>
      <c r="EN1466" t="s">
        <v>211</v>
      </c>
      <c r="EP1466" t="s">
        <v>271</v>
      </c>
      <c r="EQ1466" t="s">
        <v>198</v>
      </c>
      <c r="ER1466" t="s">
        <v>7856</v>
      </c>
      <c r="ES1466" t="s">
        <v>346</v>
      </c>
      <c r="ET1466" t="s">
        <v>347</v>
      </c>
      <c r="EU1466" t="s">
        <v>18877</v>
      </c>
      <c r="EV1466" t="s">
        <v>402</v>
      </c>
      <c r="EW1466" t="s">
        <v>183</v>
      </c>
      <c r="EX1466" t="s">
        <v>211</v>
      </c>
      <c r="EY1466" t="s">
        <v>909</v>
      </c>
      <c r="FA1466" t="s">
        <v>15487</v>
      </c>
      <c r="FB1466" t="s">
        <v>18878</v>
      </c>
      <c r="FC1466" t="s">
        <v>207</v>
      </c>
      <c r="FD1466" t="s">
        <v>208</v>
      </c>
      <c r="FE1466" t="s">
        <v>11189</v>
      </c>
      <c r="FF1466" t="s">
        <v>1608</v>
      </c>
      <c r="FG1466" t="s">
        <v>183</v>
      </c>
      <c r="FH1466" t="s">
        <v>211</v>
      </c>
      <c r="FI1466" t="s">
        <v>1128</v>
      </c>
      <c r="FK1466" t="s">
        <v>15487</v>
      </c>
      <c r="FU1466" t="s">
        <v>198</v>
      </c>
    </row>
    <row r="1467" spans="1:177">
      <c r="A1467" s="1" t="str">
        <f>HYPERLINK("http://digipan.lumentumllc.com/apps/getLink/index.php?t=PropLink&amp;p=5246555","PL")</f>
        <v>PL</v>
      </c>
      <c r="B1467" s="1" t="str">
        <f>HYPERLINK("http://digipan.lumentumllc.com/apps/getLink/index.php?t=TaxLink&amp;p=5246555","TL")</f>
        <v>TL</v>
      </c>
      <c r="C1467" s="1" t="str">
        <f>HYPERLINK("http://digipan.lumentumllc.com/apps/getMap/index.php?p=5246555","Map")</f>
        <v>Map</v>
      </c>
      <c r="E1467" t="s">
        <v>177</v>
      </c>
      <c r="F1467" t="s">
        <v>178</v>
      </c>
      <c r="L1467" t="s">
        <v>18879</v>
      </c>
      <c r="N1467" t="s">
        <v>18879</v>
      </c>
      <c r="O1467" t="s">
        <v>18879</v>
      </c>
      <c r="P1467" t="s">
        <v>18880</v>
      </c>
      <c r="Q1467" t="s">
        <v>18879</v>
      </c>
      <c r="V1467">
        <v>1686</v>
      </c>
      <c r="W1467">
        <v>6</v>
      </c>
      <c r="X1467">
        <v>2017</v>
      </c>
      <c r="Y1467">
        <v>2018</v>
      </c>
      <c r="Z1467">
        <v>614.67999999999995</v>
      </c>
      <c r="AB1467" t="s">
        <v>181</v>
      </c>
      <c r="AC1467" t="s">
        <v>202</v>
      </c>
      <c r="AD1467" t="s">
        <v>183</v>
      </c>
      <c r="AE1467">
        <v>3</v>
      </c>
      <c r="AF1467">
        <v>2</v>
      </c>
      <c r="AG1467" t="s">
        <v>6797</v>
      </c>
      <c r="AH1467">
        <v>25</v>
      </c>
      <c r="AI1467">
        <v>1847.22</v>
      </c>
      <c r="AJ1467">
        <v>92.36</v>
      </c>
      <c r="AK1467">
        <v>1939.58</v>
      </c>
      <c r="AL1467">
        <v>80936</v>
      </c>
      <c r="AM1467">
        <v>8750</v>
      </c>
      <c r="AN1467">
        <v>72186</v>
      </c>
      <c r="AO1467">
        <v>538</v>
      </c>
      <c r="AP1467">
        <v>2016</v>
      </c>
      <c r="AQ1467">
        <v>0.76</v>
      </c>
      <c r="AR1467">
        <v>2.4</v>
      </c>
      <c r="AS1467" t="s">
        <v>18881</v>
      </c>
      <c r="AT1467" t="s">
        <v>3210</v>
      </c>
      <c r="AU1467" t="s">
        <v>177</v>
      </c>
      <c r="AV1467" t="s">
        <v>2334</v>
      </c>
      <c r="AW1467" t="s">
        <v>202</v>
      </c>
      <c r="AX1467">
        <v>1</v>
      </c>
      <c r="AY1467" t="s">
        <v>188</v>
      </c>
      <c r="AZ1467" t="s">
        <v>206</v>
      </c>
      <c r="BA1467" t="s">
        <v>355</v>
      </c>
      <c r="BB1467" t="s">
        <v>191</v>
      </c>
      <c r="BC1467" t="s">
        <v>182</v>
      </c>
      <c r="BD1467" t="s">
        <v>182</v>
      </c>
      <c r="BE1467" t="s">
        <v>5880</v>
      </c>
      <c r="BF1467">
        <v>1</v>
      </c>
      <c r="BG1467">
        <v>1</v>
      </c>
      <c r="BH1467">
        <v>1968</v>
      </c>
      <c r="BI1467" t="s">
        <v>11705</v>
      </c>
      <c r="BJ1467" t="s">
        <v>194</v>
      </c>
      <c r="BK1467" t="s">
        <v>195</v>
      </c>
      <c r="BL1467" t="s">
        <v>199</v>
      </c>
      <c r="BM1467" t="s">
        <v>945</v>
      </c>
      <c r="BN1467" t="s">
        <v>182</v>
      </c>
      <c r="BO1467" t="s">
        <v>198</v>
      </c>
      <c r="BP1467" t="s">
        <v>198</v>
      </c>
      <c r="BQ1467" t="s">
        <v>198</v>
      </c>
      <c r="BR1467" t="s">
        <v>198</v>
      </c>
      <c r="BS1467" t="s">
        <v>198</v>
      </c>
      <c r="BT1467" t="s">
        <v>198</v>
      </c>
      <c r="BU1467" t="s">
        <v>182</v>
      </c>
      <c r="BV1467" t="s">
        <v>198</v>
      </c>
      <c r="BW1467" t="s">
        <v>198</v>
      </c>
      <c r="BX1467" t="s">
        <v>199</v>
      </c>
      <c r="BY1467" t="s">
        <v>198</v>
      </c>
      <c r="BZ1467" t="s">
        <v>199</v>
      </c>
      <c r="CA1467" t="s">
        <v>199</v>
      </c>
      <c r="CB1467" t="s">
        <v>18882</v>
      </c>
      <c r="CC1467" t="s">
        <v>201</v>
      </c>
      <c r="CD1467" t="s">
        <v>182</v>
      </c>
      <c r="CE1467" t="s">
        <v>18883</v>
      </c>
      <c r="CF1467" t="s">
        <v>413</v>
      </c>
      <c r="CG1467" t="s">
        <v>177</v>
      </c>
      <c r="CH1467" t="s">
        <v>7465</v>
      </c>
      <c r="CI1467" t="s">
        <v>18857</v>
      </c>
      <c r="CJ1467" t="s">
        <v>11340</v>
      </c>
      <c r="CK1467" t="s">
        <v>232</v>
      </c>
      <c r="CL1467" t="s">
        <v>233</v>
      </c>
      <c r="CM1467" t="s">
        <v>18884</v>
      </c>
      <c r="CN1467" t="s">
        <v>235</v>
      </c>
      <c r="CO1467" t="s">
        <v>183</v>
      </c>
      <c r="CP1467" t="s">
        <v>266</v>
      </c>
      <c r="CS1467" t="s">
        <v>198</v>
      </c>
      <c r="CT1467" t="s">
        <v>16242</v>
      </c>
      <c r="CU1467" t="s">
        <v>292</v>
      </c>
      <c r="CV1467" t="s">
        <v>293</v>
      </c>
      <c r="CW1467" t="s">
        <v>18885</v>
      </c>
      <c r="CX1467" t="s">
        <v>235</v>
      </c>
      <c r="CY1467" t="s">
        <v>183</v>
      </c>
      <c r="CZ1467" t="s">
        <v>266</v>
      </c>
      <c r="DC1467" t="s">
        <v>198</v>
      </c>
      <c r="DD1467" t="s">
        <v>18886</v>
      </c>
      <c r="DE1467" t="s">
        <v>267</v>
      </c>
      <c r="DF1467" t="s">
        <v>268</v>
      </c>
      <c r="DG1467" t="s">
        <v>18887</v>
      </c>
      <c r="DH1467" t="s">
        <v>235</v>
      </c>
      <c r="DI1467" t="s">
        <v>183</v>
      </c>
      <c r="DJ1467" t="s">
        <v>266</v>
      </c>
      <c r="DM1467" t="s">
        <v>198</v>
      </c>
      <c r="DN1467" t="s">
        <v>18888</v>
      </c>
      <c r="DO1467" t="s">
        <v>302</v>
      </c>
      <c r="DP1467" t="s">
        <v>303</v>
      </c>
      <c r="DQ1467" t="s">
        <v>18889</v>
      </c>
      <c r="DR1467" t="s">
        <v>235</v>
      </c>
      <c r="DS1467" t="s">
        <v>183</v>
      </c>
      <c r="DT1467" t="s">
        <v>211</v>
      </c>
      <c r="DU1467" t="s">
        <v>270</v>
      </c>
      <c r="DW1467" t="s">
        <v>4894</v>
      </c>
      <c r="DX1467" t="s">
        <v>7287</v>
      </c>
      <c r="DY1467" t="s">
        <v>207</v>
      </c>
      <c r="DZ1467" t="s">
        <v>208</v>
      </c>
      <c r="EA1467" t="s">
        <v>18890</v>
      </c>
      <c r="EB1467" t="s">
        <v>922</v>
      </c>
      <c r="EC1467" t="s">
        <v>183</v>
      </c>
      <c r="ED1467" t="s">
        <v>211</v>
      </c>
      <c r="EE1467" t="s">
        <v>212</v>
      </c>
      <c r="EF1467" t="s">
        <v>271</v>
      </c>
      <c r="EG1467" t="s">
        <v>18891</v>
      </c>
      <c r="EQ1467" t="s">
        <v>198</v>
      </c>
      <c r="FA1467" t="s">
        <v>198</v>
      </c>
      <c r="FK1467" t="s">
        <v>198</v>
      </c>
      <c r="FU1467" t="s">
        <v>198</v>
      </c>
    </row>
    <row r="1468" spans="1:177">
      <c r="A1468" s="1" t="str">
        <f>HYPERLINK("http://digipan.lumentumllc.com/apps/getLink/index.php?t=PropLink&amp;p=7112445","PL")</f>
        <v>PL</v>
      </c>
      <c r="B1468" s="1" t="str">
        <f>HYPERLINK("http://digipan.lumentumllc.com/apps/getLink/index.php?t=TaxLink&amp;p=7112445","TL")</f>
        <v>TL</v>
      </c>
      <c r="C1468" s="1" t="str">
        <f>HYPERLINK("http://digipan.lumentumllc.com/apps/getMap/index.php?p=7112445","Map")</f>
        <v>Map</v>
      </c>
      <c r="E1468" t="s">
        <v>177</v>
      </c>
      <c r="F1468" t="s">
        <v>178</v>
      </c>
      <c r="L1468" t="s">
        <v>18892</v>
      </c>
      <c r="N1468" t="s">
        <v>18892</v>
      </c>
      <c r="O1468" t="s">
        <v>18892</v>
      </c>
      <c r="P1468" t="s">
        <v>18893</v>
      </c>
      <c r="Q1468" t="s">
        <v>18892</v>
      </c>
      <c r="V1468">
        <v>1687</v>
      </c>
      <c r="W1468">
        <v>6</v>
      </c>
      <c r="X1468">
        <v>2017</v>
      </c>
      <c r="Y1468">
        <v>2018</v>
      </c>
      <c r="Z1468">
        <v>1093.77</v>
      </c>
      <c r="AG1468" t="s">
        <v>184</v>
      </c>
      <c r="AH1468">
        <v>0</v>
      </c>
      <c r="AK1468">
        <v>0</v>
      </c>
      <c r="AL1468">
        <v>64850</v>
      </c>
      <c r="AM1468">
        <v>14115</v>
      </c>
      <c r="AN1468">
        <v>50735</v>
      </c>
      <c r="AO1468">
        <v>998</v>
      </c>
      <c r="AP1468">
        <v>2016</v>
      </c>
      <c r="AQ1468">
        <v>1.69</v>
      </c>
      <c r="AS1468" t="s">
        <v>18894</v>
      </c>
      <c r="AT1468" t="s">
        <v>3210</v>
      </c>
      <c r="AU1468" t="s">
        <v>177</v>
      </c>
      <c r="AV1468" t="s">
        <v>2334</v>
      </c>
      <c r="AW1468" t="s">
        <v>182</v>
      </c>
      <c r="AX1468">
        <v>1</v>
      </c>
      <c r="AY1468" t="s">
        <v>188</v>
      </c>
      <c r="AZ1468" t="s">
        <v>206</v>
      </c>
      <c r="BA1468" t="s">
        <v>355</v>
      </c>
      <c r="BB1468" t="s">
        <v>191</v>
      </c>
      <c r="BC1468" t="s">
        <v>182</v>
      </c>
      <c r="BD1468" t="s">
        <v>182</v>
      </c>
      <c r="BE1468" t="s">
        <v>7278</v>
      </c>
      <c r="BF1468">
        <v>1</v>
      </c>
      <c r="BG1468">
        <v>1</v>
      </c>
      <c r="BH1468">
        <v>1945</v>
      </c>
      <c r="BI1468" t="s">
        <v>16638</v>
      </c>
      <c r="BJ1468" t="s">
        <v>194</v>
      </c>
      <c r="BK1468" t="s">
        <v>195</v>
      </c>
      <c r="BL1468" t="s">
        <v>199</v>
      </c>
      <c r="BM1468" t="s">
        <v>368</v>
      </c>
      <c r="BN1468" t="s">
        <v>182</v>
      </c>
      <c r="BO1468" t="s">
        <v>198</v>
      </c>
      <c r="BP1468" t="s">
        <v>198</v>
      </c>
      <c r="BQ1468" t="s">
        <v>198</v>
      </c>
      <c r="BR1468" t="s">
        <v>198</v>
      </c>
      <c r="BS1468" t="s">
        <v>198</v>
      </c>
      <c r="BT1468" t="s">
        <v>198</v>
      </c>
      <c r="BU1468" t="s">
        <v>182</v>
      </c>
      <c r="BV1468" t="s">
        <v>198</v>
      </c>
      <c r="BW1468" t="s">
        <v>198</v>
      </c>
      <c r="BX1468" t="s">
        <v>199</v>
      </c>
      <c r="BY1468" t="s">
        <v>198</v>
      </c>
      <c r="BZ1468" t="s">
        <v>199</v>
      </c>
      <c r="CA1468" t="s">
        <v>199</v>
      </c>
      <c r="CB1468" t="s">
        <v>18895</v>
      </c>
      <c r="CC1468" t="s">
        <v>201</v>
      </c>
      <c r="CD1468" t="s">
        <v>202</v>
      </c>
      <c r="CE1468" t="s">
        <v>18896</v>
      </c>
      <c r="CF1468" t="s">
        <v>2333</v>
      </c>
      <c r="CG1468" t="s">
        <v>177</v>
      </c>
      <c r="CH1468" t="s">
        <v>2334</v>
      </c>
      <c r="CI1468" t="s">
        <v>18857</v>
      </c>
      <c r="CS1468" t="s">
        <v>198</v>
      </c>
      <c r="DC1468" t="s">
        <v>198</v>
      </c>
      <c r="DM1468" t="s">
        <v>198</v>
      </c>
      <c r="DW1468" t="s">
        <v>198</v>
      </c>
      <c r="EG1468" t="s">
        <v>198</v>
      </c>
      <c r="EQ1468" t="s">
        <v>198</v>
      </c>
      <c r="FA1468" t="s">
        <v>198</v>
      </c>
      <c r="FK1468" t="s">
        <v>198</v>
      </c>
      <c r="FU1468" t="s">
        <v>198</v>
      </c>
    </row>
    <row r="1469" spans="1:177">
      <c r="A1469" s="1" t="str">
        <f>HYPERLINK("http://digipan.lumentumllc.com/apps/getLink/index.php?t=PropLink&amp;p=4637806","PL")</f>
        <v>PL</v>
      </c>
      <c r="B1469" s="1" t="str">
        <f>HYPERLINK("http://digipan.lumentumllc.com/apps/getLink/index.php?t=TaxLink&amp;p=4637806","TL")</f>
        <v>TL</v>
      </c>
      <c r="C1469" s="1" t="str">
        <f>HYPERLINK("http://digipan.lumentumllc.com/apps/getMap/index.php?p=4637806","Map")</f>
        <v>Map</v>
      </c>
      <c r="E1469" t="s">
        <v>177</v>
      </c>
      <c r="F1469" t="s">
        <v>178</v>
      </c>
      <c r="L1469" t="s">
        <v>18897</v>
      </c>
      <c r="N1469" t="s">
        <v>18897</v>
      </c>
      <c r="O1469" t="s">
        <v>18897</v>
      </c>
      <c r="P1469" t="s">
        <v>18898</v>
      </c>
      <c r="Q1469" t="s">
        <v>18897</v>
      </c>
      <c r="V1469">
        <v>1688</v>
      </c>
      <c r="W1469">
        <v>6</v>
      </c>
      <c r="X1469">
        <v>2017</v>
      </c>
      <c r="Y1469">
        <v>2018</v>
      </c>
      <c r="Z1469">
        <v>1177.78</v>
      </c>
      <c r="AB1469" t="s">
        <v>181</v>
      </c>
      <c r="AC1469" t="s">
        <v>182</v>
      </c>
      <c r="AD1469" t="s">
        <v>183</v>
      </c>
      <c r="AE1469">
        <v>1</v>
      </c>
      <c r="AF1469">
        <v>4</v>
      </c>
      <c r="AG1469" t="s">
        <v>951</v>
      </c>
      <c r="AH1469">
        <v>80</v>
      </c>
      <c r="AI1469">
        <v>1191.1099999999999</v>
      </c>
      <c r="AJ1469">
        <v>59.56</v>
      </c>
      <c r="AK1469">
        <v>1250.67</v>
      </c>
      <c r="AL1469">
        <v>69981</v>
      </c>
      <c r="AM1469">
        <v>35425</v>
      </c>
      <c r="AN1469">
        <v>34556</v>
      </c>
      <c r="AO1469">
        <v>1076</v>
      </c>
      <c r="AP1469">
        <v>2016</v>
      </c>
      <c r="AQ1469">
        <v>1.68</v>
      </c>
      <c r="AR1469">
        <v>1.79</v>
      </c>
      <c r="AS1469" t="s">
        <v>18899</v>
      </c>
      <c r="AT1469" t="s">
        <v>3210</v>
      </c>
      <c r="AU1469" t="s">
        <v>177</v>
      </c>
      <c r="AV1469" t="s">
        <v>2334</v>
      </c>
      <c r="AW1469" t="s">
        <v>182</v>
      </c>
      <c r="AX1469">
        <v>1</v>
      </c>
      <c r="AY1469" t="s">
        <v>188</v>
      </c>
      <c r="AZ1469" t="s">
        <v>206</v>
      </c>
      <c r="BA1469" t="s">
        <v>355</v>
      </c>
      <c r="BB1469" t="s">
        <v>191</v>
      </c>
      <c r="BC1469" t="s">
        <v>182</v>
      </c>
      <c r="BD1469" t="s">
        <v>182</v>
      </c>
      <c r="BE1469" t="s">
        <v>235</v>
      </c>
      <c r="BF1469">
        <v>1</v>
      </c>
      <c r="BG1469">
        <v>1</v>
      </c>
      <c r="BH1469">
        <v>1968</v>
      </c>
      <c r="BI1469" t="s">
        <v>1095</v>
      </c>
      <c r="BJ1469" t="s">
        <v>194</v>
      </c>
      <c r="BK1469" t="s">
        <v>195</v>
      </c>
      <c r="BL1469" t="s">
        <v>199</v>
      </c>
      <c r="BM1469" t="s">
        <v>358</v>
      </c>
      <c r="BN1469" t="s">
        <v>182</v>
      </c>
      <c r="BO1469" t="s">
        <v>198</v>
      </c>
      <c r="BP1469" t="s">
        <v>198</v>
      </c>
      <c r="BQ1469" t="s">
        <v>198</v>
      </c>
      <c r="BR1469" t="s">
        <v>198</v>
      </c>
      <c r="BS1469" t="s">
        <v>198</v>
      </c>
      <c r="BT1469" t="s">
        <v>198</v>
      </c>
      <c r="BU1469" t="s">
        <v>182</v>
      </c>
      <c r="BV1469" t="s">
        <v>198</v>
      </c>
      <c r="BW1469" t="s">
        <v>198</v>
      </c>
      <c r="BX1469" t="s">
        <v>199</v>
      </c>
      <c r="BY1469" t="s">
        <v>198</v>
      </c>
      <c r="BZ1469" t="s">
        <v>199</v>
      </c>
      <c r="CA1469" t="s">
        <v>199</v>
      </c>
      <c r="CB1469" t="s">
        <v>18900</v>
      </c>
      <c r="CC1469" t="s">
        <v>201</v>
      </c>
      <c r="CD1469" t="s">
        <v>202</v>
      </c>
      <c r="CE1469" t="s">
        <v>18843</v>
      </c>
      <c r="CF1469" t="s">
        <v>2333</v>
      </c>
      <c r="CG1469" t="s">
        <v>177</v>
      </c>
      <c r="CH1469" t="s">
        <v>2334</v>
      </c>
      <c r="CI1469" t="s">
        <v>18857</v>
      </c>
      <c r="CJ1469" t="s">
        <v>13802</v>
      </c>
      <c r="CK1469" t="s">
        <v>232</v>
      </c>
      <c r="CL1469" t="s">
        <v>233</v>
      </c>
      <c r="CM1469" t="s">
        <v>18901</v>
      </c>
      <c r="CN1469" t="s">
        <v>235</v>
      </c>
      <c r="CO1469" t="s">
        <v>183</v>
      </c>
      <c r="CP1469" t="s">
        <v>266</v>
      </c>
      <c r="CS1469" t="s">
        <v>198</v>
      </c>
      <c r="CT1469" t="s">
        <v>7434</v>
      </c>
      <c r="CU1469" t="s">
        <v>292</v>
      </c>
      <c r="CV1469" t="s">
        <v>293</v>
      </c>
      <c r="CW1469" t="s">
        <v>18902</v>
      </c>
      <c r="CX1469" t="s">
        <v>235</v>
      </c>
      <c r="CY1469" t="s">
        <v>183</v>
      </c>
      <c r="CZ1469" t="s">
        <v>211</v>
      </c>
      <c r="DA1469" t="s">
        <v>523</v>
      </c>
      <c r="DC1469" t="s">
        <v>18846</v>
      </c>
      <c r="DD1469" t="s">
        <v>8793</v>
      </c>
      <c r="DE1469" t="s">
        <v>267</v>
      </c>
      <c r="DF1469" t="s">
        <v>268</v>
      </c>
      <c r="DG1469" t="s">
        <v>18903</v>
      </c>
      <c r="DH1469" t="s">
        <v>235</v>
      </c>
      <c r="DI1469" t="s">
        <v>183</v>
      </c>
      <c r="DJ1469" t="s">
        <v>211</v>
      </c>
      <c r="DK1469" t="s">
        <v>298</v>
      </c>
      <c r="DM1469" t="s">
        <v>459</v>
      </c>
      <c r="DN1469" t="s">
        <v>9360</v>
      </c>
      <c r="DO1469" t="s">
        <v>273</v>
      </c>
      <c r="DP1469" t="s">
        <v>274</v>
      </c>
      <c r="DQ1469" t="s">
        <v>18904</v>
      </c>
      <c r="DR1469" t="s">
        <v>235</v>
      </c>
      <c r="DS1469" t="s">
        <v>183</v>
      </c>
      <c r="DT1469" t="s">
        <v>211</v>
      </c>
      <c r="DU1469" t="s">
        <v>298</v>
      </c>
      <c r="DW1469" t="s">
        <v>1645</v>
      </c>
      <c r="DX1469" t="s">
        <v>18905</v>
      </c>
      <c r="DY1469" t="s">
        <v>302</v>
      </c>
      <c r="DZ1469" t="s">
        <v>303</v>
      </c>
      <c r="EA1469" t="s">
        <v>18906</v>
      </c>
      <c r="EB1469" t="s">
        <v>235</v>
      </c>
      <c r="EC1469" t="s">
        <v>183</v>
      </c>
      <c r="ED1469" t="s">
        <v>211</v>
      </c>
      <c r="EE1469" t="s">
        <v>523</v>
      </c>
      <c r="EG1469" t="s">
        <v>13982</v>
      </c>
      <c r="EQ1469" t="s">
        <v>198</v>
      </c>
      <c r="FA1469" t="s">
        <v>198</v>
      </c>
      <c r="FK1469" t="s">
        <v>198</v>
      </c>
      <c r="FU1469" t="s">
        <v>198</v>
      </c>
    </row>
    <row r="1470" spans="1:177">
      <c r="A1470" s="1" t="str">
        <f>HYPERLINK("http://digipan.lumentumllc.com/apps/getLink/index.php?t=PropLink&amp;p=5246564","PL")</f>
        <v>PL</v>
      </c>
      <c r="B1470" s="1" t="str">
        <f>HYPERLINK("http://digipan.lumentumllc.com/apps/getLink/index.php?t=TaxLink&amp;p=5246564","TL")</f>
        <v>TL</v>
      </c>
      <c r="C1470" s="1" t="str">
        <f>HYPERLINK("http://digipan.lumentumllc.com/apps/getMap/index.php?p=5246564","Map")</f>
        <v>Map</v>
      </c>
      <c r="E1470" t="s">
        <v>177</v>
      </c>
      <c r="F1470" t="s">
        <v>178</v>
      </c>
      <c r="L1470" t="s">
        <v>18907</v>
      </c>
      <c r="N1470" t="s">
        <v>18907</v>
      </c>
      <c r="O1470" t="s">
        <v>18907</v>
      </c>
      <c r="P1470" t="s">
        <v>18908</v>
      </c>
      <c r="Q1470" t="s">
        <v>18907</v>
      </c>
      <c r="V1470">
        <v>1689</v>
      </c>
      <c r="W1470">
        <v>6</v>
      </c>
      <c r="X1470">
        <v>2017</v>
      </c>
      <c r="Y1470">
        <v>2018</v>
      </c>
      <c r="Z1470">
        <v>3394.53</v>
      </c>
      <c r="AB1470" t="s">
        <v>181</v>
      </c>
      <c r="AC1470" t="s">
        <v>182</v>
      </c>
      <c r="AD1470" t="s">
        <v>183</v>
      </c>
      <c r="AE1470">
        <v>1</v>
      </c>
      <c r="AF1470">
        <v>7</v>
      </c>
      <c r="AG1470" t="s">
        <v>418</v>
      </c>
      <c r="AH1470">
        <v>86</v>
      </c>
      <c r="AI1470">
        <v>3449.42</v>
      </c>
      <c r="AJ1470">
        <v>172.47</v>
      </c>
      <c r="AK1470">
        <v>3621.89</v>
      </c>
      <c r="AL1470">
        <v>230876</v>
      </c>
      <c r="AM1470">
        <v>106163</v>
      </c>
      <c r="AN1470">
        <v>124713</v>
      </c>
      <c r="AO1470">
        <v>3165</v>
      </c>
      <c r="AP1470">
        <v>2016</v>
      </c>
      <c r="AQ1470">
        <v>1.47</v>
      </c>
      <c r="AR1470">
        <v>1.57</v>
      </c>
      <c r="AS1470" t="s">
        <v>18909</v>
      </c>
      <c r="AT1470" t="s">
        <v>3210</v>
      </c>
      <c r="AU1470" t="s">
        <v>177</v>
      </c>
      <c r="AV1470" t="s">
        <v>2334</v>
      </c>
      <c r="AW1470" t="s">
        <v>202</v>
      </c>
      <c r="AX1470">
        <v>1</v>
      </c>
      <c r="AY1470" t="s">
        <v>188</v>
      </c>
      <c r="AZ1470" t="s">
        <v>206</v>
      </c>
      <c r="BA1470" t="s">
        <v>355</v>
      </c>
      <c r="BB1470" t="s">
        <v>191</v>
      </c>
      <c r="BC1470" t="s">
        <v>182</v>
      </c>
      <c r="BD1470" t="s">
        <v>182</v>
      </c>
      <c r="BE1470" t="s">
        <v>3878</v>
      </c>
      <c r="BF1470">
        <v>2</v>
      </c>
      <c r="BG1470">
        <v>2</v>
      </c>
      <c r="BH1470">
        <v>1966</v>
      </c>
      <c r="BI1470" t="s">
        <v>18910</v>
      </c>
      <c r="BJ1470" t="s">
        <v>285</v>
      </c>
      <c r="BK1470" t="s">
        <v>195</v>
      </c>
      <c r="BL1470" t="s">
        <v>199</v>
      </c>
      <c r="BM1470" t="s">
        <v>358</v>
      </c>
      <c r="BN1470" t="s">
        <v>182</v>
      </c>
      <c r="BO1470" t="s">
        <v>18911</v>
      </c>
      <c r="BP1470" t="s">
        <v>14842</v>
      </c>
      <c r="BQ1470" t="s">
        <v>904</v>
      </c>
      <c r="BR1470" t="s">
        <v>563</v>
      </c>
      <c r="BS1470" t="s">
        <v>198</v>
      </c>
      <c r="BT1470" t="s">
        <v>18912</v>
      </c>
      <c r="BU1470" t="s">
        <v>182</v>
      </c>
      <c r="BV1470" t="s">
        <v>198</v>
      </c>
      <c r="BW1470" t="s">
        <v>198</v>
      </c>
      <c r="BX1470" t="s">
        <v>199</v>
      </c>
      <c r="BY1470" t="s">
        <v>198</v>
      </c>
      <c r="BZ1470" t="s">
        <v>199</v>
      </c>
      <c r="CA1470" t="s">
        <v>199</v>
      </c>
      <c r="CB1470" t="s">
        <v>18913</v>
      </c>
      <c r="CC1470" t="s">
        <v>201</v>
      </c>
      <c r="CD1470" t="s">
        <v>202</v>
      </c>
      <c r="CE1470" t="s">
        <v>18914</v>
      </c>
      <c r="CF1470" t="s">
        <v>2333</v>
      </c>
      <c r="CG1470" t="s">
        <v>177</v>
      </c>
      <c r="CH1470" t="s">
        <v>3178</v>
      </c>
      <c r="CI1470" t="s">
        <v>18857</v>
      </c>
      <c r="CJ1470" t="s">
        <v>14067</v>
      </c>
      <c r="CK1470" t="s">
        <v>232</v>
      </c>
      <c r="CL1470" t="s">
        <v>233</v>
      </c>
      <c r="CM1470" t="s">
        <v>18915</v>
      </c>
      <c r="CN1470" t="s">
        <v>235</v>
      </c>
      <c r="CO1470" t="s">
        <v>183</v>
      </c>
      <c r="CP1470" t="s">
        <v>266</v>
      </c>
      <c r="CS1470" t="s">
        <v>198</v>
      </c>
      <c r="CT1470" t="s">
        <v>16364</v>
      </c>
      <c r="CU1470" t="s">
        <v>292</v>
      </c>
      <c r="CV1470" t="s">
        <v>293</v>
      </c>
      <c r="CW1470" t="s">
        <v>18916</v>
      </c>
      <c r="CX1470" t="s">
        <v>235</v>
      </c>
      <c r="CY1470" t="s">
        <v>183</v>
      </c>
      <c r="CZ1470" t="s">
        <v>211</v>
      </c>
      <c r="DA1470" t="s">
        <v>345</v>
      </c>
      <c r="DC1470" t="s">
        <v>1609</v>
      </c>
      <c r="DD1470" t="s">
        <v>14321</v>
      </c>
      <c r="DE1470" t="s">
        <v>267</v>
      </c>
      <c r="DF1470" t="s">
        <v>268</v>
      </c>
      <c r="DG1470" t="s">
        <v>18917</v>
      </c>
      <c r="DH1470" t="s">
        <v>235</v>
      </c>
      <c r="DI1470" t="s">
        <v>183</v>
      </c>
      <c r="DJ1470" t="s">
        <v>211</v>
      </c>
      <c r="DK1470" t="s">
        <v>345</v>
      </c>
      <c r="DM1470" t="s">
        <v>6580</v>
      </c>
      <c r="DN1470" t="s">
        <v>17851</v>
      </c>
      <c r="DO1470" t="s">
        <v>273</v>
      </c>
      <c r="DP1470" t="s">
        <v>274</v>
      </c>
      <c r="DQ1470" t="s">
        <v>18918</v>
      </c>
      <c r="DR1470" t="s">
        <v>235</v>
      </c>
      <c r="DS1470" t="s">
        <v>183</v>
      </c>
      <c r="DT1470" t="s">
        <v>211</v>
      </c>
      <c r="DU1470" t="s">
        <v>339</v>
      </c>
      <c r="DW1470" t="s">
        <v>18919</v>
      </c>
      <c r="DX1470" t="s">
        <v>9049</v>
      </c>
      <c r="DY1470" t="s">
        <v>302</v>
      </c>
      <c r="DZ1470" t="s">
        <v>303</v>
      </c>
      <c r="EA1470" t="s">
        <v>18920</v>
      </c>
      <c r="EB1470" t="s">
        <v>235</v>
      </c>
      <c r="EC1470" t="s">
        <v>183</v>
      </c>
      <c r="ED1470" t="s">
        <v>211</v>
      </c>
      <c r="EE1470" t="s">
        <v>493</v>
      </c>
      <c r="EG1470" t="s">
        <v>18919</v>
      </c>
      <c r="EH1470" t="s">
        <v>18921</v>
      </c>
      <c r="EI1470" t="s">
        <v>238</v>
      </c>
      <c r="EJ1470" t="s">
        <v>239</v>
      </c>
      <c r="EK1470" t="s">
        <v>18922</v>
      </c>
      <c r="EL1470" t="s">
        <v>235</v>
      </c>
      <c r="EM1470" t="s">
        <v>183</v>
      </c>
      <c r="EN1470" t="s">
        <v>211</v>
      </c>
      <c r="EO1470" t="s">
        <v>298</v>
      </c>
      <c r="EQ1470" t="s">
        <v>875</v>
      </c>
      <c r="ER1470" t="s">
        <v>18923</v>
      </c>
      <c r="ES1470" t="s">
        <v>346</v>
      </c>
      <c r="ET1470" t="s">
        <v>347</v>
      </c>
      <c r="EU1470" t="s">
        <v>18924</v>
      </c>
      <c r="EV1470" t="s">
        <v>235</v>
      </c>
      <c r="EW1470" t="s">
        <v>183</v>
      </c>
      <c r="EX1470" t="s">
        <v>211</v>
      </c>
      <c r="EY1470" t="s">
        <v>298</v>
      </c>
      <c r="FA1470" t="s">
        <v>2756</v>
      </c>
      <c r="FB1470" t="s">
        <v>11196</v>
      </c>
      <c r="FC1470" t="s">
        <v>207</v>
      </c>
      <c r="FD1470" t="s">
        <v>208</v>
      </c>
      <c r="FE1470" t="s">
        <v>12081</v>
      </c>
      <c r="FF1470" t="s">
        <v>235</v>
      </c>
      <c r="FG1470" t="s">
        <v>183</v>
      </c>
      <c r="FH1470" t="s">
        <v>211</v>
      </c>
      <c r="FI1470" t="s">
        <v>329</v>
      </c>
      <c r="FK1470" t="s">
        <v>18925</v>
      </c>
      <c r="FU1470" t="s">
        <v>198</v>
      </c>
    </row>
    <row r="1471" spans="1:177">
      <c r="A1471" s="1" t="str">
        <f>HYPERLINK("http://digipan.lumentumllc.com/apps/getLink/index.php?t=PropLink&amp;p=5246567","PL")</f>
        <v>PL</v>
      </c>
      <c r="B1471" s="1" t="str">
        <f>HYPERLINK("http://digipan.lumentumllc.com/apps/getLink/index.php?t=TaxLink&amp;p=5246567","TL")</f>
        <v>TL</v>
      </c>
      <c r="C1471" s="1" t="str">
        <f>HYPERLINK("http://digipan.lumentumllc.com/apps/getMap/index.php?p=5246567","Map")</f>
        <v>Map</v>
      </c>
      <c r="E1471" t="s">
        <v>177</v>
      </c>
      <c r="F1471" t="s">
        <v>178</v>
      </c>
      <c r="L1471" t="s">
        <v>18926</v>
      </c>
      <c r="N1471" t="s">
        <v>18926</v>
      </c>
      <c r="O1471" t="s">
        <v>18926</v>
      </c>
      <c r="P1471" t="s">
        <v>18927</v>
      </c>
      <c r="Q1471" t="s">
        <v>18926</v>
      </c>
      <c r="V1471">
        <v>1690</v>
      </c>
      <c r="W1471">
        <v>6</v>
      </c>
      <c r="X1471">
        <v>2017</v>
      </c>
      <c r="Y1471">
        <v>2018</v>
      </c>
      <c r="Z1471">
        <v>280.86</v>
      </c>
      <c r="AB1471" t="s">
        <v>181</v>
      </c>
      <c r="AC1471" t="s">
        <v>182</v>
      </c>
      <c r="AD1471" t="s">
        <v>183</v>
      </c>
      <c r="AE1471">
        <v>3</v>
      </c>
      <c r="AF1471">
        <v>4</v>
      </c>
      <c r="AG1471" t="s">
        <v>3859</v>
      </c>
      <c r="AH1471">
        <v>50</v>
      </c>
      <c r="AI1471">
        <v>841.62</v>
      </c>
      <c r="AJ1471">
        <v>138.27000000000001</v>
      </c>
      <c r="AK1471">
        <v>979.89</v>
      </c>
      <c r="AL1471">
        <v>15200</v>
      </c>
      <c r="AM1471">
        <v>15200</v>
      </c>
      <c r="AN1471">
        <v>0</v>
      </c>
      <c r="AO1471">
        <v>233</v>
      </c>
      <c r="AP1471">
        <v>2016</v>
      </c>
      <c r="AQ1471">
        <v>1.85</v>
      </c>
      <c r="AR1471">
        <v>6.45</v>
      </c>
      <c r="AS1471" t="s">
        <v>18928</v>
      </c>
      <c r="AT1471" t="s">
        <v>15040</v>
      </c>
      <c r="AU1471" t="s">
        <v>177</v>
      </c>
      <c r="AV1471" t="s">
        <v>371</v>
      </c>
      <c r="AW1471" t="s">
        <v>182</v>
      </c>
      <c r="AX1471">
        <v>0</v>
      </c>
      <c r="AY1471" t="s">
        <v>312</v>
      </c>
      <c r="AZ1471" t="s">
        <v>199</v>
      </c>
      <c r="BA1471" t="s">
        <v>313</v>
      </c>
      <c r="BB1471" t="s">
        <v>191</v>
      </c>
      <c r="BC1471" t="s">
        <v>182</v>
      </c>
      <c r="BD1471" t="s">
        <v>182</v>
      </c>
      <c r="BE1471" t="s">
        <v>7188</v>
      </c>
      <c r="BF1471">
        <v>0</v>
      </c>
      <c r="BG1471">
        <v>0</v>
      </c>
      <c r="BH1471">
        <v>0</v>
      </c>
      <c r="BI1471" t="s">
        <v>199</v>
      </c>
      <c r="BJ1471" t="s">
        <v>315</v>
      </c>
      <c r="BL1471" t="s">
        <v>199</v>
      </c>
      <c r="BM1471" t="s">
        <v>358</v>
      </c>
      <c r="BN1471" t="s">
        <v>182</v>
      </c>
      <c r="BO1471" t="s">
        <v>198</v>
      </c>
      <c r="BP1471" t="s">
        <v>198</v>
      </c>
      <c r="BQ1471" t="s">
        <v>198</v>
      </c>
      <c r="BR1471" t="s">
        <v>198</v>
      </c>
      <c r="BS1471" t="s">
        <v>198</v>
      </c>
      <c r="BT1471" t="s">
        <v>198</v>
      </c>
      <c r="BU1471" t="s">
        <v>182</v>
      </c>
      <c r="BV1471" t="s">
        <v>198</v>
      </c>
      <c r="BW1471" t="s">
        <v>198</v>
      </c>
      <c r="BX1471" t="s">
        <v>199</v>
      </c>
      <c r="BY1471" t="s">
        <v>198</v>
      </c>
      <c r="BZ1471" t="s">
        <v>199</v>
      </c>
      <c r="CA1471" t="s">
        <v>199</v>
      </c>
      <c r="CB1471" t="s">
        <v>18929</v>
      </c>
      <c r="CC1471" t="s">
        <v>201</v>
      </c>
      <c r="CD1471" t="s">
        <v>202</v>
      </c>
      <c r="CE1471" t="s">
        <v>18883</v>
      </c>
      <c r="CF1471" t="s">
        <v>413</v>
      </c>
      <c r="CG1471" t="s">
        <v>177</v>
      </c>
      <c r="CH1471" t="s">
        <v>7465</v>
      </c>
      <c r="CI1471" t="s">
        <v>18930</v>
      </c>
      <c r="CJ1471" t="s">
        <v>6846</v>
      </c>
      <c r="CK1471" t="s">
        <v>232</v>
      </c>
      <c r="CL1471" t="s">
        <v>233</v>
      </c>
      <c r="CM1471" t="s">
        <v>18931</v>
      </c>
      <c r="CN1471" t="s">
        <v>235</v>
      </c>
      <c r="CO1471" t="s">
        <v>183</v>
      </c>
      <c r="CP1471" t="s">
        <v>266</v>
      </c>
      <c r="CS1471" t="s">
        <v>198</v>
      </c>
      <c r="CT1471" t="s">
        <v>14484</v>
      </c>
      <c r="CU1471" t="s">
        <v>292</v>
      </c>
      <c r="CV1471" t="s">
        <v>293</v>
      </c>
      <c r="CW1471" t="s">
        <v>18932</v>
      </c>
      <c r="CX1471" t="s">
        <v>408</v>
      </c>
      <c r="CY1471" t="s">
        <v>183</v>
      </c>
      <c r="CZ1471" t="s">
        <v>266</v>
      </c>
      <c r="DC1471" t="s">
        <v>198</v>
      </c>
      <c r="DD1471" t="s">
        <v>6937</v>
      </c>
      <c r="DE1471" t="s">
        <v>267</v>
      </c>
      <c r="DF1471" t="s">
        <v>268</v>
      </c>
      <c r="DG1471" t="s">
        <v>1675</v>
      </c>
      <c r="DH1471" t="s">
        <v>331</v>
      </c>
      <c r="DI1471" t="s">
        <v>183</v>
      </c>
      <c r="DJ1471" t="s">
        <v>266</v>
      </c>
      <c r="DM1471" t="s">
        <v>198</v>
      </c>
      <c r="DN1471" t="s">
        <v>18933</v>
      </c>
      <c r="DO1471" t="s">
        <v>302</v>
      </c>
      <c r="DP1471" t="s">
        <v>303</v>
      </c>
      <c r="DQ1471" t="s">
        <v>18934</v>
      </c>
      <c r="DR1471" t="s">
        <v>440</v>
      </c>
      <c r="DS1471" t="s">
        <v>183</v>
      </c>
      <c r="DT1471" t="s">
        <v>211</v>
      </c>
      <c r="DU1471" t="s">
        <v>270</v>
      </c>
      <c r="DW1471" t="s">
        <v>4894</v>
      </c>
      <c r="DX1471" t="s">
        <v>18935</v>
      </c>
      <c r="DY1471" t="s">
        <v>238</v>
      </c>
      <c r="DZ1471" t="s">
        <v>239</v>
      </c>
      <c r="EA1471" t="s">
        <v>18936</v>
      </c>
      <c r="EB1471" t="s">
        <v>389</v>
      </c>
      <c r="EC1471" t="s">
        <v>183</v>
      </c>
      <c r="ED1471" t="s">
        <v>211</v>
      </c>
      <c r="EE1471" t="s">
        <v>337</v>
      </c>
      <c r="EG1471" t="s">
        <v>4894</v>
      </c>
      <c r="EH1471" t="s">
        <v>18937</v>
      </c>
      <c r="EI1471" t="s">
        <v>346</v>
      </c>
      <c r="EJ1471" t="s">
        <v>347</v>
      </c>
      <c r="EK1471" t="s">
        <v>10339</v>
      </c>
      <c r="EL1471" t="s">
        <v>618</v>
      </c>
      <c r="EM1471" t="s">
        <v>183</v>
      </c>
      <c r="EN1471" t="s">
        <v>211</v>
      </c>
      <c r="EO1471" t="s">
        <v>909</v>
      </c>
      <c r="EQ1471" t="s">
        <v>4894</v>
      </c>
      <c r="ER1471" t="s">
        <v>17822</v>
      </c>
      <c r="ES1471" t="s">
        <v>207</v>
      </c>
      <c r="ET1471" t="s">
        <v>208</v>
      </c>
      <c r="EU1471" t="s">
        <v>18938</v>
      </c>
      <c r="EV1471" t="s">
        <v>482</v>
      </c>
      <c r="EW1471" t="s">
        <v>183</v>
      </c>
      <c r="EX1471" t="s">
        <v>211</v>
      </c>
      <c r="EY1471" t="s">
        <v>298</v>
      </c>
      <c r="FA1471" t="s">
        <v>474</v>
      </c>
      <c r="FK1471" t="s">
        <v>198</v>
      </c>
      <c r="FU1471" t="s">
        <v>198</v>
      </c>
    </row>
    <row r="1472" spans="1:177">
      <c r="A1472" s="1" t="str">
        <f>HYPERLINK("http://digipan.lumentumllc.com/apps/getLink/index.php?t=PropLink&amp;p=6594234","PL")</f>
        <v>PL</v>
      </c>
      <c r="B1472" s="1" t="str">
        <f>HYPERLINK("http://digipan.lumentumllc.com/apps/getLink/index.php?t=TaxLink&amp;p=6594234","TL")</f>
        <v>TL</v>
      </c>
      <c r="C1472" s="1" t="str">
        <f>HYPERLINK("http://digipan.lumentumllc.com/apps/getMap/index.php?p=6594234","Map")</f>
        <v>Map</v>
      </c>
      <c r="E1472" t="s">
        <v>177</v>
      </c>
      <c r="F1472" t="s">
        <v>178</v>
      </c>
      <c r="L1472" t="s">
        <v>18939</v>
      </c>
      <c r="N1472" t="s">
        <v>18939</v>
      </c>
      <c r="O1472" t="s">
        <v>18939</v>
      </c>
      <c r="P1472" t="s">
        <v>18940</v>
      </c>
      <c r="Q1472" t="s">
        <v>18939</v>
      </c>
      <c r="V1472">
        <v>1691</v>
      </c>
      <c r="W1472">
        <v>6</v>
      </c>
      <c r="X1472">
        <v>2017</v>
      </c>
      <c r="Y1472">
        <v>2018</v>
      </c>
      <c r="Z1472">
        <v>253.32</v>
      </c>
      <c r="AB1472" t="s">
        <v>181</v>
      </c>
      <c r="AC1472" t="s">
        <v>202</v>
      </c>
      <c r="AD1472" t="s">
        <v>183</v>
      </c>
      <c r="AE1472">
        <v>1</v>
      </c>
      <c r="AF1472">
        <v>3</v>
      </c>
      <c r="AG1472" t="s">
        <v>257</v>
      </c>
      <c r="AH1472">
        <v>75</v>
      </c>
      <c r="AI1472">
        <v>251.43</v>
      </c>
      <c r="AJ1472">
        <v>12.57</v>
      </c>
      <c r="AK1472">
        <v>264</v>
      </c>
      <c r="AL1472">
        <v>13518</v>
      </c>
      <c r="AM1472">
        <v>13518</v>
      </c>
      <c r="AN1472">
        <v>0</v>
      </c>
      <c r="AO1472">
        <v>208</v>
      </c>
      <c r="AP1472">
        <v>2016</v>
      </c>
      <c r="AQ1472">
        <v>1.87</v>
      </c>
      <c r="AR1472">
        <v>1.95</v>
      </c>
      <c r="AS1472" t="s">
        <v>18941</v>
      </c>
      <c r="AT1472" t="s">
        <v>15040</v>
      </c>
      <c r="AU1472" t="s">
        <v>177</v>
      </c>
      <c r="AV1472" t="s">
        <v>371</v>
      </c>
      <c r="AW1472" t="s">
        <v>182</v>
      </c>
      <c r="AX1472">
        <v>0</v>
      </c>
      <c r="AY1472" t="s">
        <v>312</v>
      </c>
      <c r="AZ1472" t="s">
        <v>199</v>
      </c>
      <c r="BA1472" t="s">
        <v>313</v>
      </c>
      <c r="BB1472" t="s">
        <v>191</v>
      </c>
      <c r="BC1472" t="s">
        <v>182</v>
      </c>
      <c r="BD1472" t="s">
        <v>182</v>
      </c>
      <c r="BE1472" t="s">
        <v>5992</v>
      </c>
      <c r="BF1472">
        <v>0</v>
      </c>
      <c r="BG1472">
        <v>0</v>
      </c>
      <c r="BH1472">
        <v>0</v>
      </c>
      <c r="BI1472" t="s">
        <v>199</v>
      </c>
      <c r="BJ1472" t="s">
        <v>315</v>
      </c>
      <c r="BL1472" t="s">
        <v>199</v>
      </c>
      <c r="BM1472" t="s">
        <v>533</v>
      </c>
      <c r="BN1472" t="s">
        <v>182</v>
      </c>
      <c r="BO1472" t="s">
        <v>198</v>
      </c>
      <c r="BP1472" t="s">
        <v>198</v>
      </c>
      <c r="BQ1472" t="s">
        <v>198</v>
      </c>
      <c r="BR1472" t="s">
        <v>198</v>
      </c>
      <c r="BS1472" t="s">
        <v>198</v>
      </c>
      <c r="BT1472" t="s">
        <v>198</v>
      </c>
      <c r="BU1472" t="s">
        <v>182</v>
      </c>
      <c r="BV1472" t="s">
        <v>198</v>
      </c>
      <c r="BW1472" t="s">
        <v>198</v>
      </c>
      <c r="BX1472" t="s">
        <v>199</v>
      </c>
      <c r="BY1472" t="s">
        <v>198</v>
      </c>
      <c r="BZ1472" t="s">
        <v>199</v>
      </c>
      <c r="CA1472" t="s">
        <v>199</v>
      </c>
      <c r="CB1472" t="s">
        <v>18942</v>
      </c>
      <c r="CC1472" t="s">
        <v>201</v>
      </c>
      <c r="CD1472" t="s">
        <v>182</v>
      </c>
      <c r="CE1472" t="s">
        <v>18943</v>
      </c>
      <c r="CF1472" t="s">
        <v>413</v>
      </c>
      <c r="CG1472" t="s">
        <v>177</v>
      </c>
      <c r="CH1472" t="s">
        <v>414</v>
      </c>
      <c r="CI1472" t="s">
        <v>18944</v>
      </c>
      <c r="CJ1472" t="s">
        <v>15914</v>
      </c>
      <c r="CK1472" t="s">
        <v>232</v>
      </c>
      <c r="CL1472" t="s">
        <v>233</v>
      </c>
      <c r="CM1472" t="s">
        <v>12674</v>
      </c>
      <c r="CN1472" t="s">
        <v>235</v>
      </c>
      <c r="CO1472" t="s">
        <v>183</v>
      </c>
      <c r="CP1472" t="s">
        <v>266</v>
      </c>
      <c r="CS1472" t="s">
        <v>198</v>
      </c>
      <c r="CT1472" t="s">
        <v>3096</v>
      </c>
      <c r="CU1472" t="s">
        <v>292</v>
      </c>
      <c r="CV1472" t="s">
        <v>293</v>
      </c>
      <c r="CW1472" t="s">
        <v>18945</v>
      </c>
      <c r="CX1472" t="s">
        <v>482</v>
      </c>
      <c r="CY1472" t="s">
        <v>183</v>
      </c>
      <c r="CZ1472" t="s">
        <v>211</v>
      </c>
      <c r="DA1472" t="s">
        <v>189</v>
      </c>
      <c r="DB1472" t="s">
        <v>271</v>
      </c>
      <c r="DC1472" t="s">
        <v>18874</v>
      </c>
      <c r="DD1472" t="s">
        <v>16877</v>
      </c>
      <c r="DE1472" t="s">
        <v>267</v>
      </c>
      <c r="DF1472" t="s">
        <v>268</v>
      </c>
      <c r="DG1472" t="s">
        <v>18946</v>
      </c>
      <c r="DH1472" t="s">
        <v>1164</v>
      </c>
      <c r="DI1472" t="s">
        <v>183</v>
      </c>
      <c r="DJ1472" t="s">
        <v>211</v>
      </c>
      <c r="DL1472" t="s">
        <v>271</v>
      </c>
      <c r="DM1472" t="s">
        <v>198</v>
      </c>
      <c r="DN1472" t="s">
        <v>5238</v>
      </c>
      <c r="DO1472" t="s">
        <v>273</v>
      </c>
      <c r="DP1472" t="s">
        <v>274</v>
      </c>
      <c r="DQ1472" t="s">
        <v>18947</v>
      </c>
      <c r="DR1472" t="s">
        <v>796</v>
      </c>
      <c r="DS1472" t="s">
        <v>183</v>
      </c>
      <c r="DT1472" t="s">
        <v>211</v>
      </c>
      <c r="DV1472" t="s">
        <v>271</v>
      </c>
      <c r="DW1472" t="s">
        <v>198</v>
      </c>
      <c r="EG1472" t="s">
        <v>198</v>
      </c>
      <c r="EQ1472" t="s">
        <v>198</v>
      </c>
      <c r="FA1472" t="s">
        <v>198</v>
      </c>
      <c r="FK1472" t="s">
        <v>198</v>
      </c>
      <c r="FU1472" t="s">
        <v>198</v>
      </c>
    </row>
    <row r="1473" spans="1:177">
      <c r="A1473" s="1" t="str">
        <f>HYPERLINK("http://digipan.lumentumllc.com/apps/getLink/index.php?t=PropLink&amp;p=15749246","PL")</f>
        <v>PL</v>
      </c>
      <c r="B1473" s="1" t="str">
        <f>HYPERLINK("http://digipan.lumentumllc.com/apps/getLink/index.php?t=TaxLink&amp;p=15749246","TL")</f>
        <v>TL</v>
      </c>
      <c r="C1473" s="1" t="str">
        <f>HYPERLINK("http://digipan.lumentumllc.com/apps/getMap/index.php?p=15749246","Map")</f>
        <v>Map</v>
      </c>
      <c r="E1473" t="s">
        <v>177</v>
      </c>
      <c r="F1473" t="s">
        <v>178</v>
      </c>
      <c r="L1473" t="s">
        <v>18948</v>
      </c>
      <c r="N1473" t="s">
        <v>18948</v>
      </c>
      <c r="O1473" t="s">
        <v>18948</v>
      </c>
      <c r="Q1473" t="s">
        <v>18948</v>
      </c>
      <c r="V1473">
        <v>1692</v>
      </c>
      <c r="W1473">
        <v>6</v>
      </c>
      <c r="X1473">
        <v>2017</v>
      </c>
      <c r="Y1473">
        <v>2018</v>
      </c>
      <c r="Z1473">
        <v>436.83</v>
      </c>
      <c r="AG1473" t="s">
        <v>184</v>
      </c>
      <c r="AH1473">
        <v>0</v>
      </c>
      <c r="AK1473">
        <v>0</v>
      </c>
      <c r="AL1473">
        <v>90544</v>
      </c>
      <c r="AM1473">
        <v>12775</v>
      </c>
      <c r="AN1473">
        <v>77769</v>
      </c>
      <c r="AO1473">
        <v>719</v>
      </c>
      <c r="AP1473">
        <v>2016</v>
      </c>
      <c r="AQ1473">
        <v>0.48</v>
      </c>
      <c r="AS1473" t="s">
        <v>18949</v>
      </c>
      <c r="AT1473" t="s">
        <v>3210</v>
      </c>
      <c r="AU1473" t="s">
        <v>177</v>
      </c>
      <c r="AV1473" t="s">
        <v>2334</v>
      </c>
      <c r="AW1473" t="s">
        <v>202</v>
      </c>
      <c r="AX1473">
        <v>1</v>
      </c>
      <c r="AY1473" t="s">
        <v>188</v>
      </c>
      <c r="AZ1473" t="s">
        <v>206</v>
      </c>
      <c r="BA1473" t="s">
        <v>355</v>
      </c>
      <c r="BB1473" t="s">
        <v>191</v>
      </c>
      <c r="BC1473" t="s">
        <v>182</v>
      </c>
      <c r="BD1473" t="s">
        <v>182</v>
      </c>
      <c r="BE1473" t="s">
        <v>12565</v>
      </c>
      <c r="BF1473">
        <v>1</v>
      </c>
      <c r="BG1473">
        <v>1</v>
      </c>
      <c r="BH1473">
        <v>1982</v>
      </c>
      <c r="BI1473" t="s">
        <v>15473</v>
      </c>
      <c r="BJ1473" t="s">
        <v>194</v>
      </c>
      <c r="BK1473" t="s">
        <v>195</v>
      </c>
      <c r="BL1473" t="s">
        <v>199</v>
      </c>
      <c r="BM1473" t="s">
        <v>679</v>
      </c>
      <c r="BN1473" t="s">
        <v>182</v>
      </c>
      <c r="BO1473" t="s">
        <v>198</v>
      </c>
      <c r="BP1473" t="s">
        <v>198</v>
      </c>
      <c r="BQ1473" t="s">
        <v>198</v>
      </c>
      <c r="BR1473" t="s">
        <v>198</v>
      </c>
      <c r="BS1473" t="s">
        <v>198</v>
      </c>
      <c r="BT1473" t="s">
        <v>198</v>
      </c>
      <c r="BU1473" t="s">
        <v>182</v>
      </c>
      <c r="BV1473" t="s">
        <v>198</v>
      </c>
      <c r="BW1473" t="s">
        <v>198</v>
      </c>
      <c r="BX1473" t="s">
        <v>199</v>
      </c>
      <c r="BY1473" t="s">
        <v>198</v>
      </c>
      <c r="BZ1473" t="s">
        <v>199</v>
      </c>
      <c r="CA1473" t="s">
        <v>199</v>
      </c>
      <c r="CB1473" t="s">
        <v>18950</v>
      </c>
      <c r="CC1473" t="s">
        <v>201</v>
      </c>
      <c r="CD1473" t="s">
        <v>202</v>
      </c>
      <c r="CE1473" t="s">
        <v>18951</v>
      </c>
      <c r="CF1473" t="s">
        <v>2333</v>
      </c>
      <c r="CG1473" t="s">
        <v>177</v>
      </c>
      <c r="CH1473" t="s">
        <v>2334</v>
      </c>
      <c r="CI1473" t="s">
        <v>4099</v>
      </c>
      <c r="CS1473" t="s">
        <v>198</v>
      </c>
      <c r="DC1473" t="s">
        <v>198</v>
      </c>
      <c r="DM1473" t="s">
        <v>198</v>
      </c>
      <c r="DW1473" t="s">
        <v>198</v>
      </c>
      <c r="EG1473" t="s">
        <v>198</v>
      </c>
      <c r="EQ1473" t="s">
        <v>198</v>
      </c>
      <c r="FA1473" t="s">
        <v>198</v>
      </c>
      <c r="FK1473" t="s">
        <v>198</v>
      </c>
      <c r="FU1473" t="s">
        <v>198</v>
      </c>
    </row>
    <row r="1474" spans="1:177">
      <c r="A1474" s="1" t="str">
        <f>HYPERLINK("http://digipan.lumentumllc.com/apps/getLink/index.php?t=PropLink&amp;p=5246606","PL")</f>
        <v>PL</v>
      </c>
      <c r="B1474" s="1" t="str">
        <f>HYPERLINK("http://digipan.lumentumllc.com/apps/getLink/index.php?t=TaxLink&amp;p=5246606","TL")</f>
        <v>TL</v>
      </c>
      <c r="C1474" s="1" t="str">
        <f>HYPERLINK("http://digipan.lumentumllc.com/apps/getMap/index.php?p=5246606","Map")</f>
        <v>Map</v>
      </c>
      <c r="E1474" t="s">
        <v>177</v>
      </c>
      <c r="F1474" t="s">
        <v>178</v>
      </c>
      <c r="L1474" t="s">
        <v>18952</v>
      </c>
      <c r="N1474" t="s">
        <v>18952</v>
      </c>
      <c r="O1474" t="s">
        <v>18952</v>
      </c>
      <c r="P1474" t="s">
        <v>18953</v>
      </c>
      <c r="Q1474" t="s">
        <v>18952</v>
      </c>
      <c r="V1474">
        <v>1693</v>
      </c>
      <c r="W1474">
        <v>6</v>
      </c>
      <c r="X1474">
        <v>2017</v>
      </c>
      <c r="Y1474">
        <v>2018</v>
      </c>
      <c r="Z1474">
        <v>175.25</v>
      </c>
      <c r="AB1474" t="s">
        <v>181</v>
      </c>
      <c r="AC1474" t="s">
        <v>182</v>
      </c>
      <c r="AD1474" t="s">
        <v>183</v>
      </c>
      <c r="AE1474">
        <v>1</v>
      </c>
      <c r="AF1474">
        <v>6</v>
      </c>
      <c r="AG1474" t="s">
        <v>322</v>
      </c>
      <c r="AH1474">
        <v>83</v>
      </c>
      <c r="AI1474">
        <v>172.27</v>
      </c>
      <c r="AJ1474">
        <v>8.61</v>
      </c>
      <c r="AK1474">
        <v>180.88</v>
      </c>
      <c r="AL1474">
        <v>8750</v>
      </c>
      <c r="AM1474">
        <v>8750</v>
      </c>
      <c r="AN1474">
        <v>0</v>
      </c>
      <c r="AO1474">
        <v>134</v>
      </c>
      <c r="AP1474">
        <v>2016</v>
      </c>
      <c r="AQ1474">
        <v>2</v>
      </c>
      <c r="AR1474">
        <v>2.0699999999999998</v>
      </c>
      <c r="AS1474" t="s">
        <v>18954</v>
      </c>
      <c r="AT1474" t="s">
        <v>3210</v>
      </c>
      <c r="AU1474" t="s">
        <v>177</v>
      </c>
      <c r="AV1474" t="s">
        <v>2334</v>
      </c>
      <c r="AW1474" t="s">
        <v>182</v>
      </c>
      <c r="AX1474">
        <v>0</v>
      </c>
      <c r="AY1474" t="s">
        <v>312</v>
      </c>
      <c r="AZ1474" t="s">
        <v>199</v>
      </c>
      <c r="BA1474" t="s">
        <v>313</v>
      </c>
      <c r="BB1474" t="s">
        <v>191</v>
      </c>
      <c r="BC1474" t="s">
        <v>182</v>
      </c>
      <c r="BD1474" t="s">
        <v>182</v>
      </c>
      <c r="BE1474" t="s">
        <v>12936</v>
      </c>
      <c r="BF1474">
        <v>0</v>
      </c>
      <c r="BG1474">
        <v>0</v>
      </c>
      <c r="BH1474">
        <v>0</v>
      </c>
      <c r="BI1474" t="s">
        <v>199</v>
      </c>
      <c r="BJ1474" t="s">
        <v>248</v>
      </c>
      <c r="BL1474" t="s">
        <v>199</v>
      </c>
      <c r="BM1474" t="s">
        <v>1779</v>
      </c>
      <c r="BN1474" t="s">
        <v>182</v>
      </c>
      <c r="BO1474" t="s">
        <v>198</v>
      </c>
      <c r="BP1474" t="s">
        <v>198</v>
      </c>
      <c r="BQ1474" t="s">
        <v>198</v>
      </c>
      <c r="BR1474" t="s">
        <v>198</v>
      </c>
      <c r="BS1474" t="s">
        <v>198</v>
      </c>
      <c r="BT1474" t="s">
        <v>198</v>
      </c>
      <c r="BU1474" t="s">
        <v>182</v>
      </c>
      <c r="BV1474" t="s">
        <v>198</v>
      </c>
      <c r="BW1474" t="s">
        <v>198</v>
      </c>
      <c r="BX1474" t="s">
        <v>199</v>
      </c>
      <c r="BY1474" t="s">
        <v>198</v>
      </c>
      <c r="BZ1474" t="s">
        <v>199</v>
      </c>
      <c r="CA1474" t="s">
        <v>199</v>
      </c>
      <c r="CB1474" t="s">
        <v>18955</v>
      </c>
      <c r="CC1474" t="s">
        <v>201</v>
      </c>
      <c r="CD1474" t="s">
        <v>182</v>
      </c>
      <c r="CE1474" t="s">
        <v>18956</v>
      </c>
      <c r="CF1474" t="s">
        <v>5331</v>
      </c>
      <c r="CG1474" t="s">
        <v>177</v>
      </c>
      <c r="CH1474" t="s">
        <v>371</v>
      </c>
      <c r="CI1474" t="s">
        <v>649</v>
      </c>
      <c r="CJ1474" t="s">
        <v>9253</v>
      </c>
      <c r="CK1474" t="s">
        <v>232</v>
      </c>
      <c r="CL1474" t="s">
        <v>233</v>
      </c>
      <c r="CM1474" t="s">
        <v>17952</v>
      </c>
      <c r="CN1474" t="s">
        <v>235</v>
      </c>
      <c r="CO1474" t="s">
        <v>183</v>
      </c>
      <c r="CP1474" t="s">
        <v>266</v>
      </c>
      <c r="CS1474" t="s">
        <v>198</v>
      </c>
      <c r="CT1474" t="s">
        <v>18219</v>
      </c>
      <c r="CU1474" t="s">
        <v>267</v>
      </c>
      <c r="CV1474" t="s">
        <v>268</v>
      </c>
      <c r="CW1474" t="s">
        <v>17953</v>
      </c>
      <c r="CX1474" t="s">
        <v>482</v>
      </c>
      <c r="CY1474" t="s">
        <v>183</v>
      </c>
      <c r="CZ1474" t="s">
        <v>211</v>
      </c>
      <c r="DA1474" t="s">
        <v>270</v>
      </c>
      <c r="DC1474" t="s">
        <v>16206</v>
      </c>
      <c r="DD1474" t="s">
        <v>6558</v>
      </c>
      <c r="DE1474" t="s">
        <v>273</v>
      </c>
      <c r="DF1474" t="s">
        <v>274</v>
      </c>
      <c r="DG1474" t="s">
        <v>17955</v>
      </c>
      <c r="DH1474" t="s">
        <v>511</v>
      </c>
      <c r="DI1474" t="s">
        <v>183</v>
      </c>
      <c r="DJ1474" t="s">
        <v>211</v>
      </c>
      <c r="DK1474" t="s">
        <v>337</v>
      </c>
      <c r="DM1474" t="s">
        <v>16206</v>
      </c>
      <c r="DN1474" t="s">
        <v>14505</v>
      </c>
      <c r="DO1474" t="s">
        <v>302</v>
      </c>
      <c r="DP1474" t="s">
        <v>303</v>
      </c>
      <c r="DQ1474" t="s">
        <v>14934</v>
      </c>
      <c r="DR1474" t="s">
        <v>295</v>
      </c>
      <c r="DS1474" t="s">
        <v>183</v>
      </c>
      <c r="DT1474" t="s">
        <v>211</v>
      </c>
      <c r="DU1474" t="s">
        <v>337</v>
      </c>
      <c r="DW1474" t="s">
        <v>4916</v>
      </c>
      <c r="DX1474" t="s">
        <v>18957</v>
      </c>
      <c r="DY1474" t="s">
        <v>238</v>
      </c>
      <c r="DZ1474" t="s">
        <v>239</v>
      </c>
      <c r="EA1474" t="s">
        <v>13308</v>
      </c>
      <c r="EB1474" t="s">
        <v>389</v>
      </c>
      <c r="EC1474" t="s">
        <v>183</v>
      </c>
      <c r="ED1474" t="s">
        <v>211</v>
      </c>
      <c r="EE1474" t="s">
        <v>337</v>
      </c>
      <c r="EG1474" t="s">
        <v>1349</v>
      </c>
      <c r="EH1474" t="s">
        <v>18958</v>
      </c>
      <c r="EI1474" t="s">
        <v>346</v>
      </c>
      <c r="EJ1474" t="s">
        <v>347</v>
      </c>
      <c r="EK1474" t="s">
        <v>18877</v>
      </c>
      <c r="EL1474" t="s">
        <v>278</v>
      </c>
      <c r="EM1474" t="s">
        <v>183</v>
      </c>
      <c r="EN1474" t="s">
        <v>211</v>
      </c>
      <c r="EO1474" t="s">
        <v>298</v>
      </c>
      <c r="EQ1474" t="s">
        <v>2473</v>
      </c>
      <c r="ER1474" t="s">
        <v>17869</v>
      </c>
      <c r="ES1474" t="s">
        <v>207</v>
      </c>
      <c r="ET1474" t="s">
        <v>208</v>
      </c>
      <c r="EU1474" t="s">
        <v>11189</v>
      </c>
      <c r="EV1474" t="s">
        <v>482</v>
      </c>
      <c r="EW1474" t="s">
        <v>183</v>
      </c>
      <c r="EX1474" t="s">
        <v>211</v>
      </c>
      <c r="EY1474" t="s">
        <v>298</v>
      </c>
      <c r="FA1474" t="s">
        <v>7700</v>
      </c>
      <c r="FK1474" t="s">
        <v>198</v>
      </c>
      <c r="FU1474" t="s">
        <v>198</v>
      </c>
    </row>
    <row r="1475" spans="1:177">
      <c r="A1475" s="1" t="str">
        <f>HYPERLINK("http://digipan.lumentumllc.com/apps/getLink/index.php?t=PropLink&amp;p=5246607","PL")</f>
        <v>PL</v>
      </c>
      <c r="B1475" s="1" t="str">
        <f>HYPERLINK("http://digipan.lumentumllc.com/apps/getLink/index.php?t=TaxLink&amp;p=5246607","TL")</f>
        <v>TL</v>
      </c>
      <c r="C1475" s="1" t="str">
        <f>HYPERLINK("http://digipan.lumentumllc.com/apps/getMap/index.php?p=5246607","Map")</f>
        <v>Map</v>
      </c>
      <c r="E1475" t="s">
        <v>177</v>
      </c>
      <c r="F1475" t="s">
        <v>178</v>
      </c>
      <c r="L1475" t="s">
        <v>18959</v>
      </c>
      <c r="N1475" t="s">
        <v>18959</v>
      </c>
      <c r="O1475" t="s">
        <v>18959</v>
      </c>
      <c r="P1475" t="s">
        <v>18960</v>
      </c>
      <c r="Q1475" t="s">
        <v>18959</v>
      </c>
      <c r="V1475">
        <v>1694</v>
      </c>
      <c r="W1475">
        <v>6</v>
      </c>
      <c r="X1475">
        <v>2017</v>
      </c>
      <c r="Y1475">
        <v>2018</v>
      </c>
      <c r="Z1475">
        <v>175.25</v>
      </c>
      <c r="AB1475" t="s">
        <v>181</v>
      </c>
      <c r="AC1475" t="s">
        <v>182</v>
      </c>
      <c r="AD1475" t="s">
        <v>183</v>
      </c>
      <c r="AE1475">
        <v>1</v>
      </c>
      <c r="AF1475">
        <v>6</v>
      </c>
      <c r="AG1475" t="s">
        <v>322</v>
      </c>
      <c r="AH1475">
        <v>83</v>
      </c>
      <c r="AI1475">
        <v>172.27</v>
      </c>
      <c r="AJ1475">
        <v>8.61</v>
      </c>
      <c r="AK1475">
        <v>180.88</v>
      </c>
      <c r="AL1475">
        <v>8750</v>
      </c>
      <c r="AM1475">
        <v>8750</v>
      </c>
      <c r="AN1475">
        <v>0</v>
      </c>
      <c r="AO1475">
        <v>134</v>
      </c>
      <c r="AP1475">
        <v>2016</v>
      </c>
      <c r="AQ1475">
        <v>2</v>
      </c>
      <c r="AR1475">
        <v>2.0699999999999998</v>
      </c>
      <c r="AS1475" t="s">
        <v>18961</v>
      </c>
      <c r="AT1475" t="s">
        <v>15040</v>
      </c>
      <c r="AU1475" t="s">
        <v>177</v>
      </c>
      <c r="AV1475" t="s">
        <v>371</v>
      </c>
      <c r="AW1475" t="s">
        <v>182</v>
      </c>
      <c r="AX1475">
        <v>0</v>
      </c>
      <c r="AY1475" t="s">
        <v>312</v>
      </c>
      <c r="AZ1475" t="s">
        <v>199</v>
      </c>
      <c r="BA1475" t="s">
        <v>313</v>
      </c>
      <c r="BB1475" t="s">
        <v>191</v>
      </c>
      <c r="BC1475" t="s">
        <v>182</v>
      </c>
      <c r="BD1475" t="s">
        <v>182</v>
      </c>
      <c r="BE1475" t="s">
        <v>12936</v>
      </c>
      <c r="BF1475">
        <v>0</v>
      </c>
      <c r="BG1475">
        <v>0</v>
      </c>
      <c r="BH1475">
        <v>0</v>
      </c>
      <c r="BI1475" t="s">
        <v>199</v>
      </c>
      <c r="BJ1475" t="s">
        <v>315</v>
      </c>
      <c r="BL1475" t="s">
        <v>199</v>
      </c>
      <c r="BM1475" t="s">
        <v>1779</v>
      </c>
      <c r="BN1475" t="s">
        <v>182</v>
      </c>
      <c r="BO1475" t="s">
        <v>198</v>
      </c>
      <c r="BP1475" t="s">
        <v>198</v>
      </c>
      <c r="BQ1475" t="s">
        <v>198</v>
      </c>
      <c r="BR1475" t="s">
        <v>198</v>
      </c>
      <c r="BS1475" t="s">
        <v>198</v>
      </c>
      <c r="BT1475" t="s">
        <v>198</v>
      </c>
      <c r="BU1475" t="s">
        <v>182</v>
      </c>
      <c r="BV1475" t="s">
        <v>198</v>
      </c>
      <c r="BW1475" t="s">
        <v>198</v>
      </c>
      <c r="BX1475" t="s">
        <v>199</v>
      </c>
      <c r="BY1475" t="s">
        <v>198</v>
      </c>
      <c r="BZ1475" t="s">
        <v>199</v>
      </c>
      <c r="CA1475" t="s">
        <v>199</v>
      </c>
      <c r="CB1475" t="s">
        <v>18955</v>
      </c>
      <c r="CC1475" t="s">
        <v>201</v>
      </c>
      <c r="CD1475" t="s">
        <v>182</v>
      </c>
      <c r="CE1475" t="s">
        <v>18956</v>
      </c>
      <c r="CF1475" t="s">
        <v>5331</v>
      </c>
      <c r="CG1475" t="s">
        <v>177</v>
      </c>
      <c r="CH1475" t="s">
        <v>371</v>
      </c>
      <c r="CI1475" t="s">
        <v>3818</v>
      </c>
      <c r="CJ1475" t="s">
        <v>11370</v>
      </c>
      <c r="CK1475" t="s">
        <v>232</v>
      </c>
      <c r="CL1475" t="s">
        <v>233</v>
      </c>
      <c r="CM1475" t="s">
        <v>17952</v>
      </c>
      <c r="CN1475" t="s">
        <v>235</v>
      </c>
      <c r="CO1475" t="s">
        <v>183</v>
      </c>
      <c r="CP1475" t="s">
        <v>266</v>
      </c>
      <c r="CS1475" t="s">
        <v>198</v>
      </c>
      <c r="CT1475" t="s">
        <v>8577</v>
      </c>
      <c r="CU1475" t="s">
        <v>267</v>
      </c>
      <c r="CV1475" t="s">
        <v>268</v>
      </c>
      <c r="CW1475" t="s">
        <v>17953</v>
      </c>
      <c r="CX1475" t="s">
        <v>482</v>
      </c>
      <c r="CY1475" t="s">
        <v>183</v>
      </c>
      <c r="CZ1475" t="s">
        <v>211</v>
      </c>
      <c r="DA1475" t="s">
        <v>270</v>
      </c>
      <c r="DC1475" t="s">
        <v>16206</v>
      </c>
      <c r="DD1475" t="s">
        <v>5292</v>
      </c>
      <c r="DE1475" t="s">
        <v>273</v>
      </c>
      <c r="DF1475" t="s">
        <v>274</v>
      </c>
      <c r="DG1475" t="s">
        <v>17955</v>
      </c>
      <c r="DH1475" t="s">
        <v>511</v>
      </c>
      <c r="DI1475" t="s">
        <v>183</v>
      </c>
      <c r="DJ1475" t="s">
        <v>211</v>
      </c>
      <c r="DK1475" t="s">
        <v>337</v>
      </c>
      <c r="DM1475" t="s">
        <v>16206</v>
      </c>
      <c r="DN1475" t="s">
        <v>18962</v>
      </c>
      <c r="DO1475" t="s">
        <v>302</v>
      </c>
      <c r="DP1475" t="s">
        <v>303</v>
      </c>
      <c r="DQ1475" t="s">
        <v>14934</v>
      </c>
      <c r="DR1475" t="s">
        <v>295</v>
      </c>
      <c r="DS1475" t="s">
        <v>183</v>
      </c>
      <c r="DT1475" t="s">
        <v>211</v>
      </c>
      <c r="DU1475" t="s">
        <v>337</v>
      </c>
      <c r="DW1475" t="s">
        <v>4916</v>
      </c>
      <c r="DX1475" t="s">
        <v>10071</v>
      </c>
      <c r="DY1475" t="s">
        <v>238</v>
      </c>
      <c r="DZ1475" t="s">
        <v>239</v>
      </c>
      <c r="EA1475" t="s">
        <v>13308</v>
      </c>
      <c r="EB1475" t="s">
        <v>389</v>
      </c>
      <c r="EC1475" t="s">
        <v>183</v>
      </c>
      <c r="ED1475" t="s">
        <v>211</v>
      </c>
      <c r="EE1475" t="s">
        <v>337</v>
      </c>
      <c r="EG1475" t="s">
        <v>1349</v>
      </c>
      <c r="EH1475" t="s">
        <v>18963</v>
      </c>
      <c r="EI1475" t="s">
        <v>346</v>
      </c>
      <c r="EJ1475" t="s">
        <v>347</v>
      </c>
      <c r="EK1475" t="s">
        <v>18877</v>
      </c>
      <c r="EL1475" t="s">
        <v>278</v>
      </c>
      <c r="EM1475" t="s">
        <v>183</v>
      </c>
      <c r="EN1475" t="s">
        <v>211</v>
      </c>
      <c r="EO1475" t="s">
        <v>298</v>
      </c>
      <c r="EQ1475" t="s">
        <v>2473</v>
      </c>
      <c r="ER1475" t="s">
        <v>17884</v>
      </c>
      <c r="ES1475" t="s">
        <v>207</v>
      </c>
      <c r="ET1475" t="s">
        <v>208</v>
      </c>
      <c r="EU1475" t="s">
        <v>11189</v>
      </c>
      <c r="EV1475" t="s">
        <v>482</v>
      </c>
      <c r="EW1475" t="s">
        <v>183</v>
      </c>
      <c r="EX1475" t="s">
        <v>211</v>
      </c>
      <c r="EY1475" t="s">
        <v>298</v>
      </c>
      <c r="FA1475" t="s">
        <v>7700</v>
      </c>
      <c r="FK1475" t="s">
        <v>198</v>
      </c>
      <c r="FU1475" t="s">
        <v>198</v>
      </c>
    </row>
    <row r="1476" spans="1:177">
      <c r="A1476" s="1" t="str">
        <f>HYPERLINK("http://digipan.lumentumllc.com/apps/getLink/index.php?t=PropLink&amp;p=5246608","PL")</f>
        <v>PL</v>
      </c>
      <c r="B1476" s="1" t="str">
        <f>HYPERLINK("http://digipan.lumentumllc.com/apps/getLink/index.php?t=TaxLink&amp;p=5246608","TL")</f>
        <v>TL</v>
      </c>
      <c r="C1476" s="1" t="str">
        <f>HYPERLINK("http://digipan.lumentumllc.com/apps/getMap/index.php?p=5246608","Map")</f>
        <v>Map</v>
      </c>
      <c r="E1476" t="s">
        <v>177</v>
      </c>
      <c r="F1476" t="s">
        <v>178</v>
      </c>
      <c r="L1476" t="s">
        <v>18964</v>
      </c>
      <c r="N1476" t="s">
        <v>18964</v>
      </c>
      <c r="O1476" t="s">
        <v>18964</v>
      </c>
      <c r="P1476" t="s">
        <v>18965</v>
      </c>
      <c r="Q1476" t="s">
        <v>18964</v>
      </c>
      <c r="V1476">
        <v>1695</v>
      </c>
      <c r="W1476">
        <v>6</v>
      </c>
      <c r="X1476">
        <v>2017</v>
      </c>
      <c r="Y1476">
        <v>2018</v>
      </c>
      <c r="Z1476">
        <v>670.53</v>
      </c>
      <c r="AB1476" t="s">
        <v>181</v>
      </c>
      <c r="AC1476" t="s">
        <v>182</v>
      </c>
      <c r="AD1476" t="s">
        <v>183</v>
      </c>
      <c r="AE1476">
        <v>1</v>
      </c>
      <c r="AF1476">
        <v>6</v>
      </c>
      <c r="AG1476" t="s">
        <v>322</v>
      </c>
      <c r="AH1476">
        <v>83</v>
      </c>
      <c r="AI1476">
        <v>674.47</v>
      </c>
      <c r="AJ1476">
        <v>33.72</v>
      </c>
      <c r="AK1476">
        <v>708.19</v>
      </c>
      <c r="AL1476">
        <v>39000</v>
      </c>
      <c r="AM1476">
        <v>39000</v>
      </c>
      <c r="AN1476">
        <v>0</v>
      </c>
      <c r="AO1476">
        <v>599</v>
      </c>
      <c r="AP1476">
        <v>2016</v>
      </c>
      <c r="AQ1476">
        <v>1.72</v>
      </c>
      <c r="AR1476">
        <v>1.82</v>
      </c>
      <c r="AS1476" t="s">
        <v>18966</v>
      </c>
      <c r="AT1476" t="s">
        <v>15040</v>
      </c>
      <c r="AU1476" t="s">
        <v>177</v>
      </c>
      <c r="AV1476" t="s">
        <v>371</v>
      </c>
      <c r="AW1476" t="s">
        <v>182</v>
      </c>
      <c r="AX1476">
        <v>0</v>
      </c>
      <c r="AY1476" t="s">
        <v>312</v>
      </c>
      <c r="AZ1476" t="s">
        <v>199</v>
      </c>
      <c r="BA1476" t="s">
        <v>313</v>
      </c>
      <c r="BB1476" t="s">
        <v>191</v>
      </c>
      <c r="BC1476" t="s">
        <v>182</v>
      </c>
      <c r="BD1476" t="s">
        <v>182</v>
      </c>
      <c r="BE1476" t="s">
        <v>5975</v>
      </c>
      <c r="BF1476">
        <v>0</v>
      </c>
      <c r="BG1476">
        <v>0</v>
      </c>
      <c r="BH1476">
        <v>0</v>
      </c>
      <c r="BI1476" t="s">
        <v>199</v>
      </c>
      <c r="BJ1476" t="s">
        <v>315</v>
      </c>
      <c r="BL1476" t="s">
        <v>199</v>
      </c>
      <c r="BM1476" t="s">
        <v>1779</v>
      </c>
      <c r="BN1476" t="s">
        <v>182</v>
      </c>
      <c r="BO1476" t="s">
        <v>198</v>
      </c>
      <c r="BP1476" t="s">
        <v>198</v>
      </c>
      <c r="BQ1476" t="s">
        <v>198</v>
      </c>
      <c r="BR1476" t="s">
        <v>198</v>
      </c>
      <c r="BS1476" t="s">
        <v>198</v>
      </c>
      <c r="BT1476" t="s">
        <v>198</v>
      </c>
      <c r="BU1476" t="s">
        <v>182</v>
      </c>
      <c r="BV1476" t="s">
        <v>198</v>
      </c>
      <c r="BW1476" t="s">
        <v>198</v>
      </c>
      <c r="BX1476" t="s">
        <v>199</v>
      </c>
      <c r="BY1476" t="s">
        <v>198</v>
      </c>
      <c r="BZ1476" t="s">
        <v>199</v>
      </c>
      <c r="CA1476" t="s">
        <v>199</v>
      </c>
      <c r="CB1476" t="s">
        <v>18955</v>
      </c>
      <c r="CC1476" t="s">
        <v>201</v>
      </c>
      <c r="CD1476" t="s">
        <v>182</v>
      </c>
      <c r="CE1476" t="s">
        <v>18956</v>
      </c>
      <c r="CF1476" t="s">
        <v>5331</v>
      </c>
      <c r="CG1476" t="s">
        <v>177</v>
      </c>
      <c r="CH1476" t="s">
        <v>371</v>
      </c>
      <c r="CI1476" t="s">
        <v>1114</v>
      </c>
      <c r="CJ1476" t="s">
        <v>13724</v>
      </c>
      <c r="CK1476" t="s">
        <v>232</v>
      </c>
      <c r="CL1476" t="s">
        <v>233</v>
      </c>
      <c r="CM1476" t="s">
        <v>18967</v>
      </c>
      <c r="CN1476" t="s">
        <v>235</v>
      </c>
      <c r="CO1476" t="s">
        <v>183</v>
      </c>
      <c r="CP1476" t="s">
        <v>266</v>
      </c>
      <c r="CS1476" t="s">
        <v>198</v>
      </c>
      <c r="CT1476" t="s">
        <v>16921</v>
      </c>
      <c r="CU1476" t="s">
        <v>267</v>
      </c>
      <c r="CV1476" t="s">
        <v>268</v>
      </c>
      <c r="CW1476" t="s">
        <v>12745</v>
      </c>
      <c r="CX1476" t="s">
        <v>1966</v>
      </c>
      <c r="CY1476" t="s">
        <v>183</v>
      </c>
      <c r="CZ1476" t="s">
        <v>211</v>
      </c>
      <c r="DA1476" t="s">
        <v>270</v>
      </c>
      <c r="DC1476" t="s">
        <v>16206</v>
      </c>
      <c r="DD1476" t="s">
        <v>5316</v>
      </c>
      <c r="DE1476" t="s">
        <v>273</v>
      </c>
      <c r="DF1476" t="s">
        <v>274</v>
      </c>
      <c r="DG1476" t="s">
        <v>18968</v>
      </c>
      <c r="DH1476" t="s">
        <v>688</v>
      </c>
      <c r="DI1476" t="s">
        <v>183</v>
      </c>
      <c r="DJ1476" t="s">
        <v>211</v>
      </c>
      <c r="DK1476" t="s">
        <v>337</v>
      </c>
      <c r="DM1476" t="s">
        <v>16206</v>
      </c>
      <c r="DN1476" t="s">
        <v>18969</v>
      </c>
      <c r="DO1476" t="s">
        <v>302</v>
      </c>
      <c r="DP1476" t="s">
        <v>303</v>
      </c>
      <c r="DQ1476" t="s">
        <v>18970</v>
      </c>
      <c r="DR1476" t="s">
        <v>1586</v>
      </c>
      <c r="DS1476" t="s">
        <v>183</v>
      </c>
      <c r="DT1476" t="s">
        <v>211</v>
      </c>
      <c r="DU1476" t="s">
        <v>337</v>
      </c>
      <c r="DW1476" t="s">
        <v>4916</v>
      </c>
      <c r="DX1476" t="s">
        <v>18971</v>
      </c>
      <c r="DY1476" t="s">
        <v>238</v>
      </c>
      <c r="DZ1476" t="s">
        <v>239</v>
      </c>
      <c r="EA1476" t="s">
        <v>18972</v>
      </c>
      <c r="EB1476" t="s">
        <v>331</v>
      </c>
      <c r="EC1476" t="s">
        <v>183</v>
      </c>
      <c r="ED1476" t="s">
        <v>211</v>
      </c>
      <c r="EE1476" t="s">
        <v>337</v>
      </c>
      <c r="EG1476" t="s">
        <v>1349</v>
      </c>
      <c r="EH1476" t="s">
        <v>18973</v>
      </c>
      <c r="EI1476" t="s">
        <v>346</v>
      </c>
      <c r="EJ1476" t="s">
        <v>347</v>
      </c>
      <c r="EK1476" t="s">
        <v>18974</v>
      </c>
      <c r="EL1476" t="s">
        <v>278</v>
      </c>
      <c r="EM1476" t="s">
        <v>183</v>
      </c>
      <c r="EN1476" t="s">
        <v>211</v>
      </c>
      <c r="EO1476" t="s">
        <v>298</v>
      </c>
      <c r="EQ1476" t="s">
        <v>2473</v>
      </c>
      <c r="ER1476" t="s">
        <v>18975</v>
      </c>
      <c r="ES1476" t="s">
        <v>207</v>
      </c>
      <c r="ET1476" t="s">
        <v>208</v>
      </c>
      <c r="EU1476" t="s">
        <v>18976</v>
      </c>
      <c r="EV1476" t="s">
        <v>341</v>
      </c>
      <c r="EW1476" t="s">
        <v>183</v>
      </c>
      <c r="EX1476" t="s">
        <v>211</v>
      </c>
      <c r="EY1476" t="s">
        <v>298</v>
      </c>
      <c r="FA1476" t="s">
        <v>7700</v>
      </c>
      <c r="FK1476" t="s">
        <v>198</v>
      </c>
      <c r="FU1476" t="s">
        <v>198</v>
      </c>
    </row>
    <row r="1477" spans="1:177">
      <c r="A1477" s="1" t="str">
        <f>HYPERLINK("http://digipan.lumentumllc.com/apps/getLink/index.php?t=PropLink&amp;p=5246609","PL")</f>
        <v>PL</v>
      </c>
      <c r="B1477" s="1" t="str">
        <f>HYPERLINK("http://digipan.lumentumllc.com/apps/getLink/index.php?t=TaxLink&amp;p=5246609","TL")</f>
        <v>TL</v>
      </c>
      <c r="C1477" s="1" t="str">
        <f>HYPERLINK("http://digipan.lumentumllc.com/apps/getMap/index.php?p=5246609","Map")</f>
        <v>Map</v>
      </c>
      <c r="E1477" t="s">
        <v>177</v>
      </c>
      <c r="F1477" t="s">
        <v>178</v>
      </c>
      <c r="L1477" t="s">
        <v>18977</v>
      </c>
      <c r="N1477" t="s">
        <v>18977</v>
      </c>
      <c r="O1477" t="s">
        <v>18977</v>
      </c>
      <c r="P1477" t="s">
        <v>18978</v>
      </c>
      <c r="Q1477" t="s">
        <v>18977</v>
      </c>
      <c r="V1477">
        <v>1696</v>
      </c>
      <c r="W1477">
        <v>6</v>
      </c>
      <c r="X1477">
        <v>2017</v>
      </c>
      <c r="Y1477">
        <v>2018</v>
      </c>
      <c r="Z1477">
        <v>620.88</v>
      </c>
      <c r="AB1477" t="s">
        <v>181</v>
      </c>
      <c r="AC1477" t="s">
        <v>182</v>
      </c>
      <c r="AD1477" t="s">
        <v>183</v>
      </c>
      <c r="AE1477">
        <v>1</v>
      </c>
      <c r="AF1477">
        <v>6</v>
      </c>
      <c r="AG1477" t="s">
        <v>322</v>
      </c>
      <c r="AH1477">
        <v>83</v>
      </c>
      <c r="AI1477">
        <v>624.12</v>
      </c>
      <c r="AJ1477">
        <v>31.21</v>
      </c>
      <c r="AK1477">
        <v>655.33000000000004</v>
      </c>
      <c r="AL1477">
        <v>35967</v>
      </c>
      <c r="AM1477">
        <v>35967</v>
      </c>
      <c r="AN1477">
        <v>0</v>
      </c>
      <c r="AO1477">
        <v>552</v>
      </c>
      <c r="AP1477">
        <v>2016</v>
      </c>
      <c r="AQ1477">
        <v>1.73</v>
      </c>
      <c r="AR1477">
        <v>1.82</v>
      </c>
      <c r="AS1477" t="s">
        <v>18979</v>
      </c>
      <c r="AT1477" t="s">
        <v>15040</v>
      </c>
      <c r="AU1477" t="s">
        <v>177</v>
      </c>
      <c r="AV1477" t="s">
        <v>371</v>
      </c>
      <c r="AW1477" t="s">
        <v>182</v>
      </c>
      <c r="AX1477">
        <v>0</v>
      </c>
      <c r="AY1477" t="s">
        <v>312</v>
      </c>
      <c r="AZ1477" t="s">
        <v>199</v>
      </c>
      <c r="BA1477" t="s">
        <v>313</v>
      </c>
      <c r="BB1477" t="s">
        <v>191</v>
      </c>
      <c r="BC1477" t="s">
        <v>182</v>
      </c>
      <c r="BD1477" t="s">
        <v>182</v>
      </c>
      <c r="BE1477" t="s">
        <v>3907</v>
      </c>
      <c r="BF1477">
        <v>0</v>
      </c>
      <c r="BG1477">
        <v>0</v>
      </c>
      <c r="BH1477">
        <v>0</v>
      </c>
      <c r="BI1477" t="s">
        <v>199</v>
      </c>
      <c r="BJ1477" t="s">
        <v>315</v>
      </c>
      <c r="BL1477" t="s">
        <v>199</v>
      </c>
      <c r="BM1477" t="s">
        <v>1779</v>
      </c>
      <c r="BN1477" t="s">
        <v>182</v>
      </c>
      <c r="BO1477" t="s">
        <v>198</v>
      </c>
      <c r="BP1477" t="s">
        <v>198</v>
      </c>
      <c r="BQ1477" t="s">
        <v>198</v>
      </c>
      <c r="BR1477" t="s">
        <v>198</v>
      </c>
      <c r="BS1477" t="s">
        <v>198</v>
      </c>
      <c r="BT1477" t="s">
        <v>198</v>
      </c>
      <c r="BU1477" t="s">
        <v>182</v>
      </c>
      <c r="BV1477" t="s">
        <v>198</v>
      </c>
      <c r="BW1477" t="s">
        <v>198</v>
      </c>
      <c r="BX1477" t="s">
        <v>199</v>
      </c>
      <c r="BY1477" t="s">
        <v>198</v>
      </c>
      <c r="BZ1477" t="s">
        <v>199</v>
      </c>
      <c r="CA1477" t="s">
        <v>199</v>
      </c>
      <c r="CB1477" t="s">
        <v>18955</v>
      </c>
      <c r="CC1477" t="s">
        <v>201</v>
      </c>
      <c r="CD1477" t="s">
        <v>202</v>
      </c>
      <c r="CE1477" t="s">
        <v>18956</v>
      </c>
      <c r="CF1477" t="s">
        <v>5331</v>
      </c>
      <c r="CG1477" t="s">
        <v>177</v>
      </c>
      <c r="CH1477" t="s">
        <v>371</v>
      </c>
      <c r="CI1477" t="s">
        <v>9154</v>
      </c>
      <c r="CJ1477" t="s">
        <v>15272</v>
      </c>
      <c r="CK1477" t="s">
        <v>232</v>
      </c>
      <c r="CL1477" t="s">
        <v>233</v>
      </c>
      <c r="CM1477" t="s">
        <v>18980</v>
      </c>
      <c r="CN1477" t="s">
        <v>235</v>
      </c>
      <c r="CO1477" t="s">
        <v>183</v>
      </c>
      <c r="CP1477" t="s">
        <v>266</v>
      </c>
      <c r="CS1477" t="s">
        <v>198</v>
      </c>
      <c r="CT1477" t="s">
        <v>16941</v>
      </c>
      <c r="CU1477" t="s">
        <v>267</v>
      </c>
      <c r="CV1477" t="s">
        <v>268</v>
      </c>
      <c r="CW1477" t="s">
        <v>18981</v>
      </c>
      <c r="CX1477" t="s">
        <v>254</v>
      </c>
      <c r="CY1477" t="s">
        <v>183</v>
      </c>
      <c r="CZ1477" t="s">
        <v>211</v>
      </c>
      <c r="DA1477" t="s">
        <v>270</v>
      </c>
      <c r="DC1477" t="s">
        <v>16206</v>
      </c>
      <c r="DD1477" t="s">
        <v>13361</v>
      </c>
      <c r="DE1477" t="s">
        <v>273</v>
      </c>
      <c r="DF1477" t="s">
        <v>274</v>
      </c>
      <c r="DG1477" t="s">
        <v>18982</v>
      </c>
      <c r="DH1477" t="s">
        <v>1676</v>
      </c>
      <c r="DI1477" t="s">
        <v>183</v>
      </c>
      <c r="DJ1477" t="s">
        <v>211</v>
      </c>
      <c r="DK1477" t="s">
        <v>337</v>
      </c>
      <c r="DM1477" t="s">
        <v>16206</v>
      </c>
      <c r="DN1477" t="s">
        <v>14551</v>
      </c>
      <c r="DO1477" t="s">
        <v>302</v>
      </c>
      <c r="DP1477" t="s">
        <v>303</v>
      </c>
      <c r="DQ1477" t="s">
        <v>18983</v>
      </c>
      <c r="DR1477" t="s">
        <v>511</v>
      </c>
      <c r="DS1477" t="s">
        <v>183</v>
      </c>
      <c r="DT1477" t="s">
        <v>211</v>
      </c>
      <c r="DU1477" t="s">
        <v>337</v>
      </c>
      <c r="DW1477" t="s">
        <v>4916</v>
      </c>
      <c r="DX1477" t="s">
        <v>18066</v>
      </c>
      <c r="DY1477" t="s">
        <v>238</v>
      </c>
      <c r="DZ1477" t="s">
        <v>239</v>
      </c>
      <c r="EA1477" t="s">
        <v>18984</v>
      </c>
      <c r="EB1477" t="s">
        <v>331</v>
      </c>
      <c r="EC1477" t="s">
        <v>183</v>
      </c>
      <c r="ED1477" t="s">
        <v>211</v>
      </c>
      <c r="EE1477" t="s">
        <v>337</v>
      </c>
      <c r="EG1477" t="s">
        <v>1349</v>
      </c>
      <c r="EH1477" t="s">
        <v>18985</v>
      </c>
      <c r="EI1477" t="s">
        <v>346</v>
      </c>
      <c r="EJ1477" t="s">
        <v>347</v>
      </c>
      <c r="EK1477" t="s">
        <v>18986</v>
      </c>
      <c r="EL1477" t="s">
        <v>278</v>
      </c>
      <c r="EM1477" t="s">
        <v>183</v>
      </c>
      <c r="EN1477" t="s">
        <v>211</v>
      </c>
      <c r="EO1477" t="s">
        <v>298</v>
      </c>
      <c r="EQ1477" t="s">
        <v>2473</v>
      </c>
      <c r="ER1477" t="s">
        <v>18987</v>
      </c>
      <c r="ES1477" t="s">
        <v>207</v>
      </c>
      <c r="ET1477" t="s">
        <v>208</v>
      </c>
      <c r="EU1477" t="s">
        <v>18988</v>
      </c>
      <c r="EV1477" t="s">
        <v>341</v>
      </c>
      <c r="EW1477" t="s">
        <v>183</v>
      </c>
      <c r="EX1477" t="s">
        <v>211</v>
      </c>
      <c r="EY1477" t="s">
        <v>298</v>
      </c>
      <c r="FA1477" t="s">
        <v>7700</v>
      </c>
      <c r="FK1477" t="s">
        <v>198</v>
      </c>
      <c r="FU1477" t="s">
        <v>198</v>
      </c>
    </row>
    <row r="1478" spans="1:177">
      <c r="A1478" s="1" t="str">
        <f>HYPERLINK("http://digipan.lumentumllc.com/apps/getLink/index.php?t=PropLink&amp;p=15749487","PL")</f>
        <v>PL</v>
      </c>
      <c r="B1478" s="1" t="str">
        <f>HYPERLINK("http://digipan.lumentumllc.com/apps/getLink/index.php?t=TaxLink&amp;p=15749487","TL")</f>
        <v>TL</v>
      </c>
      <c r="C1478" s="1" t="str">
        <f>HYPERLINK("http://digipan.lumentumllc.com/apps/getMap/index.php?p=15749487","Map")</f>
        <v>Map</v>
      </c>
      <c r="E1478" t="s">
        <v>177</v>
      </c>
      <c r="F1478" t="s">
        <v>178</v>
      </c>
      <c r="L1478" t="s">
        <v>18989</v>
      </c>
      <c r="N1478" t="s">
        <v>18989</v>
      </c>
      <c r="O1478" t="s">
        <v>18989</v>
      </c>
      <c r="Q1478" t="s">
        <v>18989</v>
      </c>
      <c r="V1478">
        <v>1697</v>
      </c>
      <c r="W1478">
        <v>6</v>
      </c>
      <c r="X1478">
        <v>2017</v>
      </c>
      <c r="Y1478">
        <v>2018</v>
      </c>
      <c r="Z1478">
        <v>3538.03</v>
      </c>
      <c r="AB1478" t="s">
        <v>181</v>
      </c>
      <c r="AC1478" t="s">
        <v>182</v>
      </c>
      <c r="AD1478" t="s">
        <v>183</v>
      </c>
      <c r="AE1478">
        <v>0</v>
      </c>
      <c r="AF1478">
        <v>1</v>
      </c>
      <c r="AG1478" t="s">
        <v>821</v>
      </c>
      <c r="AH1478">
        <v>100</v>
      </c>
      <c r="AK1478">
        <v>0</v>
      </c>
      <c r="AL1478">
        <v>236220</v>
      </c>
      <c r="AM1478">
        <v>228400</v>
      </c>
      <c r="AN1478">
        <v>7820</v>
      </c>
      <c r="AO1478">
        <v>3121</v>
      </c>
      <c r="AP1478">
        <v>2016</v>
      </c>
      <c r="AQ1478">
        <v>1.5</v>
      </c>
      <c r="AS1478" t="s">
        <v>18990</v>
      </c>
      <c r="AT1478" t="s">
        <v>15040</v>
      </c>
      <c r="AU1478" t="s">
        <v>177</v>
      </c>
      <c r="AV1478" t="s">
        <v>371</v>
      </c>
      <c r="AW1478" t="s">
        <v>182</v>
      </c>
      <c r="AX1478">
        <v>0</v>
      </c>
      <c r="AY1478" t="s">
        <v>312</v>
      </c>
      <c r="AZ1478" t="s">
        <v>199</v>
      </c>
      <c r="BA1478" t="s">
        <v>313</v>
      </c>
      <c r="BB1478" t="s">
        <v>191</v>
      </c>
      <c r="BC1478" t="s">
        <v>182</v>
      </c>
      <c r="BD1478" t="s">
        <v>182</v>
      </c>
      <c r="BE1478" t="s">
        <v>18991</v>
      </c>
      <c r="BF1478">
        <v>0</v>
      </c>
      <c r="BG1478">
        <v>0</v>
      </c>
      <c r="BH1478">
        <v>0</v>
      </c>
      <c r="BI1478" t="s">
        <v>199</v>
      </c>
      <c r="BJ1478" t="s">
        <v>315</v>
      </c>
      <c r="BL1478" t="s">
        <v>199</v>
      </c>
      <c r="BM1478" t="s">
        <v>302</v>
      </c>
      <c r="BN1478" t="s">
        <v>182</v>
      </c>
      <c r="BO1478" t="s">
        <v>198</v>
      </c>
      <c r="BP1478" t="s">
        <v>198</v>
      </c>
      <c r="BQ1478" t="s">
        <v>198</v>
      </c>
      <c r="BR1478" t="s">
        <v>198</v>
      </c>
      <c r="BS1478" t="s">
        <v>198</v>
      </c>
      <c r="BT1478" t="s">
        <v>198</v>
      </c>
      <c r="BU1478" t="s">
        <v>182</v>
      </c>
      <c r="BV1478" t="s">
        <v>198</v>
      </c>
      <c r="BW1478" t="s">
        <v>198</v>
      </c>
      <c r="BX1478" t="s">
        <v>199</v>
      </c>
      <c r="BY1478" t="s">
        <v>198</v>
      </c>
      <c r="BZ1478" t="s">
        <v>199</v>
      </c>
      <c r="CA1478" t="s">
        <v>199</v>
      </c>
      <c r="CB1478" t="s">
        <v>18992</v>
      </c>
      <c r="CC1478" t="s">
        <v>201</v>
      </c>
      <c r="CD1478" t="s">
        <v>182</v>
      </c>
      <c r="CE1478" t="s">
        <v>18993</v>
      </c>
      <c r="CF1478" t="s">
        <v>413</v>
      </c>
      <c r="CG1478" t="s">
        <v>177</v>
      </c>
      <c r="CH1478" t="s">
        <v>414</v>
      </c>
      <c r="CI1478" t="s">
        <v>18994</v>
      </c>
      <c r="CJ1478" t="s">
        <v>7268</v>
      </c>
      <c r="CK1478" t="s">
        <v>232</v>
      </c>
      <c r="CL1478" t="s">
        <v>233</v>
      </c>
      <c r="CM1478" t="s">
        <v>18995</v>
      </c>
      <c r="CN1478" t="s">
        <v>235</v>
      </c>
      <c r="CO1478" t="s">
        <v>183</v>
      </c>
      <c r="CP1478" t="s">
        <v>211</v>
      </c>
      <c r="CQ1478" t="s">
        <v>264</v>
      </c>
      <c r="CS1478" t="s">
        <v>18996</v>
      </c>
      <c r="DC1478" t="s">
        <v>198</v>
      </c>
      <c r="DM1478" t="s">
        <v>198</v>
      </c>
      <c r="DW1478" t="s">
        <v>198</v>
      </c>
      <c r="EG1478" t="s">
        <v>198</v>
      </c>
      <c r="EQ1478" t="s">
        <v>198</v>
      </c>
      <c r="FA1478" t="s">
        <v>198</v>
      </c>
      <c r="FK1478" t="s">
        <v>198</v>
      </c>
      <c r="FU1478" t="s">
        <v>198</v>
      </c>
    </row>
    <row r="1479" spans="1:177">
      <c r="A1479" s="1" t="str">
        <f>HYPERLINK("http://digipan.lumentumllc.com/apps/getLink/index.php?t=PropLink&amp;p=5246643","PL")</f>
        <v>PL</v>
      </c>
      <c r="B1479" s="1" t="str">
        <f>HYPERLINK("http://digipan.lumentumllc.com/apps/getLink/index.php?t=TaxLink&amp;p=5246643","TL")</f>
        <v>TL</v>
      </c>
      <c r="C1479" s="1" t="str">
        <f>HYPERLINK("http://digipan.lumentumllc.com/apps/getMap/index.php?p=5246643","Map")</f>
        <v>Map</v>
      </c>
      <c r="E1479" t="s">
        <v>177</v>
      </c>
      <c r="F1479" t="s">
        <v>178</v>
      </c>
      <c r="L1479" t="s">
        <v>18997</v>
      </c>
      <c r="N1479" t="s">
        <v>18997</v>
      </c>
      <c r="O1479" t="s">
        <v>18997</v>
      </c>
      <c r="P1479" t="s">
        <v>18998</v>
      </c>
      <c r="Q1479" t="s">
        <v>18997</v>
      </c>
      <c r="V1479">
        <v>1698</v>
      </c>
      <c r="W1479">
        <v>6</v>
      </c>
      <c r="X1479">
        <v>2017</v>
      </c>
      <c r="Y1479">
        <v>2018</v>
      </c>
      <c r="Z1479">
        <v>87.55</v>
      </c>
      <c r="AB1479" t="s">
        <v>181</v>
      </c>
      <c r="AC1479" t="s">
        <v>202</v>
      </c>
      <c r="AD1479" t="s">
        <v>183</v>
      </c>
      <c r="AE1479">
        <v>1</v>
      </c>
      <c r="AF1479">
        <v>4</v>
      </c>
      <c r="AG1479" t="s">
        <v>257</v>
      </c>
      <c r="AH1479">
        <v>75</v>
      </c>
      <c r="AI1479">
        <v>77.510000000000005</v>
      </c>
      <c r="AJ1479">
        <v>3.88</v>
      </c>
      <c r="AK1479">
        <v>81.39</v>
      </c>
      <c r="AL1479">
        <v>174900</v>
      </c>
      <c r="AM1479">
        <v>3392</v>
      </c>
      <c r="AN1479">
        <v>171508</v>
      </c>
      <c r="AO1479">
        <v>47</v>
      </c>
      <c r="AP1479">
        <v>2016</v>
      </c>
      <c r="AQ1479">
        <v>0.05</v>
      </c>
      <c r="AR1479">
        <v>0.05</v>
      </c>
      <c r="AS1479" t="s">
        <v>18999</v>
      </c>
      <c r="AT1479" t="s">
        <v>3210</v>
      </c>
      <c r="AU1479" t="s">
        <v>177</v>
      </c>
      <c r="AV1479" t="s">
        <v>2334</v>
      </c>
      <c r="AW1479" t="s">
        <v>182</v>
      </c>
      <c r="AX1479">
        <v>56</v>
      </c>
      <c r="AY1479" t="s">
        <v>218</v>
      </c>
      <c r="AZ1479" t="s">
        <v>219</v>
      </c>
      <c r="BA1479" t="s">
        <v>220</v>
      </c>
      <c r="BB1479" t="s">
        <v>191</v>
      </c>
      <c r="BC1479" t="s">
        <v>182</v>
      </c>
      <c r="BD1479" t="s">
        <v>182</v>
      </c>
      <c r="BE1479" t="s">
        <v>19000</v>
      </c>
      <c r="BF1479">
        <v>0</v>
      </c>
      <c r="BG1479">
        <v>0</v>
      </c>
      <c r="BH1479">
        <v>0</v>
      </c>
      <c r="BI1479" t="s">
        <v>199</v>
      </c>
      <c r="BJ1479" t="s">
        <v>396</v>
      </c>
      <c r="BL1479" t="s">
        <v>19001</v>
      </c>
      <c r="BM1479" t="s">
        <v>533</v>
      </c>
      <c r="BN1479" t="s">
        <v>182</v>
      </c>
      <c r="BO1479" t="s">
        <v>8618</v>
      </c>
      <c r="BP1479" t="s">
        <v>5899</v>
      </c>
      <c r="BQ1479" t="s">
        <v>800</v>
      </c>
      <c r="BS1479" t="s">
        <v>198</v>
      </c>
      <c r="BT1479" t="s">
        <v>228</v>
      </c>
      <c r="BU1479" t="s">
        <v>182</v>
      </c>
      <c r="BV1479" t="s">
        <v>198</v>
      </c>
      <c r="BW1479" t="s">
        <v>198</v>
      </c>
      <c r="BX1479" t="s">
        <v>199</v>
      </c>
      <c r="BY1479" t="s">
        <v>198</v>
      </c>
      <c r="BZ1479" t="s">
        <v>199</v>
      </c>
      <c r="CA1479" t="s">
        <v>199</v>
      </c>
      <c r="CB1479" t="s">
        <v>19002</v>
      </c>
      <c r="CC1479" t="s">
        <v>201</v>
      </c>
      <c r="CD1479" t="s">
        <v>182</v>
      </c>
      <c r="CE1479" t="s">
        <v>12204</v>
      </c>
      <c r="CF1479" t="s">
        <v>5331</v>
      </c>
      <c r="CG1479" t="s">
        <v>177</v>
      </c>
      <c r="CH1479" t="s">
        <v>5332</v>
      </c>
      <c r="CI1479" t="s">
        <v>19003</v>
      </c>
      <c r="CJ1479" t="s">
        <v>15290</v>
      </c>
      <c r="CK1479" t="s">
        <v>232</v>
      </c>
      <c r="CL1479" t="s">
        <v>233</v>
      </c>
      <c r="CM1479" t="s">
        <v>19004</v>
      </c>
      <c r="CN1479" t="s">
        <v>235</v>
      </c>
      <c r="CO1479" t="s">
        <v>183</v>
      </c>
      <c r="CP1479" t="s">
        <v>266</v>
      </c>
      <c r="CS1479" t="s">
        <v>198</v>
      </c>
      <c r="CT1479" t="s">
        <v>718</v>
      </c>
      <c r="CU1479" t="s">
        <v>267</v>
      </c>
      <c r="CV1479" t="s">
        <v>268</v>
      </c>
      <c r="CW1479" t="s">
        <v>19005</v>
      </c>
      <c r="CX1479" t="s">
        <v>486</v>
      </c>
      <c r="CY1479" t="s">
        <v>183</v>
      </c>
      <c r="CZ1479" t="s">
        <v>211</v>
      </c>
      <c r="DA1479" t="s">
        <v>342</v>
      </c>
      <c r="DC1479" t="s">
        <v>392</v>
      </c>
      <c r="DD1479" t="s">
        <v>14580</v>
      </c>
      <c r="DE1479" t="s">
        <v>302</v>
      </c>
      <c r="DF1479" t="s">
        <v>303</v>
      </c>
      <c r="DG1479" t="s">
        <v>19006</v>
      </c>
      <c r="DH1479" t="s">
        <v>1341</v>
      </c>
      <c r="DI1479" t="s">
        <v>183</v>
      </c>
      <c r="DJ1479" t="s">
        <v>211</v>
      </c>
      <c r="DK1479" t="s">
        <v>329</v>
      </c>
      <c r="DM1479" t="s">
        <v>14910</v>
      </c>
      <c r="DN1479" t="s">
        <v>18393</v>
      </c>
      <c r="DO1479" t="s">
        <v>238</v>
      </c>
      <c r="DP1479" t="s">
        <v>239</v>
      </c>
      <c r="DQ1479" t="s">
        <v>8344</v>
      </c>
      <c r="DR1479" t="s">
        <v>1056</v>
      </c>
      <c r="DS1479" t="s">
        <v>183</v>
      </c>
      <c r="DT1479" t="s">
        <v>211</v>
      </c>
      <c r="DU1479" t="s">
        <v>298</v>
      </c>
      <c r="DW1479" t="s">
        <v>14910</v>
      </c>
      <c r="DX1479" t="s">
        <v>16105</v>
      </c>
      <c r="DY1479" t="s">
        <v>207</v>
      </c>
      <c r="DZ1479" t="s">
        <v>208</v>
      </c>
      <c r="EA1479" t="s">
        <v>19007</v>
      </c>
      <c r="EB1479" t="s">
        <v>1052</v>
      </c>
      <c r="EC1479" t="s">
        <v>183</v>
      </c>
      <c r="ED1479" t="s">
        <v>211</v>
      </c>
      <c r="EE1479" t="s">
        <v>270</v>
      </c>
      <c r="EF1479" t="s">
        <v>271</v>
      </c>
      <c r="EG1479" t="s">
        <v>9581</v>
      </c>
      <c r="EQ1479" t="s">
        <v>198</v>
      </c>
      <c r="FA1479" t="s">
        <v>198</v>
      </c>
      <c r="FK1479" t="s">
        <v>198</v>
      </c>
      <c r="FU1479" t="s">
        <v>198</v>
      </c>
    </row>
    <row r="1480" spans="1:177">
      <c r="A1480" s="1" t="str">
        <f>HYPERLINK("http://digipan.lumentumllc.com/apps/getLink/index.php?t=PropLink&amp;p=5246644","PL")</f>
        <v>PL</v>
      </c>
      <c r="B1480" s="1" t="str">
        <f>HYPERLINK("http://digipan.lumentumllc.com/apps/getLink/index.php?t=TaxLink&amp;p=5246644","TL")</f>
        <v>TL</v>
      </c>
      <c r="C1480" s="1" t="str">
        <f>HYPERLINK("http://digipan.lumentumllc.com/apps/getMap/index.php?p=5246644","Map")</f>
        <v>Map</v>
      </c>
      <c r="E1480" t="s">
        <v>177</v>
      </c>
      <c r="F1480" t="s">
        <v>178</v>
      </c>
      <c r="L1480" t="s">
        <v>19008</v>
      </c>
      <c r="N1480" t="s">
        <v>19008</v>
      </c>
      <c r="O1480" t="s">
        <v>19008</v>
      </c>
      <c r="P1480" t="s">
        <v>19009</v>
      </c>
      <c r="Q1480" t="s">
        <v>19008</v>
      </c>
      <c r="V1480">
        <v>1699</v>
      </c>
      <c r="W1480">
        <v>6</v>
      </c>
      <c r="X1480">
        <v>2017</v>
      </c>
      <c r="Y1480">
        <v>2018</v>
      </c>
      <c r="Z1480">
        <v>403.26</v>
      </c>
      <c r="AB1480" t="s">
        <v>181</v>
      </c>
      <c r="AC1480" t="s">
        <v>182</v>
      </c>
      <c r="AD1480" t="s">
        <v>183</v>
      </c>
      <c r="AE1480">
        <v>7</v>
      </c>
      <c r="AF1480">
        <v>0</v>
      </c>
      <c r="AG1480" t="s">
        <v>1038</v>
      </c>
      <c r="AH1480">
        <v>0</v>
      </c>
      <c r="AI1480">
        <v>3242.85</v>
      </c>
      <c r="AJ1480">
        <v>1242.78</v>
      </c>
      <c r="AK1480">
        <v>4485.63</v>
      </c>
      <c r="AL1480">
        <v>22675</v>
      </c>
      <c r="AM1480">
        <v>22675</v>
      </c>
      <c r="AN1480">
        <v>0</v>
      </c>
      <c r="AO1480">
        <v>348</v>
      </c>
      <c r="AP1480">
        <v>2016</v>
      </c>
      <c r="AQ1480">
        <v>1.78</v>
      </c>
      <c r="AR1480">
        <v>19.78</v>
      </c>
      <c r="AS1480" t="s">
        <v>19010</v>
      </c>
      <c r="AT1480" t="s">
        <v>15040</v>
      </c>
      <c r="AU1480" t="s">
        <v>177</v>
      </c>
      <c r="AV1480" t="s">
        <v>371</v>
      </c>
      <c r="AW1480" t="s">
        <v>182</v>
      </c>
      <c r="AX1480">
        <v>0</v>
      </c>
      <c r="AY1480" t="s">
        <v>312</v>
      </c>
      <c r="AZ1480" t="s">
        <v>199</v>
      </c>
      <c r="BA1480" t="s">
        <v>313</v>
      </c>
      <c r="BB1480" t="s">
        <v>191</v>
      </c>
      <c r="BC1480" t="s">
        <v>182</v>
      </c>
      <c r="BD1480" t="s">
        <v>182</v>
      </c>
      <c r="BE1480" t="s">
        <v>19011</v>
      </c>
      <c r="BF1480">
        <v>0</v>
      </c>
      <c r="BG1480">
        <v>0</v>
      </c>
      <c r="BH1480">
        <v>0</v>
      </c>
      <c r="BI1480" t="s">
        <v>199</v>
      </c>
      <c r="BJ1480" t="s">
        <v>315</v>
      </c>
      <c r="BL1480" t="s">
        <v>199</v>
      </c>
      <c r="BM1480" t="s">
        <v>533</v>
      </c>
      <c r="BN1480" t="s">
        <v>182</v>
      </c>
      <c r="BO1480" t="s">
        <v>198</v>
      </c>
      <c r="BP1480" t="s">
        <v>198</v>
      </c>
      <c r="BQ1480" t="s">
        <v>198</v>
      </c>
      <c r="BR1480" t="s">
        <v>198</v>
      </c>
      <c r="BS1480" t="s">
        <v>198</v>
      </c>
      <c r="BT1480" t="s">
        <v>198</v>
      </c>
      <c r="BU1480" t="s">
        <v>182</v>
      </c>
      <c r="BV1480" t="s">
        <v>198</v>
      </c>
      <c r="BW1480" t="s">
        <v>198</v>
      </c>
      <c r="BX1480" t="s">
        <v>199</v>
      </c>
      <c r="BY1480" t="s">
        <v>198</v>
      </c>
      <c r="BZ1480" t="s">
        <v>199</v>
      </c>
      <c r="CA1480" t="s">
        <v>199</v>
      </c>
      <c r="CB1480" t="s">
        <v>14722</v>
      </c>
      <c r="CC1480" t="s">
        <v>201</v>
      </c>
      <c r="CD1480" t="s">
        <v>182</v>
      </c>
      <c r="CE1480" t="s">
        <v>14723</v>
      </c>
      <c r="CF1480" t="s">
        <v>413</v>
      </c>
      <c r="CG1480" t="s">
        <v>177</v>
      </c>
      <c r="CH1480" t="s">
        <v>782</v>
      </c>
      <c r="CI1480" t="s">
        <v>19012</v>
      </c>
      <c r="CJ1480" t="s">
        <v>14177</v>
      </c>
      <c r="CK1480" t="s">
        <v>232</v>
      </c>
      <c r="CL1480" t="s">
        <v>233</v>
      </c>
      <c r="CM1480" t="s">
        <v>19013</v>
      </c>
      <c r="CN1480" t="s">
        <v>235</v>
      </c>
      <c r="CO1480" t="s">
        <v>183</v>
      </c>
      <c r="CP1480" t="s">
        <v>266</v>
      </c>
      <c r="CS1480" t="s">
        <v>198</v>
      </c>
      <c r="CT1480" t="s">
        <v>17421</v>
      </c>
      <c r="CU1480" t="s">
        <v>292</v>
      </c>
      <c r="CV1480" t="s">
        <v>293</v>
      </c>
      <c r="CW1480" t="s">
        <v>19014</v>
      </c>
      <c r="CX1480" t="s">
        <v>482</v>
      </c>
      <c r="CY1480" t="s">
        <v>183</v>
      </c>
      <c r="CZ1480" t="s">
        <v>266</v>
      </c>
      <c r="DC1480" t="s">
        <v>198</v>
      </c>
      <c r="DD1480" t="s">
        <v>16960</v>
      </c>
      <c r="DE1480" t="s">
        <v>267</v>
      </c>
      <c r="DF1480" t="s">
        <v>268</v>
      </c>
      <c r="DG1480" t="s">
        <v>19015</v>
      </c>
      <c r="DH1480" t="s">
        <v>482</v>
      </c>
      <c r="DI1480" t="s">
        <v>183</v>
      </c>
      <c r="DJ1480" t="s">
        <v>266</v>
      </c>
      <c r="DM1480" t="s">
        <v>198</v>
      </c>
      <c r="DN1480" t="s">
        <v>10418</v>
      </c>
      <c r="DO1480" t="s">
        <v>273</v>
      </c>
      <c r="DP1480" t="s">
        <v>274</v>
      </c>
      <c r="DQ1480" t="s">
        <v>19016</v>
      </c>
      <c r="DR1480" t="s">
        <v>4595</v>
      </c>
      <c r="DS1480" t="s">
        <v>183</v>
      </c>
      <c r="DT1480" t="s">
        <v>266</v>
      </c>
      <c r="DW1480" t="s">
        <v>198</v>
      </c>
      <c r="DX1480" t="s">
        <v>19017</v>
      </c>
      <c r="DY1480" t="s">
        <v>302</v>
      </c>
      <c r="DZ1480" t="s">
        <v>303</v>
      </c>
      <c r="EA1480" t="s">
        <v>19018</v>
      </c>
      <c r="EB1480" t="s">
        <v>278</v>
      </c>
      <c r="EC1480" t="s">
        <v>183</v>
      </c>
      <c r="ED1480" t="s">
        <v>266</v>
      </c>
      <c r="EG1480" t="s">
        <v>198</v>
      </c>
      <c r="EH1480" t="s">
        <v>19019</v>
      </c>
      <c r="EI1480" t="s">
        <v>238</v>
      </c>
      <c r="EJ1480" t="s">
        <v>239</v>
      </c>
      <c r="EK1480" t="s">
        <v>19020</v>
      </c>
      <c r="EL1480" t="s">
        <v>440</v>
      </c>
      <c r="EM1480" t="s">
        <v>183</v>
      </c>
      <c r="EN1480" t="s">
        <v>266</v>
      </c>
      <c r="EQ1480" t="s">
        <v>198</v>
      </c>
      <c r="ER1480" t="s">
        <v>19021</v>
      </c>
      <c r="ES1480" t="s">
        <v>346</v>
      </c>
      <c r="ET1480" t="s">
        <v>347</v>
      </c>
      <c r="EU1480" t="s">
        <v>19022</v>
      </c>
      <c r="EV1480" t="s">
        <v>278</v>
      </c>
      <c r="EW1480" t="s">
        <v>183</v>
      </c>
      <c r="EX1480" t="s">
        <v>266</v>
      </c>
      <c r="FA1480" t="s">
        <v>198</v>
      </c>
      <c r="FK1480" t="s">
        <v>198</v>
      </c>
      <c r="FU1480" t="s">
        <v>198</v>
      </c>
    </row>
    <row r="1481" spans="1:177">
      <c r="A1481" s="1" t="str">
        <f>HYPERLINK("http://digipan.lumentumllc.com/apps/getLink/index.php?t=PropLink&amp;p=5246645","PL")</f>
        <v>PL</v>
      </c>
      <c r="B1481" s="1" t="str">
        <f>HYPERLINK("http://digipan.lumentumllc.com/apps/getLink/index.php?t=TaxLink&amp;p=5246645","TL")</f>
        <v>TL</v>
      </c>
      <c r="C1481" s="1" t="str">
        <f>HYPERLINK("http://digipan.lumentumllc.com/apps/getMap/index.php?p=5246645","Map")</f>
        <v>Map</v>
      </c>
      <c r="E1481" t="s">
        <v>177</v>
      </c>
      <c r="F1481" t="s">
        <v>178</v>
      </c>
      <c r="L1481" t="s">
        <v>19023</v>
      </c>
      <c r="N1481" t="s">
        <v>19023</v>
      </c>
      <c r="O1481" t="s">
        <v>19023</v>
      </c>
      <c r="P1481" t="s">
        <v>19024</v>
      </c>
      <c r="Q1481" t="s">
        <v>19023</v>
      </c>
      <c r="V1481">
        <v>1700</v>
      </c>
      <c r="W1481">
        <v>6</v>
      </c>
      <c r="X1481">
        <v>2017</v>
      </c>
      <c r="Y1481">
        <v>2018</v>
      </c>
      <c r="Z1481">
        <v>5717.26</v>
      </c>
      <c r="AB1481" t="s">
        <v>181</v>
      </c>
      <c r="AC1481" t="s">
        <v>182</v>
      </c>
      <c r="AD1481" t="s">
        <v>183</v>
      </c>
      <c r="AE1481">
        <v>1</v>
      </c>
      <c r="AF1481">
        <v>5</v>
      </c>
      <c r="AG1481" t="s">
        <v>322</v>
      </c>
      <c r="AH1481">
        <v>83</v>
      </c>
      <c r="AI1481">
        <v>5101.9799999999996</v>
      </c>
      <c r="AJ1481">
        <v>255.1</v>
      </c>
      <c r="AK1481">
        <v>5357.08</v>
      </c>
      <c r="AL1481">
        <v>347242</v>
      </c>
      <c r="AM1481">
        <v>200000</v>
      </c>
      <c r="AN1481">
        <v>147242</v>
      </c>
      <c r="AO1481">
        <v>4693</v>
      </c>
      <c r="AP1481">
        <v>2016</v>
      </c>
      <c r="AQ1481">
        <v>1.65</v>
      </c>
      <c r="AR1481">
        <v>1.54</v>
      </c>
      <c r="AS1481" t="s">
        <v>19025</v>
      </c>
      <c r="AT1481" t="s">
        <v>3210</v>
      </c>
      <c r="AU1481" t="s">
        <v>177</v>
      </c>
      <c r="AV1481" t="s">
        <v>2334</v>
      </c>
      <c r="AW1481" t="s">
        <v>182</v>
      </c>
      <c r="AX1481">
        <v>21</v>
      </c>
      <c r="AY1481" t="s">
        <v>3641</v>
      </c>
      <c r="AZ1481" t="s">
        <v>345</v>
      </c>
      <c r="BA1481" t="s">
        <v>19026</v>
      </c>
      <c r="BB1481" t="s">
        <v>191</v>
      </c>
      <c r="BC1481" t="s">
        <v>182</v>
      </c>
      <c r="BD1481" t="s">
        <v>182</v>
      </c>
      <c r="BE1481" t="s">
        <v>5948</v>
      </c>
      <c r="BF1481">
        <v>1</v>
      </c>
      <c r="BG1481">
        <v>0</v>
      </c>
      <c r="BH1481">
        <v>1997</v>
      </c>
      <c r="BI1481" t="s">
        <v>15041</v>
      </c>
      <c r="BJ1481" t="s">
        <v>194</v>
      </c>
      <c r="BK1481" t="s">
        <v>840</v>
      </c>
      <c r="BL1481" t="s">
        <v>19027</v>
      </c>
      <c r="BM1481" t="s">
        <v>1825</v>
      </c>
      <c r="BN1481" t="s">
        <v>182</v>
      </c>
      <c r="BO1481" t="s">
        <v>198</v>
      </c>
      <c r="BP1481" t="s">
        <v>198</v>
      </c>
      <c r="BQ1481" t="s">
        <v>198</v>
      </c>
      <c r="BR1481" t="s">
        <v>198</v>
      </c>
      <c r="BS1481" t="s">
        <v>198</v>
      </c>
      <c r="BT1481" t="s">
        <v>198</v>
      </c>
      <c r="BU1481" t="s">
        <v>182</v>
      </c>
      <c r="BV1481" t="s">
        <v>198</v>
      </c>
      <c r="BW1481" t="s">
        <v>198</v>
      </c>
      <c r="BX1481" t="s">
        <v>199</v>
      </c>
      <c r="BY1481" t="s">
        <v>198</v>
      </c>
      <c r="BZ1481" t="s">
        <v>199</v>
      </c>
      <c r="CA1481" t="s">
        <v>199</v>
      </c>
      <c r="CB1481" t="s">
        <v>19028</v>
      </c>
      <c r="CC1481" t="s">
        <v>201</v>
      </c>
      <c r="CD1481" t="s">
        <v>182</v>
      </c>
      <c r="CE1481" t="s">
        <v>19029</v>
      </c>
      <c r="CF1481" t="s">
        <v>19030</v>
      </c>
      <c r="CG1481" t="s">
        <v>177</v>
      </c>
      <c r="CH1481" t="s">
        <v>19031</v>
      </c>
      <c r="CI1481" t="s">
        <v>19032</v>
      </c>
      <c r="CJ1481" t="s">
        <v>14195</v>
      </c>
      <c r="CK1481" t="s">
        <v>232</v>
      </c>
      <c r="CL1481" t="s">
        <v>233</v>
      </c>
      <c r="CM1481" t="s">
        <v>19033</v>
      </c>
      <c r="CN1481" t="s">
        <v>235</v>
      </c>
      <c r="CO1481" t="s">
        <v>183</v>
      </c>
      <c r="CP1481" t="s">
        <v>266</v>
      </c>
      <c r="CS1481" t="s">
        <v>198</v>
      </c>
      <c r="CT1481" t="s">
        <v>16445</v>
      </c>
      <c r="CU1481" t="s">
        <v>292</v>
      </c>
      <c r="CV1481" t="s">
        <v>293</v>
      </c>
      <c r="CW1481" t="s">
        <v>19034</v>
      </c>
      <c r="CX1481" t="s">
        <v>235</v>
      </c>
      <c r="CY1481" t="s">
        <v>183</v>
      </c>
      <c r="CZ1481" t="s">
        <v>211</v>
      </c>
      <c r="DA1481" t="s">
        <v>298</v>
      </c>
      <c r="DC1481" t="s">
        <v>1066</v>
      </c>
      <c r="DD1481" t="s">
        <v>16991</v>
      </c>
      <c r="DE1481" t="s">
        <v>267</v>
      </c>
      <c r="DF1481" t="s">
        <v>268</v>
      </c>
      <c r="DG1481" t="s">
        <v>19035</v>
      </c>
      <c r="DH1481" t="s">
        <v>235</v>
      </c>
      <c r="DI1481" t="s">
        <v>183</v>
      </c>
      <c r="DJ1481" t="s">
        <v>211</v>
      </c>
      <c r="DK1481" t="s">
        <v>329</v>
      </c>
      <c r="DM1481" t="s">
        <v>5907</v>
      </c>
      <c r="DN1481" t="s">
        <v>19036</v>
      </c>
      <c r="DO1481" t="s">
        <v>273</v>
      </c>
      <c r="DP1481" t="s">
        <v>274</v>
      </c>
      <c r="DQ1481" t="s">
        <v>19037</v>
      </c>
      <c r="DR1481" t="s">
        <v>235</v>
      </c>
      <c r="DS1481" t="s">
        <v>183</v>
      </c>
      <c r="DT1481" t="s">
        <v>211</v>
      </c>
      <c r="DU1481" t="s">
        <v>298</v>
      </c>
      <c r="DW1481" t="s">
        <v>5907</v>
      </c>
      <c r="DX1481" t="s">
        <v>9926</v>
      </c>
      <c r="DY1481" t="s">
        <v>302</v>
      </c>
      <c r="DZ1481" t="s">
        <v>303</v>
      </c>
      <c r="EA1481" t="s">
        <v>19038</v>
      </c>
      <c r="EB1481" t="s">
        <v>235</v>
      </c>
      <c r="EC1481" t="s">
        <v>183</v>
      </c>
      <c r="ED1481" t="s">
        <v>211</v>
      </c>
      <c r="EE1481" t="s">
        <v>296</v>
      </c>
      <c r="EG1481" t="s">
        <v>19039</v>
      </c>
      <c r="EH1481" t="s">
        <v>19040</v>
      </c>
      <c r="EI1481" t="s">
        <v>238</v>
      </c>
      <c r="EJ1481" t="s">
        <v>239</v>
      </c>
      <c r="EK1481" t="s">
        <v>19041</v>
      </c>
      <c r="EL1481" t="s">
        <v>235</v>
      </c>
      <c r="EM1481" t="s">
        <v>183</v>
      </c>
      <c r="EN1481" t="s">
        <v>211</v>
      </c>
      <c r="EO1481" t="s">
        <v>444</v>
      </c>
      <c r="EQ1481" t="s">
        <v>19039</v>
      </c>
      <c r="FA1481" t="s">
        <v>198</v>
      </c>
      <c r="FK1481" t="s">
        <v>198</v>
      </c>
      <c r="FU1481" t="s">
        <v>198</v>
      </c>
    </row>
    <row r="1482" spans="1:177">
      <c r="A1482" s="1" t="str">
        <f>HYPERLINK("http://digipan.lumentumllc.com/apps/getLink/index.php?t=PropLink&amp;p=5246647","PL")</f>
        <v>PL</v>
      </c>
      <c r="B1482" s="1" t="str">
        <f>HYPERLINK("http://digipan.lumentumllc.com/apps/getLink/index.php?t=TaxLink&amp;p=5246647","TL")</f>
        <v>TL</v>
      </c>
      <c r="C1482" s="1" t="str">
        <f>HYPERLINK("http://digipan.lumentumllc.com/apps/getMap/index.php?p=5246647","Map")</f>
        <v>Map</v>
      </c>
      <c r="E1482" t="s">
        <v>177</v>
      </c>
      <c r="F1482" t="s">
        <v>178</v>
      </c>
      <c r="L1482" t="s">
        <v>19042</v>
      </c>
      <c r="N1482" t="s">
        <v>19042</v>
      </c>
      <c r="O1482" t="s">
        <v>19042</v>
      </c>
      <c r="P1482" t="s">
        <v>19043</v>
      </c>
      <c r="Q1482" t="s">
        <v>19042</v>
      </c>
      <c r="V1482">
        <v>1701</v>
      </c>
      <c r="W1482">
        <v>6</v>
      </c>
      <c r="X1482">
        <v>2017</v>
      </c>
      <c r="Y1482">
        <v>2018</v>
      </c>
      <c r="Z1482">
        <v>471.12</v>
      </c>
      <c r="AB1482" t="s">
        <v>181</v>
      </c>
      <c r="AC1482" t="s">
        <v>202</v>
      </c>
      <c r="AD1482" t="s">
        <v>183</v>
      </c>
      <c r="AE1482">
        <v>1</v>
      </c>
      <c r="AF1482">
        <v>6</v>
      </c>
      <c r="AG1482" t="s">
        <v>322</v>
      </c>
      <c r="AH1482">
        <v>83</v>
      </c>
      <c r="AI1482">
        <v>472.27</v>
      </c>
      <c r="AJ1482">
        <v>23.61</v>
      </c>
      <c r="AK1482">
        <v>495.88</v>
      </c>
      <c r="AL1482">
        <v>26820</v>
      </c>
      <c r="AM1482">
        <v>26820</v>
      </c>
      <c r="AN1482">
        <v>0</v>
      </c>
      <c r="AO1482">
        <v>412</v>
      </c>
      <c r="AP1482">
        <v>2016</v>
      </c>
      <c r="AQ1482">
        <v>1.76</v>
      </c>
      <c r="AR1482">
        <v>1.85</v>
      </c>
      <c r="AS1482" t="s">
        <v>19010</v>
      </c>
      <c r="AT1482" t="s">
        <v>15040</v>
      </c>
      <c r="AU1482" t="s">
        <v>177</v>
      </c>
      <c r="AV1482" t="s">
        <v>371</v>
      </c>
      <c r="AW1482" t="s">
        <v>182</v>
      </c>
      <c r="AX1482">
        <v>0</v>
      </c>
      <c r="AY1482" t="s">
        <v>312</v>
      </c>
      <c r="AZ1482" t="s">
        <v>199</v>
      </c>
      <c r="BA1482" t="s">
        <v>313</v>
      </c>
      <c r="BB1482" t="s">
        <v>191</v>
      </c>
      <c r="BC1482" t="s">
        <v>182</v>
      </c>
      <c r="BD1482" t="s">
        <v>182</v>
      </c>
      <c r="BE1482" t="s">
        <v>19044</v>
      </c>
      <c r="BF1482">
        <v>0</v>
      </c>
      <c r="BG1482">
        <v>0</v>
      </c>
      <c r="BH1482">
        <v>0</v>
      </c>
      <c r="BI1482" t="s">
        <v>199</v>
      </c>
      <c r="BJ1482" t="s">
        <v>315</v>
      </c>
      <c r="BL1482" t="s">
        <v>199</v>
      </c>
      <c r="BM1482" t="s">
        <v>368</v>
      </c>
      <c r="BN1482" t="s">
        <v>182</v>
      </c>
      <c r="BO1482" t="s">
        <v>198</v>
      </c>
      <c r="BP1482" t="s">
        <v>198</v>
      </c>
      <c r="BQ1482" t="s">
        <v>198</v>
      </c>
      <c r="BR1482" t="s">
        <v>198</v>
      </c>
      <c r="BS1482" t="s">
        <v>198</v>
      </c>
      <c r="BT1482" t="s">
        <v>198</v>
      </c>
      <c r="BU1482" t="s">
        <v>182</v>
      </c>
      <c r="BV1482" t="s">
        <v>198</v>
      </c>
      <c r="BW1482" t="s">
        <v>198</v>
      </c>
      <c r="BX1482" t="s">
        <v>199</v>
      </c>
      <c r="BY1482" t="s">
        <v>198</v>
      </c>
      <c r="BZ1482" t="s">
        <v>199</v>
      </c>
      <c r="CA1482" t="s">
        <v>199</v>
      </c>
      <c r="CB1482" t="s">
        <v>14697</v>
      </c>
      <c r="CC1482" t="s">
        <v>201</v>
      </c>
      <c r="CD1482" t="s">
        <v>182</v>
      </c>
      <c r="CE1482" t="s">
        <v>14488</v>
      </c>
      <c r="CF1482" t="s">
        <v>5331</v>
      </c>
      <c r="CG1482" t="s">
        <v>177</v>
      </c>
      <c r="CH1482" t="s">
        <v>5332</v>
      </c>
      <c r="CI1482" t="s">
        <v>14698</v>
      </c>
      <c r="CJ1482" t="s">
        <v>15304</v>
      </c>
      <c r="CK1482" t="s">
        <v>232</v>
      </c>
      <c r="CL1482" t="s">
        <v>233</v>
      </c>
      <c r="CM1482" t="s">
        <v>19045</v>
      </c>
      <c r="CN1482" t="s">
        <v>235</v>
      </c>
      <c r="CO1482" t="s">
        <v>183</v>
      </c>
      <c r="CP1482" t="s">
        <v>266</v>
      </c>
      <c r="CS1482" t="s">
        <v>198</v>
      </c>
      <c r="CT1482" t="s">
        <v>19046</v>
      </c>
      <c r="CU1482" t="s">
        <v>267</v>
      </c>
      <c r="CV1482" t="s">
        <v>268</v>
      </c>
      <c r="CW1482" t="s">
        <v>7859</v>
      </c>
      <c r="CX1482" t="s">
        <v>482</v>
      </c>
      <c r="CY1482" t="s">
        <v>183</v>
      </c>
      <c r="CZ1482" t="s">
        <v>211</v>
      </c>
      <c r="DB1482" t="s">
        <v>271</v>
      </c>
      <c r="DC1482" t="s">
        <v>198</v>
      </c>
      <c r="DD1482" t="s">
        <v>10437</v>
      </c>
      <c r="DE1482" t="s">
        <v>273</v>
      </c>
      <c r="DF1482" t="s">
        <v>274</v>
      </c>
      <c r="DG1482" t="s">
        <v>19047</v>
      </c>
      <c r="DH1482" t="s">
        <v>4595</v>
      </c>
      <c r="DI1482" t="s">
        <v>183</v>
      </c>
      <c r="DJ1482" t="s">
        <v>211</v>
      </c>
      <c r="DL1482" t="s">
        <v>271</v>
      </c>
      <c r="DM1482" t="s">
        <v>198</v>
      </c>
      <c r="DN1482" t="s">
        <v>15598</v>
      </c>
      <c r="DO1482" t="s">
        <v>302</v>
      </c>
      <c r="DP1482" t="s">
        <v>303</v>
      </c>
      <c r="DQ1482" t="s">
        <v>19048</v>
      </c>
      <c r="DR1482" t="s">
        <v>305</v>
      </c>
      <c r="DS1482" t="s">
        <v>183</v>
      </c>
      <c r="DT1482" t="s">
        <v>211</v>
      </c>
      <c r="DV1482" t="s">
        <v>271</v>
      </c>
      <c r="DW1482" t="s">
        <v>198</v>
      </c>
      <c r="DX1482" t="s">
        <v>15015</v>
      </c>
      <c r="DY1482" t="s">
        <v>238</v>
      </c>
      <c r="DZ1482" t="s">
        <v>239</v>
      </c>
      <c r="EA1482" t="s">
        <v>19049</v>
      </c>
      <c r="EB1482" t="s">
        <v>333</v>
      </c>
      <c r="EC1482" t="s">
        <v>183</v>
      </c>
      <c r="ED1482" t="s">
        <v>211</v>
      </c>
      <c r="EF1482" t="s">
        <v>271</v>
      </c>
      <c r="EG1482" t="s">
        <v>198</v>
      </c>
      <c r="EH1482" t="s">
        <v>19050</v>
      </c>
      <c r="EI1482" t="s">
        <v>346</v>
      </c>
      <c r="EJ1482" t="s">
        <v>347</v>
      </c>
      <c r="EK1482" t="s">
        <v>19051</v>
      </c>
      <c r="EL1482" t="s">
        <v>278</v>
      </c>
      <c r="EM1482" t="s">
        <v>183</v>
      </c>
      <c r="EN1482" t="s">
        <v>211</v>
      </c>
      <c r="EO1482" t="s">
        <v>1185</v>
      </c>
      <c r="EP1482" t="s">
        <v>271</v>
      </c>
      <c r="EQ1482" t="s">
        <v>14197</v>
      </c>
      <c r="ER1482" t="s">
        <v>19052</v>
      </c>
      <c r="ES1482" t="s">
        <v>207</v>
      </c>
      <c r="ET1482" t="s">
        <v>208</v>
      </c>
      <c r="EU1482" t="s">
        <v>19053</v>
      </c>
      <c r="EV1482" t="s">
        <v>615</v>
      </c>
      <c r="EW1482" t="s">
        <v>183</v>
      </c>
      <c r="EX1482" t="s">
        <v>211</v>
      </c>
      <c r="EY1482" t="s">
        <v>1336</v>
      </c>
      <c r="EZ1482" t="s">
        <v>271</v>
      </c>
      <c r="FA1482" t="s">
        <v>14197</v>
      </c>
      <c r="FK1482" t="s">
        <v>198</v>
      </c>
      <c r="FU1482" t="s">
        <v>198</v>
      </c>
    </row>
    <row r="1483" spans="1:177">
      <c r="A1483" s="1" t="str">
        <f>HYPERLINK("http://digipan.lumentumllc.com/apps/getLink/index.php?t=PropLink&amp;p=5246648","PL")</f>
        <v>PL</v>
      </c>
      <c r="B1483" s="1" t="str">
        <f>HYPERLINK("http://digipan.lumentumllc.com/apps/getLink/index.php?t=TaxLink&amp;p=5246648","TL")</f>
        <v>TL</v>
      </c>
      <c r="C1483" s="1" t="str">
        <f>HYPERLINK("http://digipan.lumentumllc.com/apps/getMap/index.php?p=5246648","Map")</f>
        <v>Map</v>
      </c>
      <c r="E1483" t="s">
        <v>177</v>
      </c>
      <c r="F1483" t="s">
        <v>178</v>
      </c>
      <c r="L1483" t="s">
        <v>19054</v>
      </c>
      <c r="N1483" t="s">
        <v>19054</v>
      </c>
      <c r="O1483" t="s">
        <v>19054</v>
      </c>
      <c r="P1483" t="s">
        <v>19055</v>
      </c>
      <c r="Q1483" t="s">
        <v>19054</v>
      </c>
      <c r="V1483">
        <v>1702</v>
      </c>
      <c r="W1483">
        <v>6</v>
      </c>
      <c r="X1483">
        <v>2017</v>
      </c>
      <c r="Y1483">
        <v>2018</v>
      </c>
      <c r="Z1483">
        <v>800.2</v>
      </c>
      <c r="AB1483" t="s">
        <v>181</v>
      </c>
      <c r="AC1483" t="s">
        <v>202</v>
      </c>
      <c r="AD1483" t="s">
        <v>183</v>
      </c>
      <c r="AE1483">
        <v>1</v>
      </c>
      <c r="AF1483">
        <v>6</v>
      </c>
      <c r="AG1483" t="s">
        <v>322</v>
      </c>
      <c r="AH1483">
        <v>83</v>
      </c>
      <c r="AI1483">
        <v>805.96</v>
      </c>
      <c r="AJ1483">
        <v>40.299999999999997</v>
      </c>
      <c r="AK1483">
        <v>846.26</v>
      </c>
      <c r="AL1483">
        <v>46920</v>
      </c>
      <c r="AM1483">
        <v>46920</v>
      </c>
      <c r="AN1483">
        <v>0</v>
      </c>
      <c r="AO1483">
        <v>720</v>
      </c>
      <c r="AP1483">
        <v>2016</v>
      </c>
      <c r="AQ1483">
        <v>1.71</v>
      </c>
      <c r="AR1483">
        <v>1.8</v>
      </c>
      <c r="AS1483" t="s">
        <v>19010</v>
      </c>
      <c r="AT1483" t="s">
        <v>15040</v>
      </c>
      <c r="AU1483" t="s">
        <v>177</v>
      </c>
      <c r="AV1483" t="s">
        <v>371</v>
      </c>
      <c r="AW1483" t="s">
        <v>182</v>
      </c>
      <c r="AX1483">
        <v>0</v>
      </c>
      <c r="AY1483" t="s">
        <v>312</v>
      </c>
      <c r="AZ1483" t="s">
        <v>199</v>
      </c>
      <c r="BA1483" t="s">
        <v>313</v>
      </c>
      <c r="BB1483" t="s">
        <v>191</v>
      </c>
      <c r="BC1483" t="s">
        <v>182</v>
      </c>
      <c r="BD1483" t="s">
        <v>182</v>
      </c>
      <c r="BE1483" t="s">
        <v>19056</v>
      </c>
      <c r="BF1483">
        <v>0</v>
      </c>
      <c r="BG1483">
        <v>0</v>
      </c>
      <c r="BH1483">
        <v>0</v>
      </c>
      <c r="BI1483" t="s">
        <v>199</v>
      </c>
      <c r="BJ1483" t="s">
        <v>315</v>
      </c>
      <c r="BL1483" t="s">
        <v>199</v>
      </c>
      <c r="BM1483" t="s">
        <v>368</v>
      </c>
      <c r="BN1483" t="s">
        <v>182</v>
      </c>
      <c r="BO1483" t="s">
        <v>198</v>
      </c>
      <c r="BP1483" t="s">
        <v>198</v>
      </c>
      <c r="BQ1483" t="s">
        <v>198</v>
      </c>
      <c r="BR1483" t="s">
        <v>198</v>
      </c>
      <c r="BS1483" t="s">
        <v>198</v>
      </c>
      <c r="BT1483" t="s">
        <v>198</v>
      </c>
      <c r="BU1483" t="s">
        <v>182</v>
      </c>
      <c r="BV1483" t="s">
        <v>198</v>
      </c>
      <c r="BW1483" t="s">
        <v>198</v>
      </c>
      <c r="BX1483" t="s">
        <v>199</v>
      </c>
      <c r="BY1483" t="s">
        <v>198</v>
      </c>
      <c r="BZ1483" t="s">
        <v>199</v>
      </c>
      <c r="CA1483" t="s">
        <v>199</v>
      </c>
      <c r="CB1483" t="s">
        <v>14697</v>
      </c>
      <c r="CC1483" t="s">
        <v>201</v>
      </c>
      <c r="CD1483" t="s">
        <v>182</v>
      </c>
      <c r="CE1483" t="s">
        <v>14488</v>
      </c>
      <c r="CF1483" t="s">
        <v>5331</v>
      </c>
      <c r="CG1483" t="s">
        <v>177</v>
      </c>
      <c r="CH1483" t="s">
        <v>5332</v>
      </c>
      <c r="CI1483" t="s">
        <v>14698</v>
      </c>
      <c r="CJ1483" t="s">
        <v>15309</v>
      </c>
      <c r="CK1483" t="s">
        <v>232</v>
      </c>
      <c r="CL1483" t="s">
        <v>233</v>
      </c>
      <c r="CM1483" t="s">
        <v>19057</v>
      </c>
      <c r="CN1483" t="s">
        <v>235</v>
      </c>
      <c r="CO1483" t="s">
        <v>183</v>
      </c>
      <c r="CP1483" t="s">
        <v>266</v>
      </c>
      <c r="CS1483" t="s">
        <v>198</v>
      </c>
      <c r="CT1483" t="s">
        <v>17018</v>
      </c>
      <c r="CU1483" t="s">
        <v>267</v>
      </c>
      <c r="CV1483" t="s">
        <v>268</v>
      </c>
      <c r="CW1483" t="s">
        <v>19058</v>
      </c>
      <c r="CX1483" t="s">
        <v>482</v>
      </c>
      <c r="CY1483" t="s">
        <v>183</v>
      </c>
      <c r="CZ1483" t="s">
        <v>211</v>
      </c>
      <c r="DB1483" t="s">
        <v>271</v>
      </c>
      <c r="DC1483" t="s">
        <v>198</v>
      </c>
      <c r="DD1483" t="s">
        <v>19059</v>
      </c>
      <c r="DE1483" t="s">
        <v>273</v>
      </c>
      <c r="DF1483" t="s">
        <v>274</v>
      </c>
      <c r="DG1483" t="s">
        <v>19060</v>
      </c>
      <c r="DH1483" t="s">
        <v>3395</v>
      </c>
      <c r="DI1483" t="s">
        <v>183</v>
      </c>
      <c r="DJ1483" t="s">
        <v>211</v>
      </c>
      <c r="DL1483" t="s">
        <v>271</v>
      </c>
      <c r="DM1483" t="s">
        <v>198</v>
      </c>
      <c r="DN1483" t="s">
        <v>19061</v>
      </c>
      <c r="DO1483" t="s">
        <v>302</v>
      </c>
      <c r="DP1483" t="s">
        <v>303</v>
      </c>
      <c r="DQ1483" t="s">
        <v>19062</v>
      </c>
      <c r="DR1483" t="s">
        <v>305</v>
      </c>
      <c r="DS1483" t="s">
        <v>183</v>
      </c>
      <c r="DT1483" t="s">
        <v>211</v>
      </c>
      <c r="DV1483" t="s">
        <v>271</v>
      </c>
      <c r="DW1483" t="s">
        <v>198</v>
      </c>
      <c r="DX1483" t="s">
        <v>8541</v>
      </c>
      <c r="DY1483" t="s">
        <v>238</v>
      </c>
      <c r="DZ1483" t="s">
        <v>239</v>
      </c>
      <c r="EA1483" t="s">
        <v>19063</v>
      </c>
      <c r="EB1483" t="s">
        <v>333</v>
      </c>
      <c r="EC1483" t="s">
        <v>183</v>
      </c>
      <c r="ED1483" t="s">
        <v>211</v>
      </c>
      <c r="EF1483" t="s">
        <v>271</v>
      </c>
      <c r="EG1483" t="s">
        <v>198</v>
      </c>
      <c r="EH1483" t="s">
        <v>13497</v>
      </c>
      <c r="EI1483" t="s">
        <v>346</v>
      </c>
      <c r="EJ1483" t="s">
        <v>347</v>
      </c>
      <c r="EK1483" t="s">
        <v>19064</v>
      </c>
      <c r="EL1483" t="s">
        <v>278</v>
      </c>
      <c r="EM1483" t="s">
        <v>183</v>
      </c>
      <c r="EN1483" t="s">
        <v>211</v>
      </c>
      <c r="EO1483" t="s">
        <v>1185</v>
      </c>
      <c r="EP1483" t="s">
        <v>271</v>
      </c>
      <c r="EQ1483" t="s">
        <v>14197</v>
      </c>
      <c r="ER1483" t="s">
        <v>17929</v>
      </c>
      <c r="ES1483" t="s">
        <v>207</v>
      </c>
      <c r="ET1483" t="s">
        <v>208</v>
      </c>
      <c r="EU1483" t="s">
        <v>19065</v>
      </c>
      <c r="EV1483" t="s">
        <v>341</v>
      </c>
      <c r="EW1483" t="s">
        <v>183</v>
      </c>
      <c r="EX1483" t="s">
        <v>211</v>
      </c>
      <c r="EY1483" t="s">
        <v>1336</v>
      </c>
      <c r="EZ1483" t="s">
        <v>271</v>
      </c>
      <c r="FA1483" t="s">
        <v>14197</v>
      </c>
      <c r="FK1483" t="s">
        <v>198</v>
      </c>
      <c r="FU1483" t="s">
        <v>198</v>
      </c>
    </row>
    <row r="1484" spans="1:177">
      <c r="A1484" s="1" t="str">
        <f>HYPERLINK("http://digipan.lumentumllc.com/apps/getLink/index.php?t=PropLink&amp;p=5246652","PL")</f>
        <v>PL</v>
      </c>
      <c r="B1484" s="1" t="str">
        <f>HYPERLINK("http://digipan.lumentumllc.com/apps/getLink/index.php?t=TaxLink&amp;p=5246652","TL")</f>
        <v>TL</v>
      </c>
      <c r="C1484" s="1" t="str">
        <f>HYPERLINK("http://digipan.lumentumllc.com/apps/getMap/index.php?p=5246652","Map")</f>
        <v>Map</v>
      </c>
      <c r="E1484" t="s">
        <v>177</v>
      </c>
      <c r="F1484" t="s">
        <v>178</v>
      </c>
      <c r="L1484" t="s">
        <v>19066</v>
      </c>
      <c r="N1484" t="s">
        <v>19066</v>
      </c>
      <c r="O1484" t="s">
        <v>19066</v>
      </c>
      <c r="P1484" t="s">
        <v>19067</v>
      </c>
      <c r="Q1484" t="s">
        <v>19066</v>
      </c>
      <c r="V1484">
        <v>1703</v>
      </c>
      <c r="W1484">
        <v>6</v>
      </c>
      <c r="X1484">
        <v>2017</v>
      </c>
      <c r="Y1484">
        <v>2018</v>
      </c>
      <c r="Z1484">
        <v>2127.6999999999998</v>
      </c>
      <c r="AB1484" t="s">
        <v>181</v>
      </c>
      <c r="AC1484" t="s">
        <v>182</v>
      </c>
      <c r="AD1484" t="s">
        <v>183</v>
      </c>
      <c r="AE1484">
        <v>0</v>
      </c>
      <c r="AF1484">
        <v>4</v>
      </c>
      <c r="AG1484" t="s">
        <v>744</v>
      </c>
      <c r="AH1484">
        <v>100</v>
      </c>
      <c r="AK1484">
        <v>0</v>
      </c>
      <c r="AL1484">
        <v>128000</v>
      </c>
      <c r="AM1484">
        <v>0</v>
      </c>
      <c r="AN1484">
        <v>128000</v>
      </c>
      <c r="AO1484">
        <v>1796</v>
      </c>
      <c r="AP1484">
        <v>2016</v>
      </c>
      <c r="AQ1484">
        <v>1.66</v>
      </c>
      <c r="AS1484" t="s">
        <v>19068</v>
      </c>
      <c r="AT1484" t="s">
        <v>15040</v>
      </c>
      <c r="AU1484" t="s">
        <v>177</v>
      </c>
      <c r="AV1484" t="s">
        <v>371</v>
      </c>
      <c r="AW1484" t="s">
        <v>182</v>
      </c>
      <c r="AX1484">
        <v>4</v>
      </c>
      <c r="AY1484" t="s">
        <v>188</v>
      </c>
      <c r="AZ1484" t="s">
        <v>296</v>
      </c>
      <c r="BA1484" t="s">
        <v>19069</v>
      </c>
      <c r="BB1484" t="s">
        <v>191</v>
      </c>
      <c r="BC1484" t="s">
        <v>182</v>
      </c>
      <c r="BD1484" t="s">
        <v>182</v>
      </c>
      <c r="BE1484" t="s">
        <v>1722</v>
      </c>
      <c r="BF1484">
        <v>1</v>
      </c>
      <c r="BG1484">
        <v>1</v>
      </c>
      <c r="BH1484">
        <v>2008</v>
      </c>
      <c r="BI1484" t="s">
        <v>9513</v>
      </c>
      <c r="BJ1484" t="s">
        <v>194</v>
      </c>
      <c r="BL1484" t="s">
        <v>19070</v>
      </c>
      <c r="BM1484" t="s">
        <v>346</v>
      </c>
      <c r="BN1484" t="s">
        <v>182</v>
      </c>
      <c r="BO1484" t="s">
        <v>198</v>
      </c>
      <c r="BP1484" t="s">
        <v>198</v>
      </c>
      <c r="BQ1484" t="s">
        <v>198</v>
      </c>
      <c r="BR1484" t="s">
        <v>198</v>
      </c>
      <c r="BS1484" t="s">
        <v>198</v>
      </c>
      <c r="BT1484" t="s">
        <v>198</v>
      </c>
      <c r="BU1484" t="s">
        <v>182</v>
      </c>
      <c r="BV1484" t="s">
        <v>198</v>
      </c>
      <c r="BW1484" t="s">
        <v>198</v>
      </c>
      <c r="BX1484" t="s">
        <v>199</v>
      </c>
      <c r="BY1484" t="s">
        <v>198</v>
      </c>
      <c r="BZ1484" t="s">
        <v>199</v>
      </c>
      <c r="CA1484" t="s">
        <v>199</v>
      </c>
      <c r="CB1484" t="s">
        <v>19071</v>
      </c>
      <c r="CC1484" t="s">
        <v>201</v>
      </c>
      <c r="CD1484" t="s">
        <v>182</v>
      </c>
      <c r="CE1484" t="s">
        <v>19072</v>
      </c>
      <c r="CF1484" t="s">
        <v>19073</v>
      </c>
      <c r="CG1484" t="s">
        <v>5598</v>
      </c>
      <c r="CH1484" t="s">
        <v>19074</v>
      </c>
      <c r="CI1484" t="s">
        <v>19075</v>
      </c>
      <c r="CJ1484" t="s">
        <v>6285</v>
      </c>
      <c r="CK1484" t="s">
        <v>292</v>
      </c>
      <c r="CL1484" t="s">
        <v>293</v>
      </c>
      <c r="CM1484" t="s">
        <v>19076</v>
      </c>
      <c r="CN1484" t="s">
        <v>235</v>
      </c>
      <c r="CO1484" t="s">
        <v>183</v>
      </c>
      <c r="CP1484" t="s">
        <v>211</v>
      </c>
      <c r="CQ1484" t="s">
        <v>329</v>
      </c>
      <c r="CS1484" t="s">
        <v>8316</v>
      </c>
      <c r="CT1484" t="s">
        <v>17040</v>
      </c>
      <c r="CU1484" t="s">
        <v>267</v>
      </c>
      <c r="CV1484" t="s">
        <v>268</v>
      </c>
      <c r="CW1484" t="s">
        <v>19077</v>
      </c>
      <c r="CX1484" t="s">
        <v>235</v>
      </c>
      <c r="CY1484" t="s">
        <v>183</v>
      </c>
      <c r="CZ1484" t="s">
        <v>211</v>
      </c>
      <c r="DA1484" t="s">
        <v>298</v>
      </c>
      <c r="DC1484" t="s">
        <v>8316</v>
      </c>
      <c r="DD1484" t="s">
        <v>18876</v>
      </c>
      <c r="DE1484" t="s">
        <v>273</v>
      </c>
      <c r="DF1484" t="s">
        <v>274</v>
      </c>
      <c r="DG1484" t="s">
        <v>19078</v>
      </c>
      <c r="DH1484" t="s">
        <v>235</v>
      </c>
      <c r="DI1484" t="s">
        <v>183</v>
      </c>
      <c r="DJ1484" t="s">
        <v>211</v>
      </c>
      <c r="DK1484" t="s">
        <v>199</v>
      </c>
      <c r="DM1484" t="s">
        <v>4960</v>
      </c>
      <c r="DN1484" t="s">
        <v>19079</v>
      </c>
      <c r="DO1484" t="s">
        <v>346</v>
      </c>
      <c r="DP1484" t="s">
        <v>347</v>
      </c>
      <c r="DQ1484" t="s">
        <v>19080</v>
      </c>
      <c r="DR1484" t="s">
        <v>235</v>
      </c>
      <c r="DS1484" t="s">
        <v>183</v>
      </c>
      <c r="DT1484" t="s">
        <v>211</v>
      </c>
      <c r="DU1484" t="s">
        <v>199</v>
      </c>
      <c r="DW1484" t="s">
        <v>6142</v>
      </c>
      <c r="EG1484" t="s">
        <v>198</v>
      </c>
      <c r="EQ1484" t="s">
        <v>198</v>
      </c>
      <c r="FA1484" t="s">
        <v>198</v>
      </c>
      <c r="FK1484" t="s">
        <v>198</v>
      </c>
      <c r="FU1484" t="s">
        <v>198</v>
      </c>
    </row>
    <row r="1485" spans="1:177">
      <c r="A1485" s="1" t="str">
        <f>HYPERLINK("http://digipan.lumentumllc.com/apps/getLink/index.php?t=PropLink&amp;p=6886755","PL")</f>
        <v>PL</v>
      </c>
      <c r="B1485" s="1" t="str">
        <f>HYPERLINK("http://digipan.lumentumllc.com/apps/getLink/index.php?t=TaxLink&amp;p=6886755","TL")</f>
        <v>TL</v>
      </c>
      <c r="C1485" s="1" t="str">
        <f>HYPERLINK("http://digipan.lumentumllc.com/apps/getMap/index.php?p=6886755","Map")</f>
        <v>Map</v>
      </c>
      <c r="E1485" t="s">
        <v>177</v>
      </c>
      <c r="F1485" t="s">
        <v>178</v>
      </c>
      <c r="L1485" t="s">
        <v>19081</v>
      </c>
      <c r="N1485" t="s">
        <v>19081</v>
      </c>
      <c r="O1485" t="s">
        <v>19081</v>
      </c>
      <c r="P1485" t="s">
        <v>19082</v>
      </c>
      <c r="Q1485" t="s">
        <v>19081</v>
      </c>
      <c r="V1485">
        <v>1704</v>
      </c>
      <c r="W1485">
        <v>6</v>
      </c>
      <c r="X1485">
        <v>2017</v>
      </c>
      <c r="Y1485">
        <v>2018</v>
      </c>
      <c r="Z1485">
        <v>2127.6999999999998</v>
      </c>
      <c r="AB1485" t="s">
        <v>181</v>
      </c>
      <c r="AC1485" t="s">
        <v>182</v>
      </c>
      <c r="AD1485" t="s">
        <v>183</v>
      </c>
      <c r="AE1485">
        <v>0</v>
      </c>
      <c r="AF1485">
        <v>3</v>
      </c>
      <c r="AG1485" t="s">
        <v>381</v>
      </c>
      <c r="AH1485">
        <v>100</v>
      </c>
      <c r="AK1485">
        <v>0</v>
      </c>
      <c r="AL1485">
        <v>128000</v>
      </c>
      <c r="AM1485">
        <v>0</v>
      </c>
      <c r="AN1485">
        <v>128000</v>
      </c>
      <c r="AO1485">
        <v>1796</v>
      </c>
      <c r="AP1485">
        <v>2016</v>
      </c>
      <c r="AQ1485">
        <v>1.66</v>
      </c>
      <c r="AS1485" t="s">
        <v>19083</v>
      </c>
      <c r="AT1485" t="s">
        <v>15040</v>
      </c>
      <c r="AU1485" t="s">
        <v>177</v>
      </c>
      <c r="AV1485" t="s">
        <v>371</v>
      </c>
      <c r="AW1485" t="s">
        <v>182</v>
      </c>
      <c r="AX1485">
        <v>4</v>
      </c>
      <c r="AY1485" t="s">
        <v>188</v>
      </c>
      <c r="AZ1485" t="s">
        <v>296</v>
      </c>
      <c r="BA1485" t="s">
        <v>19069</v>
      </c>
      <c r="BB1485" t="s">
        <v>191</v>
      </c>
      <c r="BC1485" t="s">
        <v>182</v>
      </c>
      <c r="BD1485" t="s">
        <v>182</v>
      </c>
      <c r="BE1485" t="s">
        <v>1722</v>
      </c>
      <c r="BF1485">
        <v>1</v>
      </c>
      <c r="BG1485">
        <v>1</v>
      </c>
      <c r="BH1485">
        <v>2007</v>
      </c>
      <c r="BI1485" t="s">
        <v>9513</v>
      </c>
      <c r="BJ1485" t="s">
        <v>194</v>
      </c>
      <c r="BL1485" t="s">
        <v>19084</v>
      </c>
      <c r="BM1485" t="s">
        <v>346</v>
      </c>
      <c r="BN1485" t="s">
        <v>182</v>
      </c>
      <c r="BO1485" t="s">
        <v>198</v>
      </c>
      <c r="BP1485" t="s">
        <v>198</v>
      </c>
      <c r="BQ1485" t="s">
        <v>198</v>
      </c>
      <c r="BR1485" t="s">
        <v>198</v>
      </c>
      <c r="BS1485" t="s">
        <v>198</v>
      </c>
      <c r="BT1485" t="s">
        <v>198</v>
      </c>
      <c r="BU1485" t="s">
        <v>182</v>
      </c>
      <c r="BV1485" t="s">
        <v>198</v>
      </c>
      <c r="BW1485" t="s">
        <v>198</v>
      </c>
      <c r="BX1485" t="s">
        <v>199</v>
      </c>
      <c r="BY1485" t="s">
        <v>198</v>
      </c>
      <c r="BZ1485" t="s">
        <v>199</v>
      </c>
      <c r="CA1485" t="s">
        <v>199</v>
      </c>
      <c r="CB1485" t="s">
        <v>19085</v>
      </c>
      <c r="CC1485" t="s">
        <v>1407</v>
      </c>
      <c r="CD1485" t="s">
        <v>182</v>
      </c>
      <c r="CE1485" t="s">
        <v>19086</v>
      </c>
      <c r="CF1485" t="s">
        <v>19087</v>
      </c>
      <c r="CG1485" t="s">
        <v>19088</v>
      </c>
      <c r="CH1485" t="s">
        <v>19089</v>
      </c>
      <c r="CI1485" t="s">
        <v>19090</v>
      </c>
      <c r="CJ1485" t="s">
        <v>15328</v>
      </c>
      <c r="CK1485" t="s">
        <v>232</v>
      </c>
      <c r="CL1485" t="s">
        <v>233</v>
      </c>
      <c r="CM1485" t="s">
        <v>19091</v>
      </c>
      <c r="CN1485" t="s">
        <v>235</v>
      </c>
      <c r="CO1485" t="s">
        <v>183</v>
      </c>
      <c r="CP1485" t="s">
        <v>211</v>
      </c>
      <c r="CQ1485" t="s">
        <v>189</v>
      </c>
      <c r="CS1485" t="s">
        <v>12835</v>
      </c>
      <c r="CT1485" t="s">
        <v>16471</v>
      </c>
      <c r="CU1485" t="s">
        <v>292</v>
      </c>
      <c r="CV1485" t="s">
        <v>293</v>
      </c>
      <c r="CW1485" t="s">
        <v>19076</v>
      </c>
      <c r="CX1485" t="s">
        <v>235</v>
      </c>
      <c r="CY1485" t="s">
        <v>183</v>
      </c>
      <c r="CZ1485" t="s">
        <v>211</v>
      </c>
      <c r="DA1485" t="s">
        <v>199</v>
      </c>
      <c r="DC1485" t="s">
        <v>6152</v>
      </c>
      <c r="DD1485" t="s">
        <v>17057</v>
      </c>
      <c r="DE1485" t="s">
        <v>267</v>
      </c>
      <c r="DF1485" t="s">
        <v>268</v>
      </c>
      <c r="DG1485" t="s">
        <v>19092</v>
      </c>
      <c r="DH1485" t="s">
        <v>235</v>
      </c>
      <c r="DI1485" t="s">
        <v>183</v>
      </c>
      <c r="DJ1485" t="s">
        <v>211</v>
      </c>
      <c r="DK1485" t="s">
        <v>427</v>
      </c>
      <c r="DM1485" t="s">
        <v>17600</v>
      </c>
      <c r="DW1485" t="s">
        <v>198</v>
      </c>
      <c r="EG1485" t="s">
        <v>198</v>
      </c>
      <c r="EQ1485" t="s">
        <v>198</v>
      </c>
      <c r="FA1485" t="s">
        <v>198</v>
      </c>
      <c r="FK1485" t="s">
        <v>198</v>
      </c>
      <c r="FU1485" t="s">
        <v>198</v>
      </c>
    </row>
    <row r="1486" spans="1:177">
      <c r="A1486" s="1" t="str">
        <f>HYPERLINK("http://digipan.lumentumllc.com/apps/getLink/index.php?t=PropLink&amp;p=6886756","PL")</f>
        <v>PL</v>
      </c>
      <c r="B1486" s="1" t="str">
        <f>HYPERLINK("http://digipan.lumentumllc.com/apps/getLink/index.php?t=TaxLink&amp;p=6886756","TL")</f>
        <v>TL</v>
      </c>
      <c r="C1486" s="1" t="str">
        <f>HYPERLINK("http://digipan.lumentumllc.com/apps/getMap/index.php?p=6886756","Map")</f>
        <v>Map</v>
      </c>
      <c r="E1486" t="s">
        <v>177</v>
      </c>
      <c r="F1486" t="s">
        <v>178</v>
      </c>
      <c r="L1486" t="s">
        <v>19093</v>
      </c>
      <c r="N1486" t="s">
        <v>19093</v>
      </c>
      <c r="O1486" t="s">
        <v>19093</v>
      </c>
      <c r="P1486" t="s">
        <v>19094</v>
      </c>
      <c r="Q1486" t="s">
        <v>19093</v>
      </c>
      <c r="V1486">
        <v>1705</v>
      </c>
      <c r="W1486">
        <v>6</v>
      </c>
      <c r="X1486">
        <v>2017</v>
      </c>
      <c r="Y1486">
        <v>2018</v>
      </c>
      <c r="Z1486">
        <v>2078.59</v>
      </c>
      <c r="AB1486" t="s">
        <v>181</v>
      </c>
      <c r="AC1486" t="s">
        <v>182</v>
      </c>
      <c r="AD1486" t="s">
        <v>183</v>
      </c>
      <c r="AE1486">
        <v>0</v>
      </c>
      <c r="AF1486">
        <v>2</v>
      </c>
      <c r="AG1486" t="s">
        <v>216</v>
      </c>
      <c r="AH1486">
        <v>100</v>
      </c>
      <c r="AK1486">
        <v>0</v>
      </c>
      <c r="AL1486">
        <v>125000</v>
      </c>
      <c r="AM1486">
        <v>0</v>
      </c>
      <c r="AN1486">
        <v>125000</v>
      </c>
      <c r="AO1486">
        <v>1765</v>
      </c>
      <c r="AP1486">
        <v>2016</v>
      </c>
      <c r="AQ1486">
        <v>1.66</v>
      </c>
      <c r="AS1486" t="s">
        <v>19095</v>
      </c>
      <c r="AT1486" t="s">
        <v>15040</v>
      </c>
      <c r="AU1486" t="s">
        <v>177</v>
      </c>
      <c r="AV1486" t="s">
        <v>371</v>
      </c>
      <c r="AW1486" t="s">
        <v>182</v>
      </c>
      <c r="AX1486">
        <v>4</v>
      </c>
      <c r="AY1486" t="s">
        <v>188</v>
      </c>
      <c r="AZ1486" t="s">
        <v>296</v>
      </c>
      <c r="BA1486" t="s">
        <v>19069</v>
      </c>
      <c r="BB1486" t="s">
        <v>191</v>
      </c>
      <c r="BC1486" t="s">
        <v>182</v>
      </c>
      <c r="BD1486" t="s">
        <v>182</v>
      </c>
      <c r="BE1486" t="s">
        <v>1722</v>
      </c>
      <c r="BF1486">
        <v>1</v>
      </c>
      <c r="BG1486">
        <v>1</v>
      </c>
      <c r="BH1486">
        <v>2007</v>
      </c>
      <c r="BI1486" t="s">
        <v>6645</v>
      </c>
      <c r="BJ1486" t="s">
        <v>194</v>
      </c>
      <c r="BL1486" t="s">
        <v>19096</v>
      </c>
      <c r="BM1486" t="s">
        <v>346</v>
      </c>
      <c r="BN1486" t="s">
        <v>182</v>
      </c>
      <c r="BO1486" t="s">
        <v>198</v>
      </c>
      <c r="BP1486" t="s">
        <v>198</v>
      </c>
      <c r="BQ1486" t="s">
        <v>198</v>
      </c>
      <c r="BR1486" t="s">
        <v>198</v>
      </c>
      <c r="BS1486" t="s">
        <v>198</v>
      </c>
      <c r="BT1486" t="s">
        <v>198</v>
      </c>
      <c r="BU1486" t="s">
        <v>182</v>
      </c>
      <c r="BV1486" t="s">
        <v>198</v>
      </c>
      <c r="BW1486" t="s">
        <v>198</v>
      </c>
      <c r="BX1486" t="s">
        <v>199</v>
      </c>
      <c r="BY1486" t="s">
        <v>198</v>
      </c>
      <c r="BZ1486" t="s">
        <v>199</v>
      </c>
      <c r="CA1486" t="s">
        <v>199</v>
      </c>
      <c r="CB1486" t="s">
        <v>19085</v>
      </c>
      <c r="CC1486" t="s">
        <v>1407</v>
      </c>
      <c r="CD1486" t="s">
        <v>182</v>
      </c>
      <c r="CE1486" t="s">
        <v>19086</v>
      </c>
      <c r="CF1486" t="s">
        <v>19087</v>
      </c>
      <c r="CG1486" t="s">
        <v>19088</v>
      </c>
      <c r="CH1486" t="s">
        <v>19089</v>
      </c>
      <c r="CI1486" t="s">
        <v>19097</v>
      </c>
      <c r="CJ1486" t="s">
        <v>14572</v>
      </c>
      <c r="CK1486" t="s">
        <v>232</v>
      </c>
      <c r="CL1486" t="s">
        <v>233</v>
      </c>
      <c r="CM1486" t="s">
        <v>19098</v>
      </c>
      <c r="CN1486" t="s">
        <v>235</v>
      </c>
      <c r="CO1486" t="s">
        <v>183</v>
      </c>
      <c r="CP1486" t="s">
        <v>211</v>
      </c>
      <c r="CQ1486" t="s">
        <v>264</v>
      </c>
      <c r="CS1486" t="s">
        <v>11065</v>
      </c>
      <c r="CT1486" t="s">
        <v>18364</v>
      </c>
      <c r="CU1486" t="s">
        <v>267</v>
      </c>
      <c r="CV1486" t="s">
        <v>268</v>
      </c>
      <c r="CW1486" t="s">
        <v>19099</v>
      </c>
      <c r="CX1486" t="s">
        <v>235</v>
      </c>
      <c r="CY1486" t="s">
        <v>183</v>
      </c>
      <c r="CZ1486" t="s">
        <v>211</v>
      </c>
      <c r="DA1486" t="s">
        <v>212</v>
      </c>
      <c r="DC1486" t="s">
        <v>10936</v>
      </c>
      <c r="DM1486" t="s">
        <v>198</v>
      </c>
      <c r="DW1486" t="s">
        <v>198</v>
      </c>
      <c r="EG1486" t="s">
        <v>198</v>
      </c>
      <c r="EQ1486" t="s">
        <v>198</v>
      </c>
      <c r="FA1486" t="s">
        <v>198</v>
      </c>
      <c r="FK1486" t="s">
        <v>198</v>
      </c>
      <c r="FU1486" t="s">
        <v>198</v>
      </c>
    </row>
    <row r="1487" spans="1:177">
      <c r="A1487" s="1" t="str">
        <f>HYPERLINK("http://digipan.lumentumllc.com/apps/getLink/index.php?t=PropLink&amp;p=15749668","PL")</f>
        <v>PL</v>
      </c>
      <c r="B1487" s="1" t="str">
        <f>HYPERLINK("http://digipan.lumentumllc.com/apps/getLink/index.php?t=TaxLink&amp;p=15749668","TL")</f>
        <v>TL</v>
      </c>
      <c r="C1487" s="1" t="str">
        <f>HYPERLINK("http://digipan.lumentumllc.com/apps/getMap/index.php?p=15749668","Map")</f>
        <v>Map</v>
      </c>
      <c r="E1487" t="s">
        <v>177</v>
      </c>
      <c r="F1487" t="s">
        <v>178</v>
      </c>
      <c r="L1487" t="s">
        <v>19100</v>
      </c>
      <c r="N1487" t="s">
        <v>19100</v>
      </c>
      <c r="O1487" t="s">
        <v>19100</v>
      </c>
      <c r="Q1487" t="s">
        <v>19100</v>
      </c>
      <c r="V1487">
        <v>1706</v>
      </c>
      <c r="W1487">
        <v>6</v>
      </c>
      <c r="X1487">
        <v>2017</v>
      </c>
      <c r="Y1487">
        <v>2018</v>
      </c>
      <c r="Z1487">
        <v>2127.6999999999998</v>
      </c>
      <c r="AB1487" t="s">
        <v>181</v>
      </c>
      <c r="AC1487" t="s">
        <v>182</v>
      </c>
      <c r="AD1487" t="s">
        <v>183</v>
      </c>
      <c r="AE1487">
        <v>0</v>
      </c>
      <c r="AF1487">
        <v>1</v>
      </c>
      <c r="AG1487" t="s">
        <v>184</v>
      </c>
      <c r="AH1487">
        <v>0</v>
      </c>
      <c r="AK1487">
        <v>0</v>
      </c>
      <c r="AL1487">
        <v>128000</v>
      </c>
      <c r="AM1487">
        <v>0</v>
      </c>
      <c r="AN1487">
        <v>128000</v>
      </c>
      <c r="AO1487">
        <v>1796</v>
      </c>
      <c r="AP1487">
        <v>2016</v>
      </c>
      <c r="AQ1487">
        <v>1.66</v>
      </c>
      <c r="AS1487" t="s">
        <v>19101</v>
      </c>
      <c r="AT1487" t="s">
        <v>15040</v>
      </c>
      <c r="AU1487" t="s">
        <v>177</v>
      </c>
      <c r="AV1487" t="s">
        <v>371</v>
      </c>
      <c r="AW1487" t="s">
        <v>182</v>
      </c>
      <c r="AX1487">
        <v>4</v>
      </c>
      <c r="AY1487" t="s">
        <v>188</v>
      </c>
      <c r="AZ1487" t="s">
        <v>296</v>
      </c>
      <c r="BA1487" t="s">
        <v>19069</v>
      </c>
      <c r="BB1487" t="s">
        <v>191</v>
      </c>
      <c r="BC1487" t="s">
        <v>182</v>
      </c>
      <c r="BD1487" t="s">
        <v>182</v>
      </c>
      <c r="BE1487" t="s">
        <v>1722</v>
      </c>
      <c r="BF1487">
        <v>1</v>
      </c>
      <c r="BG1487">
        <v>1</v>
      </c>
      <c r="BH1487">
        <v>2007</v>
      </c>
      <c r="BI1487" t="s">
        <v>13361</v>
      </c>
      <c r="BJ1487" t="s">
        <v>194</v>
      </c>
      <c r="BL1487" t="s">
        <v>19102</v>
      </c>
      <c r="BM1487" t="s">
        <v>197</v>
      </c>
      <c r="BN1487" t="s">
        <v>182</v>
      </c>
      <c r="BO1487" t="s">
        <v>19103</v>
      </c>
      <c r="BP1487" t="s">
        <v>19104</v>
      </c>
      <c r="BQ1487" t="s">
        <v>562</v>
      </c>
      <c r="BR1487" t="s">
        <v>582</v>
      </c>
      <c r="BS1487" t="s">
        <v>198</v>
      </c>
      <c r="BT1487" t="s">
        <v>19105</v>
      </c>
      <c r="BU1487" t="s">
        <v>182</v>
      </c>
      <c r="BV1487" t="s">
        <v>198</v>
      </c>
      <c r="BW1487" t="s">
        <v>198</v>
      </c>
      <c r="BX1487" t="s">
        <v>199</v>
      </c>
      <c r="BY1487" t="s">
        <v>198</v>
      </c>
      <c r="BZ1487" t="s">
        <v>199</v>
      </c>
      <c r="CA1487" t="s">
        <v>199</v>
      </c>
      <c r="CB1487" t="s">
        <v>19106</v>
      </c>
      <c r="CC1487" t="s">
        <v>201</v>
      </c>
      <c r="CD1487" t="s">
        <v>202</v>
      </c>
      <c r="CE1487" t="s">
        <v>19107</v>
      </c>
      <c r="CF1487" t="s">
        <v>19108</v>
      </c>
      <c r="CG1487" t="s">
        <v>19088</v>
      </c>
      <c r="CH1487" t="s">
        <v>19109</v>
      </c>
      <c r="CI1487" t="s">
        <v>19110</v>
      </c>
      <c r="CJ1487" t="s">
        <v>19111</v>
      </c>
      <c r="CK1487" t="s">
        <v>207</v>
      </c>
      <c r="CL1487" t="s">
        <v>208</v>
      </c>
      <c r="CM1487" t="s">
        <v>19112</v>
      </c>
      <c r="CN1487" t="s">
        <v>235</v>
      </c>
      <c r="CO1487" t="s">
        <v>183</v>
      </c>
      <c r="CP1487" t="s">
        <v>211</v>
      </c>
      <c r="CQ1487" t="s">
        <v>206</v>
      </c>
      <c r="CS1487" t="s">
        <v>9248</v>
      </c>
      <c r="DC1487" t="s">
        <v>198</v>
      </c>
      <c r="DM1487" t="s">
        <v>198</v>
      </c>
      <c r="DW1487" t="s">
        <v>198</v>
      </c>
      <c r="EG1487" t="s">
        <v>198</v>
      </c>
      <c r="EQ1487" t="s">
        <v>198</v>
      </c>
      <c r="FA1487" t="s">
        <v>198</v>
      </c>
      <c r="FK1487" t="s">
        <v>198</v>
      </c>
      <c r="FU1487" t="s">
        <v>198</v>
      </c>
    </row>
    <row r="1488" spans="1:177">
      <c r="A1488" s="1" t="str">
        <f>HYPERLINK("http://digipan.lumentumllc.com/apps/getLink/index.php?t=PropLink&amp;p=6594240","PL")</f>
        <v>PL</v>
      </c>
      <c r="B1488" s="1" t="str">
        <f>HYPERLINK("http://digipan.lumentumllc.com/apps/getLink/index.php?t=TaxLink&amp;p=6594240","TL")</f>
        <v>TL</v>
      </c>
      <c r="C1488" s="1" t="str">
        <f>HYPERLINK("http://digipan.lumentumllc.com/apps/getMap/index.php?p=6594240","Map")</f>
        <v>Map</v>
      </c>
      <c r="E1488" t="s">
        <v>177</v>
      </c>
      <c r="F1488" t="s">
        <v>178</v>
      </c>
      <c r="L1488" t="s">
        <v>19113</v>
      </c>
      <c r="N1488" t="s">
        <v>19113</v>
      </c>
      <c r="O1488" t="s">
        <v>19113</v>
      </c>
      <c r="P1488" t="s">
        <v>19114</v>
      </c>
      <c r="Q1488" t="s">
        <v>19113</v>
      </c>
      <c r="V1488">
        <v>1707</v>
      </c>
      <c r="W1488">
        <v>6</v>
      </c>
      <c r="X1488">
        <v>2017</v>
      </c>
      <c r="Y1488">
        <v>2018</v>
      </c>
      <c r="Z1488">
        <v>2078.59</v>
      </c>
      <c r="AB1488" t="s">
        <v>181</v>
      </c>
      <c r="AC1488" t="s">
        <v>182</v>
      </c>
      <c r="AD1488" t="s">
        <v>183</v>
      </c>
      <c r="AE1488">
        <v>0</v>
      </c>
      <c r="AF1488">
        <v>4</v>
      </c>
      <c r="AG1488" t="s">
        <v>744</v>
      </c>
      <c r="AH1488">
        <v>100</v>
      </c>
      <c r="AK1488">
        <v>0</v>
      </c>
      <c r="AL1488">
        <v>125000</v>
      </c>
      <c r="AM1488">
        <v>0</v>
      </c>
      <c r="AN1488">
        <v>125000</v>
      </c>
      <c r="AO1488">
        <v>1765</v>
      </c>
      <c r="AP1488">
        <v>2016</v>
      </c>
      <c r="AQ1488">
        <v>1.66</v>
      </c>
      <c r="AS1488" t="s">
        <v>19115</v>
      </c>
      <c r="AT1488" t="s">
        <v>15040</v>
      </c>
      <c r="AU1488" t="s">
        <v>177</v>
      </c>
      <c r="AV1488" t="s">
        <v>371</v>
      </c>
      <c r="AW1488" t="s">
        <v>182</v>
      </c>
      <c r="AX1488">
        <v>4</v>
      </c>
      <c r="AY1488" t="s">
        <v>188</v>
      </c>
      <c r="AZ1488" t="s">
        <v>296</v>
      </c>
      <c r="BA1488" t="s">
        <v>19069</v>
      </c>
      <c r="BB1488" t="s">
        <v>191</v>
      </c>
      <c r="BC1488" t="s">
        <v>182</v>
      </c>
      <c r="BD1488" t="s">
        <v>182</v>
      </c>
      <c r="BE1488" t="s">
        <v>1722</v>
      </c>
      <c r="BF1488">
        <v>1</v>
      </c>
      <c r="BG1488">
        <v>1</v>
      </c>
      <c r="BH1488">
        <v>2007</v>
      </c>
      <c r="BI1488" t="s">
        <v>6645</v>
      </c>
      <c r="BJ1488" t="s">
        <v>194</v>
      </c>
      <c r="BL1488" t="s">
        <v>19116</v>
      </c>
      <c r="BM1488" t="s">
        <v>346</v>
      </c>
      <c r="BN1488" t="s">
        <v>182</v>
      </c>
      <c r="BO1488" t="s">
        <v>198</v>
      </c>
      <c r="BP1488" t="s">
        <v>198</v>
      </c>
      <c r="BQ1488" t="s">
        <v>198</v>
      </c>
      <c r="BR1488" t="s">
        <v>198</v>
      </c>
      <c r="BS1488" t="s">
        <v>198</v>
      </c>
      <c r="BT1488" t="s">
        <v>198</v>
      </c>
      <c r="BU1488" t="s">
        <v>182</v>
      </c>
      <c r="BV1488" t="s">
        <v>198</v>
      </c>
      <c r="BW1488" t="s">
        <v>198</v>
      </c>
      <c r="BX1488" t="s">
        <v>199</v>
      </c>
      <c r="BY1488" t="s">
        <v>198</v>
      </c>
      <c r="BZ1488" t="s">
        <v>199</v>
      </c>
      <c r="CA1488" t="s">
        <v>199</v>
      </c>
      <c r="CB1488" t="s">
        <v>19085</v>
      </c>
      <c r="CC1488" t="s">
        <v>1407</v>
      </c>
      <c r="CD1488" t="s">
        <v>182</v>
      </c>
      <c r="CE1488" t="s">
        <v>19086</v>
      </c>
      <c r="CF1488" t="s">
        <v>19117</v>
      </c>
      <c r="CG1488" t="s">
        <v>19088</v>
      </c>
      <c r="CH1488" t="s">
        <v>19089</v>
      </c>
      <c r="CI1488" t="s">
        <v>19118</v>
      </c>
      <c r="CJ1488" t="s">
        <v>7349</v>
      </c>
      <c r="CK1488" t="s">
        <v>232</v>
      </c>
      <c r="CL1488" t="s">
        <v>233</v>
      </c>
      <c r="CM1488" t="s">
        <v>19098</v>
      </c>
      <c r="CN1488" t="s">
        <v>235</v>
      </c>
      <c r="CO1488" t="s">
        <v>183</v>
      </c>
      <c r="CP1488" t="s">
        <v>211</v>
      </c>
      <c r="CQ1488" t="s">
        <v>189</v>
      </c>
      <c r="CS1488" t="s">
        <v>12835</v>
      </c>
      <c r="CT1488" t="s">
        <v>631</v>
      </c>
      <c r="CU1488" t="s">
        <v>292</v>
      </c>
      <c r="CV1488" t="s">
        <v>293</v>
      </c>
      <c r="CW1488" t="s">
        <v>19119</v>
      </c>
      <c r="CX1488" t="s">
        <v>235</v>
      </c>
      <c r="CY1488" t="s">
        <v>183</v>
      </c>
      <c r="CZ1488" t="s">
        <v>211</v>
      </c>
      <c r="DA1488" t="s">
        <v>199</v>
      </c>
      <c r="DC1488" t="s">
        <v>6152</v>
      </c>
      <c r="DD1488" t="s">
        <v>9513</v>
      </c>
      <c r="DE1488" t="s">
        <v>267</v>
      </c>
      <c r="DF1488" t="s">
        <v>268</v>
      </c>
      <c r="DG1488" t="s">
        <v>19099</v>
      </c>
      <c r="DH1488" t="s">
        <v>235</v>
      </c>
      <c r="DI1488" t="s">
        <v>183</v>
      </c>
      <c r="DJ1488" t="s">
        <v>211</v>
      </c>
      <c r="DK1488" t="s">
        <v>427</v>
      </c>
      <c r="DM1488" t="s">
        <v>17600</v>
      </c>
      <c r="DN1488" t="s">
        <v>19120</v>
      </c>
      <c r="DO1488" t="s">
        <v>273</v>
      </c>
      <c r="DP1488" t="s">
        <v>274</v>
      </c>
      <c r="DQ1488" t="s">
        <v>19121</v>
      </c>
      <c r="DR1488" t="s">
        <v>235</v>
      </c>
      <c r="DS1488" t="s">
        <v>183</v>
      </c>
      <c r="DT1488" t="s">
        <v>211</v>
      </c>
      <c r="DU1488" t="s">
        <v>298</v>
      </c>
      <c r="DW1488" t="s">
        <v>3275</v>
      </c>
      <c r="EG1488" t="s">
        <v>198</v>
      </c>
      <c r="EQ1488" t="s">
        <v>198</v>
      </c>
      <c r="FA1488" t="s">
        <v>198</v>
      </c>
      <c r="FK1488" t="s">
        <v>198</v>
      </c>
      <c r="FU1488" t="s">
        <v>198</v>
      </c>
    </row>
    <row r="1489" spans="1:177">
      <c r="A1489" s="1" t="str">
        <f>HYPERLINK("http://digipan.lumentumllc.com/apps/getLink/index.php?t=PropLink&amp;p=6129124","PL")</f>
        <v>PL</v>
      </c>
      <c r="B1489" s="1" t="str">
        <f>HYPERLINK("http://digipan.lumentumllc.com/apps/getLink/index.php?t=TaxLink&amp;p=6129124","TL")</f>
        <v>TL</v>
      </c>
      <c r="C1489" s="1" t="str">
        <f>HYPERLINK("http://digipan.lumentumllc.com/apps/getMap/index.php?p=6129124","Map")</f>
        <v>Map</v>
      </c>
      <c r="E1489" t="s">
        <v>177</v>
      </c>
      <c r="F1489" t="s">
        <v>178</v>
      </c>
      <c r="L1489" t="s">
        <v>19122</v>
      </c>
      <c r="N1489" t="s">
        <v>19122</v>
      </c>
      <c r="O1489" t="s">
        <v>19122</v>
      </c>
      <c r="P1489" t="s">
        <v>19123</v>
      </c>
      <c r="Q1489" t="s">
        <v>19122</v>
      </c>
      <c r="V1489">
        <v>1708</v>
      </c>
      <c r="W1489">
        <v>6</v>
      </c>
      <c r="X1489">
        <v>2017</v>
      </c>
      <c r="Y1489">
        <v>2018</v>
      </c>
      <c r="Z1489">
        <v>2078.59</v>
      </c>
      <c r="AB1489" t="s">
        <v>181</v>
      </c>
      <c r="AC1489" t="s">
        <v>182</v>
      </c>
      <c r="AD1489" t="s">
        <v>183</v>
      </c>
      <c r="AE1489">
        <v>1</v>
      </c>
      <c r="AF1489">
        <v>3</v>
      </c>
      <c r="AG1489" t="s">
        <v>257</v>
      </c>
      <c r="AH1489">
        <v>75</v>
      </c>
      <c r="AI1489">
        <v>1936.24</v>
      </c>
      <c r="AJ1489">
        <v>96.81</v>
      </c>
      <c r="AK1489">
        <v>2033.05</v>
      </c>
      <c r="AL1489">
        <v>125000</v>
      </c>
      <c r="AM1489">
        <v>0</v>
      </c>
      <c r="AN1489">
        <v>125000</v>
      </c>
      <c r="AO1489">
        <v>1765</v>
      </c>
      <c r="AP1489">
        <v>2016</v>
      </c>
      <c r="AQ1489">
        <v>1.66</v>
      </c>
      <c r="AR1489">
        <v>1.63</v>
      </c>
      <c r="AS1489" t="s">
        <v>19124</v>
      </c>
      <c r="AT1489" t="s">
        <v>15040</v>
      </c>
      <c r="AU1489" t="s">
        <v>177</v>
      </c>
      <c r="AV1489" t="s">
        <v>371</v>
      </c>
      <c r="AW1489" t="s">
        <v>182</v>
      </c>
      <c r="AX1489">
        <v>4</v>
      </c>
      <c r="AY1489" t="s">
        <v>188</v>
      </c>
      <c r="AZ1489" t="s">
        <v>296</v>
      </c>
      <c r="BA1489" t="s">
        <v>19069</v>
      </c>
      <c r="BB1489" t="s">
        <v>191</v>
      </c>
      <c r="BC1489" t="s">
        <v>182</v>
      </c>
      <c r="BD1489" t="s">
        <v>182</v>
      </c>
      <c r="BE1489" t="s">
        <v>1722</v>
      </c>
      <c r="BF1489">
        <v>1</v>
      </c>
      <c r="BG1489">
        <v>1</v>
      </c>
      <c r="BH1489">
        <v>2007</v>
      </c>
      <c r="BI1489" t="s">
        <v>6645</v>
      </c>
      <c r="BJ1489" t="s">
        <v>194</v>
      </c>
      <c r="BL1489" t="s">
        <v>19125</v>
      </c>
      <c r="BM1489" t="s">
        <v>346</v>
      </c>
      <c r="BN1489" t="s">
        <v>182</v>
      </c>
      <c r="BO1489" t="s">
        <v>198</v>
      </c>
      <c r="BP1489" t="s">
        <v>198</v>
      </c>
      <c r="BQ1489" t="s">
        <v>198</v>
      </c>
      <c r="BR1489" t="s">
        <v>198</v>
      </c>
      <c r="BS1489" t="s">
        <v>198</v>
      </c>
      <c r="BT1489" t="s">
        <v>198</v>
      </c>
      <c r="BU1489" t="s">
        <v>182</v>
      </c>
      <c r="BV1489" t="s">
        <v>198</v>
      </c>
      <c r="BW1489" t="s">
        <v>198</v>
      </c>
      <c r="BX1489" t="s">
        <v>199</v>
      </c>
      <c r="BY1489" t="s">
        <v>198</v>
      </c>
      <c r="BZ1489" t="s">
        <v>199</v>
      </c>
      <c r="CA1489" t="s">
        <v>199</v>
      </c>
      <c r="CB1489" t="s">
        <v>19071</v>
      </c>
      <c r="CC1489" t="s">
        <v>201</v>
      </c>
      <c r="CD1489" t="s">
        <v>182</v>
      </c>
      <c r="CE1489" t="s">
        <v>19072</v>
      </c>
      <c r="CF1489" t="s">
        <v>19073</v>
      </c>
      <c r="CG1489" t="s">
        <v>5598</v>
      </c>
      <c r="CH1489" t="s">
        <v>19074</v>
      </c>
      <c r="CI1489" t="s">
        <v>19126</v>
      </c>
      <c r="CJ1489" t="s">
        <v>2528</v>
      </c>
      <c r="CK1489" t="s">
        <v>232</v>
      </c>
      <c r="CL1489" t="s">
        <v>233</v>
      </c>
      <c r="CM1489" t="s">
        <v>19098</v>
      </c>
      <c r="CN1489" t="s">
        <v>235</v>
      </c>
      <c r="CO1489" t="s">
        <v>183</v>
      </c>
      <c r="CP1489" t="s">
        <v>266</v>
      </c>
      <c r="CS1489" t="s">
        <v>198</v>
      </c>
      <c r="CT1489" t="s">
        <v>18672</v>
      </c>
      <c r="CU1489" t="s">
        <v>292</v>
      </c>
      <c r="CV1489" t="s">
        <v>293</v>
      </c>
      <c r="CW1489" t="s">
        <v>19119</v>
      </c>
      <c r="CX1489" t="s">
        <v>235</v>
      </c>
      <c r="CY1489" t="s">
        <v>183</v>
      </c>
      <c r="CZ1489" t="s">
        <v>211</v>
      </c>
      <c r="DA1489" t="s">
        <v>298</v>
      </c>
      <c r="DC1489" t="s">
        <v>13406</v>
      </c>
      <c r="DD1489" t="s">
        <v>17102</v>
      </c>
      <c r="DE1489" t="s">
        <v>267</v>
      </c>
      <c r="DF1489" t="s">
        <v>268</v>
      </c>
      <c r="DG1489" t="s">
        <v>19099</v>
      </c>
      <c r="DH1489" t="s">
        <v>235</v>
      </c>
      <c r="DI1489" t="s">
        <v>183</v>
      </c>
      <c r="DJ1489" t="s">
        <v>211</v>
      </c>
      <c r="DK1489" t="s">
        <v>298</v>
      </c>
      <c r="DM1489" t="s">
        <v>8316</v>
      </c>
      <c r="DN1489" t="s">
        <v>19127</v>
      </c>
      <c r="DO1489" t="s">
        <v>273</v>
      </c>
      <c r="DP1489" t="s">
        <v>274</v>
      </c>
      <c r="DQ1489" t="s">
        <v>19121</v>
      </c>
      <c r="DR1489" t="s">
        <v>235</v>
      </c>
      <c r="DS1489" t="s">
        <v>183</v>
      </c>
      <c r="DT1489" t="s">
        <v>211</v>
      </c>
      <c r="DU1489" t="s">
        <v>199</v>
      </c>
      <c r="DW1489" t="s">
        <v>4960</v>
      </c>
      <c r="EG1489" t="s">
        <v>198</v>
      </c>
      <c r="EQ1489" t="s">
        <v>198</v>
      </c>
      <c r="FA1489" t="s">
        <v>198</v>
      </c>
      <c r="FK1489" t="s">
        <v>198</v>
      </c>
      <c r="FU1489" t="s">
        <v>198</v>
      </c>
    </row>
    <row r="1490" spans="1:177">
      <c r="A1490" s="1" t="str">
        <f>HYPERLINK("http://digipan.lumentumllc.com/apps/getLink/index.php?t=PropLink&amp;p=15750016","PL")</f>
        <v>PL</v>
      </c>
      <c r="B1490" s="1" t="str">
        <f>HYPERLINK("http://digipan.lumentumllc.com/apps/getLink/index.php?t=TaxLink&amp;p=15750016","TL")</f>
        <v>TL</v>
      </c>
      <c r="C1490" s="1" t="str">
        <f>HYPERLINK("http://digipan.lumentumllc.com/apps/getMap/index.php?p=15750016","Map")</f>
        <v>Map</v>
      </c>
      <c r="E1490" t="s">
        <v>177</v>
      </c>
      <c r="F1490" t="s">
        <v>178</v>
      </c>
      <c r="L1490" t="s">
        <v>19128</v>
      </c>
      <c r="N1490" t="s">
        <v>19128</v>
      </c>
      <c r="O1490" t="s">
        <v>19128</v>
      </c>
      <c r="Q1490" t="s">
        <v>19128</v>
      </c>
      <c r="V1490">
        <v>1709</v>
      </c>
      <c r="W1490">
        <v>6</v>
      </c>
      <c r="X1490">
        <v>2017</v>
      </c>
      <c r="Y1490">
        <v>2018</v>
      </c>
      <c r="Z1490">
        <v>4178.96</v>
      </c>
      <c r="AG1490" t="s">
        <v>184</v>
      </c>
      <c r="AH1490">
        <v>0</v>
      </c>
      <c r="AK1490">
        <v>0</v>
      </c>
      <c r="AL1490">
        <v>253286</v>
      </c>
      <c r="AM1490">
        <v>36750</v>
      </c>
      <c r="AN1490">
        <v>216536</v>
      </c>
      <c r="AO1490">
        <v>3906</v>
      </c>
      <c r="AP1490">
        <v>2016</v>
      </c>
      <c r="AQ1490">
        <v>1.65</v>
      </c>
      <c r="AS1490" t="s">
        <v>19129</v>
      </c>
      <c r="AT1490" t="s">
        <v>15040</v>
      </c>
      <c r="AU1490" t="s">
        <v>177</v>
      </c>
      <c r="AV1490" t="s">
        <v>371</v>
      </c>
      <c r="AW1490" t="s">
        <v>182</v>
      </c>
      <c r="AX1490">
        <v>1</v>
      </c>
      <c r="AY1490" t="s">
        <v>188</v>
      </c>
      <c r="AZ1490" t="s">
        <v>206</v>
      </c>
      <c r="BA1490" t="s">
        <v>355</v>
      </c>
      <c r="BB1490" t="s">
        <v>191</v>
      </c>
      <c r="BC1490" t="s">
        <v>182</v>
      </c>
      <c r="BD1490" t="s">
        <v>182</v>
      </c>
      <c r="BE1490" t="s">
        <v>8898</v>
      </c>
      <c r="BF1490">
        <v>1</v>
      </c>
      <c r="BG1490">
        <v>1</v>
      </c>
      <c r="BH1490">
        <v>2005</v>
      </c>
      <c r="BI1490" t="s">
        <v>19130</v>
      </c>
      <c r="BJ1490" t="s">
        <v>285</v>
      </c>
      <c r="BK1490" t="s">
        <v>195</v>
      </c>
      <c r="BL1490" t="s">
        <v>19131</v>
      </c>
      <c r="BM1490" t="s">
        <v>292</v>
      </c>
      <c r="BN1490" t="s">
        <v>182</v>
      </c>
      <c r="BO1490" t="s">
        <v>198</v>
      </c>
      <c r="BP1490" t="s">
        <v>198</v>
      </c>
      <c r="BQ1490" t="s">
        <v>198</v>
      </c>
      <c r="BR1490" t="s">
        <v>198</v>
      </c>
      <c r="BS1490" t="s">
        <v>198</v>
      </c>
      <c r="BT1490" t="s">
        <v>198</v>
      </c>
      <c r="BU1490" t="s">
        <v>182</v>
      </c>
      <c r="BV1490" t="s">
        <v>198</v>
      </c>
      <c r="BW1490" t="s">
        <v>198</v>
      </c>
      <c r="BX1490" t="s">
        <v>199</v>
      </c>
      <c r="BY1490" t="s">
        <v>198</v>
      </c>
      <c r="BZ1490" t="s">
        <v>199</v>
      </c>
      <c r="CA1490" t="s">
        <v>199</v>
      </c>
      <c r="CB1490" t="s">
        <v>19132</v>
      </c>
      <c r="CC1490" t="s">
        <v>201</v>
      </c>
      <c r="CD1490" t="s">
        <v>182</v>
      </c>
      <c r="CE1490" t="s">
        <v>19133</v>
      </c>
      <c r="CF1490" t="s">
        <v>5331</v>
      </c>
      <c r="CG1490" t="s">
        <v>177</v>
      </c>
      <c r="CH1490" t="s">
        <v>371</v>
      </c>
      <c r="CI1490" t="s">
        <v>19134</v>
      </c>
      <c r="CS1490" t="s">
        <v>198</v>
      </c>
      <c r="DC1490" t="s">
        <v>198</v>
      </c>
      <c r="DM1490" t="s">
        <v>198</v>
      </c>
      <c r="DW1490" t="s">
        <v>198</v>
      </c>
      <c r="EG1490" t="s">
        <v>198</v>
      </c>
      <c r="EQ1490" t="s">
        <v>198</v>
      </c>
      <c r="FA1490" t="s">
        <v>198</v>
      </c>
      <c r="FK1490" t="s">
        <v>198</v>
      </c>
      <c r="FU1490" t="s">
        <v>198</v>
      </c>
    </row>
    <row r="1491" spans="1:177">
      <c r="A1491" s="1" t="str">
        <f>HYPERLINK("http://digipan.lumentumllc.com/apps/getLink/index.php?t=PropLink&amp;p=15750319","PL")</f>
        <v>PL</v>
      </c>
      <c r="B1491" s="1" t="str">
        <f>HYPERLINK("http://digipan.lumentumllc.com/apps/getLink/index.php?t=TaxLink&amp;p=15750319","TL")</f>
        <v>TL</v>
      </c>
      <c r="C1491" s="1" t="str">
        <f>HYPERLINK("http://digipan.lumentumllc.com/apps/getMap/index.php?p=15750319","Map")</f>
        <v>Map</v>
      </c>
      <c r="E1491" t="s">
        <v>177</v>
      </c>
      <c r="F1491" t="s">
        <v>178</v>
      </c>
      <c r="L1491" t="s">
        <v>19135</v>
      </c>
      <c r="N1491" t="s">
        <v>19135</v>
      </c>
      <c r="O1491" t="s">
        <v>19135</v>
      </c>
      <c r="Q1491" t="s">
        <v>19135</v>
      </c>
      <c r="V1491">
        <v>1710</v>
      </c>
      <c r="W1491">
        <v>6</v>
      </c>
      <c r="X1491">
        <v>2017</v>
      </c>
      <c r="Y1491">
        <v>2018</v>
      </c>
      <c r="Z1491">
        <v>2720.65</v>
      </c>
      <c r="AG1491" t="s">
        <v>184</v>
      </c>
      <c r="AH1491">
        <v>0</v>
      </c>
      <c r="AK1491">
        <v>0</v>
      </c>
      <c r="AL1491">
        <v>50000</v>
      </c>
      <c r="AM1491">
        <v>50000</v>
      </c>
      <c r="AN1491">
        <v>0</v>
      </c>
      <c r="AO1491">
        <v>2491</v>
      </c>
      <c r="AP1491">
        <v>2016</v>
      </c>
      <c r="AQ1491">
        <v>5.44</v>
      </c>
      <c r="AS1491" t="s">
        <v>19136</v>
      </c>
      <c r="AT1491" t="s">
        <v>15040</v>
      </c>
      <c r="AU1491" t="s">
        <v>177</v>
      </c>
      <c r="AV1491" t="s">
        <v>371</v>
      </c>
      <c r="AW1491" t="s">
        <v>182</v>
      </c>
      <c r="AX1491">
        <v>0</v>
      </c>
      <c r="AY1491" t="s">
        <v>312</v>
      </c>
      <c r="AZ1491" t="s">
        <v>199</v>
      </c>
      <c r="BA1491" t="s">
        <v>313</v>
      </c>
      <c r="BB1491" t="s">
        <v>191</v>
      </c>
      <c r="BC1491" t="s">
        <v>182</v>
      </c>
      <c r="BD1491" t="s">
        <v>182</v>
      </c>
      <c r="BE1491" t="s">
        <v>3696</v>
      </c>
      <c r="BF1491">
        <v>0</v>
      </c>
      <c r="BG1491">
        <v>0</v>
      </c>
      <c r="BH1491">
        <v>0</v>
      </c>
      <c r="BI1491" t="s">
        <v>199</v>
      </c>
      <c r="BJ1491" t="s">
        <v>396</v>
      </c>
      <c r="BL1491" t="s">
        <v>19137</v>
      </c>
      <c r="BM1491" t="s">
        <v>197</v>
      </c>
      <c r="BN1491" t="s">
        <v>182</v>
      </c>
      <c r="BO1491" t="s">
        <v>198</v>
      </c>
      <c r="BP1491" t="s">
        <v>198</v>
      </c>
      <c r="BQ1491" t="s">
        <v>198</v>
      </c>
      <c r="BR1491" t="s">
        <v>198</v>
      </c>
      <c r="BS1491" t="s">
        <v>198</v>
      </c>
      <c r="BT1491" t="s">
        <v>198</v>
      </c>
      <c r="BU1491" t="s">
        <v>182</v>
      </c>
      <c r="BV1491" t="s">
        <v>198</v>
      </c>
      <c r="BW1491" t="s">
        <v>198</v>
      </c>
      <c r="BX1491" t="s">
        <v>199</v>
      </c>
      <c r="BY1491" t="s">
        <v>198</v>
      </c>
      <c r="BZ1491" t="s">
        <v>199</v>
      </c>
      <c r="CA1491" t="s">
        <v>199</v>
      </c>
      <c r="CB1491" t="s">
        <v>19138</v>
      </c>
      <c r="CC1491" t="s">
        <v>201</v>
      </c>
      <c r="CD1491" t="s">
        <v>202</v>
      </c>
      <c r="CE1491" t="s">
        <v>19139</v>
      </c>
      <c r="CF1491" t="s">
        <v>19140</v>
      </c>
      <c r="CG1491" t="s">
        <v>5520</v>
      </c>
      <c r="CH1491" t="s">
        <v>19141</v>
      </c>
      <c r="CI1491" t="s">
        <v>19142</v>
      </c>
      <c r="CS1491" t="s">
        <v>198</v>
      </c>
      <c r="DC1491" t="s">
        <v>198</v>
      </c>
      <c r="DM1491" t="s">
        <v>198</v>
      </c>
      <c r="DW1491" t="s">
        <v>198</v>
      </c>
      <c r="EG1491" t="s">
        <v>198</v>
      </c>
      <c r="EQ1491" t="s">
        <v>198</v>
      </c>
      <c r="FA1491" t="s">
        <v>198</v>
      </c>
      <c r="FK1491" t="s">
        <v>198</v>
      </c>
      <c r="FU1491" t="s">
        <v>198</v>
      </c>
    </row>
    <row r="1492" spans="1:177">
      <c r="A1492" s="1" t="str">
        <f>HYPERLINK("http://digipan.lumentumllc.com/apps/getLink/index.php?t=PropLink&amp;p=15750372","PL")</f>
        <v>PL</v>
      </c>
      <c r="B1492" s="1" t="str">
        <f>HYPERLINK("http://digipan.lumentumllc.com/apps/getLink/index.php?t=TaxLink&amp;p=15750372","TL")</f>
        <v>TL</v>
      </c>
      <c r="C1492" s="1" t="str">
        <f>HYPERLINK("http://digipan.lumentumllc.com/apps/getMap/index.php?p=15750372","Map")</f>
        <v>Map</v>
      </c>
      <c r="E1492" t="s">
        <v>177</v>
      </c>
      <c r="F1492" t="s">
        <v>178</v>
      </c>
      <c r="L1492" t="s">
        <v>19143</v>
      </c>
      <c r="N1492" t="s">
        <v>19143</v>
      </c>
      <c r="O1492" t="s">
        <v>19143</v>
      </c>
      <c r="Q1492" t="s">
        <v>19143</v>
      </c>
      <c r="V1492">
        <v>1711</v>
      </c>
      <c r="W1492">
        <v>6</v>
      </c>
      <c r="X1492">
        <v>2017</v>
      </c>
      <c r="Y1492">
        <v>2018</v>
      </c>
      <c r="Z1492">
        <v>2761.59</v>
      </c>
      <c r="AG1492" t="s">
        <v>184</v>
      </c>
      <c r="AH1492">
        <v>0</v>
      </c>
      <c r="AK1492">
        <v>0</v>
      </c>
      <c r="AL1492">
        <v>52500</v>
      </c>
      <c r="AM1492">
        <v>52500</v>
      </c>
      <c r="AN1492">
        <v>0</v>
      </c>
      <c r="AO1492">
        <v>2529</v>
      </c>
      <c r="AP1492">
        <v>2016</v>
      </c>
      <c r="AQ1492">
        <v>5.26</v>
      </c>
      <c r="AS1492" t="s">
        <v>19144</v>
      </c>
      <c r="AT1492" t="s">
        <v>15040</v>
      </c>
      <c r="AU1492" t="s">
        <v>177</v>
      </c>
      <c r="AV1492" t="s">
        <v>371</v>
      </c>
      <c r="AW1492" t="s">
        <v>182</v>
      </c>
      <c r="AX1492">
        <v>0</v>
      </c>
      <c r="AY1492" t="s">
        <v>312</v>
      </c>
      <c r="AZ1492" t="s">
        <v>199</v>
      </c>
      <c r="BA1492" t="s">
        <v>313</v>
      </c>
      <c r="BB1492" t="s">
        <v>191</v>
      </c>
      <c r="BC1492" t="s">
        <v>182</v>
      </c>
      <c r="BD1492" t="s">
        <v>182</v>
      </c>
      <c r="BE1492" t="s">
        <v>5608</v>
      </c>
      <c r="BF1492">
        <v>0</v>
      </c>
      <c r="BG1492">
        <v>0</v>
      </c>
      <c r="BH1492">
        <v>0</v>
      </c>
      <c r="BI1492" t="s">
        <v>199</v>
      </c>
      <c r="BJ1492" t="s">
        <v>396</v>
      </c>
      <c r="BL1492" t="s">
        <v>19137</v>
      </c>
      <c r="BM1492" t="s">
        <v>197</v>
      </c>
      <c r="BN1492" t="s">
        <v>182</v>
      </c>
      <c r="BO1492" t="s">
        <v>198</v>
      </c>
      <c r="BP1492" t="s">
        <v>198</v>
      </c>
      <c r="BQ1492" t="s">
        <v>198</v>
      </c>
      <c r="BR1492" t="s">
        <v>198</v>
      </c>
      <c r="BS1492" t="s">
        <v>198</v>
      </c>
      <c r="BT1492" t="s">
        <v>198</v>
      </c>
      <c r="BU1492" t="s">
        <v>182</v>
      </c>
      <c r="BV1492" t="s">
        <v>198</v>
      </c>
      <c r="BW1492" t="s">
        <v>198</v>
      </c>
      <c r="BX1492" t="s">
        <v>199</v>
      </c>
      <c r="BY1492" t="s">
        <v>198</v>
      </c>
      <c r="BZ1492" t="s">
        <v>199</v>
      </c>
      <c r="CA1492" t="s">
        <v>199</v>
      </c>
      <c r="CB1492" t="s">
        <v>19138</v>
      </c>
      <c r="CC1492" t="s">
        <v>201</v>
      </c>
      <c r="CD1492" t="s">
        <v>202</v>
      </c>
      <c r="CE1492" t="s">
        <v>19139</v>
      </c>
      <c r="CF1492" t="s">
        <v>19140</v>
      </c>
      <c r="CG1492" t="s">
        <v>5520</v>
      </c>
      <c r="CH1492" t="s">
        <v>19141</v>
      </c>
      <c r="CI1492" t="s">
        <v>19145</v>
      </c>
      <c r="CS1492" t="s">
        <v>198</v>
      </c>
      <c r="DC1492" t="s">
        <v>198</v>
      </c>
      <c r="DM1492" t="s">
        <v>198</v>
      </c>
      <c r="DW1492" t="s">
        <v>198</v>
      </c>
      <c r="EG1492" t="s">
        <v>198</v>
      </c>
      <c r="EQ1492" t="s">
        <v>198</v>
      </c>
      <c r="FA1492" t="s">
        <v>198</v>
      </c>
      <c r="FK1492" t="s">
        <v>198</v>
      </c>
      <c r="FU1492" t="s">
        <v>198</v>
      </c>
    </row>
    <row r="1493" spans="1:177">
      <c r="A1493" s="1" t="str">
        <f>HYPERLINK("http://digipan.lumentumllc.com/apps/getLink/index.php?t=PropLink&amp;p=4637837","PL")</f>
        <v>PL</v>
      </c>
      <c r="B1493" s="1" t="str">
        <f>HYPERLINK("http://digipan.lumentumllc.com/apps/getLink/index.php?t=TaxLink&amp;p=4637837","TL")</f>
        <v>TL</v>
      </c>
      <c r="C1493" s="1" t="str">
        <f>HYPERLINK("http://digipan.lumentumllc.com/apps/getMap/index.php?p=4637837","Map")</f>
        <v>Map</v>
      </c>
      <c r="E1493" t="s">
        <v>177</v>
      </c>
      <c r="F1493" t="s">
        <v>178</v>
      </c>
      <c r="L1493" t="s">
        <v>19146</v>
      </c>
      <c r="N1493" t="s">
        <v>19146</v>
      </c>
      <c r="O1493" t="s">
        <v>19146</v>
      </c>
      <c r="P1493" t="s">
        <v>19147</v>
      </c>
      <c r="Q1493" t="s">
        <v>19146</v>
      </c>
      <c r="V1493">
        <v>1712</v>
      </c>
      <c r="W1493">
        <v>6</v>
      </c>
      <c r="X1493">
        <v>2017</v>
      </c>
      <c r="Y1493">
        <v>2018</v>
      </c>
      <c r="Z1493">
        <v>4156.3500000000004</v>
      </c>
      <c r="AB1493" t="s">
        <v>181</v>
      </c>
      <c r="AC1493" t="s">
        <v>182</v>
      </c>
      <c r="AD1493" t="s">
        <v>183</v>
      </c>
      <c r="AE1493">
        <v>1</v>
      </c>
      <c r="AF1493">
        <v>3</v>
      </c>
      <c r="AG1493" t="s">
        <v>257</v>
      </c>
      <c r="AH1493">
        <v>75</v>
      </c>
      <c r="AI1493">
        <v>4119.07</v>
      </c>
      <c r="AJ1493">
        <v>205.95</v>
      </c>
      <c r="AK1493">
        <v>4325.0200000000004</v>
      </c>
      <c r="AL1493">
        <v>267748</v>
      </c>
      <c r="AM1493">
        <v>50000</v>
      </c>
      <c r="AN1493">
        <v>217748</v>
      </c>
      <c r="AO1493">
        <v>3784</v>
      </c>
      <c r="AP1493">
        <v>2016</v>
      </c>
      <c r="AQ1493">
        <v>1.55</v>
      </c>
      <c r="AR1493">
        <v>1.62</v>
      </c>
      <c r="AS1493" t="s">
        <v>19148</v>
      </c>
      <c r="AT1493" t="s">
        <v>15040</v>
      </c>
      <c r="AU1493" t="s">
        <v>177</v>
      </c>
      <c r="AV1493" t="s">
        <v>371</v>
      </c>
      <c r="AW1493" t="s">
        <v>202</v>
      </c>
      <c r="AX1493">
        <v>1</v>
      </c>
      <c r="AY1493" t="s">
        <v>188</v>
      </c>
      <c r="AZ1493" t="s">
        <v>206</v>
      </c>
      <c r="BA1493" t="s">
        <v>355</v>
      </c>
      <c r="BB1493" t="s">
        <v>191</v>
      </c>
      <c r="BC1493" t="s">
        <v>182</v>
      </c>
      <c r="BD1493" t="s">
        <v>182</v>
      </c>
      <c r="BE1493" t="s">
        <v>6523</v>
      </c>
      <c r="BF1493">
        <v>1</v>
      </c>
      <c r="BG1493">
        <v>1</v>
      </c>
      <c r="BH1493">
        <v>2005</v>
      </c>
      <c r="BI1493" t="s">
        <v>13067</v>
      </c>
      <c r="BJ1493" t="s">
        <v>194</v>
      </c>
      <c r="BK1493" t="s">
        <v>195</v>
      </c>
      <c r="BL1493" t="s">
        <v>19149</v>
      </c>
      <c r="BM1493" t="s">
        <v>273</v>
      </c>
      <c r="BN1493" t="s">
        <v>182</v>
      </c>
      <c r="BO1493" t="s">
        <v>19150</v>
      </c>
      <c r="BP1493" t="s">
        <v>19151</v>
      </c>
      <c r="BQ1493" t="s">
        <v>562</v>
      </c>
      <c r="BR1493" t="s">
        <v>1300</v>
      </c>
      <c r="BS1493" t="s">
        <v>198</v>
      </c>
      <c r="BT1493" t="s">
        <v>19152</v>
      </c>
      <c r="BU1493" t="s">
        <v>202</v>
      </c>
      <c r="BV1493" t="s">
        <v>19153</v>
      </c>
      <c r="BW1493" t="s">
        <v>19154</v>
      </c>
      <c r="BX1493" t="s">
        <v>19155</v>
      </c>
      <c r="BY1493" t="s">
        <v>14248</v>
      </c>
      <c r="BZ1493" t="s">
        <v>199</v>
      </c>
      <c r="CA1493" t="s">
        <v>199</v>
      </c>
      <c r="CB1493" t="s">
        <v>19156</v>
      </c>
      <c r="CC1493" t="s">
        <v>201</v>
      </c>
      <c r="CD1493" t="s">
        <v>182</v>
      </c>
      <c r="CE1493" t="s">
        <v>19157</v>
      </c>
      <c r="CF1493" t="s">
        <v>5331</v>
      </c>
      <c r="CG1493" t="s">
        <v>177</v>
      </c>
      <c r="CH1493" t="s">
        <v>371</v>
      </c>
      <c r="CI1493" t="s">
        <v>19158</v>
      </c>
      <c r="CJ1493" t="s">
        <v>18348</v>
      </c>
      <c r="CK1493" t="s">
        <v>232</v>
      </c>
      <c r="CL1493" t="s">
        <v>233</v>
      </c>
      <c r="CM1493" t="s">
        <v>19159</v>
      </c>
      <c r="CN1493" t="s">
        <v>235</v>
      </c>
      <c r="CO1493" t="s">
        <v>183</v>
      </c>
      <c r="CP1493" t="s">
        <v>266</v>
      </c>
      <c r="CS1493" t="s">
        <v>198</v>
      </c>
      <c r="CT1493" t="s">
        <v>19160</v>
      </c>
      <c r="CU1493" t="s">
        <v>292</v>
      </c>
      <c r="CV1493" t="s">
        <v>293</v>
      </c>
      <c r="CW1493" t="s">
        <v>19161</v>
      </c>
      <c r="CX1493" t="s">
        <v>235</v>
      </c>
      <c r="CY1493" t="s">
        <v>183</v>
      </c>
      <c r="CZ1493" t="s">
        <v>211</v>
      </c>
      <c r="DA1493" t="s">
        <v>345</v>
      </c>
      <c r="DC1493" t="s">
        <v>18062</v>
      </c>
      <c r="DD1493" t="s">
        <v>17154</v>
      </c>
      <c r="DE1493" t="s">
        <v>267</v>
      </c>
      <c r="DF1493" t="s">
        <v>268</v>
      </c>
      <c r="DG1493" t="s">
        <v>19162</v>
      </c>
      <c r="DH1493" t="s">
        <v>235</v>
      </c>
      <c r="DI1493" t="s">
        <v>183</v>
      </c>
      <c r="DJ1493" t="s">
        <v>211</v>
      </c>
      <c r="DK1493" t="s">
        <v>345</v>
      </c>
      <c r="DM1493" t="s">
        <v>8487</v>
      </c>
      <c r="DN1493" t="s">
        <v>18935</v>
      </c>
      <c r="DO1493" t="s">
        <v>273</v>
      </c>
      <c r="DP1493" t="s">
        <v>274</v>
      </c>
      <c r="DQ1493" t="s">
        <v>19163</v>
      </c>
      <c r="DR1493" t="s">
        <v>235</v>
      </c>
      <c r="DS1493" t="s">
        <v>183</v>
      </c>
      <c r="DT1493" t="s">
        <v>211</v>
      </c>
      <c r="DU1493" t="s">
        <v>345</v>
      </c>
      <c r="DW1493" t="s">
        <v>3539</v>
      </c>
      <c r="EG1493" t="s">
        <v>198</v>
      </c>
      <c r="EQ1493" t="s">
        <v>198</v>
      </c>
      <c r="FA1493" t="s">
        <v>198</v>
      </c>
      <c r="FK1493" t="s">
        <v>198</v>
      </c>
      <c r="FU1493" t="s">
        <v>198</v>
      </c>
    </row>
    <row r="1494" spans="1:177">
      <c r="A1494" s="1" t="str">
        <f>HYPERLINK("http://digipan.lumentumllc.com/apps/getLink/index.php?t=PropLink&amp;p=15750444","PL")</f>
        <v>PL</v>
      </c>
      <c r="B1494" s="1" t="str">
        <f>HYPERLINK("http://digipan.lumentumllc.com/apps/getLink/index.php?t=TaxLink&amp;p=15750444","TL")</f>
        <v>TL</v>
      </c>
      <c r="C1494" s="1" t="str">
        <f>HYPERLINK("http://digipan.lumentumllc.com/apps/getMap/index.php?p=15750444","Map")</f>
        <v>Map</v>
      </c>
      <c r="E1494" t="s">
        <v>177</v>
      </c>
      <c r="F1494" t="s">
        <v>178</v>
      </c>
      <c r="L1494" t="s">
        <v>19164</v>
      </c>
      <c r="N1494" t="s">
        <v>19164</v>
      </c>
      <c r="O1494" t="s">
        <v>19164</v>
      </c>
      <c r="Q1494" t="s">
        <v>19164</v>
      </c>
      <c r="V1494">
        <v>1713</v>
      </c>
      <c r="W1494">
        <v>6</v>
      </c>
      <c r="X1494">
        <v>2017</v>
      </c>
      <c r="Y1494">
        <v>2018</v>
      </c>
      <c r="Z1494">
        <v>6814.52</v>
      </c>
      <c r="AG1494" t="s">
        <v>184</v>
      </c>
      <c r="AH1494">
        <v>0</v>
      </c>
      <c r="AK1494">
        <v>0</v>
      </c>
      <c r="AL1494">
        <v>300044</v>
      </c>
      <c r="AM1494">
        <v>52500</v>
      </c>
      <c r="AN1494">
        <v>247544</v>
      </c>
      <c r="AO1494">
        <v>6217</v>
      </c>
      <c r="AP1494">
        <v>2016</v>
      </c>
      <c r="AQ1494">
        <v>2.27</v>
      </c>
      <c r="AS1494" t="s">
        <v>19165</v>
      </c>
      <c r="AT1494" t="s">
        <v>15040</v>
      </c>
      <c r="AU1494" t="s">
        <v>177</v>
      </c>
      <c r="AV1494" t="s">
        <v>371</v>
      </c>
      <c r="AW1494" t="s">
        <v>182</v>
      </c>
      <c r="AX1494">
        <v>1</v>
      </c>
      <c r="AY1494" t="s">
        <v>188</v>
      </c>
      <c r="AZ1494" t="s">
        <v>206</v>
      </c>
      <c r="BA1494" t="s">
        <v>355</v>
      </c>
      <c r="BB1494" t="s">
        <v>191</v>
      </c>
      <c r="BC1494" t="s">
        <v>182</v>
      </c>
      <c r="BD1494" t="s">
        <v>182</v>
      </c>
      <c r="BE1494" t="s">
        <v>6523</v>
      </c>
      <c r="BF1494">
        <v>1</v>
      </c>
      <c r="BG1494">
        <v>1</v>
      </c>
      <c r="BH1494">
        <v>2008</v>
      </c>
      <c r="BI1494" t="s">
        <v>19166</v>
      </c>
      <c r="BJ1494" t="s">
        <v>396</v>
      </c>
      <c r="BK1494" t="s">
        <v>195</v>
      </c>
      <c r="BL1494" t="s">
        <v>19167</v>
      </c>
      <c r="BM1494" t="s">
        <v>207</v>
      </c>
      <c r="BN1494" t="s">
        <v>182</v>
      </c>
      <c r="BO1494" t="s">
        <v>198</v>
      </c>
      <c r="BP1494" t="s">
        <v>198</v>
      </c>
      <c r="BQ1494" t="s">
        <v>198</v>
      </c>
      <c r="BR1494" t="s">
        <v>198</v>
      </c>
      <c r="BS1494" t="s">
        <v>198</v>
      </c>
      <c r="BT1494" t="s">
        <v>198</v>
      </c>
      <c r="BU1494" t="s">
        <v>182</v>
      </c>
      <c r="BV1494" t="s">
        <v>198</v>
      </c>
      <c r="BW1494" t="s">
        <v>198</v>
      </c>
      <c r="BX1494" t="s">
        <v>199</v>
      </c>
      <c r="BY1494" t="s">
        <v>198</v>
      </c>
      <c r="BZ1494" t="s">
        <v>199</v>
      </c>
      <c r="CA1494" t="s">
        <v>199</v>
      </c>
      <c r="CB1494" t="s">
        <v>19168</v>
      </c>
      <c r="CC1494" t="s">
        <v>201</v>
      </c>
      <c r="CD1494" t="s">
        <v>182</v>
      </c>
      <c r="CE1494" t="s">
        <v>19169</v>
      </c>
      <c r="CF1494" t="s">
        <v>5331</v>
      </c>
      <c r="CG1494" t="s">
        <v>177</v>
      </c>
      <c r="CH1494" t="s">
        <v>371</v>
      </c>
      <c r="CI1494" t="s">
        <v>19170</v>
      </c>
      <c r="CS1494" t="s">
        <v>198</v>
      </c>
      <c r="DC1494" t="s">
        <v>198</v>
      </c>
      <c r="DM1494" t="s">
        <v>198</v>
      </c>
      <c r="DW1494" t="s">
        <v>198</v>
      </c>
      <c r="EG1494" t="s">
        <v>198</v>
      </c>
      <c r="EQ1494" t="s">
        <v>198</v>
      </c>
      <c r="FA1494" t="s">
        <v>198</v>
      </c>
      <c r="FK1494" t="s">
        <v>198</v>
      </c>
      <c r="FU1494" t="s">
        <v>198</v>
      </c>
    </row>
    <row r="1495" spans="1:177">
      <c r="A1495" s="1" t="str">
        <f>HYPERLINK("http://digipan.lumentumllc.com/apps/getLink/index.php?t=PropLink&amp;p=15750476","PL")</f>
        <v>PL</v>
      </c>
      <c r="B1495" s="1" t="str">
        <f>HYPERLINK("http://digipan.lumentumllc.com/apps/getLink/index.php?t=TaxLink&amp;p=15750476","TL")</f>
        <v>TL</v>
      </c>
      <c r="C1495" s="1" t="str">
        <f>HYPERLINK("http://digipan.lumentumllc.com/apps/getMap/index.php?p=15750476","Map")</f>
        <v>Map</v>
      </c>
      <c r="E1495" t="s">
        <v>177</v>
      </c>
      <c r="F1495" t="s">
        <v>178</v>
      </c>
      <c r="L1495" t="s">
        <v>19171</v>
      </c>
      <c r="N1495" t="s">
        <v>19171</v>
      </c>
      <c r="O1495" t="s">
        <v>19171</v>
      </c>
      <c r="Q1495" t="s">
        <v>19171</v>
      </c>
      <c r="V1495">
        <v>1714</v>
      </c>
      <c r="W1495">
        <v>6</v>
      </c>
      <c r="X1495">
        <v>2017</v>
      </c>
      <c r="Y1495">
        <v>2018</v>
      </c>
      <c r="Z1495">
        <v>2570.0500000000002</v>
      </c>
      <c r="AG1495" t="s">
        <v>184</v>
      </c>
      <c r="AH1495">
        <v>0</v>
      </c>
      <c r="AK1495">
        <v>0</v>
      </c>
      <c r="AL1495">
        <v>52500</v>
      </c>
      <c r="AM1495">
        <v>52500</v>
      </c>
      <c r="AN1495">
        <v>0</v>
      </c>
      <c r="AO1495">
        <v>2327</v>
      </c>
      <c r="AP1495">
        <v>2016</v>
      </c>
      <c r="AQ1495">
        <v>4.9000000000000004</v>
      </c>
      <c r="AS1495" t="s">
        <v>19172</v>
      </c>
      <c r="AT1495" t="s">
        <v>15040</v>
      </c>
      <c r="AU1495" t="s">
        <v>177</v>
      </c>
      <c r="AV1495" t="s">
        <v>371</v>
      </c>
      <c r="AW1495" t="s">
        <v>182</v>
      </c>
      <c r="AX1495">
        <v>0</v>
      </c>
      <c r="AY1495" t="s">
        <v>312</v>
      </c>
      <c r="AZ1495" t="s">
        <v>199</v>
      </c>
      <c r="BA1495" t="s">
        <v>313</v>
      </c>
      <c r="BB1495" t="s">
        <v>191</v>
      </c>
      <c r="BC1495" t="s">
        <v>182</v>
      </c>
      <c r="BD1495" t="s">
        <v>182</v>
      </c>
      <c r="BE1495" t="s">
        <v>3682</v>
      </c>
      <c r="BF1495">
        <v>0</v>
      </c>
      <c r="BG1495">
        <v>0</v>
      </c>
      <c r="BH1495">
        <v>0</v>
      </c>
      <c r="BI1495" t="s">
        <v>199</v>
      </c>
      <c r="BJ1495" t="s">
        <v>396</v>
      </c>
      <c r="BL1495" t="s">
        <v>19173</v>
      </c>
      <c r="BM1495" t="s">
        <v>559</v>
      </c>
      <c r="BN1495" t="s">
        <v>182</v>
      </c>
      <c r="BO1495" t="s">
        <v>198</v>
      </c>
      <c r="BP1495" t="s">
        <v>198</v>
      </c>
      <c r="BQ1495" t="s">
        <v>198</v>
      </c>
      <c r="BR1495" t="s">
        <v>198</v>
      </c>
      <c r="BS1495" t="s">
        <v>198</v>
      </c>
      <c r="BT1495" t="s">
        <v>198</v>
      </c>
      <c r="BU1495" t="s">
        <v>182</v>
      </c>
      <c r="BV1495" t="s">
        <v>198</v>
      </c>
      <c r="BW1495" t="s">
        <v>198</v>
      </c>
      <c r="BX1495" t="s">
        <v>199</v>
      </c>
      <c r="BY1495" t="s">
        <v>198</v>
      </c>
      <c r="BZ1495" t="s">
        <v>199</v>
      </c>
      <c r="CA1495" t="s">
        <v>199</v>
      </c>
      <c r="CB1495" t="s">
        <v>19138</v>
      </c>
      <c r="CC1495" t="s">
        <v>201</v>
      </c>
      <c r="CD1495" t="s">
        <v>182</v>
      </c>
      <c r="CE1495" t="s">
        <v>19139</v>
      </c>
      <c r="CF1495" t="s">
        <v>19140</v>
      </c>
      <c r="CG1495" t="s">
        <v>5520</v>
      </c>
      <c r="CH1495" t="s">
        <v>19141</v>
      </c>
      <c r="CI1495" t="s">
        <v>19174</v>
      </c>
      <c r="CS1495" t="s">
        <v>198</v>
      </c>
      <c r="DC1495" t="s">
        <v>198</v>
      </c>
      <c r="DM1495" t="s">
        <v>198</v>
      </c>
      <c r="DW1495" t="s">
        <v>198</v>
      </c>
      <c r="EG1495" t="s">
        <v>198</v>
      </c>
      <c r="EQ1495" t="s">
        <v>198</v>
      </c>
      <c r="FA1495" t="s">
        <v>198</v>
      </c>
      <c r="FK1495" t="s">
        <v>198</v>
      </c>
      <c r="FU1495" t="s">
        <v>198</v>
      </c>
    </row>
    <row r="1496" spans="1:177">
      <c r="A1496" s="1" t="str">
        <f>HYPERLINK("http://digipan.lumentumllc.com/apps/getLink/index.php?t=PropLink&amp;p=7112459","PL")</f>
        <v>PL</v>
      </c>
      <c r="B1496" s="1" t="str">
        <f>HYPERLINK("http://digipan.lumentumllc.com/apps/getLink/index.php?t=TaxLink&amp;p=7112459","TL")</f>
        <v>TL</v>
      </c>
      <c r="C1496" s="1" t="str">
        <f>HYPERLINK("http://digipan.lumentumllc.com/apps/getMap/index.php?p=7112459","Map")</f>
        <v>Map</v>
      </c>
      <c r="E1496" t="s">
        <v>177</v>
      </c>
      <c r="F1496" t="s">
        <v>178</v>
      </c>
      <c r="L1496" t="s">
        <v>19175</v>
      </c>
      <c r="N1496" t="s">
        <v>19175</v>
      </c>
      <c r="O1496" t="s">
        <v>19175</v>
      </c>
      <c r="P1496" t="s">
        <v>19176</v>
      </c>
      <c r="Q1496" t="s">
        <v>19175</v>
      </c>
      <c r="V1496">
        <v>1715</v>
      </c>
      <c r="W1496">
        <v>6</v>
      </c>
      <c r="X1496">
        <v>2017</v>
      </c>
      <c r="Y1496">
        <v>2018</v>
      </c>
      <c r="Z1496">
        <v>2475.0700000000002</v>
      </c>
      <c r="AB1496" t="s">
        <v>181</v>
      </c>
      <c r="AC1496" t="s">
        <v>182</v>
      </c>
      <c r="AD1496" t="s">
        <v>183</v>
      </c>
      <c r="AE1496">
        <v>1</v>
      </c>
      <c r="AF1496">
        <v>1</v>
      </c>
      <c r="AG1496" t="s">
        <v>2222</v>
      </c>
      <c r="AH1496">
        <v>50</v>
      </c>
      <c r="AI1496">
        <v>2471.8200000000002</v>
      </c>
      <c r="AJ1496">
        <v>123.59</v>
      </c>
      <c r="AK1496">
        <v>2595.41</v>
      </c>
      <c r="AL1496">
        <v>35000</v>
      </c>
      <c r="AM1496">
        <v>35000</v>
      </c>
      <c r="AN1496">
        <v>0</v>
      </c>
      <c r="AO1496">
        <v>2261</v>
      </c>
      <c r="AP1496">
        <v>2016</v>
      </c>
      <c r="AQ1496">
        <v>7.07</v>
      </c>
      <c r="AR1496">
        <v>7.42</v>
      </c>
      <c r="AS1496" t="s">
        <v>19177</v>
      </c>
      <c r="AT1496" t="s">
        <v>15040</v>
      </c>
      <c r="AU1496" t="s">
        <v>177</v>
      </c>
      <c r="AV1496" t="s">
        <v>371</v>
      </c>
      <c r="AW1496" t="s">
        <v>182</v>
      </c>
      <c r="AX1496">
        <v>0</v>
      </c>
      <c r="AY1496" t="s">
        <v>312</v>
      </c>
      <c r="AZ1496" t="s">
        <v>199</v>
      </c>
      <c r="BA1496" t="s">
        <v>313</v>
      </c>
      <c r="BB1496" t="s">
        <v>191</v>
      </c>
      <c r="BC1496" t="s">
        <v>182</v>
      </c>
      <c r="BD1496" t="s">
        <v>182</v>
      </c>
      <c r="BE1496" t="s">
        <v>6673</v>
      </c>
      <c r="BF1496">
        <v>0</v>
      </c>
      <c r="BG1496">
        <v>0</v>
      </c>
      <c r="BH1496">
        <v>0</v>
      </c>
      <c r="BI1496" t="s">
        <v>199</v>
      </c>
      <c r="BJ1496" t="s">
        <v>396</v>
      </c>
      <c r="BL1496" t="s">
        <v>19178</v>
      </c>
      <c r="BM1496" t="s">
        <v>292</v>
      </c>
      <c r="BN1496" t="s">
        <v>182</v>
      </c>
      <c r="BO1496" t="s">
        <v>198</v>
      </c>
      <c r="BP1496" t="s">
        <v>198</v>
      </c>
      <c r="BQ1496" t="s">
        <v>198</v>
      </c>
      <c r="BR1496" t="s">
        <v>198</v>
      </c>
      <c r="BS1496" t="s">
        <v>198</v>
      </c>
      <c r="BT1496" t="s">
        <v>198</v>
      </c>
      <c r="BU1496" t="s">
        <v>182</v>
      </c>
      <c r="BV1496" t="s">
        <v>198</v>
      </c>
      <c r="BW1496" t="s">
        <v>198</v>
      </c>
      <c r="BX1496" t="s">
        <v>199</v>
      </c>
      <c r="BY1496" t="s">
        <v>198</v>
      </c>
      <c r="BZ1496" t="s">
        <v>199</v>
      </c>
      <c r="CA1496" t="s">
        <v>199</v>
      </c>
      <c r="CB1496" t="s">
        <v>19179</v>
      </c>
      <c r="CC1496" t="s">
        <v>201</v>
      </c>
      <c r="CD1496" t="s">
        <v>182</v>
      </c>
      <c r="CE1496" t="s">
        <v>19180</v>
      </c>
      <c r="CF1496" t="s">
        <v>19181</v>
      </c>
      <c r="CG1496" t="s">
        <v>177</v>
      </c>
      <c r="CH1496" t="s">
        <v>19182</v>
      </c>
      <c r="CI1496" t="s">
        <v>610</v>
      </c>
      <c r="CJ1496" t="s">
        <v>16229</v>
      </c>
      <c r="CK1496" t="s">
        <v>232</v>
      </c>
      <c r="CL1496" t="s">
        <v>233</v>
      </c>
      <c r="CM1496" t="s">
        <v>19183</v>
      </c>
      <c r="CN1496" t="s">
        <v>235</v>
      </c>
      <c r="CO1496" t="s">
        <v>183</v>
      </c>
      <c r="CP1496" t="s">
        <v>266</v>
      </c>
      <c r="CS1496" t="s">
        <v>198</v>
      </c>
      <c r="CT1496" t="s">
        <v>19184</v>
      </c>
      <c r="CU1496" t="s">
        <v>292</v>
      </c>
      <c r="CV1496" t="s">
        <v>293</v>
      </c>
      <c r="CW1496" t="s">
        <v>19185</v>
      </c>
      <c r="CX1496" t="s">
        <v>235</v>
      </c>
      <c r="CY1496" t="s">
        <v>183</v>
      </c>
      <c r="CZ1496" t="s">
        <v>211</v>
      </c>
      <c r="DA1496" t="s">
        <v>298</v>
      </c>
      <c r="DC1496" t="s">
        <v>1641</v>
      </c>
      <c r="DM1496" t="s">
        <v>198</v>
      </c>
      <c r="DW1496" t="s">
        <v>198</v>
      </c>
      <c r="EG1496" t="s">
        <v>198</v>
      </c>
      <c r="EQ1496" t="s">
        <v>198</v>
      </c>
      <c r="FA1496" t="s">
        <v>198</v>
      </c>
      <c r="FK1496" t="s">
        <v>198</v>
      </c>
      <c r="FU1496" t="s">
        <v>198</v>
      </c>
    </row>
    <row r="1497" spans="1:177">
      <c r="A1497" s="1" t="str">
        <f>HYPERLINK("http://digipan.lumentumllc.com/apps/getLink/index.php?t=PropLink&amp;p=7112460","PL")</f>
        <v>PL</v>
      </c>
      <c r="B1497" s="1" t="str">
        <f>HYPERLINK("http://digipan.lumentumllc.com/apps/getLink/index.php?t=TaxLink&amp;p=7112460","TL")</f>
        <v>TL</v>
      </c>
      <c r="C1497" s="1" t="str">
        <f>HYPERLINK("http://digipan.lumentumllc.com/apps/getMap/index.php?p=7112460","Map")</f>
        <v>Map</v>
      </c>
      <c r="E1497" t="s">
        <v>177</v>
      </c>
      <c r="F1497" t="s">
        <v>178</v>
      </c>
      <c r="L1497" t="s">
        <v>19186</v>
      </c>
      <c r="N1497" t="s">
        <v>19186</v>
      </c>
      <c r="O1497" t="s">
        <v>19186</v>
      </c>
      <c r="P1497" t="s">
        <v>19187</v>
      </c>
      <c r="Q1497" t="s">
        <v>19186</v>
      </c>
      <c r="V1497">
        <v>1716</v>
      </c>
      <c r="W1497">
        <v>6</v>
      </c>
      <c r="X1497">
        <v>2017</v>
      </c>
      <c r="Y1497">
        <v>2018</v>
      </c>
      <c r="Z1497">
        <v>2475.0700000000002</v>
      </c>
      <c r="AB1497" t="s">
        <v>181</v>
      </c>
      <c r="AC1497" t="s">
        <v>182</v>
      </c>
      <c r="AD1497" t="s">
        <v>183</v>
      </c>
      <c r="AE1497">
        <v>1</v>
      </c>
      <c r="AF1497">
        <v>1</v>
      </c>
      <c r="AG1497" t="s">
        <v>2222</v>
      </c>
      <c r="AH1497">
        <v>50</v>
      </c>
      <c r="AI1497">
        <v>2471.8200000000002</v>
      </c>
      <c r="AJ1497">
        <v>123.59</v>
      </c>
      <c r="AK1497">
        <v>2595.41</v>
      </c>
      <c r="AL1497">
        <v>35000</v>
      </c>
      <c r="AM1497">
        <v>35000</v>
      </c>
      <c r="AN1497">
        <v>0</v>
      </c>
      <c r="AO1497">
        <v>2261</v>
      </c>
      <c r="AP1497">
        <v>2016</v>
      </c>
      <c r="AQ1497">
        <v>7.07</v>
      </c>
      <c r="AR1497">
        <v>7.42</v>
      </c>
      <c r="AS1497" t="s">
        <v>19188</v>
      </c>
      <c r="AT1497" t="s">
        <v>15040</v>
      </c>
      <c r="AU1497" t="s">
        <v>177</v>
      </c>
      <c r="AV1497" t="s">
        <v>371</v>
      </c>
      <c r="AW1497" t="s">
        <v>182</v>
      </c>
      <c r="AX1497">
        <v>0</v>
      </c>
      <c r="AY1497" t="s">
        <v>312</v>
      </c>
      <c r="AZ1497" t="s">
        <v>199</v>
      </c>
      <c r="BA1497" t="s">
        <v>313</v>
      </c>
      <c r="BB1497" t="s">
        <v>191</v>
      </c>
      <c r="BC1497" t="s">
        <v>182</v>
      </c>
      <c r="BD1497" t="s">
        <v>182</v>
      </c>
      <c r="BE1497" t="s">
        <v>478</v>
      </c>
      <c r="BF1497">
        <v>0</v>
      </c>
      <c r="BG1497">
        <v>0</v>
      </c>
      <c r="BH1497">
        <v>0</v>
      </c>
      <c r="BI1497" t="s">
        <v>199</v>
      </c>
      <c r="BJ1497" t="s">
        <v>396</v>
      </c>
      <c r="BL1497" t="s">
        <v>19178</v>
      </c>
      <c r="BM1497" t="s">
        <v>292</v>
      </c>
      <c r="BN1497" t="s">
        <v>182</v>
      </c>
      <c r="BO1497" t="s">
        <v>198</v>
      </c>
      <c r="BP1497" t="s">
        <v>198</v>
      </c>
      <c r="BQ1497" t="s">
        <v>198</v>
      </c>
      <c r="BR1497" t="s">
        <v>198</v>
      </c>
      <c r="BS1497" t="s">
        <v>198</v>
      </c>
      <c r="BT1497" t="s">
        <v>198</v>
      </c>
      <c r="BU1497" t="s">
        <v>182</v>
      </c>
      <c r="BV1497" t="s">
        <v>198</v>
      </c>
      <c r="BW1497" t="s">
        <v>198</v>
      </c>
      <c r="BX1497" t="s">
        <v>199</v>
      </c>
      <c r="BY1497" t="s">
        <v>198</v>
      </c>
      <c r="BZ1497" t="s">
        <v>199</v>
      </c>
      <c r="CA1497" t="s">
        <v>199</v>
      </c>
      <c r="CB1497" t="s">
        <v>19179</v>
      </c>
      <c r="CC1497" t="s">
        <v>201</v>
      </c>
      <c r="CD1497" t="s">
        <v>182</v>
      </c>
      <c r="CE1497" t="s">
        <v>19180</v>
      </c>
      <c r="CF1497" t="s">
        <v>19181</v>
      </c>
      <c r="CG1497" t="s">
        <v>177</v>
      </c>
      <c r="CH1497" t="s">
        <v>19182</v>
      </c>
      <c r="CI1497" t="s">
        <v>629</v>
      </c>
      <c r="CJ1497" t="s">
        <v>16242</v>
      </c>
      <c r="CK1497" t="s">
        <v>232</v>
      </c>
      <c r="CL1497" t="s">
        <v>233</v>
      </c>
      <c r="CM1497" t="s">
        <v>19183</v>
      </c>
      <c r="CN1497" t="s">
        <v>235</v>
      </c>
      <c r="CO1497" t="s">
        <v>183</v>
      </c>
      <c r="CP1497" t="s">
        <v>266</v>
      </c>
      <c r="CS1497" t="s">
        <v>198</v>
      </c>
      <c r="CT1497" t="s">
        <v>4008</v>
      </c>
      <c r="CU1497" t="s">
        <v>292</v>
      </c>
      <c r="CV1497" t="s">
        <v>293</v>
      </c>
      <c r="CW1497" t="s">
        <v>19185</v>
      </c>
      <c r="CX1497" t="s">
        <v>235</v>
      </c>
      <c r="CY1497" t="s">
        <v>183</v>
      </c>
      <c r="CZ1497" t="s">
        <v>211</v>
      </c>
      <c r="DA1497" t="s">
        <v>298</v>
      </c>
      <c r="DC1497" t="s">
        <v>1641</v>
      </c>
      <c r="DM1497" t="s">
        <v>198</v>
      </c>
      <c r="DW1497" t="s">
        <v>198</v>
      </c>
      <c r="EG1497" t="s">
        <v>198</v>
      </c>
      <c r="EQ1497" t="s">
        <v>198</v>
      </c>
      <c r="FA1497" t="s">
        <v>198</v>
      </c>
      <c r="FK1497" t="s">
        <v>198</v>
      </c>
      <c r="FU1497" t="s">
        <v>198</v>
      </c>
    </row>
    <row r="1498" spans="1:177">
      <c r="A1498" s="1" t="str">
        <f>HYPERLINK("http://digipan.lumentumllc.com/apps/getLink/index.php?t=PropLink&amp;p=7112461","PL")</f>
        <v>PL</v>
      </c>
      <c r="B1498" s="1" t="str">
        <f>HYPERLINK("http://digipan.lumentumllc.com/apps/getLink/index.php?t=TaxLink&amp;p=7112461","TL")</f>
        <v>TL</v>
      </c>
      <c r="C1498" s="1" t="str">
        <f>HYPERLINK("http://digipan.lumentumllc.com/apps/getMap/index.php?p=7112461","Map")</f>
        <v>Map</v>
      </c>
      <c r="E1498" t="s">
        <v>177</v>
      </c>
      <c r="F1498" t="s">
        <v>178</v>
      </c>
      <c r="L1498" t="s">
        <v>19189</v>
      </c>
      <c r="N1498" t="s">
        <v>19189</v>
      </c>
      <c r="O1498" t="s">
        <v>19189</v>
      </c>
      <c r="P1498" t="s">
        <v>19190</v>
      </c>
      <c r="Q1498" t="s">
        <v>19189</v>
      </c>
      <c r="V1498">
        <v>1717</v>
      </c>
      <c r="W1498">
        <v>6</v>
      </c>
      <c r="X1498">
        <v>2017</v>
      </c>
      <c r="Y1498">
        <v>2018</v>
      </c>
      <c r="Z1498">
        <v>2475.0700000000002</v>
      </c>
      <c r="AB1498" t="s">
        <v>181</v>
      </c>
      <c r="AC1498" t="s">
        <v>182</v>
      </c>
      <c r="AD1498" t="s">
        <v>183</v>
      </c>
      <c r="AE1498">
        <v>1</v>
      </c>
      <c r="AF1498">
        <v>1</v>
      </c>
      <c r="AG1498" t="s">
        <v>2222</v>
      </c>
      <c r="AH1498">
        <v>50</v>
      </c>
      <c r="AI1498">
        <v>2471.8200000000002</v>
      </c>
      <c r="AJ1498">
        <v>123.59</v>
      </c>
      <c r="AK1498">
        <v>2595.41</v>
      </c>
      <c r="AL1498">
        <v>35000</v>
      </c>
      <c r="AM1498">
        <v>35000</v>
      </c>
      <c r="AN1498">
        <v>0</v>
      </c>
      <c r="AO1498">
        <v>2261</v>
      </c>
      <c r="AP1498">
        <v>2016</v>
      </c>
      <c r="AQ1498">
        <v>7.07</v>
      </c>
      <c r="AR1498">
        <v>7.42</v>
      </c>
      <c r="AS1498" t="s">
        <v>19191</v>
      </c>
      <c r="AT1498" t="s">
        <v>15040</v>
      </c>
      <c r="AU1498" t="s">
        <v>177</v>
      </c>
      <c r="AV1498" t="s">
        <v>371</v>
      </c>
      <c r="AW1498" t="s">
        <v>182</v>
      </c>
      <c r="AX1498">
        <v>0</v>
      </c>
      <c r="AY1498" t="s">
        <v>312</v>
      </c>
      <c r="AZ1498" t="s">
        <v>199</v>
      </c>
      <c r="BA1498" t="s">
        <v>313</v>
      </c>
      <c r="BB1498" t="s">
        <v>191</v>
      </c>
      <c r="BC1498" t="s">
        <v>182</v>
      </c>
      <c r="BD1498" t="s">
        <v>182</v>
      </c>
      <c r="BE1498" t="s">
        <v>6986</v>
      </c>
      <c r="BF1498">
        <v>0</v>
      </c>
      <c r="BG1498">
        <v>0</v>
      </c>
      <c r="BH1498">
        <v>0</v>
      </c>
      <c r="BI1498" t="s">
        <v>199</v>
      </c>
      <c r="BJ1498" t="s">
        <v>396</v>
      </c>
      <c r="BL1498" t="s">
        <v>19178</v>
      </c>
      <c r="BM1498" t="s">
        <v>292</v>
      </c>
      <c r="BN1498" t="s">
        <v>182</v>
      </c>
      <c r="BO1498" t="s">
        <v>198</v>
      </c>
      <c r="BP1498" t="s">
        <v>198</v>
      </c>
      <c r="BQ1498" t="s">
        <v>198</v>
      </c>
      <c r="BR1498" t="s">
        <v>198</v>
      </c>
      <c r="BS1498" t="s">
        <v>198</v>
      </c>
      <c r="BT1498" t="s">
        <v>198</v>
      </c>
      <c r="BU1498" t="s">
        <v>182</v>
      </c>
      <c r="BV1498" t="s">
        <v>198</v>
      </c>
      <c r="BW1498" t="s">
        <v>198</v>
      </c>
      <c r="BX1498" t="s">
        <v>199</v>
      </c>
      <c r="BY1498" t="s">
        <v>198</v>
      </c>
      <c r="BZ1498" t="s">
        <v>199</v>
      </c>
      <c r="CA1498" t="s">
        <v>199</v>
      </c>
      <c r="CB1498" t="s">
        <v>19179</v>
      </c>
      <c r="CC1498" t="s">
        <v>201</v>
      </c>
      <c r="CD1498" t="s">
        <v>182</v>
      </c>
      <c r="CE1498" t="s">
        <v>19180</v>
      </c>
      <c r="CF1498" t="s">
        <v>19181</v>
      </c>
      <c r="CG1498" t="s">
        <v>177</v>
      </c>
      <c r="CH1498" t="s">
        <v>19182</v>
      </c>
      <c r="CI1498" t="s">
        <v>4099</v>
      </c>
      <c r="CJ1498" t="s">
        <v>11387</v>
      </c>
      <c r="CK1498" t="s">
        <v>232</v>
      </c>
      <c r="CL1498" t="s">
        <v>233</v>
      </c>
      <c r="CM1498" t="s">
        <v>19183</v>
      </c>
      <c r="CN1498" t="s">
        <v>235</v>
      </c>
      <c r="CO1498" t="s">
        <v>183</v>
      </c>
      <c r="CP1498" t="s">
        <v>266</v>
      </c>
      <c r="CS1498" t="s">
        <v>198</v>
      </c>
      <c r="CT1498" t="s">
        <v>17864</v>
      </c>
      <c r="CU1498" t="s">
        <v>292</v>
      </c>
      <c r="CV1498" t="s">
        <v>293</v>
      </c>
      <c r="CW1498" t="s">
        <v>19185</v>
      </c>
      <c r="CX1498" t="s">
        <v>235</v>
      </c>
      <c r="CY1498" t="s">
        <v>183</v>
      </c>
      <c r="CZ1498" t="s">
        <v>211</v>
      </c>
      <c r="DA1498" t="s">
        <v>298</v>
      </c>
      <c r="DC1498" t="s">
        <v>1641</v>
      </c>
      <c r="DM1498" t="s">
        <v>198</v>
      </c>
      <c r="DW1498" t="s">
        <v>198</v>
      </c>
      <c r="EG1498" t="s">
        <v>198</v>
      </c>
      <c r="EQ1498" t="s">
        <v>198</v>
      </c>
      <c r="FA1498" t="s">
        <v>198</v>
      </c>
      <c r="FK1498" t="s">
        <v>198</v>
      </c>
      <c r="FU1498" t="s">
        <v>198</v>
      </c>
    </row>
    <row r="1499" spans="1:177">
      <c r="A1499" s="1" t="str">
        <f>HYPERLINK("http://digipan.lumentumllc.com/apps/getLink/index.php?t=PropLink&amp;p=7112462","PL")</f>
        <v>PL</v>
      </c>
      <c r="B1499" s="1" t="str">
        <f>HYPERLINK("http://digipan.lumentumllc.com/apps/getLink/index.php?t=TaxLink&amp;p=7112462","TL")</f>
        <v>TL</v>
      </c>
      <c r="C1499" s="1" t="str">
        <f>HYPERLINK("http://digipan.lumentumllc.com/apps/getMap/index.php?p=7112462","Map")</f>
        <v>Map</v>
      </c>
      <c r="E1499" t="s">
        <v>177</v>
      </c>
      <c r="F1499" t="s">
        <v>178</v>
      </c>
      <c r="L1499" t="s">
        <v>19192</v>
      </c>
      <c r="N1499" t="s">
        <v>19192</v>
      </c>
      <c r="O1499" t="s">
        <v>19192</v>
      </c>
      <c r="P1499" t="s">
        <v>19193</v>
      </c>
      <c r="Q1499" t="s">
        <v>19192</v>
      </c>
      <c r="V1499">
        <v>1718</v>
      </c>
      <c r="W1499">
        <v>6</v>
      </c>
      <c r="X1499">
        <v>2017</v>
      </c>
      <c r="Y1499">
        <v>2018</v>
      </c>
      <c r="Z1499">
        <v>2475.0700000000002</v>
      </c>
      <c r="AB1499" t="s">
        <v>181</v>
      </c>
      <c r="AC1499" t="s">
        <v>182</v>
      </c>
      <c r="AD1499" t="s">
        <v>183</v>
      </c>
      <c r="AE1499">
        <v>1</v>
      </c>
      <c r="AF1499">
        <v>1</v>
      </c>
      <c r="AG1499" t="s">
        <v>2222</v>
      </c>
      <c r="AH1499">
        <v>50</v>
      </c>
      <c r="AI1499">
        <v>2471.8200000000002</v>
      </c>
      <c r="AJ1499">
        <v>123.59</v>
      </c>
      <c r="AK1499">
        <v>2595.41</v>
      </c>
      <c r="AL1499">
        <v>35000</v>
      </c>
      <c r="AM1499">
        <v>35000</v>
      </c>
      <c r="AN1499">
        <v>0</v>
      </c>
      <c r="AO1499">
        <v>2261</v>
      </c>
      <c r="AP1499">
        <v>2016</v>
      </c>
      <c r="AQ1499">
        <v>7.07</v>
      </c>
      <c r="AR1499">
        <v>7.42</v>
      </c>
      <c r="AS1499" t="s">
        <v>19194</v>
      </c>
      <c r="AT1499" t="s">
        <v>15040</v>
      </c>
      <c r="AU1499" t="s">
        <v>177</v>
      </c>
      <c r="AV1499" t="s">
        <v>371</v>
      </c>
      <c r="AW1499" t="s">
        <v>182</v>
      </c>
      <c r="AX1499">
        <v>0</v>
      </c>
      <c r="AY1499" t="s">
        <v>312</v>
      </c>
      <c r="AZ1499" t="s">
        <v>199</v>
      </c>
      <c r="BA1499" t="s">
        <v>313</v>
      </c>
      <c r="BB1499" t="s">
        <v>191</v>
      </c>
      <c r="BC1499" t="s">
        <v>182</v>
      </c>
      <c r="BD1499" t="s">
        <v>182</v>
      </c>
      <c r="BE1499" t="s">
        <v>8096</v>
      </c>
      <c r="BF1499">
        <v>0</v>
      </c>
      <c r="BG1499">
        <v>0</v>
      </c>
      <c r="BH1499">
        <v>0</v>
      </c>
      <c r="BI1499" t="s">
        <v>199</v>
      </c>
      <c r="BJ1499" t="s">
        <v>396</v>
      </c>
      <c r="BL1499" t="s">
        <v>19178</v>
      </c>
      <c r="BM1499" t="s">
        <v>292</v>
      </c>
      <c r="BN1499" t="s">
        <v>182</v>
      </c>
      <c r="BO1499" t="s">
        <v>198</v>
      </c>
      <c r="BP1499" t="s">
        <v>198</v>
      </c>
      <c r="BQ1499" t="s">
        <v>198</v>
      </c>
      <c r="BR1499" t="s">
        <v>198</v>
      </c>
      <c r="BS1499" t="s">
        <v>198</v>
      </c>
      <c r="BT1499" t="s">
        <v>198</v>
      </c>
      <c r="BU1499" t="s">
        <v>182</v>
      </c>
      <c r="BV1499" t="s">
        <v>198</v>
      </c>
      <c r="BW1499" t="s">
        <v>198</v>
      </c>
      <c r="BX1499" t="s">
        <v>199</v>
      </c>
      <c r="BY1499" t="s">
        <v>198</v>
      </c>
      <c r="BZ1499" t="s">
        <v>199</v>
      </c>
      <c r="CA1499" t="s">
        <v>199</v>
      </c>
      <c r="CB1499" t="s">
        <v>19179</v>
      </c>
      <c r="CC1499" t="s">
        <v>201</v>
      </c>
      <c r="CD1499" t="s">
        <v>182</v>
      </c>
      <c r="CE1499" t="s">
        <v>19180</v>
      </c>
      <c r="CF1499" t="s">
        <v>19181</v>
      </c>
      <c r="CG1499" t="s">
        <v>177</v>
      </c>
      <c r="CH1499" t="s">
        <v>19182</v>
      </c>
      <c r="CI1499" t="s">
        <v>4622</v>
      </c>
      <c r="CJ1499" t="s">
        <v>11426</v>
      </c>
      <c r="CK1499" t="s">
        <v>232</v>
      </c>
      <c r="CL1499" t="s">
        <v>233</v>
      </c>
      <c r="CM1499" t="s">
        <v>19183</v>
      </c>
      <c r="CN1499" t="s">
        <v>235</v>
      </c>
      <c r="CO1499" t="s">
        <v>183</v>
      </c>
      <c r="CP1499" t="s">
        <v>266</v>
      </c>
      <c r="CS1499" t="s">
        <v>198</v>
      </c>
      <c r="CT1499" t="s">
        <v>284</v>
      </c>
      <c r="CU1499" t="s">
        <v>292</v>
      </c>
      <c r="CV1499" t="s">
        <v>293</v>
      </c>
      <c r="CW1499" t="s">
        <v>19185</v>
      </c>
      <c r="CX1499" t="s">
        <v>235</v>
      </c>
      <c r="CY1499" t="s">
        <v>183</v>
      </c>
      <c r="CZ1499" t="s">
        <v>211</v>
      </c>
      <c r="DA1499" t="s">
        <v>298</v>
      </c>
      <c r="DC1499" t="s">
        <v>1641</v>
      </c>
      <c r="DM1499" t="s">
        <v>198</v>
      </c>
      <c r="DW1499" t="s">
        <v>198</v>
      </c>
      <c r="EG1499" t="s">
        <v>198</v>
      </c>
      <c r="EQ1499" t="s">
        <v>198</v>
      </c>
      <c r="FA1499" t="s">
        <v>198</v>
      </c>
      <c r="FK1499" t="s">
        <v>198</v>
      </c>
      <c r="FU1499" t="s">
        <v>198</v>
      </c>
    </row>
    <row r="1500" spans="1:177">
      <c r="A1500" s="1" t="str">
        <f>HYPERLINK("http://digipan.lumentumllc.com/apps/getLink/index.php?t=PropLink&amp;p=7112463","PL")</f>
        <v>PL</v>
      </c>
      <c r="B1500" s="1" t="str">
        <f>HYPERLINK("http://digipan.lumentumllc.com/apps/getLink/index.php?t=TaxLink&amp;p=7112463","TL")</f>
        <v>TL</v>
      </c>
      <c r="C1500" s="1" t="str">
        <f>HYPERLINK("http://digipan.lumentumllc.com/apps/getMap/index.php?p=7112463","Map")</f>
        <v>Map</v>
      </c>
      <c r="E1500" t="s">
        <v>177</v>
      </c>
      <c r="F1500" t="s">
        <v>178</v>
      </c>
      <c r="L1500" t="s">
        <v>19195</v>
      </c>
      <c r="N1500" t="s">
        <v>19195</v>
      </c>
      <c r="O1500" t="s">
        <v>19195</v>
      </c>
      <c r="P1500" t="s">
        <v>19196</v>
      </c>
      <c r="Q1500" t="s">
        <v>19195</v>
      </c>
      <c r="V1500">
        <v>1719</v>
      </c>
      <c r="W1500">
        <v>6</v>
      </c>
      <c r="X1500">
        <v>2017</v>
      </c>
      <c r="Y1500">
        <v>2018</v>
      </c>
      <c r="Z1500">
        <v>2475.0700000000002</v>
      </c>
      <c r="AB1500" t="s">
        <v>181</v>
      </c>
      <c r="AC1500" t="s">
        <v>182</v>
      </c>
      <c r="AD1500" t="s">
        <v>183</v>
      </c>
      <c r="AE1500">
        <v>1</v>
      </c>
      <c r="AF1500">
        <v>1</v>
      </c>
      <c r="AG1500" t="s">
        <v>2222</v>
      </c>
      <c r="AH1500">
        <v>50</v>
      </c>
      <c r="AI1500">
        <v>2471.8200000000002</v>
      </c>
      <c r="AJ1500">
        <v>123.59</v>
      </c>
      <c r="AK1500">
        <v>2595.41</v>
      </c>
      <c r="AL1500">
        <v>35000</v>
      </c>
      <c r="AM1500">
        <v>35000</v>
      </c>
      <c r="AN1500">
        <v>0</v>
      </c>
      <c r="AO1500">
        <v>2261</v>
      </c>
      <c r="AP1500">
        <v>2016</v>
      </c>
      <c r="AQ1500">
        <v>7.07</v>
      </c>
      <c r="AR1500">
        <v>7.42</v>
      </c>
      <c r="AS1500" t="s">
        <v>19197</v>
      </c>
      <c r="AT1500" t="s">
        <v>15040</v>
      </c>
      <c r="AU1500" t="s">
        <v>177</v>
      </c>
      <c r="AV1500" t="s">
        <v>371</v>
      </c>
      <c r="AW1500" t="s">
        <v>182</v>
      </c>
      <c r="AX1500">
        <v>0</v>
      </c>
      <c r="AY1500" t="s">
        <v>312</v>
      </c>
      <c r="AZ1500" t="s">
        <v>199</v>
      </c>
      <c r="BA1500" t="s">
        <v>313</v>
      </c>
      <c r="BB1500" t="s">
        <v>191</v>
      </c>
      <c r="BC1500" t="s">
        <v>182</v>
      </c>
      <c r="BD1500" t="s">
        <v>182</v>
      </c>
      <c r="BE1500" t="s">
        <v>7188</v>
      </c>
      <c r="BF1500">
        <v>0</v>
      </c>
      <c r="BG1500">
        <v>0</v>
      </c>
      <c r="BH1500">
        <v>0</v>
      </c>
      <c r="BI1500" t="s">
        <v>199</v>
      </c>
      <c r="BJ1500" t="s">
        <v>396</v>
      </c>
      <c r="BL1500" t="s">
        <v>19178</v>
      </c>
      <c r="BM1500" t="s">
        <v>292</v>
      </c>
      <c r="BN1500" t="s">
        <v>182</v>
      </c>
      <c r="BO1500" t="s">
        <v>198</v>
      </c>
      <c r="BP1500" t="s">
        <v>198</v>
      </c>
      <c r="BQ1500" t="s">
        <v>198</v>
      </c>
      <c r="BR1500" t="s">
        <v>198</v>
      </c>
      <c r="BS1500" t="s">
        <v>198</v>
      </c>
      <c r="BT1500" t="s">
        <v>198</v>
      </c>
      <c r="BU1500" t="s">
        <v>182</v>
      </c>
      <c r="BV1500" t="s">
        <v>198</v>
      </c>
      <c r="BW1500" t="s">
        <v>198</v>
      </c>
      <c r="BX1500" t="s">
        <v>199</v>
      </c>
      <c r="BY1500" t="s">
        <v>198</v>
      </c>
      <c r="BZ1500" t="s">
        <v>199</v>
      </c>
      <c r="CA1500" t="s">
        <v>199</v>
      </c>
      <c r="CB1500" t="s">
        <v>19179</v>
      </c>
      <c r="CC1500" t="s">
        <v>201</v>
      </c>
      <c r="CD1500" t="s">
        <v>182</v>
      </c>
      <c r="CE1500" t="s">
        <v>19180</v>
      </c>
      <c r="CF1500" t="s">
        <v>19181</v>
      </c>
      <c r="CG1500" t="s">
        <v>177</v>
      </c>
      <c r="CH1500" t="s">
        <v>19182</v>
      </c>
      <c r="CI1500" t="s">
        <v>2399</v>
      </c>
      <c r="CJ1500" t="s">
        <v>16309</v>
      </c>
      <c r="CK1500" t="s">
        <v>232</v>
      </c>
      <c r="CL1500" t="s">
        <v>233</v>
      </c>
      <c r="CM1500" t="s">
        <v>19183</v>
      </c>
      <c r="CN1500" t="s">
        <v>235</v>
      </c>
      <c r="CO1500" t="s">
        <v>183</v>
      </c>
      <c r="CP1500" t="s">
        <v>266</v>
      </c>
      <c r="CS1500" t="s">
        <v>198</v>
      </c>
      <c r="CT1500" t="s">
        <v>17904</v>
      </c>
      <c r="CU1500" t="s">
        <v>292</v>
      </c>
      <c r="CV1500" t="s">
        <v>293</v>
      </c>
      <c r="CW1500" t="s">
        <v>19185</v>
      </c>
      <c r="CX1500" t="s">
        <v>235</v>
      </c>
      <c r="CY1500" t="s">
        <v>183</v>
      </c>
      <c r="CZ1500" t="s">
        <v>211</v>
      </c>
      <c r="DA1500" t="s">
        <v>298</v>
      </c>
      <c r="DC1500" t="s">
        <v>1641</v>
      </c>
      <c r="DM1500" t="s">
        <v>198</v>
      </c>
      <c r="DW1500" t="s">
        <v>198</v>
      </c>
      <c r="EG1500" t="s">
        <v>198</v>
      </c>
      <c r="EQ1500" t="s">
        <v>198</v>
      </c>
      <c r="FA1500" t="s">
        <v>198</v>
      </c>
      <c r="FK1500" t="s">
        <v>198</v>
      </c>
      <c r="FU1500" t="s">
        <v>198</v>
      </c>
    </row>
    <row r="1501" spans="1:177">
      <c r="A1501" s="1" t="str">
        <f>HYPERLINK("http://digipan.lumentumllc.com/apps/getLink/index.php?t=PropLink&amp;p=7112464","PL")</f>
        <v>PL</v>
      </c>
      <c r="B1501" s="1" t="str">
        <f>HYPERLINK("http://digipan.lumentumllc.com/apps/getLink/index.php?t=TaxLink&amp;p=7112464","TL")</f>
        <v>TL</v>
      </c>
      <c r="C1501" s="1" t="str">
        <f>HYPERLINK("http://digipan.lumentumllc.com/apps/getMap/index.php?p=7112464","Map")</f>
        <v>Map</v>
      </c>
      <c r="E1501" t="s">
        <v>177</v>
      </c>
      <c r="F1501" t="s">
        <v>178</v>
      </c>
      <c r="L1501" t="s">
        <v>19198</v>
      </c>
      <c r="N1501" t="s">
        <v>19198</v>
      </c>
      <c r="O1501" t="s">
        <v>19198</v>
      </c>
      <c r="P1501" t="s">
        <v>19199</v>
      </c>
      <c r="Q1501" t="s">
        <v>19198</v>
      </c>
      <c r="V1501">
        <v>1720</v>
      </c>
      <c r="W1501">
        <v>6</v>
      </c>
      <c r="X1501">
        <v>2017</v>
      </c>
      <c r="Y1501">
        <v>2018</v>
      </c>
      <c r="Z1501">
        <v>2475.0700000000002</v>
      </c>
      <c r="AB1501" t="s">
        <v>181</v>
      </c>
      <c r="AC1501" t="s">
        <v>182</v>
      </c>
      <c r="AD1501" t="s">
        <v>183</v>
      </c>
      <c r="AE1501">
        <v>1</v>
      </c>
      <c r="AF1501">
        <v>1</v>
      </c>
      <c r="AG1501" t="s">
        <v>2222</v>
      </c>
      <c r="AH1501">
        <v>50</v>
      </c>
      <c r="AI1501">
        <v>2471.8200000000002</v>
      </c>
      <c r="AJ1501">
        <v>123.59</v>
      </c>
      <c r="AK1501">
        <v>2595.41</v>
      </c>
      <c r="AL1501">
        <v>35000</v>
      </c>
      <c r="AM1501">
        <v>35000</v>
      </c>
      <c r="AN1501">
        <v>0</v>
      </c>
      <c r="AO1501">
        <v>2261</v>
      </c>
      <c r="AP1501">
        <v>2016</v>
      </c>
      <c r="AQ1501">
        <v>7.07</v>
      </c>
      <c r="AR1501">
        <v>7.42</v>
      </c>
      <c r="AS1501" t="s">
        <v>19200</v>
      </c>
      <c r="AT1501" t="s">
        <v>15040</v>
      </c>
      <c r="AU1501" t="s">
        <v>177</v>
      </c>
      <c r="AV1501" t="s">
        <v>371</v>
      </c>
      <c r="AW1501" t="s">
        <v>182</v>
      </c>
      <c r="AX1501">
        <v>0</v>
      </c>
      <c r="AY1501" t="s">
        <v>312</v>
      </c>
      <c r="AZ1501" t="s">
        <v>199</v>
      </c>
      <c r="BA1501" t="s">
        <v>313</v>
      </c>
      <c r="BB1501" t="s">
        <v>191</v>
      </c>
      <c r="BC1501" t="s">
        <v>182</v>
      </c>
      <c r="BD1501" t="s">
        <v>182</v>
      </c>
      <c r="BE1501" t="s">
        <v>11684</v>
      </c>
      <c r="BF1501">
        <v>0</v>
      </c>
      <c r="BG1501">
        <v>0</v>
      </c>
      <c r="BH1501">
        <v>0</v>
      </c>
      <c r="BI1501" t="s">
        <v>199</v>
      </c>
      <c r="BJ1501" t="s">
        <v>396</v>
      </c>
      <c r="BL1501" t="s">
        <v>19178</v>
      </c>
      <c r="BM1501" t="s">
        <v>292</v>
      </c>
      <c r="BN1501" t="s">
        <v>182</v>
      </c>
      <c r="BO1501" t="s">
        <v>198</v>
      </c>
      <c r="BP1501" t="s">
        <v>198</v>
      </c>
      <c r="BQ1501" t="s">
        <v>198</v>
      </c>
      <c r="BR1501" t="s">
        <v>198</v>
      </c>
      <c r="BS1501" t="s">
        <v>198</v>
      </c>
      <c r="BT1501" t="s">
        <v>198</v>
      </c>
      <c r="BU1501" t="s">
        <v>182</v>
      </c>
      <c r="BV1501" t="s">
        <v>198</v>
      </c>
      <c r="BW1501" t="s">
        <v>198</v>
      </c>
      <c r="BX1501" t="s">
        <v>199</v>
      </c>
      <c r="BY1501" t="s">
        <v>198</v>
      </c>
      <c r="BZ1501" t="s">
        <v>199</v>
      </c>
      <c r="CA1501" t="s">
        <v>199</v>
      </c>
      <c r="CB1501" t="s">
        <v>19179</v>
      </c>
      <c r="CC1501" t="s">
        <v>201</v>
      </c>
      <c r="CD1501" t="s">
        <v>182</v>
      </c>
      <c r="CE1501" t="s">
        <v>19180</v>
      </c>
      <c r="CF1501" t="s">
        <v>19181</v>
      </c>
      <c r="CG1501" t="s">
        <v>177</v>
      </c>
      <c r="CH1501" t="s">
        <v>19182</v>
      </c>
      <c r="CI1501" t="s">
        <v>4843</v>
      </c>
      <c r="CJ1501" t="s">
        <v>19201</v>
      </c>
      <c r="CK1501" t="s">
        <v>232</v>
      </c>
      <c r="CL1501" t="s">
        <v>233</v>
      </c>
      <c r="CM1501" t="s">
        <v>19183</v>
      </c>
      <c r="CN1501" t="s">
        <v>235</v>
      </c>
      <c r="CO1501" t="s">
        <v>183</v>
      </c>
      <c r="CP1501" t="s">
        <v>266</v>
      </c>
      <c r="CS1501" t="s">
        <v>198</v>
      </c>
      <c r="CT1501" t="s">
        <v>16577</v>
      </c>
      <c r="CU1501" t="s">
        <v>292</v>
      </c>
      <c r="CV1501" t="s">
        <v>293</v>
      </c>
      <c r="CW1501" t="s">
        <v>19185</v>
      </c>
      <c r="CX1501" t="s">
        <v>235</v>
      </c>
      <c r="CY1501" t="s">
        <v>183</v>
      </c>
      <c r="CZ1501" t="s">
        <v>211</v>
      </c>
      <c r="DA1501" t="s">
        <v>298</v>
      </c>
      <c r="DC1501" t="s">
        <v>1641</v>
      </c>
      <c r="DM1501" t="s">
        <v>198</v>
      </c>
      <c r="DW1501" t="s">
        <v>198</v>
      </c>
      <c r="EG1501" t="s">
        <v>198</v>
      </c>
      <c r="EQ1501" t="s">
        <v>198</v>
      </c>
      <c r="FA1501" t="s">
        <v>198</v>
      </c>
      <c r="FK1501" t="s">
        <v>198</v>
      </c>
      <c r="FU1501" t="s">
        <v>198</v>
      </c>
    </row>
    <row r="1502" spans="1:177">
      <c r="A1502" s="1" t="str">
        <f>HYPERLINK("http://digipan.lumentumllc.com/apps/getLink/index.php?t=PropLink&amp;p=7112467","PL")</f>
        <v>PL</v>
      </c>
      <c r="B1502" s="1" t="str">
        <f>HYPERLINK("http://digipan.lumentumllc.com/apps/getLink/index.php?t=TaxLink&amp;p=7112467","TL")</f>
        <v>TL</v>
      </c>
      <c r="C1502" s="1" t="str">
        <f>HYPERLINK("http://digipan.lumentumllc.com/apps/getMap/index.php?p=7112467","Map")</f>
        <v>Map</v>
      </c>
      <c r="E1502" t="s">
        <v>177</v>
      </c>
      <c r="F1502" t="s">
        <v>178</v>
      </c>
      <c r="L1502" t="s">
        <v>19202</v>
      </c>
      <c r="N1502" t="s">
        <v>19202</v>
      </c>
      <c r="O1502" t="s">
        <v>19202</v>
      </c>
      <c r="P1502" t="s">
        <v>19203</v>
      </c>
      <c r="Q1502" t="s">
        <v>19202</v>
      </c>
      <c r="V1502">
        <v>1721</v>
      </c>
      <c r="W1502">
        <v>6</v>
      </c>
      <c r="X1502">
        <v>2017</v>
      </c>
      <c r="Y1502">
        <v>2018</v>
      </c>
      <c r="Z1502">
        <v>2802.52</v>
      </c>
      <c r="AB1502" t="s">
        <v>181</v>
      </c>
      <c r="AC1502" t="s">
        <v>182</v>
      </c>
      <c r="AD1502" t="s">
        <v>183</v>
      </c>
      <c r="AE1502">
        <v>1</v>
      </c>
      <c r="AF1502">
        <v>1</v>
      </c>
      <c r="AG1502" t="s">
        <v>2222</v>
      </c>
      <c r="AH1502">
        <v>50</v>
      </c>
      <c r="AI1502">
        <v>2803.86</v>
      </c>
      <c r="AJ1502">
        <v>140.19</v>
      </c>
      <c r="AK1502">
        <v>2944.05</v>
      </c>
      <c r="AL1502">
        <v>55000</v>
      </c>
      <c r="AM1502">
        <v>55000</v>
      </c>
      <c r="AN1502">
        <v>0</v>
      </c>
      <c r="AO1502">
        <v>2568</v>
      </c>
      <c r="AP1502">
        <v>2016</v>
      </c>
      <c r="AQ1502">
        <v>5.0999999999999996</v>
      </c>
      <c r="AR1502">
        <v>5.35</v>
      </c>
      <c r="AS1502" t="s">
        <v>19204</v>
      </c>
      <c r="AT1502" t="s">
        <v>15040</v>
      </c>
      <c r="AU1502" t="s">
        <v>177</v>
      </c>
      <c r="AV1502" t="s">
        <v>371</v>
      </c>
      <c r="AW1502" t="s">
        <v>182</v>
      </c>
      <c r="AX1502">
        <v>0</v>
      </c>
      <c r="AY1502" t="s">
        <v>312</v>
      </c>
      <c r="AZ1502" t="s">
        <v>199</v>
      </c>
      <c r="BA1502" t="s">
        <v>313</v>
      </c>
      <c r="BB1502" t="s">
        <v>191</v>
      </c>
      <c r="BC1502" t="s">
        <v>182</v>
      </c>
      <c r="BD1502" t="s">
        <v>182</v>
      </c>
      <c r="BE1502" t="s">
        <v>5689</v>
      </c>
      <c r="BF1502">
        <v>0</v>
      </c>
      <c r="BG1502">
        <v>0</v>
      </c>
      <c r="BH1502">
        <v>0</v>
      </c>
      <c r="BI1502" t="s">
        <v>199</v>
      </c>
      <c r="BJ1502" t="s">
        <v>396</v>
      </c>
      <c r="BL1502" t="s">
        <v>19178</v>
      </c>
      <c r="BM1502" t="s">
        <v>292</v>
      </c>
      <c r="BN1502" t="s">
        <v>182</v>
      </c>
      <c r="BO1502" t="s">
        <v>198</v>
      </c>
      <c r="BP1502" t="s">
        <v>198</v>
      </c>
      <c r="BQ1502" t="s">
        <v>198</v>
      </c>
      <c r="BR1502" t="s">
        <v>198</v>
      </c>
      <c r="BS1502" t="s">
        <v>198</v>
      </c>
      <c r="BT1502" t="s">
        <v>198</v>
      </c>
      <c r="BU1502" t="s">
        <v>182</v>
      </c>
      <c r="BV1502" t="s">
        <v>198</v>
      </c>
      <c r="BW1502" t="s">
        <v>198</v>
      </c>
      <c r="BX1502" t="s">
        <v>199</v>
      </c>
      <c r="BY1502" t="s">
        <v>198</v>
      </c>
      <c r="BZ1502" t="s">
        <v>199</v>
      </c>
      <c r="CA1502" t="s">
        <v>199</v>
      </c>
      <c r="CB1502" t="s">
        <v>19179</v>
      </c>
      <c r="CC1502" t="s">
        <v>201</v>
      </c>
      <c r="CD1502" t="s">
        <v>182</v>
      </c>
      <c r="CE1502" t="s">
        <v>19180</v>
      </c>
      <c r="CF1502" t="s">
        <v>19181</v>
      </c>
      <c r="CG1502" t="s">
        <v>177</v>
      </c>
      <c r="CH1502" t="s">
        <v>19182</v>
      </c>
      <c r="CI1502" t="s">
        <v>1335</v>
      </c>
      <c r="CJ1502" t="s">
        <v>16364</v>
      </c>
      <c r="CK1502" t="s">
        <v>232</v>
      </c>
      <c r="CL1502" t="s">
        <v>233</v>
      </c>
      <c r="CM1502" t="s">
        <v>19205</v>
      </c>
      <c r="CN1502" t="s">
        <v>235</v>
      </c>
      <c r="CO1502" t="s">
        <v>183</v>
      </c>
      <c r="CP1502" t="s">
        <v>266</v>
      </c>
      <c r="CS1502" t="s">
        <v>198</v>
      </c>
      <c r="CT1502" t="s">
        <v>12502</v>
      </c>
      <c r="CU1502" t="s">
        <v>292</v>
      </c>
      <c r="CV1502" t="s">
        <v>293</v>
      </c>
      <c r="CW1502" t="s">
        <v>19206</v>
      </c>
      <c r="CX1502" t="s">
        <v>235</v>
      </c>
      <c r="CY1502" t="s">
        <v>183</v>
      </c>
      <c r="CZ1502" t="s">
        <v>211</v>
      </c>
      <c r="DA1502" t="s">
        <v>298</v>
      </c>
      <c r="DC1502" t="s">
        <v>1641</v>
      </c>
      <c r="DM1502" t="s">
        <v>198</v>
      </c>
      <c r="DW1502" t="s">
        <v>198</v>
      </c>
      <c r="EG1502" t="s">
        <v>198</v>
      </c>
      <c r="EQ1502" t="s">
        <v>198</v>
      </c>
      <c r="FA1502" t="s">
        <v>198</v>
      </c>
      <c r="FK1502" t="s">
        <v>198</v>
      </c>
      <c r="FU1502" t="s">
        <v>198</v>
      </c>
    </row>
    <row r="1503" spans="1:177">
      <c r="A1503" s="1" t="str">
        <f>HYPERLINK("http://digipan.lumentumllc.com/apps/getLink/index.php?t=PropLink&amp;p=7112468","PL")</f>
        <v>PL</v>
      </c>
      <c r="B1503" s="1" t="str">
        <f>HYPERLINK("http://digipan.lumentumllc.com/apps/getLink/index.php?t=TaxLink&amp;p=7112468","TL")</f>
        <v>TL</v>
      </c>
      <c r="C1503" s="1" t="str">
        <f>HYPERLINK("http://digipan.lumentumllc.com/apps/getMap/index.php?p=7112468","Map")</f>
        <v>Map</v>
      </c>
      <c r="E1503" t="s">
        <v>177</v>
      </c>
      <c r="F1503" t="s">
        <v>178</v>
      </c>
      <c r="L1503" t="s">
        <v>19207</v>
      </c>
      <c r="N1503" t="s">
        <v>19207</v>
      </c>
      <c r="O1503" t="s">
        <v>19207</v>
      </c>
      <c r="P1503" t="s">
        <v>19208</v>
      </c>
      <c r="Q1503" t="s">
        <v>19207</v>
      </c>
      <c r="V1503">
        <v>1722</v>
      </c>
      <c r="W1503">
        <v>6</v>
      </c>
      <c r="X1503">
        <v>2017</v>
      </c>
      <c r="Y1503">
        <v>2018</v>
      </c>
      <c r="Z1503">
        <v>2802.52</v>
      </c>
      <c r="AB1503" t="s">
        <v>181</v>
      </c>
      <c r="AC1503" t="s">
        <v>182</v>
      </c>
      <c r="AD1503" t="s">
        <v>183</v>
      </c>
      <c r="AE1503">
        <v>1</v>
      </c>
      <c r="AF1503">
        <v>1</v>
      </c>
      <c r="AG1503" t="s">
        <v>2222</v>
      </c>
      <c r="AH1503">
        <v>50</v>
      </c>
      <c r="AI1503">
        <v>2803.86</v>
      </c>
      <c r="AJ1503">
        <v>140.19</v>
      </c>
      <c r="AK1503">
        <v>2944.05</v>
      </c>
      <c r="AL1503">
        <v>55000</v>
      </c>
      <c r="AM1503">
        <v>55000</v>
      </c>
      <c r="AN1503">
        <v>0</v>
      </c>
      <c r="AO1503">
        <v>2568</v>
      </c>
      <c r="AP1503">
        <v>2016</v>
      </c>
      <c r="AQ1503">
        <v>5.0999999999999996</v>
      </c>
      <c r="AR1503">
        <v>5.35</v>
      </c>
      <c r="AS1503" t="s">
        <v>19209</v>
      </c>
      <c r="AT1503" t="s">
        <v>15040</v>
      </c>
      <c r="AU1503" t="s">
        <v>177</v>
      </c>
      <c r="AV1503" t="s">
        <v>371</v>
      </c>
      <c r="AW1503" t="s">
        <v>182</v>
      </c>
      <c r="AX1503">
        <v>0</v>
      </c>
      <c r="AY1503" t="s">
        <v>312</v>
      </c>
      <c r="AZ1503" t="s">
        <v>199</v>
      </c>
      <c r="BA1503" t="s">
        <v>313</v>
      </c>
      <c r="BB1503" t="s">
        <v>191</v>
      </c>
      <c r="BC1503" t="s">
        <v>182</v>
      </c>
      <c r="BD1503" t="s">
        <v>182</v>
      </c>
      <c r="BE1503" t="s">
        <v>11774</v>
      </c>
      <c r="BF1503">
        <v>0</v>
      </c>
      <c r="BG1503">
        <v>0</v>
      </c>
      <c r="BH1503">
        <v>0</v>
      </c>
      <c r="BI1503" t="s">
        <v>199</v>
      </c>
      <c r="BJ1503" t="s">
        <v>396</v>
      </c>
      <c r="BL1503" t="s">
        <v>19178</v>
      </c>
      <c r="BM1503" t="s">
        <v>292</v>
      </c>
      <c r="BN1503" t="s">
        <v>182</v>
      </c>
      <c r="BO1503" t="s">
        <v>198</v>
      </c>
      <c r="BP1503" t="s">
        <v>198</v>
      </c>
      <c r="BQ1503" t="s">
        <v>198</v>
      </c>
      <c r="BR1503" t="s">
        <v>198</v>
      </c>
      <c r="BS1503" t="s">
        <v>198</v>
      </c>
      <c r="BT1503" t="s">
        <v>198</v>
      </c>
      <c r="BU1503" t="s">
        <v>182</v>
      </c>
      <c r="BV1503" t="s">
        <v>198</v>
      </c>
      <c r="BW1503" t="s">
        <v>198</v>
      </c>
      <c r="BX1503" t="s">
        <v>199</v>
      </c>
      <c r="BY1503" t="s">
        <v>198</v>
      </c>
      <c r="BZ1503" t="s">
        <v>199</v>
      </c>
      <c r="CA1503" t="s">
        <v>199</v>
      </c>
      <c r="CB1503" t="s">
        <v>19179</v>
      </c>
      <c r="CC1503" t="s">
        <v>201</v>
      </c>
      <c r="CD1503" t="s">
        <v>182</v>
      </c>
      <c r="CE1503" t="s">
        <v>19180</v>
      </c>
      <c r="CF1503" t="s">
        <v>19181</v>
      </c>
      <c r="CG1503" t="s">
        <v>177</v>
      </c>
      <c r="CH1503" t="s">
        <v>19182</v>
      </c>
      <c r="CI1503" t="s">
        <v>1364</v>
      </c>
      <c r="CJ1503" t="s">
        <v>14484</v>
      </c>
      <c r="CK1503" t="s">
        <v>232</v>
      </c>
      <c r="CL1503" t="s">
        <v>233</v>
      </c>
      <c r="CM1503" t="s">
        <v>19205</v>
      </c>
      <c r="CN1503" t="s">
        <v>235</v>
      </c>
      <c r="CO1503" t="s">
        <v>183</v>
      </c>
      <c r="CP1503" t="s">
        <v>266</v>
      </c>
      <c r="CS1503" t="s">
        <v>198</v>
      </c>
      <c r="CT1503" t="s">
        <v>17954</v>
      </c>
      <c r="CU1503" t="s">
        <v>292</v>
      </c>
      <c r="CV1503" t="s">
        <v>293</v>
      </c>
      <c r="CW1503" t="s">
        <v>19206</v>
      </c>
      <c r="CX1503" t="s">
        <v>235</v>
      </c>
      <c r="CY1503" t="s">
        <v>183</v>
      </c>
      <c r="CZ1503" t="s">
        <v>211</v>
      </c>
      <c r="DA1503" t="s">
        <v>298</v>
      </c>
      <c r="DC1503" t="s">
        <v>1641</v>
      </c>
      <c r="DM1503" t="s">
        <v>198</v>
      </c>
      <c r="DW1503" t="s">
        <v>198</v>
      </c>
      <c r="EG1503" t="s">
        <v>198</v>
      </c>
      <c r="EQ1503" t="s">
        <v>198</v>
      </c>
      <c r="FA1503" t="s">
        <v>198</v>
      </c>
      <c r="FK1503" t="s">
        <v>198</v>
      </c>
      <c r="FU1503" t="s">
        <v>198</v>
      </c>
    </row>
    <row r="1504" spans="1:177">
      <c r="A1504" s="1" t="str">
        <f>HYPERLINK("http://digipan.lumentumllc.com/apps/getLink/index.php?t=PropLink&amp;p=7112469","PL")</f>
        <v>PL</v>
      </c>
      <c r="B1504" s="1" t="str">
        <f>HYPERLINK("http://digipan.lumentumllc.com/apps/getLink/index.php?t=TaxLink&amp;p=7112469","TL")</f>
        <v>TL</v>
      </c>
      <c r="C1504" s="1" t="str">
        <f>HYPERLINK("http://digipan.lumentumllc.com/apps/getMap/index.php?p=7112469","Map")</f>
        <v>Map</v>
      </c>
      <c r="E1504" t="s">
        <v>177</v>
      </c>
      <c r="F1504" t="s">
        <v>178</v>
      </c>
      <c r="L1504" t="s">
        <v>19210</v>
      </c>
      <c r="N1504" t="s">
        <v>19210</v>
      </c>
      <c r="O1504" t="s">
        <v>19210</v>
      </c>
      <c r="P1504" t="s">
        <v>19211</v>
      </c>
      <c r="Q1504" t="s">
        <v>19210</v>
      </c>
      <c r="V1504">
        <v>1723</v>
      </c>
      <c r="W1504">
        <v>6</v>
      </c>
      <c r="X1504">
        <v>2017</v>
      </c>
      <c r="Y1504">
        <v>2018</v>
      </c>
      <c r="Z1504">
        <v>2475.0700000000002</v>
      </c>
      <c r="AB1504" t="s">
        <v>181</v>
      </c>
      <c r="AC1504" t="s">
        <v>182</v>
      </c>
      <c r="AD1504" t="s">
        <v>183</v>
      </c>
      <c r="AE1504">
        <v>1</v>
      </c>
      <c r="AF1504">
        <v>1</v>
      </c>
      <c r="AG1504" t="s">
        <v>2222</v>
      </c>
      <c r="AH1504">
        <v>50</v>
      </c>
      <c r="AI1504">
        <v>2471.8200000000002</v>
      </c>
      <c r="AJ1504">
        <v>123.59</v>
      </c>
      <c r="AK1504">
        <v>2595.41</v>
      </c>
      <c r="AL1504">
        <v>35000</v>
      </c>
      <c r="AM1504">
        <v>35000</v>
      </c>
      <c r="AN1504">
        <v>0</v>
      </c>
      <c r="AO1504">
        <v>2261</v>
      </c>
      <c r="AP1504">
        <v>2016</v>
      </c>
      <c r="AQ1504">
        <v>7.07</v>
      </c>
      <c r="AR1504">
        <v>7.42</v>
      </c>
      <c r="AS1504" t="s">
        <v>19212</v>
      </c>
      <c r="AT1504" t="s">
        <v>15040</v>
      </c>
      <c r="AU1504" t="s">
        <v>177</v>
      </c>
      <c r="AV1504" t="s">
        <v>371</v>
      </c>
      <c r="AW1504" t="s">
        <v>182</v>
      </c>
      <c r="AX1504">
        <v>0</v>
      </c>
      <c r="AY1504" t="s">
        <v>312</v>
      </c>
      <c r="AZ1504" t="s">
        <v>199</v>
      </c>
      <c r="BA1504" t="s">
        <v>313</v>
      </c>
      <c r="BB1504" t="s">
        <v>191</v>
      </c>
      <c r="BC1504" t="s">
        <v>182</v>
      </c>
      <c r="BD1504" t="s">
        <v>182</v>
      </c>
      <c r="BE1504" t="s">
        <v>3956</v>
      </c>
      <c r="BF1504">
        <v>0</v>
      </c>
      <c r="BG1504">
        <v>0</v>
      </c>
      <c r="BH1504">
        <v>0</v>
      </c>
      <c r="BI1504" t="s">
        <v>199</v>
      </c>
      <c r="BJ1504" t="s">
        <v>396</v>
      </c>
      <c r="BL1504" t="s">
        <v>19178</v>
      </c>
      <c r="BM1504" t="s">
        <v>292</v>
      </c>
      <c r="BN1504" t="s">
        <v>182</v>
      </c>
      <c r="BO1504" t="s">
        <v>198</v>
      </c>
      <c r="BP1504" t="s">
        <v>198</v>
      </c>
      <c r="BQ1504" t="s">
        <v>198</v>
      </c>
      <c r="BR1504" t="s">
        <v>198</v>
      </c>
      <c r="BS1504" t="s">
        <v>198</v>
      </c>
      <c r="BT1504" t="s">
        <v>198</v>
      </c>
      <c r="BU1504" t="s">
        <v>182</v>
      </c>
      <c r="BV1504" t="s">
        <v>198</v>
      </c>
      <c r="BW1504" t="s">
        <v>198</v>
      </c>
      <c r="BX1504" t="s">
        <v>199</v>
      </c>
      <c r="BY1504" t="s">
        <v>198</v>
      </c>
      <c r="BZ1504" t="s">
        <v>199</v>
      </c>
      <c r="CA1504" t="s">
        <v>199</v>
      </c>
      <c r="CB1504" t="s">
        <v>19179</v>
      </c>
      <c r="CC1504" t="s">
        <v>201</v>
      </c>
      <c r="CD1504" t="s">
        <v>182</v>
      </c>
      <c r="CE1504" t="s">
        <v>19180</v>
      </c>
      <c r="CF1504" t="s">
        <v>19181</v>
      </c>
      <c r="CG1504" t="s">
        <v>177</v>
      </c>
      <c r="CH1504" t="s">
        <v>19182</v>
      </c>
      <c r="CI1504" t="s">
        <v>649</v>
      </c>
      <c r="CJ1504" t="s">
        <v>3096</v>
      </c>
      <c r="CK1504" t="s">
        <v>232</v>
      </c>
      <c r="CL1504" t="s">
        <v>233</v>
      </c>
      <c r="CM1504" t="s">
        <v>19183</v>
      </c>
      <c r="CN1504" t="s">
        <v>235</v>
      </c>
      <c r="CO1504" t="s">
        <v>183</v>
      </c>
      <c r="CP1504" t="s">
        <v>266</v>
      </c>
      <c r="CS1504" t="s">
        <v>198</v>
      </c>
      <c r="CT1504" t="s">
        <v>16620</v>
      </c>
      <c r="CU1504" t="s">
        <v>292</v>
      </c>
      <c r="CV1504" t="s">
        <v>293</v>
      </c>
      <c r="CW1504" t="s">
        <v>19185</v>
      </c>
      <c r="CX1504" t="s">
        <v>235</v>
      </c>
      <c r="CY1504" t="s">
        <v>183</v>
      </c>
      <c r="CZ1504" t="s">
        <v>211</v>
      </c>
      <c r="DA1504" t="s">
        <v>298</v>
      </c>
      <c r="DC1504" t="s">
        <v>1641</v>
      </c>
      <c r="DM1504" t="s">
        <v>198</v>
      </c>
      <c r="DW1504" t="s">
        <v>198</v>
      </c>
      <c r="EG1504" t="s">
        <v>198</v>
      </c>
      <c r="EQ1504" t="s">
        <v>198</v>
      </c>
      <c r="FA1504" t="s">
        <v>198</v>
      </c>
      <c r="FK1504" t="s">
        <v>198</v>
      </c>
      <c r="FU1504" t="s">
        <v>198</v>
      </c>
    </row>
    <row r="1505" spans="1:177">
      <c r="A1505" s="1" t="str">
        <f>HYPERLINK("http://digipan.lumentumllc.com/apps/getLink/index.php?t=PropLink&amp;p=7112470","PL")</f>
        <v>PL</v>
      </c>
      <c r="B1505" s="1" t="str">
        <f>HYPERLINK("http://digipan.lumentumllc.com/apps/getLink/index.php?t=TaxLink&amp;p=7112470","TL")</f>
        <v>TL</v>
      </c>
      <c r="C1505" s="1" t="str">
        <f>HYPERLINK("http://digipan.lumentumllc.com/apps/getMap/index.php?p=7112470","Map")</f>
        <v>Map</v>
      </c>
      <c r="E1505" t="s">
        <v>177</v>
      </c>
      <c r="F1505" t="s">
        <v>178</v>
      </c>
      <c r="L1505" t="s">
        <v>19213</v>
      </c>
      <c r="N1505" t="s">
        <v>19213</v>
      </c>
      <c r="O1505" t="s">
        <v>19213</v>
      </c>
      <c r="P1505" t="s">
        <v>19214</v>
      </c>
      <c r="Q1505" t="s">
        <v>19213</v>
      </c>
      <c r="V1505">
        <v>1724</v>
      </c>
      <c r="W1505">
        <v>6</v>
      </c>
      <c r="X1505">
        <v>2017</v>
      </c>
      <c r="Y1505">
        <v>2018</v>
      </c>
      <c r="Z1505">
        <v>2475.0700000000002</v>
      </c>
      <c r="AB1505" t="s">
        <v>181</v>
      </c>
      <c r="AC1505" t="s">
        <v>182</v>
      </c>
      <c r="AD1505" t="s">
        <v>183</v>
      </c>
      <c r="AE1505">
        <v>1</v>
      </c>
      <c r="AF1505">
        <v>1</v>
      </c>
      <c r="AG1505" t="s">
        <v>2222</v>
      </c>
      <c r="AH1505">
        <v>50</v>
      </c>
      <c r="AI1505">
        <v>2471.8200000000002</v>
      </c>
      <c r="AJ1505">
        <v>123.59</v>
      </c>
      <c r="AK1505">
        <v>2595.41</v>
      </c>
      <c r="AL1505">
        <v>35000</v>
      </c>
      <c r="AM1505">
        <v>35000</v>
      </c>
      <c r="AN1505">
        <v>0</v>
      </c>
      <c r="AO1505">
        <v>2261</v>
      </c>
      <c r="AP1505">
        <v>2016</v>
      </c>
      <c r="AQ1505">
        <v>7.07</v>
      </c>
      <c r="AR1505">
        <v>7.42</v>
      </c>
      <c r="AS1505" t="s">
        <v>19215</v>
      </c>
      <c r="AT1505" t="s">
        <v>15040</v>
      </c>
      <c r="AU1505" t="s">
        <v>177</v>
      </c>
      <c r="AV1505" t="s">
        <v>371</v>
      </c>
      <c r="AW1505" t="s">
        <v>182</v>
      </c>
      <c r="AX1505">
        <v>0</v>
      </c>
      <c r="AY1505" t="s">
        <v>312</v>
      </c>
      <c r="AZ1505" t="s">
        <v>199</v>
      </c>
      <c r="BA1505" t="s">
        <v>313</v>
      </c>
      <c r="BB1505" t="s">
        <v>191</v>
      </c>
      <c r="BC1505" t="s">
        <v>182</v>
      </c>
      <c r="BD1505" t="s">
        <v>182</v>
      </c>
      <c r="BE1505" t="s">
        <v>3956</v>
      </c>
      <c r="BF1505">
        <v>0</v>
      </c>
      <c r="BG1505">
        <v>0</v>
      </c>
      <c r="BH1505">
        <v>0</v>
      </c>
      <c r="BI1505" t="s">
        <v>199</v>
      </c>
      <c r="BJ1505" t="s">
        <v>396</v>
      </c>
      <c r="BL1505" t="s">
        <v>19178</v>
      </c>
      <c r="BM1505" t="s">
        <v>292</v>
      </c>
      <c r="BN1505" t="s">
        <v>182</v>
      </c>
      <c r="BO1505" t="s">
        <v>198</v>
      </c>
      <c r="BP1505" t="s">
        <v>198</v>
      </c>
      <c r="BQ1505" t="s">
        <v>198</v>
      </c>
      <c r="BR1505" t="s">
        <v>198</v>
      </c>
      <c r="BS1505" t="s">
        <v>198</v>
      </c>
      <c r="BT1505" t="s">
        <v>198</v>
      </c>
      <c r="BU1505" t="s">
        <v>182</v>
      </c>
      <c r="BV1505" t="s">
        <v>198</v>
      </c>
      <c r="BW1505" t="s">
        <v>198</v>
      </c>
      <c r="BX1505" t="s">
        <v>199</v>
      </c>
      <c r="BY1505" t="s">
        <v>198</v>
      </c>
      <c r="BZ1505" t="s">
        <v>199</v>
      </c>
      <c r="CA1505" t="s">
        <v>199</v>
      </c>
      <c r="CB1505" t="s">
        <v>19179</v>
      </c>
      <c r="CC1505" t="s">
        <v>201</v>
      </c>
      <c r="CD1505" t="s">
        <v>182</v>
      </c>
      <c r="CE1505" t="s">
        <v>19180</v>
      </c>
      <c r="CF1505" t="s">
        <v>19181</v>
      </c>
      <c r="CG1505" t="s">
        <v>177</v>
      </c>
      <c r="CH1505" t="s">
        <v>19182</v>
      </c>
      <c r="CI1505" t="s">
        <v>3818</v>
      </c>
      <c r="CJ1505" t="s">
        <v>16408</v>
      </c>
      <c r="CK1505" t="s">
        <v>232</v>
      </c>
      <c r="CL1505" t="s">
        <v>233</v>
      </c>
      <c r="CM1505" t="s">
        <v>19183</v>
      </c>
      <c r="CN1505" t="s">
        <v>235</v>
      </c>
      <c r="CO1505" t="s">
        <v>183</v>
      </c>
      <c r="CP1505" t="s">
        <v>266</v>
      </c>
      <c r="CS1505" t="s">
        <v>198</v>
      </c>
      <c r="CT1505" t="s">
        <v>16638</v>
      </c>
      <c r="CU1505" t="s">
        <v>292</v>
      </c>
      <c r="CV1505" t="s">
        <v>293</v>
      </c>
      <c r="CW1505" t="s">
        <v>19185</v>
      </c>
      <c r="CX1505" t="s">
        <v>235</v>
      </c>
      <c r="CY1505" t="s">
        <v>183</v>
      </c>
      <c r="CZ1505" t="s">
        <v>211</v>
      </c>
      <c r="DA1505" t="s">
        <v>298</v>
      </c>
      <c r="DC1505" t="s">
        <v>1641</v>
      </c>
      <c r="DM1505" t="s">
        <v>198</v>
      </c>
      <c r="DW1505" t="s">
        <v>198</v>
      </c>
      <c r="EG1505" t="s">
        <v>198</v>
      </c>
      <c r="EQ1505" t="s">
        <v>198</v>
      </c>
      <c r="FA1505" t="s">
        <v>198</v>
      </c>
      <c r="FK1505" t="s">
        <v>198</v>
      </c>
      <c r="FU1505" t="s">
        <v>198</v>
      </c>
    </row>
    <row r="1506" spans="1:177">
      <c r="A1506" s="1" t="str">
        <f>HYPERLINK("http://digipan.lumentumllc.com/apps/getLink/index.php?t=PropLink&amp;p=5246712","PL")</f>
        <v>PL</v>
      </c>
      <c r="B1506" s="1" t="str">
        <f>HYPERLINK("http://digipan.lumentumllc.com/apps/getLink/index.php?t=TaxLink&amp;p=5246712","TL")</f>
        <v>TL</v>
      </c>
      <c r="C1506" s="1" t="str">
        <f>HYPERLINK("http://digipan.lumentumllc.com/apps/getMap/index.php?p=5246712","Map")</f>
        <v>Map</v>
      </c>
      <c r="E1506" t="s">
        <v>177</v>
      </c>
      <c r="F1506" t="s">
        <v>178</v>
      </c>
      <c r="L1506" t="s">
        <v>19216</v>
      </c>
      <c r="N1506" t="s">
        <v>19216</v>
      </c>
      <c r="O1506" t="s">
        <v>19216</v>
      </c>
      <c r="P1506" t="s">
        <v>19217</v>
      </c>
      <c r="Q1506" t="s">
        <v>19216</v>
      </c>
      <c r="V1506">
        <v>1725</v>
      </c>
      <c r="W1506">
        <v>6</v>
      </c>
      <c r="X1506">
        <v>2017</v>
      </c>
      <c r="Y1506">
        <v>2018</v>
      </c>
      <c r="Z1506">
        <v>5406.24</v>
      </c>
      <c r="AB1506" t="s">
        <v>181</v>
      </c>
      <c r="AC1506" t="s">
        <v>182</v>
      </c>
      <c r="AD1506" t="s">
        <v>183</v>
      </c>
      <c r="AE1506">
        <v>1</v>
      </c>
      <c r="AF1506">
        <v>5</v>
      </c>
      <c r="AG1506" t="s">
        <v>951</v>
      </c>
      <c r="AH1506">
        <v>80</v>
      </c>
      <c r="AI1506">
        <v>5052.04</v>
      </c>
      <c r="AJ1506">
        <v>252.6</v>
      </c>
      <c r="AK1506">
        <v>5304.64</v>
      </c>
      <c r="AL1506">
        <v>360216</v>
      </c>
      <c r="AM1506">
        <v>199155</v>
      </c>
      <c r="AN1506">
        <v>161061</v>
      </c>
      <c r="AO1506">
        <v>4646</v>
      </c>
      <c r="AP1506">
        <v>2016</v>
      </c>
      <c r="AQ1506">
        <v>1.5</v>
      </c>
      <c r="AR1506">
        <v>1.47</v>
      </c>
      <c r="AS1506" t="s">
        <v>19218</v>
      </c>
      <c r="AT1506" t="s">
        <v>15040</v>
      </c>
      <c r="AU1506" t="s">
        <v>177</v>
      </c>
      <c r="AV1506" t="s">
        <v>371</v>
      </c>
      <c r="AW1506" t="s">
        <v>182</v>
      </c>
      <c r="AX1506">
        <v>21</v>
      </c>
      <c r="AY1506" t="s">
        <v>3641</v>
      </c>
      <c r="AZ1506" t="s">
        <v>345</v>
      </c>
      <c r="BA1506" t="s">
        <v>19026</v>
      </c>
      <c r="BB1506" t="s">
        <v>191</v>
      </c>
      <c r="BC1506" t="s">
        <v>182</v>
      </c>
      <c r="BD1506" t="s">
        <v>182</v>
      </c>
      <c r="BE1506" t="s">
        <v>4272</v>
      </c>
      <c r="BF1506">
        <v>1</v>
      </c>
      <c r="BG1506">
        <v>0</v>
      </c>
      <c r="BH1506">
        <v>1976</v>
      </c>
      <c r="BI1506" t="s">
        <v>19219</v>
      </c>
      <c r="BJ1506" t="s">
        <v>194</v>
      </c>
      <c r="BK1506" t="s">
        <v>840</v>
      </c>
      <c r="BL1506" t="s">
        <v>19220</v>
      </c>
      <c r="BM1506" t="s">
        <v>368</v>
      </c>
      <c r="BN1506" t="s">
        <v>182</v>
      </c>
      <c r="BO1506" t="s">
        <v>19221</v>
      </c>
      <c r="BP1506" t="s">
        <v>19222</v>
      </c>
      <c r="BS1506" t="s">
        <v>19223</v>
      </c>
      <c r="BT1506" t="s">
        <v>198</v>
      </c>
      <c r="BU1506" t="s">
        <v>182</v>
      </c>
      <c r="BV1506" t="s">
        <v>198</v>
      </c>
      <c r="BW1506" t="s">
        <v>198</v>
      </c>
      <c r="BX1506" t="s">
        <v>199</v>
      </c>
      <c r="BY1506" t="s">
        <v>198</v>
      </c>
      <c r="BZ1506" t="s">
        <v>199</v>
      </c>
      <c r="CA1506" t="s">
        <v>199</v>
      </c>
      <c r="CB1506" t="s">
        <v>11715</v>
      </c>
      <c r="CC1506" t="s">
        <v>201</v>
      </c>
      <c r="CD1506" t="s">
        <v>182</v>
      </c>
      <c r="CE1506" t="s">
        <v>11716</v>
      </c>
      <c r="CF1506" t="s">
        <v>1029</v>
      </c>
      <c r="CG1506" t="s">
        <v>177</v>
      </c>
      <c r="CH1506" t="s">
        <v>1030</v>
      </c>
      <c r="CI1506" t="s">
        <v>19224</v>
      </c>
      <c r="CJ1506" t="s">
        <v>17681</v>
      </c>
      <c r="CK1506" t="s">
        <v>232</v>
      </c>
      <c r="CL1506" t="s">
        <v>233</v>
      </c>
      <c r="CM1506" t="s">
        <v>19225</v>
      </c>
      <c r="CN1506" t="s">
        <v>235</v>
      </c>
      <c r="CO1506" t="s">
        <v>183</v>
      </c>
      <c r="CP1506" t="s">
        <v>266</v>
      </c>
      <c r="CS1506" t="s">
        <v>198</v>
      </c>
      <c r="CT1506" t="s">
        <v>3043</v>
      </c>
      <c r="CU1506" t="s">
        <v>267</v>
      </c>
      <c r="CV1506" t="s">
        <v>268</v>
      </c>
      <c r="CW1506" t="s">
        <v>19226</v>
      </c>
      <c r="CX1506" t="s">
        <v>235</v>
      </c>
      <c r="CY1506" t="s">
        <v>183</v>
      </c>
      <c r="CZ1506" t="s">
        <v>211</v>
      </c>
      <c r="DA1506" t="s">
        <v>206</v>
      </c>
      <c r="DC1506" t="s">
        <v>19227</v>
      </c>
      <c r="DD1506" t="s">
        <v>12282</v>
      </c>
      <c r="DE1506" t="s">
        <v>302</v>
      </c>
      <c r="DF1506" t="s">
        <v>303</v>
      </c>
      <c r="DG1506" t="s">
        <v>19228</v>
      </c>
      <c r="DH1506" t="s">
        <v>235</v>
      </c>
      <c r="DI1506" t="s">
        <v>183</v>
      </c>
      <c r="DJ1506" t="s">
        <v>211</v>
      </c>
      <c r="DK1506" t="s">
        <v>298</v>
      </c>
      <c r="DM1506" t="s">
        <v>1071</v>
      </c>
      <c r="DN1506" t="s">
        <v>19229</v>
      </c>
      <c r="DO1506" t="s">
        <v>238</v>
      </c>
      <c r="DP1506" t="s">
        <v>239</v>
      </c>
      <c r="DQ1506" t="s">
        <v>19230</v>
      </c>
      <c r="DR1506" t="s">
        <v>235</v>
      </c>
      <c r="DS1506" t="s">
        <v>183</v>
      </c>
      <c r="DT1506" t="s">
        <v>211</v>
      </c>
      <c r="DU1506" t="s">
        <v>298</v>
      </c>
      <c r="DW1506" t="s">
        <v>546</v>
      </c>
      <c r="DX1506" t="s">
        <v>19231</v>
      </c>
      <c r="DY1506" t="s">
        <v>346</v>
      </c>
      <c r="DZ1506" t="s">
        <v>347</v>
      </c>
      <c r="EA1506" t="s">
        <v>19232</v>
      </c>
      <c r="EB1506" t="s">
        <v>247</v>
      </c>
      <c r="EC1506" t="s">
        <v>183</v>
      </c>
      <c r="ED1506" t="s">
        <v>211</v>
      </c>
      <c r="EE1506" t="s">
        <v>298</v>
      </c>
      <c r="EG1506" t="s">
        <v>878</v>
      </c>
      <c r="EH1506" t="s">
        <v>18630</v>
      </c>
      <c r="EI1506" t="s">
        <v>207</v>
      </c>
      <c r="EJ1506" t="s">
        <v>208</v>
      </c>
      <c r="EK1506" t="s">
        <v>19233</v>
      </c>
      <c r="EL1506" t="s">
        <v>833</v>
      </c>
      <c r="EM1506" t="s">
        <v>183</v>
      </c>
      <c r="EN1506" t="s">
        <v>211</v>
      </c>
      <c r="EO1506" t="s">
        <v>298</v>
      </c>
      <c r="EQ1506" t="s">
        <v>5101</v>
      </c>
      <c r="FA1506" t="s">
        <v>198</v>
      </c>
      <c r="FK1506" t="s">
        <v>198</v>
      </c>
      <c r="FU1506" t="s">
        <v>198</v>
      </c>
    </row>
    <row r="1507" spans="1:177">
      <c r="A1507" s="1" t="str">
        <f>HYPERLINK("http://digipan.lumentumllc.com/apps/getLink/index.php?t=PropLink&amp;p=5246732","PL")</f>
        <v>PL</v>
      </c>
      <c r="B1507" s="1" t="str">
        <f>HYPERLINK("http://digipan.lumentumllc.com/apps/getLink/index.php?t=TaxLink&amp;p=5246732","TL")</f>
        <v>TL</v>
      </c>
      <c r="C1507" s="1" t="str">
        <f>HYPERLINK("http://digipan.lumentumllc.com/apps/getMap/index.php?p=5246732","Map")</f>
        <v>Map</v>
      </c>
      <c r="E1507" t="s">
        <v>177</v>
      </c>
      <c r="F1507" t="s">
        <v>178</v>
      </c>
      <c r="L1507" t="s">
        <v>19234</v>
      </c>
      <c r="N1507" t="s">
        <v>19234</v>
      </c>
      <c r="O1507" t="s">
        <v>19234</v>
      </c>
      <c r="P1507" t="s">
        <v>19235</v>
      </c>
      <c r="Q1507" t="s">
        <v>19234</v>
      </c>
      <c r="V1507">
        <v>1727</v>
      </c>
      <c r="W1507">
        <v>6</v>
      </c>
      <c r="X1507">
        <v>2017</v>
      </c>
      <c r="Y1507">
        <v>2018</v>
      </c>
      <c r="Z1507">
        <v>113.87</v>
      </c>
      <c r="AB1507" t="s">
        <v>181</v>
      </c>
      <c r="AC1507" t="s">
        <v>182</v>
      </c>
      <c r="AD1507" t="s">
        <v>183</v>
      </c>
      <c r="AE1507">
        <v>0</v>
      </c>
      <c r="AF1507">
        <v>3</v>
      </c>
      <c r="AG1507" t="s">
        <v>381</v>
      </c>
      <c r="AH1507">
        <v>100</v>
      </c>
      <c r="AK1507">
        <v>0</v>
      </c>
      <c r="AL1507">
        <v>5000</v>
      </c>
      <c r="AM1507">
        <v>0</v>
      </c>
      <c r="AN1507">
        <v>5000</v>
      </c>
      <c r="AO1507">
        <v>77</v>
      </c>
      <c r="AP1507">
        <v>2016</v>
      </c>
      <c r="AQ1507">
        <v>2.2799999999999998</v>
      </c>
      <c r="AS1507" t="s">
        <v>19236</v>
      </c>
      <c r="AT1507" t="s">
        <v>15040</v>
      </c>
      <c r="AU1507" t="s">
        <v>177</v>
      </c>
      <c r="AV1507" t="s">
        <v>371</v>
      </c>
      <c r="AW1507" t="s">
        <v>182</v>
      </c>
      <c r="AX1507">
        <v>4</v>
      </c>
      <c r="AY1507" t="s">
        <v>188</v>
      </c>
      <c r="AZ1507" t="s">
        <v>296</v>
      </c>
      <c r="BA1507" t="s">
        <v>19069</v>
      </c>
      <c r="BB1507" t="s">
        <v>191</v>
      </c>
      <c r="BC1507" t="s">
        <v>182</v>
      </c>
      <c r="BD1507" t="s">
        <v>182</v>
      </c>
      <c r="BE1507" t="s">
        <v>1722</v>
      </c>
      <c r="BF1507">
        <v>1</v>
      </c>
      <c r="BG1507">
        <v>1</v>
      </c>
      <c r="BH1507">
        <v>2000</v>
      </c>
      <c r="BI1507" t="s">
        <v>4371</v>
      </c>
      <c r="BJ1507" t="s">
        <v>194</v>
      </c>
      <c r="BL1507" t="s">
        <v>199</v>
      </c>
      <c r="BM1507" t="s">
        <v>358</v>
      </c>
      <c r="BN1507" t="s">
        <v>182</v>
      </c>
      <c r="BO1507" t="s">
        <v>198</v>
      </c>
      <c r="BP1507" t="s">
        <v>198</v>
      </c>
      <c r="BQ1507" t="s">
        <v>198</v>
      </c>
      <c r="BR1507" t="s">
        <v>198</v>
      </c>
      <c r="BS1507" t="s">
        <v>198</v>
      </c>
      <c r="BT1507" t="s">
        <v>198</v>
      </c>
      <c r="BU1507" t="s">
        <v>182</v>
      </c>
      <c r="BV1507" t="s">
        <v>198</v>
      </c>
      <c r="BW1507" t="s">
        <v>198</v>
      </c>
      <c r="BX1507" t="s">
        <v>199</v>
      </c>
      <c r="BY1507" t="s">
        <v>198</v>
      </c>
      <c r="BZ1507" t="s">
        <v>199</v>
      </c>
      <c r="CA1507" t="s">
        <v>199</v>
      </c>
      <c r="CB1507" t="s">
        <v>19237</v>
      </c>
      <c r="CC1507" t="s">
        <v>201</v>
      </c>
      <c r="CD1507" t="s">
        <v>182</v>
      </c>
      <c r="CE1507" t="s">
        <v>19238</v>
      </c>
      <c r="CF1507" t="s">
        <v>19239</v>
      </c>
      <c r="CG1507" t="s">
        <v>18836</v>
      </c>
      <c r="CH1507" t="s">
        <v>19240</v>
      </c>
      <c r="CI1507" t="s">
        <v>19241</v>
      </c>
      <c r="CJ1507" t="s">
        <v>18066</v>
      </c>
      <c r="CK1507" t="s">
        <v>273</v>
      </c>
      <c r="CL1507" t="s">
        <v>274</v>
      </c>
      <c r="CM1507" t="s">
        <v>19242</v>
      </c>
      <c r="CN1507" t="s">
        <v>389</v>
      </c>
      <c r="CO1507" t="s">
        <v>183</v>
      </c>
      <c r="CP1507" t="s">
        <v>211</v>
      </c>
      <c r="CQ1507" t="s">
        <v>290</v>
      </c>
      <c r="CS1507" t="s">
        <v>13982</v>
      </c>
      <c r="CT1507" t="s">
        <v>18962</v>
      </c>
      <c r="CU1507" t="s">
        <v>238</v>
      </c>
      <c r="CV1507" t="s">
        <v>239</v>
      </c>
      <c r="CW1507" t="s">
        <v>19243</v>
      </c>
      <c r="CX1507" t="s">
        <v>389</v>
      </c>
      <c r="CY1507" t="s">
        <v>183</v>
      </c>
      <c r="CZ1507" t="s">
        <v>211</v>
      </c>
      <c r="DA1507" t="s">
        <v>806</v>
      </c>
      <c r="DC1507" t="s">
        <v>13982</v>
      </c>
      <c r="DD1507" t="s">
        <v>19244</v>
      </c>
      <c r="DE1507" t="s">
        <v>346</v>
      </c>
      <c r="DF1507" t="s">
        <v>347</v>
      </c>
      <c r="DG1507" t="s">
        <v>19245</v>
      </c>
      <c r="DH1507" t="s">
        <v>576</v>
      </c>
      <c r="DI1507" t="s">
        <v>183</v>
      </c>
      <c r="DJ1507" t="s">
        <v>211</v>
      </c>
      <c r="DK1507" t="s">
        <v>1046</v>
      </c>
      <c r="DM1507" t="s">
        <v>13982</v>
      </c>
      <c r="DW1507" t="s">
        <v>198</v>
      </c>
      <c r="EG1507" t="s">
        <v>198</v>
      </c>
      <c r="EQ1507" t="s">
        <v>198</v>
      </c>
      <c r="FA1507" t="s">
        <v>198</v>
      </c>
      <c r="FK1507" t="s">
        <v>198</v>
      </c>
      <c r="FU1507" t="s">
        <v>198</v>
      </c>
    </row>
    <row r="1508" spans="1:177">
      <c r="A1508" s="1" t="str">
        <f>HYPERLINK("http://digipan.lumentumllc.com/apps/getLink/index.php?t=PropLink&amp;p=5246739","PL")</f>
        <v>PL</v>
      </c>
      <c r="B1508" s="1" t="str">
        <f>HYPERLINK("http://digipan.lumentumllc.com/apps/getLink/index.php?t=TaxLink&amp;p=5246739","TL")</f>
        <v>TL</v>
      </c>
      <c r="C1508" s="1" t="str">
        <f>HYPERLINK("http://digipan.lumentumllc.com/apps/getMap/index.php?p=5246739","Map")</f>
        <v>Map</v>
      </c>
      <c r="E1508" t="s">
        <v>177</v>
      </c>
      <c r="F1508" t="s">
        <v>178</v>
      </c>
      <c r="L1508" t="s">
        <v>19246</v>
      </c>
      <c r="N1508" t="s">
        <v>19246</v>
      </c>
      <c r="O1508" t="s">
        <v>19246</v>
      </c>
      <c r="P1508" t="s">
        <v>19247</v>
      </c>
      <c r="Q1508" t="s">
        <v>19246</v>
      </c>
      <c r="V1508">
        <v>1728</v>
      </c>
      <c r="W1508">
        <v>6</v>
      </c>
      <c r="X1508">
        <v>2017</v>
      </c>
      <c r="Y1508">
        <v>2018</v>
      </c>
      <c r="Z1508">
        <v>113.87</v>
      </c>
      <c r="AB1508" t="s">
        <v>181</v>
      </c>
      <c r="AC1508" t="s">
        <v>182</v>
      </c>
      <c r="AD1508" t="s">
        <v>183</v>
      </c>
      <c r="AE1508">
        <v>1</v>
      </c>
      <c r="AF1508">
        <v>2</v>
      </c>
      <c r="AG1508" t="s">
        <v>363</v>
      </c>
      <c r="AH1508">
        <v>67</v>
      </c>
      <c r="AI1508">
        <v>110.01</v>
      </c>
      <c r="AJ1508">
        <v>5.5</v>
      </c>
      <c r="AK1508">
        <v>115.51</v>
      </c>
      <c r="AL1508">
        <v>5000</v>
      </c>
      <c r="AM1508">
        <v>0</v>
      </c>
      <c r="AN1508">
        <v>5000</v>
      </c>
      <c r="AO1508">
        <v>77</v>
      </c>
      <c r="AP1508">
        <v>2016</v>
      </c>
      <c r="AQ1508">
        <v>2.2799999999999998</v>
      </c>
      <c r="AR1508">
        <v>2.31</v>
      </c>
      <c r="AS1508" t="s">
        <v>19236</v>
      </c>
      <c r="AT1508" t="s">
        <v>15040</v>
      </c>
      <c r="AU1508" t="s">
        <v>177</v>
      </c>
      <c r="AV1508" t="s">
        <v>371</v>
      </c>
      <c r="AW1508" t="s">
        <v>182</v>
      </c>
      <c r="AX1508">
        <v>4</v>
      </c>
      <c r="AY1508" t="s">
        <v>188</v>
      </c>
      <c r="AZ1508" t="s">
        <v>296</v>
      </c>
      <c r="BA1508" t="s">
        <v>19069</v>
      </c>
      <c r="BB1508" t="s">
        <v>191</v>
      </c>
      <c r="BC1508" t="s">
        <v>182</v>
      </c>
      <c r="BD1508" t="s">
        <v>182</v>
      </c>
      <c r="BE1508" t="s">
        <v>1722</v>
      </c>
      <c r="BF1508">
        <v>1</v>
      </c>
      <c r="BG1508">
        <v>1</v>
      </c>
      <c r="BH1508">
        <v>2000</v>
      </c>
      <c r="BI1508" t="s">
        <v>4371</v>
      </c>
      <c r="BJ1508" t="s">
        <v>194</v>
      </c>
      <c r="BL1508" t="s">
        <v>199</v>
      </c>
      <c r="BM1508" t="s">
        <v>358</v>
      </c>
      <c r="BN1508" t="s">
        <v>182</v>
      </c>
      <c r="BO1508" t="s">
        <v>198</v>
      </c>
      <c r="BP1508" t="s">
        <v>198</v>
      </c>
      <c r="BQ1508" t="s">
        <v>198</v>
      </c>
      <c r="BR1508" t="s">
        <v>198</v>
      </c>
      <c r="BS1508" t="s">
        <v>198</v>
      </c>
      <c r="BT1508" t="s">
        <v>198</v>
      </c>
      <c r="BU1508" t="s">
        <v>182</v>
      </c>
      <c r="BV1508" t="s">
        <v>198</v>
      </c>
      <c r="BW1508" t="s">
        <v>198</v>
      </c>
      <c r="BX1508" t="s">
        <v>199</v>
      </c>
      <c r="BY1508" t="s">
        <v>198</v>
      </c>
      <c r="BZ1508" t="s">
        <v>199</v>
      </c>
      <c r="CA1508" t="s">
        <v>199</v>
      </c>
      <c r="CB1508" t="s">
        <v>19237</v>
      </c>
      <c r="CC1508" t="s">
        <v>201</v>
      </c>
      <c r="CD1508" t="s">
        <v>182</v>
      </c>
      <c r="CE1508" t="s">
        <v>19238</v>
      </c>
      <c r="CF1508" t="s">
        <v>19239</v>
      </c>
      <c r="CG1508" t="s">
        <v>18836</v>
      </c>
      <c r="CH1508" t="s">
        <v>19240</v>
      </c>
      <c r="CI1508" t="s">
        <v>19248</v>
      </c>
      <c r="CJ1508" t="s">
        <v>17715</v>
      </c>
      <c r="CK1508" t="s">
        <v>232</v>
      </c>
      <c r="CL1508" t="s">
        <v>233</v>
      </c>
      <c r="CM1508" t="s">
        <v>19249</v>
      </c>
      <c r="CN1508" t="s">
        <v>235</v>
      </c>
      <c r="CO1508" t="s">
        <v>183</v>
      </c>
      <c r="CP1508" t="s">
        <v>266</v>
      </c>
      <c r="CS1508" t="s">
        <v>198</v>
      </c>
      <c r="CT1508" t="s">
        <v>9926</v>
      </c>
      <c r="CU1508" t="s">
        <v>238</v>
      </c>
      <c r="CV1508" t="s">
        <v>239</v>
      </c>
      <c r="CW1508" t="s">
        <v>19243</v>
      </c>
      <c r="CX1508" t="s">
        <v>389</v>
      </c>
      <c r="CY1508" t="s">
        <v>183</v>
      </c>
      <c r="CZ1508" t="s">
        <v>211</v>
      </c>
      <c r="DA1508" t="s">
        <v>345</v>
      </c>
      <c r="DC1508" t="s">
        <v>2753</v>
      </c>
      <c r="DD1508" t="s">
        <v>19250</v>
      </c>
      <c r="DE1508" t="s">
        <v>346</v>
      </c>
      <c r="DF1508" t="s">
        <v>347</v>
      </c>
      <c r="DG1508" t="s">
        <v>19245</v>
      </c>
      <c r="DH1508" t="s">
        <v>576</v>
      </c>
      <c r="DI1508" t="s">
        <v>183</v>
      </c>
      <c r="DJ1508" t="s">
        <v>211</v>
      </c>
      <c r="DK1508" t="s">
        <v>865</v>
      </c>
      <c r="DM1508" t="s">
        <v>2753</v>
      </c>
      <c r="DW1508" t="s">
        <v>198</v>
      </c>
      <c r="EG1508" t="s">
        <v>198</v>
      </c>
      <c r="EQ1508" t="s">
        <v>198</v>
      </c>
      <c r="FA1508" t="s">
        <v>198</v>
      </c>
      <c r="FK1508" t="s">
        <v>198</v>
      </c>
      <c r="FU1508" t="s">
        <v>198</v>
      </c>
    </row>
    <row r="1509" spans="1:177">
      <c r="A1509" s="1" t="str">
        <f>HYPERLINK("http://digipan.lumentumllc.com/apps/getLink/index.php?t=PropLink&amp;p=5246740","PL")</f>
        <v>PL</v>
      </c>
      <c r="B1509" s="1" t="str">
        <f>HYPERLINK("http://digipan.lumentumllc.com/apps/getLink/index.php?t=TaxLink&amp;p=5246740","TL")</f>
        <v>TL</v>
      </c>
      <c r="C1509" s="1" t="str">
        <f>HYPERLINK("http://digipan.lumentumllc.com/apps/getMap/index.php?p=5246740","Map")</f>
        <v>Map</v>
      </c>
      <c r="E1509" t="s">
        <v>177</v>
      </c>
      <c r="F1509" t="s">
        <v>178</v>
      </c>
      <c r="L1509" t="s">
        <v>19251</v>
      </c>
      <c r="N1509" t="s">
        <v>19251</v>
      </c>
      <c r="O1509" t="s">
        <v>19251</v>
      </c>
      <c r="P1509" t="s">
        <v>19252</v>
      </c>
      <c r="Q1509" t="s">
        <v>19251</v>
      </c>
      <c r="V1509">
        <v>1729</v>
      </c>
      <c r="W1509">
        <v>6</v>
      </c>
      <c r="X1509">
        <v>2017</v>
      </c>
      <c r="Y1509">
        <v>2018</v>
      </c>
      <c r="Z1509">
        <v>1278.6500000000001</v>
      </c>
      <c r="AB1509" t="s">
        <v>181</v>
      </c>
      <c r="AC1509" t="s">
        <v>202</v>
      </c>
      <c r="AD1509" t="s">
        <v>183</v>
      </c>
      <c r="AE1509">
        <v>1</v>
      </c>
      <c r="AF1509">
        <v>4</v>
      </c>
      <c r="AG1509" t="s">
        <v>951</v>
      </c>
      <c r="AH1509">
        <v>80</v>
      </c>
      <c r="AI1509">
        <v>1072.93</v>
      </c>
      <c r="AJ1509">
        <v>53.65</v>
      </c>
      <c r="AK1509">
        <v>1126.58</v>
      </c>
      <c r="AL1509">
        <v>85000</v>
      </c>
      <c r="AM1509">
        <v>0</v>
      </c>
      <c r="AN1509">
        <v>85000</v>
      </c>
      <c r="AO1509">
        <v>967</v>
      </c>
      <c r="AP1509">
        <v>2016</v>
      </c>
      <c r="AQ1509">
        <v>1.5</v>
      </c>
      <c r="AR1509">
        <v>1.33</v>
      </c>
      <c r="AS1509" t="s">
        <v>19253</v>
      </c>
      <c r="AT1509" t="s">
        <v>15040</v>
      </c>
      <c r="AU1509" t="s">
        <v>177</v>
      </c>
      <c r="AV1509" t="s">
        <v>371</v>
      </c>
      <c r="AW1509" t="s">
        <v>182</v>
      </c>
      <c r="AX1509">
        <v>4</v>
      </c>
      <c r="AY1509" t="s">
        <v>188</v>
      </c>
      <c r="AZ1509" t="s">
        <v>296</v>
      </c>
      <c r="BA1509" t="s">
        <v>19069</v>
      </c>
      <c r="BB1509" t="s">
        <v>191</v>
      </c>
      <c r="BC1509" t="s">
        <v>182</v>
      </c>
      <c r="BD1509" t="s">
        <v>182</v>
      </c>
      <c r="BE1509" t="s">
        <v>1722</v>
      </c>
      <c r="BF1509">
        <v>1</v>
      </c>
      <c r="BG1509">
        <v>1</v>
      </c>
      <c r="BH1509">
        <v>2000</v>
      </c>
      <c r="BI1509" t="s">
        <v>5748</v>
      </c>
      <c r="BJ1509" t="s">
        <v>194</v>
      </c>
      <c r="BL1509" t="s">
        <v>19254</v>
      </c>
      <c r="BM1509" t="s">
        <v>559</v>
      </c>
      <c r="BN1509" t="s">
        <v>182</v>
      </c>
      <c r="BO1509" t="s">
        <v>198</v>
      </c>
      <c r="BP1509" t="s">
        <v>198</v>
      </c>
      <c r="BQ1509" t="s">
        <v>198</v>
      </c>
      <c r="BR1509" t="s">
        <v>198</v>
      </c>
      <c r="BS1509" t="s">
        <v>198</v>
      </c>
      <c r="BT1509" t="s">
        <v>198</v>
      </c>
      <c r="BU1509" t="s">
        <v>182</v>
      </c>
      <c r="BV1509" t="s">
        <v>198</v>
      </c>
      <c r="BW1509" t="s">
        <v>198</v>
      </c>
      <c r="BX1509" t="s">
        <v>199</v>
      </c>
      <c r="BY1509" t="s">
        <v>198</v>
      </c>
      <c r="BZ1509" t="s">
        <v>199</v>
      </c>
      <c r="CA1509" t="s">
        <v>199</v>
      </c>
      <c r="CB1509" t="s">
        <v>19255</v>
      </c>
      <c r="CC1509" t="s">
        <v>201</v>
      </c>
      <c r="CD1509" t="s">
        <v>182</v>
      </c>
      <c r="CE1509" t="s">
        <v>19256</v>
      </c>
      <c r="CF1509" t="s">
        <v>5331</v>
      </c>
      <c r="CG1509" t="s">
        <v>177</v>
      </c>
      <c r="CH1509" t="s">
        <v>371</v>
      </c>
      <c r="CI1509" t="s">
        <v>19257</v>
      </c>
      <c r="CJ1509" t="s">
        <v>6285</v>
      </c>
      <c r="CK1509" t="s">
        <v>232</v>
      </c>
      <c r="CL1509" t="s">
        <v>233</v>
      </c>
      <c r="CM1509" t="s">
        <v>19258</v>
      </c>
      <c r="CN1509" t="s">
        <v>235</v>
      </c>
      <c r="CO1509" t="s">
        <v>183</v>
      </c>
      <c r="CP1509" t="s">
        <v>266</v>
      </c>
      <c r="CS1509" t="s">
        <v>198</v>
      </c>
      <c r="CT1509" t="s">
        <v>786</v>
      </c>
      <c r="CU1509" t="s">
        <v>267</v>
      </c>
      <c r="CV1509" t="s">
        <v>268</v>
      </c>
      <c r="CW1509" t="s">
        <v>19259</v>
      </c>
      <c r="CX1509" t="s">
        <v>235</v>
      </c>
      <c r="CY1509" t="s">
        <v>183</v>
      </c>
      <c r="CZ1509" t="s">
        <v>211</v>
      </c>
      <c r="DA1509" t="s">
        <v>270</v>
      </c>
      <c r="DB1509" t="s">
        <v>271</v>
      </c>
      <c r="DC1509" t="s">
        <v>6027</v>
      </c>
      <c r="DD1509" t="s">
        <v>19260</v>
      </c>
      <c r="DE1509" t="s">
        <v>273</v>
      </c>
      <c r="DF1509" t="s">
        <v>274</v>
      </c>
      <c r="DG1509" t="s">
        <v>19261</v>
      </c>
      <c r="DH1509" t="s">
        <v>235</v>
      </c>
      <c r="DI1509" t="s">
        <v>183</v>
      </c>
      <c r="DJ1509" t="s">
        <v>211</v>
      </c>
      <c r="DL1509" t="s">
        <v>271</v>
      </c>
      <c r="DM1509" t="s">
        <v>198</v>
      </c>
      <c r="DN1509" t="s">
        <v>14781</v>
      </c>
      <c r="DO1509" t="s">
        <v>302</v>
      </c>
      <c r="DP1509" t="s">
        <v>303</v>
      </c>
      <c r="DQ1509" t="s">
        <v>19262</v>
      </c>
      <c r="DR1509" t="s">
        <v>235</v>
      </c>
      <c r="DS1509" t="s">
        <v>183</v>
      </c>
      <c r="DT1509" t="s">
        <v>211</v>
      </c>
      <c r="DU1509" t="s">
        <v>298</v>
      </c>
      <c r="DW1509" t="s">
        <v>2359</v>
      </c>
      <c r="DX1509" t="s">
        <v>19263</v>
      </c>
      <c r="DY1509" t="s">
        <v>238</v>
      </c>
      <c r="DZ1509" t="s">
        <v>239</v>
      </c>
      <c r="EA1509" t="s">
        <v>19264</v>
      </c>
      <c r="EB1509" t="s">
        <v>235</v>
      </c>
      <c r="EC1509" t="s">
        <v>183</v>
      </c>
      <c r="ED1509" t="s">
        <v>211</v>
      </c>
      <c r="EE1509" t="s">
        <v>298</v>
      </c>
      <c r="EG1509" t="s">
        <v>467</v>
      </c>
      <c r="EQ1509" t="s">
        <v>198</v>
      </c>
      <c r="FA1509" t="s">
        <v>198</v>
      </c>
      <c r="FK1509" t="s">
        <v>198</v>
      </c>
      <c r="FU1509" t="s">
        <v>198</v>
      </c>
    </row>
    <row r="1510" spans="1:177">
      <c r="A1510" s="1" t="str">
        <f>HYPERLINK("http://digipan.lumentumllc.com/apps/getLink/index.php?t=PropLink&amp;p=15751400","PL")</f>
        <v>PL</v>
      </c>
      <c r="B1510" s="1" t="str">
        <f>HYPERLINK("http://digipan.lumentumllc.com/apps/getLink/index.php?t=TaxLink&amp;p=15751400","TL")</f>
        <v>TL</v>
      </c>
      <c r="C1510" s="1" t="str">
        <f>HYPERLINK("http://digipan.lumentumllc.com/apps/getMap/index.php?p=15751400","Map")</f>
        <v>Map</v>
      </c>
      <c r="E1510" t="s">
        <v>177</v>
      </c>
      <c r="F1510" t="s">
        <v>178</v>
      </c>
      <c r="L1510" t="s">
        <v>19265</v>
      </c>
      <c r="N1510" t="s">
        <v>19265</v>
      </c>
      <c r="O1510" t="s">
        <v>19265</v>
      </c>
      <c r="Q1510" t="s">
        <v>19265</v>
      </c>
      <c r="V1510">
        <v>1730</v>
      </c>
      <c r="W1510">
        <v>6</v>
      </c>
      <c r="X1510">
        <v>2017</v>
      </c>
      <c r="Y1510">
        <v>2018</v>
      </c>
      <c r="Z1510">
        <v>1423.67</v>
      </c>
      <c r="AB1510" t="s">
        <v>181</v>
      </c>
      <c r="AC1510" t="s">
        <v>182</v>
      </c>
      <c r="AD1510" t="s">
        <v>183</v>
      </c>
      <c r="AE1510">
        <v>1</v>
      </c>
      <c r="AF1510">
        <v>0</v>
      </c>
      <c r="AG1510" t="s">
        <v>1200</v>
      </c>
      <c r="AH1510">
        <v>0</v>
      </c>
      <c r="AI1510">
        <v>1072.93</v>
      </c>
      <c r="AJ1510">
        <v>53.65</v>
      </c>
      <c r="AK1510">
        <v>1126.58</v>
      </c>
      <c r="AL1510">
        <v>85000</v>
      </c>
      <c r="AM1510">
        <v>0</v>
      </c>
      <c r="AN1510">
        <v>85000</v>
      </c>
      <c r="AO1510">
        <v>967</v>
      </c>
      <c r="AP1510">
        <v>2016</v>
      </c>
      <c r="AQ1510">
        <v>1.67</v>
      </c>
      <c r="AR1510">
        <v>1.33</v>
      </c>
      <c r="AS1510" t="s">
        <v>19266</v>
      </c>
      <c r="AT1510" t="s">
        <v>15040</v>
      </c>
      <c r="AU1510" t="s">
        <v>177</v>
      </c>
      <c r="AV1510" t="s">
        <v>371</v>
      </c>
      <c r="AW1510" t="s">
        <v>182</v>
      </c>
      <c r="AX1510">
        <v>4</v>
      </c>
      <c r="AY1510" t="s">
        <v>188</v>
      </c>
      <c r="AZ1510" t="s">
        <v>296</v>
      </c>
      <c r="BA1510" t="s">
        <v>19069</v>
      </c>
      <c r="BB1510" t="s">
        <v>191</v>
      </c>
      <c r="BC1510" t="s">
        <v>182</v>
      </c>
      <c r="BD1510" t="s">
        <v>182</v>
      </c>
      <c r="BE1510" t="s">
        <v>1722</v>
      </c>
      <c r="BF1510">
        <v>1</v>
      </c>
      <c r="BG1510">
        <v>1</v>
      </c>
      <c r="BH1510">
        <v>2000</v>
      </c>
      <c r="BI1510" t="s">
        <v>5748</v>
      </c>
      <c r="BJ1510" t="s">
        <v>194</v>
      </c>
      <c r="BL1510" t="s">
        <v>19267</v>
      </c>
      <c r="BM1510" t="s">
        <v>232</v>
      </c>
      <c r="BN1510" t="s">
        <v>182</v>
      </c>
      <c r="BO1510" t="s">
        <v>198</v>
      </c>
      <c r="BP1510" t="s">
        <v>198</v>
      </c>
      <c r="BQ1510" t="s">
        <v>198</v>
      </c>
      <c r="BR1510" t="s">
        <v>198</v>
      </c>
      <c r="BS1510" t="s">
        <v>198</v>
      </c>
      <c r="BT1510" t="s">
        <v>198</v>
      </c>
      <c r="BU1510" t="s">
        <v>182</v>
      </c>
      <c r="BV1510" t="s">
        <v>198</v>
      </c>
      <c r="BW1510" t="s">
        <v>198</v>
      </c>
      <c r="BX1510" t="s">
        <v>199</v>
      </c>
      <c r="BY1510" t="s">
        <v>198</v>
      </c>
      <c r="BZ1510" t="s">
        <v>199</v>
      </c>
      <c r="CA1510" t="s">
        <v>199</v>
      </c>
      <c r="CB1510" t="s">
        <v>19268</v>
      </c>
      <c r="CC1510" t="s">
        <v>201</v>
      </c>
      <c r="CD1510" t="s">
        <v>202</v>
      </c>
      <c r="CE1510" t="s">
        <v>19269</v>
      </c>
      <c r="CF1510" t="s">
        <v>19270</v>
      </c>
      <c r="CG1510" t="s">
        <v>19271</v>
      </c>
      <c r="CH1510" t="s">
        <v>19272</v>
      </c>
      <c r="CI1510" t="s">
        <v>19273</v>
      </c>
      <c r="CJ1510" t="s">
        <v>16471</v>
      </c>
      <c r="CK1510" t="s">
        <v>232</v>
      </c>
      <c r="CL1510" t="s">
        <v>233</v>
      </c>
      <c r="CM1510" t="s">
        <v>19258</v>
      </c>
      <c r="CN1510" t="s">
        <v>235</v>
      </c>
      <c r="CO1510" t="s">
        <v>183</v>
      </c>
      <c r="CP1510" t="s">
        <v>266</v>
      </c>
      <c r="CS1510" t="s">
        <v>198</v>
      </c>
      <c r="DC1510" t="s">
        <v>198</v>
      </c>
      <c r="DM1510" t="s">
        <v>198</v>
      </c>
      <c r="DW1510" t="s">
        <v>198</v>
      </c>
      <c r="EG1510" t="s">
        <v>198</v>
      </c>
      <c r="EQ1510" t="s">
        <v>198</v>
      </c>
      <c r="FA1510" t="s">
        <v>198</v>
      </c>
      <c r="FK1510" t="s">
        <v>198</v>
      </c>
      <c r="FU1510" t="s">
        <v>198</v>
      </c>
    </row>
    <row r="1511" spans="1:177">
      <c r="A1511" s="1" t="str">
        <f>HYPERLINK("http://digipan.lumentumllc.com/apps/getLink/index.php?t=PropLink&amp;p=6594248","PL")</f>
        <v>PL</v>
      </c>
      <c r="B1511" s="1" t="str">
        <f>HYPERLINK("http://digipan.lumentumllc.com/apps/getLink/index.php?t=TaxLink&amp;p=6594248","TL")</f>
        <v>TL</v>
      </c>
      <c r="C1511" s="1" t="str">
        <f>HYPERLINK("http://digipan.lumentumllc.com/apps/getMap/index.php?p=6594248","Map")</f>
        <v>Map</v>
      </c>
      <c r="E1511" t="s">
        <v>177</v>
      </c>
      <c r="F1511" t="s">
        <v>178</v>
      </c>
      <c r="L1511" t="s">
        <v>19274</v>
      </c>
      <c r="N1511" t="s">
        <v>19274</v>
      </c>
      <c r="O1511" t="s">
        <v>19274</v>
      </c>
      <c r="P1511" t="s">
        <v>19275</v>
      </c>
      <c r="Q1511" t="s">
        <v>19274</v>
      </c>
      <c r="V1511">
        <v>1731</v>
      </c>
      <c r="W1511">
        <v>6</v>
      </c>
      <c r="X1511">
        <v>2017</v>
      </c>
      <c r="Y1511">
        <v>2018</v>
      </c>
      <c r="Z1511">
        <v>350.34</v>
      </c>
      <c r="AB1511" t="s">
        <v>181</v>
      </c>
      <c r="AC1511" t="s">
        <v>182</v>
      </c>
      <c r="AD1511" t="s">
        <v>183</v>
      </c>
      <c r="AE1511">
        <v>0</v>
      </c>
      <c r="AF1511">
        <v>3</v>
      </c>
      <c r="AG1511" t="s">
        <v>381</v>
      </c>
      <c r="AH1511">
        <v>100</v>
      </c>
      <c r="AK1511">
        <v>0</v>
      </c>
      <c r="AL1511">
        <v>155892</v>
      </c>
      <c r="AM1511">
        <v>40000</v>
      </c>
      <c r="AN1511">
        <v>115892</v>
      </c>
      <c r="AO1511">
        <v>0</v>
      </c>
      <c r="AP1511">
        <v>0</v>
      </c>
      <c r="AQ1511">
        <v>0.22</v>
      </c>
      <c r="AS1511" t="s">
        <v>19276</v>
      </c>
      <c r="AT1511" t="s">
        <v>15040</v>
      </c>
      <c r="AU1511" t="s">
        <v>177</v>
      </c>
      <c r="AV1511" t="s">
        <v>371</v>
      </c>
      <c r="AW1511" t="s">
        <v>202</v>
      </c>
      <c r="AX1511">
        <v>1</v>
      </c>
      <c r="AY1511" t="s">
        <v>188</v>
      </c>
      <c r="AZ1511" t="s">
        <v>206</v>
      </c>
      <c r="BA1511" t="s">
        <v>355</v>
      </c>
      <c r="BB1511" t="s">
        <v>191</v>
      </c>
      <c r="BC1511" t="s">
        <v>182</v>
      </c>
      <c r="BD1511" t="s">
        <v>182</v>
      </c>
      <c r="BE1511" t="s">
        <v>11279</v>
      </c>
      <c r="BF1511">
        <v>1</v>
      </c>
      <c r="BG1511">
        <v>1</v>
      </c>
      <c r="BH1511">
        <v>2001</v>
      </c>
      <c r="BI1511" t="s">
        <v>533</v>
      </c>
      <c r="BJ1511" t="s">
        <v>248</v>
      </c>
      <c r="BK1511" t="s">
        <v>195</v>
      </c>
      <c r="BL1511" t="s">
        <v>199</v>
      </c>
      <c r="BM1511" t="s">
        <v>238</v>
      </c>
      <c r="BN1511" t="s">
        <v>182</v>
      </c>
      <c r="BO1511" t="s">
        <v>198</v>
      </c>
      <c r="BP1511" t="s">
        <v>198</v>
      </c>
      <c r="BQ1511" t="s">
        <v>198</v>
      </c>
      <c r="BR1511" t="s">
        <v>198</v>
      </c>
      <c r="BS1511" t="s">
        <v>198</v>
      </c>
      <c r="BT1511" t="s">
        <v>198</v>
      </c>
      <c r="BU1511" t="s">
        <v>182</v>
      </c>
      <c r="BV1511" t="s">
        <v>198</v>
      </c>
      <c r="BW1511" t="s">
        <v>198</v>
      </c>
      <c r="BX1511" t="s">
        <v>199</v>
      </c>
      <c r="BY1511" t="s">
        <v>198</v>
      </c>
      <c r="BZ1511" t="s">
        <v>199</v>
      </c>
      <c r="CA1511" t="s">
        <v>199</v>
      </c>
      <c r="CB1511" t="s">
        <v>19277</v>
      </c>
      <c r="CC1511" t="s">
        <v>201</v>
      </c>
      <c r="CD1511" t="s">
        <v>202</v>
      </c>
      <c r="CE1511" t="s">
        <v>19278</v>
      </c>
      <c r="CF1511" t="s">
        <v>5331</v>
      </c>
      <c r="CG1511" t="s">
        <v>177</v>
      </c>
      <c r="CH1511" t="s">
        <v>371</v>
      </c>
      <c r="CI1511" t="s">
        <v>4622</v>
      </c>
      <c r="CJ1511" t="s">
        <v>19279</v>
      </c>
      <c r="CK1511" t="s">
        <v>292</v>
      </c>
      <c r="CL1511" t="s">
        <v>293</v>
      </c>
      <c r="CM1511" t="s">
        <v>1673</v>
      </c>
      <c r="CN1511" t="s">
        <v>235</v>
      </c>
      <c r="CO1511" t="s">
        <v>183</v>
      </c>
      <c r="CP1511" t="s">
        <v>211</v>
      </c>
      <c r="CQ1511" t="s">
        <v>199</v>
      </c>
      <c r="CS1511" t="s">
        <v>2946</v>
      </c>
      <c r="CT1511" t="s">
        <v>19280</v>
      </c>
      <c r="CU1511" t="s">
        <v>267</v>
      </c>
      <c r="CV1511" t="s">
        <v>268</v>
      </c>
      <c r="CW1511" t="s">
        <v>19281</v>
      </c>
      <c r="CX1511" t="s">
        <v>235</v>
      </c>
      <c r="CY1511" t="s">
        <v>183</v>
      </c>
      <c r="CZ1511" t="s">
        <v>211</v>
      </c>
      <c r="DA1511" t="s">
        <v>199</v>
      </c>
      <c r="DC1511" t="s">
        <v>5413</v>
      </c>
      <c r="DD1511" t="s">
        <v>18222</v>
      </c>
      <c r="DE1511" t="s">
        <v>273</v>
      </c>
      <c r="DF1511" t="s">
        <v>274</v>
      </c>
      <c r="DG1511" t="s">
        <v>19282</v>
      </c>
      <c r="DH1511" t="s">
        <v>235</v>
      </c>
      <c r="DI1511" t="s">
        <v>183</v>
      </c>
      <c r="DJ1511" t="s">
        <v>211</v>
      </c>
      <c r="DK1511" t="s">
        <v>199</v>
      </c>
      <c r="DM1511" t="s">
        <v>19283</v>
      </c>
      <c r="DW1511" t="s">
        <v>198</v>
      </c>
      <c r="EG1511" t="s">
        <v>198</v>
      </c>
      <c r="EQ1511" t="s">
        <v>198</v>
      </c>
      <c r="FA1511" t="s">
        <v>198</v>
      </c>
      <c r="FK1511" t="s">
        <v>198</v>
      </c>
      <c r="FU1511" t="s">
        <v>198</v>
      </c>
    </row>
    <row r="1512" spans="1:177">
      <c r="A1512" s="1" t="str">
        <f>HYPERLINK("http://digipan.lumentumllc.com/apps/getLink/index.php?t=PropLink&amp;p=6886764","PL")</f>
        <v>PL</v>
      </c>
      <c r="B1512" s="1" t="str">
        <f>HYPERLINK("http://digipan.lumentumllc.com/apps/getLink/index.php?t=TaxLink&amp;p=6886764","TL")</f>
        <v>TL</v>
      </c>
      <c r="C1512" s="1" t="str">
        <f>HYPERLINK("http://digipan.lumentumllc.com/apps/getMap/index.php?p=6886764","Map")</f>
        <v>Map</v>
      </c>
      <c r="E1512" t="s">
        <v>177</v>
      </c>
      <c r="F1512" t="s">
        <v>178</v>
      </c>
      <c r="L1512" t="s">
        <v>19284</v>
      </c>
      <c r="N1512" t="s">
        <v>19284</v>
      </c>
      <c r="O1512" t="s">
        <v>19284</v>
      </c>
      <c r="P1512" t="s">
        <v>19285</v>
      </c>
      <c r="Q1512" t="s">
        <v>19284</v>
      </c>
      <c r="V1512">
        <v>1732</v>
      </c>
      <c r="W1512">
        <v>6</v>
      </c>
      <c r="X1512">
        <v>2017</v>
      </c>
      <c r="Y1512">
        <v>2018</v>
      </c>
      <c r="Z1512">
        <v>59.02</v>
      </c>
      <c r="AB1512" t="s">
        <v>181</v>
      </c>
      <c r="AC1512" t="s">
        <v>182</v>
      </c>
      <c r="AD1512" t="s">
        <v>183</v>
      </c>
      <c r="AE1512">
        <v>0</v>
      </c>
      <c r="AF1512">
        <v>2</v>
      </c>
      <c r="AG1512" t="s">
        <v>216</v>
      </c>
      <c r="AH1512">
        <v>100</v>
      </c>
      <c r="AK1512">
        <v>0</v>
      </c>
      <c r="AL1512">
        <v>1650</v>
      </c>
      <c r="AM1512">
        <v>1650</v>
      </c>
      <c r="AN1512">
        <v>0</v>
      </c>
      <c r="AO1512">
        <v>25</v>
      </c>
      <c r="AP1512">
        <v>2016</v>
      </c>
      <c r="AQ1512">
        <v>3.58</v>
      </c>
      <c r="AS1512" t="s">
        <v>19286</v>
      </c>
      <c r="AT1512" t="s">
        <v>15040</v>
      </c>
      <c r="AU1512" t="s">
        <v>177</v>
      </c>
      <c r="AV1512" t="s">
        <v>371</v>
      </c>
      <c r="AW1512" t="s">
        <v>182</v>
      </c>
      <c r="AX1512">
        <v>0</v>
      </c>
      <c r="AY1512" t="s">
        <v>312</v>
      </c>
      <c r="AZ1512" t="s">
        <v>199</v>
      </c>
      <c r="BA1512" t="s">
        <v>313</v>
      </c>
      <c r="BB1512" t="s">
        <v>191</v>
      </c>
      <c r="BC1512" t="s">
        <v>182</v>
      </c>
      <c r="BD1512" t="s">
        <v>182</v>
      </c>
      <c r="BE1512" t="s">
        <v>4331</v>
      </c>
      <c r="BF1512">
        <v>0</v>
      </c>
      <c r="BG1512">
        <v>0</v>
      </c>
      <c r="BH1512">
        <v>0</v>
      </c>
      <c r="BI1512" t="s">
        <v>199</v>
      </c>
      <c r="BJ1512" t="s">
        <v>315</v>
      </c>
      <c r="BL1512" t="s">
        <v>199</v>
      </c>
      <c r="BM1512" t="s">
        <v>207</v>
      </c>
      <c r="BN1512" t="s">
        <v>182</v>
      </c>
      <c r="BO1512" t="s">
        <v>198</v>
      </c>
      <c r="BP1512" t="s">
        <v>198</v>
      </c>
      <c r="BQ1512" t="s">
        <v>198</v>
      </c>
      <c r="BR1512" t="s">
        <v>198</v>
      </c>
      <c r="BS1512" t="s">
        <v>198</v>
      </c>
      <c r="BT1512" t="s">
        <v>198</v>
      </c>
      <c r="BU1512" t="s">
        <v>182</v>
      </c>
      <c r="BV1512" t="s">
        <v>198</v>
      </c>
      <c r="BW1512" t="s">
        <v>198</v>
      </c>
      <c r="BX1512" t="s">
        <v>199</v>
      </c>
      <c r="BY1512" t="s">
        <v>198</v>
      </c>
      <c r="BZ1512" t="s">
        <v>199</v>
      </c>
      <c r="CA1512" t="s">
        <v>199</v>
      </c>
      <c r="CB1512" t="s">
        <v>19287</v>
      </c>
      <c r="CC1512" t="s">
        <v>201</v>
      </c>
      <c r="CD1512" t="s">
        <v>182</v>
      </c>
      <c r="CE1512" t="s">
        <v>19288</v>
      </c>
      <c r="CF1512" t="s">
        <v>413</v>
      </c>
      <c r="CG1512" t="s">
        <v>177</v>
      </c>
      <c r="CH1512" t="s">
        <v>1044</v>
      </c>
      <c r="CI1512" t="s">
        <v>19289</v>
      </c>
      <c r="CJ1512" t="s">
        <v>19290</v>
      </c>
      <c r="CK1512" t="s">
        <v>292</v>
      </c>
      <c r="CL1512" t="s">
        <v>293</v>
      </c>
      <c r="CM1512" t="s">
        <v>19291</v>
      </c>
      <c r="CN1512" t="s">
        <v>482</v>
      </c>
      <c r="CO1512" t="s">
        <v>183</v>
      </c>
      <c r="CP1512" t="s">
        <v>211</v>
      </c>
      <c r="CQ1512" t="s">
        <v>264</v>
      </c>
      <c r="CS1512" t="s">
        <v>3705</v>
      </c>
      <c r="CT1512" t="s">
        <v>8594</v>
      </c>
      <c r="CU1512" t="s">
        <v>267</v>
      </c>
      <c r="CV1512" t="s">
        <v>268</v>
      </c>
      <c r="CW1512" t="s">
        <v>19292</v>
      </c>
      <c r="CX1512" t="s">
        <v>482</v>
      </c>
      <c r="CY1512" t="s">
        <v>183</v>
      </c>
      <c r="CZ1512" t="s">
        <v>211</v>
      </c>
      <c r="DA1512" t="s">
        <v>471</v>
      </c>
      <c r="DC1512" t="s">
        <v>3705</v>
      </c>
      <c r="DM1512" t="s">
        <v>198</v>
      </c>
      <c r="DW1512" t="s">
        <v>198</v>
      </c>
      <c r="EG1512" t="s">
        <v>198</v>
      </c>
      <c r="EQ1512" t="s">
        <v>198</v>
      </c>
      <c r="FA1512" t="s">
        <v>198</v>
      </c>
      <c r="FK1512" t="s">
        <v>198</v>
      </c>
      <c r="FU1512" t="s">
        <v>198</v>
      </c>
    </row>
    <row r="1513" spans="1:177">
      <c r="A1513" s="1" t="str">
        <f>HYPERLINK("http://digipan.lumentumllc.com/apps/getLink/index.php?t=PropLink&amp;p=6886765","PL")</f>
        <v>PL</v>
      </c>
      <c r="B1513" s="1" t="str">
        <f>HYPERLINK("http://digipan.lumentumllc.com/apps/getLink/index.php?t=TaxLink&amp;p=6886765","TL")</f>
        <v>TL</v>
      </c>
      <c r="C1513" s="1" t="str">
        <f>HYPERLINK("http://digipan.lumentumllc.com/apps/getMap/index.php?p=6886765","Map")</f>
        <v>Map</v>
      </c>
      <c r="E1513" t="s">
        <v>177</v>
      </c>
      <c r="F1513" t="s">
        <v>178</v>
      </c>
      <c r="L1513" t="s">
        <v>19293</v>
      </c>
      <c r="N1513" t="s">
        <v>19293</v>
      </c>
      <c r="O1513" t="s">
        <v>19293</v>
      </c>
      <c r="P1513" t="s">
        <v>19294</v>
      </c>
      <c r="Q1513" t="s">
        <v>19293</v>
      </c>
      <c r="V1513">
        <v>1733</v>
      </c>
      <c r="W1513">
        <v>6</v>
      </c>
      <c r="X1513">
        <v>2017</v>
      </c>
      <c r="Y1513">
        <v>2018</v>
      </c>
      <c r="Z1513">
        <v>74.08</v>
      </c>
      <c r="AB1513" t="s">
        <v>181</v>
      </c>
      <c r="AC1513" t="s">
        <v>182</v>
      </c>
      <c r="AD1513" t="s">
        <v>183</v>
      </c>
      <c r="AE1513">
        <v>0</v>
      </c>
      <c r="AF1513">
        <v>2</v>
      </c>
      <c r="AG1513" t="s">
        <v>216</v>
      </c>
      <c r="AH1513">
        <v>100</v>
      </c>
      <c r="AK1513">
        <v>0</v>
      </c>
      <c r="AL1513">
        <v>2570</v>
      </c>
      <c r="AM1513">
        <v>2570</v>
      </c>
      <c r="AN1513">
        <v>0</v>
      </c>
      <c r="AO1513">
        <v>39</v>
      </c>
      <c r="AP1513">
        <v>2016</v>
      </c>
      <c r="AQ1513">
        <v>2.88</v>
      </c>
      <c r="AS1513" t="s">
        <v>19295</v>
      </c>
      <c r="AT1513" t="s">
        <v>15040</v>
      </c>
      <c r="AU1513" t="s">
        <v>177</v>
      </c>
      <c r="AV1513" t="s">
        <v>371</v>
      </c>
      <c r="AW1513" t="s">
        <v>182</v>
      </c>
      <c r="AX1513">
        <v>0</v>
      </c>
      <c r="AY1513" t="s">
        <v>312</v>
      </c>
      <c r="AZ1513" t="s">
        <v>199</v>
      </c>
      <c r="BA1513" t="s">
        <v>313</v>
      </c>
      <c r="BB1513" t="s">
        <v>191</v>
      </c>
      <c r="BC1513" t="s">
        <v>182</v>
      </c>
      <c r="BD1513" t="s">
        <v>182</v>
      </c>
      <c r="BE1513" t="s">
        <v>9359</v>
      </c>
      <c r="BF1513">
        <v>0</v>
      </c>
      <c r="BG1513">
        <v>0</v>
      </c>
      <c r="BH1513">
        <v>0</v>
      </c>
      <c r="BI1513" t="s">
        <v>199</v>
      </c>
      <c r="BJ1513" t="s">
        <v>315</v>
      </c>
      <c r="BL1513" t="s">
        <v>199</v>
      </c>
      <c r="BM1513" t="s">
        <v>207</v>
      </c>
      <c r="BN1513" t="s">
        <v>182</v>
      </c>
      <c r="BO1513" t="s">
        <v>198</v>
      </c>
      <c r="BP1513" t="s">
        <v>198</v>
      </c>
      <c r="BQ1513" t="s">
        <v>198</v>
      </c>
      <c r="BR1513" t="s">
        <v>198</v>
      </c>
      <c r="BS1513" t="s">
        <v>198</v>
      </c>
      <c r="BT1513" t="s">
        <v>198</v>
      </c>
      <c r="BU1513" t="s">
        <v>182</v>
      </c>
      <c r="BV1513" t="s">
        <v>198</v>
      </c>
      <c r="BW1513" t="s">
        <v>198</v>
      </c>
      <c r="BX1513" t="s">
        <v>199</v>
      </c>
      <c r="BY1513" t="s">
        <v>198</v>
      </c>
      <c r="BZ1513" t="s">
        <v>199</v>
      </c>
      <c r="CA1513" t="s">
        <v>199</v>
      </c>
      <c r="CB1513" t="s">
        <v>19287</v>
      </c>
      <c r="CC1513" t="s">
        <v>201</v>
      </c>
      <c r="CD1513" t="s">
        <v>182</v>
      </c>
      <c r="CE1513" t="s">
        <v>19288</v>
      </c>
      <c r="CF1513" t="s">
        <v>413</v>
      </c>
      <c r="CG1513" t="s">
        <v>177</v>
      </c>
      <c r="CH1513" t="s">
        <v>1044</v>
      </c>
      <c r="CI1513" t="s">
        <v>19289</v>
      </c>
      <c r="CJ1513" t="s">
        <v>8526</v>
      </c>
      <c r="CK1513" t="s">
        <v>292</v>
      </c>
      <c r="CL1513" t="s">
        <v>293</v>
      </c>
      <c r="CM1513" t="s">
        <v>19296</v>
      </c>
      <c r="CN1513" t="s">
        <v>486</v>
      </c>
      <c r="CO1513" t="s">
        <v>183</v>
      </c>
      <c r="CP1513" t="s">
        <v>211</v>
      </c>
      <c r="CQ1513" t="s">
        <v>264</v>
      </c>
      <c r="CS1513" t="s">
        <v>3705</v>
      </c>
      <c r="CT1513" t="s">
        <v>17318</v>
      </c>
      <c r="CU1513" t="s">
        <v>267</v>
      </c>
      <c r="CV1513" t="s">
        <v>268</v>
      </c>
      <c r="CW1513" t="s">
        <v>19297</v>
      </c>
      <c r="CX1513" t="s">
        <v>486</v>
      </c>
      <c r="CY1513" t="s">
        <v>183</v>
      </c>
      <c r="CZ1513" t="s">
        <v>211</v>
      </c>
      <c r="DA1513" t="s">
        <v>471</v>
      </c>
      <c r="DC1513" t="s">
        <v>3705</v>
      </c>
      <c r="DM1513" t="s">
        <v>198</v>
      </c>
      <c r="DW1513" t="s">
        <v>198</v>
      </c>
      <c r="EG1513" t="s">
        <v>198</v>
      </c>
      <c r="EQ1513" t="s">
        <v>198</v>
      </c>
      <c r="FA1513" t="s">
        <v>198</v>
      </c>
      <c r="FK1513" t="s">
        <v>198</v>
      </c>
      <c r="FU1513" t="s">
        <v>198</v>
      </c>
    </row>
    <row r="1514" spans="1:177">
      <c r="A1514" s="1" t="str">
        <f>HYPERLINK("http://digipan.lumentumllc.com/apps/getLink/index.php?t=PropLink&amp;p=5246746","PL")</f>
        <v>PL</v>
      </c>
      <c r="B1514" s="1" t="str">
        <f>HYPERLINK("http://digipan.lumentumllc.com/apps/getLink/index.php?t=TaxLink&amp;p=5246746","TL")</f>
        <v>TL</v>
      </c>
      <c r="C1514" s="1" t="str">
        <f>HYPERLINK("http://digipan.lumentumllc.com/apps/getMap/index.php?p=5246746","Map")</f>
        <v>Map</v>
      </c>
      <c r="E1514" t="s">
        <v>177</v>
      </c>
      <c r="F1514" t="s">
        <v>178</v>
      </c>
      <c r="L1514" t="s">
        <v>19298</v>
      </c>
      <c r="N1514" t="s">
        <v>19298</v>
      </c>
      <c r="O1514" t="s">
        <v>19298</v>
      </c>
      <c r="P1514" t="s">
        <v>19299</v>
      </c>
      <c r="Q1514" t="s">
        <v>19298</v>
      </c>
      <c r="V1514">
        <v>1734</v>
      </c>
      <c r="W1514">
        <v>6</v>
      </c>
      <c r="X1514">
        <v>2017</v>
      </c>
      <c r="Y1514">
        <v>2018</v>
      </c>
      <c r="Z1514">
        <v>1383.13</v>
      </c>
      <c r="AB1514" t="s">
        <v>181</v>
      </c>
      <c r="AC1514" t="s">
        <v>182</v>
      </c>
      <c r="AD1514" t="s">
        <v>183</v>
      </c>
      <c r="AE1514">
        <v>0</v>
      </c>
      <c r="AF1514">
        <v>1</v>
      </c>
      <c r="AG1514" t="s">
        <v>821</v>
      </c>
      <c r="AH1514">
        <v>100</v>
      </c>
      <c r="AK1514">
        <v>0</v>
      </c>
      <c r="AL1514">
        <v>168934</v>
      </c>
      <c r="AM1514">
        <v>50000</v>
      </c>
      <c r="AN1514">
        <v>118934</v>
      </c>
      <c r="AO1514">
        <v>1231</v>
      </c>
      <c r="AP1514">
        <v>2016</v>
      </c>
      <c r="AQ1514">
        <v>0.82</v>
      </c>
      <c r="AS1514" t="s">
        <v>19300</v>
      </c>
      <c r="AT1514" t="s">
        <v>15040</v>
      </c>
      <c r="AU1514" t="s">
        <v>177</v>
      </c>
      <c r="AV1514" t="s">
        <v>371</v>
      </c>
      <c r="AW1514" t="s">
        <v>202</v>
      </c>
      <c r="AX1514">
        <v>1</v>
      </c>
      <c r="AY1514" t="s">
        <v>188</v>
      </c>
      <c r="AZ1514" t="s">
        <v>206</v>
      </c>
      <c r="BA1514" t="s">
        <v>355</v>
      </c>
      <c r="BB1514" t="s">
        <v>191</v>
      </c>
      <c r="BC1514" t="s">
        <v>182</v>
      </c>
      <c r="BD1514" t="s">
        <v>182</v>
      </c>
      <c r="BE1514" t="s">
        <v>11576</v>
      </c>
      <c r="BF1514">
        <v>1</v>
      </c>
      <c r="BG1514">
        <v>1</v>
      </c>
      <c r="BH1514">
        <v>1992</v>
      </c>
      <c r="BI1514" t="s">
        <v>1080</v>
      </c>
      <c r="BJ1514" t="s">
        <v>285</v>
      </c>
      <c r="BK1514" t="s">
        <v>195</v>
      </c>
      <c r="BL1514" t="s">
        <v>199</v>
      </c>
      <c r="BM1514" t="s">
        <v>559</v>
      </c>
      <c r="BN1514" t="s">
        <v>182</v>
      </c>
      <c r="BO1514" t="s">
        <v>19301</v>
      </c>
      <c r="BP1514" t="s">
        <v>19302</v>
      </c>
      <c r="BQ1514" t="s">
        <v>800</v>
      </c>
      <c r="BS1514" t="s">
        <v>198</v>
      </c>
      <c r="BT1514" t="s">
        <v>228</v>
      </c>
      <c r="BU1514" t="s">
        <v>182</v>
      </c>
      <c r="BV1514" t="s">
        <v>198</v>
      </c>
      <c r="BW1514" t="s">
        <v>198</v>
      </c>
      <c r="BX1514" t="s">
        <v>199</v>
      </c>
      <c r="BY1514" t="s">
        <v>198</v>
      </c>
      <c r="BZ1514" t="s">
        <v>199</v>
      </c>
      <c r="CA1514" t="s">
        <v>199</v>
      </c>
      <c r="CB1514" t="s">
        <v>19303</v>
      </c>
      <c r="CC1514" t="s">
        <v>201</v>
      </c>
      <c r="CD1514" t="s">
        <v>182</v>
      </c>
      <c r="CE1514" t="s">
        <v>19304</v>
      </c>
      <c r="CF1514" t="s">
        <v>5331</v>
      </c>
      <c r="CG1514" t="s">
        <v>177</v>
      </c>
      <c r="CH1514" t="s">
        <v>371</v>
      </c>
      <c r="CI1514" t="s">
        <v>15666</v>
      </c>
      <c r="CJ1514" t="s">
        <v>577</v>
      </c>
      <c r="CK1514" t="s">
        <v>346</v>
      </c>
      <c r="CL1514" t="s">
        <v>347</v>
      </c>
      <c r="CM1514" t="s">
        <v>19305</v>
      </c>
      <c r="CN1514" t="s">
        <v>235</v>
      </c>
      <c r="CO1514" t="s">
        <v>183</v>
      </c>
      <c r="CP1514" t="s">
        <v>211</v>
      </c>
      <c r="CQ1514" t="s">
        <v>487</v>
      </c>
      <c r="CS1514" t="s">
        <v>19306</v>
      </c>
      <c r="DC1514" t="s">
        <v>198</v>
      </c>
      <c r="DM1514" t="s">
        <v>198</v>
      </c>
      <c r="DW1514" t="s">
        <v>198</v>
      </c>
      <c r="EG1514" t="s">
        <v>198</v>
      </c>
      <c r="EQ1514" t="s">
        <v>198</v>
      </c>
      <c r="FA1514" t="s">
        <v>198</v>
      </c>
      <c r="FK1514" t="s">
        <v>198</v>
      </c>
      <c r="FU1514" t="s">
        <v>198</v>
      </c>
    </row>
    <row r="1515" spans="1:177">
      <c r="A1515" s="1" t="str">
        <f>HYPERLINK("http://digipan.lumentumllc.com/apps/getLink/index.php?t=PropLink&amp;p=7112485","PL")</f>
        <v>PL</v>
      </c>
      <c r="B1515" s="1" t="str">
        <f>HYPERLINK("http://digipan.lumentumllc.com/apps/getLink/index.php?t=TaxLink&amp;p=7112485","TL")</f>
        <v>TL</v>
      </c>
      <c r="C1515" s="1" t="str">
        <f>HYPERLINK("http://digipan.lumentumllc.com/apps/getMap/index.php?p=7112485","Map")</f>
        <v>Map</v>
      </c>
      <c r="E1515" t="s">
        <v>177</v>
      </c>
      <c r="F1515" t="s">
        <v>178</v>
      </c>
      <c r="L1515" t="s">
        <v>19307</v>
      </c>
      <c r="N1515" t="s">
        <v>19307</v>
      </c>
      <c r="O1515" t="s">
        <v>19307</v>
      </c>
      <c r="P1515" t="s">
        <v>19308</v>
      </c>
      <c r="Q1515" t="s">
        <v>19307</v>
      </c>
      <c r="V1515">
        <v>1735</v>
      </c>
      <c r="W1515">
        <v>6</v>
      </c>
      <c r="X1515">
        <v>2017</v>
      </c>
      <c r="Y1515">
        <v>2018</v>
      </c>
      <c r="Z1515">
        <v>1410.99</v>
      </c>
      <c r="AB1515" t="s">
        <v>181</v>
      </c>
      <c r="AC1515" t="s">
        <v>182</v>
      </c>
      <c r="AD1515" t="s">
        <v>183</v>
      </c>
      <c r="AE1515">
        <v>1</v>
      </c>
      <c r="AF1515">
        <v>1</v>
      </c>
      <c r="AG1515" t="s">
        <v>2222</v>
      </c>
      <c r="AH1515">
        <v>50</v>
      </c>
      <c r="AI1515">
        <v>1304.8800000000001</v>
      </c>
      <c r="AJ1515">
        <v>65.239999999999995</v>
      </c>
      <c r="AK1515">
        <v>1370.12</v>
      </c>
      <c r="AL1515">
        <v>122165</v>
      </c>
      <c r="AM1515">
        <v>87500</v>
      </c>
      <c r="AN1515">
        <v>34665</v>
      </c>
      <c r="AO1515">
        <v>1182</v>
      </c>
      <c r="AP1515">
        <v>2016</v>
      </c>
      <c r="AQ1515">
        <v>1.1499999999999999</v>
      </c>
      <c r="AR1515">
        <v>1.1200000000000001</v>
      </c>
      <c r="AS1515" t="s">
        <v>19309</v>
      </c>
      <c r="AT1515" t="s">
        <v>15040</v>
      </c>
      <c r="AU1515" t="s">
        <v>177</v>
      </c>
      <c r="AV1515" t="s">
        <v>371</v>
      </c>
      <c r="AW1515" t="s">
        <v>202</v>
      </c>
      <c r="AX1515">
        <v>2</v>
      </c>
      <c r="AY1515" t="s">
        <v>188</v>
      </c>
      <c r="AZ1515" t="s">
        <v>189</v>
      </c>
      <c r="BA1515" t="s">
        <v>190</v>
      </c>
      <c r="BB1515" t="s">
        <v>191</v>
      </c>
      <c r="BC1515" t="s">
        <v>182</v>
      </c>
      <c r="BD1515" t="s">
        <v>182</v>
      </c>
      <c r="BE1515" t="s">
        <v>436</v>
      </c>
      <c r="BF1515">
        <v>2</v>
      </c>
      <c r="BG1515">
        <v>2</v>
      </c>
      <c r="BH1515">
        <v>1985</v>
      </c>
      <c r="BI1515" t="s">
        <v>19310</v>
      </c>
      <c r="BJ1515" t="s">
        <v>194</v>
      </c>
      <c r="BK1515" t="s">
        <v>195</v>
      </c>
      <c r="BL1515" t="s">
        <v>199</v>
      </c>
      <c r="BM1515" t="s">
        <v>451</v>
      </c>
      <c r="BN1515" t="s">
        <v>182</v>
      </c>
      <c r="BO1515" t="s">
        <v>198</v>
      </c>
      <c r="BP1515" t="s">
        <v>198</v>
      </c>
      <c r="BQ1515" t="s">
        <v>198</v>
      </c>
      <c r="BR1515" t="s">
        <v>198</v>
      </c>
      <c r="BS1515" t="s">
        <v>198</v>
      </c>
      <c r="BT1515" t="s">
        <v>198</v>
      </c>
      <c r="BU1515" t="s">
        <v>182</v>
      </c>
      <c r="BV1515" t="s">
        <v>198</v>
      </c>
      <c r="BW1515" t="s">
        <v>198</v>
      </c>
      <c r="BX1515" t="s">
        <v>199</v>
      </c>
      <c r="BY1515" t="s">
        <v>198</v>
      </c>
      <c r="BZ1515" t="s">
        <v>199</v>
      </c>
      <c r="CA1515" t="s">
        <v>199</v>
      </c>
      <c r="CB1515" t="s">
        <v>19311</v>
      </c>
      <c r="CC1515" t="s">
        <v>201</v>
      </c>
      <c r="CD1515" t="s">
        <v>182</v>
      </c>
      <c r="CE1515" t="s">
        <v>19312</v>
      </c>
      <c r="CF1515" t="s">
        <v>5331</v>
      </c>
      <c r="CG1515" t="s">
        <v>177</v>
      </c>
      <c r="CH1515" t="s">
        <v>371</v>
      </c>
      <c r="CI1515" t="s">
        <v>19313</v>
      </c>
      <c r="CJ1515" t="s">
        <v>631</v>
      </c>
      <c r="CK1515" t="s">
        <v>232</v>
      </c>
      <c r="CL1515" t="s">
        <v>233</v>
      </c>
      <c r="CM1515" t="s">
        <v>19314</v>
      </c>
      <c r="CN1515" t="s">
        <v>235</v>
      </c>
      <c r="CO1515" t="s">
        <v>183</v>
      </c>
      <c r="CP1515" t="s">
        <v>266</v>
      </c>
      <c r="CS1515" t="s">
        <v>198</v>
      </c>
      <c r="CT1515" t="s">
        <v>5931</v>
      </c>
      <c r="CU1515" t="s">
        <v>292</v>
      </c>
      <c r="CV1515" t="s">
        <v>293</v>
      </c>
      <c r="CW1515" t="s">
        <v>19315</v>
      </c>
      <c r="CX1515" t="s">
        <v>235</v>
      </c>
      <c r="CY1515" t="s">
        <v>183</v>
      </c>
      <c r="CZ1515" t="s">
        <v>211</v>
      </c>
      <c r="DA1515" t="s">
        <v>298</v>
      </c>
      <c r="DC1515" t="s">
        <v>430</v>
      </c>
      <c r="DM1515" t="s">
        <v>198</v>
      </c>
      <c r="DW1515" t="s">
        <v>198</v>
      </c>
      <c r="EG1515" t="s">
        <v>198</v>
      </c>
      <c r="EQ1515" t="s">
        <v>198</v>
      </c>
      <c r="FA1515" t="s">
        <v>198</v>
      </c>
      <c r="FK1515" t="s">
        <v>198</v>
      </c>
      <c r="FU1515" t="s">
        <v>198</v>
      </c>
    </row>
    <row r="1516" spans="1:177">
      <c r="A1516" s="1" t="str">
        <f>HYPERLINK("http://digipan.lumentumllc.com/apps/getLink/index.php?t=PropLink&amp;p=15752431","PL")</f>
        <v>PL</v>
      </c>
      <c r="B1516" s="1" t="str">
        <f>HYPERLINK("http://digipan.lumentumllc.com/apps/getLink/index.php?t=TaxLink&amp;p=15752431","TL")</f>
        <v>TL</v>
      </c>
      <c r="C1516" s="1" t="str">
        <f>HYPERLINK("http://digipan.lumentumllc.com/apps/getMap/index.php?p=15752431","Map")</f>
        <v>Map</v>
      </c>
      <c r="E1516" t="s">
        <v>177</v>
      </c>
      <c r="F1516" t="s">
        <v>178</v>
      </c>
      <c r="L1516" t="s">
        <v>19316</v>
      </c>
      <c r="N1516" t="s">
        <v>19316</v>
      </c>
      <c r="O1516" t="s">
        <v>19316</v>
      </c>
      <c r="Q1516" t="s">
        <v>19316</v>
      </c>
      <c r="V1516">
        <v>1736</v>
      </c>
      <c r="W1516">
        <v>6</v>
      </c>
      <c r="X1516">
        <v>2017</v>
      </c>
      <c r="Y1516">
        <v>2018</v>
      </c>
      <c r="Z1516">
        <v>1341.8</v>
      </c>
      <c r="AG1516" t="s">
        <v>184</v>
      </c>
      <c r="AH1516">
        <v>0</v>
      </c>
      <c r="AK1516">
        <v>0</v>
      </c>
      <c r="AL1516">
        <v>80000</v>
      </c>
      <c r="AM1516">
        <v>80000</v>
      </c>
      <c r="AN1516">
        <v>0</v>
      </c>
      <c r="AO1516">
        <v>1228</v>
      </c>
      <c r="AP1516">
        <v>2016</v>
      </c>
      <c r="AQ1516">
        <v>1.68</v>
      </c>
      <c r="AS1516" t="s">
        <v>19010</v>
      </c>
      <c r="AT1516" t="s">
        <v>15040</v>
      </c>
      <c r="AU1516" t="s">
        <v>177</v>
      </c>
      <c r="AV1516" t="s">
        <v>371</v>
      </c>
      <c r="AW1516" t="s">
        <v>182</v>
      </c>
      <c r="AX1516">
        <v>0</v>
      </c>
      <c r="AY1516" t="s">
        <v>312</v>
      </c>
      <c r="AZ1516" t="s">
        <v>199</v>
      </c>
      <c r="BA1516" t="s">
        <v>313</v>
      </c>
      <c r="BB1516" t="s">
        <v>191</v>
      </c>
      <c r="BC1516" t="s">
        <v>182</v>
      </c>
      <c r="BD1516" t="s">
        <v>182</v>
      </c>
      <c r="BE1516" t="s">
        <v>927</v>
      </c>
      <c r="BF1516">
        <v>0</v>
      </c>
      <c r="BG1516">
        <v>0</v>
      </c>
      <c r="BH1516">
        <v>0</v>
      </c>
      <c r="BI1516" t="s">
        <v>199</v>
      </c>
      <c r="BJ1516" t="s">
        <v>315</v>
      </c>
      <c r="BL1516" t="s">
        <v>19317</v>
      </c>
      <c r="BM1516" t="s">
        <v>292</v>
      </c>
      <c r="BN1516" t="s">
        <v>182</v>
      </c>
      <c r="BO1516" t="s">
        <v>198</v>
      </c>
      <c r="BP1516" t="s">
        <v>198</v>
      </c>
      <c r="BQ1516" t="s">
        <v>198</v>
      </c>
      <c r="BR1516" t="s">
        <v>198</v>
      </c>
      <c r="BS1516" t="s">
        <v>198</v>
      </c>
      <c r="BT1516" t="s">
        <v>198</v>
      </c>
      <c r="BU1516" t="s">
        <v>182</v>
      </c>
      <c r="BV1516" t="s">
        <v>198</v>
      </c>
      <c r="BW1516" t="s">
        <v>198</v>
      </c>
      <c r="BX1516" t="s">
        <v>199</v>
      </c>
      <c r="BY1516" t="s">
        <v>198</v>
      </c>
      <c r="BZ1516" t="s">
        <v>199</v>
      </c>
      <c r="CA1516" t="s">
        <v>199</v>
      </c>
      <c r="CB1516" t="s">
        <v>19318</v>
      </c>
      <c r="CC1516" t="s">
        <v>201</v>
      </c>
      <c r="CD1516" t="s">
        <v>182</v>
      </c>
      <c r="CE1516" t="s">
        <v>19319</v>
      </c>
      <c r="CF1516" t="s">
        <v>19320</v>
      </c>
      <c r="CG1516" t="s">
        <v>177</v>
      </c>
      <c r="CH1516" t="s">
        <v>19321</v>
      </c>
      <c r="CI1516" t="s">
        <v>19322</v>
      </c>
      <c r="CS1516" t="s">
        <v>198</v>
      </c>
      <c r="DC1516" t="s">
        <v>198</v>
      </c>
      <c r="DM1516" t="s">
        <v>198</v>
      </c>
      <c r="DW1516" t="s">
        <v>198</v>
      </c>
      <c r="EG1516" t="s">
        <v>198</v>
      </c>
      <c r="EQ1516" t="s">
        <v>198</v>
      </c>
      <c r="FA1516" t="s">
        <v>198</v>
      </c>
      <c r="FK1516" t="s">
        <v>198</v>
      </c>
      <c r="FU1516" t="s">
        <v>198</v>
      </c>
    </row>
    <row r="1517" spans="1:177">
      <c r="A1517" s="1" t="str">
        <f>HYPERLINK("http://digipan.lumentumllc.com/apps/getLink/index.php?t=PropLink&amp;p=4637941","PL")</f>
        <v>PL</v>
      </c>
      <c r="B1517" s="1" t="str">
        <f>HYPERLINK("http://digipan.lumentumllc.com/apps/getLink/index.php?t=TaxLink&amp;p=4637941","TL")</f>
        <v>TL</v>
      </c>
      <c r="C1517" s="1" t="str">
        <f>HYPERLINK("http://digipan.lumentumllc.com/apps/getMap/index.php?p=4637941","Map")</f>
        <v>Map</v>
      </c>
      <c r="E1517" t="s">
        <v>177</v>
      </c>
      <c r="F1517" t="s">
        <v>178</v>
      </c>
      <c r="L1517" t="s">
        <v>19323</v>
      </c>
      <c r="N1517" t="s">
        <v>19323</v>
      </c>
      <c r="O1517" t="s">
        <v>19323</v>
      </c>
      <c r="P1517" t="s">
        <v>19324</v>
      </c>
      <c r="Q1517" t="s">
        <v>19323</v>
      </c>
      <c r="V1517">
        <v>1737</v>
      </c>
      <c r="W1517">
        <v>6</v>
      </c>
      <c r="X1517">
        <v>2017</v>
      </c>
      <c r="Y1517">
        <v>2018</v>
      </c>
      <c r="Z1517">
        <v>686.07</v>
      </c>
      <c r="AB1517" t="s">
        <v>181</v>
      </c>
      <c r="AC1517" t="s">
        <v>182</v>
      </c>
      <c r="AD1517" t="s">
        <v>183</v>
      </c>
      <c r="AE1517">
        <v>1</v>
      </c>
      <c r="AF1517">
        <v>5</v>
      </c>
      <c r="AG1517" t="s">
        <v>951</v>
      </c>
      <c r="AH1517">
        <v>80</v>
      </c>
      <c r="AI1517">
        <v>749.07</v>
      </c>
      <c r="AJ1517">
        <v>37.450000000000003</v>
      </c>
      <c r="AK1517">
        <v>786.52</v>
      </c>
      <c r="AL1517">
        <v>95864</v>
      </c>
      <c r="AM1517">
        <v>52000</v>
      </c>
      <c r="AN1517">
        <v>43864</v>
      </c>
      <c r="AO1517">
        <v>668</v>
      </c>
      <c r="AP1517">
        <v>2016</v>
      </c>
      <c r="AQ1517">
        <v>0.72</v>
      </c>
      <c r="AR1517">
        <v>0.82</v>
      </c>
      <c r="AS1517" t="s">
        <v>19325</v>
      </c>
      <c r="AT1517" t="s">
        <v>15040</v>
      </c>
      <c r="AU1517" t="s">
        <v>177</v>
      </c>
      <c r="AV1517" t="s">
        <v>371</v>
      </c>
      <c r="AW1517" t="s">
        <v>202</v>
      </c>
      <c r="AX1517">
        <v>2</v>
      </c>
      <c r="AY1517" t="s">
        <v>188</v>
      </c>
      <c r="AZ1517" t="s">
        <v>189</v>
      </c>
      <c r="BA1517" t="s">
        <v>190</v>
      </c>
      <c r="BB1517" t="s">
        <v>191</v>
      </c>
      <c r="BC1517" t="s">
        <v>182</v>
      </c>
      <c r="BD1517" t="s">
        <v>182</v>
      </c>
      <c r="BE1517" t="s">
        <v>19326</v>
      </c>
      <c r="BF1517">
        <v>1</v>
      </c>
      <c r="BG1517">
        <v>1</v>
      </c>
      <c r="BH1517">
        <v>1998</v>
      </c>
      <c r="BI1517" t="s">
        <v>450</v>
      </c>
      <c r="BJ1517" t="s">
        <v>194</v>
      </c>
      <c r="BK1517" t="s">
        <v>195</v>
      </c>
      <c r="BL1517" t="s">
        <v>1753</v>
      </c>
      <c r="BM1517" t="s">
        <v>451</v>
      </c>
      <c r="BN1517" t="s">
        <v>182</v>
      </c>
      <c r="BO1517" t="s">
        <v>198</v>
      </c>
      <c r="BP1517" t="s">
        <v>198</v>
      </c>
      <c r="BQ1517" t="s">
        <v>198</v>
      </c>
      <c r="BR1517" t="s">
        <v>198</v>
      </c>
      <c r="BS1517" t="s">
        <v>198</v>
      </c>
      <c r="BT1517" t="s">
        <v>198</v>
      </c>
      <c r="BU1517" t="s">
        <v>182</v>
      </c>
      <c r="BV1517" t="s">
        <v>198</v>
      </c>
      <c r="BW1517" t="s">
        <v>198</v>
      </c>
      <c r="BX1517" t="s">
        <v>199</v>
      </c>
      <c r="BY1517" t="s">
        <v>198</v>
      </c>
      <c r="BZ1517" t="s">
        <v>199</v>
      </c>
      <c r="CA1517" t="s">
        <v>199</v>
      </c>
      <c r="CB1517" t="s">
        <v>19327</v>
      </c>
      <c r="CC1517" t="s">
        <v>201</v>
      </c>
      <c r="CD1517" t="s">
        <v>182</v>
      </c>
      <c r="CE1517" t="s">
        <v>19328</v>
      </c>
      <c r="CF1517" t="s">
        <v>5331</v>
      </c>
      <c r="CG1517" t="s">
        <v>177</v>
      </c>
      <c r="CH1517" t="s">
        <v>371</v>
      </c>
      <c r="CI1517" t="s">
        <v>2771</v>
      </c>
      <c r="CJ1517" t="s">
        <v>9915</v>
      </c>
      <c r="CK1517" t="s">
        <v>232</v>
      </c>
      <c r="CL1517" t="s">
        <v>233</v>
      </c>
      <c r="CM1517" t="s">
        <v>19329</v>
      </c>
      <c r="CN1517" t="s">
        <v>235</v>
      </c>
      <c r="CO1517" t="s">
        <v>183</v>
      </c>
      <c r="CP1517" t="s">
        <v>266</v>
      </c>
      <c r="CS1517" t="s">
        <v>198</v>
      </c>
      <c r="CT1517" t="s">
        <v>18886</v>
      </c>
      <c r="CU1517" t="s">
        <v>292</v>
      </c>
      <c r="CV1517" t="s">
        <v>293</v>
      </c>
      <c r="CW1517" t="s">
        <v>19330</v>
      </c>
      <c r="CX1517" t="s">
        <v>235</v>
      </c>
      <c r="CY1517" t="s">
        <v>183</v>
      </c>
      <c r="CZ1517" t="s">
        <v>211</v>
      </c>
      <c r="DA1517" t="s">
        <v>296</v>
      </c>
      <c r="DC1517" t="s">
        <v>19331</v>
      </c>
      <c r="DD1517" t="s">
        <v>1360</v>
      </c>
      <c r="DE1517" t="s">
        <v>267</v>
      </c>
      <c r="DF1517" t="s">
        <v>268</v>
      </c>
      <c r="DG1517" t="s">
        <v>19332</v>
      </c>
      <c r="DH1517" t="s">
        <v>235</v>
      </c>
      <c r="DI1517" t="s">
        <v>183</v>
      </c>
      <c r="DJ1517" t="s">
        <v>211</v>
      </c>
      <c r="DK1517" t="s">
        <v>444</v>
      </c>
      <c r="DM1517" t="s">
        <v>19331</v>
      </c>
      <c r="DN1517" t="s">
        <v>7247</v>
      </c>
      <c r="DO1517" t="s">
        <v>273</v>
      </c>
      <c r="DP1517" t="s">
        <v>274</v>
      </c>
      <c r="DQ1517" t="s">
        <v>19333</v>
      </c>
      <c r="DR1517" t="s">
        <v>235</v>
      </c>
      <c r="DS1517" t="s">
        <v>183</v>
      </c>
      <c r="DT1517" t="s">
        <v>211</v>
      </c>
      <c r="DU1517" t="s">
        <v>298</v>
      </c>
      <c r="DW1517" t="s">
        <v>462</v>
      </c>
      <c r="DX1517" t="s">
        <v>10462</v>
      </c>
      <c r="DY1517" t="s">
        <v>238</v>
      </c>
      <c r="DZ1517" t="s">
        <v>239</v>
      </c>
      <c r="EA1517" t="s">
        <v>19334</v>
      </c>
      <c r="EB1517" t="s">
        <v>1341</v>
      </c>
      <c r="EC1517" t="s">
        <v>183</v>
      </c>
      <c r="ED1517" t="s">
        <v>211</v>
      </c>
      <c r="EE1517" t="s">
        <v>298</v>
      </c>
      <c r="EG1517" t="s">
        <v>467</v>
      </c>
      <c r="EH1517" t="s">
        <v>18178</v>
      </c>
      <c r="EI1517" t="s">
        <v>207</v>
      </c>
      <c r="EJ1517" t="s">
        <v>208</v>
      </c>
      <c r="EK1517" t="s">
        <v>19335</v>
      </c>
      <c r="EL1517" t="s">
        <v>1966</v>
      </c>
      <c r="EM1517" t="s">
        <v>183</v>
      </c>
      <c r="EN1517" t="s">
        <v>211</v>
      </c>
      <c r="EO1517" t="s">
        <v>298</v>
      </c>
      <c r="EQ1517" t="s">
        <v>5492</v>
      </c>
      <c r="FA1517" t="s">
        <v>198</v>
      </c>
      <c r="FK1517" t="s">
        <v>198</v>
      </c>
      <c r="FU1517" t="s">
        <v>198</v>
      </c>
    </row>
    <row r="1518" spans="1:177">
      <c r="A1518" s="1" t="str">
        <f>HYPERLINK("http://digipan.lumentumllc.com/apps/getLink/index.php?t=PropLink&amp;p=4638054","PL")</f>
        <v>PL</v>
      </c>
      <c r="B1518" s="1" t="str">
        <f>HYPERLINK("http://digipan.lumentumllc.com/apps/getLink/index.php?t=TaxLink&amp;p=4638054","TL")</f>
        <v>TL</v>
      </c>
      <c r="C1518" s="1" t="str">
        <f>HYPERLINK("http://digipan.lumentumllc.com/apps/getMap/index.php?p=4638054","Map")</f>
        <v>Map</v>
      </c>
      <c r="E1518" t="s">
        <v>177</v>
      </c>
      <c r="F1518" t="s">
        <v>178</v>
      </c>
      <c r="L1518" t="s">
        <v>19336</v>
      </c>
      <c r="N1518" t="s">
        <v>19336</v>
      </c>
      <c r="O1518" t="s">
        <v>19336</v>
      </c>
      <c r="P1518" t="s">
        <v>19337</v>
      </c>
      <c r="Q1518" t="s">
        <v>19336</v>
      </c>
      <c r="V1518">
        <v>1738</v>
      </c>
      <c r="W1518">
        <v>6</v>
      </c>
      <c r="X1518">
        <v>2017</v>
      </c>
      <c r="Y1518">
        <v>2018</v>
      </c>
      <c r="Z1518">
        <v>4351.1099999999997</v>
      </c>
      <c r="AG1518" t="s">
        <v>184</v>
      </c>
      <c r="AH1518">
        <v>0</v>
      </c>
      <c r="AK1518">
        <v>0</v>
      </c>
      <c r="AL1518">
        <v>174319</v>
      </c>
      <c r="AM1518">
        <v>36750</v>
      </c>
      <c r="AN1518">
        <v>137569</v>
      </c>
      <c r="AO1518">
        <v>3984</v>
      </c>
      <c r="AP1518">
        <v>2016</v>
      </c>
      <c r="AQ1518">
        <v>2.5</v>
      </c>
      <c r="AS1518" t="s">
        <v>19338</v>
      </c>
      <c r="AT1518" t="s">
        <v>15040</v>
      </c>
      <c r="AU1518" t="s">
        <v>177</v>
      </c>
      <c r="AV1518" t="s">
        <v>371</v>
      </c>
      <c r="AW1518" t="s">
        <v>202</v>
      </c>
      <c r="AX1518">
        <v>1</v>
      </c>
      <c r="AY1518" t="s">
        <v>188</v>
      </c>
      <c r="AZ1518" t="s">
        <v>206</v>
      </c>
      <c r="BA1518" t="s">
        <v>355</v>
      </c>
      <c r="BB1518" t="s">
        <v>191</v>
      </c>
      <c r="BC1518" t="s">
        <v>182</v>
      </c>
      <c r="BD1518" t="s">
        <v>182</v>
      </c>
      <c r="BE1518" t="s">
        <v>3956</v>
      </c>
      <c r="BF1518">
        <v>1</v>
      </c>
      <c r="BG1518">
        <v>1</v>
      </c>
      <c r="BH1518">
        <v>2013</v>
      </c>
      <c r="BI1518" t="s">
        <v>10217</v>
      </c>
      <c r="BJ1518" t="s">
        <v>1945</v>
      </c>
      <c r="BK1518" t="s">
        <v>195</v>
      </c>
      <c r="BL1518" t="s">
        <v>19339</v>
      </c>
      <c r="BM1518" t="s">
        <v>197</v>
      </c>
      <c r="BN1518" t="s">
        <v>182</v>
      </c>
      <c r="BO1518" t="s">
        <v>19340</v>
      </c>
      <c r="BP1518" t="s">
        <v>19341</v>
      </c>
      <c r="BQ1518" t="s">
        <v>562</v>
      </c>
      <c r="BR1518" t="s">
        <v>2318</v>
      </c>
      <c r="BS1518" t="s">
        <v>198</v>
      </c>
      <c r="BT1518" t="s">
        <v>19342</v>
      </c>
      <c r="BU1518" t="s">
        <v>202</v>
      </c>
      <c r="BV1518" t="s">
        <v>19343</v>
      </c>
      <c r="BW1518" t="s">
        <v>14246</v>
      </c>
      <c r="BX1518" t="s">
        <v>19344</v>
      </c>
      <c r="BY1518" t="s">
        <v>14248</v>
      </c>
      <c r="BZ1518" t="s">
        <v>199</v>
      </c>
      <c r="CA1518" t="s">
        <v>199</v>
      </c>
      <c r="CB1518" t="s">
        <v>19345</v>
      </c>
      <c r="CC1518" t="s">
        <v>201</v>
      </c>
      <c r="CD1518" t="s">
        <v>202</v>
      </c>
      <c r="CE1518" t="s">
        <v>19346</v>
      </c>
      <c r="CF1518" t="s">
        <v>19347</v>
      </c>
      <c r="CG1518" t="s">
        <v>177</v>
      </c>
      <c r="CH1518" t="s">
        <v>371</v>
      </c>
      <c r="CI1518" t="s">
        <v>19348</v>
      </c>
      <c r="CS1518" t="s">
        <v>198</v>
      </c>
      <c r="DC1518" t="s">
        <v>198</v>
      </c>
      <c r="DM1518" t="s">
        <v>198</v>
      </c>
      <c r="DW1518" t="s">
        <v>198</v>
      </c>
      <c r="EG1518" t="s">
        <v>198</v>
      </c>
      <c r="EQ1518" t="s">
        <v>198</v>
      </c>
      <c r="FA1518" t="s">
        <v>198</v>
      </c>
      <c r="FK1518" t="s">
        <v>198</v>
      </c>
      <c r="FU1518" t="s">
        <v>198</v>
      </c>
    </row>
    <row r="1519" spans="1:177">
      <c r="A1519" s="1" t="str">
        <f>HYPERLINK("http://digipan.lumentumllc.com/apps/getLink/index.php?t=PropLink&amp;p=6594290","PL")</f>
        <v>PL</v>
      </c>
      <c r="B1519" s="1" t="str">
        <f>HYPERLINK("http://digipan.lumentumllc.com/apps/getLink/index.php?t=TaxLink&amp;p=6594290","TL")</f>
        <v>TL</v>
      </c>
      <c r="C1519" s="1" t="str">
        <f>HYPERLINK("http://digipan.lumentumllc.com/apps/getMap/index.php?p=6594290","Map")</f>
        <v>Map</v>
      </c>
      <c r="E1519" t="s">
        <v>177</v>
      </c>
      <c r="F1519" t="s">
        <v>178</v>
      </c>
      <c r="L1519" t="s">
        <v>19349</v>
      </c>
      <c r="N1519" t="s">
        <v>19349</v>
      </c>
      <c r="O1519" t="s">
        <v>19349</v>
      </c>
      <c r="P1519" t="s">
        <v>19350</v>
      </c>
      <c r="Q1519" t="s">
        <v>19349</v>
      </c>
      <c r="V1519">
        <v>1739</v>
      </c>
      <c r="W1519">
        <v>6</v>
      </c>
      <c r="X1519">
        <v>2017</v>
      </c>
      <c r="Y1519">
        <v>2018</v>
      </c>
      <c r="Z1519">
        <v>736.4</v>
      </c>
      <c r="AB1519" t="s">
        <v>181</v>
      </c>
      <c r="AC1519" t="s">
        <v>182</v>
      </c>
      <c r="AD1519" t="s">
        <v>183</v>
      </c>
      <c r="AE1519">
        <v>1</v>
      </c>
      <c r="AF1519">
        <v>2</v>
      </c>
      <c r="AG1519" t="s">
        <v>363</v>
      </c>
      <c r="AH1519">
        <v>67</v>
      </c>
      <c r="AI1519">
        <v>716.02</v>
      </c>
      <c r="AJ1519">
        <v>35.799999999999997</v>
      </c>
      <c r="AK1519">
        <v>751.82</v>
      </c>
      <c r="AL1519">
        <v>99542</v>
      </c>
      <c r="AM1519">
        <v>46500</v>
      </c>
      <c r="AN1519">
        <v>53042</v>
      </c>
      <c r="AO1519">
        <v>637</v>
      </c>
      <c r="AP1519">
        <v>2016</v>
      </c>
      <c r="AQ1519">
        <v>0.74</v>
      </c>
      <c r="AR1519">
        <v>0.76</v>
      </c>
      <c r="AS1519" t="s">
        <v>19351</v>
      </c>
      <c r="AT1519" t="s">
        <v>15040</v>
      </c>
      <c r="AU1519" t="s">
        <v>177</v>
      </c>
      <c r="AV1519" t="s">
        <v>371</v>
      </c>
      <c r="AW1519" t="s">
        <v>202</v>
      </c>
      <c r="AX1519">
        <v>2</v>
      </c>
      <c r="AY1519" t="s">
        <v>188</v>
      </c>
      <c r="AZ1519" t="s">
        <v>189</v>
      </c>
      <c r="BA1519" t="s">
        <v>190</v>
      </c>
      <c r="BB1519" t="s">
        <v>191</v>
      </c>
      <c r="BC1519" t="s">
        <v>182</v>
      </c>
      <c r="BD1519" t="s">
        <v>182</v>
      </c>
      <c r="BE1519" t="s">
        <v>4230</v>
      </c>
      <c r="BF1519">
        <v>2</v>
      </c>
      <c r="BG1519">
        <v>2</v>
      </c>
      <c r="BH1519">
        <v>1986</v>
      </c>
      <c r="BI1519" t="s">
        <v>13587</v>
      </c>
      <c r="BJ1519" t="s">
        <v>315</v>
      </c>
      <c r="BK1519" t="s">
        <v>195</v>
      </c>
      <c r="BL1519" t="s">
        <v>199</v>
      </c>
      <c r="BM1519" t="s">
        <v>273</v>
      </c>
      <c r="BN1519" t="s">
        <v>182</v>
      </c>
      <c r="BO1519" t="s">
        <v>19352</v>
      </c>
      <c r="BP1519" t="s">
        <v>7918</v>
      </c>
      <c r="BQ1519" t="s">
        <v>603</v>
      </c>
      <c r="BR1519" t="s">
        <v>563</v>
      </c>
      <c r="BS1519" t="s">
        <v>198</v>
      </c>
      <c r="BT1519" t="s">
        <v>19353</v>
      </c>
      <c r="BU1519" t="s">
        <v>182</v>
      </c>
      <c r="BV1519" t="s">
        <v>198</v>
      </c>
      <c r="BW1519" t="s">
        <v>198</v>
      </c>
      <c r="BX1519" t="s">
        <v>199</v>
      </c>
      <c r="BY1519" t="s">
        <v>198</v>
      </c>
      <c r="BZ1519" t="s">
        <v>199</v>
      </c>
      <c r="CA1519" t="s">
        <v>199</v>
      </c>
      <c r="CB1519" t="s">
        <v>19354</v>
      </c>
      <c r="CC1519" t="s">
        <v>201</v>
      </c>
      <c r="CD1519" t="s">
        <v>182</v>
      </c>
      <c r="CE1519" t="s">
        <v>19355</v>
      </c>
      <c r="CF1519" t="s">
        <v>5331</v>
      </c>
      <c r="CG1519" t="s">
        <v>177</v>
      </c>
      <c r="CH1519" t="s">
        <v>371</v>
      </c>
      <c r="CI1519" t="s">
        <v>19356</v>
      </c>
      <c r="CJ1519" t="s">
        <v>16620</v>
      </c>
      <c r="CK1519" t="s">
        <v>232</v>
      </c>
      <c r="CL1519" t="s">
        <v>233</v>
      </c>
      <c r="CM1519" t="s">
        <v>19357</v>
      </c>
      <c r="CN1519" t="s">
        <v>235</v>
      </c>
      <c r="CO1519" t="s">
        <v>183</v>
      </c>
      <c r="CP1519" t="s">
        <v>266</v>
      </c>
      <c r="CS1519" t="s">
        <v>198</v>
      </c>
      <c r="CT1519" t="s">
        <v>18085</v>
      </c>
      <c r="CU1519" t="s">
        <v>292</v>
      </c>
      <c r="CV1519" t="s">
        <v>293</v>
      </c>
      <c r="CW1519" t="s">
        <v>19358</v>
      </c>
      <c r="CX1519" t="s">
        <v>482</v>
      </c>
      <c r="CY1519" t="s">
        <v>183</v>
      </c>
      <c r="CZ1519" t="s">
        <v>211</v>
      </c>
      <c r="DA1519" t="s">
        <v>298</v>
      </c>
      <c r="DC1519" t="s">
        <v>1066</v>
      </c>
      <c r="DD1519" t="s">
        <v>18300</v>
      </c>
      <c r="DE1519" t="s">
        <v>273</v>
      </c>
      <c r="DF1519" t="s">
        <v>274</v>
      </c>
      <c r="DG1519" t="s">
        <v>19359</v>
      </c>
      <c r="DH1519" t="s">
        <v>235</v>
      </c>
      <c r="DI1519" t="s">
        <v>183</v>
      </c>
      <c r="DJ1519" t="s">
        <v>211</v>
      </c>
      <c r="DK1519" t="s">
        <v>290</v>
      </c>
      <c r="DM1519" t="s">
        <v>4847</v>
      </c>
      <c r="DW1519" t="s">
        <v>198</v>
      </c>
      <c r="EG1519" t="s">
        <v>198</v>
      </c>
      <c r="EQ1519" t="s">
        <v>198</v>
      </c>
      <c r="FA1519" t="s">
        <v>198</v>
      </c>
      <c r="FK1519" t="s">
        <v>198</v>
      </c>
      <c r="FU1519" t="s">
        <v>198</v>
      </c>
    </row>
    <row r="1520" spans="1:177">
      <c r="A1520" s="1" t="str">
        <f>HYPERLINK("http://digipan.lumentumllc.com/apps/getLink/index.php?t=PropLink&amp;p=15753186","PL")</f>
        <v>PL</v>
      </c>
      <c r="B1520" s="1" t="str">
        <f>HYPERLINK("http://digipan.lumentumllc.com/apps/getLink/index.php?t=TaxLink&amp;p=15753186","TL")</f>
        <v>TL</v>
      </c>
      <c r="C1520" s="1" t="str">
        <f>HYPERLINK("http://digipan.lumentumllc.com/apps/getMap/index.php?p=15753186","Map")</f>
        <v>Map</v>
      </c>
      <c r="E1520" t="s">
        <v>177</v>
      </c>
      <c r="F1520" t="s">
        <v>178</v>
      </c>
      <c r="L1520" t="s">
        <v>19360</v>
      </c>
      <c r="N1520" t="s">
        <v>19360</v>
      </c>
      <c r="O1520" t="s">
        <v>19360</v>
      </c>
      <c r="Q1520" t="s">
        <v>19360</v>
      </c>
      <c r="V1520">
        <v>1740</v>
      </c>
      <c r="W1520">
        <v>6</v>
      </c>
      <c r="X1520">
        <v>2017</v>
      </c>
      <c r="Y1520">
        <v>2018</v>
      </c>
      <c r="Z1520">
        <v>658.17</v>
      </c>
      <c r="AG1520" t="s">
        <v>184</v>
      </c>
      <c r="AH1520">
        <v>0</v>
      </c>
      <c r="AK1520">
        <v>0</v>
      </c>
      <c r="AL1520">
        <v>40196</v>
      </c>
      <c r="AM1520">
        <v>34000</v>
      </c>
      <c r="AN1520">
        <v>6196</v>
      </c>
      <c r="AO1520">
        <v>513</v>
      </c>
      <c r="AP1520">
        <v>2016</v>
      </c>
      <c r="AQ1520">
        <v>1.64</v>
      </c>
      <c r="AS1520" t="s">
        <v>19361</v>
      </c>
      <c r="AT1520" t="s">
        <v>15040</v>
      </c>
      <c r="AU1520" t="s">
        <v>177</v>
      </c>
      <c r="AV1520" t="s">
        <v>371</v>
      </c>
      <c r="AW1520" t="s">
        <v>182</v>
      </c>
      <c r="AX1520">
        <v>2</v>
      </c>
      <c r="AY1520" t="s">
        <v>188</v>
      </c>
      <c r="AZ1520" t="s">
        <v>189</v>
      </c>
      <c r="BA1520" t="s">
        <v>190</v>
      </c>
      <c r="BB1520" t="s">
        <v>191</v>
      </c>
      <c r="BC1520" t="s">
        <v>182</v>
      </c>
      <c r="BD1520" t="s">
        <v>182</v>
      </c>
      <c r="BE1520" t="s">
        <v>5030</v>
      </c>
      <c r="BF1520">
        <v>1</v>
      </c>
      <c r="BG1520">
        <v>1</v>
      </c>
      <c r="BH1520">
        <v>1997</v>
      </c>
      <c r="BI1520" t="s">
        <v>1291</v>
      </c>
      <c r="BJ1520" t="s">
        <v>194</v>
      </c>
      <c r="BK1520" t="s">
        <v>195</v>
      </c>
      <c r="BL1520" t="s">
        <v>3374</v>
      </c>
      <c r="BM1520" t="s">
        <v>207</v>
      </c>
      <c r="BN1520" t="s">
        <v>182</v>
      </c>
      <c r="BO1520" t="s">
        <v>560</v>
      </c>
      <c r="BP1520" t="s">
        <v>19362</v>
      </c>
      <c r="BQ1520" t="s">
        <v>562</v>
      </c>
      <c r="BR1520" t="s">
        <v>2318</v>
      </c>
      <c r="BS1520" t="s">
        <v>198</v>
      </c>
      <c r="BT1520" t="s">
        <v>19363</v>
      </c>
      <c r="BU1520" t="s">
        <v>182</v>
      </c>
      <c r="BV1520" t="s">
        <v>198</v>
      </c>
      <c r="BW1520" t="s">
        <v>198</v>
      </c>
      <c r="BX1520" t="s">
        <v>199</v>
      </c>
      <c r="BY1520" t="s">
        <v>198</v>
      </c>
      <c r="BZ1520" t="s">
        <v>199</v>
      </c>
      <c r="CA1520" t="s">
        <v>199</v>
      </c>
      <c r="CB1520" t="s">
        <v>19364</v>
      </c>
      <c r="CC1520" t="s">
        <v>201</v>
      </c>
      <c r="CD1520" t="s">
        <v>202</v>
      </c>
      <c r="CE1520" t="s">
        <v>19365</v>
      </c>
      <c r="CF1520" t="s">
        <v>2333</v>
      </c>
      <c r="CG1520" t="s">
        <v>177</v>
      </c>
      <c r="CH1520" t="s">
        <v>3178</v>
      </c>
      <c r="CI1520" t="s">
        <v>19366</v>
      </c>
      <c r="CS1520" t="s">
        <v>198</v>
      </c>
      <c r="DC1520" t="s">
        <v>198</v>
      </c>
      <c r="DM1520" t="s">
        <v>198</v>
      </c>
      <c r="DW1520" t="s">
        <v>198</v>
      </c>
      <c r="EG1520" t="s">
        <v>198</v>
      </c>
      <c r="EQ1520" t="s">
        <v>198</v>
      </c>
      <c r="FA1520" t="s">
        <v>198</v>
      </c>
      <c r="FK1520" t="s">
        <v>198</v>
      </c>
      <c r="FU1520" t="s">
        <v>198</v>
      </c>
    </row>
    <row r="1521" spans="1:177">
      <c r="A1521" s="1" t="str">
        <f>HYPERLINK("http://digipan.lumentumllc.com/apps/getLink/index.php?t=PropLink&amp;p=5246891","PL")</f>
        <v>PL</v>
      </c>
      <c r="B1521" s="1" t="str">
        <f>HYPERLINK("http://digipan.lumentumllc.com/apps/getLink/index.php?t=TaxLink&amp;p=5246891","TL")</f>
        <v>TL</v>
      </c>
      <c r="C1521" s="1" t="str">
        <f>HYPERLINK("http://digipan.lumentumllc.com/apps/getMap/index.php?p=5246891","Map")</f>
        <v>Map</v>
      </c>
      <c r="E1521" t="s">
        <v>177</v>
      </c>
      <c r="F1521" t="s">
        <v>178</v>
      </c>
      <c r="L1521" t="s">
        <v>19367</v>
      </c>
      <c r="N1521" t="s">
        <v>19367</v>
      </c>
      <c r="O1521" t="s">
        <v>19367</v>
      </c>
      <c r="P1521" t="s">
        <v>19368</v>
      </c>
      <c r="Q1521" t="s">
        <v>19367</v>
      </c>
      <c r="V1521">
        <v>1742</v>
      </c>
      <c r="W1521">
        <v>6</v>
      </c>
      <c r="X1521">
        <v>2017</v>
      </c>
      <c r="Y1521">
        <v>2018</v>
      </c>
      <c r="Z1521">
        <v>508.85</v>
      </c>
      <c r="AB1521" t="s">
        <v>181</v>
      </c>
      <c r="AC1521" t="s">
        <v>182</v>
      </c>
      <c r="AD1521" t="s">
        <v>183</v>
      </c>
      <c r="AE1521">
        <v>2</v>
      </c>
      <c r="AF1521">
        <v>5</v>
      </c>
      <c r="AG1521" t="s">
        <v>794</v>
      </c>
      <c r="AH1521">
        <v>71</v>
      </c>
      <c r="AI1521">
        <v>1018.81</v>
      </c>
      <c r="AJ1521">
        <v>50.94</v>
      </c>
      <c r="AK1521">
        <v>1069.75</v>
      </c>
      <c r="AL1521">
        <v>70894</v>
      </c>
      <c r="AM1521">
        <v>25000</v>
      </c>
      <c r="AN1521">
        <v>45894</v>
      </c>
      <c r="AO1521">
        <v>440</v>
      </c>
      <c r="AP1521">
        <v>2016</v>
      </c>
      <c r="AQ1521">
        <v>0.72</v>
      </c>
      <c r="AR1521">
        <v>1.51</v>
      </c>
      <c r="AS1521" t="s">
        <v>19369</v>
      </c>
      <c r="AT1521" t="s">
        <v>15040</v>
      </c>
      <c r="AU1521" t="s">
        <v>177</v>
      </c>
      <c r="AV1521" t="s">
        <v>371</v>
      </c>
      <c r="AW1521" t="s">
        <v>202</v>
      </c>
      <c r="AX1521">
        <v>2</v>
      </c>
      <c r="AY1521" t="s">
        <v>188</v>
      </c>
      <c r="AZ1521" t="s">
        <v>189</v>
      </c>
      <c r="BA1521" t="s">
        <v>190</v>
      </c>
      <c r="BB1521" t="s">
        <v>191</v>
      </c>
      <c r="BC1521" t="s">
        <v>182</v>
      </c>
      <c r="BD1521" t="s">
        <v>182</v>
      </c>
      <c r="BE1521" t="s">
        <v>383</v>
      </c>
      <c r="BF1521">
        <v>1</v>
      </c>
      <c r="BG1521">
        <v>1</v>
      </c>
      <c r="BH1521">
        <v>1998</v>
      </c>
      <c r="BI1521" t="s">
        <v>2155</v>
      </c>
      <c r="BJ1521" t="s">
        <v>194</v>
      </c>
      <c r="BK1521" t="s">
        <v>195</v>
      </c>
      <c r="BL1521" t="s">
        <v>3175</v>
      </c>
      <c r="BM1521" t="s">
        <v>1311</v>
      </c>
      <c r="BN1521" t="s">
        <v>182</v>
      </c>
      <c r="BO1521" t="s">
        <v>198</v>
      </c>
      <c r="BP1521" t="s">
        <v>198</v>
      </c>
      <c r="BQ1521" t="s">
        <v>198</v>
      </c>
      <c r="BR1521" t="s">
        <v>198</v>
      </c>
      <c r="BS1521" t="s">
        <v>198</v>
      </c>
      <c r="BT1521" t="s">
        <v>198</v>
      </c>
      <c r="BU1521" t="s">
        <v>182</v>
      </c>
      <c r="BV1521" t="s">
        <v>198</v>
      </c>
      <c r="BW1521" t="s">
        <v>198</v>
      </c>
      <c r="BX1521" t="s">
        <v>199</v>
      </c>
      <c r="BY1521" t="s">
        <v>198</v>
      </c>
      <c r="BZ1521" t="s">
        <v>199</v>
      </c>
      <c r="CA1521" t="s">
        <v>199</v>
      </c>
      <c r="CB1521" t="s">
        <v>19370</v>
      </c>
      <c r="CC1521" t="s">
        <v>201</v>
      </c>
      <c r="CD1521" t="s">
        <v>182</v>
      </c>
      <c r="CE1521" t="s">
        <v>19371</v>
      </c>
      <c r="CF1521" t="s">
        <v>5331</v>
      </c>
      <c r="CG1521" t="s">
        <v>177</v>
      </c>
      <c r="CH1521" t="s">
        <v>371</v>
      </c>
      <c r="CI1521" t="s">
        <v>19372</v>
      </c>
      <c r="CJ1521" t="s">
        <v>4861</v>
      </c>
      <c r="CK1521" t="s">
        <v>232</v>
      </c>
      <c r="CL1521" t="s">
        <v>233</v>
      </c>
      <c r="CM1521" t="s">
        <v>19373</v>
      </c>
      <c r="CN1521" t="s">
        <v>235</v>
      </c>
      <c r="CO1521" t="s">
        <v>183</v>
      </c>
      <c r="CP1521" t="s">
        <v>266</v>
      </c>
      <c r="CS1521" t="s">
        <v>198</v>
      </c>
      <c r="CT1521" t="s">
        <v>8793</v>
      </c>
      <c r="CU1521" t="s">
        <v>292</v>
      </c>
      <c r="CV1521" t="s">
        <v>293</v>
      </c>
      <c r="CW1521" t="s">
        <v>19374</v>
      </c>
      <c r="CX1521" t="s">
        <v>235</v>
      </c>
      <c r="CY1521" t="s">
        <v>183</v>
      </c>
      <c r="CZ1521" t="s">
        <v>266</v>
      </c>
      <c r="DC1521" t="s">
        <v>198</v>
      </c>
      <c r="DD1521" t="s">
        <v>18702</v>
      </c>
      <c r="DE1521" t="s">
        <v>267</v>
      </c>
      <c r="DF1521" t="s">
        <v>268</v>
      </c>
      <c r="DG1521" t="s">
        <v>19375</v>
      </c>
      <c r="DH1521" t="s">
        <v>235</v>
      </c>
      <c r="DI1521" t="s">
        <v>183</v>
      </c>
      <c r="DJ1521" t="s">
        <v>211</v>
      </c>
      <c r="DK1521" t="s">
        <v>298</v>
      </c>
      <c r="DM1521" t="s">
        <v>5919</v>
      </c>
      <c r="DN1521" t="s">
        <v>18337</v>
      </c>
      <c r="DO1521" t="s">
        <v>273</v>
      </c>
      <c r="DP1521" t="s">
        <v>274</v>
      </c>
      <c r="DQ1521" t="s">
        <v>19376</v>
      </c>
      <c r="DR1521" t="s">
        <v>235</v>
      </c>
      <c r="DS1521" t="s">
        <v>183</v>
      </c>
      <c r="DT1521" t="s">
        <v>211</v>
      </c>
      <c r="DU1521" t="s">
        <v>298</v>
      </c>
      <c r="DW1521" t="s">
        <v>434</v>
      </c>
      <c r="DX1521" t="s">
        <v>19377</v>
      </c>
      <c r="DY1521" t="s">
        <v>302</v>
      </c>
      <c r="DZ1521" t="s">
        <v>303</v>
      </c>
      <c r="EA1521" t="s">
        <v>19378</v>
      </c>
      <c r="EB1521" t="s">
        <v>3342</v>
      </c>
      <c r="EC1521" t="s">
        <v>183</v>
      </c>
      <c r="ED1521" t="s">
        <v>211</v>
      </c>
      <c r="EE1521" t="s">
        <v>298</v>
      </c>
      <c r="EG1521" t="s">
        <v>1131</v>
      </c>
      <c r="EH1521" t="s">
        <v>6169</v>
      </c>
      <c r="EI1521" t="s">
        <v>238</v>
      </c>
      <c r="EJ1521" t="s">
        <v>239</v>
      </c>
      <c r="EK1521" t="s">
        <v>19379</v>
      </c>
      <c r="EL1521" t="s">
        <v>278</v>
      </c>
      <c r="EM1521" t="s">
        <v>183</v>
      </c>
      <c r="EN1521" t="s">
        <v>211</v>
      </c>
      <c r="EO1521" t="s">
        <v>298</v>
      </c>
      <c r="EQ1521" t="s">
        <v>441</v>
      </c>
      <c r="ER1521" t="s">
        <v>19380</v>
      </c>
      <c r="ES1521" t="s">
        <v>346</v>
      </c>
      <c r="ET1521" t="s">
        <v>347</v>
      </c>
      <c r="EU1521" t="s">
        <v>19381</v>
      </c>
      <c r="EV1521" t="s">
        <v>278</v>
      </c>
      <c r="EW1521" t="s">
        <v>183</v>
      </c>
      <c r="EX1521" t="s">
        <v>211</v>
      </c>
      <c r="EY1521" t="s">
        <v>298</v>
      </c>
      <c r="FA1521" t="s">
        <v>1818</v>
      </c>
      <c r="FK1521" t="s">
        <v>198</v>
      </c>
      <c r="FU1521" t="s">
        <v>198</v>
      </c>
    </row>
    <row r="1522" spans="1:177">
      <c r="A1522" s="1" t="str">
        <f>HYPERLINK("http://digipan.lumentumllc.com/apps/getLink/index.php?t=PropLink&amp;p=5246892","PL")</f>
        <v>PL</v>
      </c>
      <c r="B1522" s="1" t="str">
        <f>HYPERLINK("http://digipan.lumentumllc.com/apps/getLink/index.php?t=TaxLink&amp;p=5246892","TL")</f>
        <v>TL</v>
      </c>
      <c r="C1522" s="1" t="str">
        <f>HYPERLINK("http://digipan.lumentumllc.com/apps/getMap/index.php?p=5246892","Map")</f>
        <v>Map</v>
      </c>
      <c r="E1522" t="s">
        <v>177</v>
      </c>
      <c r="F1522" t="s">
        <v>178</v>
      </c>
      <c r="L1522" t="s">
        <v>19382</v>
      </c>
      <c r="N1522" t="s">
        <v>19382</v>
      </c>
      <c r="O1522" t="s">
        <v>19382</v>
      </c>
      <c r="P1522" t="s">
        <v>19383</v>
      </c>
      <c r="Q1522" t="s">
        <v>19382</v>
      </c>
      <c r="V1522">
        <v>1743</v>
      </c>
      <c r="W1522">
        <v>6</v>
      </c>
      <c r="X1522">
        <v>2017</v>
      </c>
      <c r="Y1522">
        <v>2018</v>
      </c>
      <c r="Z1522">
        <v>875.86</v>
      </c>
      <c r="AB1522" t="s">
        <v>181</v>
      </c>
      <c r="AC1522" t="s">
        <v>182</v>
      </c>
      <c r="AD1522" t="s">
        <v>183</v>
      </c>
      <c r="AE1522">
        <v>1</v>
      </c>
      <c r="AF1522">
        <v>3</v>
      </c>
      <c r="AG1522" t="s">
        <v>363</v>
      </c>
      <c r="AH1522">
        <v>67</v>
      </c>
      <c r="AI1522">
        <v>695.8</v>
      </c>
      <c r="AJ1522">
        <v>34.79</v>
      </c>
      <c r="AK1522">
        <v>730.59</v>
      </c>
      <c r="AL1522">
        <v>105419</v>
      </c>
      <c r="AM1522">
        <v>50000</v>
      </c>
      <c r="AN1522">
        <v>55419</v>
      </c>
      <c r="AO1522">
        <v>765</v>
      </c>
      <c r="AP1522">
        <v>2016</v>
      </c>
      <c r="AQ1522">
        <v>0.83</v>
      </c>
      <c r="AR1522">
        <v>0.69</v>
      </c>
      <c r="AS1522" t="s">
        <v>19384</v>
      </c>
      <c r="AT1522" t="s">
        <v>15040</v>
      </c>
      <c r="AU1522" t="s">
        <v>177</v>
      </c>
      <c r="AV1522" t="s">
        <v>371</v>
      </c>
      <c r="AW1522" t="s">
        <v>202</v>
      </c>
      <c r="AX1522">
        <v>2</v>
      </c>
      <c r="AY1522" t="s">
        <v>188</v>
      </c>
      <c r="AZ1522" t="s">
        <v>189</v>
      </c>
      <c r="BA1522" t="s">
        <v>190</v>
      </c>
      <c r="BB1522" t="s">
        <v>191</v>
      </c>
      <c r="BC1522" t="s">
        <v>182</v>
      </c>
      <c r="BD1522" t="s">
        <v>182</v>
      </c>
      <c r="BE1522" t="s">
        <v>365</v>
      </c>
      <c r="BF1522">
        <v>1</v>
      </c>
      <c r="BG1522">
        <v>1</v>
      </c>
      <c r="BH1522">
        <v>1999</v>
      </c>
      <c r="BI1522" t="s">
        <v>4667</v>
      </c>
      <c r="BJ1522" t="s">
        <v>194</v>
      </c>
      <c r="BK1522" t="s">
        <v>195</v>
      </c>
      <c r="BL1522" t="s">
        <v>8937</v>
      </c>
      <c r="BM1522" t="s">
        <v>238</v>
      </c>
      <c r="BN1522" t="s">
        <v>182</v>
      </c>
      <c r="BO1522" t="s">
        <v>1721</v>
      </c>
      <c r="BP1522" t="s">
        <v>19385</v>
      </c>
      <c r="BR1522" t="s">
        <v>1723</v>
      </c>
      <c r="BS1522" t="s">
        <v>19386</v>
      </c>
      <c r="BT1522" t="s">
        <v>4815</v>
      </c>
      <c r="BU1522" t="s">
        <v>182</v>
      </c>
      <c r="BV1522" t="s">
        <v>198</v>
      </c>
      <c r="BW1522" t="s">
        <v>198</v>
      </c>
      <c r="BX1522" t="s">
        <v>199</v>
      </c>
      <c r="BY1522" t="s">
        <v>198</v>
      </c>
      <c r="BZ1522" t="s">
        <v>199</v>
      </c>
      <c r="CA1522" t="s">
        <v>199</v>
      </c>
      <c r="CB1522" t="s">
        <v>19387</v>
      </c>
      <c r="CC1522" t="s">
        <v>201</v>
      </c>
      <c r="CD1522" t="s">
        <v>182</v>
      </c>
      <c r="CE1522" t="s">
        <v>19388</v>
      </c>
      <c r="CF1522" t="s">
        <v>5331</v>
      </c>
      <c r="CG1522" t="s">
        <v>177</v>
      </c>
      <c r="CH1522" t="s">
        <v>371</v>
      </c>
      <c r="CI1522" t="s">
        <v>19389</v>
      </c>
      <c r="CJ1522" t="s">
        <v>13112</v>
      </c>
      <c r="CK1522" t="s">
        <v>273</v>
      </c>
      <c r="CL1522" t="s">
        <v>274</v>
      </c>
      <c r="CM1522" t="s">
        <v>19390</v>
      </c>
      <c r="CN1522" t="s">
        <v>235</v>
      </c>
      <c r="CO1522" t="s">
        <v>183</v>
      </c>
      <c r="CP1522" t="s">
        <v>266</v>
      </c>
      <c r="CS1522" t="s">
        <v>198</v>
      </c>
      <c r="CT1522" t="s">
        <v>19391</v>
      </c>
      <c r="CU1522" t="s">
        <v>302</v>
      </c>
      <c r="CV1522" t="s">
        <v>303</v>
      </c>
      <c r="CW1522" t="s">
        <v>19392</v>
      </c>
      <c r="CX1522" t="s">
        <v>3342</v>
      </c>
      <c r="CY1522" t="s">
        <v>183</v>
      </c>
      <c r="CZ1522" t="s">
        <v>211</v>
      </c>
      <c r="DA1522" t="s">
        <v>345</v>
      </c>
      <c r="DC1522" t="s">
        <v>3807</v>
      </c>
      <c r="DD1522" t="s">
        <v>19393</v>
      </c>
      <c r="DE1522" t="s">
        <v>238</v>
      </c>
      <c r="DF1522" t="s">
        <v>239</v>
      </c>
      <c r="DG1522" t="s">
        <v>19394</v>
      </c>
      <c r="DH1522" t="s">
        <v>440</v>
      </c>
      <c r="DI1522" t="s">
        <v>183</v>
      </c>
      <c r="DJ1522" t="s">
        <v>211</v>
      </c>
      <c r="DK1522" t="s">
        <v>345</v>
      </c>
      <c r="DM1522" t="s">
        <v>4460</v>
      </c>
      <c r="DN1522" t="s">
        <v>18368</v>
      </c>
      <c r="DO1522" t="s">
        <v>207</v>
      </c>
      <c r="DP1522" t="s">
        <v>208</v>
      </c>
      <c r="DQ1522" t="s">
        <v>19395</v>
      </c>
      <c r="DR1522" t="s">
        <v>341</v>
      </c>
      <c r="DS1522" t="s">
        <v>183</v>
      </c>
      <c r="DT1522" t="s">
        <v>211</v>
      </c>
      <c r="DU1522" t="s">
        <v>342</v>
      </c>
      <c r="DW1522" t="s">
        <v>6588</v>
      </c>
      <c r="EG1522" t="s">
        <v>198</v>
      </c>
      <c r="EQ1522" t="s">
        <v>198</v>
      </c>
      <c r="FA1522" t="s">
        <v>198</v>
      </c>
      <c r="FK1522" t="s">
        <v>198</v>
      </c>
      <c r="FU1522" t="s">
        <v>198</v>
      </c>
    </row>
    <row r="1523" spans="1:177">
      <c r="A1523" s="1" t="str">
        <f>HYPERLINK("http://digipan.lumentumllc.com/apps/getLink/index.php?t=PropLink&amp;p=5246893","PL")</f>
        <v>PL</v>
      </c>
      <c r="B1523" s="1" t="str">
        <f>HYPERLINK("http://digipan.lumentumllc.com/apps/getLink/index.php?t=TaxLink&amp;p=5246893","TL")</f>
        <v>TL</v>
      </c>
      <c r="C1523" s="1" t="str">
        <f>HYPERLINK("http://digipan.lumentumllc.com/apps/getMap/index.php?p=5246893","Map")</f>
        <v>Map</v>
      </c>
      <c r="E1523" t="s">
        <v>177</v>
      </c>
      <c r="F1523" t="s">
        <v>178</v>
      </c>
      <c r="L1523" t="s">
        <v>19396</v>
      </c>
      <c r="N1523" t="s">
        <v>19396</v>
      </c>
      <c r="O1523" t="s">
        <v>19396</v>
      </c>
      <c r="P1523" t="s">
        <v>19397</v>
      </c>
      <c r="Q1523" t="s">
        <v>19396</v>
      </c>
      <c r="V1523">
        <v>1744</v>
      </c>
      <c r="W1523">
        <v>6</v>
      </c>
      <c r="X1523">
        <v>2017</v>
      </c>
      <c r="Y1523">
        <v>2018</v>
      </c>
      <c r="Z1523">
        <v>1140.98</v>
      </c>
      <c r="AB1523" t="s">
        <v>181</v>
      </c>
      <c r="AC1523" t="s">
        <v>202</v>
      </c>
      <c r="AD1523" t="s">
        <v>183</v>
      </c>
      <c r="AE1523">
        <v>0</v>
      </c>
      <c r="AF1523">
        <v>7</v>
      </c>
      <c r="AG1523" t="s">
        <v>528</v>
      </c>
      <c r="AH1523">
        <v>100</v>
      </c>
      <c r="AK1523">
        <v>0</v>
      </c>
      <c r="AL1523">
        <v>74274</v>
      </c>
      <c r="AM1523">
        <v>25000</v>
      </c>
      <c r="AN1523">
        <v>49274</v>
      </c>
      <c r="AO1523">
        <v>879</v>
      </c>
      <c r="AP1523">
        <v>2016</v>
      </c>
      <c r="AQ1523">
        <v>1.54</v>
      </c>
      <c r="AS1523" t="s">
        <v>19398</v>
      </c>
      <c r="AT1523" t="s">
        <v>15040</v>
      </c>
      <c r="AU1523" t="s">
        <v>177</v>
      </c>
      <c r="AV1523" t="s">
        <v>371</v>
      </c>
      <c r="AW1523" t="s">
        <v>182</v>
      </c>
      <c r="AX1523">
        <v>2</v>
      </c>
      <c r="AY1523" t="s">
        <v>188</v>
      </c>
      <c r="AZ1523" t="s">
        <v>189</v>
      </c>
      <c r="BA1523" t="s">
        <v>190</v>
      </c>
      <c r="BB1523" t="s">
        <v>191</v>
      </c>
      <c r="BC1523" t="s">
        <v>182</v>
      </c>
      <c r="BD1523" t="s">
        <v>182</v>
      </c>
      <c r="BE1523" t="s">
        <v>383</v>
      </c>
      <c r="BF1523">
        <v>1</v>
      </c>
      <c r="BG1523">
        <v>1</v>
      </c>
      <c r="BH1523">
        <v>1998</v>
      </c>
      <c r="BI1523" t="s">
        <v>9926</v>
      </c>
      <c r="BJ1523" t="s">
        <v>396</v>
      </c>
      <c r="BK1523" t="s">
        <v>195</v>
      </c>
      <c r="BL1523" t="s">
        <v>199</v>
      </c>
      <c r="BM1523" t="s">
        <v>533</v>
      </c>
      <c r="BN1523" t="s">
        <v>182</v>
      </c>
      <c r="BO1523" t="s">
        <v>198</v>
      </c>
      <c r="BP1523" t="s">
        <v>198</v>
      </c>
      <c r="BQ1523" t="s">
        <v>198</v>
      </c>
      <c r="BR1523" t="s">
        <v>198</v>
      </c>
      <c r="BS1523" t="s">
        <v>198</v>
      </c>
      <c r="BT1523" t="s">
        <v>198</v>
      </c>
      <c r="BU1523" t="s">
        <v>182</v>
      </c>
      <c r="BV1523" t="s">
        <v>198</v>
      </c>
      <c r="BW1523" t="s">
        <v>198</v>
      </c>
      <c r="BX1523" t="s">
        <v>199</v>
      </c>
      <c r="BY1523" t="s">
        <v>198</v>
      </c>
      <c r="BZ1523" t="s">
        <v>199</v>
      </c>
      <c r="CA1523" t="s">
        <v>199</v>
      </c>
      <c r="CB1523" t="s">
        <v>19399</v>
      </c>
      <c r="CC1523" t="s">
        <v>201</v>
      </c>
      <c r="CD1523" t="s">
        <v>182</v>
      </c>
      <c r="CE1523" t="s">
        <v>19400</v>
      </c>
      <c r="CF1523" t="s">
        <v>5331</v>
      </c>
      <c r="CG1523" t="s">
        <v>177</v>
      </c>
      <c r="CH1523" t="s">
        <v>371</v>
      </c>
      <c r="CI1523" t="s">
        <v>1364</v>
      </c>
      <c r="CJ1523" t="s">
        <v>14321</v>
      </c>
      <c r="CK1523" t="s">
        <v>292</v>
      </c>
      <c r="CL1523" t="s">
        <v>293</v>
      </c>
      <c r="CM1523" t="s">
        <v>19401</v>
      </c>
      <c r="CN1523" t="s">
        <v>331</v>
      </c>
      <c r="CO1523" t="s">
        <v>183</v>
      </c>
      <c r="CP1523" t="s">
        <v>211</v>
      </c>
      <c r="CQ1523" t="s">
        <v>270</v>
      </c>
      <c r="CR1523" t="s">
        <v>271</v>
      </c>
      <c r="CS1523" t="s">
        <v>4800</v>
      </c>
      <c r="CT1523" t="s">
        <v>1143</v>
      </c>
      <c r="CU1523" t="s">
        <v>267</v>
      </c>
      <c r="CV1523" t="s">
        <v>268</v>
      </c>
      <c r="CW1523" t="s">
        <v>19402</v>
      </c>
      <c r="CX1523" t="s">
        <v>331</v>
      </c>
      <c r="CY1523" t="s">
        <v>183</v>
      </c>
      <c r="CZ1523" t="s">
        <v>211</v>
      </c>
      <c r="DB1523" t="s">
        <v>271</v>
      </c>
      <c r="DC1523" t="s">
        <v>198</v>
      </c>
      <c r="DD1523" t="s">
        <v>15469</v>
      </c>
      <c r="DE1523" t="s">
        <v>273</v>
      </c>
      <c r="DF1523" t="s">
        <v>274</v>
      </c>
      <c r="DG1523" t="s">
        <v>19403</v>
      </c>
      <c r="DH1523" t="s">
        <v>235</v>
      </c>
      <c r="DI1523" t="s">
        <v>183</v>
      </c>
      <c r="DJ1523" t="s">
        <v>211</v>
      </c>
      <c r="DK1523" t="s">
        <v>808</v>
      </c>
      <c r="DM1523" t="s">
        <v>19404</v>
      </c>
      <c r="DN1523" t="s">
        <v>8150</v>
      </c>
      <c r="DO1523" t="s">
        <v>302</v>
      </c>
      <c r="DP1523" t="s">
        <v>303</v>
      </c>
      <c r="DQ1523" t="s">
        <v>19405</v>
      </c>
      <c r="DR1523" t="s">
        <v>235</v>
      </c>
      <c r="DS1523" t="s">
        <v>183</v>
      </c>
      <c r="DT1523" t="s">
        <v>211</v>
      </c>
      <c r="DU1523" t="s">
        <v>334</v>
      </c>
      <c r="DW1523" t="s">
        <v>10363</v>
      </c>
      <c r="DX1523" t="s">
        <v>15720</v>
      </c>
      <c r="DY1523" t="s">
        <v>238</v>
      </c>
      <c r="DZ1523" t="s">
        <v>239</v>
      </c>
      <c r="EA1523" t="s">
        <v>19406</v>
      </c>
      <c r="EB1523" t="s">
        <v>278</v>
      </c>
      <c r="EC1523" t="s">
        <v>183</v>
      </c>
      <c r="ED1523" t="s">
        <v>211</v>
      </c>
      <c r="EE1523" t="s">
        <v>1067</v>
      </c>
      <c r="EG1523" t="s">
        <v>10363</v>
      </c>
      <c r="EH1523" t="s">
        <v>19407</v>
      </c>
      <c r="EI1523" t="s">
        <v>346</v>
      </c>
      <c r="EJ1523" t="s">
        <v>347</v>
      </c>
      <c r="EK1523" t="s">
        <v>19408</v>
      </c>
      <c r="EL1523" t="s">
        <v>278</v>
      </c>
      <c r="EM1523" t="s">
        <v>183</v>
      </c>
      <c r="EN1523" t="s">
        <v>211</v>
      </c>
      <c r="EO1523" t="s">
        <v>337</v>
      </c>
      <c r="EQ1523" t="s">
        <v>5294</v>
      </c>
      <c r="ER1523" t="s">
        <v>18394</v>
      </c>
      <c r="ES1523" t="s">
        <v>207</v>
      </c>
      <c r="ET1523" t="s">
        <v>208</v>
      </c>
      <c r="EU1523" t="s">
        <v>19409</v>
      </c>
      <c r="EV1523" t="s">
        <v>254</v>
      </c>
      <c r="EW1523" t="s">
        <v>183</v>
      </c>
      <c r="EX1523" t="s">
        <v>211</v>
      </c>
      <c r="EY1523" t="s">
        <v>334</v>
      </c>
      <c r="FA1523" t="s">
        <v>15616</v>
      </c>
      <c r="FK1523" t="s">
        <v>198</v>
      </c>
      <c r="FU1523" t="s">
        <v>198</v>
      </c>
    </row>
    <row r="1524" spans="1:177">
      <c r="A1524" s="1" t="str">
        <f>HYPERLINK("http://digipan.lumentumllc.com/apps/getLink/index.php?t=PropLink&amp;p=4638106","PL")</f>
        <v>PL</v>
      </c>
      <c r="B1524" s="1" t="str">
        <f>HYPERLINK("http://digipan.lumentumllc.com/apps/getLink/index.php?t=TaxLink&amp;p=4638106","TL")</f>
        <v>TL</v>
      </c>
      <c r="C1524" s="1" t="str">
        <f>HYPERLINK("http://digipan.lumentumllc.com/apps/getMap/index.php?p=4638106","Map")</f>
        <v>Map</v>
      </c>
      <c r="E1524" t="s">
        <v>177</v>
      </c>
      <c r="F1524" t="s">
        <v>178</v>
      </c>
      <c r="L1524" t="s">
        <v>19410</v>
      </c>
      <c r="N1524" t="s">
        <v>19410</v>
      </c>
      <c r="O1524" t="s">
        <v>19410</v>
      </c>
      <c r="P1524" t="s">
        <v>19411</v>
      </c>
      <c r="Q1524" t="s">
        <v>19410</v>
      </c>
      <c r="V1524">
        <v>1745</v>
      </c>
      <c r="W1524">
        <v>6</v>
      </c>
      <c r="X1524">
        <v>2017</v>
      </c>
      <c r="Y1524">
        <v>2018</v>
      </c>
      <c r="Z1524">
        <v>677.59</v>
      </c>
      <c r="AB1524" t="s">
        <v>181</v>
      </c>
      <c r="AC1524" t="s">
        <v>182</v>
      </c>
      <c r="AD1524" t="s">
        <v>183</v>
      </c>
      <c r="AE1524">
        <v>0</v>
      </c>
      <c r="AF1524">
        <v>1</v>
      </c>
      <c r="AG1524" t="s">
        <v>821</v>
      </c>
      <c r="AH1524">
        <v>100</v>
      </c>
      <c r="AK1524">
        <v>0</v>
      </c>
      <c r="AL1524">
        <v>39458</v>
      </c>
      <c r="AM1524">
        <v>25000</v>
      </c>
      <c r="AN1524">
        <v>14458</v>
      </c>
      <c r="AO1524">
        <v>550</v>
      </c>
      <c r="AP1524">
        <v>2016</v>
      </c>
      <c r="AQ1524">
        <v>1.72</v>
      </c>
      <c r="AS1524" t="s">
        <v>19412</v>
      </c>
      <c r="AT1524" t="s">
        <v>15040</v>
      </c>
      <c r="AU1524" t="s">
        <v>177</v>
      </c>
      <c r="AV1524" t="s">
        <v>371</v>
      </c>
      <c r="AW1524" t="s">
        <v>182</v>
      </c>
      <c r="AX1524">
        <v>2</v>
      </c>
      <c r="AY1524" t="s">
        <v>188</v>
      </c>
      <c r="AZ1524" t="s">
        <v>189</v>
      </c>
      <c r="BA1524" t="s">
        <v>190</v>
      </c>
      <c r="BB1524" t="s">
        <v>19413</v>
      </c>
      <c r="BC1524" t="s">
        <v>182</v>
      </c>
      <c r="BD1524" t="s">
        <v>182</v>
      </c>
      <c r="BE1524" t="s">
        <v>383</v>
      </c>
      <c r="BF1524">
        <v>1</v>
      </c>
      <c r="BG1524">
        <v>1</v>
      </c>
      <c r="BH1524">
        <v>1985</v>
      </c>
      <c r="BI1524" t="s">
        <v>12673</v>
      </c>
      <c r="BJ1524" t="s">
        <v>194</v>
      </c>
      <c r="BK1524" t="s">
        <v>195</v>
      </c>
      <c r="BL1524" t="s">
        <v>2281</v>
      </c>
      <c r="BM1524" t="s">
        <v>286</v>
      </c>
      <c r="BN1524" t="s">
        <v>182</v>
      </c>
      <c r="BO1524" t="s">
        <v>19414</v>
      </c>
      <c r="BP1524" t="s">
        <v>1574</v>
      </c>
      <c r="BQ1524" t="s">
        <v>226</v>
      </c>
      <c r="BR1524" t="s">
        <v>16290</v>
      </c>
      <c r="BS1524" t="s">
        <v>19415</v>
      </c>
      <c r="BT1524" t="s">
        <v>3340</v>
      </c>
      <c r="BU1524" t="s">
        <v>182</v>
      </c>
      <c r="BV1524" t="s">
        <v>198</v>
      </c>
      <c r="BW1524" t="s">
        <v>198</v>
      </c>
      <c r="BX1524" t="s">
        <v>199</v>
      </c>
      <c r="BY1524" t="s">
        <v>198</v>
      </c>
      <c r="BZ1524" t="s">
        <v>199</v>
      </c>
      <c r="CA1524" t="s">
        <v>199</v>
      </c>
      <c r="CB1524" t="s">
        <v>19416</v>
      </c>
      <c r="CC1524" t="s">
        <v>201</v>
      </c>
      <c r="CD1524" t="s">
        <v>182</v>
      </c>
      <c r="CE1524" t="s">
        <v>19417</v>
      </c>
      <c r="CF1524" t="s">
        <v>19418</v>
      </c>
      <c r="CG1524" t="s">
        <v>1602</v>
      </c>
      <c r="CH1524" t="s">
        <v>19419</v>
      </c>
      <c r="CI1524" t="s">
        <v>19420</v>
      </c>
      <c r="CJ1524" t="s">
        <v>9651</v>
      </c>
      <c r="CK1524" t="s">
        <v>302</v>
      </c>
      <c r="CL1524" t="s">
        <v>303</v>
      </c>
      <c r="CM1524" t="s">
        <v>19421</v>
      </c>
      <c r="CN1524" t="s">
        <v>511</v>
      </c>
      <c r="CO1524" t="s">
        <v>183</v>
      </c>
      <c r="CP1524" t="s">
        <v>211</v>
      </c>
      <c r="CQ1524" t="s">
        <v>206</v>
      </c>
      <c r="CS1524" t="s">
        <v>3280</v>
      </c>
      <c r="DC1524" t="s">
        <v>198</v>
      </c>
      <c r="DM1524" t="s">
        <v>198</v>
      </c>
      <c r="DW1524" t="s">
        <v>198</v>
      </c>
      <c r="EG1524" t="s">
        <v>198</v>
      </c>
      <c r="EQ1524" t="s">
        <v>198</v>
      </c>
      <c r="FA1524" t="s">
        <v>198</v>
      </c>
      <c r="FK1524" t="s">
        <v>198</v>
      </c>
      <c r="FU1524" t="s">
        <v>198</v>
      </c>
    </row>
    <row r="1525" spans="1:177">
      <c r="A1525" s="1" t="str">
        <f>HYPERLINK("http://digipan.lumentumllc.com/apps/getLink/index.php?t=PropLink&amp;p=5246897","PL")</f>
        <v>PL</v>
      </c>
      <c r="B1525" s="1" t="str">
        <f>HYPERLINK("http://digipan.lumentumllc.com/apps/getLink/index.php?t=TaxLink&amp;p=5246897","TL")</f>
        <v>TL</v>
      </c>
      <c r="C1525" s="1" t="str">
        <f>HYPERLINK("http://digipan.lumentumllc.com/apps/getMap/index.php?p=5246897","Map")</f>
        <v>Map</v>
      </c>
      <c r="E1525" t="s">
        <v>177</v>
      </c>
      <c r="F1525" t="s">
        <v>178</v>
      </c>
      <c r="L1525" t="s">
        <v>19422</v>
      </c>
      <c r="N1525" t="s">
        <v>19422</v>
      </c>
      <c r="O1525" t="s">
        <v>19422</v>
      </c>
      <c r="P1525" t="s">
        <v>19423</v>
      </c>
      <c r="Q1525" t="s">
        <v>19422</v>
      </c>
      <c r="V1525">
        <v>1748</v>
      </c>
      <c r="W1525">
        <v>6</v>
      </c>
      <c r="X1525">
        <v>2017</v>
      </c>
      <c r="Y1525">
        <v>2018</v>
      </c>
      <c r="Z1525">
        <v>772.99</v>
      </c>
      <c r="AB1525" t="s">
        <v>181</v>
      </c>
      <c r="AC1525" t="s">
        <v>182</v>
      </c>
      <c r="AD1525" t="s">
        <v>183</v>
      </c>
      <c r="AE1525">
        <v>2</v>
      </c>
      <c r="AF1525">
        <v>4</v>
      </c>
      <c r="AG1525" t="s">
        <v>2376</v>
      </c>
      <c r="AH1525">
        <v>60</v>
      </c>
      <c r="AI1525">
        <v>2429.38</v>
      </c>
      <c r="AJ1525">
        <v>121.47</v>
      </c>
      <c r="AK1525">
        <v>2550.85</v>
      </c>
      <c r="AL1525">
        <v>48000</v>
      </c>
      <c r="AM1525">
        <v>40500</v>
      </c>
      <c r="AN1525">
        <v>7500</v>
      </c>
      <c r="AO1525">
        <v>1059</v>
      </c>
      <c r="AP1525">
        <v>2016</v>
      </c>
      <c r="AQ1525">
        <v>1.61</v>
      </c>
      <c r="AR1525">
        <v>5.31</v>
      </c>
      <c r="AS1525" t="s">
        <v>19424</v>
      </c>
      <c r="AT1525" t="s">
        <v>15040</v>
      </c>
      <c r="AU1525" t="s">
        <v>177</v>
      </c>
      <c r="AV1525" t="s">
        <v>371</v>
      </c>
      <c r="AW1525" t="s">
        <v>182</v>
      </c>
      <c r="AX1525">
        <v>0</v>
      </c>
      <c r="AY1525" t="s">
        <v>312</v>
      </c>
      <c r="AZ1525" t="s">
        <v>199</v>
      </c>
      <c r="BA1525" t="s">
        <v>313</v>
      </c>
      <c r="BB1525" t="s">
        <v>191</v>
      </c>
      <c r="BC1525" t="s">
        <v>182</v>
      </c>
      <c r="BD1525" t="s">
        <v>182</v>
      </c>
      <c r="BE1525" t="s">
        <v>2291</v>
      </c>
      <c r="BF1525">
        <v>1</v>
      </c>
      <c r="BG1525">
        <v>0</v>
      </c>
      <c r="BH1525">
        <v>2002</v>
      </c>
      <c r="BI1525" t="s">
        <v>199</v>
      </c>
      <c r="BJ1525" t="s">
        <v>248</v>
      </c>
      <c r="BK1525" t="s">
        <v>2350</v>
      </c>
      <c r="BL1525" t="s">
        <v>2581</v>
      </c>
      <c r="BM1525" t="s">
        <v>1041</v>
      </c>
      <c r="BN1525" t="s">
        <v>182</v>
      </c>
      <c r="BO1525" t="s">
        <v>198</v>
      </c>
      <c r="BP1525" t="s">
        <v>198</v>
      </c>
      <c r="BQ1525" t="s">
        <v>198</v>
      </c>
      <c r="BR1525" t="s">
        <v>198</v>
      </c>
      <c r="BS1525" t="s">
        <v>198</v>
      </c>
      <c r="BT1525" t="s">
        <v>198</v>
      </c>
      <c r="BU1525" t="s">
        <v>182</v>
      </c>
      <c r="BV1525" t="s">
        <v>198</v>
      </c>
      <c r="BW1525" t="s">
        <v>198</v>
      </c>
      <c r="BX1525" t="s">
        <v>199</v>
      </c>
      <c r="BY1525" t="s">
        <v>198</v>
      </c>
      <c r="BZ1525" t="s">
        <v>199</v>
      </c>
      <c r="CA1525" t="s">
        <v>199</v>
      </c>
      <c r="CB1525" t="s">
        <v>19425</v>
      </c>
      <c r="CC1525" t="s">
        <v>201</v>
      </c>
      <c r="CD1525" t="s">
        <v>202</v>
      </c>
      <c r="CE1525" t="s">
        <v>19426</v>
      </c>
      <c r="CF1525" t="s">
        <v>5331</v>
      </c>
      <c r="CG1525" t="s">
        <v>177</v>
      </c>
      <c r="CH1525" t="s">
        <v>371</v>
      </c>
      <c r="CI1525" t="s">
        <v>610</v>
      </c>
      <c r="CJ1525" t="s">
        <v>18828</v>
      </c>
      <c r="CK1525" t="s">
        <v>232</v>
      </c>
      <c r="CL1525" t="s">
        <v>233</v>
      </c>
      <c r="CM1525" t="s">
        <v>19427</v>
      </c>
      <c r="CN1525" t="s">
        <v>235</v>
      </c>
      <c r="CO1525" t="s">
        <v>183</v>
      </c>
      <c r="CP1525" t="s">
        <v>266</v>
      </c>
      <c r="CS1525" t="s">
        <v>198</v>
      </c>
      <c r="CT1525" t="s">
        <v>6937</v>
      </c>
      <c r="CU1525" t="s">
        <v>292</v>
      </c>
      <c r="CV1525" t="s">
        <v>293</v>
      </c>
      <c r="CW1525" t="s">
        <v>19428</v>
      </c>
      <c r="CX1525" t="s">
        <v>235</v>
      </c>
      <c r="CY1525" t="s">
        <v>183</v>
      </c>
      <c r="CZ1525" t="s">
        <v>266</v>
      </c>
      <c r="DC1525" t="s">
        <v>198</v>
      </c>
      <c r="DD1525" t="s">
        <v>19019</v>
      </c>
      <c r="DE1525" t="s">
        <v>273</v>
      </c>
      <c r="DF1525" t="s">
        <v>274</v>
      </c>
      <c r="DG1525" t="s">
        <v>19429</v>
      </c>
      <c r="DH1525" t="s">
        <v>235</v>
      </c>
      <c r="DI1525" t="s">
        <v>183</v>
      </c>
      <c r="DJ1525" t="s">
        <v>211</v>
      </c>
      <c r="DK1525" t="s">
        <v>339</v>
      </c>
      <c r="DM1525" t="s">
        <v>19430</v>
      </c>
      <c r="DN1525" t="s">
        <v>15750</v>
      </c>
      <c r="DO1525" t="s">
        <v>238</v>
      </c>
      <c r="DP1525" t="s">
        <v>239</v>
      </c>
      <c r="DQ1525" t="s">
        <v>19431</v>
      </c>
      <c r="DR1525" t="s">
        <v>278</v>
      </c>
      <c r="DS1525" t="s">
        <v>183</v>
      </c>
      <c r="DT1525" t="s">
        <v>211</v>
      </c>
      <c r="DU1525" t="s">
        <v>444</v>
      </c>
      <c r="DW1525" t="s">
        <v>19432</v>
      </c>
      <c r="DX1525" t="s">
        <v>1024</v>
      </c>
      <c r="DY1525" t="s">
        <v>346</v>
      </c>
      <c r="DZ1525" t="s">
        <v>347</v>
      </c>
      <c r="EA1525" t="s">
        <v>19433</v>
      </c>
      <c r="EB1525" t="s">
        <v>278</v>
      </c>
      <c r="EC1525" t="s">
        <v>183</v>
      </c>
      <c r="ED1525" t="s">
        <v>211</v>
      </c>
      <c r="EE1525" t="s">
        <v>635</v>
      </c>
      <c r="EG1525" t="s">
        <v>19432</v>
      </c>
      <c r="EH1525" t="s">
        <v>3321</v>
      </c>
      <c r="EI1525" t="s">
        <v>207</v>
      </c>
      <c r="EJ1525" t="s">
        <v>208</v>
      </c>
      <c r="EK1525" t="s">
        <v>19434</v>
      </c>
      <c r="EL1525" t="s">
        <v>1966</v>
      </c>
      <c r="EM1525" t="s">
        <v>183</v>
      </c>
      <c r="EN1525" t="s">
        <v>211</v>
      </c>
      <c r="EO1525" t="s">
        <v>264</v>
      </c>
      <c r="EQ1525" t="s">
        <v>19435</v>
      </c>
      <c r="FA1525" t="s">
        <v>198</v>
      </c>
      <c r="FK1525" t="s">
        <v>198</v>
      </c>
      <c r="FU1525" t="s">
        <v>198</v>
      </c>
    </row>
    <row r="1526" spans="1:177">
      <c r="A1526" s="1" t="str">
        <f>HYPERLINK("http://digipan.lumentumllc.com/apps/getLink/index.php?t=PropLink&amp;p=15753232","PL")</f>
        <v>PL</v>
      </c>
      <c r="B1526" s="1" t="str">
        <f>HYPERLINK("http://digipan.lumentumllc.com/apps/getLink/index.php?t=TaxLink&amp;p=15753232","TL")</f>
        <v>TL</v>
      </c>
      <c r="C1526" s="1" t="str">
        <f>HYPERLINK("http://digipan.lumentumllc.com/apps/getMap/index.php?p=15753232","Map")</f>
        <v>Map</v>
      </c>
      <c r="E1526" t="s">
        <v>177</v>
      </c>
      <c r="F1526" t="s">
        <v>178</v>
      </c>
      <c r="L1526" t="s">
        <v>19436</v>
      </c>
      <c r="N1526" t="s">
        <v>19436</v>
      </c>
      <c r="O1526" t="s">
        <v>19436</v>
      </c>
      <c r="Q1526" t="s">
        <v>19436</v>
      </c>
      <c r="V1526">
        <v>1749</v>
      </c>
      <c r="W1526">
        <v>6</v>
      </c>
      <c r="X1526">
        <v>2017</v>
      </c>
      <c r="Y1526">
        <v>2018</v>
      </c>
      <c r="Z1526">
        <v>606.07000000000005</v>
      </c>
      <c r="AB1526" t="s">
        <v>181</v>
      </c>
      <c r="AC1526" t="s">
        <v>182</v>
      </c>
      <c r="AD1526" t="s">
        <v>6467</v>
      </c>
      <c r="AE1526">
        <v>1</v>
      </c>
      <c r="AF1526">
        <v>0</v>
      </c>
      <c r="AG1526" t="s">
        <v>1200</v>
      </c>
      <c r="AH1526">
        <v>0</v>
      </c>
      <c r="AI1526">
        <v>166.9</v>
      </c>
      <c r="AJ1526">
        <v>30.04</v>
      </c>
      <c r="AK1526">
        <v>196.94</v>
      </c>
      <c r="AL1526">
        <v>94704</v>
      </c>
      <c r="AM1526">
        <v>25500</v>
      </c>
      <c r="AN1526">
        <v>69204</v>
      </c>
      <c r="AO1526">
        <v>0</v>
      </c>
      <c r="AP1526">
        <v>0</v>
      </c>
      <c r="AQ1526">
        <v>0.64</v>
      </c>
      <c r="AR1526">
        <v>0.21</v>
      </c>
      <c r="AS1526" t="s">
        <v>19437</v>
      </c>
      <c r="AT1526" t="s">
        <v>15040</v>
      </c>
      <c r="AU1526" t="s">
        <v>177</v>
      </c>
      <c r="AV1526" t="s">
        <v>371</v>
      </c>
      <c r="AW1526" t="s">
        <v>202</v>
      </c>
      <c r="AX1526">
        <v>2</v>
      </c>
      <c r="AY1526" t="s">
        <v>188</v>
      </c>
      <c r="AZ1526" t="s">
        <v>189</v>
      </c>
      <c r="BA1526" t="s">
        <v>190</v>
      </c>
      <c r="BB1526" t="s">
        <v>191</v>
      </c>
      <c r="BC1526" t="s">
        <v>182</v>
      </c>
      <c r="BD1526" t="s">
        <v>182</v>
      </c>
      <c r="BE1526" t="s">
        <v>5145</v>
      </c>
      <c r="BF1526">
        <v>1</v>
      </c>
      <c r="BG1526">
        <v>1</v>
      </c>
      <c r="BH1526">
        <v>1998</v>
      </c>
      <c r="BI1526" t="s">
        <v>18958</v>
      </c>
      <c r="BJ1526" t="s">
        <v>396</v>
      </c>
      <c r="BK1526" t="s">
        <v>195</v>
      </c>
      <c r="BL1526" t="s">
        <v>199</v>
      </c>
      <c r="BM1526" t="s">
        <v>1387</v>
      </c>
      <c r="BN1526" t="s">
        <v>182</v>
      </c>
      <c r="BO1526" t="s">
        <v>1204</v>
      </c>
      <c r="BP1526" t="s">
        <v>19438</v>
      </c>
      <c r="BQ1526" t="s">
        <v>800</v>
      </c>
      <c r="BR1526" t="s">
        <v>563</v>
      </c>
      <c r="BS1526" t="s">
        <v>198</v>
      </c>
      <c r="BT1526" t="s">
        <v>19439</v>
      </c>
      <c r="BU1526" t="s">
        <v>182</v>
      </c>
      <c r="BV1526" t="s">
        <v>198</v>
      </c>
      <c r="BW1526" t="s">
        <v>198</v>
      </c>
      <c r="BX1526" t="s">
        <v>199</v>
      </c>
      <c r="BY1526" t="s">
        <v>198</v>
      </c>
      <c r="BZ1526" t="s">
        <v>199</v>
      </c>
      <c r="CA1526" t="s">
        <v>199</v>
      </c>
      <c r="CB1526" t="s">
        <v>19440</v>
      </c>
      <c r="CC1526" t="s">
        <v>201</v>
      </c>
      <c r="CD1526" t="s">
        <v>182</v>
      </c>
      <c r="CE1526" t="s">
        <v>19441</v>
      </c>
      <c r="CF1526" t="s">
        <v>5331</v>
      </c>
      <c r="CG1526" t="s">
        <v>177</v>
      </c>
      <c r="CH1526" t="s">
        <v>371</v>
      </c>
      <c r="CI1526" t="s">
        <v>1114</v>
      </c>
      <c r="CJ1526" t="s">
        <v>669</v>
      </c>
      <c r="CK1526" t="s">
        <v>232</v>
      </c>
      <c r="CL1526" t="s">
        <v>233</v>
      </c>
      <c r="CM1526" t="s">
        <v>19442</v>
      </c>
      <c r="CN1526" t="s">
        <v>482</v>
      </c>
      <c r="CO1526" t="s">
        <v>5</v>
      </c>
      <c r="CP1526" t="s">
        <v>266</v>
      </c>
      <c r="CS1526" t="s">
        <v>198</v>
      </c>
      <c r="DC1526" t="s">
        <v>198</v>
      </c>
      <c r="DM1526" t="s">
        <v>198</v>
      </c>
      <c r="DW1526" t="s">
        <v>198</v>
      </c>
      <c r="EG1526" t="s">
        <v>198</v>
      </c>
      <c r="EQ1526" t="s">
        <v>198</v>
      </c>
      <c r="FA1526" t="s">
        <v>198</v>
      </c>
      <c r="FK1526" t="s">
        <v>198</v>
      </c>
      <c r="FU1526" t="s">
        <v>198</v>
      </c>
    </row>
    <row r="1527" spans="1:177">
      <c r="A1527" s="1" t="str">
        <f>HYPERLINK("http://digipan.lumentumllc.com/apps/getLink/index.php?t=PropLink&amp;p=5246900","PL")</f>
        <v>PL</v>
      </c>
      <c r="B1527" s="1" t="str">
        <f>HYPERLINK("http://digipan.lumentumllc.com/apps/getLink/index.php?t=TaxLink&amp;p=5246900","TL")</f>
        <v>TL</v>
      </c>
      <c r="C1527" s="1" t="str">
        <f>HYPERLINK("http://digipan.lumentumllc.com/apps/getMap/index.php?p=5246900","Map")</f>
        <v>Map</v>
      </c>
      <c r="E1527" t="s">
        <v>177</v>
      </c>
      <c r="F1527" t="s">
        <v>178</v>
      </c>
      <c r="L1527" t="s">
        <v>19443</v>
      </c>
      <c r="N1527" t="s">
        <v>19443</v>
      </c>
      <c r="O1527" t="s">
        <v>19443</v>
      </c>
      <c r="P1527" t="s">
        <v>19444</v>
      </c>
      <c r="Q1527" t="s">
        <v>19443</v>
      </c>
      <c r="V1527">
        <v>1750</v>
      </c>
      <c r="W1527">
        <v>6</v>
      </c>
      <c r="X1527">
        <v>2017</v>
      </c>
      <c r="Y1527">
        <v>2018</v>
      </c>
      <c r="Z1527">
        <v>516.11</v>
      </c>
      <c r="AB1527" t="s">
        <v>181</v>
      </c>
      <c r="AC1527" t="s">
        <v>182</v>
      </c>
      <c r="AD1527" t="s">
        <v>183</v>
      </c>
      <c r="AE1527">
        <v>0</v>
      </c>
      <c r="AF1527">
        <v>1</v>
      </c>
      <c r="AG1527" t="s">
        <v>821</v>
      </c>
      <c r="AH1527">
        <v>100</v>
      </c>
      <c r="AK1527">
        <v>0</v>
      </c>
      <c r="AL1527">
        <v>31684</v>
      </c>
      <c r="AM1527">
        <v>25500</v>
      </c>
      <c r="AN1527">
        <v>6184</v>
      </c>
      <c r="AO1527">
        <v>398</v>
      </c>
      <c r="AP1527">
        <v>2016</v>
      </c>
      <c r="AQ1527">
        <v>1.63</v>
      </c>
      <c r="AS1527" t="s">
        <v>19445</v>
      </c>
      <c r="AT1527" t="s">
        <v>15040</v>
      </c>
      <c r="AU1527" t="s">
        <v>177</v>
      </c>
      <c r="AV1527" t="s">
        <v>371</v>
      </c>
      <c r="AW1527" t="s">
        <v>182</v>
      </c>
      <c r="AX1527">
        <v>2</v>
      </c>
      <c r="AY1527" t="s">
        <v>188</v>
      </c>
      <c r="AZ1527" t="s">
        <v>189</v>
      </c>
      <c r="BA1527" t="s">
        <v>190</v>
      </c>
      <c r="BB1527" t="s">
        <v>191</v>
      </c>
      <c r="BC1527" t="s">
        <v>182</v>
      </c>
      <c r="BD1527" t="s">
        <v>182</v>
      </c>
      <c r="BE1527" t="s">
        <v>5145</v>
      </c>
      <c r="BF1527">
        <v>1</v>
      </c>
      <c r="BG1527">
        <v>1</v>
      </c>
      <c r="BH1527">
        <v>1994</v>
      </c>
      <c r="BI1527" t="s">
        <v>3327</v>
      </c>
      <c r="BJ1527" t="s">
        <v>315</v>
      </c>
      <c r="BK1527" t="s">
        <v>195</v>
      </c>
      <c r="BL1527" t="s">
        <v>199</v>
      </c>
      <c r="BM1527" t="s">
        <v>1332</v>
      </c>
      <c r="BN1527" t="s">
        <v>182</v>
      </c>
      <c r="BO1527" t="s">
        <v>198</v>
      </c>
      <c r="BP1527" t="s">
        <v>198</v>
      </c>
      <c r="BQ1527" t="s">
        <v>198</v>
      </c>
      <c r="BR1527" t="s">
        <v>198</v>
      </c>
      <c r="BS1527" t="s">
        <v>198</v>
      </c>
      <c r="BT1527" t="s">
        <v>198</v>
      </c>
      <c r="BU1527" t="s">
        <v>182</v>
      </c>
      <c r="BV1527" t="s">
        <v>198</v>
      </c>
      <c r="BW1527" t="s">
        <v>198</v>
      </c>
      <c r="BX1527" t="s">
        <v>199</v>
      </c>
      <c r="BY1527" t="s">
        <v>198</v>
      </c>
      <c r="BZ1527" t="s">
        <v>199</v>
      </c>
      <c r="CA1527" t="s">
        <v>199</v>
      </c>
      <c r="CB1527" t="s">
        <v>19446</v>
      </c>
      <c r="CC1527" t="s">
        <v>201</v>
      </c>
      <c r="CD1527" t="s">
        <v>182</v>
      </c>
      <c r="CE1527" t="s">
        <v>19447</v>
      </c>
      <c r="CF1527" t="s">
        <v>5331</v>
      </c>
      <c r="CG1527" t="s">
        <v>177</v>
      </c>
      <c r="CH1527" t="s">
        <v>371</v>
      </c>
      <c r="CI1527" t="s">
        <v>4059</v>
      </c>
      <c r="CJ1527" t="s">
        <v>19448</v>
      </c>
      <c r="CK1527" t="s">
        <v>346</v>
      </c>
      <c r="CL1527" t="s">
        <v>347</v>
      </c>
      <c r="CM1527" t="s">
        <v>19449</v>
      </c>
      <c r="CN1527" t="s">
        <v>278</v>
      </c>
      <c r="CO1527" t="s">
        <v>183</v>
      </c>
      <c r="CP1527" t="s">
        <v>211</v>
      </c>
      <c r="CQ1527" t="s">
        <v>270</v>
      </c>
      <c r="CS1527" t="s">
        <v>19450</v>
      </c>
      <c r="DC1527" t="s">
        <v>198</v>
      </c>
      <c r="DM1527" t="s">
        <v>198</v>
      </c>
      <c r="DW1527" t="s">
        <v>198</v>
      </c>
      <c r="EG1527" t="s">
        <v>198</v>
      </c>
      <c r="EQ1527" t="s">
        <v>198</v>
      </c>
      <c r="FA1527" t="s">
        <v>198</v>
      </c>
      <c r="FK1527" t="s">
        <v>198</v>
      </c>
      <c r="FU1527" t="s">
        <v>198</v>
      </c>
    </row>
    <row r="1528" spans="1:177">
      <c r="A1528" s="1" t="str">
        <f>HYPERLINK("http://digipan.lumentumllc.com/apps/getLink/index.php?t=PropLink&amp;p=5246910","PL")</f>
        <v>PL</v>
      </c>
      <c r="B1528" s="1" t="str">
        <f>HYPERLINK("http://digipan.lumentumllc.com/apps/getLink/index.php?t=TaxLink&amp;p=5246910","TL")</f>
        <v>TL</v>
      </c>
      <c r="C1528" s="1" t="str">
        <f>HYPERLINK("http://digipan.lumentumllc.com/apps/getMap/index.php?p=5246910","Map")</f>
        <v>Map</v>
      </c>
      <c r="E1528" t="s">
        <v>177</v>
      </c>
      <c r="F1528" t="s">
        <v>178</v>
      </c>
      <c r="L1528" t="s">
        <v>19451</v>
      </c>
      <c r="N1528" t="s">
        <v>19451</v>
      </c>
      <c r="O1528" t="s">
        <v>19451</v>
      </c>
      <c r="P1528" t="s">
        <v>19452</v>
      </c>
      <c r="Q1528" t="s">
        <v>19451</v>
      </c>
      <c r="V1528">
        <v>1754</v>
      </c>
      <c r="W1528">
        <v>6</v>
      </c>
      <c r="X1528">
        <v>2017</v>
      </c>
      <c r="Y1528">
        <v>2018</v>
      </c>
      <c r="Z1528">
        <v>556.04</v>
      </c>
      <c r="AB1528" t="s">
        <v>181</v>
      </c>
      <c r="AC1528" t="s">
        <v>182</v>
      </c>
      <c r="AD1528" t="s">
        <v>1037</v>
      </c>
      <c r="AE1528">
        <v>1</v>
      </c>
      <c r="AF1528">
        <v>7</v>
      </c>
      <c r="AG1528" t="s">
        <v>418</v>
      </c>
      <c r="AH1528">
        <v>86</v>
      </c>
      <c r="AI1528">
        <v>434.65</v>
      </c>
      <c r="AJ1528">
        <v>21.73</v>
      </c>
      <c r="AK1528">
        <v>456.38</v>
      </c>
      <c r="AL1528">
        <v>38475</v>
      </c>
      <c r="AM1528">
        <v>25250</v>
      </c>
      <c r="AN1528">
        <v>13225</v>
      </c>
      <c r="AO1528">
        <v>377</v>
      </c>
      <c r="AP1528">
        <v>2016</v>
      </c>
      <c r="AQ1528">
        <v>1.45</v>
      </c>
      <c r="AR1528">
        <v>1.19</v>
      </c>
      <c r="AS1528" t="s">
        <v>19453</v>
      </c>
      <c r="AT1528" t="s">
        <v>15040</v>
      </c>
      <c r="AU1528" t="s">
        <v>177</v>
      </c>
      <c r="AV1528" t="s">
        <v>371</v>
      </c>
      <c r="AW1528" t="s">
        <v>182</v>
      </c>
      <c r="AX1528">
        <v>2</v>
      </c>
      <c r="AY1528" t="s">
        <v>188</v>
      </c>
      <c r="AZ1528" t="s">
        <v>189</v>
      </c>
      <c r="BA1528" t="s">
        <v>190</v>
      </c>
      <c r="BB1528" t="s">
        <v>191</v>
      </c>
      <c r="BC1528" t="s">
        <v>182</v>
      </c>
      <c r="BD1528" t="s">
        <v>182</v>
      </c>
      <c r="BE1528" t="s">
        <v>899</v>
      </c>
      <c r="BF1528">
        <v>1</v>
      </c>
      <c r="BG1528">
        <v>1</v>
      </c>
      <c r="BH1528">
        <v>1985</v>
      </c>
      <c r="BI1528" t="s">
        <v>14204</v>
      </c>
      <c r="BJ1528" t="s">
        <v>285</v>
      </c>
      <c r="BK1528" t="s">
        <v>195</v>
      </c>
      <c r="BL1528" t="s">
        <v>199</v>
      </c>
      <c r="BM1528" t="s">
        <v>273</v>
      </c>
      <c r="BN1528" t="s">
        <v>182</v>
      </c>
      <c r="BO1528" t="s">
        <v>198</v>
      </c>
      <c r="BP1528" t="s">
        <v>198</v>
      </c>
      <c r="BQ1528" t="s">
        <v>198</v>
      </c>
      <c r="BR1528" t="s">
        <v>198</v>
      </c>
      <c r="BS1528" t="s">
        <v>198</v>
      </c>
      <c r="BT1528" t="s">
        <v>198</v>
      </c>
      <c r="BU1528" t="s">
        <v>182</v>
      </c>
      <c r="BV1528" t="s">
        <v>198</v>
      </c>
      <c r="BW1528" t="s">
        <v>198</v>
      </c>
      <c r="BX1528" t="s">
        <v>199</v>
      </c>
      <c r="BY1528" t="s">
        <v>198</v>
      </c>
      <c r="BZ1528" t="s">
        <v>199</v>
      </c>
      <c r="CA1528" t="s">
        <v>199</v>
      </c>
      <c r="CB1528" t="s">
        <v>19454</v>
      </c>
      <c r="CC1528" t="s">
        <v>201</v>
      </c>
      <c r="CD1528" t="s">
        <v>182</v>
      </c>
      <c r="CE1528" t="s">
        <v>19455</v>
      </c>
      <c r="CF1528" t="s">
        <v>5331</v>
      </c>
      <c r="CG1528" t="s">
        <v>177</v>
      </c>
      <c r="CH1528" t="s">
        <v>5332</v>
      </c>
      <c r="CI1528" t="s">
        <v>19456</v>
      </c>
      <c r="CJ1528" t="s">
        <v>2443</v>
      </c>
      <c r="CK1528" t="s">
        <v>232</v>
      </c>
      <c r="CL1528" t="s">
        <v>233</v>
      </c>
      <c r="CM1528" t="s">
        <v>19457</v>
      </c>
      <c r="CN1528" t="s">
        <v>235</v>
      </c>
      <c r="CO1528" t="s">
        <v>183</v>
      </c>
      <c r="CP1528" t="s">
        <v>266</v>
      </c>
      <c r="CS1528" t="s">
        <v>198</v>
      </c>
      <c r="CT1528" t="s">
        <v>16941</v>
      </c>
      <c r="CU1528" t="s">
        <v>292</v>
      </c>
      <c r="CV1528" t="s">
        <v>293</v>
      </c>
      <c r="CW1528" t="s">
        <v>19458</v>
      </c>
      <c r="CX1528" t="s">
        <v>408</v>
      </c>
      <c r="CY1528" t="s">
        <v>183</v>
      </c>
      <c r="CZ1528" t="s">
        <v>211</v>
      </c>
      <c r="DA1528" t="s">
        <v>345</v>
      </c>
      <c r="DC1528" t="s">
        <v>7255</v>
      </c>
      <c r="DD1528" t="s">
        <v>12232</v>
      </c>
      <c r="DE1528" t="s">
        <v>267</v>
      </c>
      <c r="DF1528" t="s">
        <v>268</v>
      </c>
      <c r="DG1528" t="s">
        <v>19459</v>
      </c>
      <c r="DH1528" t="s">
        <v>482</v>
      </c>
      <c r="DI1528" t="s">
        <v>183</v>
      </c>
      <c r="DJ1528" t="s">
        <v>211</v>
      </c>
      <c r="DK1528" t="s">
        <v>345</v>
      </c>
      <c r="DM1528" t="s">
        <v>5111</v>
      </c>
      <c r="DN1528" t="s">
        <v>19460</v>
      </c>
      <c r="DO1528" t="s">
        <v>273</v>
      </c>
      <c r="DP1528" t="s">
        <v>274</v>
      </c>
      <c r="DQ1528" t="s">
        <v>19461</v>
      </c>
      <c r="DR1528" t="s">
        <v>482</v>
      </c>
      <c r="DS1528" t="s">
        <v>5</v>
      </c>
      <c r="DT1528" t="s">
        <v>211</v>
      </c>
      <c r="DU1528" t="s">
        <v>298</v>
      </c>
      <c r="DW1528" t="s">
        <v>462</v>
      </c>
      <c r="DX1528" t="s">
        <v>19462</v>
      </c>
      <c r="DY1528" t="s">
        <v>302</v>
      </c>
      <c r="DZ1528" t="s">
        <v>303</v>
      </c>
      <c r="EA1528" t="s">
        <v>19463</v>
      </c>
      <c r="EB1528" t="s">
        <v>482</v>
      </c>
      <c r="EC1528" t="s">
        <v>5</v>
      </c>
      <c r="ED1528" t="s">
        <v>211</v>
      </c>
      <c r="EE1528" t="s">
        <v>768</v>
      </c>
      <c r="EG1528" t="s">
        <v>18221</v>
      </c>
      <c r="EH1528" t="s">
        <v>19464</v>
      </c>
      <c r="EI1528" t="s">
        <v>238</v>
      </c>
      <c r="EJ1528" t="s">
        <v>239</v>
      </c>
      <c r="EK1528" t="s">
        <v>19465</v>
      </c>
      <c r="EL1528" t="s">
        <v>482</v>
      </c>
      <c r="EM1528" t="s">
        <v>5</v>
      </c>
      <c r="EN1528" t="s">
        <v>211</v>
      </c>
      <c r="EO1528" t="s">
        <v>523</v>
      </c>
      <c r="EQ1528" t="s">
        <v>19466</v>
      </c>
      <c r="ER1528" t="s">
        <v>19467</v>
      </c>
      <c r="ES1528" t="s">
        <v>346</v>
      </c>
      <c r="ET1528" t="s">
        <v>347</v>
      </c>
      <c r="EU1528" t="s">
        <v>19468</v>
      </c>
      <c r="EV1528" t="s">
        <v>278</v>
      </c>
      <c r="EW1528" t="s">
        <v>183</v>
      </c>
      <c r="EX1528" t="s">
        <v>211</v>
      </c>
      <c r="EY1528" t="s">
        <v>806</v>
      </c>
      <c r="FA1528" t="s">
        <v>19466</v>
      </c>
      <c r="FB1528" t="s">
        <v>19469</v>
      </c>
      <c r="FC1528" t="s">
        <v>207</v>
      </c>
      <c r="FD1528" t="s">
        <v>208</v>
      </c>
      <c r="FE1528" t="s">
        <v>19470</v>
      </c>
      <c r="FF1528" t="s">
        <v>210</v>
      </c>
      <c r="FG1528" t="s">
        <v>183</v>
      </c>
      <c r="FH1528" t="s">
        <v>211</v>
      </c>
      <c r="FI1528" t="s">
        <v>1046</v>
      </c>
      <c r="FK1528" t="s">
        <v>19466</v>
      </c>
      <c r="FU1528" t="s">
        <v>198</v>
      </c>
    </row>
    <row r="1529" spans="1:177">
      <c r="A1529" s="1" t="str">
        <f>HYPERLINK("http://digipan.lumentumllc.com/apps/getLink/index.php?t=PropLink&amp;p=5246917","PL")</f>
        <v>PL</v>
      </c>
      <c r="B1529" s="1" t="str">
        <f>HYPERLINK("http://digipan.lumentumllc.com/apps/getLink/index.php?t=TaxLink&amp;p=5246917","TL")</f>
        <v>TL</v>
      </c>
      <c r="C1529" s="1" t="str">
        <f>HYPERLINK("http://digipan.lumentumllc.com/apps/getMap/index.php?p=5246917","Map")</f>
        <v>Map</v>
      </c>
      <c r="E1529" t="s">
        <v>177</v>
      </c>
      <c r="F1529" t="s">
        <v>178</v>
      </c>
      <c r="L1529" t="s">
        <v>19471</v>
      </c>
      <c r="N1529" t="s">
        <v>19471</v>
      </c>
      <c r="O1529" t="s">
        <v>19471</v>
      </c>
      <c r="P1529" t="s">
        <v>19472</v>
      </c>
      <c r="Q1529" t="s">
        <v>19471</v>
      </c>
      <c r="V1529">
        <v>1756</v>
      </c>
      <c r="W1529">
        <v>6</v>
      </c>
      <c r="X1529">
        <v>2017</v>
      </c>
      <c r="Y1529">
        <v>2018</v>
      </c>
      <c r="Z1529">
        <v>1123.46</v>
      </c>
      <c r="AB1529" t="s">
        <v>181</v>
      </c>
      <c r="AC1529" t="s">
        <v>182</v>
      </c>
      <c r="AD1529" t="s">
        <v>183</v>
      </c>
      <c r="AE1529">
        <v>1</v>
      </c>
      <c r="AF1529">
        <v>7</v>
      </c>
      <c r="AG1529" t="s">
        <v>418</v>
      </c>
      <c r="AH1529">
        <v>86</v>
      </c>
      <c r="AI1529">
        <v>1100.45</v>
      </c>
      <c r="AJ1529">
        <v>55.02</v>
      </c>
      <c r="AK1529">
        <v>1155.47</v>
      </c>
      <c r="AL1529">
        <v>118790</v>
      </c>
      <c r="AM1529">
        <v>25000</v>
      </c>
      <c r="AN1529">
        <v>93790</v>
      </c>
      <c r="AO1529">
        <v>993</v>
      </c>
      <c r="AP1529">
        <v>2016</v>
      </c>
      <c r="AQ1529">
        <v>0.95</v>
      </c>
      <c r="AR1529">
        <v>0.97</v>
      </c>
      <c r="AS1529" t="s">
        <v>19473</v>
      </c>
      <c r="AT1529" t="s">
        <v>15040</v>
      </c>
      <c r="AU1529" t="s">
        <v>177</v>
      </c>
      <c r="AV1529" t="s">
        <v>371</v>
      </c>
      <c r="AW1529" t="s">
        <v>202</v>
      </c>
      <c r="AX1529">
        <v>1</v>
      </c>
      <c r="AY1529" t="s">
        <v>188</v>
      </c>
      <c r="AZ1529" t="s">
        <v>206</v>
      </c>
      <c r="BA1529" t="s">
        <v>355</v>
      </c>
      <c r="BB1529" t="s">
        <v>191</v>
      </c>
      <c r="BC1529" t="s">
        <v>182</v>
      </c>
      <c r="BD1529" t="s">
        <v>182</v>
      </c>
      <c r="BE1529" t="s">
        <v>6085</v>
      </c>
      <c r="BF1529">
        <v>1</v>
      </c>
      <c r="BG1529">
        <v>1</v>
      </c>
      <c r="BH1529">
        <v>1999</v>
      </c>
      <c r="BI1529" t="s">
        <v>19474</v>
      </c>
      <c r="BJ1529" t="s">
        <v>194</v>
      </c>
      <c r="BK1529" t="s">
        <v>195</v>
      </c>
      <c r="BL1529" t="s">
        <v>19475</v>
      </c>
      <c r="BM1529" t="s">
        <v>501</v>
      </c>
      <c r="BN1529" t="s">
        <v>182</v>
      </c>
      <c r="BO1529" t="s">
        <v>198</v>
      </c>
      <c r="BP1529" t="s">
        <v>198</v>
      </c>
      <c r="BQ1529" t="s">
        <v>198</v>
      </c>
      <c r="BR1529" t="s">
        <v>198</v>
      </c>
      <c r="BS1529" t="s">
        <v>198</v>
      </c>
      <c r="BT1529" t="s">
        <v>198</v>
      </c>
      <c r="BU1529" t="s">
        <v>182</v>
      </c>
      <c r="BV1529" t="s">
        <v>198</v>
      </c>
      <c r="BW1529" t="s">
        <v>198</v>
      </c>
      <c r="BX1529" t="s">
        <v>199</v>
      </c>
      <c r="BY1529" t="s">
        <v>198</v>
      </c>
      <c r="BZ1529" t="s">
        <v>199</v>
      </c>
      <c r="CA1529" t="s">
        <v>199</v>
      </c>
      <c r="CB1529" t="s">
        <v>19476</v>
      </c>
      <c r="CC1529" t="s">
        <v>201</v>
      </c>
      <c r="CD1529" t="s">
        <v>182</v>
      </c>
      <c r="CE1529" t="s">
        <v>19477</v>
      </c>
      <c r="CF1529" t="s">
        <v>5331</v>
      </c>
      <c r="CG1529" t="s">
        <v>177</v>
      </c>
      <c r="CH1529" t="s">
        <v>371</v>
      </c>
      <c r="CI1529" t="s">
        <v>17188</v>
      </c>
      <c r="CJ1529" t="s">
        <v>18064</v>
      </c>
      <c r="CK1529" t="s">
        <v>232</v>
      </c>
      <c r="CL1529" t="s">
        <v>233</v>
      </c>
      <c r="CM1529" t="s">
        <v>19478</v>
      </c>
      <c r="CN1529" t="s">
        <v>235</v>
      </c>
      <c r="CO1529" t="s">
        <v>183</v>
      </c>
      <c r="CP1529" t="s">
        <v>266</v>
      </c>
      <c r="CS1529" t="s">
        <v>198</v>
      </c>
      <c r="CT1529" t="s">
        <v>16991</v>
      </c>
      <c r="CU1529" t="s">
        <v>292</v>
      </c>
      <c r="CV1529" t="s">
        <v>293</v>
      </c>
      <c r="CW1529" t="s">
        <v>19479</v>
      </c>
      <c r="CX1529" t="s">
        <v>235</v>
      </c>
      <c r="CY1529" t="s">
        <v>183</v>
      </c>
      <c r="CZ1529" t="s">
        <v>211</v>
      </c>
      <c r="DA1529" t="s">
        <v>345</v>
      </c>
      <c r="DC1529" t="s">
        <v>19480</v>
      </c>
      <c r="DD1529" t="s">
        <v>8995</v>
      </c>
      <c r="DE1529" t="s">
        <v>267</v>
      </c>
      <c r="DF1529" t="s">
        <v>268</v>
      </c>
      <c r="DG1529" t="s">
        <v>19481</v>
      </c>
      <c r="DH1529" t="s">
        <v>235</v>
      </c>
      <c r="DI1529" t="s">
        <v>183</v>
      </c>
      <c r="DJ1529" t="s">
        <v>211</v>
      </c>
      <c r="DK1529" t="s">
        <v>345</v>
      </c>
      <c r="DM1529" t="s">
        <v>2917</v>
      </c>
      <c r="DN1529" t="s">
        <v>17359</v>
      </c>
      <c r="DO1529" t="s">
        <v>273</v>
      </c>
      <c r="DP1529" t="s">
        <v>274</v>
      </c>
      <c r="DQ1529" t="s">
        <v>19482</v>
      </c>
      <c r="DR1529" t="s">
        <v>235</v>
      </c>
      <c r="DS1529" t="s">
        <v>183</v>
      </c>
      <c r="DT1529" t="s">
        <v>211</v>
      </c>
      <c r="DU1529" t="s">
        <v>345</v>
      </c>
      <c r="DW1529" t="s">
        <v>13104</v>
      </c>
      <c r="DX1529" t="s">
        <v>15010</v>
      </c>
      <c r="DY1529" t="s">
        <v>302</v>
      </c>
      <c r="DZ1529" t="s">
        <v>303</v>
      </c>
      <c r="EA1529" t="s">
        <v>19483</v>
      </c>
      <c r="EB1529" t="s">
        <v>235</v>
      </c>
      <c r="EC1529" t="s">
        <v>183</v>
      </c>
      <c r="ED1529" t="s">
        <v>211</v>
      </c>
      <c r="EE1529" t="s">
        <v>345</v>
      </c>
      <c r="EG1529" t="s">
        <v>19484</v>
      </c>
      <c r="EH1529" t="s">
        <v>19485</v>
      </c>
      <c r="EI1529" t="s">
        <v>238</v>
      </c>
      <c r="EJ1529" t="s">
        <v>239</v>
      </c>
      <c r="EK1529" t="s">
        <v>15484</v>
      </c>
      <c r="EL1529" t="s">
        <v>235</v>
      </c>
      <c r="EM1529" t="s">
        <v>183</v>
      </c>
      <c r="EN1529" t="s">
        <v>211</v>
      </c>
      <c r="EO1529" t="s">
        <v>345</v>
      </c>
      <c r="EQ1529" t="s">
        <v>19486</v>
      </c>
      <c r="ER1529" t="s">
        <v>19487</v>
      </c>
      <c r="ES1529" t="s">
        <v>346</v>
      </c>
      <c r="ET1529" t="s">
        <v>347</v>
      </c>
      <c r="EU1529" t="s">
        <v>19488</v>
      </c>
      <c r="EV1529" t="s">
        <v>511</v>
      </c>
      <c r="EW1529" t="s">
        <v>183</v>
      </c>
      <c r="EX1529" t="s">
        <v>211</v>
      </c>
      <c r="EY1529" t="s">
        <v>345</v>
      </c>
      <c r="FA1529" t="s">
        <v>4804</v>
      </c>
      <c r="FB1529" t="s">
        <v>12751</v>
      </c>
      <c r="FC1529" t="s">
        <v>207</v>
      </c>
      <c r="FD1529" t="s">
        <v>208</v>
      </c>
      <c r="FE1529" t="s">
        <v>19489</v>
      </c>
      <c r="FF1529" t="s">
        <v>235</v>
      </c>
      <c r="FG1529" t="s">
        <v>183</v>
      </c>
      <c r="FH1529" t="s">
        <v>211</v>
      </c>
      <c r="FI1529" t="s">
        <v>345</v>
      </c>
      <c r="FK1529" t="s">
        <v>1703</v>
      </c>
      <c r="FU1529" t="s">
        <v>198</v>
      </c>
    </row>
    <row r="1530" spans="1:177">
      <c r="A1530" s="1" t="str">
        <f>HYPERLINK("http://digipan.lumentumllc.com/apps/getLink/index.php?t=PropLink&amp;p=6594291","PL")</f>
        <v>PL</v>
      </c>
      <c r="B1530" s="1" t="str">
        <f>HYPERLINK("http://digipan.lumentumllc.com/apps/getLink/index.php?t=TaxLink&amp;p=6594291","TL")</f>
        <v>TL</v>
      </c>
      <c r="C1530" s="1" t="str">
        <f>HYPERLINK("http://digipan.lumentumllc.com/apps/getMap/index.php?p=6594291","Map")</f>
        <v>Map</v>
      </c>
      <c r="E1530" t="s">
        <v>177</v>
      </c>
      <c r="F1530" t="s">
        <v>178</v>
      </c>
      <c r="L1530" t="s">
        <v>19490</v>
      </c>
      <c r="N1530" t="s">
        <v>19490</v>
      </c>
      <c r="O1530" t="s">
        <v>19490</v>
      </c>
      <c r="P1530" t="s">
        <v>19491</v>
      </c>
      <c r="Q1530" t="s">
        <v>19490</v>
      </c>
      <c r="V1530">
        <v>1757</v>
      </c>
      <c r="W1530">
        <v>6</v>
      </c>
      <c r="X1530">
        <v>2017</v>
      </c>
      <c r="Y1530">
        <v>2018</v>
      </c>
      <c r="Z1530">
        <v>1182.3699999999999</v>
      </c>
      <c r="AB1530" t="s">
        <v>181</v>
      </c>
      <c r="AC1530" t="s">
        <v>182</v>
      </c>
      <c r="AD1530" t="s">
        <v>183</v>
      </c>
      <c r="AE1530">
        <v>1</v>
      </c>
      <c r="AF1530">
        <v>3</v>
      </c>
      <c r="AG1530" t="s">
        <v>257</v>
      </c>
      <c r="AH1530">
        <v>75</v>
      </c>
      <c r="AI1530">
        <v>1158.96</v>
      </c>
      <c r="AJ1530">
        <v>57.95</v>
      </c>
      <c r="AK1530">
        <v>1216.9100000000001</v>
      </c>
      <c r="AL1530">
        <v>119846</v>
      </c>
      <c r="AM1530">
        <v>25000</v>
      </c>
      <c r="AN1530">
        <v>94846</v>
      </c>
      <c r="AO1530">
        <v>1047</v>
      </c>
      <c r="AP1530">
        <v>2016</v>
      </c>
      <c r="AQ1530">
        <v>0.99</v>
      </c>
      <c r="AR1530">
        <v>1.02</v>
      </c>
      <c r="AS1530" t="s">
        <v>19492</v>
      </c>
      <c r="AT1530" t="s">
        <v>15040</v>
      </c>
      <c r="AU1530" t="s">
        <v>177</v>
      </c>
      <c r="AV1530" t="s">
        <v>371</v>
      </c>
      <c r="AW1530" t="s">
        <v>202</v>
      </c>
      <c r="AX1530">
        <v>1</v>
      </c>
      <c r="AY1530" t="s">
        <v>188</v>
      </c>
      <c r="AZ1530" t="s">
        <v>206</v>
      </c>
      <c r="BA1530" t="s">
        <v>355</v>
      </c>
      <c r="BB1530" t="s">
        <v>191</v>
      </c>
      <c r="BC1530" t="s">
        <v>182</v>
      </c>
      <c r="BD1530" t="s">
        <v>182</v>
      </c>
      <c r="BE1530" t="s">
        <v>8875</v>
      </c>
      <c r="BF1530">
        <v>1</v>
      </c>
      <c r="BG1530">
        <v>1</v>
      </c>
      <c r="BH1530">
        <v>1992</v>
      </c>
      <c r="BI1530" t="s">
        <v>15473</v>
      </c>
      <c r="BJ1530" t="s">
        <v>194</v>
      </c>
      <c r="BK1530" t="s">
        <v>195</v>
      </c>
      <c r="BL1530" t="s">
        <v>884</v>
      </c>
      <c r="BM1530" t="s">
        <v>302</v>
      </c>
      <c r="BN1530" t="s">
        <v>182</v>
      </c>
      <c r="BO1530" t="s">
        <v>9803</v>
      </c>
      <c r="BP1530" t="s">
        <v>2685</v>
      </c>
      <c r="BR1530" t="s">
        <v>1461</v>
      </c>
      <c r="BS1530" t="s">
        <v>19493</v>
      </c>
      <c r="BT1530" t="s">
        <v>198</v>
      </c>
      <c r="BU1530" t="s">
        <v>182</v>
      </c>
      <c r="BV1530" t="s">
        <v>198</v>
      </c>
      <c r="BW1530" t="s">
        <v>198</v>
      </c>
      <c r="BX1530" t="s">
        <v>199</v>
      </c>
      <c r="BY1530" t="s">
        <v>198</v>
      </c>
      <c r="BZ1530" t="s">
        <v>199</v>
      </c>
      <c r="CA1530" t="s">
        <v>199</v>
      </c>
      <c r="CB1530" t="s">
        <v>19494</v>
      </c>
      <c r="CC1530" t="s">
        <v>201</v>
      </c>
      <c r="CD1530" t="s">
        <v>182</v>
      </c>
      <c r="CE1530" t="s">
        <v>19495</v>
      </c>
      <c r="CF1530" t="s">
        <v>5331</v>
      </c>
      <c r="CG1530" t="s">
        <v>177</v>
      </c>
      <c r="CH1530" t="s">
        <v>371</v>
      </c>
      <c r="CI1530" t="s">
        <v>15666</v>
      </c>
      <c r="CJ1530" t="s">
        <v>16794</v>
      </c>
      <c r="CK1530" t="s">
        <v>232</v>
      </c>
      <c r="CL1530" t="s">
        <v>233</v>
      </c>
      <c r="CM1530" t="s">
        <v>19496</v>
      </c>
      <c r="CN1530" t="s">
        <v>235</v>
      </c>
      <c r="CO1530" t="s">
        <v>183</v>
      </c>
      <c r="CP1530" t="s">
        <v>266</v>
      </c>
      <c r="CS1530" t="s">
        <v>198</v>
      </c>
      <c r="CT1530" t="s">
        <v>19046</v>
      </c>
      <c r="CU1530" t="s">
        <v>292</v>
      </c>
      <c r="CV1530" t="s">
        <v>293</v>
      </c>
      <c r="CW1530" t="s">
        <v>19497</v>
      </c>
      <c r="CX1530" t="s">
        <v>235</v>
      </c>
      <c r="CY1530" t="s">
        <v>183</v>
      </c>
      <c r="CZ1530" t="s">
        <v>211</v>
      </c>
      <c r="DA1530" t="s">
        <v>298</v>
      </c>
      <c r="DC1530" t="s">
        <v>3703</v>
      </c>
      <c r="DD1530" t="s">
        <v>873</v>
      </c>
      <c r="DE1530" t="s">
        <v>267</v>
      </c>
      <c r="DF1530" t="s">
        <v>268</v>
      </c>
      <c r="DG1530" t="s">
        <v>19498</v>
      </c>
      <c r="DH1530" t="s">
        <v>235</v>
      </c>
      <c r="DI1530" t="s">
        <v>183</v>
      </c>
      <c r="DJ1530" t="s">
        <v>211</v>
      </c>
      <c r="DK1530" t="s">
        <v>298</v>
      </c>
      <c r="DM1530" t="s">
        <v>5919</v>
      </c>
      <c r="DN1530" t="s">
        <v>19499</v>
      </c>
      <c r="DO1530" t="s">
        <v>273</v>
      </c>
      <c r="DP1530" t="s">
        <v>274</v>
      </c>
      <c r="DQ1530" t="s">
        <v>19500</v>
      </c>
      <c r="DR1530" t="s">
        <v>235</v>
      </c>
      <c r="DS1530" t="s">
        <v>183</v>
      </c>
      <c r="DT1530" t="s">
        <v>211</v>
      </c>
      <c r="DU1530" t="s">
        <v>290</v>
      </c>
      <c r="DW1530" t="s">
        <v>13527</v>
      </c>
      <c r="EG1530" t="s">
        <v>198</v>
      </c>
      <c r="EQ1530" t="s">
        <v>198</v>
      </c>
      <c r="FA1530" t="s">
        <v>198</v>
      </c>
      <c r="FK1530" t="s">
        <v>198</v>
      </c>
      <c r="FU1530" t="s">
        <v>198</v>
      </c>
    </row>
    <row r="1531" spans="1:177">
      <c r="A1531" s="1" t="str">
        <f>HYPERLINK("http://digipan.lumentumllc.com/apps/getLink/index.php?t=PropLink&amp;p=5246918","PL")</f>
        <v>PL</v>
      </c>
      <c r="B1531" s="1" t="str">
        <f>HYPERLINK("http://digipan.lumentumllc.com/apps/getLink/index.php?t=TaxLink&amp;p=5246918","TL")</f>
        <v>TL</v>
      </c>
      <c r="C1531" s="1" t="str">
        <f>HYPERLINK("http://digipan.lumentumllc.com/apps/getMap/index.php?p=5246918","Map")</f>
        <v>Map</v>
      </c>
      <c r="E1531" t="s">
        <v>177</v>
      </c>
      <c r="F1531" t="s">
        <v>178</v>
      </c>
      <c r="L1531" t="s">
        <v>19501</v>
      </c>
      <c r="N1531" t="s">
        <v>19501</v>
      </c>
      <c r="O1531" t="s">
        <v>19501</v>
      </c>
      <c r="P1531" t="s">
        <v>19502</v>
      </c>
      <c r="Q1531" t="s">
        <v>19501</v>
      </c>
      <c r="V1531">
        <v>1758</v>
      </c>
      <c r="W1531">
        <v>6</v>
      </c>
      <c r="X1531">
        <v>2017</v>
      </c>
      <c r="Y1531">
        <v>2018</v>
      </c>
      <c r="Z1531">
        <v>258.13</v>
      </c>
      <c r="AB1531" t="s">
        <v>181</v>
      </c>
      <c r="AC1531" t="s">
        <v>182</v>
      </c>
      <c r="AD1531" t="s">
        <v>1037</v>
      </c>
      <c r="AE1531">
        <v>0</v>
      </c>
      <c r="AF1531">
        <v>5</v>
      </c>
      <c r="AG1531" t="s">
        <v>3266</v>
      </c>
      <c r="AH1531">
        <v>100</v>
      </c>
      <c r="AK1531">
        <v>0</v>
      </c>
      <c r="AL1531">
        <v>45459</v>
      </c>
      <c r="AM1531">
        <v>25000</v>
      </c>
      <c r="AN1531">
        <v>20459</v>
      </c>
      <c r="AO1531">
        <v>200</v>
      </c>
      <c r="AP1531">
        <v>2016</v>
      </c>
      <c r="AQ1531">
        <v>0.56999999999999995</v>
      </c>
      <c r="AS1531" t="s">
        <v>19503</v>
      </c>
      <c r="AT1531" t="s">
        <v>15040</v>
      </c>
      <c r="AU1531" t="s">
        <v>177</v>
      </c>
      <c r="AV1531" t="s">
        <v>371</v>
      </c>
      <c r="AW1531" t="s">
        <v>202</v>
      </c>
      <c r="AX1531">
        <v>2</v>
      </c>
      <c r="AY1531" t="s">
        <v>188</v>
      </c>
      <c r="AZ1531" t="s">
        <v>189</v>
      </c>
      <c r="BA1531" t="s">
        <v>190</v>
      </c>
      <c r="BB1531" t="s">
        <v>191</v>
      </c>
      <c r="BC1531" t="s">
        <v>182</v>
      </c>
      <c r="BD1531" t="s">
        <v>182</v>
      </c>
      <c r="BE1531" t="s">
        <v>8792</v>
      </c>
      <c r="BF1531">
        <v>1</v>
      </c>
      <c r="BG1531">
        <v>1</v>
      </c>
      <c r="BH1531">
        <v>1977</v>
      </c>
      <c r="BI1531" t="s">
        <v>9542</v>
      </c>
      <c r="BJ1531" t="s">
        <v>194</v>
      </c>
      <c r="BK1531" t="s">
        <v>195</v>
      </c>
      <c r="BL1531" t="s">
        <v>199</v>
      </c>
      <c r="BM1531" t="s">
        <v>679</v>
      </c>
      <c r="BN1531" t="s">
        <v>182</v>
      </c>
      <c r="BO1531" t="s">
        <v>19504</v>
      </c>
      <c r="BP1531" t="s">
        <v>8899</v>
      </c>
      <c r="BQ1531" t="s">
        <v>226</v>
      </c>
      <c r="BR1531" t="s">
        <v>227</v>
      </c>
      <c r="BS1531" t="s">
        <v>198</v>
      </c>
      <c r="BT1531" t="s">
        <v>228</v>
      </c>
      <c r="BU1531" t="s">
        <v>182</v>
      </c>
      <c r="BV1531" t="s">
        <v>198</v>
      </c>
      <c r="BW1531" t="s">
        <v>198</v>
      </c>
      <c r="BX1531" t="s">
        <v>199</v>
      </c>
      <c r="BY1531" t="s">
        <v>198</v>
      </c>
      <c r="BZ1531" t="s">
        <v>199</v>
      </c>
      <c r="CA1531" t="s">
        <v>199</v>
      </c>
      <c r="CB1531" t="s">
        <v>19505</v>
      </c>
      <c r="CC1531" t="s">
        <v>201</v>
      </c>
      <c r="CD1531" t="s">
        <v>182</v>
      </c>
      <c r="CE1531" t="s">
        <v>19506</v>
      </c>
      <c r="CF1531" t="s">
        <v>5331</v>
      </c>
      <c r="CG1531" t="s">
        <v>177</v>
      </c>
      <c r="CH1531" t="s">
        <v>371</v>
      </c>
      <c r="CI1531" t="s">
        <v>19507</v>
      </c>
      <c r="CJ1531" t="s">
        <v>8793</v>
      </c>
      <c r="CK1531" t="s">
        <v>232</v>
      </c>
      <c r="CL1531" t="s">
        <v>233</v>
      </c>
      <c r="CM1531" t="s">
        <v>19508</v>
      </c>
      <c r="CN1531" t="s">
        <v>482</v>
      </c>
      <c r="CO1531" t="s">
        <v>5</v>
      </c>
      <c r="CP1531" t="s">
        <v>211</v>
      </c>
      <c r="CQ1531" t="s">
        <v>199</v>
      </c>
      <c r="CS1531" t="s">
        <v>2774</v>
      </c>
      <c r="CT1531" t="s">
        <v>17018</v>
      </c>
      <c r="CU1531" t="s">
        <v>292</v>
      </c>
      <c r="CV1531" t="s">
        <v>293</v>
      </c>
      <c r="CW1531" t="s">
        <v>19509</v>
      </c>
      <c r="CX1531" t="s">
        <v>482</v>
      </c>
      <c r="CY1531" t="s">
        <v>183</v>
      </c>
      <c r="CZ1531" t="s">
        <v>211</v>
      </c>
      <c r="DA1531" t="s">
        <v>212</v>
      </c>
      <c r="DC1531" t="s">
        <v>17152</v>
      </c>
      <c r="DD1531" t="s">
        <v>17294</v>
      </c>
      <c r="DE1531" t="s">
        <v>273</v>
      </c>
      <c r="DF1531" t="s">
        <v>274</v>
      </c>
      <c r="DG1531" t="s">
        <v>19510</v>
      </c>
      <c r="DH1531" t="s">
        <v>235</v>
      </c>
      <c r="DI1531" t="s">
        <v>183</v>
      </c>
      <c r="DJ1531" t="s">
        <v>211</v>
      </c>
      <c r="DK1531" t="s">
        <v>264</v>
      </c>
      <c r="DM1531" t="s">
        <v>19511</v>
      </c>
      <c r="DN1531" t="s">
        <v>19474</v>
      </c>
      <c r="DO1531" t="s">
        <v>302</v>
      </c>
      <c r="DP1531" t="s">
        <v>303</v>
      </c>
      <c r="DQ1531" t="s">
        <v>19512</v>
      </c>
      <c r="DR1531" t="s">
        <v>3342</v>
      </c>
      <c r="DS1531" t="s">
        <v>183</v>
      </c>
      <c r="DT1531" t="s">
        <v>211</v>
      </c>
      <c r="DU1531" t="s">
        <v>471</v>
      </c>
      <c r="DW1531" t="s">
        <v>19511</v>
      </c>
      <c r="DX1531" t="s">
        <v>19513</v>
      </c>
      <c r="DY1531" t="s">
        <v>346</v>
      </c>
      <c r="DZ1531" t="s">
        <v>347</v>
      </c>
      <c r="EA1531" t="s">
        <v>19514</v>
      </c>
      <c r="EB1531" t="s">
        <v>278</v>
      </c>
      <c r="EC1531" t="s">
        <v>183</v>
      </c>
      <c r="ED1531" t="s">
        <v>211</v>
      </c>
      <c r="EE1531" t="s">
        <v>329</v>
      </c>
      <c r="EG1531" t="s">
        <v>1324</v>
      </c>
      <c r="EQ1531" t="s">
        <v>198</v>
      </c>
      <c r="FA1531" t="s">
        <v>198</v>
      </c>
      <c r="FK1531" t="s">
        <v>198</v>
      </c>
      <c r="FU1531" t="s">
        <v>198</v>
      </c>
    </row>
    <row r="1532" spans="1:177">
      <c r="A1532" s="1" t="str">
        <f>HYPERLINK("http://digipan.lumentumllc.com/apps/getLink/index.php?t=PropLink&amp;p=5246921","PL")</f>
        <v>PL</v>
      </c>
      <c r="B1532" s="1" t="str">
        <f>HYPERLINK("http://digipan.lumentumllc.com/apps/getLink/index.php?t=TaxLink&amp;p=5246921","TL")</f>
        <v>TL</v>
      </c>
      <c r="C1532" s="1" t="str">
        <f>HYPERLINK("http://digipan.lumentumllc.com/apps/getMap/index.php?p=5246921","Map")</f>
        <v>Map</v>
      </c>
      <c r="E1532" t="s">
        <v>177</v>
      </c>
      <c r="F1532" t="s">
        <v>178</v>
      </c>
      <c r="L1532" t="s">
        <v>19515</v>
      </c>
      <c r="N1532" t="s">
        <v>19515</v>
      </c>
      <c r="O1532" t="s">
        <v>19515</v>
      </c>
      <c r="P1532" t="s">
        <v>19516</v>
      </c>
      <c r="Q1532" t="s">
        <v>19515</v>
      </c>
      <c r="V1532">
        <v>1759</v>
      </c>
      <c r="W1532">
        <v>6</v>
      </c>
      <c r="X1532">
        <v>2017</v>
      </c>
      <c r="Y1532">
        <v>2018</v>
      </c>
      <c r="Z1532">
        <v>638.55999999999995</v>
      </c>
      <c r="AB1532" t="s">
        <v>181</v>
      </c>
      <c r="AC1532" t="s">
        <v>182</v>
      </c>
      <c r="AD1532" t="s">
        <v>183</v>
      </c>
      <c r="AE1532">
        <v>0</v>
      </c>
      <c r="AF1532">
        <v>1</v>
      </c>
      <c r="AG1532" t="s">
        <v>821</v>
      </c>
      <c r="AH1532">
        <v>100</v>
      </c>
      <c r="AK1532">
        <v>0</v>
      </c>
      <c r="AL1532">
        <v>39165</v>
      </c>
      <c r="AM1532">
        <v>25000</v>
      </c>
      <c r="AN1532">
        <v>14165</v>
      </c>
      <c r="AO1532">
        <v>494</v>
      </c>
      <c r="AP1532">
        <v>2016</v>
      </c>
      <c r="AQ1532">
        <v>1.63</v>
      </c>
      <c r="AS1532" t="s">
        <v>19517</v>
      </c>
      <c r="AT1532" t="s">
        <v>15040</v>
      </c>
      <c r="AU1532" t="s">
        <v>177</v>
      </c>
      <c r="AV1532" t="s">
        <v>371</v>
      </c>
      <c r="AW1532" t="s">
        <v>182</v>
      </c>
      <c r="AX1532">
        <v>0</v>
      </c>
      <c r="AY1532" t="s">
        <v>312</v>
      </c>
      <c r="AZ1532" t="s">
        <v>199</v>
      </c>
      <c r="BA1532" t="s">
        <v>313</v>
      </c>
      <c r="BB1532" t="s">
        <v>191</v>
      </c>
      <c r="BC1532" t="s">
        <v>182</v>
      </c>
      <c r="BD1532" t="s">
        <v>182</v>
      </c>
      <c r="BE1532" t="s">
        <v>3783</v>
      </c>
      <c r="BF1532">
        <v>0</v>
      </c>
      <c r="BG1532">
        <v>0</v>
      </c>
      <c r="BH1532">
        <v>0</v>
      </c>
      <c r="BI1532" t="s">
        <v>199</v>
      </c>
      <c r="BJ1532" t="s">
        <v>248</v>
      </c>
      <c r="BL1532" t="s">
        <v>19518</v>
      </c>
      <c r="BM1532" t="s">
        <v>368</v>
      </c>
      <c r="BN1532" t="s">
        <v>182</v>
      </c>
      <c r="BO1532" t="s">
        <v>19519</v>
      </c>
      <c r="BP1532" t="s">
        <v>5327</v>
      </c>
      <c r="BQ1532" t="s">
        <v>15233</v>
      </c>
      <c r="BR1532" t="s">
        <v>15246</v>
      </c>
      <c r="BS1532" t="s">
        <v>19520</v>
      </c>
      <c r="BT1532" t="s">
        <v>19521</v>
      </c>
      <c r="BU1532" t="s">
        <v>182</v>
      </c>
      <c r="BV1532" t="s">
        <v>198</v>
      </c>
      <c r="BW1532" t="s">
        <v>198</v>
      </c>
      <c r="BX1532" t="s">
        <v>199</v>
      </c>
      <c r="BY1532" t="s">
        <v>198</v>
      </c>
      <c r="BZ1532" t="s">
        <v>199</v>
      </c>
      <c r="CA1532" t="s">
        <v>199</v>
      </c>
      <c r="CB1532" t="s">
        <v>19522</v>
      </c>
      <c r="CC1532" t="s">
        <v>201</v>
      </c>
      <c r="CD1532" t="s">
        <v>182</v>
      </c>
      <c r="CE1532" t="s">
        <v>19447</v>
      </c>
      <c r="CF1532" t="s">
        <v>5331</v>
      </c>
      <c r="CG1532" t="s">
        <v>177</v>
      </c>
      <c r="CH1532" t="s">
        <v>371</v>
      </c>
      <c r="CI1532" t="s">
        <v>19523</v>
      </c>
      <c r="CJ1532" t="s">
        <v>19524</v>
      </c>
      <c r="CK1532" t="s">
        <v>346</v>
      </c>
      <c r="CL1532" t="s">
        <v>347</v>
      </c>
      <c r="CM1532" t="s">
        <v>19525</v>
      </c>
      <c r="CN1532" t="s">
        <v>278</v>
      </c>
      <c r="CO1532" t="s">
        <v>183</v>
      </c>
      <c r="CP1532" t="s">
        <v>211</v>
      </c>
      <c r="CQ1532" t="s">
        <v>250</v>
      </c>
      <c r="CS1532" t="s">
        <v>13905</v>
      </c>
      <c r="DC1532" t="s">
        <v>198</v>
      </c>
      <c r="DM1532" t="s">
        <v>198</v>
      </c>
      <c r="DW1532" t="s">
        <v>198</v>
      </c>
      <c r="EG1532" t="s">
        <v>198</v>
      </c>
      <c r="EQ1532" t="s">
        <v>198</v>
      </c>
      <c r="FA1532" t="s">
        <v>198</v>
      </c>
      <c r="FK1532" t="s">
        <v>198</v>
      </c>
      <c r="FU1532" t="s">
        <v>198</v>
      </c>
    </row>
    <row r="1533" spans="1:177">
      <c r="A1533" s="1" t="str">
        <f>HYPERLINK("http://digipan.lumentumllc.com/apps/getLink/index.php?t=PropLink&amp;p=5246925","PL")</f>
        <v>PL</v>
      </c>
      <c r="B1533" s="1" t="str">
        <f>HYPERLINK("http://digipan.lumentumllc.com/apps/getLink/index.php?t=TaxLink&amp;p=5246925","TL")</f>
        <v>TL</v>
      </c>
      <c r="C1533" s="1" t="str">
        <f>HYPERLINK("http://digipan.lumentumllc.com/apps/getMap/index.php?p=5246925","Map")</f>
        <v>Map</v>
      </c>
      <c r="E1533" t="s">
        <v>177</v>
      </c>
      <c r="F1533" t="s">
        <v>178</v>
      </c>
      <c r="L1533" t="s">
        <v>19526</v>
      </c>
      <c r="N1533" t="s">
        <v>19526</v>
      </c>
      <c r="O1533" t="s">
        <v>19526</v>
      </c>
      <c r="P1533" t="s">
        <v>19527</v>
      </c>
      <c r="Q1533" t="s">
        <v>19526</v>
      </c>
      <c r="V1533">
        <v>1760</v>
      </c>
      <c r="W1533">
        <v>6</v>
      </c>
      <c r="X1533">
        <v>2017</v>
      </c>
      <c r="Y1533">
        <v>2018</v>
      </c>
      <c r="Z1533">
        <v>658.42</v>
      </c>
      <c r="AB1533" t="s">
        <v>181</v>
      </c>
      <c r="AC1533" t="s">
        <v>182</v>
      </c>
      <c r="AD1533" t="s">
        <v>183</v>
      </c>
      <c r="AE1533">
        <v>0</v>
      </c>
      <c r="AF1533">
        <v>8</v>
      </c>
      <c r="AG1533" t="s">
        <v>1059</v>
      </c>
      <c r="AH1533">
        <v>100</v>
      </c>
      <c r="AK1533">
        <v>0</v>
      </c>
      <c r="AL1533">
        <v>42479</v>
      </c>
      <c r="AM1533">
        <v>25000</v>
      </c>
      <c r="AN1533">
        <v>17479</v>
      </c>
      <c r="AO1533">
        <v>488</v>
      </c>
      <c r="AP1533">
        <v>2016</v>
      </c>
      <c r="AQ1533">
        <v>1.55</v>
      </c>
      <c r="AS1533" t="s">
        <v>19528</v>
      </c>
      <c r="AT1533" t="s">
        <v>15040</v>
      </c>
      <c r="AU1533" t="s">
        <v>177</v>
      </c>
      <c r="AV1533" t="s">
        <v>371</v>
      </c>
      <c r="AW1533" t="s">
        <v>182</v>
      </c>
      <c r="AX1533">
        <v>2</v>
      </c>
      <c r="AY1533" t="s">
        <v>188</v>
      </c>
      <c r="AZ1533" t="s">
        <v>189</v>
      </c>
      <c r="BA1533" t="s">
        <v>190</v>
      </c>
      <c r="BB1533" t="s">
        <v>191</v>
      </c>
      <c r="BC1533" t="s">
        <v>182</v>
      </c>
      <c r="BD1533" t="s">
        <v>182</v>
      </c>
      <c r="BE1533" t="s">
        <v>7049</v>
      </c>
      <c r="BF1533">
        <v>1</v>
      </c>
      <c r="BG1533">
        <v>1</v>
      </c>
      <c r="BH1533">
        <v>1987</v>
      </c>
      <c r="BI1533" t="s">
        <v>1530</v>
      </c>
      <c r="BJ1533" t="s">
        <v>194</v>
      </c>
      <c r="BK1533" t="s">
        <v>195</v>
      </c>
      <c r="BL1533" t="s">
        <v>199</v>
      </c>
      <c r="BM1533" t="s">
        <v>325</v>
      </c>
      <c r="BN1533" t="s">
        <v>182</v>
      </c>
      <c r="BO1533" t="s">
        <v>198</v>
      </c>
      <c r="BP1533" t="s">
        <v>198</v>
      </c>
      <c r="BQ1533" t="s">
        <v>198</v>
      </c>
      <c r="BR1533" t="s">
        <v>198</v>
      </c>
      <c r="BS1533" t="s">
        <v>198</v>
      </c>
      <c r="BT1533" t="s">
        <v>198</v>
      </c>
      <c r="BU1533" t="s">
        <v>182</v>
      </c>
      <c r="BV1533" t="s">
        <v>198</v>
      </c>
      <c r="BW1533" t="s">
        <v>198</v>
      </c>
      <c r="BX1533" t="s">
        <v>199</v>
      </c>
      <c r="BY1533" t="s">
        <v>198</v>
      </c>
      <c r="BZ1533" t="s">
        <v>199</v>
      </c>
      <c r="CA1533" t="s">
        <v>199</v>
      </c>
      <c r="CB1533" t="s">
        <v>19529</v>
      </c>
      <c r="CC1533" t="s">
        <v>201</v>
      </c>
      <c r="CD1533" t="s">
        <v>202</v>
      </c>
      <c r="CE1533" t="s">
        <v>19530</v>
      </c>
      <c r="CF1533" t="s">
        <v>5331</v>
      </c>
      <c r="CG1533" t="s">
        <v>177</v>
      </c>
      <c r="CH1533" t="s">
        <v>371</v>
      </c>
      <c r="CI1533" t="s">
        <v>19531</v>
      </c>
      <c r="CJ1533" t="s">
        <v>6937</v>
      </c>
      <c r="CK1533" t="s">
        <v>232</v>
      </c>
      <c r="CL1533" t="s">
        <v>233</v>
      </c>
      <c r="CM1533" t="s">
        <v>19532</v>
      </c>
      <c r="CN1533" t="s">
        <v>235</v>
      </c>
      <c r="CO1533" t="s">
        <v>183</v>
      </c>
      <c r="CP1533" t="s">
        <v>211</v>
      </c>
      <c r="CQ1533" t="s">
        <v>342</v>
      </c>
      <c r="CS1533" t="s">
        <v>6851</v>
      </c>
      <c r="CT1533" t="s">
        <v>18364</v>
      </c>
      <c r="CU1533" t="s">
        <v>292</v>
      </c>
      <c r="CV1533" t="s">
        <v>293</v>
      </c>
      <c r="CW1533" t="s">
        <v>19533</v>
      </c>
      <c r="CX1533" t="s">
        <v>235</v>
      </c>
      <c r="CY1533" t="s">
        <v>183</v>
      </c>
      <c r="CZ1533" t="s">
        <v>211</v>
      </c>
      <c r="DA1533" t="s">
        <v>345</v>
      </c>
      <c r="DC1533" t="s">
        <v>6851</v>
      </c>
      <c r="DD1533" t="s">
        <v>4354</v>
      </c>
      <c r="DE1533" t="s">
        <v>267</v>
      </c>
      <c r="DF1533" t="s">
        <v>268</v>
      </c>
      <c r="DG1533" t="s">
        <v>19534</v>
      </c>
      <c r="DH1533" t="s">
        <v>235</v>
      </c>
      <c r="DI1533" t="s">
        <v>183</v>
      </c>
      <c r="DJ1533" t="s">
        <v>211</v>
      </c>
      <c r="DK1533" t="s">
        <v>334</v>
      </c>
      <c r="DM1533" t="s">
        <v>19535</v>
      </c>
      <c r="DN1533" t="s">
        <v>18549</v>
      </c>
      <c r="DO1533" t="s">
        <v>273</v>
      </c>
      <c r="DP1533" t="s">
        <v>274</v>
      </c>
      <c r="DQ1533" t="s">
        <v>19536</v>
      </c>
      <c r="DR1533" t="s">
        <v>235</v>
      </c>
      <c r="DS1533" t="s">
        <v>183</v>
      </c>
      <c r="DT1533" t="s">
        <v>211</v>
      </c>
      <c r="DU1533" t="s">
        <v>345</v>
      </c>
      <c r="DW1533" t="s">
        <v>4483</v>
      </c>
      <c r="DX1533" t="s">
        <v>14356</v>
      </c>
      <c r="DY1533" t="s">
        <v>302</v>
      </c>
      <c r="DZ1533" t="s">
        <v>303</v>
      </c>
      <c r="EA1533" t="s">
        <v>19537</v>
      </c>
      <c r="EB1533" t="s">
        <v>235</v>
      </c>
      <c r="EC1533" t="s">
        <v>183</v>
      </c>
      <c r="ED1533" t="s">
        <v>211</v>
      </c>
      <c r="EE1533" t="s">
        <v>298</v>
      </c>
      <c r="EG1533" t="s">
        <v>1071</v>
      </c>
      <c r="EH1533" t="s">
        <v>19538</v>
      </c>
      <c r="EI1533" t="s">
        <v>238</v>
      </c>
      <c r="EJ1533" t="s">
        <v>239</v>
      </c>
      <c r="EK1533" t="s">
        <v>19539</v>
      </c>
      <c r="EL1533" t="s">
        <v>816</v>
      </c>
      <c r="EM1533" t="s">
        <v>183</v>
      </c>
      <c r="EN1533" t="s">
        <v>211</v>
      </c>
      <c r="EO1533" t="s">
        <v>298</v>
      </c>
      <c r="EQ1533" t="s">
        <v>2904</v>
      </c>
      <c r="ER1533" t="s">
        <v>19540</v>
      </c>
      <c r="ES1533" t="s">
        <v>346</v>
      </c>
      <c r="ET1533" t="s">
        <v>347</v>
      </c>
      <c r="EU1533" t="s">
        <v>19541</v>
      </c>
      <c r="EV1533" t="s">
        <v>278</v>
      </c>
      <c r="EW1533" t="s">
        <v>183</v>
      </c>
      <c r="EX1533" t="s">
        <v>211</v>
      </c>
      <c r="EY1533" t="s">
        <v>298</v>
      </c>
      <c r="FA1533" t="s">
        <v>1818</v>
      </c>
      <c r="FB1533" t="s">
        <v>19542</v>
      </c>
      <c r="FC1533" t="s">
        <v>207</v>
      </c>
      <c r="FD1533" t="s">
        <v>208</v>
      </c>
      <c r="FE1533" t="s">
        <v>19543</v>
      </c>
      <c r="FF1533" t="s">
        <v>576</v>
      </c>
      <c r="FG1533" t="s">
        <v>183</v>
      </c>
      <c r="FH1533" t="s">
        <v>211</v>
      </c>
      <c r="FI1533" t="s">
        <v>345</v>
      </c>
      <c r="FK1533" t="s">
        <v>1355</v>
      </c>
      <c r="FU1533" t="s">
        <v>198</v>
      </c>
    </row>
    <row r="1534" spans="1:177">
      <c r="A1534" s="1" t="str">
        <f>HYPERLINK("http://digipan.lumentumllc.com/apps/getLink/index.php?t=PropLink&amp;p=6886780","PL")</f>
        <v>PL</v>
      </c>
      <c r="B1534" s="1" t="str">
        <f>HYPERLINK("http://digipan.lumentumllc.com/apps/getLink/index.php?t=TaxLink&amp;p=6886780","TL")</f>
        <v>TL</v>
      </c>
      <c r="C1534" s="1" t="str">
        <f>HYPERLINK("http://digipan.lumentumllc.com/apps/getMap/index.php?p=6886780","Map")</f>
        <v>Map</v>
      </c>
      <c r="E1534" t="s">
        <v>177</v>
      </c>
      <c r="F1534" t="s">
        <v>178</v>
      </c>
      <c r="L1534" t="s">
        <v>19544</v>
      </c>
      <c r="N1534" t="s">
        <v>19544</v>
      </c>
      <c r="O1534" t="s">
        <v>19544</v>
      </c>
      <c r="P1534" t="s">
        <v>19545</v>
      </c>
      <c r="Q1534" t="s">
        <v>19544</v>
      </c>
      <c r="V1534">
        <v>1761</v>
      </c>
      <c r="W1534">
        <v>6</v>
      </c>
      <c r="X1534">
        <v>2017</v>
      </c>
      <c r="Y1534">
        <v>2018</v>
      </c>
      <c r="Z1534">
        <v>398.82</v>
      </c>
      <c r="AB1534" t="s">
        <v>181</v>
      </c>
      <c r="AC1534" t="s">
        <v>182</v>
      </c>
      <c r="AD1534" t="s">
        <v>183</v>
      </c>
      <c r="AE1534">
        <v>0</v>
      </c>
      <c r="AF1534">
        <v>1</v>
      </c>
      <c r="AG1534" t="s">
        <v>821</v>
      </c>
      <c r="AH1534">
        <v>100</v>
      </c>
      <c r="AK1534">
        <v>0</v>
      </c>
      <c r="AL1534">
        <v>51260</v>
      </c>
      <c r="AM1534">
        <v>25000</v>
      </c>
      <c r="AN1534">
        <v>26260</v>
      </c>
      <c r="AO1534">
        <v>329</v>
      </c>
      <c r="AP1534">
        <v>2016</v>
      </c>
      <c r="AQ1534">
        <v>0.78</v>
      </c>
      <c r="AS1534" t="s">
        <v>19546</v>
      </c>
      <c r="AT1534" t="s">
        <v>15040</v>
      </c>
      <c r="AU1534" t="s">
        <v>177</v>
      </c>
      <c r="AV1534" t="s">
        <v>371</v>
      </c>
      <c r="AW1534" t="s">
        <v>202</v>
      </c>
      <c r="AX1534">
        <v>2</v>
      </c>
      <c r="AY1534" t="s">
        <v>188</v>
      </c>
      <c r="AZ1534" t="s">
        <v>189</v>
      </c>
      <c r="BA1534" t="s">
        <v>190</v>
      </c>
      <c r="BB1534" t="s">
        <v>191</v>
      </c>
      <c r="BC1534" t="s">
        <v>182</v>
      </c>
      <c r="BD1534" t="s">
        <v>182</v>
      </c>
      <c r="BE1534" t="s">
        <v>8480</v>
      </c>
      <c r="BF1534">
        <v>1</v>
      </c>
      <c r="BG1534">
        <v>1</v>
      </c>
      <c r="BH1534">
        <v>1984</v>
      </c>
      <c r="BI1534" t="s">
        <v>15115</v>
      </c>
      <c r="BJ1534" t="s">
        <v>248</v>
      </c>
      <c r="BK1534" t="s">
        <v>195</v>
      </c>
      <c r="BL1534" t="s">
        <v>1854</v>
      </c>
      <c r="BM1534" t="s">
        <v>292</v>
      </c>
      <c r="BN1534" t="s">
        <v>182</v>
      </c>
      <c r="BO1534" t="s">
        <v>19547</v>
      </c>
      <c r="BP1534" t="s">
        <v>19548</v>
      </c>
      <c r="BQ1534" t="s">
        <v>904</v>
      </c>
      <c r="BR1534" t="s">
        <v>563</v>
      </c>
      <c r="BS1534" t="s">
        <v>198</v>
      </c>
      <c r="BT1534" t="s">
        <v>19549</v>
      </c>
      <c r="BU1534" t="s">
        <v>182</v>
      </c>
      <c r="BV1534" t="s">
        <v>198</v>
      </c>
      <c r="BW1534" t="s">
        <v>198</v>
      </c>
      <c r="BX1534" t="s">
        <v>199</v>
      </c>
      <c r="BY1534" t="s">
        <v>198</v>
      </c>
      <c r="BZ1534" t="s">
        <v>199</v>
      </c>
      <c r="CA1534" t="s">
        <v>199</v>
      </c>
      <c r="CB1534" t="s">
        <v>19550</v>
      </c>
      <c r="CC1534" t="s">
        <v>201</v>
      </c>
      <c r="CD1534" t="s">
        <v>182</v>
      </c>
      <c r="CE1534" t="s">
        <v>19551</v>
      </c>
      <c r="CF1534" t="s">
        <v>5331</v>
      </c>
      <c r="CG1534" t="s">
        <v>177</v>
      </c>
      <c r="CH1534" t="s">
        <v>371</v>
      </c>
      <c r="CI1534" t="s">
        <v>17815</v>
      </c>
      <c r="CJ1534" t="s">
        <v>19552</v>
      </c>
      <c r="CK1534" t="s">
        <v>267</v>
      </c>
      <c r="CL1534" t="s">
        <v>268</v>
      </c>
      <c r="CM1534" t="s">
        <v>19553</v>
      </c>
      <c r="CN1534" t="s">
        <v>235</v>
      </c>
      <c r="CO1534" t="s">
        <v>183</v>
      </c>
      <c r="CP1534" t="s">
        <v>211</v>
      </c>
      <c r="CQ1534" t="s">
        <v>270</v>
      </c>
      <c r="CS1534" t="s">
        <v>19554</v>
      </c>
      <c r="DC1534" t="s">
        <v>198</v>
      </c>
      <c r="DM1534" t="s">
        <v>198</v>
      </c>
      <c r="DW1534" t="s">
        <v>198</v>
      </c>
      <c r="EG1534" t="s">
        <v>198</v>
      </c>
      <c r="EQ1534" t="s">
        <v>198</v>
      </c>
      <c r="FA1534" t="s">
        <v>198</v>
      </c>
      <c r="FK1534" t="s">
        <v>198</v>
      </c>
      <c r="FU1534" t="s">
        <v>198</v>
      </c>
    </row>
    <row r="1535" spans="1:177">
      <c r="A1535" s="1" t="str">
        <f>HYPERLINK("http://digipan.lumentumllc.com/apps/getLink/index.php?t=PropLink&amp;p=5246960","PL")</f>
        <v>PL</v>
      </c>
      <c r="B1535" s="1" t="str">
        <f>HYPERLINK("http://digipan.lumentumllc.com/apps/getLink/index.php?t=TaxLink&amp;p=5246960","TL")</f>
        <v>TL</v>
      </c>
      <c r="C1535" s="1" t="str">
        <f>HYPERLINK("http://digipan.lumentumllc.com/apps/getMap/index.php?p=5246960","Map")</f>
        <v>Map</v>
      </c>
      <c r="E1535" t="s">
        <v>177</v>
      </c>
      <c r="F1535" t="s">
        <v>178</v>
      </c>
      <c r="L1535" t="s">
        <v>19555</v>
      </c>
      <c r="N1535" t="s">
        <v>19555</v>
      </c>
      <c r="O1535" t="s">
        <v>19555</v>
      </c>
      <c r="P1535" t="s">
        <v>19556</v>
      </c>
      <c r="Q1535" t="s">
        <v>19555</v>
      </c>
      <c r="V1535">
        <v>1763</v>
      </c>
      <c r="W1535">
        <v>6</v>
      </c>
      <c r="X1535">
        <v>2017</v>
      </c>
      <c r="Y1535">
        <v>2018</v>
      </c>
      <c r="Z1535">
        <v>543.76</v>
      </c>
      <c r="AB1535" t="s">
        <v>181</v>
      </c>
      <c r="AC1535" t="s">
        <v>202</v>
      </c>
      <c r="AD1535" t="s">
        <v>183</v>
      </c>
      <c r="AE1535">
        <v>0</v>
      </c>
      <c r="AF1535">
        <v>7</v>
      </c>
      <c r="AG1535" t="s">
        <v>528</v>
      </c>
      <c r="AH1535">
        <v>100</v>
      </c>
      <c r="AK1535">
        <v>0</v>
      </c>
      <c r="AL1535">
        <v>77703</v>
      </c>
      <c r="AM1535">
        <v>33500</v>
      </c>
      <c r="AN1535">
        <v>44203</v>
      </c>
      <c r="AO1535">
        <v>472</v>
      </c>
      <c r="AP1535">
        <v>2016</v>
      </c>
      <c r="AQ1535">
        <v>0.7</v>
      </c>
      <c r="AS1535" t="s">
        <v>19557</v>
      </c>
      <c r="AT1535" t="s">
        <v>15040</v>
      </c>
      <c r="AU1535" t="s">
        <v>177</v>
      </c>
      <c r="AV1535" t="s">
        <v>371</v>
      </c>
      <c r="AW1535" t="s">
        <v>202</v>
      </c>
      <c r="AX1535">
        <v>2</v>
      </c>
      <c r="AY1535" t="s">
        <v>188</v>
      </c>
      <c r="AZ1535" t="s">
        <v>189</v>
      </c>
      <c r="BA1535" t="s">
        <v>190</v>
      </c>
      <c r="BB1535" t="s">
        <v>191</v>
      </c>
      <c r="BC1535" t="s">
        <v>182</v>
      </c>
      <c r="BD1535" t="s">
        <v>182</v>
      </c>
      <c r="BE1535" t="s">
        <v>2167</v>
      </c>
      <c r="BF1535">
        <v>1</v>
      </c>
      <c r="BG1535">
        <v>1</v>
      </c>
      <c r="BH1535">
        <v>1998</v>
      </c>
      <c r="BI1535" t="s">
        <v>8738</v>
      </c>
      <c r="BJ1535" t="s">
        <v>194</v>
      </c>
      <c r="BK1535" t="s">
        <v>195</v>
      </c>
      <c r="BL1535" t="s">
        <v>199</v>
      </c>
      <c r="BM1535" t="s">
        <v>1311</v>
      </c>
      <c r="BN1535" t="s">
        <v>182</v>
      </c>
      <c r="BO1535" t="s">
        <v>198</v>
      </c>
      <c r="BP1535" t="s">
        <v>198</v>
      </c>
      <c r="BQ1535" t="s">
        <v>198</v>
      </c>
      <c r="BR1535" t="s">
        <v>198</v>
      </c>
      <c r="BS1535" t="s">
        <v>198</v>
      </c>
      <c r="BT1535" t="s">
        <v>198</v>
      </c>
      <c r="BU1535" t="s">
        <v>182</v>
      </c>
      <c r="BV1535" t="s">
        <v>198</v>
      </c>
      <c r="BW1535" t="s">
        <v>198</v>
      </c>
      <c r="BX1535" t="s">
        <v>199</v>
      </c>
      <c r="BY1535" t="s">
        <v>198</v>
      </c>
      <c r="BZ1535" t="s">
        <v>199</v>
      </c>
      <c r="CA1535" t="s">
        <v>199</v>
      </c>
      <c r="CB1535" t="s">
        <v>19558</v>
      </c>
      <c r="CC1535" t="s">
        <v>201</v>
      </c>
      <c r="CD1535" t="s">
        <v>182</v>
      </c>
      <c r="CE1535" t="s">
        <v>19559</v>
      </c>
      <c r="CF1535" t="s">
        <v>5331</v>
      </c>
      <c r="CG1535" t="s">
        <v>177</v>
      </c>
      <c r="CH1535" t="s">
        <v>371</v>
      </c>
      <c r="CI1535" t="s">
        <v>19560</v>
      </c>
      <c r="CJ1535" t="s">
        <v>9513</v>
      </c>
      <c r="CK1535" t="s">
        <v>292</v>
      </c>
      <c r="CL1535" t="s">
        <v>293</v>
      </c>
      <c r="CM1535" t="s">
        <v>19561</v>
      </c>
      <c r="CN1535" t="s">
        <v>333</v>
      </c>
      <c r="CO1535" t="s">
        <v>183</v>
      </c>
      <c r="CP1535" t="s">
        <v>211</v>
      </c>
      <c r="CQ1535" t="s">
        <v>329</v>
      </c>
      <c r="CR1535" t="s">
        <v>271</v>
      </c>
      <c r="CS1535" t="s">
        <v>19562</v>
      </c>
      <c r="CT1535" t="s">
        <v>4406</v>
      </c>
      <c r="CU1535" t="s">
        <v>267</v>
      </c>
      <c r="CV1535" t="s">
        <v>268</v>
      </c>
      <c r="CW1535" t="s">
        <v>19563</v>
      </c>
      <c r="CX1535" t="s">
        <v>482</v>
      </c>
      <c r="CY1535" t="s">
        <v>183</v>
      </c>
      <c r="CZ1535" t="s">
        <v>211</v>
      </c>
      <c r="DA1535" t="s">
        <v>298</v>
      </c>
      <c r="DB1535" t="s">
        <v>271</v>
      </c>
      <c r="DC1535" t="s">
        <v>19562</v>
      </c>
      <c r="DD1535" t="s">
        <v>8130</v>
      </c>
      <c r="DE1535" t="s">
        <v>273</v>
      </c>
      <c r="DF1535" t="s">
        <v>274</v>
      </c>
      <c r="DG1535" t="s">
        <v>19564</v>
      </c>
      <c r="DH1535" t="s">
        <v>235</v>
      </c>
      <c r="DI1535" t="s">
        <v>183</v>
      </c>
      <c r="DJ1535" t="s">
        <v>211</v>
      </c>
      <c r="DK1535" t="s">
        <v>525</v>
      </c>
      <c r="DL1535" t="s">
        <v>271</v>
      </c>
      <c r="DM1535" t="s">
        <v>19562</v>
      </c>
      <c r="DN1535" t="s">
        <v>19565</v>
      </c>
      <c r="DO1535" t="s">
        <v>302</v>
      </c>
      <c r="DP1535" t="s">
        <v>303</v>
      </c>
      <c r="DQ1535" t="s">
        <v>19566</v>
      </c>
      <c r="DR1535" t="s">
        <v>436</v>
      </c>
      <c r="DS1535" t="s">
        <v>183</v>
      </c>
      <c r="DT1535" t="s">
        <v>211</v>
      </c>
      <c r="DU1535" t="s">
        <v>847</v>
      </c>
      <c r="DW1535" t="s">
        <v>2629</v>
      </c>
      <c r="DX1535" t="s">
        <v>19567</v>
      </c>
      <c r="DY1535" t="s">
        <v>238</v>
      </c>
      <c r="DZ1535" t="s">
        <v>239</v>
      </c>
      <c r="EA1535" t="s">
        <v>19568</v>
      </c>
      <c r="EB1535" t="s">
        <v>278</v>
      </c>
      <c r="EC1535" t="s">
        <v>183</v>
      </c>
      <c r="ED1535" t="s">
        <v>211</v>
      </c>
      <c r="EE1535" t="s">
        <v>298</v>
      </c>
      <c r="EG1535" t="s">
        <v>467</v>
      </c>
      <c r="EH1535" t="s">
        <v>19569</v>
      </c>
      <c r="EI1535" t="s">
        <v>346</v>
      </c>
      <c r="EJ1535" t="s">
        <v>347</v>
      </c>
      <c r="EK1535" t="s">
        <v>19570</v>
      </c>
      <c r="EL1535" t="s">
        <v>278</v>
      </c>
      <c r="EM1535" t="s">
        <v>183</v>
      </c>
      <c r="EN1535" t="s">
        <v>211</v>
      </c>
      <c r="EO1535" t="s">
        <v>1659</v>
      </c>
      <c r="EP1535" t="s">
        <v>271</v>
      </c>
      <c r="EQ1535" t="s">
        <v>19562</v>
      </c>
      <c r="ER1535" t="s">
        <v>18644</v>
      </c>
      <c r="ES1535" t="s">
        <v>207</v>
      </c>
      <c r="ET1535" t="s">
        <v>208</v>
      </c>
      <c r="EU1535" t="s">
        <v>19571</v>
      </c>
      <c r="EV1535" t="s">
        <v>341</v>
      </c>
      <c r="EW1535" t="s">
        <v>183</v>
      </c>
      <c r="EX1535" t="s">
        <v>211</v>
      </c>
      <c r="EZ1535" t="s">
        <v>271</v>
      </c>
      <c r="FA1535" t="s">
        <v>198</v>
      </c>
      <c r="FK1535" t="s">
        <v>198</v>
      </c>
      <c r="FU1535" t="s">
        <v>198</v>
      </c>
    </row>
    <row r="1536" spans="1:177">
      <c r="A1536" s="1" t="str">
        <f>HYPERLINK("http://digipan.lumentumllc.com/apps/getLink/index.php?t=PropLink&amp;p=4638130","PL")</f>
        <v>PL</v>
      </c>
      <c r="B1536" s="1" t="str">
        <f>HYPERLINK("http://digipan.lumentumllc.com/apps/getLink/index.php?t=TaxLink&amp;p=4638130","TL")</f>
        <v>TL</v>
      </c>
      <c r="C1536" s="1" t="str">
        <f>HYPERLINK("http://digipan.lumentumllc.com/apps/getMap/index.php?p=4638130","Map")</f>
        <v>Map</v>
      </c>
      <c r="E1536" t="s">
        <v>177</v>
      </c>
      <c r="F1536" t="s">
        <v>178</v>
      </c>
      <c r="L1536" t="s">
        <v>19572</v>
      </c>
      <c r="N1536" t="s">
        <v>19572</v>
      </c>
      <c r="O1536" t="s">
        <v>19572</v>
      </c>
      <c r="P1536" t="s">
        <v>19573</v>
      </c>
      <c r="Q1536" t="s">
        <v>19572</v>
      </c>
      <c r="V1536">
        <v>1764</v>
      </c>
      <c r="W1536">
        <v>6</v>
      </c>
      <c r="X1536">
        <v>2017</v>
      </c>
      <c r="Y1536">
        <v>2018</v>
      </c>
      <c r="Z1536">
        <v>417.33</v>
      </c>
      <c r="AB1536" t="s">
        <v>181</v>
      </c>
      <c r="AC1536" t="s">
        <v>202</v>
      </c>
      <c r="AD1536" t="s">
        <v>183</v>
      </c>
      <c r="AE1536">
        <v>1</v>
      </c>
      <c r="AF1536">
        <v>6</v>
      </c>
      <c r="AG1536" t="s">
        <v>322</v>
      </c>
      <c r="AH1536">
        <v>83</v>
      </c>
      <c r="AI1536">
        <v>400.1</v>
      </c>
      <c r="AJ1536">
        <v>20.010000000000002</v>
      </c>
      <c r="AK1536">
        <v>420.11</v>
      </c>
      <c r="AL1536">
        <v>51537</v>
      </c>
      <c r="AM1536">
        <v>36750</v>
      </c>
      <c r="AN1536">
        <v>14787</v>
      </c>
      <c r="AO1536">
        <v>345</v>
      </c>
      <c r="AP1536">
        <v>2016</v>
      </c>
      <c r="AQ1536">
        <v>0.81</v>
      </c>
      <c r="AR1536">
        <v>0.82</v>
      </c>
      <c r="AS1536" t="s">
        <v>19574</v>
      </c>
      <c r="AT1536" t="s">
        <v>15040</v>
      </c>
      <c r="AU1536" t="s">
        <v>177</v>
      </c>
      <c r="AV1536" t="s">
        <v>371</v>
      </c>
      <c r="AW1536" t="s">
        <v>202</v>
      </c>
      <c r="AX1536">
        <v>2</v>
      </c>
      <c r="AY1536" t="s">
        <v>188</v>
      </c>
      <c r="AZ1536" t="s">
        <v>189</v>
      </c>
      <c r="BA1536" t="s">
        <v>190</v>
      </c>
      <c r="BB1536" t="s">
        <v>191</v>
      </c>
      <c r="BC1536" t="s">
        <v>182</v>
      </c>
      <c r="BD1536" t="s">
        <v>182</v>
      </c>
      <c r="BE1536" t="s">
        <v>15788</v>
      </c>
      <c r="BF1536">
        <v>1</v>
      </c>
      <c r="BG1536">
        <v>1</v>
      </c>
      <c r="BH1536">
        <v>1985</v>
      </c>
      <c r="BI1536" t="s">
        <v>3941</v>
      </c>
      <c r="BJ1536" t="s">
        <v>194</v>
      </c>
      <c r="BK1536" t="s">
        <v>195</v>
      </c>
      <c r="BL1536" t="s">
        <v>19575</v>
      </c>
      <c r="BM1536" t="s">
        <v>1332</v>
      </c>
      <c r="BN1536" t="s">
        <v>182</v>
      </c>
      <c r="BO1536" t="s">
        <v>19576</v>
      </c>
      <c r="BP1536" t="s">
        <v>10641</v>
      </c>
      <c r="BQ1536" t="s">
        <v>904</v>
      </c>
      <c r="BS1536" t="s">
        <v>198</v>
      </c>
      <c r="BT1536" t="s">
        <v>19577</v>
      </c>
      <c r="BU1536" t="s">
        <v>182</v>
      </c>
      <c r="BV1536" t="s">
        <v>198</v>
      </c>
      <c r="BW1536" t="s">
        <v>198</v>
      </c>
      <c r="BX1536" t="s">
        <v>199</v>
      </c>
      <c r="BY1536" t="s">
        <v>198</v>
      </c>
      <c r="BZ1536" t="s">
        <v>199</v>
      </c>
      <c r="CA1536" t="s">
        <v>199</v>
      </c>
      <c r="CB1536" t="s">
        <v>19578</v>
      </c>
      <c r="CC1536" t="s">
        <v>201</v>
      </c>
      <c r="CD1536" t="s">
        <v>182</v>
      </c>
      <c r="CE1536" t="s">
        <v>19579</v>
      </c>
      <c r="CF1536" t="s">
        <v>5331</v>
      </c>
      <c r="CG1536" t="s">
        <v>177</v>
      </c>
      <c r="CH1536" t="s">
        <v>371</v>
      </c>
      <c r="CI1536" t="s">
        <v>19580</v>
      </c>
      <c r="CJ1536" t="s">
        <v>16192</v>
      </c>
      <c r="CK1536" t="s">
        <v>232</v>
      </c>
      <c r="CL1536" t="s">
        <v>233</v>
      </c>
      <c r="CM1536" t="s">
        <v>19581</v>
      </c>
      <c r="CN1536" t="s">
        <v>235</v>
      </c>
      <c r="CO1536" t="s">
        <v>183</v>
      </c>
      <c r="CP1536" t="s">
        <v>266</v>
      </c>
      <c r="CS1536" t="s">
        <v>198</v>
      </c>
      <c r="CT1536" t="s">
        <v>17102</v>
      </c>
      <c r="CU1536" t="s">
        <v>292</v>
      </c>
      <c r="CV1536" t="s">
        <v>293</v>
      </c>
      <c r="CW1536" t="s">
        <v>19582</v>
      </c>
      <c r="CX1536" t="s">
        <v>331</v>
      </c>
      <c r="CY1536" t="s">
        <v>183</v>
      </c>
      <c r="CZ1536" t="s">
        <v>211</v>
      </c>
      <c r="DA1536" t="s">
        <v>250</v>
      </c>
      <c r="DB1536" t="s">
        <v>271</v>
      </c>
      <c r="DC1536" t="s">
        <v>4374</v>
      </c>
      <c r="DD1536" t="s">
        <v>4428</v>
      </c>
      <c r="DE1536" t="s">
        <v>267</v>
      </c>
      <c r="DF1536" t="s">
        <v>268</v>
      </c>
      <c r="DG1536" t="s">
        <v>19583</v>
      </c>
      <c r="DH1536" t="s">
        <v>838</v>
      </c>
      <c r="DI1536" t="s">
        <v>183</v>
      </c>
      <c r="DJ1536" t="s">
        <v>211</v>
      </c>
      <c r="DL1536" t="s">
        <v>271</v>
      </c>
      <c r="DM1536" t="s">
        <v>198</v>
      </c>
      <c r="DN1536" t="s">
        <v>13256</v>
      </c>
      <c r="DO1536" t="s">
        <v>273</v>
      </c>
      <c r="DP1536" t="s">
        <v>274</v>
      </c>
      <c r="DQ1536" t="s">
        <v>19584</v>
      </c>
      <c r="DR1536" t="s">
        <v>235</v>
      </c>
      <c r="DS1536" t="s">
        <v>183</v>
      </c>
      <c r="DT1536" t="s">
        <v>211</v>
      </c>
      <c r="DV1536" t="s">
        <v>271</v>
      </c>
      <c r="DW1536" t="s">
        <v>198</v>
      </c>
      <c r="DX1536" t="s">
        <v>11722</v>
      </c>
      <c r="DY1536" t="s">
        <v>302</v>
      </c>
      <c r="DZ1536" t="s">
        <v>303</v>
      </c>
      <c r="EA1536" t="s">
        <v>19585</v>
      </c>
      <c r="EB1536" t="s">
        <v>3342</v>
      </c>
      <c r="EC1536" t="s">
        <v>183</v>
      </c>
      <c r="ED1536" t="s">
        <v>211</v>
      </c>
      <c r="EE1536" t="s">
        <v>909</v>
      </c>
      <c r="EG1536" t="s">
        <v>7805</v>
      </c>
      <c r="EH1536" t="s">
        <v>3104</v>
      </c>
      <c r="EI1536" t="s">
        <v>238</v>
      </c>
      <c r="EJ1536" t="s">
        <v>239</v>
      </c>
      <c r="EK1536" t="s">
        <v>19586</v>
      </c>
      <c r="EL1536" t="s">
        <v>278</v>
      </c>
      <c r="EM1536" t="s">
        <v>183</v>
      </c>
      <c r="EN1536" t="s">
        <v>211</v>
      </c>
      <c r="EO1536" t="s">
        <v>298</v>
      </c>
      <c r="EQ1536" t="s">
        <v>12480</v>
      </c>
      <c r="ER1536" t="s">
        <v>19587</v>
      </c>
      <c r="ES1536" t="s">
        <v>207</v>
      </c>
      <c r="ET1536" t="s">
        <v>208</v>
      </c>
      <c r="EU1536" t="s">
        <v>19588</v>
      </c>
      <c r="EV1536" t="s">
        <v>576</v>
      </c>
      <c r="EW1536" t="s">
        <v>183</v>
      </c>
      <c r="EX1536" t="s">
        <v>211</v>
      </c>
      <c r="EY1536" t="s">
        <v>298</v>
      </c>
      <c r="FA1536" t="s">
        <v>11169</v>
      </c>
      <c r="FK1536" t="s">
        <v>198</v>
      </c>
      <c r="FU1536" t="s">
        <v>198</v>
      </c>
    </row>
    <row r="1537" spans="1:177">
      <c r="A1537" s="1" t="str">
        <f>HYPERLINK("http://digipan.lumentumllc.com/apps/getLink/index.php?t=PropLink&amp;p=7112499","PL")</f>
        <v>PL</v>
      </c>
      <c r="B1537" s="1" t="str">
        <f>HYPERLINK("http://digipan.lumentumllc.com/apps/getLink/index.php?t=TaxLink&amp;p=7112499","TL")</f>
        <v>TL</v>
      </c>
      <c r="C1537" s="1" t="str">
        <f>HYPERLINK("http://digipan.lumentumllc.com/apps/getMap/index.php?p=7112499","Map")</f>
        <v>Map</v>
      </c>
      <c r="E1537" t="s">
        <v>177</v>
      </c>
      <c r="F1537" t="s">
        <v>178</v>
      </c>
      <c r="L1537" t="s">
        <v>19589</v>
      </c>
      <c r="N1537" t="s">
        <v>19589</v>
      </c>
      <c r="O1537" t="s">
        <v>19589</v>
      </c>
      <c r="P1537" t="s">
        <v>19590</v>
      </c>
      <c r="Q1537" t="s">
        <v>19589</v>
      </c>
      <c r="V1537">
        <v>1765</v>
      </c>
      <c r="W1537">
        <v>6</v>
      </c>
      <c r="X1537">
        <v>2017</v>
      </c>
      <c r="Y1537">
        <v>2018</v>
      </c>
      <c r="Z1537">
        <v>326.75</v>
      </c>
      <c r="AB1537" t="s">
        <v>181</v>
      </c>
      <c r="AC1537" t="s">
        <v>182</v>
      </c>
      <c r="AD1537" t="s">
        <v>183</v>
      </c>
      <c r="AE1537">
        <v>1</v>
      </c>
      <c r="AF1537">
        <v>0</v>
      </c>
      <c r="AG1537" t="s">
        <v>1200</v>
      </c>
      <c r="AH1537">
        <v>0</v>
      </c>
      <c r="AI1537">
        <v>311.36</v>
      </c>
      <c r="AJ1537">
        <v>15.57</v>
      </c>
      <c r="AK1537">
        <v>326.93</v>
      </c>
      <c r="AL1537">
        <v>18750</v>
      </c>
      <c r="AM1537">
        <v>18750</v>
      </c>
      <c r="AN1537">
        <v>0</v>
      </c>
      <c r="AO1537">
        <v>263</v>
      </c>
      <c r="AP1537">
        <v>2016</v>
      </c>
      <c r="AQ1537">
        <v>1.74</v>
      </c>
      <c r="AR1537">
        <v>1.74</v>
      </c>
      <c r="AS1537" t="s">
        <v>19591</v>
      </c>
      <c r="AT1537" t="s">
        <v>15040</v>
      </c>
      <c r="AU1537" t="s">
        <v>177</v>
      </c>
      <c r="AV1537" t="s">
        <v>371</v>
      </c>
      <c r="AW1537" t="s">
        <v>182</v>
      </c>
      <c r="AX1537">
        <v>70</v>
      </c>
      <c r="AY1537" t="s">
        <v>19592</v>
      </c>
      <c r="AZ1537" t="s">
        <v>1443</v>
      </c>
      <c r="BA1537" t="s">
        <v>19593</v>
      </c>
      <c r="BB1537" t="s">
        <v>191</v>
      </c>
      <c r="BC1537" t="s">
        <v>182</v>
      </c>
      <c r="BD1537" t="s">
        <v>182</v>
      </c>
      <c r="BE1537" t="s">
        <v>6618</v>
      </c>
      <c r="BF1537">
        <v>0</v>
      </c>
      <c r="BG1537">
        <v>0</v>
      </c>
      <c r="BH1537">
        <v>0</v>
      </c>
      <c r="BI1537" t="s">
        <v>199</v>
      </c>
      <c r="BJ1537" t="s">
        <v>315</v>
      </c>
      <c r="BL1537" t="s">
        <v>199</v>
      </c>
      <c r="BM1537" t="s">
        <v>16143</v>
      </c>
      <c r="BN1537" t="s">
        <v>182</v>
      </c>
      <c r="BO1537" t="s">
        <v>198</v>
      </c>
      <c r="BP1537" t="s">
        <v>198</v>
      </c>
      <c r="BQ1537" t="s">
        <v>198</v>
      </c>
      <c r="BR1537" t="s">
        <v>198</v>
      </c>
      <c r="BS1537" t="s">
        <v>198</v>
      </c>
      <c r="BT1537" t="s">
        <v>198</v>
      </c>
      <c r="BU1537" t="s">
        <v>182</v>
      </c>
      <c r="BV1537" t="s">
        <v>198</v>
      </c>
      <c r="BW1537" t="s">
        <v>198</v>
      </c>
      <c r="BX1537" t="s">
        <v>199</v>
      </c>
      <c r="BY1537" t="s">
        <v>198</v>
      </c>
      <c r="BZ1537" t="s">
        <v>199</v>
      </c>
      <c r="CA1537" t="s">
        <v>199</v>
      </c>
      <c r="CB1537" t="s">
        <v>19594</v>
      </c>
      <c r="CC1537" t="s">
        <v>201</v>
      </c>
      <c r="CD1537" t="s">
        <v>182</v>
      </c>
      <c r="CE1537" t="s">
        <v>19595</v>
      </c>
      <c r="CF1537" t="s">
        <v>5331</v>
      </c>
      <c r="CG1537" t="s">
        <v>177</v>
      </c>
      <c r="CH1537" t="s">
        <v>5332</v>
      </c>
      <c r="CI1537" t="s">
        <v>19596</v>
      </c>
      <c r="CJ1537" t="s">
        <v>18219</v>
      </c>
      <c r="CK1537" t="s">
        <v>232</v>
      </c>
      <c r="CL1537" t="s">
        <v>233</v>
      </c>
      <c r="CM1537" t="s">
        <v>19597</v>
      </c>
      <c r="CN1537" t="s">
        <v>235</v>
      </c>
      <c r="CO1537" t="s">
        <v>183</v>
      </c>
      <c r="CP1537" t="s">
        <v>266</v>
      </c>
      <c r="CS1537" t="s">
        <v>198</v>
      </c>
      <c r="DC1537" t="s">
        <v>198</v>
      </c>
      <c r="DM1537" t="s">
        <v>198</v>
      </c>
      <c r="DW1537" t="s">
        <v>198</v>
      </c>
      <c r="EG1537" t="s">
        <v>198</v>
      </c>
      <c r="EQ1537" t="s">
        <v>198</v>
      </c>
      <c r="FA1537" t="s">
        <v>198</v>
      </c>
      <c r="FK1537" t="s">
        <v>198</v>
      </c>
      <c r="FU1537" t="s">
        <v>198</v>
      </c>
    </row>
    <row r="1538" spans="1:177">
      <c r="A1538" s="1" t="str">
        <f>HYPERLINK("http://digipan.lumentumllc.com/apps/getLink/index.php?t=PropLink&amp;p=5246966","PL")</f>
        <v>PL</v>
      </c>
      <c r="B1538" s="1" t="str">
        <f>HYPERLINK("http://digipan.lumentumllc.com/apps/getLink/index.php?t=TaxLink&amp;p=5246966","TL")</f>
        <v>TL</v>
      </c>
      <c r="C1538" s="1" t="str">
        <f>HYPERLINK("http://digipan.lumentumllc.com/apps/getMap/index.php?p=5246966","Map")</f>
        <v>Map</v>
      </c>
      <c r="E1538" t="s">
        <v>177</v>
      </c>
      <c r="F1538" t="s">
        <v>178</v>
      </c>
      <c r="L1538" t="s">
        <v>19598</v>
      </c>
      <c r="N1538" t="s">
        <v>19598</v>
      </c>
      <c r="O1538" t="s">
        <v>19598</v>
      </c>
      <c r="P1538" t="s">
        <v>19599</v>
      </c>
      <c r="Q1538" t="s">
        <v>19598</v>
      </c>
      <c r="V1538">
        <v>1767</v>
      </c>
      <c r="W1538">
        <v>6</v>
      </c>
      <c r="X1538">
        <v>2017</v>
      </c>
      <c r="Y1538">
        <v>2018</v>
      </c>
      <c r="Z1538">
        <v>795.21</v>
      </c>
      <c r="AG1538" t="s">
        <v>184</v>
      </c>
      <c r="AH1538">
        <v>0</v>
      </c>
      <c r="AK1538">
        <v>0</v>
      </c>
      <c r="AL1538">
        <v>50000</v>
      </c>
      <c r="AM1538">
        <v>50000</v>
      </c>
      <c r="AN1538">
        <v>0</v>
      </c>
      <c r="AO1538">
        <v>614</v>
      </c>
      <c r="AP1538">
        <v>2016</v>
      </c>
      <c r="AQ1538">
        <v>1.59</v>
      </c>
      <c r="AS1538" t="s">
        <v>19591</v>
      </c>
      <c r="AT1538" t="s">
        <v>15040</v>
      </c>
      <c r="AU1538" t="s">
        <v>177</v>
      </c>
      <c r="AV1538" t="s">
        <v>371</v>
      </c>
      <c r="AW1538" t="s">
        <v>182</v>
      </c>
      <c r="AX1538">
        <v>0</v>
      </c>
      <c r="AY1538" t="s">
        <v>312</v>
      </c>
      <c r="AZ1538" t="s">
        <v>199</v>
      </c>
      <c r="BA1538" t="s">
        <v>313</v>
      </c>
      <c r="BB1538" t="s">
        <v>191</v>
      </c>
      <c r="BC1538" t="s">
        <v>182</v>
      </c>
      <c r="BD1538" t="s">
        <v>182</v>
      </c>
      <c r="BE1538" t="s">
        <v>365</v>
      </c>
      <c r="BF1538">
        <v>0</v>
      </c>
      <c r="BG1538">
        <v>0</v>
      </c>
      <c r="BH1538">
        <v>0</v>
      </c>
      <c r="BI1538" t="s">
        <v>199</v>
      </c>
      <c r="BJ1538" t="s">
        <v>315</v>
      </c>
      <c r="BL1538" t="s">
        <v>199</v>
      </c>
      <c r="BM1538" t="s">
        <v>559</v>
      </c>
      <c r="BN1538" t="s">
        <v>182</v>
      </c>
      <c r="BO1538" t="s">
        <v>198</v>
      </c>
      <c r="BP1538" t="s">
        <v>198</v>
      </c>
      <c r="BQ1538" t="s">
        <v>198</v>
      </c>
      <c r="BR1538" t="s">
        <v>198</v>
      </c>
      <c r="BS1538" t="s">
        <v>198</v>
      </c>
      <c r="BT1538" t="s">
        <v>198</v>
      </c>
      <c r="BU1538" t="s">
        <v>182</v>
      </c>
      <c r="BV1538" t="s">
        <v>198</v>
      </c>
      <c r="BW1538" t="s">
        <v>198</v>
      </c>
      <c r="BX1538" t="s">
        <v>199</v>
      </c>
      <c r="BY1538" t="s">
        <v>198</v>
      </c>
      <c r="BZ1538" t="s">
        <v>199</v>
      </c>
      <c r="CA1538" t="s">
        <v>199</v>
      </c>
      <c r="CB1538" t="s">
        <v>19600</v>
      </c>
      <c r="CC1538" t="s">
        <v>201</v>
      </c>
      <c r="CD1538" t="s">
        <v>182</v>
      </c>
      <c r="CE1538" t="s">
        <v>19601</v>
      </c>
      <c r="CF1538" t="s">
        <v>19602</v>
      </c>
      <c r="CG1538" t="s">
        <v>1602</v>
      </c>
      <c r="CH1538" t="s">
        <v>19603</v>
      </c>
      <c r="CI1538" t="s">
        <v>1522</v>
      </c>
      <c r="CS1538" t="s">
        <v>198</v>
      </c>
      <c r="DC1538" t="s">
        <v>198</v>
      </c>
      <c r="DM1538" t="s">
        <v>198</v>
      </c>
      <c r="DW1538" t="s">
        <v>198</v>
      </c>
      <c r="EG1538" t="s">
        <v>198</v>
      </c>
      <c r="EQ1538" t="s">
        <v>198</v>
      </c>
      <c r="FA1538" t="s">
        <v>198</v>
      </c>
      <c r="FK1538" t="s">
        <v>198</v>
      </c>
      <c r="FU1538" t="s">
        <v>198</v>
      </c>
    </row>
    <row r="1539" spans="1:177">
      <c r="A1539" s="1" t="str">
        <f>HYPERLINK("http://digipan.lumentumllc.com/apps/getLink/index.php?t=PropLink&amp;p=5246968","PL")</f>
        <v>PL</v>
      </c>
      <c r="B1539" s="1" t="str">
        <f>HYPERLINK("http://digipan.lumentumllc.com/apps/getLink/index.php?t=TaxLink&amp;p=5246968","TL")</f>
        <v>TL</v>
      </c>
      <c r="C1539" s="1" t="str">
        <f>HYPERLINK("http://digipan.lumentumllc.com/apps/getMap/index.php?p=5246968","Map")</f>
        <v>Map</v>
      </c>
      <c r="E1539" t="s">
        <v>177</v>
      </c>
      <c r="F1539" t="s">
        <v>178</v>
      </c>
      <c r="L1539" t="s">
        <v>19604</v>
      </c>
      <c r="N1539" t="s">
        <v>19604</v>
      </c>
      <c r="O1539" t="s">
        <v>19604</v>
      </c>
      <c r="P1539" t="s">
        <v>19605</v>
      </c>
      <c r="Q1539" t="s">
        <v>19604</v>
      </c>
      <c r="V1539">
        <v>1768</v>
      </c>
      <c r="W1539">
        <v>6</v>
      </c>
      <c r="X1539">
        <v>2017</v>
      </c>
      <c r="Y1539">
        <v>2018</v>
      </c>
      <c r="Z1539">
        <v>2306.5500000000002</v>
      </c>
      <c r="AG1539" t="s">
        <v>184</v>
      </c>
      <c r="AH1539">
        <v>0</v>
      </c>
      <c r="AK1539">
        <v>0</v>
      </c>
      <c r="AL1539">
        <v>149012</v>
      </c>
      <c r="AM1539">
        <v>149012</v>
      </c>
      <c r="AN1539">
        <v>0</v>
      </c>
      <c r="AO1539">
        <v>1830</v>
      </c>
      <c r="AP1539">
        <v>2016</v>
      </c>
      <c r="AQ1539">
        <v>1.55</v>
      </c>
      <c r="AS1539" t="s">
        <v>19591</v>
      </c>
      <c r="AT1539" t="s">
        <v>15040</v>
      </c>
      <c r="AU1539" t="s">
        <v>177</v>
      </c>
      <c r="AV1539" t="s">
        <v>371</v>
      </c>
      <c r="AW1539" t="s">
        <v>182</v>
      </c>
      <c r="AX1539">
        <v>0</v>
      </c>
      <c r="AY1539" t="s">
        <v>312</v>
      </c>
      <c r="AZ1539" t="s">
        <v>199</v>
      </c>
      <c r="BA1539" t="s">
        <v>313</v>
      </c>
      <c r="BB1539" t="s">
        <v>191</v>
      </c>
      <c r="BC1539" t="s">
        <v>182</v>
      </c>
      <c r="BD1539" t="s">
        <v>182</v>
      </c>
      <c r="BE1539" t="s">
        <v>19606</v>
      </c>
      <c r="BF1539">
        <v>0</v>
      </c>
      <c r="BG1539">
        <v>0</v>
      </c>
      <c r="BH1539">
        <v>0</v>
      </c>
      <c r="BI1539" t="s">
        <v>199</v>
      </c>
      <c r="BJ1539" t="s">
        <v>315</v>
      </c>
      <c r="BL1539" t="s">
        <v>199</v>
      </c>
      <c r="BM1539" t="s">
        <v>679</v>
      </c>
      <c r="BN1539" t="s">
        <v>182</v>
      </c>
      <c r="BO1539" t="s">
        <v>198</v>
      </c>
      <c r="BP1539" t="s">
        <v>198</v>
      </c>
      <c r="BQ1539" t="s">
        <v>198</v>
      </c>
      <c r="BR1539" t="s">
        <v>198</v>
      </c>
      <c r="BS1539" t="s">
        <v>198</v>
      </c>
      <c r="BT1539" t="s">
        <v>198</v>
      </c>
      <c r="BU1539" t="s">
        <v>182</v>
      </c>
      <c r="BV1539" t="s">
        <v>198</v>
      </c>
      <c r="BW1539" t="s">
        <v>198</v>
      </c>
      <c r="BX1539" t="s">
        <v>199</v>
      </c>
      <c r="BY1539" t="s">
        <v>198</v>
      </c>
      <c r="BZ1539" t="s">
        <v>199</v>
      </c>
      <c r="CA1539" t="s">
        <v>199</v>
      </c>
      <c r="CB1539" t="s">
        <v>19607</v>
      </c>
      <c r="CC1539" t="s">
        <v>201</v>
      </c>
      <c r="CD1539" t="s">
        <v>202</v>
      </c>
      <c r="CE1539" t="s">
        <v>19608</v>
      </c>
      <c r="CF1539" t="s">
        <v>19602</v>
      </c>
      <c r="CG1539" t="s">
        <v>1602</v>
      </c>
      <c r="CH1539" t="s">
        <v>19609</v>
      </c>
      <c r="CI1539" t="s">
        <v>19610</v>
      </c>
      <c r="CS1539" t="s">
        <v>198</v>
      </c>
      <c r="DC1539" t="s">
        <v>198</v>
      </c>
      <c r="DM1539" t="s">
        <v>198</v>
      </c>
      <c r="DW1539" t="s">
        <v>198</v>
      </c>
      <c r="EG1539" t="s">
        <v>198</v>
      </c>
      <c r="EQ1539" t="s">
        <v>198</v>
      </c>
      <c r="FA1539" t="s">
        <v>198</v>
      </c>
      <c r="FK1539" t="s">
        <v>198</v>
      </c>
      <c r="FU1539" t="s">
        <v>198</v>
      </c>
    </row>
    <row r="1540" spans="1:177">
      <c r="A1540" s="1" t="str">
        <f>HYPERLINK("http://digipan.lumentumllc.com/apps/getLink/index.php?t=PropLink&amp;p=15753664","PL")</f>
        <v>PL</v>
      </c>
      <c r="B1540" s="1" t="str">
        <f>HYPERLINK("http://digipan.lumentumllc.com/apps/getLink/index.php?t=TaxLink&amp;p=15753664","TL")</f>
        <v>TL</v>
      </c>
      <c r="C1540" s="1" t="str">
        <f>HYPERLINK("http://digipan.lumentumllc.com/apps/getMap/index.php?p=15753664","Map")</f>
        <v>Map</v>
      </c>
      <c r="E1540" t="s">
        <v>177</v>
      </c>
      <c r="F1540" t="s">
        <v>178</v>
      </c>
      <c r="L1540" t="s">
        <v>19611</v>
      </c>
      <c r="N1540" t="s">
        <v>19611</v>
      </c>
      <c r="O1540" t="s">
        <v>19611</v>
      </c>
      <c r="Q1540" t="s">
        <v>19611</v>
      </c>
      <c r="V1540">
        <v>1769</v>
      </c>
      <c r="W1540">
        <v>6</v>
      </c>
      <c r="X1540">
        <v>2017</v>
      </c>
      <c r="Y1540">
        <v>2018</v>
      </c>
      <c r="Z1540">
        <v>359.13</v>
      </c>
      <c r="AB1540" t="s">
        <v>181</v>
      </c>
      <c r="AC1540" t="s">
        <v>182</v>
      </c>
      <c r="AD1540" t="s">
        <v>183</v>
      </c>
      <c r="AE1540">
        <v>1</v>
      </c>
      <c r="AF1540">
        <v>0</v>
      </c>
      <c r="AG1540" t="s">
        <v>1200</v>
      </c>
      <c r="AH1540">
        <v>0</v>
      </c>
      <c r="AI1540">
        <v>341.93</v>
      </c>
      <c r="AJ1540">
        <v>17.100000000000001</v>
      </c>
      <c r="AK1540">
        <v>359.03</v>
      </c>
      <c r="AL1540">
        <v>20000</v>
      </c>
      <c r="AM1540">
        <v>20000</v>
      </c>
      <c r="AN1540">
        <v>0</v>
      </c>
      <c r="AO1540">
        <v>291</v>
      </c>
      <c r="AP1540">
        <v>2016</v>
      </c>
      <c r="AQ1540">
        <v>1.8</v>
      </c>
      <c r="AR1540">
        <v>1.8</v>
      </c>
      <c r="AS1540" t="s">
        <v>19612</v>
      </c>
      <c r="AT1540" t="s">
        <v>15040</v>
      </c>
      <c r="AU1540" t="s">
        <v>177</v>
      </c>
      <c r="AV1540" t="s">
        <v>371</v>
      </c>
      <c r="AW1540" t="s">
        <v>182</v>
      </c>
      <c r="AX1540">
        <v>0</v>
      </c>
      <c r="AY1540" t="s">
        <v>312</v>
      </c>
      <c r="AZ1540" t="s">
        <v>199</v>
      </c>
      <c r="BA1540" t="s">
        <v>313</v>
      </c>
      <c r="BB1540" t="s">
        <v>191</v>
      </c>
      <c r="BC1540" t="s">
        <v>182</v>
      </c>
      <c r="BD1540" t="s">
        <v>182</v>
      </c>
      <c r="BE1540" t="s">
        <v>1778</v>
      </c>
      <c r="BF1540">
        <v>0</v>
      </c>
      <c r="BG1540">
        <v>0</v>
      </c>
      <c r="BH1540">
        <v>0</v>
      </c>
      <c r="BI1540" t="s">
        <v>199</v>
      </c>
      <c r="BJ1540" t="s">
        <v>396</v>
      </c>
      <c r="BL1540" t="s">
        <v>2960</v>
      </c>
      <c r="BM1540" t="s">
        <v>273</v>
      </c>
      <c r="BN1540" t="s">
        <v>182</v>
      </c>
      <c r="BO1540" t="s">
        <v>198</v>
      </c>
      <c r="BP1540" t="s">
        <v>198</v>
      </c>
      <c r="BQ1540" t="s">
        <v>198</v>
      </c>
      <c r="BR1540" t="s">
        <v>198</v>
      </c>
      <c r="BS1540" t="s">
        <v>198</v>
      </c>
      <c r="BT1540" t="s">
        <v>198</v>
      </c>
      <c r="BU1540" t="s">
        <v>182</v>
      </c>
      <c r="BV1540" t="s">
        <v>198</v>
      </c>
      <c r="BW1540" t="s">
        <v>198</v>
      </c>
      <c r="BX1540" t="s">
        <v>199</v>
      </c>
      <c r="BY1540" t="s">
        <v>198</v>
      </c>
      <c r="BZ1540" t="s">
        <v>199</v>
      </c>
      <c r="CA1540" t="s">
        <v>199</v>
      </c>
      <c r="CB1540" t="s">
        <v>19613</v>
      </c>
      <c r="CC1540" t="s">
        <v>201</v>
      </c>
      <c r="CD1540" t="s">
        <v>182</v>
      </c>
      <c r="CE1540" t="s">
        <v>19614</v>
      </c>
      <c r="CF1540" t="s">
        <v>2333</v>
      </c>
      <c r="CG1540" t="s">
        <v>177</v>
      </c>
      <c r="CH1540" t="s">
        <v>2334</v>
      </c>
      <c r="CI1540" t="s">
        <v>14274</v>
      </c>
      <c r="CJ1540" t="s">
        <v>16921</v>
      </c>
      <c r="CK1540" t="s">
        <v>232</v>
      </c>
      <c r="CL1540" t="s">
        <v>233</v>
      </c>
      <c r="CM1540" t="s">
        <v>19615</v>
      </c>
      <c r="CN1540" t="s">
        <v>235</v>
      </c>
      <c r="CO1540" t="s">
        <v>183</v>
      </c>
      <c r="CP1540" t="s">
        <v>266</v>
      </c>
      <c r="CS1540" t="s">
        <v>198</v>
      </c>
      <c r="DC1540" t="s">
        <v>198</v>
      </c>
      <c r="DM1540" t="s">
        <v>198</v>
      </c>
      <c r="DW1540" t="s">
        <v>198</v>
      </c>
      <c r="EG1540" t="s">
        <v>198</v>
      </c>
      <c r="EQ1540" t="s">
        <v>198</v>
      </c>
      <c r="FA1540" t="s">
        <v>198</v>
      </c>
      <c r="FK1540" t="s">
        <v>198</v>
      </c>
      <c r="FU1540" t="s">
        <v>198</v>
      </c>
    </row>
    <row r="1541" spans="1:177">
      <c r="A1541" s="1" t="str">
        <f>HYPERLINK("http://digipan.lumentumllc.com/apps/getLink/index.php?t=PropLink&amp;p=5246982","PL")</f>
        <v>PL</v>
      </c>
      <c r="B1541" s="1" t="str">
        <f>HYPERLINK("http://digipan.lumentumllc.com/apps/getLink/index.php?t=TaxLink&amp;p=5246982","TL")</f>
        <v>TL</v>
      </c>
      <c r="C1541" s="1" t="str">
        <f>HYPERLINK("http://digipan.lumentumllc.com/apps/getMap/index.php?p=5246982","Map")</f>
        <v>Map</v>
      </c>
      <c r="E1541" t="s">
        <v>177</v>
      </c>
      <c r="F1541" t="s">
        <v>178</v>
      </c>
      <c r="L1541" t="s">
        <v>19616</v>
      </c>
      <c r="N1541" t="s">
        <v>19616</v>
      </c>
      <c r="O1541" t="s">
        <v>19616</v>
      </c>
      <c r="P1541" t="s">
        <v>19617</v>
      </c>
      <c r="Q1541" t="s">
        <v>19616</v>
      </c>
      <c r="V1541">
        <v>1770</v>
      </c>
      <c r="W1541">
        <v>6</v>
      </c>
      <c r="X1541">
        <v>2017</v>
      </c>
      <c r="Y1541">
        <v>2018</v>
      </c>
      <c r="Z1541">
        <v>768.77</v>
      </c>
      <c r="AB1541" t="s">
        <v>181</v>
      </c>
      <c r="AC1541" t="s">
        <v>182</v>
      </c>
      <c r="AD1541" t="s">
        <v>183</v>
      </c>
      <c r="AE1541">
        <v>0</v>
      </c>
      <c r="AF1541">
        <v>6</v>
      </c>
      <c r="AG1541" t="s">
        <v>3266</v>
      </c>
      <c r="AH1541">
        <v>100</v>
      </c>
      <c r="AK1541">
        <v>0</v>
      </c>
      <c r="AL1541">
        <v>45000</v>
      </c>
      <c r="AM1541">
        <v>45000</v>
      </c>
      <c r="AN1541">
        <v>0</v>
      </c>
      <c r="AO1541">
        <v>691</v>
      </c>
      <c r="AP1541">
        <v>2016</v>
      </c>
      <c r="AQ1541">
        <v>1.71</v>
      </c>
      <c r="AS1541" t="s">
        <v>19618</v>
      </c>
      <c r="AT1541" t="s">
        <v>15040</v>
      </c>
      <c r="AU1541" t="s">
        <v>177</v>
      </c>
      <c r="AV1541" t="s">
        <v>371</v>
      </c>
      <c r="AW1541" t="s">
        <v>182</v>
      </c>
      <c r="AX1541">
        <v>0</v>
      </c>
      <c r="AY1541" t="s">
        <v>312</v>
      </c>
      <c r="AZ1541" t="s">
        <v>199</v>
      </c>
      <c r="BA1541" t="s">
        <v>313</v>
      </c>
      <c r="BB1541" t="s">
        <v>191</v>
      </c>
      <c r="BC1541" t="s">
        <v>182</v>
      </c>
      <c r="BD1541" t="s">
        <v>182</v>
      </c>
      <c r="BE1541" t="s">
        <v>899</v>
      </c>
      <c r="BF1541">
        <v>0</v>
      </c>
      <c r="BG1541">
        <v>0</v>
      </c>
      <c r="BH1541">
        <v>0</v>
      </c>
      <c r="BI1541" t="s">
        <v>199</v>
      </c>
      <c r="BJ1541" t="s">
        <v>396</v>
      </c>
      <c r="BL1541" t="s">
        <v>824</v>
      </c>
      <c r="BM1541" t="s">
        <v>197</v>
      </c>
      <c r="BN1541" t="s">
        <v>182</v>
      </c>
      <c r="BO1541" t="s">
        <v>19619</v>
      </c>
      <c r="BP1541" t="s">
        <v>1574</v>
      </c>
      <c r="BQ1541" t="s">
        <v>226</v>
      </c>
      <c r="BR1541" t="s">
        <v>227</v>
      </c>
      <c r="BS1541" t="s">
        <v>198</v>
      </c>
      <c r="BT1541" t="s">
        <v>19620</v>
      </c>
      <c r="BU1541" t="s">
        <v>182</v>
      </c>
      <c r="BV1541" t="s">
        <v>198</v>
      </c>
      <c r="BW1541" t="s">
        <v>198</v>
      </c>
      <c r="BX1541" t="s">
        <v>199</v>
      </c>
      <c r="BY1541" t="s">
        <v>198</v>
      </c>
      <c r="BZ1541" t="s">
        <v>199</v>
      </c>
      <c r="CA1541" t="s">
        <v>199</v>
      </c>
      <c r="CB1541" t="s">
        <v>19621</v>
      </c>
      <c r="CC1541" t="s">
        <v>201</v>
      </c>
      <c r="CD1541" t="s">
        <v>202</v>
      </c>
      <c r="CE1541" t="s">
        <v>19622</v>
      </c>
      <c r="CF1541" t="s">
        <v>5331</v>
      </c>
      <c r="CG1541" t="s">
        <v>177</v>
      </c>
      <c r="CH1541" t="s">
        <v>371</v>
      </c>
      <c r="CI1541" t="s">
        <v>15218</v>
      </c>
      <c r="CJ1541" t="s">
        <v>5292</v>
      </c>
      <c r="CK1541" t="s">
        <v>267</v>
      </c>
      <c r="CL1541" t="s">
        <v>268</v>
      </c>
      <c r="CM1541" t="s">
        <v>14604</v>
      </c>
      <c r="CN1541" t="s">
        <v>235</v>
      </c>
      <c r="CO1541" t="s">
        <v>183</v>
      </c>
      <c r="CP1541" t="s">
        <v>211</v>
      </c>
      <c r="CQ1541" t="s">
        <v>206</v>
      </c>
      <c r="CS1541" t="s">
        <v>13421</v>
      </c>
      <c r="CT1541" t="s">
        <v>18734</v>
      </c>
      <c r="CU1541" t="s">
        <v>273</v>
      </c>
      <c r="CV1541" t="s">
        <v>274</v>
      </c>
      <c r="CW1541" t="s">
        <v>14605</v>
      </c>
      <c r="CX1541" t="s">
        <v>235</v>
      </c>
      <c r="CY1541" t="s">
        <v>183</v>
      </c>
      <c r="CZ1541" t="s">
        <v>211</v>
      </c>
      <c r="DA1541" t="s">
        <v>306</v>
      </c>
      <c r="DC1541" t="s">
        <v>13421</v>
      </c>
      <c r="DD1541" t="s">
        <v>19623</v>
      </c>
      <c r="DE1541" t="s">
        <v>302</v>
      </c>
      <c r="DF1541" t="s">
        <v>303</v>
      </c>
      <c r="DG1541" t="s">
        <v>19624</v>
      </c>
      <c r="DH1541" t="s">
        <v>3342</v>
      </c>
      <c r="DI1541" t="s">
        <v>183</v>
      </c>
      <c r="DJ1541" t="s">
        <v>211</v>
      </c>
      <c r="DK1541" t="s">
        <v>493</v>
      </c>
      <c r="DM1541" t="s">
        <v>19625</v>
      </c>
      <c r="DN1541" t="s">
        <v>19626</v>
      </c>
      <c r="DO1541" t="s">
        <v>238</v>
      </c>
      <c r="DP1541" t="s">
        <v>239</v>
      </c>
      <c r="DQ1541" t="s">
        <v>19627</v>
      </c>
      <c r="DR1541" t="s">
        <v>1491</v>
      </c>
      <c r="DS1541" t="s">
        <v>183</v>
      </c>
      <c r="DT1541" t="s">
        <v>211</v>
      </c>
      <c r="DU1541" t="s">
        <v>345</v>
      </c>
      <c r="DW1541" t="s">
        <v>19628</v>
      </c>
      <c r="DX1541" t="s">
        <v>19629</v>
      </c>
      <c r="DY1541" t="s">
        <v>346</v>
      </c>
      <c r="DZ1541" t="s">
        <v>347</v>
      </c>
      <c r="EA1541" t="s">
        <v>19630</v>
      </c>
      <c r="EB1541" t="s">
        <v>278</v>
      </c>
      <c r="EC1541" t="s">
        <v>183</v>
      </c>
      <c r="ED1541" t="s">
        <v>211</v>
      </c>
      <c r="EE1541" t="s">
        <v>298</v>
      </c>
      <c r="EG1541" t="s">
        <v>3166</v>
      </c>
      <c r="EH1541" t="s">
        <v>19631</v>
      </c>
      <c r="EI1541" t="s">
        <v>207</v>
      </c>
      <c r="EJ1541" t="s">
        <v>208</v>
      </c>
      <c r="EK1541" t="s">
        <v>19632</v>
      </c>
      <c r="EL1541" t="s">
        <v>1966</v>
      </c>
      <c r="EM1541" t="s">
        <v>183</v>
      </c>
      <c r="EN1541" t="s">
        <v>211</v>
      </c>
      <c r="EO1541" t="s">
        <v>189</v>
      </c>
      <c r="EQ1541" t="s">
        <v>14537</v>
      </c>
      <c r="FA1541" t="s">
        <v>198</v>
      </c>
      <c r="FK1541" t="s">
        <v>198</v>
      </c>
      <c r="FU1541" t="s">
        <v>198</v>
      </c>
    </row>
    <row r="1542" spans="1:177">
      <c r="A1542" s="1" t="str">
        <f>HYPERLINK("http://digipan.lumentumllc.com/apps/getLink/index.php?t=PropLink&amp;p=4638139","PL")</f>
        <v>PL</v>
      </c>
      <c r="B1542" s="1" t="str">
        <f>HYPERLINK("http://digipan.lumentumllc.com/apps/getLink/index.php?t=TaxLink&amp;p=4638139","TL")</f>
        <v>TL</v>
      </c>
      <c r="C1542" s="1" t="str">
        <f>HYPERLINK("http://digipan.lumentumllc.com/apps/getMap/index.php?p=4638139","Map")</f>
        <v>Map</v>
      </c>
      <c r="E1542" t="s">
        <v>177</v>
      </c>
      <c r="F1542" t="s">
        <v>178</v>
      </c>
      <c r="L1542" t="s">
        <v>19633</v>
      </c>
      <c r="N1542" t="s">
        <v>19633</v>
      </c>
      <c r="O1542" t="s">
        <v>19633</v>
      </c>
      <c r="P1542" t="s">
        <v>19634</v>
      </c>
      <c r="Q1542" t="s">
        <v>19633</v>
      </c>
      <c r="V1542">
        <v>1771</v>
      </c>
      <c r="W1542">
        <v>6</v>
      </c>
      <c r="X1542">
        <v>2017</v>
      </c>
      <c r="Y1542">
        <v>2018</v>
      </c>
      <c r="Z1542">
        <v>506.67</v>
      </c>
      <c r="AB1542" t="s">
        <v>181</v>
      </c>
      <c r="AC1542" t="s">
        <v>182</v>
      </c>
      <c r="AD1542" t="s">
        <v>183</v>
      </c>
      <c r="AE1542">
        <v>0</v>
      </c>
      <c r="AF1542">
        <v>5</v>
      </c>
      <c r="AG1542" t="s">
        <v>744</v>
      </c>
      <c r="AH1542">
        <v>100</v>
      </c>
      <c r="AK1542">
        <v>0</v>
      </c>
      <c r="AL1542">
        <v>78660</v>
      </c>
      <c r="AM1542">
        <v>25000</v>
      </c>
      <c r="AN1542">
        <v>53660</v>
      </c>
      <c r="AO1542">
        <v>437</v>
      </c>
      <c r="AP1542">
        <v>2016</v>
      </c>
      <c r="AQ1542">
        <v>0.64</v>
      </c>
      <c r="AS1542" t="s">
        <v>19635</v>
      </c>
      <c r="AT1542" t="s">
        <v>15040</v>
      </c>
      <c r="AU1542" t="s">
        <v>177</v>
      </c>
      <c r="AV1542" t="s">
        <v>371</v>
      </c>
      <c r="AW1542" t="s">
        <v>202</v>
      </c>
      <c r="AX1542">
        <v>2</v>
      </c>
      <c r="AY1542" t="s">
        <v>188</v>
      </c>
      <c r="AZ1542" t="s">
        <v>189</v>
      </c>
      <c r="BA1542" t="s">
        <v>190</v>
      </c>
      <c r="BB1542" t="s">
        <v>191</v>
      </c>
      <c r="BC1542" t="s">
        <v>182</v>
      </c>
      <c r="BD1542" t="s">
        <v>182</v>
      </c>
      <c r="BE1542" t="s">
        <v>8792</v>
      </c>
      <c r="BF1542">
        <v>1</v>
      </c>
      <c r="BG1542">
        <v>1</v>
      </c>
      <c r="BH1542">
        <v>1997</v>
      </c>
      <c r="BI1542" t="s">
        <v>366</v>
      </c>
      <c r="BJ1542" t="s">
        <v>396</v>
      </c>
      <c r="BK1542" t="s">
        <v>195</v>
      </c>
      <c r="BL1542" t="s">
        <v>1361</v>
      </c>
      <c r="BM1542" t="s">
        <v>1825</v>
      </c>
      <c r="BN1542" t="s">
        <v>182</v>
      </c>
      <c r="BO1542" t="s">
        <v>198</v>
      </c>
      <c r="BP1542" t="s">
        <v>198</v>
      </c>
      <c r="BQ1542" t="s">
        <v>198</v>
      </c>
      <c r="BR1542" t="s">
        <v>198</v>
      </c>
      <c r="BS1542" t="s">
        <v>198</v>
      </c>
      <c r="BT1542" t="s">
        <v>198</v>
      </c>
      <c r="BU1542" t="s">
        <v>182</v>
      </c>
      <c r="BV1542" t="s">
        <v>198</v>
      </c>
      <c r="BW1542" t="s">
        <v>198</v>
      </c>
      <c r="BX1542" t="s">
        <v>199</v>
      </c>
      <c r="BY1542" t="s">
        <v>198</v>
      </c>
      <c r="BZ1542" t="s">
        <v>199</v>
      </c>
      <c r="CA1542" t="s">
        <v>199</v>
      </c>
      <c r="CB1542" t="s">
        <v>19636</v>
      </c>
      <c r="CC1542" t="s">
        <v>201</v>
      </c>
      <c r="CD1542" t="s">
        <v>182</v>
      </c>
      <c r="CE1542" t="s">
        <v>19637</v>
      </c>
      <c r="CF1542" t="s">
        <v>5331</v>
      </c>
      <c r="CG1542" t="s">
        <v>177</v>
      </c>
      <c r="CH1542" t="s">
        <v>371</v>
      </c>
      <c r="CI1542" t="s">
        <v>19638</v>
      </c>
      <c r="CJ1542" t="s">
        <v>16960</v>
      </c>
      <c r="CK1542" t="s">
        <v>232</v>
      </c>
      <c r="CL1542" t="s">
        <v>233</v>
      </c>
      <c r="CM1542" t="s">
        <v>19639</v>
      </c>
      <c r="CN1542" t="s">
        <v>235</v>
      </c>
      <c r="CO1542" t="s">
        <v>183</v>
      </c>
      <c r="CP1542" t="s">
        <v>211</v>
      </c>
      <c r="CQ1542" t="s">
        <v>296</v>
      </c>
      <c r="CS1542" t="s">
        <v>19640</v>
      </c>
      <c r="CT1542" t="s">
        <v>3043</v>
      </c>
      <c r="CU1542" t="s">
        <v>292</v>
      </c>
      <c r="CV1542" t="s">
        <v>293</v>
      </c>
      <c r="CW1542" t="s">
        <v>19641</v>
      </c>
      <c r="CX1542" t="s">
        <v>235</v>
      </c>
      <c r="CY1542" t="s">
        <v>183</v>
      </c>
      <c r="CZ1542" t="s">
        <v>211</v>
      </c>
      <c r="DA1542" t="s">
        <v>342</v>
      </c>
      <c r="DC1542" t="s">
        <v>785</v>
      </c>
      <c r="DD1542" t="s">
        <v>10418</v>
      </c>
      <c r="DE1542" t="s">
        <v>267</v>
      </c>
      <c r="DF1542" t="s">
        <v>268</v>
      </c>
      <c r="DG1542" t="s">
        <v>19642</v>
      </c>
      <c r="DH1542" t="s">
        <v>235</v>
      </c>
      <c r="DI1542" t="s">
        <v>183</v>
      </c>
      <c r="DJ1542" t="s">
        <v>211</v>
      </c>
      <c r="DK1542" t="s">
        <v>199</v>
      </c>
      <c r="DM1542" t="s">
        <v>6004</v>
      </c>
      <c r="DN1542" t="s">
        <v>19643</v>
      </c>
      <c r="DO1542" t="s">
        <v>273</v>
      </c>
      <c r="DP1542" t="s">
        <v>274</v>
      </c>
      <c r="DQ1542" t="s">
        <v>19644</v>
      </c>
      <c r="DR1542" t="s">
        <v>235</v>
      </c>
      <c r="DS1542" t="s">
        <v>183</v>
      </c>
      <c r="DT1542" t="s">
        <v>211</v>
      </c>
      <c r="DU1542" t="s">
        <v>206</v>
      </c>
      <c r="DW1542" t="s">
        <v>7565</v>
      </c>
      <c r="DX1542" t="s">
        <v>15825</v>
      </c>
      <c r="DY1542" t="s">
        <v>207</v>
      </c>
      <c r="DZ1542" t="s">
        <v>208</v>
      </c>
      <c r="EA1542" t="s">
        <v>19645</v>
      </c>
      <c r="EB1542" t="s">
        <v>1966</v>
      </c>
      <c r="EC1542" t="s">
        <v>183</v>
      </c>
      <c r="ED1542" t="s">
        <v>211</v>
      </c>
      <c r="EE1542" t="s">
        <v>342</v>
      </c>
      <c r="EG1542" t="s">
        <v>3101</v>
      </c>
      <c r="EQ1542" t="s">
        <v>198</v>
      </c>
      <c r="FA1542" t="s">
        <v>198</v>
      </c>
      <c r="FK1542" t="s">
        <v>198</v>
      </c>
      <c r="FU1542" t="s">
        <v>198</v>
      </c>
    </row>
    <row r="1543" spans="1:177">
      <c r="A1543" s="1" t="str">
        <f>HYPERLINK("http://digipan.lumentumllc.com/apps/getLink/index.php?t=PropLink&amp;p=4638140","PL")</f>
        <v>PL</v>
      </c>
      <c r="B1543" s="1" t="str">
        <f>HYPERLINK("http://digipan.lumentumllc.com/apps/getLink/index.php?t=TaxLink&amp;p=4638140","TL")</f>
        <v>TL</v>
      </c>
      <c r="C1543" s="1" t="str">
        <f>HYPERLINK("http://digipan.lumentumllc.com/apps/getMap/index.php?p=4638140","Map")</f>
        <v>Map</v>
      </c>
      <c r="E1543" t="s">
        <v>177</v>
      </c>
      <c r="F1543" t="s">
        <v>178</v>
      </c>
      <c r="L1543" t="s">
        <v>19646</v>
      </c>
      <c r="N1543" t="s">
        <v>19646</v>
      </c>
      <c r="O1543" t="s">
        <v>19646</v>
      </c>
      <c r="P1543" t="s">
        <v>19647</v>
      </c>
      <c r="Q1543" t="s">
        <v>19646</v>
      </c>
      <c r="V1543">
        <v>1772</v>
      </c>
      <c r="W1543">
        <v>6</v>
      </c>
      <c r="X1543">
        <v>2017</v>
      </c>
      <c r="Y1543">
        <v>2018</v>
      </c>
      <c r="Z1543">
        <v>413.6</v>
      </c>
      <c r="AB1543" t="s">
        <v>181</v>
      </c>
      <c r="AC1543" t="s">
        <v>182</v>
      </c>
      <c r="AD1543" t="s">
        <v>183</v>
      </c>
      <c r="AE1543">
        <v>0</v>
      </c>
      <c r="AF1543">
        <v>3</v>
      </c>
      <c r="AG1543" t="s">
        <v>381</v>
      </c>
      <c r="AH1543">
        <v>100</v>
      </c>
      <c r="AK1543">
        <v>0</v>
      </c>
      <c r="AL1543">
        <v>25000</v>
      </c>
      <c r="AM1543">
        <v>25000</v>
      </c>
      <c r="AN1543">
        <v>0</v>
      </c>
      <c r="AO1543">
        <v>307</v>
      </c>
      <c r="AP1543">
        <v>2016</v>
      </c>
      <c r="AQ1543">
        <v>1.65</v>
      </c>
      <c r="AS1543" t="s">
        <v>19648</v>
      </c>
      <c r="AT1543" t="s">
        <v>15040</v>
      </c>
      <c r="AU1543" t="s">
        <v>177</v>
      </c>
      <c r="AV1543" t="s">
        <v>371</v>
      </c>
      <c r="AW1543" t="s">
        <v>182</v>
      </c>
      <c r="AX1543">
        <v>0</v>
      </c>
      <c r="AY1543" t="s">
        <v>312</v>
      </c>
      <c r="AZ1543" t="s">
        <v>199</v>
      </c>
      <c r="BA1543" t="s">
        <v>313</v>
      </c>
      <c r="BB1543" t="s">
        <v>191</v>
      </c>
      <c r="BC1543" t="s">
        <v>182</v>
      </c>
      <c r="BD1543" t="s">
        <v>182</v>
      </c>
      <c r="BE1543" t="s">
        <v>8792</v>
      </c>
      <c r="BF1543">
        <v>0</v>
      </c>
      <c r="BG1543">
        <v>0</v>
      </c>
      <c r="BH1543">
        <v>0</v>
      </c>
      <c r="BI1543" t="s">
        <v>199</v>
      </c>
      <c r="BJ1543" t="s">
        <v>248</v>
      </c>
      <c r="BL1543" t="s">
        <v>14675</v>
      </c>
      <c r="BM1543" t="s">
        <v>501</v>
      </c>
      <c r="BN1543" t="s">
        <v>182</v>
      </c>
      <c r="BO1543" t="s">
        <v>198</v>
      </c>
      <c r="BP1543" t="s">
        <v>198</v>
      </c>
      <c r="BQ1543" t="s">
        <v>198</v>
      </c>
      <c r="BR1543" t="s">
        <v>198</v>
      </c>
      <c r="BS1543" t="s">
        <v>198</v>
      </c>
      <c r="BT1543" t="s">
        <v>198</v>
      </c>
      <c r="BU1543" t="s">
        <v>182</v>
      </c>
      <c r="BV1543" t="s">
        <v>198</v>
      </c>
      <c r="BW1543" t="s">
        <v>198</v>
      </c>
      <c r="BX1543" t="s">
        <v>199</v>
      </c>
      <c r="BY1543" t="s">
        <v>198</v>
      </c>
      <c r="BZ1543" t="s">
        <v>199</v>
      </c>
      <c r="CA1543" t="s">
        <v>199</v>
      </c>
      <c r="CB1543" t="s">
        <v>19649</v>
      </c>
      <c r="CC1543" t="s">
        <v>201</v>
      </c>
      <c r="CD1543" t="s">
        <v>182</v>
      </c>
      <c r="CE1543" t="s">
        <v>19637</v>
      </c>
      <c r="CF1543" t="s">
        <v>5331</v>
      </c>
      <c r="CG1543" t="s">
        <v>177</v>
      </c>
      <c r="CH1543" t="s">
        <v>371</v>
      </c>
      <c r="CI1543" t="s">
        <v>17188</v>
      </c>
      <c r="CJ1543" t="s">
        <v>19650</v>
      </c>
      <c r="CK1543" t="s">
        <v>292</v>
      </c>
      <c r="CL1543" t="s">
        <v>293</v>
      </c>
      <c r="CM1543" t="s">
        <v>13539</v>
      </c>
      <c r="CN1543" t="s">
        <v>235</v>
      </c>
      <c r="CO1543" t="s">
        <v>183</v>
      </c>
      <c r="CP1543" t="s">
        <v>211</v>
      </c>
      <c r="CQ1543" t="s">
        <v>342</v>
      </c>
      <c r="CS1543" t="s">
        <v>785</v>
      </c>
      <c r="CT1543" t="s">
        <v>19036</v>
      </c>
      <c r="CU1543" t="s">
        <v>267</v>
      </c>
      <c r="CV1543" t="s">
        <v>268</v>
      </c>
      <c r="CW1543" t="s">
        <v>14664</v>
      </c>
      <c r="CX1543" t="s">
        <v>235</v>
      </c>
      <c r="CY1543" t="s">
        <v>183</v>
      </c>
      <c r="CZ1543" t="s">
        <v>211</v>
      </c>
      <c r="DA1543" t="s">
        <v>199</v>
      </c>
      <c r="DC1543" t="s">
        <v>6004</v>
      </c>
      <c r="DD1543" t="s">
        <v>937</v>
      </c>
      <c r="DE1543" t="s">
        <v>273</v>
      </c>
      <c r="DF1543" t="s">
        <v>274</v>
      </c>
      <c r="DG1543" t="s">
        <v>4608</v>
      </c>
      <c r="DH1543" t="s">
        <v>235</v>
      </c>
      <c r="DI1543" t="s">
        <v>183</v>
      </c>
      <c r="DJ1543" t="s">
        <v>211</v>
      </c>
      <c r="DK1543" t="s">
        <v>206</v>
      </c>
      <c r="DM1543" t="s">
        <v>7565</v>
      </c>
      <c r="DW1543" t="s">
        <v>198</v>
      </c>
      <c r="EG1543" t="s">
        <v>198</v>
      </c>
      <c r="EQ1543" t="s">
        <v>198</v>
      </c>
      <c r="FA1543" t="s">
        <v>198</v>
      </c>
      <c r="FK1543" t="s">
        <v>198</v>
      </c>
      <c r="FU1543" t="s">
        <v>198</v>
      </c>
    </row>
    <row r="1544" spans="1:177">
      <c r="A1544" s="1" t="str">
        <f>HYPERLINK("http://digipan.lumentumllc.com/apps/getLink/index.php?t=PropLink&amp;p=5246993","PL")</f>
        <v>PL</v>
      </c>
      <c r="B1544" s="1" t="str">
        <f>HYPERLINK("http://digipan.lumentumllc.com/apps/getLink/index.php?t=TaxLink&amp;p=5246993","TL")</f>
        <v>TL</v>
      </c>
      <c r="C1544" s="1" t="str">
        <f>HYPERLINK("http://digipan.lumentumllc.com/apps/getMap/index.php?p=5246993","Map")</f>
        <v>Map</v>
      </c>
      <c r="E1544" t="s">
        <v>177</v>
      </c>
      <c r="F1544" t="s">
        <v>178</v>
      </c>
      <c r="L1544" t="s">
        <v>19651</v>
      </c>
      <c r="N1544" t="s">
        <v>19651</v>
      </c>
      <c r="O1544" t="s">
        <v>19651</v>
      </c>
      <c r="P1544" t="s">
        <v>19652</v>
      </c>
      <c r="Q1544" t="s">
        <v>19651</v>
      </c>
      <c r="V1544">
        <v>1773</v>
      </c>
      <c r="W1544">
        <v>6</v>
      </c>
      <c r="X1544">
        <v>2017</v>
      </c>
      <c r="Y1544">
        <v>2018</v>
      </c>
      <c r="Z1544">
        <v>553.04</v>
      </c>
      <c r="AB1544" t="s">
        <v>181</v>
      </c>
      <c r="AC1544" t="s">
        <v>182</v>
      </c>
      <c r="AD1544" t="s">
        <v>183</v>
      </c>
      <c r="AE1544">
        <v>1</v>
      </c>
      <c r="AF1544">
        <v>6</v>
      </c>
      <c r="AG1544" t="s">
        <v>322</v>
      </c>
      <c r="AH1544">
        <v>83</v>
      </c>
      <c r="AI1544">
        <v>487.47</v>
      </c>
      <c r="AJ1544">
        <v>24.37</v>
      </c>
      <c r="AK1544">
        <v>511.84</v>
      </c>
      <c r="AL1544">
        <v>33801</v>
      </c>
      <c r="AM1544">
        <v>25000</v>
      </c>
      <c r="AN1544">
        <v>8801</v>
      </c>
      <c r="AO1544">
        <v>426</v>
      </c>
      <c r="AP1544">
        <v>2016</v>
      </c>
      <c r="AQ1544">
        <v>1.64</v>
      </c>
      <c r="AR1544">
        <v>1.51</v>
      </c>
      <c r="AS1544" t="s">
        <v>19653</v>
      </c>
      <c r="AT1544" t="s">
        <v>15040</v>
      </c>
      <c r="AU1544" t="s">
        <v>177</v>
      </c>
      <c r="AV1544" t="s">
        <v>371</v>
      </c>
      <c r="AW1544" t="s">
        <v>182</v>
      </c>
      <c r="AX1544">
        <v>2</v>
      </c>
      <c r="AY1544" t="s">
        <v>188</v>
      </c>
      <c r="AZ1544" t="s">
        <v>189</v>
      </c>
      <c r="BA1544" t="s">
        <v>190</v>
      </c>
      <c r="BB1544" t="s">
        <v>191</v>
      </c>
      <c r="BC1544" t="s">
        <v>182</v>
      </c>
      <c r="BD1544" t="s">
        <v>182</v>
      </c>
      <c r="BE1544" t="s">
        <v>1385</v>
      </c>
      <c r="BF1544">
        <v>1</v>
      </c>
      <c r="BG1544">
        <v>1</v>
      </c>
      <c r="BH1544">
        <v>1987</v>
      </c>
      <c r="BI1544" t="s">
        <v>2209</v>
      </c>
      <c r="BJ1544" t="s">
        <v>194</v>
      </c>
      <c r="BK1544" t="s">
        <v>195</v>
      </c>
      <c r="BL1544" t="s">
        <v>19654</v>
      </c>
      <c r="BM1544" t="s">
        <v>2351</v>
      </c>
      <c r="BN1544" t="s">
        <v>182</v>
      </c>
      <c r="BO1544" t="s">
        <v>19655</v>
      </c>
      <c r="BP1544" t="s">
        <v>17830</v>
      </c>
      <c r="BS1544" t="s">
        <v>5542</v>
      </c>
      <c r="BT1544" t="s">
        <v>198</v>
      </c>
      <c r="BU1544" t="s">
        <v>182</v>
      </c>
      <c r="BV1544" t="s">
        <v>198</v>
      </c>
      <c r="BW1544" t="s">
        <v>198</v>
      </c>
      <c r="BX1544" t="s">
        <v>199</v>
      </c>
      <c r="BY1544" t="s">
        <v>198</v>
      </c>
      <c r="BZ1544" t="s">
        <v>199</v>
      </c>
      <c r="CA1544" t="s">
        <v>199</v>
      </c>
      <c r="CB1544" t="s">
        <v>19656</v>
      </c>
      <c r="CC1544" t="s">
        <v>201</v>
      </c>
      <c r="CD1544" t="s">
        <v>182</v>
      </c>
      <c r="CE1544" t="s">
        <v>19657</v>
      </c>
      <c r="CF1544" t="s">
        <v>5331</v>
      </c>
      <c r="CG1544" t="s">
        <v>177</v>
      </c>
      <c r="CH1544" t="s">
        <v>371</v>
      </c>
      <c r="CI1544" t="s">
        <v>19658</v>
      </c>
      <c r="CJ1544" t="s">
        <v>16991</v>
      </c>
      <c r="CK1544" t="s">
        <v>232</v>
      </c>
      <c r="CL1544" t="s">
        <v>233</v>
      </c>
      <c r="CM1544" t="s">
        <v>19659</v>
      </c>
      <c r="CN1544" t="s">
        <v>235</v>
      </c>
      <c r="CO1544" t="s">
        <v>183</v>
      </c>
      <c r="CP1544" t="s">
        <v>266</v>
      </c>
      <c r="CS1544" t="s">
        <v>198</v>
      </c>
      <c r="CT1544" t="s">
        <v>19660</v>
      </c>
      <c r="CU1544" t="s">
        <v>292</v>
      </c>
      <c r="CV1544" t="s">
        <v>293</v>
      </c>
      <c r="CW1544" t="s">
        <v>19661</v>
      </c>
      <c r="CX1544" t="s">
        <v>408</v>
      </c>
      <c r="CY1544" t="s">
        <v>183</v>
      </c>
      <c r="CZ1544" t="s">
        <v>211</v>
      </c>
      <c r="DA1544" t="s">
        <v>337</v>
      </c>
      <c r="DC1544" t="s">
        <v>9428</v>
      </c>
      <c r="DD1544" t="s">
        <v>19662</v>
      </c>
      <c r="DE1544" t="s">
        <v>267</v>
      </c>
      <c r="DF1544" t="s">
        <v>268</v>
      </c>
      <c r="DG1544" t="s">
        <v>19663</v>
      </c>
      <c r="DH1544" t="s">
        <v>331</v>
      </c>
      <c r="DI1544" t="s">
        <v>183</v>
      </c>
      <c r="DJ1544" t="s">
        <v>211</v>
      </c>
      <c r="DK1544" t="s">
        <v>298</v>
      </c>
      <c r="DM1544" t="s">
        <v>2179</v>
      </c>
      <c r="DN1544" t="s">
        <v>2155</v>
      </c>
      <c r="DO1544" t="s">
        <v>273</v>
      </c>
      <c r="DP1544" t="s">
        <v>274</v>
      </c>
      <c r="DQ1544" t="s">
        <v>19664</v>
      </c>
      <c r="DR1544" t="s">
        <v>235</v>
      </c>
      <c r="DS1544" t="s">
        <v>183</v>
      </c>
      <c r="DT1544" t="s">
        <v>211</v>
      </c>
      <c r="DU1544" t="s">
        <v>298</v>
      </c>
      <c r="DW1544" t="s">
        <v>1069</v>
      </c>
      <c r="DX1544" t="s">
        <v>19665</v>
      </c>
      <c r="DY1544" t="s">
        <v>238</v>
      </c>
      <c r="DZ1544" t="s">
        <v>239</v>
      </c>
      <c r="EA1544" t="s">
        <v>19666</v>
      </c>
      <c r="EB1544" t="s">
        <v>440</v>
      </c>
      <c r="EC1544" t="s">
        <v>183</v>
      </c>
      <c r="ED1544" t="s">
        <v>211</v>
      </c>
      <c r="EE1544" t="s">
        <v>342</v>
      </c>
      <c r="EG1544" t="s">
        <v>2841</v>
      </c>
      <c r="EH1544" t="s">
        <v>15936</v>
      </c>
      <c r="EI1544" t="s">
        <v>346</v>
      </c>
      <c r="EJ1544" t="s">
        <v>347</v>
      </c>
      <c r="EK1544" t="s">
        <v>19667</v>
      </c>
      <c r="EL1544" t="s">
        <v>278</v>
      </c>
      <c r="EM1544" t="s">
        <v>183</v>
      </c>
      <c r="EN1544" t="s">
        <v>211</v>
      </c>
      <c r="EO1544" t="s">
        <v>250</v>
      </c>
      <c r="EQ1544" t="s">
        <v>19668</v>
      </c>
      <c r="ER1544" t="s">
        <v>19669</v>
      </c>
      <c r="ES1544" t="s">
        <v>207</v>
      </c>
      <c r="ET1544" t="s">
        <v>208</v>
      </c>
      <c r="EU1544" t="s">
        <v>19670</v>
      </c>
      <c r="EV1544" t="s">
        <v>1966</v>
      </c>
      <c r="EW1544" t="s">
        <v>183</v>
      </c>
      <c r="EX1544" t="s">
        <v>211</v>
      </c>
      <c r="EY1544" t="s">
        <v>487</v>
      </c>
      <c r="FA1544" t="s">
        <v>19668</v>
      </c>
      <c r="FK1544" t="s">
        <v>198</v>
      </c>
      <c r="FU1544" t="s">
        <v>198</v>
      </c>
    </row>
    <row r="1545" spans="1:177">
      <c r="A1545" s="1" t="str">
        <f>HYPERLINK("http://digipan.lumentumllc.com/apps/getLink/index.php?t=PropLink&amp;p=5246994","PL")</f>
        <v>PL</v>
      </c>
      <c r="B1545" s="1" t="str">
        <f>HYPERLINK("http://digipan.lumentumllc.com/apps/getLink/index.php?t=TaxLink&amp;p=5246994","TL")</f>
        <v>TL</v>
      </c>
      <c r="C1545" s="1" t="str">
        <f>HYPERLINK("http://digipan.lumentumllc.com/apps/getMap/index.php?p=5246994","Map")</f>
        <v>Map</v>
      </c>
      <c r="E1545" t="s">
        <v>177</v>
      </c>
      <c r="F1545" t="s">
        <v>178</v>
      </c>
      <c r="L1545" t="s">
        <v>19671</v>
      </c>
      <c r="N1545" t="s">
        <v>19671</v>
      </c>
      <c r="O1545" t="s">
        <v>19671</v>
      </c>
      <c r="P1545" t="s">
        <v>19672</v>
      </c>
      <c r="Q1545" t="s">
        <v>19671</v>
      </c>
      <c r="V1545">
        <v>1774</v>
      </c>
      <c r="W1545">
        <v>6</v>
      </c>
      <c r="X1545">
        <v>2017</v>
      </c>
      <c r="Y1545">
        <v>2018</v>
      </c>
      <c r="Z1545">
        <v>1135.3800000000001</v>
      </c>
      <c r="AB1545" t="s">
        <v>181</v>
      </c>
      <c r="AC1545" t="s">
        <v>182</v>
      </c>
      <c r="AD1545" t="s">
        <v>183</v>
      </c>
      <c r="AE1545">
        <v>0</v>
      </c>
      <c r="AF1545">
        <v>8</v>
      </c>
      <c r="AG1545" t="s">
        <v>1059</v>
      </c>
      <c r="AH1545">
        <v>100</v>
      </c>
      <c r="AK1545">
        <v>0</v>
      </c>
      <c r="AL1545">
        <v>78833</v>
      </c>
      <c r="AM1545">
        <v>25000</v>
      </c>
      <c r="AN1545">
        <v>53833</v>
      </c>
      <c r="AO1545">
        <v>840</v>
      </c>
      <c r="AP1545">
        <v>2016</v>
      </c>
      <c r="AQ1545">
        <v>1.44</v>
      </c>
      <c r="AS1545" t="s">
        <v>19673</v>
      </c>
      <c r="AT1545" t="s">
        <v>15040</v>
      </c>
      <c r="AU1545" t="s">
        <v>177</v>
      </c>
      <c r="AV1545" t="s">
        <v>371</v>
      </c>
      <c r="AW1545" t="s">
        <v>182</v>
      </c>
      <c r="AX1545">
        <v>2</v>
      </c>
      <c r="AY1545" t="s">
        <v>188</v>
      </c>
      <c r="AZ1545" t="s">
        <v>189</v>
      </c>
      <c r="BA1545" t="s">
        <v>190</v>
      </c>
      <c r="BB1545" t="s">
        <v>191</v>
      </c>
      <c r="BC1545" t="s">
        <v>182</v>
      </c>
      <c r="BD1545" t="s">
        <v>182</v>
      </c>
      <c r="BE1545" t="s">
        <v>899</v>
      </c>
      <c r="BF1545">
        <v>1</v>
      </c>
      <c r="BG1545">
        <v>1</v>
      </c>
      <c r="BH1545">
        <v>1996</v>
      </c>
      <c r="BI1545" t="s">
        <v>19674</v>
      </c>
      <c r="BJ1545" t="s">
        <v>248</v>
      </c>
      <c r="BK1545" t="s">
        <v>195</v>
      </c>
      <c r="BL1545" t="s">
        <v>19654</v>
      </c>
      <c r="BM1545" t="s">
        <v>1387</v>
      </c>
      <c r="BN1545" t="s">
        <v>182</v>
      </c>
      <c r="BO1545" t="s">
        <v>198</v>
      </c>
      <c r="BP1545" t="s">
        <v>198</v>
      </c>
      <c r="BQ1545" t="s">
        <v>198</v>
      </c>
      <c r="BR1545" t="s">
        <v>198</v>
      </c>
      <c r="BS1545" t="s">
        <v>198</v>
      </c>
      <c r="BT1545" t="s">
        <v>198</v>
      </c>
      <c r="BU1545" t="s">
        <v>182</v>
      </c>
      <c r="BV1545" t="s">
        <v>198</v>
      </c>
      <c r="BW1545" t="s">
        <v>198</v>
      </c>
      <c r="BX1545" t="s">
        <v>199</v>
      </c>
      <c r="BY1545" t="s">
        <v>198</v>
      </c>
      <c r="BZ1545" t="s">
        <v>199</v>
      </c>
      <c r="CA1545" t="s">
        <v>199</v>
      </c>
      <c r="CB1545" t="s">
        <v>19656</v>
      </c>
      <c r="CC1545" t="s">
        <v>201</v>
      </c>
      <c r="CD1545" t="s">
        <v>182</v>
      </c>
      <c r="CE1545" t="s">
        <v>19675</v>
      </c>
      <c r="CF1545" t="s">
        <v>5331</v>
      </c>
      <c r="CG1545" t="s">
        <v>177</v>
      </c>
      <c r="CH1545" t="s">
        <v>371</v>
      </c>
      <c r="CI1545" t="s">
        <v>17778</v>
      </c>
      <c r="CJ1545" t="s">
        <v>19046</v>
      </c>
      <c r="CK1545" t="s">
        <v>232</v>
      </c>
      <c r="CL1545" t="s">
        <v>233</v>
      </c>
      <c r="CM1545" t="s">
        <v>19676</v>
      </c>
      <c r="CN1545" t="s">
        <v>235</v>
      </c>
      <c r="CO1545" t="s">
        <v>183</v>
      </c>
      <c r="CP1545" t="s">
        <v>211</v>
      </c>
      <c r="CQ1545" t="s">
        <v>270</v>
      </c>
      <c r="CS1545" t="s">
        <v>9428</v>
      </c>
      <c r="CT1545" t="s">
        <v>17201</v>
      </c>
      <c r="CU1545" t="s">
        <v>292</v>
      </c>
      <c r="CV1545" t="s">
        <v>293</v>
      </c>
      <c r="CW1545" t="s">
        <v>19677</v>
      </c>
      <c r="CX1545" t="s">
        <v>235</v>
      </c>
      <c r="CY1545" t="s">
        <v>183</v>
      </c>
      <c r="CZ1545" t="s">
        <v>211</v>
      </c>
      <c r="DA1545" t="s">
        <v>270</v>
      </c>
      <c r="DC1545" t="s">
        <v>9664</v>
      </c>
      <c r="DD1545" t="s">
        <v>10437</v>
      </c>
      <c r="DE1545" t="s">
        <v>267</v>
      </c>
      <c r="DF1545" t="s">
        <v>268</v>
      </c>
      <c r="DG1545" t="s">
        <v>8445</v>
      </c>
      <c r="DH1545" t="s">
        <v>235</v>
      </c>
      <c r="DI1545" t="s">
        <v>183</v>
      </c>
      <c r="DJ1545" t="s">
        <v>211</v>
      </c>
      <c r="DK1545" t="s">
        <v>329</v>
      </c>
      <c r="DM1545" t="s">
        <v>3727</v>
      </c>
      <c r="DN1545" t="s">
        <v>2185</v>
      </c>
      <c r="DO1545" t="s">
        <v>273</v>
      </c>
      <c r="DP1545" t="s">
        <v>274</v>
      </c>
      <c r="DQ1545" t="s">
        <v>19678</v>
      </c>
      <c r="DR1545" t="s">
        <v>235</v>
      </c>
      <c r="DS1545" t="s">
        <v>183</v>
      </c>
      <c r="DT1545" t="s">
        <v>211</v>
      </c>
      <c r="DU1545" t="s">
        <v>342</v>
      </c>
      <c r="DW1545" t="s">
        <v>3807</v>
      </c>
      <c r="DX1545" t="s">
        <v>15331</v>
      </c>
      <c r="DY1545" t="s">
        <v>302</v>
      </c>
      <c r="DZ1545" t="s">
        <v>303</v>
      </c>
      <c r="EA1545" t="s">
        <v>19679</v>
      </c>
      <c r="EB1545" t="s">
        <v>3342</v>
      </c>
      <c r="EC1545" t="s">
        <v>183</v>
      </c>
      <c r="ED1545" t="s">
        <v>211</v>
      </c>
      <c r="EE1545" t="s">
        <v>427</v>
      </c>
      <c r="EG1545" t="s">
        <v>16461</v>
      </c>
      <c r="EH1545" t="s">
        <v>19680</v>
      </c>
      <c r="EI1545" t="s">
        <v>238</v>
      </c>
      <c r="EJ1545" t="s">
        <v>239</v>
      </c>
      <c r="EK1545" t="s">
        <v>19681</v>
      </c>
      <c r="EL1545" t="s">
        <v>440</v>
      </c>
      <c r="EM1545" t="s">
        <v>183</v>
      </c>
      <c r="EN1545" t="s">
        <v>211</v>
      </c>
      <c r="EO1545" t="s">
        <v>342</v>
      </c>
      <c r="EQ1545" t="s">
        <v>2841</v>
      </c>
      <c r="ER1545" t="s">
        <v>19682</v>
      </c>
      <c r="ES1545" t="s">
        <v>346</v>
      </c>
      <c r="ET1545" t="s">
        <v>347</v>
      </c>
      <c r="EU1545" t="s">
        <v>19683</v>
      </c>
      <c r="EV1545" t="s">
        <v>278</v>
      </c>
      <c r="EW1545" t="s">
        <v>183</v>
      </c>
      <c r="EX1545" t="s">
        <v>211</v>
      </c>
      <c r="EY1545" t="s">
        <v>250</v>
      </c>
      <c r="FA1545" t="s">
        <v>19668</v>
      </c>
      <c r="FB1545" t="s">
        <v>19684</v>
      </c>
      <c r="FC1545" t="s">
        <v>207</v>
      </c>
      <c r="FD1545" t="s">
        <v>208</v>
      </c>
      <c r="FE1545" t="s">
        <v>19685</v>
      </c>
      <c r="FF1545" t="s">
        <v>254</v>
      </c>
      <c r="FG1545" t="s">
        <v>183</v>
      </c>
      <c r="FH1545" t="s">
        <v>211</v>
      </c>
      <c r="FI1545" t="s">
        <v>487</v>
      </c>
      <c r="FK1545" t="s">
        <v>19668</v>
      </c>
      <c r="FU1545" t="s">
        <v>198</v>
      </c>
    </row>
    <row r="1546" spans="1:177">
      <c r="A1546" s="1" t="str">
        <f>HYPERLINK("http://digipan.lumentumllc.com/apps/getLink/index.php?t=PropLink&amp;p=5246997","PL")</f>
        <v>PL</v>
      </c>
      <c r="B1546" s="1" t="str">
        <f>HYPERLINK("http://digipan.lumentumllc.com/apps/getLink/index.php?t=TaxLink&amp;p=5246997","TL")</f>
        <v>TL</v>
      </c>
      <c r="C1546" s="1" t="str">
        <f>HYPERLINK("http://digipan.lumentumllc.com/apps/getMap/index.php?p=5246997","Map")</f>
        <v>Map</v>
      </c>
      <c r="E1546" t="s">
        <v>177</v>
      </c>
      <c r="F1546" t="s">
        <v>178</v>
      </c>
      <c r="L1546" t="s">
        <v>19686</v>
      </c>
      <c r="N1546" t="s">
        <v>19686</v>
      </c>
      <c r="O1546" t="s">
        <v>19686</v>
      </c>
      <c r="P1546" t="s">
        <v>19687</v>
      </c>
      <c r="Q1546" t="s">
        <v>19686</v>
      </c>
      <c r="V1546">
        <v>1775</v>
      </c>
      <c r="W1546">
        <v>6</v>
      </c>
      <c r="X1546">
        <v>2017</v>
      </c>
      <c r="Y1546">
        <v>2018</v>
      </c>
      <c r="Z1546">
        <v>579.66</v>
      </c>
      <c r="AB1546" t="s">
        <v>181</v>
      </c>
      <c r="AC1546" t="s">
        <v>182</v>
      </c>
      <c r="AD1546" t="s">
        <v>183</v>
      </c>
      <c r="AE1546">
        <v>0</v>
      </c>
      <c r="AF1546">
        <v>6</v>
      </c>
      <c r="AG1546" t="s">
        <v>3266</v>
      </c>
      <c r="AH1546">
        <v>100</v>
      </c>
      <c r="AK1546">
        <v>0</v>
      </c>
      <c r="AL1546">
        <v>90122</v>
      </c>
      <c r="AM1546">
        <v>25000</v>
      </c>
      <c r="AN1546">
        <v>65122</v>
      </c>
      <c r="AO1546">
        <v>506</v>
      </c>
      <c r="AP1546">
        <v>2016</v>
      </c>
      <c r="AQ1546">
        <v>0.64</v>
      </c>
      <c r="AS1546" t="s">
        <v>19688</v>
      </c>
      <c r="AT1546" t="s">
        <v>15040</v>
      </c>
      <c r="AU1546" t="s">
        <v>177</v>
      </c>
      <c r="AV1546" t="s">
        <v>371</v>
      </c>
      <c r="AW1546" t="s">
        <v>202</v>
      </c>
      <c r="AX1546">
        <v>2</v>
      </c>
      <c r="AY1546" t="s">
        <v>188</v>
      </c>
      <c r="AZ1546" t="s">
        <v>189</v>
      </c>
      <c r="BA1546" t="s">
        <v>190</v>
      </c>
      <c r="BB1546" t="s">
        <v>191</v>
      </c>
      <c r="BC1546" t="s">
        <v>182</v>
      </c>
      <c r="BD1546" t="s">
        <v>182</v>
      </c>
      <c r="BE1546" t="s">
        <v>5145</v>
      </c>
      <c r="BF1546">
        <v>1</v>
      </c>
      <c r="BG1546">
        <v>1</v>
      </c>
      <c r="BH1546">
        <v>1997</v>
      </c>
      <c r="BI1546" t="s">
        <v>18421</v>
      </c>
      <c r="BJ1546" t="s">
        <v>396</v>
      </c>
      <c r="BK1546" t="s">
        <v>195</v>
      </c>
      <c r="BL1546" t="s">
        <v>1361</v>
      </c>
      <c r="BM1546" t="s">
        <v>451</v>
      </c>
      <c r="BN1546" t="s">
        <v>182</v>
      </c>
      <c r="BO1546" t="s">
        <v>198</v>
      </c>
      <c r="BP1546" t="s">
        <v>198</v>
      </c>
      <c r="BQ1546" t="s">
        <v>198</v>
      </c>
      <c r="BR1546" t="s">
        <v>198</v>
      </c>
      <c r="BS1546" t="s">
        <v>198</v>
      </c>
      <c r="BT1546" t="s">
        <v>198</v>
      </c>
      <c r="BU1546" t="s">
        <v>182</v>
      </c>
      <c r="BV1546" t="s">
        <v>198</v>
      </c>
      <c r="BW1546" t="s">
        <v>198</v>
      </c>
      <c r="BX1546" t="s">
        <v>199</v>
      </c>
      <c r="BY1546" t="s">
        <v>198</v>
      </c>
      <c r="BZ1546" t="s">
        <v>199</v>
      </c>
      <c r="CA1546" t="s">
        <v>199</v>
      </c>
      <c r="CB1546" t="s">
        <v>19689</v>
      </c>
      <c r="CC1546" t="s">
        <v>201</v>
      </c>
      <c r="CD1546" t="s">
        <v>182</v>
      </c>
      <c r="CE1546" t="s">
        <v>19690</v>
      </c>
      <c r="CF1546" t="s">
        <v>5331</v>
      </c>
      <c r="CG1546" t="s">
        <v>177</v>
      </c>
      <c r="CH1546" t="s">
        <v>371</v>
      </c>
      <c r="CI1546" t="s">
        <v>15564</v>
      </c>
      <c r="CJ1546" t="s">
        <v>17248</v>
      </c>
      <c r="CK1546" t="s">
        <v>292</v>
      </c>
      <c r="CL1546" t="s">
        <v>293</v>
      </c>
      <c r="CM1546" t="s">
        <v>19691</v>
      </c>
      <c r="CN1546" t="s">
        <v>235</v>
      </c>
      <c r="CO1546" t="s">
        <v>183</v>
      </c>
      <c r="CP1546" t="s">
        <v>211</v>
      </c>
      <c r="CQ1546" t="s">
        <v>342</v>
      </c>
      <c r="CS1546" t="s">
        <v>3125</v>
      </c>
      <c r="CT1546" t="s">
        <v>19692</v>
      </c>
      <c r="CU1546" t="s">
        <v>273</v>
      </c>
      <c r="CV1546" t="s">
        <v>274</v>
      </c>
      <c r="CW1546" t="s">
        <v>19693</v>
      </c>
      <c r="CX1546" t="s">
        <v>235</v>
      </c>
      <c r="CY1546" t="s">
        <v>183</v>
      </c>
      <c r="CZ1546" t="s">
        <v>211</v>
      </c>
      <c r="DA1546" t="s">
        <v>264</v>
      </c>
      <c r="DC1546" t="s">
        <v>19694</v>
      </c>
      <c r="DD1546" t="s">
        <v>12347</v>
      </c>
      <c r="DE1546" t="s">
        <v>302</v>
      </c>
      <c r="DF1546" t="s">
        <v>303</v>
      </c>
      <c r="DG1546" t="s">
        <v>19695</v>
      </c>
      <c r="DH1546" t="s">
        <v>3342</v>
      </c>
      <c r="DI1546" t="s">
        <v>183</v>
      </c>
      <c r="DJ1546" t="s">
        <v>211</v>
      </c>
      <c r="DK1546" t="s">
        <v>471</v>
      </c>
      <c r="DM1546" t="s">
        <v>19694</v>
      </c>
      <c r="DN1546" t="s">
        <v>16210</v>
      </c>
      <c r="DO1546" t="s">
        <v>238</v>
      </c>
      <c r="DP1546" t="s">
        <v>239</v>
      </c>
      <c r="DQ1546" t="s">
        <v>19696</v>
      </c>
      <c r="DR1546" t="s">
        <v>278</v>
      </c>
      <c r="DS1546" t="s">
        <v>183</v>
      </c>
      <c r="DT1546" t="s">
        <v>211</v>
      </c>
      <c r="DU1546" t="s">
        <v>768</v>
      </c>
      <c r="DW1546" t="s">
        <v>19694</v>
      </c>
      <c r="DX1546" t="s">
        <v>19697</v>
      </c>
      <c r="DY1546" t="s">
        <v>346</v>
      </c>
      <c r="DZ1546" t="s">
        <v>347</v>
      </c>
      <c r="EA1546" t="s">
        <v>19698</v>
      </c>
      <c r="EB1546" t="s">
        <v>278</v>
      </c>
      <c r="EC1546" t="s">
        <v>183</v>
      </c>
      <c r="ED1546" t="s">
        <v>211</v>
      </c>
      <c r="EE1546" t="s">
        <v>493</v>
      </c>
      <c r="EG1546" t="s">
        <v>2530</v>
      </c>
      <c r="EH1546" t="s">
        <v>19699</v>
      </c>
      <c r="EI1546" t="s">
        <v>207</v>
      </c>
      <c r="EJ1546" t="s">
        <v>208</v>
      </c>
      <c r="EK1546" t="s">
        <v>19700</v>
      </c>
      <c r="EL1546" t="s">
        <v>254</v>
      </c>
      <c r="EM1546" t="s">
        <v>183</v>
      </c>
      <c r="EN1546" t="s">
        <v>211</v>
      </c>
      <c r="EO1546" t="s">
        <v>298</v>
      </c>
      <c r="EQ1546" t="s">
        <v>8974</v>
      </c>
      <c r="FA1546" t="s">
        <v>198</v>
      </c>
      <c r="FK1546" t="s">
        <v>198</v>
      </c>
      <c r="FU1546" t="s">
        <v>198</v>
      </c>
    </row>
    <row r="1547" spans="1:177">
      <c r="A1547" s="1" t="str">
        <f>HYPERLINK("http://digipan.lumentumllc.com/apps/getLink/index.php?t=PropLink&amp;p=4638177","PL")</f>
        <v>PL</v>
      </c>
      <c r="B1547" s="1" t="str">
        <f>HYPERLINK("http://digipan.lumentumllc.com/apps/getLink/index.php?t=TaxLink&amp;p=4638177","TL")</f>
        <v>TL</v>
      </c>
      <c r="C1547" s="1" t="str">
        <f>HYPERLINK("http://digipan.lumentumllc.com/apps/getMap/index.php?p=4638177","Map")</f>
        <v>Map</v>
      </c>
      <c r="E1547" t="s">
        <v>177</v>
      </c>
      <c r="F1547" t="s">
        <v>178</v>
      </c>
      <c r="L1547" t="s">
        <v>19701</v>
      </c>
      <c r="N1547" t="s">
        <v>19701</v>
      </c>
      <c r="O1547" t="s">
        <v>19701</v>
      </c>
      <c r="P1547" t="s">
        <v>19702</v>
      </c>
      <c r="Q1547" t="s">
        <v>19701</v>
      </c>
      <c r="V1547">
        <v>1776</v>
      </c>
      <c r="W1547">
        <v>6</v>
      </c>
      <c r="X1547">
        <v>2017</v>
      </c>
      <c r="Y1547">
        <v>2018</v>
      </c>
      <c r="Z1547">
        <v>696.42</v>
      </c>
      <c r="AB1547" t="s">
        <v>181</v>
      </c>
      <c r="AC1547" t="s">
        <v>182</v>
      </c>
      <c r="AD1547" t="s">
        <v>183</v>
      </c>
      <c r="AE1547">
        <v>1</v>
      </c>
      <c r="AF1547">
        <v>4</v>
      </c>
      <c r="AG1547" t="s">
        <v>257</v>
      </c>
      <c r="AH1547">
        <v>75</v>
      </c>
      <c r="AI1547">
        <v>605.46</v>
      </c>
      <c r="AJ1547">
        <v>30.27</v>
      </c>
      <c r="AK1547">
        <v>635.73</v>
      </c>
      <c r="AL1547">
        <v>43499</v>
      </c>
      <c r="AM1547">
        <v>31250</v>
      </c>
      <c r="AN1547">
        <v>12249</v>
      </c>
      <c r="AO1547">
        <v>535</v>
      </c>
      <c r="AP1547">
        <v>2016</v>
      </c>
      <c r="AQ1547">
        <v>1.6</v>
      </c>
      <c r="AR1547">
        <v>1.46</v>
      </c>
      <c r="AS1547" t="s">
        <v>19703</v>
      </c>
      <c r="AT1547" t="s">
        <v>15040</v>
      </c>
      <c r="AU1547" t="s">
        <v>177</v>
      </c>
      <c r="AV1547" t="s">
        <v>371</v>
      </c>
      <c r="AW1547" t="s">
        <v>182</v>
      </c>
      <c r="AX1547">
        <v>0</v>
      </c>
      <c r="AY1547" t="s">
        <v>312</v>
      </c>
      <c r="AZ1547" t="s">
        <v>199</v>
      </c>
      <c r="BA1547" t="s">
        <v>313</v>
      </c>
      <c r="BB1547" t="s">
        <v>191</v>
      </c>
      <c r="BC1547" t="s">
        <v>182</v>
      </c>
      <c r="BD1547" t="s">
        <v>182</v>
      </c>
      <c r="BE1547" t="s">
        <v>259</v>
      </c>
      <c r="BF1547">
        <v>0</v>
      </c>
      <c r="BG1547">
        <v>0</v>
      </c>
      <c r="BH1547">
        <v>0</v>
      </c>
      <c r="BI1547" t="s">
        <v>199</v>
      </c>
      <c r="BJ1547" t="s">
        <v>248</v>
      </c>
      <c r="BL1547" t="s">
        <v>199</v>
      </c>
      <c r="BM1547" t="s">
        <v>679</v>
      </c>
      <c r="BN1547" t="s">
        <v>182</v>
      </c>
      <c r="BO1547" t="s">
        <v>198</v>
      </c>
      <c r="BP1547" t="s">
        <v>198</v>
      </c>
      <c r="BQ1547" t="s">
        <v>198</v>
      </c>
      <c r="BR1547" t="s">
        <v>198</v>
      </c>
      <c r="BS1547" t="s">
        <v>198</v>
      </c>
      <c r="BT1547" t="s">
        <v>198</v>
      </c>
      <c r="BU1547" t="s">
        <v>182</v>
      </c>
      <c r="BV1547" t="s">
        <v>198</v>
      </c>
      <c r="BW1547" t="s">
        <v>198</v>
      </c>
      <c r="BX1547" t="s">
        <v>199</v>
      </c>
      <c r="BY1547" t="s">
        <v>198</v>
      </c>
      <c r="BZ1547" t="s">
        <v>199</v>
      </c>
      <c r="CA1547" t="s">
        <v>199</v>
      </c>
      <c r="CB1547" t="s">
        <v>19704</v>
      </c>
      <c r="CC1547" t="s">
        <v>201</v>
      </c>
      <c r="CD1547" t="s">
        <v>202</v>
      </c>
      <c r="CE1547" t="s">
        <v>19705</v>
      </c>
      <c r="CF1547" t="s">
        <v>5331</v>
      </c>
      <c r="CG1547" t="s">
        <v>177</v>
      </c>
      <c r="CH1547" t="s">
        <v>371</v>
      </c>
      <c r="CI1547" t="s">
        <v>19706</v>
      </c>
      <c r="CJ1547" t="s">
        <v>17057</v>
      </c>
      <c r="CK1547" t="s">
        <v>232</v>
      </c>
      <c r="CL1547" t="s">
        <v>233</v>
      </c>
      <c r="CM1547" t="s">
        <v>19707</v>
      </c>
      <c r="CN1547" t="s">
        <v>235</v>
      </c>
      <c r="CO1547" t="s">
        <v>183</v>
      </c>
      <c r="CP1547" t="s">
        <v>266</v>
      </c>
      <c r="CS1547" t="s">
        <v>198</v>
      </c>
      <c r="CT1547" t="s">
        <v>17289</v>
      </c>
      <c r="CU1547" t="s">
        <v>292</v>
      </c>
      <c r="CV1547" t="s">
        <v>293</v>
      </c>
      <c r="CW1547" t="s">
        <v>19708</v>
      </c>
      <c r="CX1547" t="s">
        <v>333</v>
      </c>
      <c r="CY1547" t="s">
        <v>183</v>
      </c>
      <c r="CZ1547" t="s">
        <v>211</v>
      </c>
      <c r="DA1547" t="s">
        <v>345</v>
      </c>
      <c r="DC1547" t="s">
        <v>1088</v>
      </c>
      <c r="DD1547" t="s">
        <v>19120</v>
      </c>
      <c r="DE1547" t="s">
        <v>267</v>
      </c>
      <c r="DF1547" t="s">
        <v>268</v>
      </c>
      <c r="DG1547" t="s">
        <v>19709</v>
      </c>
      <c r="DH1547" t="s">
        <v>235</v>
      </c>
      <c r="DI1547" t="s">
        <v>183</v>
      </c>
      <c r="DJ1547" t="s">
        <v>211</v>
      </c>
      <c r="DK1547" t="s">
        <v>427</v>
      </c>
      <c r="DM1547" t="s">
        <v>19710</v>
      </c>
      <c r="DN1547" t="s">
        <v>19229</v>
      </c>
      <c r="DO1547" t="s">
        <v>273</v>
      </c>
      <c r="DP1547" t="s">
        <v>274</v>
      </c>
      <c r="DQ1547" t="s">
        <v>6542</v>
      </c>
      <c r="DR1547" t="s">
        <v>235</v>
      </c>
      <c r="DS1547" t="s">
        <v>183</v>
      </c>
      <c r="DT1547" t="s">
        <v>211</v>
      </c>
      <c r="DU1547" t="s">
        <v>342</v>
      </c>
      <c r="DW1547" t="s">
        <v>3762</v>
      </c>
      <c r="DX1547" t="s">
        <v>979</v>
      </c>
      <c r="DY1547" t="s">
        <v>207</v>
      </c>
      <c r="DZ1547" t="s">
        <v>208</v>
      </c>
      <c r="EA1547" t="s">
        <v>19711</v>
      </c>
      <c r="EB1547" t="s">
        <v>341</v>
      </c>
      <c r="EC1547" t="s">
        <v>183</v>
      </c>
      <c r="ED1547" t="s">
        <v>211</v>
      </c>
      <c r="EE1547" t="s">
        <v>493</v>
      </c>
      <c r="EG1547" t="s">
        <v>1590</v>
      </c>
      <c r="EQ1547" t="s">
        <v>198</v>
      </c>
      <c r="FA1547" t="s">
        <v>198</v>
      </c>
      <c r="FK1547" t="s">
        <v>198</v>
      </c>
      <c r="FU1547" t="s">
        <v>198</v>
      </c>
    </row>
    <row r="1548" spans="1:177">
      <c r="A1548" s="1" t="str">
        <f>HYPERLINK("http://digipan.lumentumllc.com/apps/getLink/index.php?t=PropLink&amp;p=5247185","PL")</f>
        <v>PL</v>
      </c>
      <c r="B1548" s="1" t="str">
        <f>HYPERLINK("http://digipan.lumentumllc.com/apps/getLink/index.php?t=TaxLink&amp;p=5247185","TL")</f>
        <v>TL</v>
      </c>
      <c r="C1548" s="1" t="str">
        <f>HYPERLINK("http://digipan.lumentumllc.com/apps/getMap/index.php?p=5247185","Map")</f>
        <v>Map</v>
      </c>
      <c r="E1548" t="s">
        <v>177</v>
      </c>
      <c r="F1548" t="s">
        <v>178</v>
      </c>
      <c r="L1548" t="s">
        <v>19712</v>
      </c>
      <c r="N1548" t="s">
        <v>19712</v>
      </c>
      <c r="O1548" t="s">
        <v>19712</v>
      </c>
      <c r="P1548" t="s">
        <v>19713</v>
      </c>
      <c r="Q1548" t="s">
        <v>19712</v>
      </c>
      <c r="V1548">
        <v>1778</v>
      </c>
      <c r="W1548">
        <v>6</v>
      </c>
      <c r="X1548">
        <v>2017</v>
      </c>
      <c r="Y1548">
        <v>2018</v>
      </c>
      <c r="Z1548">
        <v>912.07</v>
      </c>
      <c r="AB1548" t="s">
        <v>181</v>
      </c>
      <c r="AC1548" t="s">
        <v>182</v>
      </c>
      <c r="AD1548" t="s">
        <v>183</v>
      </c>
      <c r="AE1548">
        <v>1</v>
      </c>
      <c r="AF1548">
        <v>6</v>
      </c>
      <c r="AG1548" t="s">
        <v>322</v>
      </c>
      <c r="AH1548">
        <v>83</v>
      </c>
      <c r="AI1548">
        <v>897.58</v>
      </c>
      <c r="AJ1548">
        <v>44.88</v>
      </c>
      <c r="AK1548">
        <v>942.46</v>
      </c>
      <c r="AL1548">
        <v>123355</v>
      </c>
      <c r="AM1548">
        <v>25000</v>
      </c>
      <c r="AN1548">
        <v>98355</v>
      </c>
      <c r="AO1548">
        <v>805</v>
      </c>
      <c r="AP1548">
        <v>2016</v>
      </c>
      <c r="AQ1548">
        <v>0.74</v>
      </c>
      <c r="AR1548">
        <v>0.76</v>
      </c>
      <c r="AS1548" t="s">
        <v>19714</v>
      </c>
      <c r="AT1548" t="s">
        <v>15040</v>
      </c>
      <c r="AU1548" t="s">
        <v>177</v>
      </c>
      <c r="AV1548" t="s">
        <v>371</v>
      </c>
      <c r="AW1548" t="s">
        <v>202</v>
      </c>
      <c r="AX1548">
        <v>1</v>
      </c>
      <c r="AY1548" t="s">
        <v>188</v>
      </c>
      <c r="AZ1548" t="s">
        <v>206</v>
      </c>
      <c r="BA1548" t="s">
        <v>355</v>
      </c>
      <c r="BB1548" t="s">
        <v>191</v>
      </c>
      <c r="BC1548" t="s">
        <v>182</v>
      </c>
      <c r="BD1548" t="s">
        <v>182</v>
      </c>
      <c r="BE1548" t="s">
        <v>383</v>
      </c>
      <c r="BF1548">
        <v>2</v>
      </c>
      <c r="BG1548">
        <v>2</v>
      </c>
      <c r="BH1548">
        <v>1960</v>
      </c>
      <c r="BI1548" t="s">
        <v>8323</v>
      </c>
      <c r="BJ1548" t="s">
        <v>194</v>
      </c>
      <c r="BK1548" t="s">
        <v>195</v>
      </c>
      <c r="BL1548" t="s">
        <v>199</v>
      </c>
      <c r="BM1548" t="s">
        <v>4973</v>
      </c>
      <c r="BN1548" t="s">
        <v>182</v>
      </c>
      <c r="BO1548" t="s">
        <v>17209</v>
      </c>
      <c r="BP1548" t="s">
        <v>4638</v>
      </c>
      <c r="BS1548" t="s">
        <v>19715</v>
      </c>
      <c r="BT1548" t="s">
        <v>198</v>
      </c>
      <c r="BU1548" t="s">
        <v>182</v>
      </c>
      <c r="BV1548" t="s">
        <v>198</v>
      </c>
      <c r="BW1548" t="s">
        <v>198</v>
      </c>
      <c r="BX1548" t="s">
        <v>199</v>
      </c>
      <c r="BY1548" t="s">
        <v>198</v>
      </c>
      <c r="BZ1548" t="s">
        <v>199</v>
      </c>
      <c r="CA1548" t="s">
        <v>199</v>
      </c>
      <c r="CB1548" t="s">
        <v>19716</v>
      </c>
      <c r="CC1548" t="s">
        <v>201</v>
      </c>
      <c r="CD1548" t="s">
        <v>182</v>
      </c>
      <c r="CE1548" t="s">
        <v>19717</v>
      </c>
      <c r="CF1548" t="s">
        <v>5331</v>
      </c>
      <c r="CG1548" t="s">
        <v>177</v>
      </c>
      <c r="CH1548" t="s">
        <v>371</v>
      </c>
      <c r="CI1548" t="s">
        <v>19718</v>
      </c>
      <c r="CJ1548" t="s">
        <v>18364</v>
      </c>
      <c r="CK1548" t="s">
        <v>232</v>
      </c>
      <c r="CL1548" t="s">
        <v>233</v>
      </c>
      <c r="CM1548" t="s">
        <v>19719</v>
      </c>
      <c r="CN1548" t="s">
        <v>235</v>
      </c>
      <c r="CO1548" t="s">
        <v>183</v>
      </c>
      <c r="CP1548" t="s">
        <v>266</v>
      </c>
      <c r="CS1548" t="s">
        <v>198</v>
      </c>
      <c r="CT1548" t="s">
        <v>8594</v>
      </c>
      <c r="CU1548" t="s">
        <v>292</v>
      </c>
      <c r="CV1548" t="s">
        <v>293</v>
      </c>
      <c r="CW1548" t="s">
        <v>19720</v>
      </c>
      <c r="CX1548" t="s">
        <v>235</v>
      </c>
      <c r="CY1548" t="s">
        <v>183</v>
      </c>
      <c r="CZ1548" t="s">
        <v>211</v>
      </c>
      <c r="DA1548" t="s">
        <v>342</v>
      </c>
      <c r="DC1548" t="s">
        <v>13292</v>
      </c>
      <c r="DD1548" t="s">
        <v>19127</v>
      </c>
      <c r="DE1548" t="s">
        <v>267</v>
      </c>
      <c r="DF1548" t="s">
        <v>268</v>
      </c>
      <c r="DG1548" t="s">
        <v>19721</v>
      </c>
      <c r="DH1548" t="s">
        <v>235</v>
      </c>
      <c r="DI1548" t="s">
        <v>183</v>
      </c>
      <c r="DJ1548" t="s">
        <v>211</v>
      </c>
      <c r="DK1548" t="s">
        <v>298</v>
      </c>
      <c r="DM1548" t="s">
        <v>5806</v>
      </c>
      <c r="DN1548" t="s">
        <v>19722</v>
      </c>
      <c r="DO1548" t="s">
        <v>273</v>
      </c>
      <c r="DP1548" t="s">
        <v>274</v>
      </c>
      <c r="DQ1548" t="s">
        <v>19723</v>
      </c>
      <c r="DR1548" t="s">
        <v>235</v>
      </c>
      <c r="DS1548" t="s">
        <v>183</v>
      </c>
      <c r="DT1548" t="s">
        <v>211</v>
      </c>
      <c r="DU1548" t="s">
        <v>306</v>
      </c>
      <c r="DW1548" t="s">
        <v>16507</v>
      </c>
      <c r="DX1548" t="s">
        <v>1309</v>
      </c>
      <c r="DY1548" t="s">
        <v>302</v>
      </c>
      <c r="DZ1548" t="s">
        <v>303</v>
      </c>
      <c r="EA1548" t="s">
        <v>19724</v>
      </c>
      <c r="EB1548" t="s">
        <v>235</v>
      </c>
      <c r="EC1548" t="s">
        <v>183</v>
      </c>
      <c r="ED1548" t="s">
        <v>211</v>
      </c>
      <c r="EE1548" t="s">
        <v>290</v>
      </c>
      <c r="EG1548" t="s">
        <v>19725</v>
      </c>
      <c r="EH1548" t="s">
        <v>19726</v>
      </c>
      <c r="EI1548" t="s">
        <v>346</v>
      </c>
      <c r="EJ1548" t="s">
        <v>347</v>
      </c>
      <c r="EK1548" t="s">
        <v>19727</v>
      </c>
      <c r="EL1548" t="s">
        <v>235</v>
      </c>
      <c r="EM1548" t="s">
        <v>183</v>
      </c>
      <c r="EN1548" t="s">
        <v>211</v>
      </c>
      <c r="EO1548" t="s">
        <v>212</v>
      </c>
      <c r="EQ1548" t="s">
        <v>9548</v>
      </c>
      <c r="ER1548" t="s">
        <v>19728</v>
      </c>
      <c r="ES1548" t="s">
        <v>207</v>
      </c>
      <c r="ET1548" t="s">
        <v>208</v>
      </c>
      <c r="EU1548" t="s">
        <v>19729</v>
      </c>
      <c r="EV1548" t="s">
        <v>235</v>
      </c>
      <c r="EW1548" t="s">
        <v>183</v>
      </c>
      <c r="EX1548" t="s">
        <v>211</v>
      </c>
      <c r="EY1548" t="s">
        <v>189</v>
      </c>
      <c r="FA1548" t="s">
        <v>19730</v>
      </c>
      <c r="FK1548" t="s">
        <v>198</v>
      </c>
      <c r="FU1548" t="s">
        <v>198</v>
      </c>
    </row>
    <row r="1549" spans="1:177">
      <c r="A1549" s="1" t="str">
        <f>HYPERLINK("http://digipan.lumentumllc.com/apps/getLink/index.php?t=PropLink&amp;p=5247186","PL")</f>
        <v>PL</v>
      </c>
      <c r="B1549" s="1" t="str">
        <f>HYPERLINK("http://digipan.lumentumllc.com/apps/getLink/index.php?t=TaxLink&amp;p=5247186","TL")</f>
        <v>TL</v>
      </c>
      <c r="C1549" s="1" t="str">
        <f>HYPERLINK("http://digipan.lumentumllc.com/apps/getMap/index.php?p=5247186","Map")</f>
        <v>Map</v>
      </c>
      <c r="E1549" t="s">
        <v>177</v>
      </c>
      <c r="F1549" t="s">
        <v>178</v>
      </c>
      <c r="L1549" t="s">
        <v>19731</v>
      </c>
      <c r="N1549" t="s">
        <v>19731</v>
      </c>
      <c r="O1549" t="s">
        <v>19731</v>
      </c>
      <c r="P1549" t="s">
        <v>19732</v>
      </c>
      <c r="Q1549" t="s">
        <v>19731</v>
      </c>
      <c r="V1549">
        <v>1779</v>
      </c>
      <c r="W1549">
        <v>6</v>
      </c>
      <c r="X1549">
        <v>2017</v>
      </c>
      <c r="Y1549">
        <v>2018</v>
      </c>
      <c r="Z1549">
        <v>1451.42</v>
      </c>
      <c r="AB1549" t="s">
        <v>181</v>
      </c>
      <c r="AC1549" t="s">
        <v>182</v>
      </c>
      <c r="AD1549" t="s">
        <v>183</v>
      </c>
      <c r="AE1549">
        <v>0</v>
      </c>
      <c r="AF1549">
        <v>3</v>
      </c>
      <c r="AG1549" t="s">
        <v>381</v>
      </c>
      <c r="AH1549">
        <v>100</v>
      </c>
      <c r="AK1549">
        <v>0</v>
      </c>
      <c r="AL1549">
        <v>99750</v>
      </c>
      <c r="AM1549">
        <v>99750</v>
      </c>
      <c r="AN1549">
        <v>0</v>
      </c>
      <c r="AO1549">
        <v>1138</v>
      </c>
      <c r="AP1549">
        <v>2016</v>
      </c>
      <c r="AQ1549">
        <v>1.46</v>
      </c>
      <c r="AS1549" t="s">
        <v>19733</v>
      </c>
      <c r="AT1549" t="s">
        <v>15040</v>
      </c>
      <c r="AU1549" t="s">
        <v>177</v>
      </c>
      <c r="AV1549" t="s">
        <v>371</v>
      </c>
      <c r="AW1549" t="s">
        <v>182</v>
      </c>
      <c r="AX1549">
        <v>0</v>
      </c>
      <c r="AY1549" t="s">
        <v>312</v>
      </c>
      <c r="AZ1549" t="s">
        <v>199</v>
      </c>
      <c r="BA1549" t="s">
        <v>313</v>
      </c>
      <c r="BB1549" t="s">
        <v>191</v>
      </c>
      <c r="BC1549" t="s">
        <v>182</v>
      </c>
      <c r="BD1549" t="s">
        <v>182</v>
      </c>
      <c r="BE1549" t="s">
        <v>10119</v>
      </c>
      <c r="BF1549">
        <v>0</v>
      </c>
      <c r="BG1549">
        <v>0</v>
      </c>
      <c r="BH1549">
        <v>0</v>
      </c>
      <c r="BI1549" t="s">
        <v>199</v>
      </c>
      <c r="BJ1549" t="s">
        <v>248</v>
      </c>
      <c r="BL1549" t="s">
        <v>19734</v>
      </c>
      <c r="BM1549" t="s">
        <v>410</v>
      </c>
      <c r="BN1549" t="s">
        <v>182</v>
      </c>
      <c r="BO1549" t="s">
        <v>19735</v>
      </c>
      <c r="BP1549" t="s">
        <v>19736</v>
      </c>
      <c r="BS1549" t="s">
        <v>19737</v>
      </c>
      <c r="BT1549" t="s">
        <v>198</v>
      </c>
      <c r="BU1549" t="s">
        <v>182</v>
      </c>
      <c r="BV1549" t="s">
        <v>198</v>
      </c>
      <c r="BW1549" t="s">
        <v>198</v>
      </c>
      <c r="BX1549" t="s">
        <v>199</v>
      </c>
      <c r="BY1549" t="s">
        <v>198</v>
      </c>
      <c r="BZ1549" t="s">
        <v>199</v>
      </c>
      <c r="CA1549" t="s">
        <v>199</v>
      </c>
      <c r="CB1549" t="s">
        <v>19738</v>
      </c>
      <c r="CC1549" t="s">
        <v>201</v>
      </c>
      <c r="CD1549" t="s">
        <v>202</v>
      </c>
      <c r="CE1549" t="s">
        <v>19739</v>
      </c>
      <c r="CF1549" t="s">
        <v>5331</v>
      </c>
      <c r="CG1549" t="s">
        <v>177</v>
      </c>
      <c r="CH1549" t="s">
        <v>371</v>
      </c>
      <c r="CI1549" t="s">
        <v>249</v>
      </c>
      <c r="CJ1549" t="s">
        <v>17318</v>
      </c>
      <c r="CK1549" t="s">
        <v>292</v>
      </c>
      <c r="CL1549" t="s">
        <v>293</v>
      </c>
      <c r="CM1549" t="s">
        <v>19740</v>
      </c>
      <c r="CN1549" t="s">
        <v>235</v>
      </c>
      <c r="CO1549" t="s">
        <v>183</v>
      </c>
      <c r="CP1549" t="s">
        <v>211</v>
      </c>
      <c r="CQ1549" t="s">
        <v>199</v>
      </c>
      <c r="CS1549" t="s">
        <v>7221</v>
      </c>
      <c r="CT1549" t="s">
        <v>292</v>
      </c>
      <c r="CU1549" t="s">
        <v>238</v>
      </c>
      <c r="CV1549" t="s">
        <v>239</v>
      </c>
      <c r="CW1549" t="s">
        <v>19741</v>
      </c>
      <c r="CX1549" t="s">
        <v>440</v>
      </c>
      <c r="CY1549" t="s">
        <v>183</v>
      </c>
      <c r="CZ1549" t="s">
        <v>211</v>
      </c>
      <c r="DA1549" t="s">
        <v>329</v>
      </c>
      <c r="DC1549" t="s">
        <v>14082</v>
      </c>
      <c r="DD1549" t="s">
        <v>16473</v>
      </c>
      <c r="DE1549" t="s">
        <v>346</v>
      </c>
      <c r="DF1549" t="s">
        <v>347</v>
      </c>
      <c r="DG1549" t="s">
        <v>19742</v>
      </c>
      <c r="DH1549" t="s">
        <v>278</v>
      </c>
      <c r="DI1549" t="s">
        <v>183</v>
      </c>
      <c r="DJ1549" t="s">
        <v>211</v>
      </c>
      <c r="DK1549" t="s">
        <v>298</v>
      </c>
      <c r="DM1549" t="s">
        <v>14082</v>
      </c>
      <c r="DW1549" t="s">
        <v>198</v>
      </c>
      <c r="EG1549" t="s">
        <v>198</v>
      </c>
      <c r="EQ1549" t="s">
        <v>198</v>
      </c>
      <c r="FA1549" t="s">
        <v>198</v>
      </c>
      <c r="FK1549" t="s">
        <v>198</v>
      </c>
      <c r="FU1549" t="s">
        <v>198</v>
      </c>
    </row>
    <row r="1550" spans="1:177">
      <c r="A1550" s="1" t="str">
        <f>HYPERLINK("http://digipan.lumentumllc.com/apps/getLink/index.php?t=PropLink&amp;p=4638180","PL")</f>
        <v>PL</v>
      </c>
      <c r="B1550" s="1" t="str">
        <f>HYPERLINK("http://digipan.lumentumllc.com/apps/getLink/index.php?t=TaxLink&amp;p=4638180","TL")</f>
        <v>TL</v>
      </c>
      <c r="C1550" s="1" t="str">
        <f>HYPERLINK("http://digipan.lumentumllc.com/apps/getMap/index.php?p=4638180","Map")</f>
        <v>Map</v>
      </c>
      <c r="E1550" t="s">
        <v>177</v>
      </c>
      <c r="F1550" t="s">
        <v>178</v>
      </c>
      <c r="L1550" t="s">
        <v>19743</v>
      </c>
      <c r="N1550" t="s">
        <v>19743</v>
      </c>
      <c r="O1550" t="s">
        <v>19743</v>
      </c>
      <c r="P1550" t="s">
        <v>19744</v>
      </c>
      <c r="Q1550" t="s">
        <v>19743</v>
      </c>
      <c r="V1550">
        <v>1780</v>
      </c>
      <c r="W1550">
        <v>6</v>
      </c>
      <c r="X1550">
        <v>2017</v>
      </c>
      <c r="Y1550">
        <v>2018</v>
      </c>
      <c r="Z1550">
        <v>628.41</v>
      </c>
      <c r="AB1550" t="s">
        <v>181</v>
      </c>
      <c r="AC1550" t="s">
        <v>182</v>
      </c>
      <c r="AD1550" t="s">
        <v>183</v>
      </c>
      <c r="AE1550">
        <v>0</v>
      </c>
      <c r="AF1550">
        <v>1</v>
      </c>
      <c r="AG1550" t="s">
        <v>184</v>
      </c>
      <c r="AH1550">
        <v>0</v>
      </c>
      <c r="AK1550">
        <v>0</v>
      </c>
      <c r="AL1550">
        <v>36428</v>
      </c>
      <c r="AM1550">
        <v>25000</v>
      </c>
      <c r="AN1550">
        <v>11428</v>
      </c>
      <c r="AO1550">
        <v>521</v>
      </c>
      <c r="AP1550">
        <v>2016</v>
      </c>
      <c r="AQ1550">
        <v>1.73</v>
      </c>
      <c r="AS1550" t="s">
        <v>19745</v>
      </c>
      <c r="AT1550" t="s">
        <v>15040</v>
      </c>
      <c r="AU1550" t="s">
        <v>177</v>
      </c>
      <c r="AV1550" t="s">
        <v>371</v>
      </c>
      <c r="AW1550" t="s">
        <v>182</v>
      </c>
      <c r="AX1550">
        <v>0</v>
      </c>
      <c r="AY1550" t="s">
        <v>312</v>
      </c>
      <c r="AZ1550" t="s">
        <v>199</v>
      </c>
      <c r="BA1550" t="s">
        <v>313</v>
      </c>
      <c r="BB1550" t="s">
        <v>191</v>
      </c>
      <c r="BC1550" t="s">
        <v>182</v>
      </c>
      <c r="BD1550" t="s">
        <v>530</v>
      </c>
      <c r="BE1550" t="s">
        <v>383</v>
      </c>
      <c r="BF1550">
        <v>0</v>
      </c>
      <c r="BG1550">
        <v>0</v>
      </c>
      <c r="BH1550">
        <v>0</v>
      </c>
      <c r="BI1550" t="s">
        <v>199</v>
      </c>
      <c r="BJ1550" t="s">
        <v>248</v>
      </c>
      <c r="BL1550" t="s">
        <v>2939</v>
      </c>
      <c r="BM1550" t="s">
        <v>286</v>
      </c>
      <c r="BN1550" t="s">
        <v>182</v>
      </c>
      <c r="BO1550" t="s">
        <v>198</v>
      </c>
      <c r="BP1550" t="s">
        <v>198</v>
      </c>
      <c r="BQ1550" t="s">
        <v>198</v>
      </c>
      <c r="BR1550" t="s">
        <v>198</v>
      </c>
      <c r="BS1550" t="s">
        <v>198</v>
      </c>
      <c r="BT1550" t="s">
        <v>198</v>
      </c>
      <c r="BU1550" t="s">
        <v>182</v>
      </c>
      <c r="BV1550" t="s">
        <v>198</v>
      </c>
      <c r="BW1550" t="s">
        <v>198</v>
      </c>
      <c r="BX1550" t="s">
        <v>199</v>
      </c>
      <c r="BY1550" t="s">
        <v>198</v>
      </c>
      <c r="BZ1550" t="s">
        <v>199</v>
      </c>
      <c r="CA1550" t="s">
        <v>199</v>
      </c>
      <c r="CB1550" t="s">
        <v>19746</v>
      </c>
      <c r="CC1550" t="s">
        <v>201</v>
      </c>
      <c r="CD1550" t="s">
        <v>182</v>
      </c>
      <c r="CE1550" t="s">
        <v>19747</v>
      </c>
      <c r="CF1550" t="s">
        <v>5331</v>
      </c>
      <c r="CG1550" t="s">
        <v>177</v>
      </c>
      <c r="CH1550" t="s">
        <v>371</v>
      </c>
      <c r="CI1550" t="s">
        <v>19748</v>
      </c>
      <c r="CJ1550" t="s">
        <v>19749</v>
      </c>
      <c r="CK1550" t="s">
        <v>207</v>
      </c>
      <c r="CL1550" t="s">
        <v>208</v>
      </c>
      <c r="CM1550" t="s">
        <v>19750</v>
      </c>
      <c r="CN1550" t="s">
        <v>341</v>
      </c>
      <c r="CO1550" t="s">
        <v>183</v>
      </c>
      <c r="CP1550" t="s">
        <v>211</v>
      </c>
      <c r="CQ1550" t="s">
        <v>342</v>
      </c>
      <c r="CS1550" t="s">
        <v>19751</v>
      </c>
      <c r="DC1550" t="s">
        <v>198</v>
      </c>
      <c r="DM1550" t="s">
        <v>198</v>
      </c>
      <c r="DW1550" t="s">
        <v>198</v>
      </c>
      <c r="EG1550" t="s">
        <v>198</v>
      </c>
      <c r="EQ1550" t="s">
        <v>198</v>
      </c>
      <c r="FA1550" t="s">
        <v>198</v>
      </c>
      <c r="FK1550" t="s">
        <v>198</v>
      </c>
      <c r="FU1550" t="s">
        <v>198</v>
      </c>
    </row>
    <row r="1551" spans="1:177">
      <c r="A1551" s="1" t="str">
        <f>HYPERLINK("http://digipan.lumentumllc.com/apps/getLink/index.php?t=PropLink&amp;p=15754297","PL")</f>
        <v>PL</v>
      </c>
      <c r="B1551" s="1" t="str">
        <f>HYPERLINK("http://digipan.lumentumllc.com/apps/getLink/index.php?t=TaxLink&amp;p=15754297","TL")</f>
        <v>TL</v>
      </c>
      <c r="C1551" s="1" t="str">
        <f>HYPERLINK("http://digipan.lumentumllc.com/apps/getMap/index.php?p=15754297","Map")</f>
        <v>Map</v>
      </c>
      <c r="E1551" t="s">
        <v>177</v>
      </c>
      <c r="F1551" t="s">
        <v>178</v>
      </c>
      <c r="L1551" t="s">
        <v>19752</v>
      </c>
      <c r="N1551" t="s">
        <v>19752</v>
      </c>
      <c r="O1551" t="s">
        <v>19752</v>
      </c>
      <c r="Q1551" t="s">
        <v>19752</v>
      </c>
      <c r="V1551">
        <v>1781</v>
      </c>
      <c r="W1551">
        <v>6</v>
      </c>
      <c r="X1551">
        <v>2017</v>
      </c>
      <c r="Y1551">
        <v>2018</v>
      </c>
      <c r="Z1551">
        <v>2575.81</v>
      </c>
      <c r="AG1551" t="s">
        <v>184</v>
      </c>
      <c r="AH1551">
        <v>0</v>
      </c>
      <c r="AK1551">
        <v>0</v>
      </c>
      <c r="AL1551">
        <v>155371</v>
      </c>
      <c r="AM1551">
        <v>45000</v>
      </c>
      <c r="AN1551">
        <v>110371</v>
      </c>
      <c r="AO1551">
        <v>2146</v>
      </c>
      <c r="AP1551">
        <v>2016</v>
      </c>
      <c r="AQ1551">
        <v>1.66</v>
      </c>
      <c r="AS1551" t="s">
        <v>19753</v>
      </c>
      <c r="AT1551" t="s">
        <v>15040</v>
      </c>
      <c r="AU1551" t="s">
        <v>177</v>
      </c>
      <c r="AV1551" t="s">
        <v>371</v>
      </c>
      <c r="AW1551" t="s">
        <v>182</v>
      </c>
      <c r="AX1551">
        <v>1</v>
      </c>
      <c r="AY1551" t="s">
        <v>188</v>
      </c>
      <c r="AZ1551" t="s">
        <v>206</v>
      </c>
      <c r="BA1551" t="s">
        <v>355</v>
      </c>
      <c r="BB1551" t="s">
        <v>191</v>
      </c>
      <c r="BC1551" t="s">
        <v>182</v>
      </c>
      <c r="BD1551" t="s">
        <v>2072</v>
      </c>
      <c r="BE1551" t="s">
        <v>6618</v>
      </c>
      <c r="BF1551">
        <v>1</v>
      </c>
      <c r="BG1551">
        <v>1</v>
      </c>
      <c r="BH1551">
        <v>1961</v>
      </c>
      <c r="BI1551" t="s">
        <v>5949</v>
      </c>
      <c r="BJ1551" t="s">
        <v>194</v>
      </c>
      <c r="BK1551" t="s">
        <v>195</v>
      </c>
      <c r="BL1551" t="s">
        <v>12190</v>
      </c>
      <c r="BM1551" t="s">
        <v>232</v>
      </c>
      <c r="BN1551" t="s">
        <v>182</v>
      </c>
      <c r="BO1551" t="s">
        <v>1710</v>
      </c>
      <c r="BP1551" t="s">
        <v>19754</v>
      </c>
      <c r="BQ1551" t="s">
        <v>603</v>
      </c>
      <c r="BR1551" t="s">
        <v>9589</v>
      </c>
      <c r="BS1551" t="s">
        <v>198</v>
      </c>
      <c r="BT1551" t="s">
        <v>228</v>
      </c>
      <c r="BU1551" t="s">
        <v>182</v>
      </c>
      <c r="BV1551" t="s">
        <v>198</v>
      </c>
      <c r="BW1551" t="s">
        <v>198</v>
      </c>
      <c r="BX1551" t="s">
        <v>199</v>
      </c>
      <c r="BY1551" t="s">
        <v>198</v>
      </c>
      <c r="BZ1551" t="s">
        <v>199</v>
      </c>
      <c r="CA1551" t="s">
        <v>199</v>
      </c>
      <c r="CB1551" t="s">
        <v>19755</v>
      </c>
      <c r="CC1551" t="s">
        <v>201</v>
      </c>
      <c r="CD1551" t="s">
        <v>202</v>
      </c>
      <c r="CE1551" t="s">
        <v>19756</v>
      </c>
      <c r="CF1551" t="s">
        <v>5331</v>
      </c>
      <c r="CG1551" t="s">
        <v>177</v>
      </c>
      <c r="CH1551" t="s">
        <v>371</v>
      </c>
      <c r="CI1551" t="s">
        <v>19757</v>
      </c>
      <c r="CS1551" t="s">
        <v>198</v>
      </c>
      <c r="DC1551" t="s">
        <v>198</v>
      </c>
      <c r="DM1551" t="s">
        <v>198</v>
      </c>
      <c r="DW1551" t="s">
        <v>198</v>
      </c>
      <c r="EG1551" t="s">
        <v>198</v>
      </c>
      <c r="EQ1551" t="s">
        <v>198</v>
      </c>
      <c r="FA1551" t="s">
        <v>198</v>
      </c>
      <c r="FK1551" t="s">
        <v>198</v>
      </c>
      <c r="FU1551" t="s">
        <v>198</v>
      </c>
    </row>
    <row r="1552" spans="1:177">
      <c r="A1552" s="1" t="str">
        <f>HYPERLINK("http://digipan.lumentumllc.com/apps/getLink/index.php?t=PropLink&amp;p=15754303","PL")</f>
        <v>PL</v>
      </c>
      <c r="B1552" s="1" t="str">
        <f>HYPERLINK("http://digipan.lumentumllc.com/apps/getLink/index.php?t=TaxLink&amp;p=15754303","TL")</f>
        <v>TL</v>
      </c>
      <c r="C1552" s="1" t="str">
        <f>HYPERLINK("http://digipan.lumentumllc.com/apps/getMap/index.php?p=15754303","Map")</f>
        <v>Map</v>
      </c>
      <c r="E1552" t="s">
        <v>177</v>
      </c>
      <c r="F1552" t="s">
        <v>178</v>
      </c>
      <c r="L1552" t="s">
        <v>19758</v>
      </c>
      <c r="N1552" t="s">
        <v>19758</v>
      </c>
      <c r="O1552" t="s">
        <v>19758</v>
      </c>
      <c r="Q1552" t="s">
        <v>19758</v>
      </c>
      <c r="V1552">
        <v>1783</v>
      </c>
      <c r="W1552">
        <v>6</v>
      </c>
      <c r="X1552">
        <v>2017</v>
      </c>
      <c r="Y1552">
        <v>2018</v>
      </c>
      <c r="Z1552">
        <v>1963.66</v>
      </c>
      <c r="AG1552" t="s">
        <v>184</v>
      </c>
      <c r="AH1552">
        <v>0</v>
      </c>
      <c r="AK1552">
        <v>0</v>
      </c>
      <c r="AL1552">
        <v>117981</v>
      </c>
      <c r="AM1552">
        <v>33000</v>
      </c>
      <c r="AN1552">
        <v>84981</v>
      </c>
      <c r="AO1552">
        <v>939</v>
      </c>
      <c r="AP1552">
        <v>2016</v>
      </c>
      <c r="AQ1552">
        <v>1.66</v>
      </c>
      <c r="AS1552" t="s">
        <v>19759</v>
      </c>
      <c r="AT1552" t="s">
        <v>15040</v>
      </c>
      <c r="AU1552" t="s">
        <v>177</v>
      </c>
      <c r="AV1552" t="s">
        <v>371</v>
      </c>
      <c r="AW1552" t="s">
        <v>182</v>
      </c>
      <c r="AX1552">
        <v>1</v>
      </c>
      <c r="AY1552" t="s">
        <v>188</v>
      </c>
      <c r="AZ1552" t="s">
        <v>206</v>
      </c>
      <c r="BA1552" t="s">
        <v>355</v>
      </c>
      <c r="BB1552" t="s">
        <v>191</v>
      </c>
      <c r="BC1552" t="s">
        <v>182</v>
      </c>
      <c r="BD1552" t="s">
        <v>182</v>
      </c>
      <c r="BE1552" t="s">
        <v>1912</v>
      </c>
      <c r="BF1552">
        <v>1</v>
      </c>
      <c r="BG1552">
        <v>1</v>
      </c>
      <c r="BH1552">
        <v>1978</v>
      </c>
      <c r="BI1552" t="s">
        <v>2839</v>
      </c>
      <c r="BJ1552" t="s">
        <v>194</v>
      </c>
      <c r="BK1552" t="s">
        <v>195</v>
      </c>
      <c r="BL1552" t="s">
        <v>16732</v>
      </c>
      <c r="BM1552" t="s">
        <v>197</v>
      </c>
      <c r="BN1552" t="s">
        <v>182</v>
      </c>
      <c r="BO1552" t="s">
        <v>19760</v>
      </c>
      <c r="BP1552" t="s">
        <v>19761</v>
      </c>
      <c r="BQ1552" t="s">
        <v>581</v>
      </c>
      <c r="BR1552" t="s">
        <v>4682</v>
      </c>
      <c r="BS1552" t="s">
        <v>198</v>
      </c>
      <c r="BT1552" t="s">
        <v>19762</v>
      </c>
      <c r="BU1552" t="s">
        <v>182</v>
      </c>
      <c r="BV1552" t="s">
        <v>198</v>
      </c>
      <c r="BW1552" t="s">
        <v>198</v>
      </c>
      <c r="BX1552" t="s">
        <v>199</v>
      </c>
      <c r="BY1552" t="s">
        <v>198</v>
      </c>
      <c r="BZ1552" t="s">
        <v>199</v>
      </c>
      <c r="CA1552" t="s">
        <v>199</v>
      </c>
      <c r="CB1552" t="s">
        <v>19763</v>
      </c>
      <c r="CC1552" t="s">
        <v>201</v>
      </c>
      <c r="CD1552" t="s">
        <v>202</v>
      </c>
      <c r="CE1552" t="s">
        <v>19764</v>
      </c>
      <c r="CF1552" t="s">
        <v>5331</v>
      </c>
      <c r="CG1552" t="s">
        <v>177</v>
      </c>
      <c r="CH1552" t="s">
        <v>371</v>
      </c>
      <c r="CI1552" t="s">
        <v>1335</v>
      </c>
      <c r="CS1552" t="s">
        <v>198</v>
      </c>
      <c r="DC1552" t="s">
        <v>198</v>
      </c>
      <c r="DM1552" t="s">
        <v>198</v>
      </c>
      <c r="DW1552" t="s">
        <v>198</v>
      </c>
      <c r="EG1552" t="s">
        <v>198</v>
      </c>
      <c r="EQ1552" t="s">
        <v>198</v>
      </c>
      <c r="FA1552" t="s">
        <v>198</v>
      </c>
      <c r="FK1552" t="s">
        <v>198</v>
      </c>
      <c r="FU1552" t="s">
        <v>198</v>
      </c>
    </row>
    <row r="1553" spans="1:177">
      <c r="A1553" s="1" t="str">
        <f>HYPERLINK("http://digipan.lumentumllc.com/apps/getLink/index.php?t=PropLink&amp;p=5247192","PL")</f>
        <v>PL</v>
      </c>
      <c r="B1553" s="1" t="str">
        <f>HYPERLINK("http://digipan.lumentumllc.com/apps/getLink/index.php?t=TaxLink&amp;p=5247192","TL")</f>
        <v>TL</v>
      </c>
      <c r="C1553" s="1" t="str">
        <f>HYPERLINK("http://digipan.lumentumllc.com/apps/getMap/index.php?p=5247192","Map")</f>
        <v>Map</v>
      </c>
      <c r="E1553" t="s">
        <v>177</v>
      </c>
      <c r="F1553" t="s">
        <v>178</v>
      </c>
      <c r="L1553" t="s">
        <v>19765</v>
      </c>
      <c r="N1553" t="s">
        <v>19765</v>
      </c>
      <c r="O1553" t="s">
        <v>19765</v>
      </c>
      <c r="P1553" t="s">
        <v>19766</v>
      </c>
      <c r="Q1553" t="s">
        <v>19765</v>
      </c>
      <c r="V1553">
        <v>1784</v>
      </c>
      <c r="W1553">
        <v>6</v>
      </c>
      <c r="X1553">
        <v>2017</v>
      </c>
      <c r="Y1553">
        <v>2018</v>
      </c>
      <c r="Z1553">
        <v>617.41999999999996</v>
      </c>
      <c r="AB1553" t="s">
        <v>181</v>
      </c>
      <c r="AC1553" t="s">
        <v>202</v>
      </c>
      <c r="AD1553" t="s">
        <v>183</v>
      </c>
      <c r="AE1553">
        <v>0</v>
      </c>
      <c r="AF1553">
        <v>4</v>
      </c>
      <c r="AG1553" t="s">
        <v>381</v>
      </c>
      <c r="AH1553">
        <v>100</v>
      </c>
      <c r="AK1553">
        <v>0</v>
      </c>
      <c r="AL1553">
        <v>39000</v>
      </c>
      <c r="AM1553">
        <v>36000</v>
      </c>
      <c r="AN1553">
        <v>3000</v>
      </c>
      <c r="AO1553">
        <v>480</v>
      </c>
      <c r="AP1553">
        <v>2016</v>
      </c>
      <c r="AQ1553">
        <v>1.58</v>
      </c>
      <c r="AS1553" t="s">
        <v>19767</v>
      </c>
      <c r="AT1553" t="s">
        <v>15040</v>
      </c>
      <c r="AU1553" t="s">
        <v>177</v>
      </c>
      <c r="AV1553" t="s">
        <v>371</v>
      </c>
      <c r="AW1553" t="s">
        <v>182</v>
      </c>
      <c r="AX1553">
        <v>0</v>
      </c>
      <c r="AY1553" t="s">
        <v>312</v>
      </c>
      <c r="AZ1553" t="s">
        <v>199</v>
      </c>
      <c r="BA1553" t="s">
        <v>313</v>
      </c>
      <c r="BB1553" t="s">
        <v>191</v>
      </c>
      <c r="BC1553" t="s">
        <v>182</v>
      </c>
      <c r="BD1553" t="s">
        <v>182</v>
      </c>
      <c r="BE1553" t="s">
        <v>7278</v>
      </c>
      <c r="BF1553">
        <v>0</v>
      </c>
      <c r="BG1553">
        <v>0</v>
      </c>
      <c r="BH1553">
        <v>0</v>
      </c>
      <c r="BI1553" t="s">
        <v>199</v>
      </c>
      <c r="BJ1553" t="s">
        <v>248</v>
      </c>
      <c r="BL1553" t="s">
        <v>199</v>
      </c>
      <c r="BM1553" t="s">
        <v>302</v>
      </c>
      <c r="BN1553" t="s">
        <v>182</v>
      </c>
      <c r="BO1553" t="s">
        <v>198</v>
      </c>
      <c r="BP1553" t="s">
        <v>198</v>
      </c>
      <c r="BQ1553" t="s">
        <v>198</v>
      </c>
      <c r="BR1553" t="s">
        <v>198</v>
      </c>
      <c r="BS1553" t="s">
        <v>198</v>
      </c>
      <c r="BT1553" t="s">
        <v>198</v>
      </c>
      <c r="BU1553" t="s">
        <v>182</v>
      </c>
      <c r="BV1553" t="s">
        <v>198</v>
      </c>
      <c r="BW1553" t="s">
        <v>198</v>
      </c>
      <c r="BX1553" t="s">
        <v>199</v>
      </c>
      <c r="BY1553" t="s">
        <v>198</v>
      </c>
      <c r="BZ1553" t="s">
        <v>199</v>
      </c>
      <c r="CA1553" t="s">
        <v>199</v>
      </c>
      <c r="CB1553" t="s">
        <v>19768</v>
      </c>
      <c r="CC1553" t="s">
        <v>201</v>
      </c>
      <c r="CD1553" t="s">
        <v>182</v>
      </c>
      <c r="CE1553" t="s">
        <v>19764</v>
      </c>
      <c r="CF1553" t="s">
        <v>5331</v>
      </c>
      <c r="CG1553" t="s">
        <v>177</v>
      </c>
      <c r="CH1553" t="s">
        <v>371</v>
      </c>
      <c r="CI1553" t="s">
        <v>1364</v>
      </c>
      <c r="CJ1553" t="s">
        <v>17102</v>
      </c>
      <c r="CK1553" t="s">
        <v>232</v>
      </c>
      <c r="CL1553" t="s">
        <v>233</v>
      </c>
      <c r="CM1553" t="s">
        <v>19769</v>
      </c>
      <c r="CN1553" t="s">
        <v>235</v>
      </c>
      <c r="CO1553" t="s">
        <v>183</v>
      </c>
      <c r="CP1553" t="s">
        <v>211</v>
      </c>
      <c r="CQ1553" t="s">
        <v>296</v>
      </c>
      <c r="CS1553" t="s">
        <v>19770</v>
      </c>
      <c r="CT1553" t="s">
        <v>11109</v>
      </c>
      <c r="CU1553" t="s">
        <v>292</v>
      </c>
      <c r="CV1553" t="s">
        <v>293</v>
      </c>
      <c r="CW1553" t="s">
        <v>12408</v>
      </c>
      <c r="CX1553" t="s">
        <v>333</v>
      </c>
      <c r="CY1553" t="s">
        <v>183</v>
      </c>
      <c r="CZ1553" t="s">
        <v>211</v>
      </c>
      <c r="DA1553" t="s">
        <v>444</v>
      </c>
      <c r="DC1553" t="s">
        <v>19770</v>
      </c>
      <c r="DD1553" t="s">
        <v>9977</v>
      </c>
      <c r="DE1553" t="s">
        <v>267</v>
      </c>
      <c r="DF1553" t="s">
        <v>268</v>
      </c>
      <c r="DG1553" t="s">
        <v>11412</v>
      </c>
      <c r="DH1553" t="s">
        <v>1164</v>
      </c>
      <c r="DI1553" t="s">
        <v>183</v>
      </c>
      <c r="DJ1553" t="s">
        <v>211</v>
      </c>
      <c r="DK1553" t="s">
        <v>635</v>
      </c>
      <c r="DM1553" t="s">
        <v>19770</v>
      </c>
      <c r="DN1553" t="s">
        <v>18032</v>
      </c>
      <c r="DO1553" t="s">
        <v>207</v>
      </c>
      <c r="DP1553" t="s">
        <v>208</v>
      </c>
      <c r="DQ1553" t="s">
        <v>19771</v>
      </c>
      <c r="DR1553" t="s">
        <v>482</v>
      </c>
      <c r="DS1553" t="s">
        <v>183</v>
      </c>
      <c r="DT1553" t="s">
        <v>211</v>
      </c>
      <c r="DU1553" t="s">
        <v>212</v>
      </c>
      <c r="DV1553" t="s">
        <v>271</v>
      </c>
      <c r="DW1553" t="s">
        <v>8432</v>
      </c>
      <c r="EG1553" t="s">
        <v>198</v>
      </c>
      <c r="EQ1553" t="s">
        <v>198</v>
      </c>
      <c r="FA1553" t="s">
        <v>198</v>
      </c>
      <c r="FK1553" t="s">
        <v>198</v>
      </c>
      <c r="FU1553" t="s">
        <v>198</v>
      </c>
    </row>
    <row r="1554" spans="1:177">
      <c r="A1554" s="1" t="str">
        <f>HYPERLINK("http://digipan.lumentumllc.com/apps/getLink/index.php?t=PropLink&amp;p=7112509","PL")</f>
        <v>PL</v>
      </c>
      <c r="B1554" s="1" t="str">
        <f>HYPERLINK("http://digipan.lumentumllc.com/apps/getLink/index.php?t=TaxLink&amp;p=7112509","TL")</f>
        <v>TL</v>
      </c>
      <c r="C1554" s="1" t="str">
        <f>HYPERLINK("http://digipan.lumentumllc.com/apps/getMap/index.php?p=7112509","Map")</f>
        <v>Map</v>
      </c>
      <c r="E1554" t="s">
        <v>177</v>
      </c>
      <c r="F1554" t="s">
        <v>178</v>
      </c>
      <c r="L1554" t="s">
        <v>19772</v>
      </c>
      <c r="N1554" t="s">
        <v>19772</v>
      </c>
      <c r="O1554" t="s">
        <v>19772</v>
      </c>
      <c r="P1554" t="s">
        <v>19773</v>
      </c>
      <c r="Q1554" t="s">
        <v>19772</v>
      </c>
      <c r="V1554">
        <v>1785</v>
      </c>
      <c r="W1554">
        <v>6</v>
      </c>
      <c r="X1554">
        <v>2017</v>
      </c>
      <c r="Y1554">
        <v>2018</v>
      </c>
      <c r="Z1554">
        <v>1359.81</v>
      </c>
      <c r="AB1554" t="s">
        <v>181</v>
      </c>
      <c r="AC1554" t="s">
        <v>182</v>
      </c>
      <c r="AD1554" t="s">
        <v>183</v>
      </c>
      <c r="AE1554">
        <v>2</v>
      </c>
      <c r="AF1554">
        <v>0</v>
      </c>
      <c r="AG1554" t="s">
        <v>1737</v>
      </c>
      <c r="AH1554">
        <v>0</v>
      </c>
      <c r="AI1554">
        <v>1148.47</v>
      </c>
      <c r="AJ1554">
        <v>57.42</v>
      </c>
      <c r="AK1554">
        <v>1205.8900000000001</v>
      </c>
      <c r="AL1554">
        <v>81099</v>
      </c>
      <c r="AM1554">
        <v>67750</v>
      </c>
      <c r="AN1554">
        <v>13349</v>
      </c>
      <c r="AO1554">
        <v>502</v>
      </c>
      <c r="AP1554">
        <v>2016</v>
      </c>
      <c r="AQ1554">
        <v>1.68</v>
      </c>
      <c r="AR1554">
        <v>1.49</v>
      </c>
      <c r="AS1554" t="s">
        <v>19774</v>
      </c>
      <c r="AT1554" t="s">
        <v>15040</v>
      </c>
      <c r="AU1554" t="s">
        <v>177</v>
      </c>
      <c r="AV1554" t="s">
        <v>371</v>
      </c>
      <c r="AW1554" t="s">
        <v>182</v>
      </c>
      <c r="AX1554">
        <v>2</v>
      </c>
      <c r="AY1554" t="s">
        <v>188</v>
      </c>
      <c r="AZ1554" t="s">
        <v>189</v>
      </c>
      <c r="BA1554" t="s">
        <v>190</v>
      </c>
      <c r="BB1554" t="s">
        <v>191</v>
      </c>
      <c r="BC1554" t="s">
        <v>182</v>
      </c>
      <c r="BD1554" t="s">
        <v>182</v>
      </c>
      <c r="BE1554" t="s">
        <v>19775</v>
      </c>
      <c r="BF1554">
        <v>1</v>
      </c>
      <c r="BG1554">
        <v>1</v>
      </c>
      <c r="BH1554">
        <v>1974</v>
      </c>
      <c r="BI1554" t="s">
        <v>17414</v>
      </c>
      <c r="BJ1554" t="s">
        <v>194</v>
      </c>
      <c r="BK1554" t="s">
        <v>195</v>
      </c>
      <c r="BL1554" t="s">
        <v>9859</v>
      </c>
      <c r="BM1554" t="s">
        <v>1332</v>
      </c>
      <c r="BN1554" t="s">
        <v>182</v>
      </c>
      <c r="BO1554" t="s">
        <v>17209</v>
      </c>
      <c r="BP1554" t="s">
        <v>19776</v>
      </c>
      <c r="BS1554" t="s">
        <v>19777</v>
      </c>
      <c r="BT1554" t="s">
        <v>198</v>
      </c>
      <c r="BU1554" t="s">
        <v>182</v>
      </c>
      <c r="BV1554" t="s">
        <v>198</v>
      </c>
      <c r="BW1554" t="s">
        <v>198</v>
      </c>
      <c r="BX1554" t="s">
        <v>199</v>
      </c>
      <c r="BY1554" t="s">
        <v>198</v>
      </c>
      <c r="BZ1554" t="s">
        <v>199</v>
      </c>
      <c r="CA1554" t="s">
        <v>199</v>
      </c>
      <c r="CB1554" t="s">
        <v>19778</v>
      </c>
      <c r="CC1554" t="s">
        <v>201</v>
      </c>
      <c r="CD1554" t="s">
        <v>182</v>
      </c>
      <c r="CE1554" t="s">
        <v>19779</v>
      </c>
      <c r="CF1554" t="s">
        <v>5331</v>
      </c>
      <c r="CG1554" t="s">
        <v>177</v>
      </c>
      <c r="CH1554" t="s">
        <v>371</v>
      </c>
      <c r="CI1554" t="s">
        <v>19780</v>
      </c>
      <c r="CJ1554" t="s">
        <v>736</v>
      </c>
      <c r="CK1554" t="s">
        <v>232</v>
      </c>
      <c r="CL1554" t="s">
        <v>233</v>
      </c>
      <c r="CM1554" t="s">
        <v>19781</v>
      </c>
      <c r="CN1554" t="s">
        <v>235</v>
      </c>
      <c r="CO1554" t="s">
        <v>183</v>
      </c>
      <c r="CP1554" t="s">
        <v>266</v>
      </c>
      <c r="CS1554" t="s">
        <v>198</v>
      </c>
      <c r="CT1554" t="s">
        <v>17913</v>
      </c>
      <c r="CU1554" t="s">
        <v>292</v>
      </c>
      <c r="CV1554" t="s">
        <v>293</v>
      </c>
      <c r="CW1554" t="s">
        <v>6317</v>
      </c>
      <c r="CX1554" t="s">
        <v>235</v>
      </c>
      <c r="CY1554" t="s">
        <v>183</v>
      </c>
      <c r="CZ1554" t="s">
        <v>266</v>
      </c>
      <c r="DC1554" t="s">
        <v>198</v>
      </c>
      <c r="DM1554" t="s">
        <v>198</v>
      </c>
      <c r="DW1554" t="s">
        <v>198</v>
      </c>
      <c r="EG1554" t="s">
        <v>198</v>
      </c>
      <c r="EQ1554" t="s">
        <v>198</v>
      </c>
      <c r="FA1554" t="s">
        <v>198</v>
      </c>
      <c r="FK1554" t="s">
        <v>198</v>
      </c>
      <c r="FU1554" t="s">
        <v>198</v>
      </c>
    </row>
    <row r="1555" spans="1:177">
      <c r="A1555" s="1" t="str">
        <f>HYPERLINK("http://digipan.lumentumllc.com/apps/getLink/index.php?t=PropLink&amp;p=4638190","PL")</f>
        <v>PL</v>
      </c>
      <c r="B1555" s="1" t="str">
        <f>HYPERLINK("http://digipan.lumentumllc.com/apps/getLink/index.php?t=TaxLink&amp;p=4638190","TL")</f>
        <v>TL</v>
      </c>
      <c r="C1555" s="1" t="str">
        <f>HYPERLINK("http://digipan.lumentumllc.com/apps/getMap/index.php?p=4638190","Map")</f>
        <v>Map</v>
      </c>
      <c r="E1555" t="s">
        <v>177</v>
      </c>
      <c r="F1555" t="s">
        <v>178</v>
      </c>
      <c r="L1555" t="s">
        <v>19782</v>
      </c>
      <c r="N1555" t="s">
        <v>19782</v>
      </c>
      <c r="O1555" t="s">
        <v>19782</v>
      </c>
      <c r="P1555" t="s">
        <v>19783</v>
      </c>
      <c r="Q1555" t="s">
        <v>19782</v>
      </c>
      <c r="V1555">
        <v>1786</v>
      </c>
      <c r="W1555">
        <v>6</v>
      </c>
      <c r="X1555">
        <v>2017</v>
      </c>
      <c r="Y1555">
        <v>2018</v>
      </c>
      <c r="Z1555">
        <v>1684.29</v>
      </c>
      <c r="AB1555" t="s">
        <v>181</v>
      </c>
      <c r="AC1555" t="s">
        <v>182</v>
      </c>
      <c r="AD1555" t="s">
        <v>183</v>
      </c>
      <c r="AE1555">
        <v>0</v>
      </c>
      <c r="AF1555">
        <v>2</v>
      </c>
      <c r="AG1555" t="s">
        <v>821</v>
      </c>
      <c r="AH1555">
        <v>100</v>
      </c>
      <c r="AK1555">
        <v>0</v>
      </c>
      <c r="AL1555">
        <v>156210</v>
      </c>
      <c r="AM1555">
        <v>50000</v>
      </c>
      <c r="AN1555">
        <v>106210</v>
      </c>
      <c r="AO1555">
        <v>1518</v>
      </c>
      <c r="AP1555">
        <v>2016</v>
      </c>
      <c r="AQ1555">
        <v>1.08</v>
      </c>
      <c r="AS1555" t="s">
        <v>19784</v>
      </c>
      <c r="AT1555" t="s">
        <v>15040</v>
      </c>
      <c r="AU1555" t="s">
        <v>177</v>
      </c>
      <c r="AV1555" t="s">
        <v>371</v>
      </c>
      <c r="AW1555" t="s">
        <v>202</v>
      </c>
      <c r="AX1555">
        <v>1</v>
      </c>
      <c r="AY1555" t="s">
        <v>188</v>
      </c>
      <c r="AZ1555" t="s">
        <v>206</v>
      </c>
      <c r="BA1555" t="s">
        <v>355</v>
      </c>
      <c r="BB1555" t="s">
        <v>191</v>
      </c>
      <c r="BC1555" t="s">
        <v>182</v>
      </c>
      <c r="BD1555" t="s">
        <v>182</v>
      </c>
      <c r="BE1555" t="s">
        <v>365</v>
      </c>
      <c r="BF1555">
        <v>2</v>
      </c>
      <c r="BG1555">
        <v>2</v>
      </c>
      <c r="BH1555">
        <v>1978</v>
      </c>
      <c r="BI1555" t="s">
        <v>19785</v>
      </c>
      <c r="BJ1555" t="s">
        <v>194</v>
      </c>
      <c r="BK1555" t="s">
        <v>195</v>
      </c>
      <c r="BL1555" t="s">
        <v>19786</v>
      </c>
      <c r="BM1555" t="s">
        <v>1332</v>
      </c>
      <c r="BN1555" t="s">
        <v>182</v>
      </c>
      <c r="BO1555" t="s">
        <v>19787</v>
      </c>
      <c r="BP1555" t="s">
        <v>19788</v>
      </c>
      <c r="BQ1555" t="s">
        <v>603</v>
      </c>
      <c r="BR1555" t="s">
        <v>563</v>
      </c>
      <c r="BS1555" t="s">
        <v>198</v>
      </c>
      <c r="BT1555" t="s">
        <v>19789</v>
      </c>
      <c r="BU1555" t="s">
        <v>182</v>
      </c>
      <c r="BV1555" t="s">
        <v>198</v>
      </c>
      <c r="BW1555" t="s">
        <v>198</v>
      </c>
      <c r="BX1555" t="s">
        <v>199</v>
      </c>
      <c r="BY1555" t="s">
        <v>198</v>
      </c>
      <c r="BZ1555" t="s">
        <v>199</v>
      </c>
      <c r="CA1555" t="s">
        <v>199</v>
      </c>
      <c r="CB1555" t="s">
        <v>19790</v>
      </c>
      <c r="CC1555" t="s">
        <v>201</v>
      </c>
      <c r="CD1555" t="s">
        <v>182</v>
      </c>
      <c r="CE1555" t="s">
        <v>19791</v>
      </c>
      <c r="CF1555" t="s">
        <v>5331</v>
      </c>
      <c r="CG1555" t="s">
        <v>177</v>
      </c>
      <c r="CH1555" t="s">
        <v>371</v>
      </c>
      <c r="CI1555" t="s">
        <v>19792</v>
      </c>
      <c r="CJ1555" t="s">
        <v>754</v>
      </c>
      <c r="CK1555" t="s">
        <v>232</v>
      </c>
      <c r="CL1555" t="s">
        <v>233</v>
      </c>
      <c r="CM1555" t="s">
        <v>19793</v>
      </c>
      <c r="CN1555" t="s">
        <v>235</v>
      </c>
      <c r="CO1555" t="s">
        <v>183</v>
      </c>
      <c r="CP1555" t="s">
        <v>211</v>
      </c>
      <c r="CQ1555" t="s">
        <v>199</v>
      </c>
      <c r="CS1555" t="s">
        <v>7467</v>
      </c>
      <c r="CT1555" t="s">
        <v>18923</v>
      </c>
      <c r="CU1555" t="s">
        <v>207</v>
      </c>
      <c r="CV1555" t="s">
        <v>208</v>
      </c>
      <c r="CW1555" t="s">
        <v>19794</v>
      </c>
      <c r="CX1555" t="s">
        <v>235</v>
      </c>
      <c r="CY1555" t="s">
        <v>183</v>
      </c>
      <c r="CZ1555" t="s">
        <v>211</v>
      </c>
      <c r="DA1555" t="s">
        <v>206</v>
      </c>
      <c r="DC1555" t="s">
        <v>19795</v>
      </c>
      <c r="DM1555" t="s">
        <v>198</v>
      </c>
      <c r="DW1555" t="s">
        <v>198</v>
      </c>
      <c r="EG1555" t="s">
        <v>198</v>
      </c>
      <c r="EQ1555" t="s">
        <v>198</v>
      </c>
      <c r="FA1555" t="s">
        <v>198</v>
      </c>
      <c r="FK1555" t="s">
        <v>198</v>
      </c>
      <c r="FU1555" t="s">
        <v>198</v>
      </c>
    </row>
    <row r="1556" spans="1:177">
      <c r="A1556" s="1" t="str">
        <f>HYPERLINK("http://digipan.lumentumllc.com/apps/getLink/index.php?t=PropLink&amp;p=5247216","PL")</f>
        <v>PL</v>
      </c>
      <c r="B1556" s="1" t="str">
        <f>HYPERLINK("http://digipan.lumentumllc.com/apps/getLink/index.php?t=TaxLink&amp;p=5247216","TL")</f>
        <v>TL</v>
      </c>
      <c r="C1556" s="1" t="str">
        <f>HYPERLINK("http://digipan.lumentumllc.com/apps/getMap/index.php?p=5247216","Map")</f>
        <v>Map</v>
      </c>
      <c r="E1556" t="s">
        <v>177</v>
      </c>
      <c r="F1556" t="s">
        <v>178</v>
      </c>
      <c r="L1556" t="s">
        <v>19796</v>
      </c>
      <c r="N1556" t="s">
        <v>19796</v>
      </c>
      <c r="O1556" t="s">
        <v>19796</v>
      </c>
      <c r="P1556" t="s">
        <v>19797</v>
      </c>
      <c r="Q1556" t="s">
        <v>19796</v>
      </c>
      <c r="V1556">
        <v>1787</v>
      </c>
      <c r="W1556">
        <v>6</v>
      </c>
      <c r="X1556">
        <v>2017</v>
      </c>
      <c r="Y1556">
        <v>2018</v>
      </c>
      <c r="Z1556">
        <v>1335.33</v>
      </c>
      <c r="AB1556" t="s">
        <v>181</v>
      </c>
      <c r="AC1556" t="s">
        <v>182</v>
      </c>
      <c r="AD1556" t="s">
        <v>183</v>
      </c>
      <c r="AE1556">
        <v>0</v>
      </c>
      <c r="AF1556">
        <v>4</v>
      </c>
      <c r="AG1556" t="s">
        <v>381</v>
      </c>
      <c r="AH1556">
        <v>100</v>
      </c>
      <c r="AK1556">
        <v>0</v>
      </c>
      <c r="AL1556">
        <v>148189</v>
      </c>
      <c r="AM1556">
        <v>68750</v>
      </c>
      <c r="AN1556">
        <v>79439</v>
      </c>
      <c r="AO1556">
        <v>1100</v>
      </c>
      <c r="AP1556">
        <v>2016</v>
      </c>
      <c r="AQ1556">
        <v>0.9</v>
      </c>
      <c r="AS1556" t="s">
        <v>19798</v>
      </c>
      <c r="AT1556" t="s">
        <v>15040</v>
      </c>
      <c r="AU1556" t="s">
        <v>177</v>
      </c>
      <c r="AV1556" t="s">
        <v>371</v>
      </c>
      <c r="AW1556" t="s">
        <v>202</v>
      </c>
      <c r="AX1556">
        <v>1</v>
      </c>
      <c r="AY1556" t="s">
        <v>188</v>
      </c>
      <c r="AZ1556" t="s">
        <v>206</v>
      </c>
      <c r="BA1556" t="s">
        <v>355</v>
      </c>
      <c r="BB1556" t="s">
        <v>191</v>
      </c>
      <c r="BC1556" t="s">
        <v>182</v>
      </c>
      <c r="BD1556" t="s">
        <v>182</v>
      </c>
      <c r="BE1556" t="s">
        <v>3342</v>
      </c>
      <c r="BF1556">
        <v>1</v>
      </c>
      <c r="BG1556">
        <v>1</v>
      </c>
      <c r="BH1556">
        <v>1981</v>
      </c>
      <c r="BI1556" t="s">
        <v>4166</v>
      </c>
      <c r="BJ1556" t="s">
        <v>194</v>
      </c>
      <c r="BK1556" t="s">
        <v>195</v>
      </c>
      <c r="BL1556" t="s">
        <v>199</v>
      </c>
      <c r="BM1556" t="s">
        <v>679</v>
      </c>
      <c r="BN1556" t="s">
        <v>182</v>
      </c>
      <c r="BO1556" t="s">
        <v>198</v>
      </c>
      <c r="BP1556" t="s">
        <v>198</v>
      </c>
      <c r="BQ1556" t="s">
        <v>198</v>
      </c>
      <c r="BR1556" t="s">
        <v>198</v>
      </c>
      <c r="BS1556" t="s">
        <v>198</v>
      </c>
      <c r="BT1556" t="s">
        <v>198</v>
      </c>
      <c r="BU1556" t="s">
        <v>182</v>
      </c>
      <c r="BV1556" t="s">
        <v>198</v>
      </c>
      <c r="BW1556" t="s">
        <v>198</v>
      </c>
      <c r="BX1556" t="s">
        <v>199</v>
      </c>
      <c r="BY1556" t="s">
        <v>198</v>
      </c>
      <c r="BZ1556" t="s">
        <v>199</v>
      </c>
      <c r="CA1556" t="s">
        <v>199</v>
      </c>
      <c r="CB1556" t="s">
        <v>19799</v>
      </c>
      <c r="CC1556" t="s">
        <v>201</v>
      </c>
      <c r="CD1556" t="s">
        <v>182</v>
      </c>
      <c r="CE1556" t="s">
        <v>19800</v>
      </c>
      <c r="CF1556" t="s">
        <v>5331</v>
      </c>
      <c r="CG1556" t="s">
        <v>177</v>
      </c>
      <c r="CH1556" t="s">
        <v>371</v>
      </c>
      <c r="CI1556" t="s">
        <v>19801</v>
      </c>
      <c r="CJ1556" t="s">
        <v>18935</v>
      </c>
      <c r="CK1556" t="s">
        <v>267</v>
      </c>
      <c r="CL1556" t="s">
        <v>268</v>
      </c>
      <c r="CM1556" t="s">
        <v>19802</v>
      </c>
      <c r="CN1556" t="s">
        <v>235</v>
      </c>
      <c r="CO1556" t="s">
        <v>183</v>
      </c>
      <c r="CP1556" t="s">
        <v>211</v>
      </c>
      <c r="CQ1556" t="s">
        <v>339</v>
      </c>
      <c r="CS1556" t="s">
        <v>17567</v>
      </c>
      <c r="CT1556" t="s">
        <v>8405</v>
      </c>
      <c r="CU1556" t="s">
        <v>302</v>
      </c>
      <c r="CV1556" t="s">
        <v>303</v>
      </c>
      <c r="CW1556" t="s">
        <v>19803</v>
      </c>
      <c r="CX1556" t="s">
        <v>235</v>
      </c>
      <c r="CY1556" t="s">
        <v>183</v>
      </c>
      <c r="CZ1556" t="s">
        <v>211</v>
      </c>
      <c r="DA1556" t="s">
        <v>342</v>
      </c>
      <c r="DC1556" t="s">
        <v>3825</v>
      </c>
      <c r="DD1556" t="s">
        <v>6956</v>
      </c>
      <c r="DE1556" t="s">
        <v>238</v>
      </c>
      <c r="DF1556" t="s">
        <v>239</v>
      </c>
      <c r="DG1556" t="s">
        <v>19804</v>
      </c>
      <c r="DH1556" t="s">
        <v>235</v>
      </c>
      <c r="DI1556" t="s">
        <v>183</v>
      </c>
      <c r="DJ1556" t="s">
        <v>211</v>
      </c>
      <c r="DK1556" t="s">
        <v>290</v>
      </c>
      <c r="DM1556" t="s">
        <v>5469</v>
      </c>
      <c r="DN1556" t="s">
        <v>18044</v>
      </c>
      <c r="DO1556" t="s">
        <v>207</v>
      </c>
      <c r="DP1556" t="s">
        <v>208</v>
      </c>
      <c r="DQ1556" t="s">
        <v>19805</v>
      </c>
      <c r="DR1556" t="s">
        <v>235</v>
      </c>
      <c r="DS1556" t="s">
        <v>183</v>
      </c>
      <c r="DT1556" t="s">
        <v>211</v>
      </c>
      <c r="DU1556" t="s">
        <v>212</v>
      </c>
      <c r="DW1556" t="s">
        <v>18891</v>
      </c>
      <c r="EG1556" t="s">
        <v>198</v>
      </c>
      <c r="EQ1556" t="s">
        <v>198</v>
      </c>
      <c r="FA1556" t="s">
        <v>198</v>
      </c>
      <c r="FK1556" t="s">
        <v>198</v>
      </c>
      <c r="FU1556" t="s">
        <v>198</v>
      </c>
    </row>
    <row r="1557" spans="1:177">
      <c r="A1557" s="1" t="str">
        <f>HYPERLINK("http://digipan.lumentumllc.com/apps/getLink/index.php?t=PropLink&amp;p=15754462","PL")</f>
        <v>PL</v>
      </c>
      <c r="B1557" s="1" t="str">
        <f>HYPERLINK("http://digipan.lumentumllc.com/apps/getLink/index.php?t=TaxLink&amp;p=15754462","TL")</f>
        <v>TL</v>
      </c>
      <c r="C1557" s="1" t="str">
        <f>HYPERLINK("http://digipan.lumentumllc.com/apps/getMap/index.php?p=15754462","Map")</f>
        <v>Map</v>
      </c>
      <c r="E1557" t="s">
        <v>177</v>
      </c>
      <c r="F1557" t="s">
        <v>178</v>
      </c>
      <c r="L1557" t="s">
        <v>19806</v>
      </c>
      <c r="N1557" t="s">
        <v>19806</v>
      </c>
      <c r="O1557" t="s">
        <v>19806</v>
      </c>
      <c r="Q1557" t="s">
        <v>19806</v>
      </c>
      <c r="V1557">
        <v>1788</v>
      </c>
      <c r="W1557">
        <v>6</v>
      </c>
      <c r="X1557">
        <v>2017</v>
      </c>
      <c r="Y1557">
        <v>2018</v>
      </c>
      <c r="Z1557">
        <v>1487.81</v>
      </c>
      <c r="AG1557" t="s">
        <v>184</v>
      </c>
      <c r="AH1557">
        <v>0</v>
      </c>
      <c r="AK1557">
        <v>0</v>
      </c>
      <c r="AL1557">
        <v>132453</v>
      </c>
      <c r="AM1557">
        <v>37500</v>
      </c>
      <c r="AN1557">
        <v>94953</v>
      </c>
      <c r="AO1557">
        <v>0</v>
      </c>
      <c r="AP1557">
        <v>0</v>
      </c>
      <c r="AQ1557">
        <v>1.1200000000000001</v>
      </c>
      <c r="AS1557" t="s">
        <v>19807</v>
      </c>
      <c r="AT1557" t="s">
        <v>15040</v>
      </c>
      <c r="AU1557" t="s">
        <v>177</v>
      </c>
      <c r="AV1557" t="s">
        <v>371</v>
      </c>
      <c r="AW1557" t="s">
        <v>202</v>
      </c>
      <c r="AX1557">
        <v>1</v>
      </c>
      <c r="AY1557" t="s">
        <v>188</v>
      </c>
      <c r="AZ1557" t="s">
        <v>206</v>
      </c>
      <c r="BA1557" t="s">
        <v>355</v>
      </c>
      <c r="BB1557" t="s">
        <v>191</v>
      </c>
      <c r="BC1557" t="s">
        <v>182</v>
      </c>
      <c r="BD1557" t="s">
        <v>182</v>
      </c>
      <c r="BE1557" t="s">
        <v>2589</v>
      </c>
      <c r="BF1557">
        <v>1</v>
      </c>
      <c r="BG1557">
        <v>1</v>
      </c>
      <c r="BH1557">
        <v>1986</v>
      </c>
      <c r="BI1557" t="s">
        <v>19263</v>
      </c>
      <c r="BJ1557" t="s">
        <v>194</v>
      </c>
      <c r="BK1557" t="s">
        <v>195</v>
      </c>
      <c r="BL1557" t="s">
        <v>199</v>
      </c>
      <c r="BM1557" t="s">
        <v>292</v>
      </c>
      <c r="BN1557" t="s">
        <v>182</v>
      </c>
      <c r="BO1557" t="s">
        <v>198</v>
      </c>
      <c r="BP1557" t="s">
        <v>198</v>
      </c>
      <c r="BQ1557" t="s">
        <v>198</v>
      </c>
      <c r="BR1557" t="s">
        <v>198</v>
      </c>
      <c r="BS1557" t="s">
        <v>198</v>
      </c>
      <c r="BT1557" t="s">
        <v>198</v>
      </c>
      <c r="BU1557" t="s">
        <v>182</v>
      </c>
      <c r="BV1557" t="s">
        <v>198</v>
      </c>
      <c r="BW1557" t="s">
        <v>198</v>
      </c>
      <c r="BX1557" t="s">
        <v>199</v>
      </c>
      <c r="BY1557" t="s">
        <v>198</v>
      </c>
      <c r="BZ1557" t="s">
        <v>199</v>
      </c>
      <c r="CA1557" t="s">
        <v>199</v>
      </c>
      <c r="CB1557" t="s">
        <v>19808</v>
      </c>
      <c r="CC1557" t="s">
        <v>201</v>
      </c>
      <c r="CD1557" t="s">
        <v>202</v>
      </c>
      <c r="CE1557" t="s">
        <v>19809</v>
      </c>
      <c r="CF1557" t="s">
        <v>5331</v>
      </c>
      <c r="CG1557" t="s">
        <v>177</v>
      </c>
      <c r="CH1557" t="s">
        <v>371</v>
      </c>
      <c r="CI1557" t="s">
        <v>19810</v>
      </c>
      <c r="CS1557" t="s">
        <v>198</v>
      </c>
      <c r="DC1557" t="s">
        <v>198</v>
      </c>
      <c r="DM1557" t="s">
        <v>198</v>
      </c>
      <c r="DW1557" t="s">
        <v>198</v>
      </c>
      <c r="EG1557" t="s">
        <v>198</v>
      </c>
      <c r="EQ1557" t="s">
        <v>198</v>
      </c>
      <c r="FA1557" t="s">
        <v>198</v>
      </c>
      <c r="FK1557" t="s">
        <v>198</v>
      </c>
      <c r="FU1557" t="s">
        <v>198</v>
      </c>
    </row>
    <row r="1558" spans="1:177">
      <c r="A1558" s="1" t="str">
        <f>HYPERLINK("http://digipan.lumentumllc.com/apps/getLink/index.php?t=PropLink&amp;p=5247217","PL")</f>
        <v>PL</v>
      </c>
      <c r="B1558" s="1" t="str">
        <f>HYPERLINK("http://digipan.lumentumllc.com/apps/getLink/index.php?t=TaxLink&amp;p=5247217","TL")</f>
        <v>TL</v>
      </c>
      <c r="C1558" s="1" t="str">
        <f>HYPERLINK("http://digipan.lumentumllc.com/apps/getMap/index.php?p=5247217","Map")</f>
        <v>Map</v>
      </c>
      <c r="E1558" t="s">
        <v>177</v>
      </c>
      <c r="F1558" t="s">
        <v>178</v>
      </c>
      <c r="L1558" t="s">
        <v>19811</v>
      </c>
      <c r="N1558" t="s">
        <v>19811</v>
      </c>
      <c r="O1558" t="s">
        <v>19811</v>
      </c>
      <c r="P1558" t="s">
        <v>19812</v>
      </c>
      <c r="Q1558" t="s">
        <v>19811</v>
      </c>
      <c r="V1558">
        <v>1789</v>
      </c>
      <c r="W1558">
        <v>6</v>
      </c>
      <c r="X1558">
        <v>2017</v>
      </c>
      <c r="Y1558">
        <v>2018</v>
      </c>
      <c r="Z1558">
        <v>561.58000000000004</v>
      </c>
      <c r="AB1558" t="s">
        <v>181</v>
      </c>
      <c r="AC1558" t="s">
        <v>182</v>
      </c>
      <c r="AD1558" t="s">
        <v>183</v>
      </c>
      <c r="AE1558">
        <v>0</v>
      </c>
      <c r="AF1558">
        <v>6</v>
      </c>
      <c r="AG1558" t="s">
        <v>528</v>
      </c>
      <c r="AH1558">
        <v>100</v>
      </c>
      <c r="AK1558">
        <v>0</v>
      </c>
      <c r="AL1558">
        <v>90938</v>
      </c>
      <c r="AM1558">
        <v>75000</v>
      </c>
      <c r="AN1558">
        <v>15938</v>
      </c>
      <c r="AO1558">
        <v>490</v>
      </c>
      <c r="AP1558">
        <v>2016</v>
      </c>
      <c r="AQ1558">
        <v>0.62</v>
      </c>
      <c r="AS1558" t="s">
        <v>19813</v>
      </c>
      <c r="AT1558" t="s">
        <v>15040</v>
      </c>
      <c r="AU1558" t="s">
        <v>177</v>
      </c>
      <c r="AV1558" t="s">
        <v>371</v>
      </c>
      <c r="AW1558" t="s">
        <v>202</v>
      </c>
      <c r="AX1558">
        <v>2</v>
      </c>
      <c r="AY1558" t="s">
        <v>188</v>
      </c>
      <c r="AZ1558" t="s">
        <v>189</v>
      </c>
      <c r="BA1558" t="s">
        <v>190</v>
      </c>
      <c r="BB1558" t="s">
        <v>191</v>
      </c>
      <c r="BC1558" t="s">
        <v>182</v>
      </c>
      <c r="BD1558" t="s">
        <v>182</v>
      </c>
      <c r="BE1558" t="s">
        <v>796</v>
      </c>
      <c r="BF1558">
        <v>1</v>
      </c>
      <c r="BG1558">
        <v>1</v>
      </c>
      <c r="BH1558">
        <v>1981</v>
      </c>
      <c r="BI1558" t="s">
        <v>2762</v>
      </c>
      <c r="BJ1558" t="s">
        <v>194</v>
      </c>
      <c r="BK1558" t="s">
        <v>195</v>
      </c>
      <c r="BL1558" t="s">
        <v>7671</v>
      </c>
      <c r="BM1558" t="s">
        <v>207</v>
      </c>
      <c r="BN1558" t="s">
        <v>182</v>
      </c>
      <c r="BO1558" t="s">
        <v>19814</v>
      </c>
      <c r="BP1558" t="s">
        <v>19815</v>
      </c>
      <c r="BS1558" t="s">
        <v>19816</v>
      </c>
      <c r="BT1558" t="s">
        <v>198</v>
      </c>
      <c r="BU1558" t="s">
        <v>182</v>
      </c>
      <c r="BV1558" t="s">
        <v>198</v>
      </c>
      <c r="BW1558" t="s">
        <v>198</v>
      </c>
      <c r="BX1558" t="s">
        <v>199</v>
      </c>
      <c r="BY1558" t="s">
        <v>198</v>
      </c>
      <c r="BZ1558" t="s">
        <v>199</v>
      </c>
      <c r="CA1558" t="s">
        <v>199</v>
      </c>
      <c r="CB1558" t="s">
        <v>19817</v>
      </c>
      <c r="CC1558" t="s">
        <v>201</v>
      </c>
      <c r="CD1558" t="s">
        <v>202</v>
      </c>
      <c r="CE1558" t="s">
        <v>19818</v>
      </c>
      <c r="CF1558" t="s">
        <v>5331</v>
      </c>
      <c r="CG1558" t="s">
        <v>177</v>
      </c>
      <c r="CH1558" t="s">
        <v>371</v>
      </c>
      <c r="CI1558" t="s">
        <v>19819</v>
      </c>
      <c r="CJ1558" t="s">
        <v>3043</v>
      </c>
      <c r="CK1558" t="s">
        <v>232</v>
      </c>
      <c r="CL1558" t="s">
        <v>233</v>
      </c>
      <c r="CM1558" t="s">
        <v>19820</v>
      </c>
      <c r="CN1558" t="s">
        <v>235</v>
      </c>
      <c r="CO1558" t="s">
        <v>183</v>
      </c>
      <c r="CP1558" t="s">
        <v>211</v>
      </c>
      <c r="CQ1558" t="s">
        <v>270</v>
      </c>
      <c r="CS1558" t="s">
        <v>2897</v>
      </c>
      <c r="CT1558" t="s">
        <v>1360</v>
      </c>
      <c r="CU1558" t="s">
        <v>292</v>
      </c>
      <c r="CV1558" t="s">
        <v>293</v>
      </c>
      <c r="CW1558" t="s">
        <v>19821</v>
      </c>
      <c r="CX1558" t="s">
        <v>235</v>
      </c>
      <c r="CY1558" t="s">
        <v>183</v>
      </c>
      <c r="CZ1558" t="s">
        <v>211</v>
      </c>
      <c r="DA1558" t="s">
        <v>206</v>
      </c>
      <c r="DC1558" t="s">
        <v>16728</v>
      </c>
      <c r="DD1558" t="s">
        <v>19822</v>
      </c>
      <c r="DE1558" t="s">
        <v>267</v>
      </c>
      <c r="DF1558" t="s">
        <v>268</v>
      </c>
      <c r="DG1558" t="s">
        <v>19823</v>
      </c>
      <c r="DH1558" t="s">
        <v>235</v>
      </c>
      <c r="DI1558" t="s">
        <v>183</v>
      </c>
      <c r="DJ1558" t="s">
        <v>211</v>
      </c>
      <c r="DK1558" t="s">
        <v>306</v>
      </c>
      <c r="DM1558" t="s">
        <v>16728</v>
      </c>
      <c r="DN1558" t="s">
        <v>19824</v>
      </c>
      <c r="DO1558" t="s">
        <v>273</v>
      </c>
      <c r="DP1558" t="s">
        <v>274</v>
      </c>
      <c r="DQ1558" t="s">
        <v>19825</v>
      </c>
      <c r="DR1558" t="s">
        <v>235</v>
      </c>
      <c r="DS1558" t="s">
        <v>183</v>
      </c>
      <c r="DT1558" t="s">
        <v>211</v>
      </c>
      <c r="DU1558" t="s">
        <v>329</v>
      </c>
      <c r="DW1558" t="s">
        <v>15536</v>
      </c>
      <c r="DX1558" t="s">
        <v>6169</v>
      </c>
      <c r="DY1558" t="s">
        <v>302</v>
      </c>
      <c r="DZ1558" t="s">
        <v>303</v>
      </c>
      <c r="EA1558" t="s">
        <v>19826</v>
      </c>
      <c r="EB1558" t="s">
        <v>3342</v>
      </c>
      <c r="EC1558" t="s">
        <v>183</v>
      </c>
      <c r="ED1558" t="s">
        <v>211</v>
      </c>
      <c r="EE1558" t="s">
        <v>206</v>
      </c>
      <c r="EG1558" t="s">
        <v>3447</v>
      </c>
      <c r="EH1558" t="s">
        <v>19827</v>
      </c>
      <c r="EI1558" t="s">
        <v>346</v>
      </c>
      <c r="EJ1558" t="s">
        <v>347</v>
      </c>
      <c r="EK1558" t="s">
        <v>19828</v>
      </c>
      <c r="EL1558" t="s">
        <v>278</v>
      </c>
      <c r="EM1558" t="s">
        <v>183</v>
      </c>
      <c r="EN1558" t="s">
        <v>211</v>
      </c>
      <c r="EO1558" t="s">
        <v>329</v>
      </c>
      <c r="EQ1558" t="s">
        <v>4297</v>
      </c>
      <c r="FA1558" t="s">
        <v>198</v>
      </c>
      <c r="FK1558" t="s">
        <v>198</v>
      </c>
      <c r="FU1558" t="s">
        <v>198</v>
      </c>
    </row>
    <row r="1559" spans="1:177">
      <c r="A1559" s="1" t="str">
        <f>HYPERLINK("http://digipan.lumentumllc.com/apps/getLink/index.php?t=PropLink&amp;p=4638192","PL")</f>
        <v>PL</v>
      </c>
      <c r="B1559" s="1" t="str">
        <f>HYPERLINK("http://digipan.lumentumllc.com/apps/getLink/index.php?t=TaxLink&amp;p=4638192","TL")</f>
        <v>TL</v>
      </c>
      <c r="C1559" s="1" t="str">
        <f>HYPERLINK("http://digipan.lumentumllc.com/apps/getMap/index.php?p=4638192","Map")</f>
        <v>Map</v>
      </c>
      <c r="E1559" t="s">
        <v>177</v>
      </c>
      <c r="F1559" t="s">
        <v>178</v>
      </c>
      <c r="L1559" t="s">
        <v>19829</v>
      </c>
      <c r="N1559" t="s">
        <v>19829</v>
      </c>
      <c r="O1559" t="s">
        <v>19829</v>
      </c>
      <c r="P1559" t="s">
        <v>19830</v>
      </c>
      <c r="Q1559" t="s">
        <v>19829</v>
      </c>
      <c r="V1559">
        <v>1790</v>
      </c>
      <c r="W1559">
        <v>6</v>
      </c>
      <c r="X1559">
        <v>2017</v>
      </c>
      <c r="Y1559">
        <v>2018</v>
      </c>
      <c r="Z1559">
        <v>884.44</v>
      </c>
      <c r="AG1559" t="s">
        <v>184</v>
      </c>
      <c r="AH1559">
        <v>0</v>
      </c>
      <c r="AK1559">
        <v>0</v>
      </c>
      <c r="AL1559">
        <v>54544</v>
      </c>
      <c r="AM1559">
        <v>25000</v>
      </c>
      <c r="AN1559">
        <v>29544</v>
      </c>
      <c r="AO1559">
        <v>700</v>
      </c>
      <c r="AP1559">
        <v>2016</v>
      </c>
      <c r="AQ1559">
        <v>1.62</v>
      </c>
      <c r="AS1559" t="s">
        <v>19831</v>
      </c>
      <c r="AT1559" t="s">
        <v>15040</v>
      </c>
      <c r="AU1559" t="s">
        <v>177</v>
      </c>
      <c r="AV1559" t="s">
        <v>371</v>
      </c>
      <c r="AW1559" t="s">
        <v>182</v>
      </c>
      <c r="AX1559">
        <v>2</v>
      </c>
      <c r="AY1559" t="s">
        <v>188</v>
      </c>
      <c r="AZ1559" t="s">
        <v>189</v>
      </c>
      <c r="BA1559" t="s">
        <v>190</v>
      </c>
      <c r="BB1559" t="s">
        <v>191</v>
      </c>
      <c r="BC1559" t="s">
        <v>182</v>
      </c>
      <c r="BD1559" t="s">
        <v>182</v>
      </c>
      <c r="BE1559" t="s">
        <v>383</v>
      </c>
      <c r="BF1559">
        <v>1</v>
      </c>
      <c r="BG1559">
        <v>1</v>
      </c>
      <c r="BH1559">
        <v>1994</v>
      </c>
      <c r="BI1559" t="s">
        <v>2762</v>
      </c>
      <c r="BJ1559" t="s">
        <v>194</v>
      </c>
      <c r="BK1559" t="s">
        <v>195</v>
      </c>
      <c r="BL1559" t="s">
        <v>19832</v>
      </c>
      <c r="BM1559" t="s">
        <v>533</v>
      </c>
      <c r="BN1559" t="s">
        <v>182</v>
      </c>
      <c r="BO1559" t="s">
        <v>19833</v>
      </c>
      <c r="BP1559" t="s">
        <v>11037</v>
      </c>
      <c r="BQ1559" t="s">
        <v>800</v>
      </c>
      <c r="BR1559" t="s">
        <v>643</v>
      </c>
      <c r="BS1559" t="s">
        <v>198</v>
      </c>
      <c r="BT1559" t="s">
        <v>19834</v>
      </c>
      <c r="BU1559" t="s">
        <v>182</v>
      </c>
      <c r="BV1559" t="s">
        <v>198</v>
      </c>
      <c r="BW1559" t="s">
        <v>198</v>
      </c>
      <c r="BX1559" t="s">
        <v>199</v>
      </c>
      <c r="BY1559" t="s">
        <v>198</v>
      </c>
      <c r="BZ1559" t="s">
        <v>199</v>
      </c>
      <c r="CA1559" t="s">
        <v>199</v>
      </c>
      <c r="CB1559" t="s">
        <v>19835</v>
      </c>
      <c r="CC1559" t="s">
        <v>201</v>
      </c>
      <c r="CD1559" t="s">
        <v>182</v>
      </c>
      <c r="CE1559" t="s">
        <v>19836</v>
      </c>
      <c r="CF1559" t="s">
        <v>2620</v>
      </c>
      <c r="CG1559" t="s">
        <v>177</v>
      </c>
      <c r="CH1559" t="s">
        <v>19837</v>
      </c>
      <c r="CI1559" t="s">
        <v>19838</v>
      </c>
      <c r="CS1559" t="s">
        <v>198</v>
      </c>
      <c r="DC1559" t="s">
        <v>198</v>
      </c>
      <c r="DM1559" t="s">
        <v>198</v>
      </c>
      <c r="DW1559" t="s">
        <v>198</v>
      </c>
      <c r="EG1559" t="s">
        <v>198</v>
      </c>
      <c r="EQ1559" t="s">
        <v>198</v>
      </c>
      <c r="FA1559" t="s">
        <v>198</v>
      </c>
      <c r="FK1559" t="s">
        <v>198</v>
      </c>
      <c r="FU1559" t="s">
        <v>198</v>
      </c>
    </row>
    <row r="1560" spans="1:177">
      <c r="A1560" s="1" t="str">
        <f>HYPERLINK("http://digipan.lumentumllc.com/apps/getLink/index.php?t=PropLink&amp;p=5247218","PL")</f>
        <v>PL</v>
      </c>
      <c r="B1560" s="1" t="str">
        <f>HYPERLINK("http://digipan.lumentumllc.com/apps/getLink/index.php?t=TaxLink&amp;p=5247218","TL")</f>
        <v>TL</v>
      </c>
      <c r="C1560" s="1" t="str">
        <f>HYPERLINK("http://digipan.lumentumllc.com/apps/getMap/index.php?p=5247218","Map")</f>
        <v>Map</v>
      </c>
      <c r="E1560" t="s">
        <v>177</v>
      </c>
      <c r="F1560" t="s">
        <v>178</v>
      </c>
      <c r="L1560" t="s">
        <v>19839</v>
      </c>
      <c r="N1560" t="s">
        <v>19839</v>
      </c>
      <c r="O1560" t="s">
        <v>19839</v>
      </c>
      <c r="P1560" t="s">
        <v>19840</v>
      </c>
      <c r="Q1560" t="s">
        <v>19839</v>
      </c>
      <c r="V1560">
        <v>1791</v>
      </c>
      <c r="W1560">
        <v>6</v>
      </c>
      <c r="X1560">
        <v>2017</v>
      </c>
      <c r="Y1560">
        <v>2018</v>
      </c>
      <c r="Z1560">
        <v>1476.88</v>
      </c>
      <c r="AB1560" t="s">
        <v>181</v>
      </c>
      <c r="AC1560" t="s">
        <v>182</v>
      </c>
      <c r="AD1560" t="s">
        <v>183</v>
      </c>
      <c r="AE1560">
        <v>0</v>
      </c>
      <c r="AF1560">
        <v>3</v>
      </c>
      <c r="AG1560" t="s">
        <v>381</v>
      </c>
      <c r="AH1560">
        <v>100</v>
      </c>
      <c r="AK1560">
        <v>0</v>
      </c>
      <c r="AL1560">
        <v>94552</v>
      </c>
      <c r="AM1560">
        <v>88750</v>
      </c>
      <c r="AN1560">
        <v>5802</v>
      </c>
      <c r="AO1560">
        <v>1164</v>
      </c>
      <c r="AP1560">
        <v>2016</v>
      </c>
      <c r="AQ1560">
        <v>1.56</v>
      </c>
      <c r="AS1560" t="s">
        <v>19841</v>
      </c>
      <c r="AT1560" t="s">
        <v>15040</v>
      </c>
      <c r="AU1560" t="s">
        <v>177</v>
      </c>
      <c r="AV1560" t="s">
        <v>371</v>
      </c>
      <c r="AW1560" t="s">
        <v>182</v>
      </c>
      <c r="AX1560">
        <v>0</v>
      </c>
      <c r="AY1560" t="s">
        <v>312</v>
      </c>
      <c r="AZ1560" t="s">
        <v>199</v>
      </c>
      <c r="BA1560" t="s">
        <v>313</v>
      </c>
      <c r="BB1560" t="s">
        <v>191</v>
      </c>
      <c r="BC1560" t="s">
        <v>182</v>
      </c>
      <c r="BD1560" t="s">
        <v>182</v>
      </c>
      <c r="BE1560" t="s">
        <v>19842</v>
      </c>
      <c r="BF1560">
        <v>0</v>
      </c>
      <c r="BG1560">
        <v>0</v>
      </c>
      <c r="BH1560">
        <v>0</v>
      </c>
      <c r="BI1560" t="s">
        <v>199</v>
      </c>
      <c r="BJ1560" t="s">
        <v>248</v>
      </c>
      <c r="BL1560" t="s">
        <v>2075</v>
      </c>
      <c r="BM1560" t="s">
        <v>679</v>
      </c>
      <c r="BN1560" t="s">
        <v>182</v>
      </c>
      <c r="BO1560" t="s">
        <v>198</v>
      </c>
      <c r="BP1560" t="s">
        <v>198</v>
      </c>
      <c r="BQ1560" t="s">
        <v>198</v>
      </c>
      <c r="BR1560" t="s">
        <v>198</v>
      </c>
      <c r="BS1560" t="s">
        <v>198</v>
      </c>
      <c r="BT1560" t="s">
        <v>198</v>
      </c>
      <c r="BU1560" t="s">
        <v>182</v>
      </c>
      <c r="BV1560" t="s">
        <v>198</v>
      </c>
      <c r="BW1560" t="s">
        <v>198</v>
      </c>
      <c r="BX1560" t="s">
        <v>199</v>
      </c>
      <c r="BY1560" t="s">
        <v>198</v>
      </c>
      <c r="BZ1560" t="s">
        <v>199</v>
      </c>
      <c r="CA1560" t="s">
        <v>199</v>
      </c>
      <c r="CB1560" t="s">
        <v>19843</v>
      </c>
      <c r="CC1560" t="s">
        <v>201</v>
      </c>
      <c r="CD1560" t="s">
        <v>202</v>
      </c>
      <c r="CE1560" t="s">
        <v>19844</v>
      </c>
      <c r="CF1560" t="s">
        <v>5331</v>
      </c>
      <c r="CG1560" t="s">
        <v>177</v>
      </c>
      <c r="CH1560" t="s">
        <v>371</v>
      </c>
      <c r="CI1560" t="s">
        <v>19845</v>
      </c>
      <c r="CJ1560" t="s">
        <v>3285</v>
      </c>
      <c r="CK1560" t="s">
        <v>267</v>
      </c>
      <c r="CL1560" t="s">
        <v>268</v>
      </c>
      <c r="CM1560" t="s">
        <v>19846</v>
      </c>
      <c r="CN1560" t="s">
        <v>331</v>
      </c>
      <c r="CO1560" t="s">
        <v>183</v>
      </c>
      <c r="CP1560" t="s">
        <v>211</v>
      </c>
      <c r="CQ1560" t="s">
        <v>339</v>
      </c>
      <c r="CS1560" t="s">
        <v>17567</v>
      </c>
      <c r="CT1560" t="s">
        <v>18849</v>
      </c>
      <c r="CU1560" t="s">
        <v>273</v>
      </c>
      <c r="CV1560" t="s">
        <v>274</v>
      </c>
      <c r="CW1560" t="s">
        <v>19847</v>
      </c>
      <c r="CX1560" t="s">
        <v>235</v>
      </c>
      <c r="CY1560" t="s">
        <v>183</v>
      </c>
      <c r="CZ1560" t="s">
        <v>211</v>
      </c>
      <c r="DA1560" t="s">
        <v>493</v>
      </c>
      <c r="DC1560" t="s">
        <v>17567</v>
      </c>
      <c r="DD1560" t="s">
        <v>15718</v>
      </c>
      <c r="DE1560" t="s">
        <v>238</v>
      </c>
      <c r="DF1560" t="s">
        <v>239</v>
      </c>
      <c r="DG1560" t="s">
        <v>19848</v>
      </c>
      <c r="DH1560" t="s">
        <v>278</v>
      </c>
      <c r="DI1560" t="s">
        <v>183</v>
      </c>
      <c r="DJ1560" t="s">
        <v>211</v>
      </c>
      <c r="DK1560" t="s">
        <v>329</v>
      </c>
      <c r="DM1560" t="s">
        <v>2699</v>
      </c>
      <c r="DW1560" t="s">
        <v>198</v>
      </c>
      <c r="EG1560" t="s">
        <v>198</v>
      </c>
      <c r="EQ1560" t="s">
        <v>198</v>
      </c>
      <c r="FA1560" t="s">
        <v>198</v>
      </c>
      <c r="FK1560" t="s">
        <v>198</v>
      </c>
      <c r="FU1560" t="s">
        <v>198</v>
      </c>
    </row>
    <row r="1561" spans="1:177">
      <c r="A1561" s="1" t="str">
        <f>HYPERLINK("http://digipan.lumentumllc.com/apps/getLink/index.php?t=PropLink&amp;p=5247225","PL")</f>
        <v>PL</v>
      </c>
      <c r="B1561" s="1" t="str">
        <f>HYPERLINK("http://digipan.lumentumllc.com/apps/getLink/index.php?t=TaxLink&amp;p=5247225","TL")</f>
        <v>TL</v>
      </c>
      <c r="C1561" s="1" t="str">
        <f>HYPERLINK("http://digipan.lumentumllc.com/apps/getMap/index.php?p=5247225","Map")</f>
        <v>Map</v>
      </c>
      <c r="E1561" t="s">
        <v>177</v>
      </c>
      <c r="F1561" t="s">
        <v>178</v>
      </c>
      <c r="L1561" t="s">
        <v>19849</v>
      </c>
      <c r="N1561" t="s">
        <v>19849</v>
      </c>
      <c r="O1561" t="s">
        <v>19849</v>
      </c>
      <c r="P1561" t="s">
        <v>19850</v>
      </c>
      <c r="Q1561" t="s">
        <v>19849</v>
      </c>
      <c r="V1561">
        <v>1793</v>
      </c>
      <c r="W1561">
        <v>6</v>
      </c>
      <c r="X1561">
        <v>2017</v>
      </c>
      <c r="Y1561">
        <v>2018</v>
      </c>
      <c r="Z1561">
        <v>848.2</v>
      </c>
      <c r="AB1561" t="s">
        <v>181</v>
      </c>
      <c r="AC1561" t="s">
        <v>182</v>
      </c>
      <c r="AD1561" t="s">
        <v>183</v>
      </c>
      <c r="AE1561">
        <v>0</v>
      </c>
      <c r="AF1561">
        <v>3</v>
      </c>
      <c r="AG1561" t="s">
        <v>381</v>
      </c>
      <c r="AH1561">
        <v>100</v>
      </c>
      <c r="AK1561">
        <v>0</v>
      </c>
      <c r="AL1561">
        <v>104341</v>
      </c>
      <c r="AM1561">
        <v>21375</v>
      </c>
      <c r="AN1561">
        <v>82966</v>
      </c>
      <c r="AO1561">
        <v>740</v>
      </c>
      <c r="AP1561">
        <v>2016</v>
      </c>
      <c r="AQ1561">
        <v>0.81</v>
      </c>
      <c r="AS1561" t="s">
        <v>19851</v>
      </c>
      <c r="AT1561" t="s">
        <v>15040</v>
      </c>
      <c r="AU1561" t="s">
        <v>177</v>
      </c>
      <c r="AV1561" t="s">
        <v>371</v>
      </c>
      <c r="AW1561" t="s">
        <v>202</v>
      </c>
      <c r="AX1561">
        <v>1</v>
      </c>
      <c r="AY1561" t="s">
        <v>188</v>
      </c>
      <c r="AZ1561" t="s">
        <v>206</v>
      </c>
      <c r="BA1561" t="s">
        <v>355</v>
      </c>
      <c r="BB1561" t="s">
        <v>191</v>
      </c>
      <c r="BC1561" t="s">
        <v>182</v>
      </c>
      <c r="BD1561" t="s">
        <v>182</v>
      </c>
      <c r="BE1561" t="s">
        <v>1869</v>
      </c>
      <c r="BF1561">
        <v>1</v>
      </c>
      <c r="BG1561">
        <v>1</v>
      </c>
      <c r="BH1561">
        <v>1981</v>
      </c>
      <c r="BI1561" t="s">
        <v>19852</v>
      </c>
      <c r="BJ1561" t="s">
        <v>194</v>
      </c>
      <c r="BK1561" t="s">
        <v>195</v>
      </c>
      <c r="BL1561" t="s">
        <v>2075</v>
      </c>
      <c r="BM1561" t="s">
        <v>679</v>
      </c>
      <c r="BN1561" t="s">
        <v>182</v>
      </c>
      <c r="BO1561" t="s">
        <v>198</v>
      </c>
      <c r="BP1561" t="s">
        <v>198</v>
      </c>
      <c r="BQ1561" t="s">
        <v>198</v>
      </c>
      <c r="BR1561" t="s">
        <v>198</v>
      </c>
      <c r="BS1561" t="s">
        <v>198</v>
      </c>
      <c r="BT1561" t="s">
        <v>198</v>
      </c>
      <c r="BU1561" t="s">
        <v>182</v>
      </c>
      <c r="BV1561" t="s">
        <v>198</v>
      </c>
      <c r="BW1561" t="s">
        <v>198</v>
      </c>
      <c r="BX1561" t="s">
        <v>199</v>
      </c>
      <c r="BY1561" t="s">
        <v>198</v>
      </c>
      <c r="BZ1561" t="s">
        <v>199</v>
      </c>
      <c r="CA1561" t="s">
        <v>199</v>
      </c>
      <c r="CB1561" t="s">
        <v>19843</v>
      </c>
      <c r="CC1561" t="s">
        <v>201</v>
      </c>
      <c r="CD1561" t="s">
        <v>202</v>
      </c>
      <c r="CE1561" t="s">
        <v>19844</v>
      </c>
      <c r="CF1561" t="s">
        <v>5331</v>
      </c>
      <c r="CG1561" t="s">
        <v>177</v>
      </c>
      <c r="CH1561" t="s">
        <v>371</v>
      </c>
      <c r="CI1561" t="s">
        <v>19853</v>
      </c>
      <c r="CJ1561" t="s">
        <v>1215</v>
      </c>
      <c r="CK1561" t="s">
        <v>267</v>
      </c>
      <c r="CL1561" t="s">
        <v>268</v>
      </c>
      <c r="CM1561" t="s">
        <v>19854</v>
      </c>
      <c r="CN1561" t="s">
        <v>235</v>
      </c>
      <c r="CO1561" t="s">
        <v>183</v>
      </c>
      <c r="CP1561" t="s">
        <v>211</v>
      </c>
      <c r="CQ1561" t="s">
        <v>339</v>
      </c>
      <c r="CS1561" t="s">
        <v>17567</v>
      </c>
      <c r="CT1561" t="s">
        <v>18888</v>
      </c>
      <c r="CU1561" t="s">
        <v>273</v>
      </c>
      <c r="CV1561" t="s">
        <v>274</v>
      </c>
      <c r="CW1561" t="s">
        <v>19855</v>
      </c>
      <c r="CX1561" t="s">
        <v>235</v>
      </c>
      <c r="CY1561" t="s">
        <v>183</v>
      </c>
      <c r="CZ1561" t="s">
        <v>211</v>
      </c>
      <c r="DA1561" t="s">
        <v>493</v>
      </c>
      <c r="DC1561" t="s">
        <v>17567</v>
      </c>
      <c r="DD1561" t="s">
        <v>17025</v>
      </c>
      <c r="DE1561" t="s">
        <v>238</v>
      </c>
      <c r="DF1561" t="s">
        <v>239</v>
      </c>
      <c r="DG1561" t="s">
        <v>19856</v>
      </c>
      <c r="DH1561" t="s">
        <v>235</v>
      </c>
      <c r="DI1561" t="s">
        <v>183</v>
      </c>
      <c r="DJ1561" t="s">
        <v>211</v>
      </c>
      <c r="DK1561" t="s">
        <v>329</v>
      </c>
      <c r="DM1561" t="s">
        <v>2699</v>
      </c>
      <c r="DW1561" t="s">
        <v>198</v>
      </c>
      <c r="EG1561" t="s">
        <v>198</v>
      </c>
      <c r="EQ1561" t="s">
        <v>198</v>
      </c>
      <c r="FA1561" t="s">
        <v>198</v>
      </c>
      <c r="FK1561" t="s">
        <v>198</v>
      </c>
      <c r="FU1561" t="s">
        <v>198</v>
      </c>
    </row>
    <row r="1562" spans="1:177">
      <c r="A1562" s="1" t="str">
        <f>HYPERLINK("http://digipan.lumentumllc.com/apps/getLink/index.php?t=PropLink&amp;p=5247227","PL")</f>
        <v>PL</v>
      </c>
      <c r="B1562" s="1" t="str">
        <f>HYPERLINK("http://digipan.lumentumllc.com/apps/getLink/index.php?t=TaxLink&amp;p=5247227","TL")</f>
        <v>TL</v>
      </c>
      <c r="C1562" s="1" t="str">
        <f>HYPERLINK("http://digipan.lumentumllc.com/apps/getMap/index.php?p=5247227","Map")</f>
        <v>Map</v>
      </c>
      <c r="E1562" t="s">
        <v>177</v>
      </c>
      <c r="F1562" t="s">
        <v>178</v>
      </c>
      <c r="L1562" t="s">
        <v>19857</v>
      </c>
      <c r="N1562" t="s">
        <v>19857</v>
      </c>
      <c r="O1562" t="s">
        <v>19857</v>
      </c>
      <c r="P1562" t="s">
        <v>19858</v>
      </c>
      <c r="Q1562" t="s">
        <v>19857</v>
      </c>
      <c r="V1562">
        <v>1795</v>
      </c>
      <c r="W1562">
        <v>6</v>
      </c>
      <c r="X1562">
        <v>2017</v>
      </c>
      <c r="Y1562">
        <v>2018</v>
      </c>
      <c r="Z1562">
        <v>195.72</v>
      </c>
      <c r="AB1562" t="s">
        <v>181</v>
      </c>
      <c r="AC1562" t="s">
        <v>182</v>
      </c>
      <c r="AD1562" t="s">
        <v>183</v>
      </c>
      <c r="AE1562">
        <v>2</v>
      </c>
      <c r="AF1562">
        <v>3</v>
      </c>
      <c r="AG1562" t="s">
        <v>2376</v>
      </c>
      <c r="AH1562">
        <v>60</v>
      </c>
      <c r="AI1562">
        <v>385.08</v>
      </c>
      <c r="AJ1562">
        <v>19.25</v>
      </c>
      <c r="AK1562">
        <v>404.33</v>
      </c>
      <c r="AL1562">
        <v>10000</v>
      </c>
      <c r="AM1562">
        <v>10000</v>
      </c>
      <c r="AN1562">
        <v>0</v>
      </c>
      <c r="AO1562">
        <v>154</v>
      </c>
      <c r="AP1562">
        <v>2016</v>
      </c>
      <c r="AQ1562">
        <v>1.96</v>
      </c>
      <c r="AR1562">
        <v>4.04</v>
      </c>
      <c r="AS1562" t="s">
        <v>19841</v>
      </c>
      <c r="AT1562" t="s">
        <v>15040</v>
      </c>
      <c r="AU1562" t="s">
        <v>177</v>
      </c>
      <c r="AV1562" t="s">
        <v>371</v>
      </c>
      <c r="AW1562" t="s">
        <v>182</v>
      </c>
      <c r="AX1562">
        <v>0</v>
      </c>
      <c r="AY1562" t="s">
        <v>312</v>
      </c>
      <c r="AZ1562" t="s">
        <v>199</v>
      </c>
      <c r="BA1562" t="s">
        <v>313</v>
      </c>
      <c r="BB1562" t="s">
        <v>191</v>
      </c>
      <c r="BC1562" t="s">
        <v>182</v>
      </c>
      <c r="BD1562" t="s">
        <v>182</v>
      </c>
      <c r="BE1562" t="s">
        <v>383</v>
      </c>
      <c r="BF1562">
        <v>0</v>
      </c>
      <c r="BG1562">
        <v>0</v>
      </c>
      <c r="BH1562">
        <v>0</v>
      </c>
      <c r="BI1562" t="s">
        <v>199</v>
      </c>
      <c r="BJ1562" t="s">
        <v>396</v>
      </c>
      <c r="BL1562" t="s">
        <v>196</v>
      </c>
      <c r="BM1562" t="s">
        <v>346</v>
      </c>
      <c r="BN1562" t="s">
        <v>182</v>
      </c>
      <c r="BO1562" t="s">
        <v>198</v>
      </c>
      <c r="BP1562" t="s">
        <v>198</v>
      </c>
      <c r="BQ1562" t="s">
        <v>198</v>
      </c>
      <c r="BR1562" t="s">
        <v>198</v>
      </c>
      <c r="BS1562" t="s">
        <v>198</v>
      </c>
      <c r="BT1562" t="s">
        <v>198</v>
      </c>
      <c r="BU1562" t="s">
        <v>182</v>
      </c>
      <c r="BV1562" t="s">
        <v>198</v>
      </c>
      <c r="BW1562" t="s">
        <v>198</v>
      </c>
      <c r="BX1562" t="s">
        <v>199</v>
      </c>
      <c r="BY1562" t="s">
        <v>198</v>
      </c>
      <c r="BZ1562" t="s">
        <v>199</v>
      </c>
      <c r="CA1562" t="s">
        <v>199</v>
      </c>
      <c r="CB1562" t="s">
        <v>19859</v>
      </c>
      <c r="CC1562" t="s">
        <v>201</v>
      </c>
      <c r="CD1562" t="s">
        <v>202</v>
      </c>
      <c r="CE1562" t="s">
        <v>19860</v>
      </c>
      <c r="CF1562" t="s">
        <v>5331</v>
      </c>
      <c r="CG1562" t="s">
        <v>177</v>
      </c>
      <c r="CH1562" t="s">
        <v>371</v>
      </c>
      <c r="CI1562" t="s">
        <v>19838</v>
      </c>
      <c r="CJ1562" t="s">
        <v>17248</v>
      </c>
      <c r="CK1562" t="s">
        <v>232</v>
      </c>
      <c r="CL1562" t="s">
        <v>233</v>
      </c>
      <c r="CM1562" t="s">
        <v>13305</v>
      </c>
      <c r="CN1562" t="s">
        <v>235</v>
      </c>
      <c r="CO1562" t="s">
        <v>183</v>
      </c>
      <c r="CP1562" t="s">
        <v>266</v>
      </c>
      <c r="CS1562" t="s">
        <v>198</v>
      </c>
      <c r="CT1562" t="s">
        <v>18689</v>
      </c>
      <c r="CU1562" t="s">
        <v>292</v>
      </c>
      <c r="CV1562" t="s">
        <v>293</v>
      </c>
      <c r="CW1562" t="s">
        <v>8904</v>
      </c>
      <c r="CX1562" t="s">
        <v>235</v>
      </c>
      <c r="CY1562" t="s">
        <v>183</v>
      </c>
      <c r="CZ1562" t="s">
        <v>266</v>
      </c>
      <c r="DC1562" t="s">
        <v>198</v>
      </c>
      <c r="DD1562" t="s">
        <v>15797</v>
      </c>
      <c r="DE1562" t="s">
        <v>302</v>
      </c>
      <c r="DF1562" t="s">
        <v>303</v>
      </c>
      <c r="DG1562" t="s">
        <v>4650</v>
      </c>
      <c r="DH1562" t="s">
        <v>2515</v>
      </c>
      <c r="DI1562" t="s">
        <v>183</v>
      </c>
      <c r="DJ1562" t="s">
        <v>211</v>
      </c>
      <c r="DK1562" t="s">
        <v>329</v>
      </c>
      <c r="DM1562" t="s">
        <v>875</v>
      </c>
      <c r="DN1562" t="s">
        <v>17089</v>
      </c>
      <c r="DO1562" t="s">
        <v>238</v>
      </c>
      <c r="DP1562" t="s">
        <v>239</v>
      </c>
      <c r="DQ1562" t="s">
        <v>13308</v>
      </c>
      <c r="DR1562" t="s">
        <v>333</v>
      </c>
      <c r="DS1562" t="s">
        <v>183</v>
      </c>
      <c r="DT1562" t="s">
        <v>211</v>
      </c>
      <c r="DU1562" t="s">
        <v>298</v>
      </c>
      <c r="DW1562" t="s">
        <v>875</v>
      </c>
      <c r="DX1562" t="s">
        <v>19861</v>
      </c>
      <c r="DY1562" t="s">
        <v>346</v>
      </c>
      <c r="DZ1562" t="s">
        <v>347</v>
      </c>
      <c r="EA1562" t="s">
        <v>19862</v>
      </c>
      <c r="EB1562" t="s">
        <v>278</v>
      </c>
      <c r="EC1562" t="s">
        <v>183</v>
      </c>
      <c r="ED1562" t="s">
        <v>211</v>
      </c>
      <c r="EE1562" t="s">
        <v>199</v>
      </c>
      <c r="EG1562" t="s">
        <v>8855</v>
      </c>
      <c r="EQ1562" t="s">
        <v>198</v>
      </c>
      <c r="FA1562" t="s">
        <v>198</v>
      </c>
      <c r="FK1562" t="s">
        <v>198</v>
      </c>
      <c r="FU1562" t="s">
        <v>198</v>
      </c>
    </row>
    <row r="1563" spans="1:177">
      <c r="A1563" s="1" t="str">
        <f>HYPERLINK("http://digipan.lumentumllc.com/apps/getLink/index.php?t=PropLink&amp;p=6594304","PL")</f>
        <v>PL</v>
      </c>
      <c r="B1563" s="1" t="str">
        <f>HYPERLINK("http://digipan.lumentumllc.com/apps/getLink/index.php?t=TaxLink&amp;p=6594304","TL")</f>
        <v>TL</v>
      </c>
      <c r="C1563" s="1" t="str">
        <f>HYPERLINK("http://digipan.lumentumllc.com/apps/getMap/index.php?p=6594304","Map")</f>
        <v>Map</v>
      </c>
      <c r="E1563" t="s">
        <v>177</v>
      </c>
      <c r="F1563" t="s">
        <v>178</v>
      </c>
      <c r="L1563" t="s">
        <v>19863</v>
      </c>
      <c r="N1563" t="s">
        <v>19863</v>
      </c>
      <c r="O1563" t="s">
        <v>19863</v>
      </c>
      <c r="P1563" t="s">
        <v>19864</v>
      </c>
      <c r="Q1563" t="s">
        <v>19863</v>
      </c>
      <c r="V1563">
        <v>1796</v>
      </c>
      <c r="W1563">
        <v>6</v>
      </c>
      <c r="X1563">
        <v>2017</v>
      </c>
      <c r="Y1563">
        <v>2018</v>
      </c>
      <c r="Z1563">
        <v>857.48</v>
      </c>
      <c r="AB1563" t="s">
        <v>181</v>
      </c>
      <c r="AC1563" t="s">
        <v>182</v>
      </c>
      <c r="AD1563" t="s">
        <v>183</v>
      </c>
      <c r="AE1563">
        <v>1</v>
      </c>
      <c r="AF1563">
        <v>1</v>
      </c>
      <c r="AG1563" t="s">
        <v>2222</v>
      </c>
      <c r="AH1563">
        <v>50</v>
      </c>
      <c r="AI1563">
        <v>830.52</v>
      </c>
      <c r="AJ1563">
        <v>41.53</v>
      </c>
      <c r="AK1563">
        <v>872.05</v>
      </c>
      <c r="AL1563">
        <v>50418</v>
      </c>
      <c r="AM1563">
        <v>33000</v>
      </c>
      <c r="AN1563">
        <v>17418</v>
      </c>
      <c r="AO1563">
        <v>743</v>
      </c>
      <c r="AP1563">
        <v>2016</v>
      </c>
      <c r="AQ1563">
        <v>1.7</v>
      </c>
      <c r="AR1563">
        <v>1.73</v>
      </c>
      <c r="AS1563" t="s">
        <v>19865</v>
      </c>
      <c r="AT1563" t="s">
        <v>15040</v>
      </c>
      <c r="AU1563" t="s">
        <v>177</v>
      </c>
      <c r="AV1563" t="s">
        <v>371</v>
      </c>
      <c r="AW1563" t="s">
        <v>182</v>
      </c>
      <c r="AX1563">
        <v>2</v>
      </c>
      <c r="AY1563" t="s">
        <v>188</v>
      </c>
      <c r="AZ1563" t="s">
        <v>189</v>
      </c>
      <c r="BA1563" t="s">
        <v>190</v>
      </c>
      <c r="BB1563" t="s">
        <v>191</v>
      </c>
      <c r="BC1563" t="s">
        <v>182</v>
      </c>
      <c r="BD1563" t="s">
        <v>182</v>
      </c>
      <c r="BE1563" t="s">
        <v>17372</v>
      </c>
      <c r="BF1563">
        <v>1</v>
      </c>
      <c r="BG1563">
        <v>1</v>
      </c>
      <c r="BH1563">
        <v>1974</v>
      </c>
      <c r="BI1563" t="s">
        <v>10295</v>
      </c>
      <c r="BJ1563" t="s">
        <v>194</v>
      </c>
      <c r="BK1563" t="s">
        <v>195</v>
      </c>
      <c r="BL1563" t="s">
        <v>19866</v>
      </c>
      <c r="BM1563" t="s">
        <v>533</v>
      </c>
      <c r="BN1563" t="s">
        <v>182</v>
      </c>
      <c r="BO1563" t="s">
        <v>198</v>
      </c>
      <c r="BP1563" t="s">
        <v>198</v>
      </c>
      <c r="BQ1563" t="s">
        <v>198</v>
      </c>
      <c r="BR1563" t="s">
        <v>198</v>
      </c>
      <c r="BS1563" t="s">
        <v>198</v>
      </c>
      <c r="BT1563" t="s">
        <v>198</v>
      </c>
      <c r="BU1563" t="s">
        <v>182</v>
      </c>
      <c r="BV1563" t="s">
        <v>198</v>
      </c>
      <c r="BW1563" t="s">
        <v>198</v>
      </c>
      <c r="BX1563" t="s">
        <v>199</v>
      </c>
      <c r="BY1563" t="s">
        <v>198</v>
      </c>
      <c r="BZ1563" t="s">
        <v>199</v>
      </c>
      <c r="CA1563" t="s">
        <v>199</v>
      </c>
      <c r="CB1563" t="s">
        <v>19867</v>
      </c>
      <c r="CC1563" t="s">
        <v>201</v>
      </c>
      <c r="CD1563" t="s">
        <v>182</v>
      </c>
      <c r="CE1563" t="s">
        <v>19868</v>
      </c>
      <c r="CF1563" t="s">
        <v>5331</v>
      </c>
      <c r="CG1563" t="s">
        <v>177</v>
      </c>
      <c r="CH1563" t="s">
        <v>371</v>
      </c>
      <c r="CI1563" t="s">
        <v>19869</v>
      </c>
      <c r="CJ1563" t="s">
        <v>771</v>
      </c>
      <c r="CK1563" t="s">
        <v>232</v>
      </c>
      <c r="CL1563" t="s">
        <v>233</v>
      </c>
      <c r="CM1563" t="s">
        <v>19870</v>
      </c>
      <c r="CN1563" t="s">
        <v>235</v>
      </c>
      <c r="CO1563" t="s">
        <v>183</v>
      </c>
      <c r="CP1563" t="s">
        <v>266</v>
      </c>
      <c r="CS1563" t="s">
        <v>198</v>
      </c>
      <c r="CT1563" t="s">
        <v>14534</v>
      </c>
      <c r="CU1563" t="s">
        <v>273</v>
      </c>
      <c r="CV1563" t="s">
        <v>274</v>
      </c>
      <c r="CW1563" t="s">
        <v>19871</v>
      </c>
      <c r="CX1563" t="s">
        <v>235</v>
      </c>
      <c r="CY1563" t="s">
        <v>183</v>
      </c>
      <c r="CZ1563" t="s">
        <v>211</v>
      </c>
      <c r="DA1563" t="s">
        <v>206</v>
      </c>
      <c r="DC1563" t="s">
        <v>301</v>
      </c>
      <c r="DM1563" t="s">
        <v>198</v>
      </c>
      <c r="DW1563" t="s">
        <v>198</v>
      </c>
      <c r="EG1563" t="s">
        <v>198</v>
      </c>
      <c r="EQ1563" t="s">
        <v>198</v>
      </c>
      <c r="FA1563" t="s">
        <v>198</v>
      </c>
      <c r="FK1563" t="s">
        <v>198</v>
      </c>
      <c r="FU1563" t="s">
        <v>198</v>
      </c>
    </row>
    <row r="1564" spans="1:177">
      <c r="A1564" s="1" t="str">
        <f>HYPERLINK("http://digipan.lumentumllc.com/apps/getLink/index.php?t=PropLink&amp;p=4638199","PL")</f>
        <v>PL</v>
      </c>
      <c r="B1564" s="1" t="str">
        <f>HYPERLINK("http://digipan.lumentumllc.com/apps/getLink/index.php?t=TaxLink&amp;p=4638199","TL")</f>
        <v>TL</v>
      </c>
      <c r="C1564" s="1" t="str">
        <f>HYPERLINK("http://digipan.lumentumllc.com/apps/getMap/index.php?p=4638199","Map")</f>
        <v>Map</v>
      </c>
      <c r="E1564" t="s">
        <v>177</v>
      </c>
      <c r="F1564" t="s">
        <v>178</v>
      </c>
      <c r="L1564" t="s">
        <v>19872</v>
      </c>
      <c r="N1564" t="s">
        <v>19872</v>
      </c>
      <c r="O1564" t="s">
        <v>19872</v>
      </c>
      <c r="P1564" t="s">
        <v>19873</v>
      </c>
      <c r="Q1564" t="s">
        <v>19872</v>
      </c>
      <c r="V1564">
        <v>1797</v>
      </c>
      <c r="W1564">
        <v>6</v>
      </c>
      <c r="X1564">
        <v>2017</v>
      </c>
      <c r="Y1564">
        <v>2018</v>
      </c>
      <c r="Z1564">
        <v>1351.52</v>
      </c>
      <c r="AG1564" t="s">
        <v>184</v>
      </c>
      <c r="AH1564">
        <v>0</v>
      </c>
      <c r="AK1564">
        <v>0</v>
      </c>
      <c r="AL1564">
        <v>80594</v>
      </c>
      <c r="AM1564">
        <v>55500</v>
      </c>
      <c r="AN1564">
        <v>25094</v>
      </c>
      <c r="AO1564">
        <v>1145</v>
      </c>
      <c r="AP1564">
        <v>2016</v>
      </c>
      <c r="AQ1564">
        <v>1.68</v>
      </c>
      <c r="AS1564" t="s">
        <v>19874</v>
      </c>
      <c r="AT1564" t="s">
        <v>15040</v>
      </c>
      <c r="AU1564" t="s">
        <v>177</v>
      </c>
      <c r="AV1564" t="s">
        <v>371</v>
      </c>
      <c r="AW1564" t="s">
        <v>182</v>
      </c>
      <c r="AX1564">
        <v>2</v>
      </c>
      <c r="AY1564" t="s">
        <v>188</v>
      </c>
      <c r="AZ1564" t="s">
        <v>189</v>
      </c>
      <c r="BA1564" t="s">
        <v>190</v>
      </c>
      <c r="BB1564" t="s">
        <v>191</v>
      </c>
      <c r="BC1564" t="s">
        <v>182</v>
      </c>
      <c r="BD1564" t="s">
        <v>182</v>
      </c>
      <c r="BE1564" t="s">
        <v>19875</v>
      </c>
      <c r="BF1564">
        <v>2</v>
      </c>
      <c r="BG1564">
        <v>2</v>
      </c>
      <c r="BH1564">
        <v>1980</v>
      </c>
      <c r="BI1564" t="s">
        <v>16945</v>
      </c>
      <c r="BJ1564" t="s">
        <v>194</v>
      </c>
      <c r="BK1564" t="s">
        <v>195</v>
      </c>
      <c r="BL1564" t="s">
        <v>4712</v>
      </c>
      <c r="BM1564" t="s">
        <v>207</v>
      </c>
      <c r="BN1564" t="s">
        <v>182</v>
      </c>
      <c r="BO1564" t="s">
        <v>198</v>
      </c>
      <c r="BP1564" t="s">
        <v>198</v>
      </c>
      <c r="BQ1564" t="s">
        <v>198</v>
      </c>
      <c r="BR1564" t="s">
        <v>198</v>
      </c>
      <c r="BS1564" t="s">
        <v>198</v>
      </c>
      <c r="BT1564" t="s">
        <v>198</v>
      </c>
      <c r="BU1564" t="s">
        <v>182</v>
      </c>
      <c r="BV1564" t="s">
        <v>198</v>
      </c>
      <c r="BW1564" t="s">
        <v>198</v>
      </c>
      <c r="BX1564" t="s">
        <v>199</v>
      </c>
      <c r="BY1564" t="s">
        <v>198</v>
      </c>
      <c r="BZ1564" t="s">
        <v>199</v>
      </c>
      <c r="CA1564" t="s">
        <v>199</v>
      </c>
      <c r="CB1564" t="s">
        <v>19835</v>
      </c>
      <c r="CC1564" t="s">
        <v>201</v>
      </c>
      <c r="CD1564" t="s">
        <v>182</v>
      </c>
      <c r="CE1564" t="s">
        <v>19836</v>
      </c>
      <c r="CF1564" t="s">
        <v>2620</v>
      </c>
      <c r="CG1564" t="s">
        <v>177</v>
      </c>
      <c r="CH1564" t="s">
        <v>19837</v>
      </c>
      <c r="CI1564" t="s">
        <v>19838</v>
      </c>
      <c r="CS1564" t="s">
        <v>198</v>
      </c>
      <c r="DC1564" t="s">
        <v>198</v>
      </c>
      <c r="DM1564" t="s">
        <v>198</v>
      </c>
      <c r="DW1564" t="s">
        <v>198</v>
      </c>
      <c r="EG1564" t="s">
        <v>198</v>
      </c>
      <c r="EQ1564" t="s">
        <v>198</v>
      </c>
      <c r="FA1564" t="s">
        <v>198</v>
      </c>
      <c r="FK1564" t="s">
        <v>198</v>
      </c>
      <c r="FU1564" t="s">
        <v>198</v>
      </c>
    </row>
    <row r="1565" spans="1:177">
      <c r="A1565" s="1" t="str">
        <f>HYPERLINK("http://digipan.lumentumllc.com/apps/getLink/index.php?t=PropLink&amp;p=4638200","PL")</f>
        <v>PL</v>
      </c>
      <c r="B1565" s="1" t="str">
        <f>HYPERLINK("http://digipan.lumentumllc.com/apps/getLink/index.php?t=TaxLink&amp;p=4638200","TL")</f>
        <v>TL</v>
      </c>
      <c r="C1565" s="1" t="str">
        <f>HYPERLINK("http://digipan.lumentumllc.com/apps/getMap/index.php?p=4638200","Map")</f>
        <v>Map</v>
      </c>
      <c r="E1565" t="s">
        <v>177</v>
      </c>
      <c r="F1565" t="s">
        <v>178</v>
      </c>
      <c r="L1565" t="s">
        <v>19876</v>
      </c>
      <c r="N1565" t="s">
        <v>19876</v>
      </c>
      <c r="O1565" t="s">
        <v>19876</v>
      </c>
      <c r="P1565" t="s">
        <v>19877</v>
      </c>
      <c r="Q1565" t="s">
        <v>19876</v>
      </c>
      <c r="V1565">
        <v>1798</v>
      </c>
      <c r="W1565">
        <v>6</v>
      </c>
      <c r="X1565">
        <v>2017</v>
      </c>
      <c r="Y1565">
        <v>2018</v>
      </c>
      <c r="Z1565">
        <v>649.75</v>
      </c>
      <c r="AG1565" t="s">
        <v>184</v>
      </c>
      <c r="AH1565">
        <v>0</v>
      </c>
      <c r="AK1565">
        <v>0</v>
      </c>
      <c r="AL1565">
        <v>39222</v>
      </c>
      <c r="AM1565">
        <v>30000</v>
      </c>
      <c r="AN1565">
        <v>9222</v>
      </c>
      <c r="AO1565">
        <v>510</v>
      </c>
      <c r="AP1565">
        <v>2016</v>
      </c>
      <c r="AQ1565">
        <v>1.66</v>
      </c>
      <c r="AS1565" t="s">
        <v>19878</v>
      </c>
      <c r="AT1565" t="s">
        <v>15040</v>
      </c>
      <c r="AU1565" t="s">
        <v>177</v>
      </c>
      <c r="AV1565" t="s">
        <v>371</v>
      </c>
      <c r="AW1565" t="s">
        <v>182</v>
      </c>
      <c r="AX1565">
        <v>2</v>
      </c>
      <c r="AY1565" t="s">
        <v>188</v>
      </c>
      <c r="AZ1565" t="s">
        <v>189</v>
      </c>
      <c r="BA1565" t="s">
        <v>190</v>
      </c>
      <c r="BB1565" t="s">
        <v>191</v>
      </c>
      <c r="BC1565" t="s">
        <v>182</v>
      </c>
      <c r="BD1565" t="s">
        <v>182</v>
      </c>
      <c r="BE1565" t="s">
        <v>7767</v>
      </c>
      <c r="BF1565">
        <v>1</v>
      </c>
      <c r="BG1565">
        <v>1</v>
      </c>
      <c r="BH1565">
        <v>1984</v>
      </c>
      <c r="BI1565" t="s">
        <v>1202</v>
      </c>
      <c r="BJ1565" t="s">
        <v>194</v>
      </c>
      <c r="BK1565" t="s">
        <v>195</v>
      </c>
      <c r="BL1565" t="s">
        <v>4712</v>
      </c>
      <c r="BM1565" t="s">
        <v>207</v>
      </c>
      <c r="BN1565" t="s">
        <v>182</v>
      </c>
      <c r="BO1565" t="s">
        <v>198</v>
      </c>
      <c r="BP1565" t="s">
        <v>198</v>
      </c>
      <c r="BQ1565" t="s">
        <v>198</v>
      </c>
      <c r="BR1565" t="s">
        <v>198</v>
      </c>
      <c r="BS1565" t="s">
        <v>198</v>
      </c>
      <c r="BT1565" t="s">
        <v>198</v>
      </c>
      <c r="BU1565" t="s">
        <v>182</v>
      </c>
      <c r="BV1565" t="s">
        <v>198</v>
      </c>
      <c r="BW1565" t="s">
        <v>198</v>
      </c>
      <c r="BX1565" t="s">
        <v>199</v>
      </c>
      <c r="BY1565" t="s">
        <v>198</v>
      </c>
      <c r="BZ1565" t="s">
        <v>199</v>
      </c>
      <c r="CA1565" t="s">
        <v>199</v>
      </c>
      <c r="CB1565" t="s">
        <v>19835</v>
      </c>
      <c r="CC1565" t="s">
        <v>201</v>
      </c>
      <c r="CD1565" t="s">
        <v>182</v>
      </c>
      <c r="CE1565" t="s">
        <v>19836</v>
      </c>
      <c r="CF1565" t="s">
        <v>2620</v>
      </c>
      <c r="CG1565" t="s">
        <v>177</v>
      </c>
      <c r="CH1565" t="s">
        <v>19837</v>
      </c>
      <c r="CI1565" t="s">
        <v>19838</v>
      </c>
      <c r="CS1565" t="s">
        <v>198</v>
      </c>
      <c r="DC1565" t="s">
        <v>198</v>
      </c>
      <c r="DM1565" t="s">
        <v>198</v>
      </c>
      <c r="DW1565" t="s">
        <v>198</v>
      </c>
      <c r="EG1565" t="s">
        <v>198</v>
      </c>
      <c r="EQ1565" t="s">
        <v>198</v>
      </c>
      <c r="FA1565" t="s">
        <v>198</v>
      </c>
      <c r="FK1565" t="s">
        <v>198</v>
      </c>
      <c r="FU1565" t="s">
        <v>198</v>
      </c>
    </row>
    <row r="1566" spans="1:177">
      <c r="A1566" s="1" t="str">
        <f>HYPERLINK("http://digipan.lumentumllc.com/apps/getLink/index.php?t=PropLink&amp;p=5247229","PL")</f>
        <v>PL</v>
      </c>
      <c r="B1566" s="1" t="str">
        <f>HYPERLINK("http://digipan.lumentumllc.com/apps/getLink/index.php?t=TaxLink&amp;p=5247229","TL")</f>
        <v>TL</v>
      </c>
      <c r="C1566" s="1" t="str">
        <f>HYPERLINK("http://digipan.lumentumllc.com/apps/getMap/index.php?p=5247229","Map")</f>
        <v>Map</v>
      </c>
      <c r="E1566" t="s">
        <v>177</v>
      </c>
      <c r="F1566" t="s">
        <v>178</v>
      </c>
      <c r="L1566" t="s">
        <v>19879</v>
      </c>
      <c r="N1566" t="s">
        <v>19879</v>
      </c>
      <c r="O1566" t="s">
        <v>19879</v>
      </c>
      <c r="P1566" t="s">
        <v>19880</v>
      </c>
      <c r="Q1566" t="s">
        <v>19879</v>
      </c>
      <c r="V1566">
        <v>1799</v>
      </c>
      <c r="W1566">
        <v>6</v>
      </c>
      <c r="X1566">
        <v>2017</v>
      </c>
      <c r="Y1566">
        <v>2018</v>
      </c>
      <c r="Z1566">
        <v>3349.24</v>
      </c>
      <c r="AB1566" t="s">
        <v>181</v>
      </c>
      <c r="AC1566" t="s">
        <v>182</v>
      </c>
      <c r="AD1566" t="s">
        <v>183</v>
      </c>
      <c r="AE1566">
        <v>0</v>
      </c>
      <c r="AF1566">
        <v>4</v>
      </c>
      <c r="AG1566" t="s">
        <v>381</v>
      </c>
      <c r="AH1566">
        <v>100</v>
      </c>
      <c r="AK1566">
        <v>0</v>
      </c>
      <c r="AL1566">
        <v>202609</v>
      </c>
      <c r="AM1566">
        <v>25500</v>
      </c>
      <c r="AN1566">
        <v>177109</v>
      </c>
      <c r="AO1566">
        <v>3046</v>
      </c>
      <c r="AP1566">
        <v>2016</v>
      </c>
      <c r="AQ1566">
        <v>1.65</v>
      </c>
      <c r="AS1566" t="s">
        <v>19881</v>
      </c>
      <c r="AT1566" t="s">
        <v>15040</v>
      </c>
      <c r="AU1566" t="s">
        <v>177</v>
      </c>
      <c r="AV1566" t="s">
        <v>371</v>
      </c>
      <c r="AW1566" t="s">
        <v>182</v>
      </c>
      <c r="AX1566">
        <v>1</v>
      </c>
      <c r="AY1566" t="s">
        <v>188</v>
      </c>
      <c r="AZ1566" t="s">
        <v>206</v>
      </c>
      <c r="BA1566" t="s">
        <v>355</v>
      </c>
      <c r="BB1566" t="s">
        <v>191</v>
      </c>
      <c r="BC1566" t="s">
        <v>182</v>
      </c>
      <c r="BD1566" t="s">
        <v>182</v>
      </c>
      <c r="BE1566" t="s">
        <v>5145</v>
      </c>
      <c r="BF1566">
        <v>1</v>
      </c>
      <c r="BG1566">
        <v>1</v>
      </c>
      <c r="BH1566">
        <v>2010</v>
      </c>
      <c r="BI1566" t="s">
        <v>19882</v>
      </c>
      <c r="BJ1566" t="s">
        <v>396</v>
      </c>
      <c r="BK1566" t="s">
        <v>195</v>
      </c>
      <c r="BL1566" t="s">
        <v>199</v>
      </c>
      <c r="BM1566" t="s">
        <v>302</v>
      </c>
      <c r="BN1566" t="s">
        <v>182</v>
      </c>
      <c r="BO1566" t="s">
        <v>198</v>
      </c>
      <c r="BP1566" t="s">
        <v>198</v>
      </c>
      <c r="BQ1566" t="s">
        <v>198</v>
      </c>
      <c r="BR1566" t="s">
        <v>198</v>
      </c>
      <c r="BS1566" t="s">
        <v>198</v>
      </c>
      <c r="BT1566" t="s">
        <v>198</v>
      </c>
      <c r="BU1566" t="s">
        <v>182</v>
      </c>
      <c r="BV1566" t="s">
        <v>198</v>
      </c>
      <c r="BW1566" t="s">
        <v>198</v>
      </c>
      <c r="BX1566" t="s">
        <v>199</v>
      </c>
      <c r="BY1566" t="s">
        <v>198</v>
      </c>
      <c r="BZ1566" t="s">
        <v>199</v>
      </c>
      <c r="CA1566" t="s">
        <v>199</v>
      </c>
      <c r="CB1566" t="s">
        <v>19883</v>
      </c>
      <c r="CC1566" t="s">
        <v>201</v>
      </c>
      <c r="CD1566" t="s">
        <v>182</v>
      </c>
      <c r="CE1566" t="s">
        <v>19884</v>
      </c>
      <c r="CF1566" t="s">
        <v>5331</v>
      </c>
      <c r="CG1566" t="s">
        <v>177</v>
      </c>
      <c r="CH1566" t="s">
        <v>371</v>
      </c>
      <c r="CI1566" t="s">
        <v>19885</v>
      </c>
      <c r="CJ1566" t="s">
        <v>18971</v>
      </c>
      <c r="CK1566" t="s">
        <v>267</v>
      </c>
      <c r="CL1566" t="s">
        <v>268</v>
      </c>
      <c r="CM1566" t="s">
        <v>19886</v>
      </c>
      <c r="CN1566" t="s">
        <v>235</v>
      </c>
      <c r="CO1566" t="s">
        <v>183</v>
      </c>
      <c r="CP1566" t="s">
        <v>211</v>
      </c>
      <c r="CQ1566" t="s">
        <v>339</v>
      </c>
      <c r="CS1566" t="s">
        <v>17567</v>
      </c>
      <c r="CT1566" t="s">
        <v>19887</v>
      </c>
      <c r="CU1566" t="s">
        <v>302</v>
      </c>
      <c r="CV1566" t="s">
        <v>303</v>
      </c>
      <c r="CW1566" t="s">
        <v>19888</v>
      </c>
      <c r="CX1566" t="s">
        <v>235</v>
      </c>
      <c r="CY1566" t="s">
        <v>183</v>
      </c>
      <c r="CZ1566" t="s">
        <v>211</v>
      </c>
      <c r="DA1566" t="s">
        <v>342</v>
      </c>
      <c r="DC1566" t="s">
        <v>3825</v>
      </c>
      <c r="DD1566" t="s">
        <v>19852</v>
      </c>
      <c r="DE1566" t="s">
        <v>238</v>
      </c>
      <c r="DF1566" t="s">
        <v>239</v>
      </c>
      <c r="DG1566" t="s">
        <v>19889</v>
      </c>
      <c r="DH1566" t="s">
        <v>235</v>
      </c>
      <c r="DI1566" t="s">
        <v>183</v>
      </c>
      <c r="DJ1566" t="s">
        <v>211</v>
      </c>
      <c r="DK1566" t="s">
        <v>290</v>
      </c>
      <c r="DM1566" t="s">
        <v>5469</v>
      </c>
      <c r="DN1566" t="s">
        <v>19890</v>
      </c>
      <c r="DO1566" t="s">
        <v>207</v>
      </c>
      <c r="DP1566" t="s">
        <v>208</v>
      </c>
      <c r="DQ1566" t="s">
        <v>19891</v>
      </c>
      <c r="DR1566" t="s">
        <v>341</v>
      </c>
      <c r="DS1566" t="s">
        <v>183</v>
      </c>
      <c r="DT1566" t="s">
        <v>211</v>
      </c>
      <c r="DU1566" t="s">
        <v>212</v>
      </c>
      <c r="DW1566" t="s">
        <v>18891</v>
      </c>
      <c r="EG1566" t="s">
        <v>198</v>
      </c>
      <c r="EQ1566" t="s">
        <v>198</v>
      </c>
      <c r="FA1566" t="s">
        <v>198</v>
      </c>
      <c r="FK1566" t="s">
        <v>198</v>
      </c>
      <c r="FU1566" t="s">
        <v>198</v>
      </c>
    </row>
    <row r="1567" spans="1:177">
      <c r="A1567" s="1" t="str">
        <f>HYPERLINK("http://digipan.lumentumllc.com/apps/getLink/index.php?t=PropLink&amp;p=6129231","PL")</f>
        <v>PL</v>
      </c>
      <c r="B1567" s="1" t="str">
        <f>HYPERLINK("http://digipan.lumentumllc.com/apps/getLink/index.php?t=TaxLink&amp;p=6129231","TL")</f>
        <v>TL</v>
      </c>
      <c r="C1567" s="1" t="str">
        <f>HYPERLINK("http://digipan.lumentumllc.com/apps/getMap/index.php?p=6129231","Map")</f>
        <v>Map</v>
      </c>
      <c r="E1567" t="s">
        <v>177</v>
      </c>
      <c r="F1567" t="s">
        <v>178</v>
      </c>
      <c r="L1567" t="s">
        <v>19892</v>
      </c>
      <c r="N1567" t="s">
        <v>19892</v>
      </c>
      <c r="O1567" t="s">
        <v>19892</v>
      </c>
      <c r="P1567" t="s">
        <v>19893</v>
      </c>
      <c r="Q1567" t="s">
        <v>19892</v>
      </c>
      <c r="V1567">
        <v>1801</v>
      </c>
      <c r="W1567">
        <v>6</v>
      </c>
      <c r="X1567">
        <v>2017</v>
      </c>
      <c r="Y1567">
        <v>2018</v>
      </c>
      <c r="Z1567">
        <v>1022.9</v>
      </c>
      <c r="AB1567" t="s">
        <v>181</v>
      </c>
      <c r="AC1567" t="s">
        <v>182</v>
      </c>
      <c r="AD1567" t="s">
        <v>183</v>
      </c>
      <c r="AE1567">
        <v>0</v>
      </c>
      <c r="AF1567">
        <v>2</v>
      </c>
      <c r="AG1567" t="s">
        <v>216</v>
      </c>
      <c r="AH1567">
        <v>100</v>
      </c>
      <c r="AK1567">
        <v>0</v>
      </c>
      <c r="AL1567">
        <v>67739</v>
      </c>
      <c r="AM1567">
        <v>50000</v>
      </c>
      <c r="AN1567">
        <v>17739</v>
      </c>
      <c r="AO1567">
        <v>767</v>
      </c>
      <c r="AP1567">
        <v>2016</v>
      </c>
      <c r="AQ1567">
        <v>1.51</v>
      </c>
      <c r="AS1567" t="s">
        <v>19894</v>
      </c>
      <c r="AT1567" t="s">
        <v>15040</v>
      </c>
      <c r="AU1567" t="s">
        <v>177</v>
      </c>
      <c r="AV1567" t="s">
        <v>371</v>
      </c>
      <c r="AW1567" t="s">
        <v>182</v>
      </c>
      <c r="AX1567">
        <v>2</v>
      </c>
      <c r="AY1567" t="s">
        <v>188</v>
      </c>
      <c r="AZ1567" t="s">
        <v>189</v>
      </c>
      <c r="BA1567" t="s">
        <v>190</v>
      </c>
      <c r="BB1567" t="s">
        <v>191</v>
      </c>
      <c r="BC1567" t="s">
        <v>182</v>
      </c>
      <c r="BD1567" t="s">
        <v>182</v>
      </c>
      <c r="BE1567" t="s">
        <v>365</v>
      </c>
      <c r="BF1567">
        <v>1</v>
      </c>
      <c r="BG1567">
        <v>1</v>
      </c>
      <c r="BH1567">
        <v>1991</v>
      </c>
      <c r="BI1567" t="s">
        <v>14017</v>
      </c>
      <c r="BJ1567" t="s">
        <v>194</v>
      </c>
      <c r="BK1567" t="s">
        <v>195</v>
      </c>
      <c r="BL1567" t="s">
        <v>199</v>
      </c>
      <c r="BM1567" t="s">
        <v>302</v>
      </c>
      <c r="BN1567" t="s">
        <v>182</v>
      </c>
      <c r="BO1567" t="s">
        <v>19895</v>
      </c>
      <c r="BP1567" t="s">
        <v>19896</v>
      </c>
      <c r="BQ1567" t="s">
        <v>226</v>
      </c>
      <c r="BR1567" t="s">
        <v>227</v>
      </c>
      <c r="BS1567" t="s">
        <v>198</v>
      </c>
      <c r="BT1567" t="s">
        <v>228</v>
      </c>
      <c r="BU1567" t="s">
        <v>182</v>
      </c>
      <c r="BV1567" t="s">
        <v>198</v>
      </c>
      <c r="BW1567" t="s">
        <v>198</v>
      </c>
      <c r="BX1567" t="s">
        <v>199</v>
      </c>
      <c r="BY1567" t="s">
        <v>198</v>
      </c>
      <c r="BZ1567" t="s">
        <v>199</v>
      </c>
      <c r="CA1567" t="s">
        <v>199</v>
      </c>
      <c r="CB1567" t="s">
        <v>19897</v>
      </c>
      <c r="CC1567" t="s">
        <v>201</v>
      </c>
      <c r="CD1567" t="s">
        <v>182</v>
      </c>
      <c r="CE1567" t="s">
        <v>19898</v>
      </c>
      <c r="CF1567" t="s">
        <v>5331</v>
      </c>
      <c r="CG1567" t="s">
        <v>177</v>
      </c>
      <c r="CH1567" t="s">
        <v>371</v>
      </c>
      <c r="CI1567" t="s">
        <v>1972</v>
      </c>
      <c r="CJ1567" t="s">
        <v>9352</v>
      </c>
      <c r="CK1567" t="s">
        <v>302</v>
      </c>
      <c r="CL1567" t="s">
        <v>303</v>
      </c>
      <c r="CM1567" t="s">
        <v>15550</v>
      </c>
      <c r="CN1567" t="s">
        <v>3342</v>
      </c>
      <c r="CO1567" t="s">
        <v>183</v>
      </c>
      <c r="CP1567" t="s">
        <v>211</v>
      </c>
      <c r="CQ1567" t="s">
        <v>342</v>
      </c>
      <c r="CS1567" t="s">
        <v>1097</v>
      </c>
      <c r="CT1567" t="s">
        <v>7613</v>
      </c>
      <c r="CU1567" t="s">
        <v>238</v>
      </c>
      <c r="CV1567" t="s">
        <v>239</v>
      </c>
      <c r="CW1567" t="s">
        <v>19899</v>
      </c>
      <c r="CX1567" t="s">
        <v>278</v>
      </c>
      <c r="CY1567" t="s">
        <v>183</v>
      </c>
      <c r="CZ1567" t="s">
        <v>211</v>
      </c>
      <c r="DA1567" t="s">
        <v>298</v>
      </c>
      <c r="DC1567" t="s">
        <v>546</v>
      </c>
      <c r="DM1567" t="s">
        <v>198</v>
      </c>
      <c r="DW1567" t="s">
        <v>198</v>
      </c>
      <c r="EG1567" t="s">
        <v>198</v>
      </c>
      <c r="EQ1567" t="s">
        <v>198</v>
      </c>
      <c r="FA1567" t="s">
        <v>198</v>
      </c>
      <c r="FK1567" t="s">
        <v>198</v>
      </c>
      <c r="FU1567" t="s">
        <v>198</v>
      </c>
    </row>
    <row r="1568" spans="1:177">
      <c r="A1568" s="1" t="str">
        <f>HYPERLINK("http://digipan.lumentumllc.com/apps/getLink/index.php?t=PropLink&amp;p=5247231","PL")</f>
        <v>PL</v>
      </c>
      <c r="B1568" s="1" t="str">
        <f>HYPERLINK("http://digipan.lumentumllc.com/apps/getLink/index.php?t=TaxLink&amp;p=5247231","TL")</f>
        <v>TL</v>
      </c>
      <c r="C1568" s="1" t="str">
        <f>HYPERLINK("http://digipan.lumentumllc.com/apps/getMap/index.php?p=5247231","Map")</f>
        <v>Map</v>
      </c>
      <c r="E1568" t="s">
        <v>177</v>
      </c>
      <c r="F1568" t="s">
        <v>178</v>
      </c>
      <c r="L1568" t="s">
        <v>19900</v>
      </c>
      <c r="N1568" t="s">
        <v>19900</v>
      </c>
      <c r="O1568" t="s">
        <v>19900</v>
      </c>
      <c r="P1568" t="s">
        <v>19901</v>
      </c>
      <c r="Q1568" t="s">
        <v>19900</v>
      </c>
      <c r="V1568">
        <v>1802</v>
      </c>
      <c r="W1568">
        <v>6</v>
      </c>
      <c r="X1568">
        <v>2017</v>
      </c>
      <c r="Y1568">
        <v>2018</v>
      </c>
      <c r="Z1568">
        <v>582.4</v>
      </c>
      <c r="AB1568" t="s">
        <v>181</v>
      </c>
      <c r="AC1568" t="s">
        <v>182</v>
      </c>
      <c r="AD1568" t="s">
        <v>183</v>
      </c>
      <c r="AE1568">
        <v>0</v>
      </c>
      <c r="AF1568">
        <v>1</v>
      </c>
      <c r="AG1568" t="s">
        <v>821</v>
      </c>
      <c r="AH1568">
        <v>100</v>
      </c>
      <c r="AK1568">
        <v>0</v>
      </c>
      <c r="AL1568">
        <v>80742</v>
      </c>
      <c r="AM1568">
        <v>50000</v>
      </c>
      <c r="AN1568">
        <v>30742</v>
      </c>
      <c r="AO1568">
        <v>462</v>
      </c>
      <c r="AP1568">
        <v>2016</v>
      </c>
      <c r="AQ1568">
        <v>0.72</v>
      </c>
      <c r="AS1568" t="s">
        <v>19902</v>
      </c>
      <c r="AT1568" t="s">
        <v>15040</v>
      </c>
      <c r="AU1568" t="s">
        <v>177</v>
      </c>
      <c r="AV1568" t="s">
        <v>371</v>
      </c>
      <c r="AW1568" t="s">
        <v>202</v>
      </c>
      <c r="AX1568">
        <v>2</v>
      </c>
      <c r="AY1568" t="s">
        <v>188</v>
      </c>
      <c r="AZ1568" t="s">
        <v>189</v>
      </c>
      <c r="BA1568" t="s">
        <v>190</v>
      </c>
      <c r="BB1568" t="s">
        <v>191</v>
      </c>
      <c r="BC1568" t="s">
        <v>182</v>
      </c>
      <c r="BD1568" t="s">
        <v>182</v>
      </c>
      <c r="BE1568" t="s">
        <v>365</v>
      </c>
      <c r="BF1568">
        <v>1</v>
      </c>
      <c r="BG1568">
        <v>1</v>
      </c>
      <c r="BH1568">
        <v>1999</v>
      </c>
      <c r="BI1568" t="s">
        <v>2209</v>
      </c>
      <c r="BJ1568" t="s">
        <v>194</v>
      </c>
      <c r="BK1568" t="s">
        <v>195</v>
      </c>
      <c r="BL1568" t="s">
        <v>1081</v>
      </c>
      <c r="BM1568" t="s">
        <v>267</v>
      </c>
      <c r="BN1568" t="s">
        <v>182</v>
      </c>
      <c r="BO1568" t="s">
        <v>19903</v>
      </c>
      <c r="BP1568" t="s">
        <v>19904</v>
      </c>
      <c r="BQ1568" t="s">
        <v>603</v>
      </c>
      <c r="BR1568" t="s">
        <v>563</v>
      </c>
      <c r="BS1568" t="s">
        <v>198</v>
      </c>
      <c r="BT1568" t="s">
        <v>19905</v>
      </c>
      <c r="BU1568" t="s">
        <v>182</v>
      </c>
      <c r="BV1568" t="s">
        <v>198</v>
      </c>
      <c r="BW1568" t="s">
        <v>198</v>
      </c>
      <c r="BX1568" t="s">
        <v>199</v>
      </c>
      <c r="BY1568" t="s">
        <v>198</v>
      </c>
      <c r="BZ1568" t="s">
        <v>199</v>
      </c>
      <c r="CA1568" t="s">
        <v>199</v>
      </c>
      <c r="CB1568" t="s">
        <v>19906</v>
      </c>
      <c r="CC1568" t="s">
        <v>201</v>
      </c>
      <c r="CD1568" t="s">
        <v>202</v>
      </c>
      <c r="CE1568" t="s">
        <v>19907</v>
      </c>
      <c r="CF1568" t="s">
        <v>5331</v>
      </c>
      <c r="CG1568" t="s">
        <v>177</v>
      </c>
      <c r="CH1568" t="s">
        <v>371</v>
      </c>
      <c r="CI1568" t="s">
        <v>19908</v>
      </c>
      <c r="CJ1568" t="s">
        <v>1143</v>
      </c>
      <c r="CK1568" t="s">
        <v>292</v>
      </c>
      <c r="CL1568" t="s">
        <v>293</v>
      </c>
      <c r="CM1568" t="s">
        <v>19909</v>
      </c>
      <c r="CN1568" t="s">
        <v>235</v>
      </c>
      <c r="CO1568" t="s">
        <v>183</v>
      </c>
      <c r="CP1568" t="s">
        <v>211</v>
      </c>
      <c r="CQ1568" t="s">
        <v>342</v>
      </c>
      <c r="CS1568" t="s">
        <v>785</v>
      </c>
      <c r="DC1568" t="s">
        <v>198</v>
      </c>
      <c r="DM1568" t="s">
        <v>198</v>
      </c>
      <c r="DW1568" t="s">
        <v>198</v>
      </c>
      <c r="EG1568" t="s">
        <v>198</v>
      </c>
      <c r="EQ1568" t="s">
        <v>198</v>
      </c>
      <c r="FA1568" t="s">
        <v>198</v>
      </c>
      <c r="FK1568" t="s">
        <v>198</v>
      </c>
      <c r="FU1568" t="s">
        <v>198</v>
      </c>
    </row>
    <row r="1569" spans="1:177">
      <c r="A1569" s="1" t="str">
        <f>HYPERLINK("http://digipan.lumentumllc.com/apps/getLink/index.php?t=PropLink&amp;p=4638203","PL")</f>
        <v>PL</v>
      </c>
      <c r="B1569" s="1" t="str">
        <f>HYPERLINK("http://digipan.lumentumllc.com/apps/getLink/index.php?t=TaxLink&amp;p=4638203","TL")</f>
        <v>TL</v>
      </c>
      <c r="C1569" s="1" t="str">
        <f>HYPERLINK("http://digipan.lumentumllc.com/apps/getMap/index.php?p=4638203","Map")</f>
        <v>Map</v>
      </c>
      <c r="E1569" t="s">
        <v>177</v>
      </c>
      <c r="F1569" t="s">
        <v>178</v>
      </c>
      <c r="L1569" t="s">
        <v>19910</v>
      </c>
      <c r="N1569" t="s">
        <v>19910</v>
      </c>
      <c r="O1569" t="s">
        <v>19910</v>
      </c>
      <c r="P1569" t="s">
        <v>19911</v>
      </c>
      <c r="Q1569" t="s">
        <v>19910</v>
      </c>
      <c r="V1569">
        <v>1803</v>
      </c>
      <c r="W1569">
        <v>6</v>
      </c>
      <c r="X1569">
        <v>2017</v>
      </c>
      <c r="Y1569">
        <v>2018</v>
      </c>
      <c r="Z1569">
        <v>528.46</v>
      </c>
      <c r="AB1569" t="s">
        <v>181</v>
      </c>
      <c r="AC1569" t="s">
        <v>182</v>
      </c>
      <c r="AD1569" t="s">
        <v>183</v>
      </c>
      <c r="AE1569">
        <v>0</v>
      </c>
      <c r="AF1569">
        <v>2</v>
      </c>
      <c r="AG1569" t="s">
        <v>216</v>
      </c>
      <c r="AH1569">
        <v>100</v>
      </c>
      <c r="AK1569">
        <v>0</v>
      </c>
      <c r="AL1569">
        <v>62212</v>
      </c>
      <c r="AM1569">
        <v>23750</v>
      </c>
      <c r="AN1569">
        <v>38462</v>
      </c>
      <c r="AO1569">
        <v>823</v>
      </c>
      <c r="AP1569">
        <v>2016</v>
      </c>
      <c r="AQ1569">
        <v>0.85</v>
      </c>
      <c r="AS1569" t="s">
        <v>19912</v>
      </c>
      <c r="AT1569" t="s">
        <v>15040</v>
      </c>
      <c r="AU1569" t="s">
        <v>177</v>
      </c>
      <c r="AV1569" t="s">
        <v>371</v>
      </c>
      <c r="AW1569" t="s">
        <v>202</v>
      </c>
      <c r="AX1569">
        <v>2</v>
      </c>
      <c r="AY1569" t="s">
        <v>188</v>
      </c>
      <c r="AZ1569" t="s">
        <v>189</v>
      </c>
      <c r="BA1569" t="s">
        <v>190</v>
      </c>
      <c r="BB1569" t="s">
        <v>191</v>
      </c>
      <c r="BC1569" t="s">
        <v>182</v>
      </c>
      <c r="BD1569" t="s">
        <v>182</v>
      </c>
      <c r="BE1569" t="s">
        <v>383</v>
      </c>
      <c r="BF1569">
        <v>1</v>
      </c>
      <c r="BG1569">
        <v>1</v>
      </c>
      <c r="BH1569">
        <v>1997</v>
      </c>
      <c r="BI1569" t="s">
        <v>1291</v>
      </c>
      <c r="BJ1569" t="s">
        <v>396</v>
      </c>
      <c r="BK1569" t="s">
        <v>195</v>
      </c>
      <c r="BL1569" t="s">
        <v>9709</v>
      </c>
      <c r="BM1569" t="s">
        <v>292</v>
      </c>
      <c r="BN1569" t="s">
        <v>182</v>
      </c>
      <c r="BO1569" t="s">
        <v>19913</v>
      </c>
      <c r="BP1569" t="s">
        <v>19914</v>
      </c>
      <c r="BR1569" t="s">
        <v>1723</v>
      </c>
      <c r="BS1569" t="s">
        <v>2662</v>
      </c>
      <c r="BT1569" t="s">
        <v>198</v>
      </c>
      <c r="BU1569" t="s">
        <v>182</v>
      </c>
      <c r="BV1569" t="s">
        <v>198</v>
      </c>
      <c r="BW1569" t="s">
        <v>198</v>
      </c>
      <c r="BX1569" t="s">
        <v>199</v>
      </c>
      <c r="BY1569" t="s">
        <v>198</v>
      </c>
      <c r="BZ1569" t="s">
        <v>199</v>
      </c>
      <c r="CA1569" t="s">
        <v>199</v>
      </c>
      <c r="CB1569" t="s">
        <v>19915</v>
      </c>
      <c r="CC1569" t="s">
        <v>201</v>
      </c>
      <c r="CD1569" t="s">
        <v>182</v>
      </c>
      <c r="CE1569" t="s">
        <v>19916</v>
      </c>
      <c r="CF1569" t="s">
        <v>5331</v>
      </c>
      <c r="CG1569" t="s">
        <v>177</v>
      </c>
      <c r="CH1569" t="s">
        <v>371</v>
      </c>
      <c r="CI1569" t="s">
        <v>19917</v>
      </c>
      <c r="CJ1569" t="s">
        <v>18905</v>
      </c>
      <c r="CK1569" t="s">
        <v>273</v>
      </c>
      <c r="CL1569" t="s">
        <v>274</v>
      </c>
      <c r="CM1569" t="s">
        <v>19918</v>
      </c>
      <c r="CN1569" t="s">
        <v>235</v>
      </c>
      <c r="CO1569" t="s">
        <v>183</v>
      </c>
      <c r="CP1569" t="s">
        <v>211</v>
      </c>
      <c r="CQ1569" t="s">
        <v>290</v>
      </c>
      <c r="CS1569" t="s">
        <v>19919</v>
      </c>
      <c r="CT1569" t="s">
        <v>19920</v>
      </c>
      <c r="CU1569" t="s">
        <v>238</v>
      </c>
      <c r="CV1569" t="s">
        <v>239</v>
      </c>
      <c r="CW1569" t="s">
        <v>19921</v>
      </c>
      <c r="CX1569" t="s">
        <v>278</v>
      </c>
      <c r="CY1569" t="s">
        <v>183</v>
      </c>
      <c r="CZ1569" t="s">
        <v>211</v>
      </c>
      <c r="DA1569" t="s">
        <v>329</v>
      </c>
      <c r="DC1569" t="s">
        <v>8707</v>
      </c>
      <c r="DM1569" t="s">
        <v>198</v>
      </c>
      <c r="DW1569" t="s">
        <v>198</v>
      </c>
      <c r="EG1569" t="s">
        <v>198</v>
      </c>
      <c r="EQ1569" t="s">
        <v>198</v>
      </c>
      <c r="FA1569" t="s">
        <v>198</v>
      </c>
      <c r="FK1569" t="s">
        <v>198</v>
      </c>
      <c r="FU1569" t="s">
        <v>198</v>
      </c>
    </row>
    <row r="1570" spans="1:177">
      <c r="A1570" s="1" t="str">
        <f>HYPERLINK("http://digipan.lumentumllc.com/apps/getLink/index.php?t=PropLink&amp;p=4638278","PL")</f>
        <v>PL</v>
      </c>
      <c r="B1570" s="1" t="str">
        <f>HYPERLINK("http://digipan.lumentumllc.com/apps/getLink/index.php?t=TaxLink&amp;p=4638278","TL")</f>
        <v>TL</v>
      </c>
      <c r="C1570" s="1" t="str">
        <f>HYPERLINK("http://digipan.lumentumllc.com/apps/getMap/index.php?p=4638278","Map")</f>
        <v>Map</v>
      </c>
      <c r="E1570" t="s">
        <v>177</v>
      </c>
      <c r="F1570" t="s">
        <v>178</v>
      </c>
      <c r="L1570" t="s">
        <v>19922</v>
      </c>
      <c r="N1570" t="s">
        <v>19922</v>
      </c>
      <c r="O1570" t="s">
        <v>19922</v>
      </c>
      <c r="P1570" t="s">
        <v>19923</v>
      </c>
      <c r="Q1570" t="s">
        <v>19922</v>
      </c>
      <c r="V1570">
        <v>1804</v>
      </c>
      <c r="W1570">
        <v>6</v>
      </c>
      <c r="X1570">
        <v>2017</v>
      </c>
      <c r="Y1570">
        <v>2018</v>
      </c>
      <c r="Z1570">
        <v>1252.79</v>
      </c>
      <c r="AB1570" t="s">
        <v>181</v>
      </c>
      <c r="AC1570" t="s">
        <v>182</v>
      </c>
      <c r="AD1570" t="s">
        <v>183</v>
      </c>
      <c r="AE1570">
        <v>1</v>
      </c>
      <c r="AF1570">
        <v>7</v>
      </c>
      <c r="AG1570" t="s">
        <v>418</v>
      </c>
      <c r="AH1570">
        <v>86</v>
      </c>
      <c r="AI1570">
        <v>1265.46</v>
      </c>
      <c r="AJ1570">
        <v>63.27</v>
      </c>
      <c r="AK1570">
        <v>1328.73</v>
      </c>
      <c r="AL1570">
        <v>73834</v>
      </c>
      <c r="AM1570">
        <v>73834</v>
      </c>
      <c r="AN1570">
        <v>0</v>
      </c>
      <c r="AO1570">
        <v>1145</v>
      </c>
      <c r="AP1570">
        <v>2016</v>
      </c>
      <c r="AQ1570">
        <v>1.7</v>
      </c>
      <c r="AR1570">
        <v>1.8</v>
      </c>
      <c r="AS1570" t="s">
        <v>19924</v>
      </c>
      <c r="AT1570" t="s">
        <v>15040</v>
      </c>
      <c r="AU1570" t="s">
        <v>177</v>
      </c>
      <c r="AV1570" t="s">
        <v>371</v>
      </c>
      <c r="AW1570" t="s">
        <v>182</v>
      </c>
      <c r="AX1570">
        <v>10</v>
      </c>
      <c r="AY1570" t="s">
        <v>3211</v>
      </c>
      <c r="AZ1570" t="s">
        <v>270</v>
      </c>
      <c r="BA1570" t="s">
        <v>3212</v>
      </c>
      <c r="BB1570" t="s">
        <v>191</v>
      </c>
      <c r="BC1570" t="s">
        <v>182</v>
      </c>
      <c r="BD1570" t="s">
        <v>182</v>
      </c>
      <c r="BE1570" t="s">
        <v>19925</v>
      </c>
      <c r="BF1570">
        <v>0</v>
      </c>
      <c r="BG1570">
        <v>0</v>
      </c>
      <c r="BH1570">
        <v>0</v>
      </c>
      <c r="BI1570" t="s">
        <v>199</v>
      </c>
      <c r="BJ1570" t="s">
        <v>194</v>
      </c>
      <c r="BL1570" t="s">
        <v>19926</v>
      </c>
      <c r="BM1570" t="s">
        <v>559</v>
      </c>
      <c r="BN1570" t="s">
        <v>182</v>
      </c>
      <c r="BO1570" t="s">
        <v>198</v>
      </c>
      <c r="BP1570" t="s">
        <v>198</v>
      </c>
      <c r="BQ1570" t="s">
        <v>198</v>
      </c>
      <c r="BR1570" t="s">
        <v>198</v>
      </c>
      <c r="BS1570" t="s">
        <v>198</v>
      </c>
      <c r="BT1570" t="s">
        <v>198</v>
      </c>
      <c r="BU1570" t="s">
        <v>182</v>
      </c>
      <c r="BV1570" t="s">
        <v>198</v>
      </c>
      <c r="BW1570" t="s">
        <v>198</v>
      </c>
      <c r="BX1570" t="s">
        <v>199</v>
      </c>
      <c r="BY1570" t="s">
        <v>198</v>
      </c>
      <c r="BZ1570" t="s">
        <v>199</v>
      </c>
      <c r="CA1570" t="s">
        <v>199</v>
      </c>
      <c r="CB1570" t="s">
        <v>19927</v>
      </c>
      <c r="CC1570" t="s">
        <v>201</v>
      </c>
      <c r="CD1570" t="s">
        <v>182</v>
      </c>
      <c r="CE1570" t="s">
        <v>19928</v>
      </c>
      <c r="CF1570" t="s">
        <v>413</v>
      </c>
      <c r="CG1570" t="s">
        <v>177</v>
      </c>
      <c r="CH1570" t="s">
        <v>685</v>
      </c>
      <c r="CI1570" t="s">
        <v>19929</v>
      </c>
      <c r="CJ1570" t="s">
        <v>786</v>
      </c>
      <c r="CK1570" t="s">
        <v>232</v>
      </c>
      <c r="CL1570" t="s">
        <v>233</v>
      </c>
      <c r="CM1570" t="s">
        <v>19930</v>
      </c>
      <c r="CN1570" t="s">
        <v>235</v>
      </c>
      <c r="CO1570" t="s">
        <v>183</v>
      </c>
      <c r="CP1570" t="s">
        <v>266</v>
      </c>
      <c r="CS1570" t="s">
        <v>198</v>
      </c>
      <c r="CT1570" t="s">
        <v>17438</v>
      </c>
      <c r="CU1570" t="s">
        <v>292</v>
      </c>
      <c r="CV1570" t="s">
        <v>293</v>
      </c>
      <c r="CW1570" t="s">
        <v>19931</v>
      </c>
      <c r="CX1570" t="s">
        <v>235</v>
      </c>
      <c r="CY1570" t="s">
        <v>183</v>
      </c>
      <c r="CZ1570" t="s">
        <v>211</v>
      </c>
      <c r="DA1570" t="s">
        <v>206</v>
      </c>
      <c r="DC1570" t="s">
        <v>19932</v>
      </c>
      <c r="DD1570" t="s">
        <v>18099</v>
      </c>
      <c r="DE1570" t="s">
        <v>267</v>
      </c>
      <c r="DF1570" t="s">
        <v>268</v>
      </c>
      <c r="DG1570" t="s">
        <v>19933</v>
      </c>
      <c r="DH1570" t="s">
        <v>331</v>
      </c>
      <c r="DI1570" t="s">
        <v>183</v>
      </c>
      <c r="DJ1570" t="s">
        <v>211</v>
      </c>
      <c r="DK1570" t="s">
        <v>306</v>
      </c>
      <c r="DM1570" t="s">
        <v>19932</v>
      </c>
      <c r="DN1570" t="s">
        <v>19934</v>
      </c>
      <c r="DO1570" t="s">
        <v>273</v>
      </c>
      <c r="DP1570" t="s">
        <v>268</v>
      </c>
      <c r="DQ1570" t="s">
        <v>19935</v>
      </c>
      <c r="DR1570" t="s">
        <v>400</v>
      </c>
      <c r="DS1570" t="s">
        <v>183</v>
      </c>
      <c r="DT1570" t="s">
        <v>211</v>
      </c>
      <c r="DU1570" t="s">
        <v>306</v>
      </c>
      <c r="DW1570" t="s">
        <v>19932</v>
      </c>
      <c r="DX1570" t="s">
        <v>19936</v>
      </c>
      <c r="DY1570" t="s">
        <v>302</v>
      </c>
      <c r="DZ1570" t="s">
        <v>303</v>
      </c>
      <c r="EA1570" t="s">
        <v>19937</v>
      </c>
      <c r="EB1570" t="s">
        <v>436</v>
      </c>
      <c r="EC1570" t="s">
        <v>183</v>
      </c>
      <c r="ED1570" t="s">
        <v>211</v>
      </c>
      <c r="EE1570" t="s">
        <v>847</v>
      </c>
      <c r="EG1570" t="s">
        <v>19938</v>
      </c>
      <c r="EH1570" t="s">
        <v>19939</v>
      </c>
      <c r="EI1570" t="s">
        <v>238</v>
      </c>
      <c r="EJ1570" t="s">
        <v>239</v>
      </c>
      <c r="EK1570" t="s">
        <v>19940</v>
      </c>
      <c r="EL1570" t="s">
        <v>278</v>
      </c>
      <c r="EM1570" t="s">
        <v>183</v>
      </c>
      <c r="EN1570" t="s">
        <v>211</v>
      </c>
      <c r="EO1570" t="s">
        <v>337</v>
      </c>
      <c r="EQ1570" t="s">
        <v>2971</v>
      </c>
      <c r="ER1570" t="s">
        <v>19941</v>
      </c>
      <c r="ES1570" t="s">
        <v>346</v>
      </c>
      <c r="ET1570" t="s">
        <v>239</v>
      </c>
      <c r="EU1570" t="s">
        <v>19942</v>
      </c>
      <c r="EV1570" t="s">
        <v>278</v>
      </c>
      <c r="EW1570" t="s">
        <v>183</v>
      </c>
      <c r="EX1570" t="s">
        <v>211</v>
      </c>
      <c r="EY1570" t="s">
        <v>337</v>
      </c>
      <c r="FA1570" t="s">
        <v>2971</v>
      </c>
      <c r="FB1570" t="s">
        <v>19943</v>
      </c>
      <c r="FC1570" t="s">
        <v>207</v>
      </c>
      <c r="FD1570" t="s">
        <v>208</v>
      </c>
      <c r="FE1570" t="s">
        <v>19944</v>
      </c>
      <c r="FF1570" t="s">
        <v>341</v>
      </c>
      <c r="FG1570" t="s">
        <v>183</v>
      </c>
      <c r="FH1570" t="s">
        <v>211</v>
      </c>
      <c r="FI1570" t="s">
        <v>1128</v>
      </c>
      <c r="FK1570" t="s">
        <v>2971</v>
      </c>
      <c r="FU1570" t="s">
        <v>198</v>
      </c>
    </row>
    <row r="1571" spans="1:177">
      <c r="A1571" s="1" t="str">
        <f>HYPERLINK("http://digipan.lumentumllc.com/apps/getLink/index.php?t=PropLink&amp;p=5247467","PL")</f>
        <v>PL</v>
      </c>
      <c r="B1571" s="1" t="str">
        <f>HYPERLINK("http://digipan.lumentumllc.com/apps/getLink/index.php?t=TaxLink&amp;p=5247467","TL")</f>
        <v>TL</v>
      </c>
      <c r="C1571" s="1" t="str">
        <f>HYPERLINK("http://digipan.lumentumllc.com/apps/getMap/index.php?p=5247467","Map")</f>
        <v>Map</v>
      </c>
      <c r="E1571" t="s">
        <v>177</v>
      </c>
      <c r="F1571" t="s">
        <v>178</v>
      </c>
      <c r="L1571" t="s">
        <v>19945</v>
      </c>
      <c r="N1571" t="s">
        <v>19945</v>
      </c>
      <c r="O1571" t="s">
        <v>19945</v>
      </c>
      <c r="P1571" t="s">
        <v>19946</v>
      </c>
      <c r="Q1571" t="s">
        <v>19945</v>
      </c>
      <c r="V1571">
        <v>1805</v>
      </c>
      <c r="W1571">
        <v>6</v>
      </c>
      <c r="X1571">
        <v>2017</v>
      </c>
      <c r="Y1571">
        <v>2018</v>
      </c>
      <c r="Z1571">
        <v>7376.4</v>
      </c>
      <c r="AB1571" t="s">
        <v>181</v>
      </c>
      <c r="AC1571" t="s">
        <v>202</v>
      </c>
      <c r="AD1571" t="s">
        <v>183</v>
      </c>
      <c r="AE1571">
        <v>1</v>
      </c>
      <c r="AF1571">
        <v>6</v>
      </c>
      <c r="AG1571" t="s">
        <v>322</v>
      </c>
      <c r="AH1571">
        <v>83</v>
      </c>
      <c r="AI1571">
        <v>7498.76</v>
      </c>
      <c r="AJ1571">
        <v>374.94</v>
      </c>
      <c r="AK1571">
        <v>7873.7</v>
      </c>
      <c r="AL1571">
        <v>444192</v>
      </c>
      <c r="AM1571">
        <v>240000</v>
      </c>
      <c r="AN1571">
        <v>204192</v>
      </c>
      <c r="AO1571">
        <v>6909</v>
      </c>
      <c r="AP1571">
        <v>2016</v>
      </c>
      <c r="AQ1571">
        <v>1.66</v>
      </c>
      <c r="AR1571">
        <v>1.77</v>
      </c>
      <c r="AS1571" t="s">
        <v>19947</v>
      </c>
      <c r="AT1571" t="s">
        <v>15040</v>
      </c>
      <c r="AU1571" t="s">
        <v>177</v>
      </c>
      <c r="AV1571" t="s">
        <v>371</v>
      </c>
      <c r="AW1571" t="s">
        <v>182</v>
      </c>
      <c r="AX1571">
        <v>1</v>
      </c>
      <c r="AY1571" t="s">
        <v>188</v>
      </c>
      <c r="AZ1571" t="s">
        <v>206</v>
      </c>
      <c r="BA1571" t="s">
        <v>355</v>
      </c>
      <c r="BB1571" t="s">
        <v>191</v>
      </c>
      <c r="BC1571" t="s">
        <v>182</v>
      </c>
      <c r="BD1571" t="s">
        <v>182</v>
      </c>
      <c r="BE1571" t="s">
        <v>14631</v>
      </c>
      <c r="BF1571">
        <v>1</v>
      </c>
      <c r="BG1571">
        <v>1</v>
      </c>
      <c r="BH1571">
        <v>1997</v>
      </c>
      <c r="BI1571" t="s">
        <v>12542</v>
      </c>
      <c r="BJ1571" t="s">
        <v>396</v>
      </c>
      <c r="BK1571" t="s">
        <v>195</v>
      </c>
      <c r="BL1571" t="s">
        <v>19948</v>
      </c>
      <c r="BM1571" t="s">
        <v>368</v>
      </c>
      <c r="BN1571" t="s">
        <v>182</v>
      </c>
      <c r="BO1571" t="s">
        <v>10245</v>
      </c>
      <c r="BP1571" t="s">
        <v>19949</v>
      </c>
      <c r="BQ1571" t="s">
        <v>800</v>
      </c>
      <c r="BS1571" t="s">
        <v>198</v>
      </c>
      <c r="BT1571" t="s">
        <v>583</v>
      </c>
      <c r="BU1571" t="s">
        <v>182</v>
      </c>
      <c r="BV1571" t="s">
        <v>198</v>
      </c>
      <c r="BW1571" t="s">
        <v>198</v>
      </c>
      <c r="BX1571" t="s">
        <v>199</v>
      </c>
      <c r="BY1571" t="s">
        <v>198</v>
      </c>
      <c r="BZ1571" t="s">
        <v>199</v>
      </c>
      <c r="CA1571" t="s">
        <v>199</v>
      </c>
      <c r="CB1571" t="s">
        <v>19950</v>
      </c>
      <c r="CC1571" t="s">
        <v>201</v>
      </c>
      <c r="CD1571" t="s">
        <v>182</v>
      </c>
      <c r="CE1571" t="s">
        <v>19951</v>
      </c>
      <c r="CF1571" t="s">
        <v>19602</v>
      </c>
      <c r="CG1571" t="s">
        <v>1602</v>
      </c>
      <c r="CH1571" t="s">
        <v>19952</v>
      </c>
      <c r="CI1571" t="s">
        <v>15218</v>
      </c>
      <c r="CJ1571" t="s">
        <v>17289</v>
      </c>
      <c r="CK1571" t="s">
        <v>232</v>
      </c>
      <c r="CL1571" t="s">
        <v>233</v>
      </c>
      <c r="CM1571" t="s">
        <v>19953</v>
      </c>
      <c r="CN1571" t="s">
        <v>235</v>
      </c>
      <c r="CO1571" t="s">
        <v>183</v>
      </c>
      <c r="CP1571" t="s">
        <v>266</v>
      </c>
      <c r="CS1571" t="s">
        <v>198</v>
      </c>
      <c r="CT1571" t="s">
        <v>17489</v>
      </c>
      <c r="CU1571" t="s">
        <v>292</v>
      </c>
      <c r="CV1571" t="s">
        <v>293</v>
      </c>
      <c r="CW1571" t="s">
        <v>19954</v>
      </c>
      <c r="CX1571" t="s">
        <v>235</v>
      </c>
      <c r="CY1571" t="s">
        <v>183</v>
      </c>
      <c r="CZ1571" t="s">
        <v>211</v>
      </c>
      <c r="DA1571" t="s">
        <v>298</v>
      </c>
      <c r="DC1571" t="s">
        <v>457</v>
      </c>
      <c r="DD1571" t="s">
        <v>9049</v>
      </c>
      <c r="DE1571" t="s">
        <v>273</v>
      </c>
      <c r="DF1571" t="s">
        <v>274</v>
      </c>
      <c r="DG1571" t="s">
        <v>19955</v>
      </c>
      <c r="DH1571" t="s">
        <v>235</v>
      </c>
      <c r="DI1571" t="s">
        <v>183</v>
      </c>
      <c r="DJ1571" t="s">
        <v>211</v>
      </c>
      <c r="DK1571" t="s">
        <v>212</v>
      </c>
      <c r="DM1571" t="s">
        <v>4967</v>
      </c>
      <c r="DN1571" t="s">
        <v>19956</v>
      </c>
      <c r="DO1571" t="s">
        <v>302</v>
      </c>
      <c r="DP1571" t="s">
        <v>303</v>
      </c>
      <c r="DQ1571" t="s">
        <v>19957</v>
      </c>
      <c r="DR1571" t="s">
        <v>235</v>
      </c>
      <c r="DS1571" t="s">
        <v>183</v>
      </c>
      <c r="DT1571" t="s">
        <v>211</v>
      </c>
      <c r="DU1571" t="s">
        <v>298</v>
      </c>
      <c r="DW1571" t="s">
        <v>2359</v>
      </c>
      <c r="DX1571" t="s">
        <v>19958</v>
      </c>
      <c r="DY1571" t="s">
        <v>238</v>
      </c>
      <c r="DZ1571" t="s">
        <v>239</v>
      </c>
      <c r="EA1571" t="s">
        <v>19959</v>
      </c>
      <c r="EB1571" t="s">
        <v>235</v>
      </c>
      <c r="EC1571" t="s">
        <v>183</v>
      </c>
      <c r="ED1571" t="s">
        <v>211</v>
      </c>
      <c r="EE1571" t="s">
        <v>337</v>
      </c>
      <c r="EG1571" t="s">
        <v>1349</v>
      </c>
      <c r="EH1571" t="s">
        <v>19960</v>
      </c>
      <c r="EI1571" t="s">
        <v>346</v>
      </c>
      <c r="EJ1571" t="s">
        <v>347</v>
      </c>
      <c r="EK1571" t="s">
        <v>19961</v>
      </c>
      <c r="EL1571" t="s">
        <v>235</v>
      </c>
      <c r="EM1571" t="s">
        <v>183</v>
      </c>
      <c r="EN1571" t="s">
        <v>211</v>
      </c>
      <c r="EO1571" t="s">
        <v>189</v>
      </c>
      <c r="EP1571" t="s">
        <v>271</v>
      </c>
      <c r="EQ1571" t="s">
        <v>4358</v>
      </c>
      <c r="ER1571" t="s">
        <v>8509</v>
      </c>
      <c r="ES1571" t="s">
        <v>207</v>
      </c>
      <c r="ET1571" t="s">
        <v>208</v>
      </c>
      <c r="EU1571" t="s">
        <v>19962</v>
      </c>
      <c r="EV1571" t="s">
        <v>235</v>
      </c>
      <c r="EW1571" t="s">
        <v>183</v>
      </c>
      <c r="EX1571" t="s">
        <v>211</v>
      </c>
      <c r="EY1571" t="s">
        <v>460</v>
      </c>
      <c r="EZ1571" t="s">
        <v>271</v>
      </c>
      <c r="FA1571" t="s">
        <v>4358</v>
      </c>
      <c r="FK1571" t="s">
        <v>198</v>
      </c>
      <c r="FU1571" t="s">
        <v>198</v>
      </c>
    </row>
    <row r="1572" spans="1:177">
      <c r="A1572" s="1" t="str">
        <f>HYPERLINK("http://digipan.lumentumllc.com/apps/getLink/index.php?t=PropLink&amp;p=15755794","PL")</f>
        <v>PL</v>
      </c>
      <c r="B1572" s="1" t="str">
        <f>HYPERLINK("http://digipan.lumentumllc.com/apps/getLink/index.php?t=TaxLink&amp;p=15755794","TL")</f>
        <v>TL</v>
      </c>
      <c r="C1572" s="1" t="str">
        <f>HYPERLINK("http://digipan.lumentumllc.com/apps/getMap/index.php?p=15755794","Map")</f>
        <v>Map</v>
      </c>
      <c r="E1572" t="s">
        <v>177</v>
      </c>
      <c r="F1572" t="s">
        <v>178</v>
      </c>
      <c r="L1572" t="s">
        <v>19963</v>
      </c>
      <c r="N1572" t="s">
        <v>19963</v>
      </c>
      <c r="O1572" t="s">
        <v>19963</v>
      </c>
      <c r="Q1572" t="s">
        <v>19963</v>
      </c>
      <c r="V1572">
        <v>1806</v>
      </c>
      <c r="W1572">
        <v>6</v>
      </c>
      <c r="X1572">
        <v>2017</v>
      </c>
      <c r="Y1572">
        <v>2018</v>
      </c>
      <c r="Z1572">
        <v>310.55</v>
      </c>
      <c r="AG1572" t="s">
        <v>184</v>
      </c>
      <c r="AH1572">
        <v>0</v>
      </c>
      <c r="AK1572">
        <v>0</v>
      </c>
      <c r="AL1572">
        <v>18000</v>
      </c>
      <c r="AM1572">
        <v>18000</v>
      </c>
      <c r="AN1572">
        <v>0</v>
      </c>
      <c r="AO1572">
        <v>249</v>
      </c>
      <c r="AP1572">
        <v>2016</v>
      </c>
      <c r="AQ1572">
        <v>1.73</v>
      </c>
      <c r="AS1572" t="s">
        <v>19964</v>
      </c>
      <c r="AT1572" t="s">
        <v>15040</v>
      </c>
      <c r="AU1572" t="s">
        <v>177</v>
      </c>
      <c r="AV1572" t="s">
        <v>371</v>
      </c>
      <c r="AW1572" t="s">
        <v>182</v>
      </c>
      <c r="AX1572">
        <v>4</v>
      </c>
      <c r="AY1572" t="s">
        <v>188</v>
      </c>
      <c r="AZ1572" t="s">
        <v>296</v>
      </c>
      <c r="BA1572" t="s">
        <v>19069</v>
      </c>
      <c r="BB1572" t="s">
        <v>191</v>
      </c>
      <c r="BC1572" t="s">
        <v>182</v>
      </c>
      <c r="BD1572" t="s">
        <v>182</v>
      </c>
      <c r="BE1572" t="s">
        <v>1722</v>
      </c>
      <c r="BF1572">
        <v>0</v>
      </c>
      <c r="BG1572">
        <v>0</v>
      </c>
      <c r="BH1572">
        <v>0</v>
      </c>
      <c r="BI1572" t="s">
        <v>199</v>
      </c>
      <c r="BJ1572" t="s">
        <v>396</v>
      </c>
      <c r="BL1572" t="s">
        <v>19965</v>
      </c>
      <c r="BM1572" t="s">
        <v>273</v>
      </c>
      <c r="BN1572" t="s">
        <v>182</v>
      </c>
      <c r="BO1572" t="s">
        <v>198</v>
      </c>
      <c r="BP1572" t="s">
        <v>198</v>
      </c>
      <c r="BQ1572" t="s">
        <v>198</v>
      </c>
      <c r="BR1572" t="s">
        <v>198</v>
      </c>
      <c r="BS1572" t="s">
        <v>198</v>
      </c>
      <c r="BT1572" t="s">
        <v>198</v>
      </c>
      <c r="BU1572" t="s">
        <v>182</v>
      </c>
      <c r="BV1572" t="s">
        <v>198</v>
      </c>
      <c r="BW1572" t="s">
        <v>198</v>
      </c>
      <c r="BX1572" t="s">
        <v>199</v>
      </c>
      <c r="BY1572" t="s">
        <v>198</v>
      </c>
      <c r="BZ1572" t="s">
        <v>199</v>
      </c>
      <c r="CA1572" t="s">
        <v>199</v>
      </c>
      <c r="CB1572" t="s">
        <v>19966</v>
      </c>
      <c r="CC1572" t="s">
        <v>201</v>
      </c>
      <c r="CD1572" t="s">
        <v>182</v>
      </c>
      <c r="CE1572" t="s">
        <v>19967</v>
      </c>
      <c r="CF1572" t="s">
        <v>19968</v>
      </c>
      <c r="CG1572" t="s">
        <v>9098</v>
      </c>
      <c r="CH1572" t="s">
        <v>19969</v>
      </c>
      <c r="CI1572" t="s">
        <v>19970</v>
      </c>
      <c r="CS1572" t="s">
        <v>198</v>
      </c>
      <c r="DC1572" t="s">
        <v>198</v>
      </c>
      <c r="DM1572" t="s">
        <v>198</v>
      </c>
      <c r="DW1572" t="s">
        <v>198</v>
      </c>
      <c r="EG1572" t="s">
        <v>198</v>
      </c>
      <c r="EQ1572" t="s">
        <v>198</v>
      </c>
      <c r="FA1572" t="s">
        <v>198</v>
      </c>
      <c r="FK1572" t="s">
        <v>198</v>
      </c>
      <c r="FU1572" t="s">
        <v>198</v>
      </c>
    </row>
    <row r="1573" spans="1:177">
      <c r="A1573" s="1" t="str">
        <f>HYPERLINK("http://digipan.lumentumllc.com/apps/getLink/index.php?t=PropLink&amp;p=15755795","PL")</f>
        <v>PL</v>
      </c>
      <c r="B1573" s="1" t="str">
        <f>HYPERLINK("http://digipan.lumentumllc.com/apps/getLink/index.php?t=TaxLink&amp;p=15755795","TL")</f>
        <v>TL</v>
      </c>
      <c r="C1573" s="1" t="str">
        <f>HYPERLINK("http://digipan.lumentumllc.com/apps/getMap/index.php?p=15755795","Map")</f>
        <v>Map</v>
      </c>
      <c r="E1573" t="s">
        <v>177</v>
      </c>
      <c r="F1573" t="s">
        <v>178</v>
      </c>
      <c r="L1573" t="s">
        <v>19971</v>
      </c>
      <c r="N1573" t="s">
        <v>19971</v>
      </c>
      <c r="O1573" t="s">
        <v>19971</v>
      </c>
      <c r="Q1573" t="s">
        <v>19971</v>
      </c>
      <c r="V1573">
        <v>1807</v>
      </c>
      <c r="W1573">
        <v>6</v>
      </c>
      <c r="X1573">
        <v>2017</v>
      </c>
      <c r="Y1573">
        <v>2018</v>
      </c>
      <c r="Z1573">
        <v>310.55</v>
      </c>
      <c r="AG1573" t="s">
        <v>184</v>
      </c>
      <c r="AH1573">
        <v>0</v>
      </c>
      <c r="AK1573">
        <v>0</v>
      </c>
      <c r="AL1573">
        <v>18000</v>
      </c>
      <c r="AM1573">
        <v>18000</v>
      </c>
      <c r="AN1573">
        <v>0</v>
      </c>
      <c r="AO1573">
        <v>249</v>
      </c>
      <c r="AP1573">
        <v>2016</v>
      </c>
      <c r="AQ1573">
        <v>1.73</v>
      </c>
      <c r="AS1573" t="s">
        <v>19972</v>
      </c>
      <c r="AT1573" t="s">
        <v>15040</v>
      </c>
      <c r="AU1573" t="s">
        <v>177</v>
      </c>
      <c r="AV1573" t="s">
        <v>371</v>
      </c>
      <c r="AW1573" t="s">
        <v>182</v>
      </c>
      <c r="AX1573">
        <v>4</v>
      </c>
      <c r="AY1573" t="s">
        <v>188</v>
      </c>
      <c r="AZ1573" t="s">
        <v>296</v>
      </c>
      <c r="BA1573" t="s">
        <v>19069</v>
      </c>
      <c r="BB1573" t="s">
        <v>191</v>
      </c>
      <c r="BC1573" t="s">
        <v>182</v>
      </c>
      <c r="BD1573" t="s">
        <v>182</v>
      </c>
      <c r="BE1573" t="s">
        <v>1722</v>
      </c>
      <c r="BF1573">
        <v>0</v>
      </c>
      <c r="BG1573">
        <v>0</v>
      </c>
      <c r="BH1573">
        <v>0</v>
      </c>
      <c r="BI1573" t="s">
        <v>199</v>
      </c>
      <c r="BJ1573" t="s">
        <v>396</v>
      </c>
      <c r="BL1573" t="s">
        <v>19965</v>
      </c>
      <c r="BM1573" t="s">
        <v>273</v>
      </c>
      <c r="BN1573" t="s">
        <v>182</v>
      </c>
      <c r="BO1573" t="s">
        <v>198</v>
      </c>
      <c r="BP1573" t="s">
        <v>198</v>
      </c>
      <c r="BQ1573" t="s">
        <v>198</v>
      </c>
      <c r="BR1573" t="s">
        <v>198</v>
      </c>
      <c r="BS1573" t="s">
        <v>198</v>
      </c>
      <c r="BT1573" t="s">
        <v>198</v>
      </c>
      <c r="BU1573" t="s">
        <v>182</v>
      </c>
      <c r="BV1573" t="s">
        <v>198</v>
      </c>
      <c r="BW1573" t="s">
        <v>198</v>
      </c>
      <c r="BX1573" t="s">
        <v>199</v>
      </c>
      <c r="BY1573" t="s">
        <v>198</v>
      </c>
      <c r="BZ1573" t="s">
        <v>199</v>
      </c>
      <c r="CA1573" t="s">
        <v>199</v>
      </c>
      <c r="CB1573" t="s">
        <v>19966</v>
      </c>
      <c r="CC1573" t="s">
        <v>201</v>
      </c>
      <c r="CD1573" t="s">
        <v>182</v>
      </c>
      <c r="CE1573" t="s">
        <v>19967</v>
      </c>
      <c r="CF1573" t="s">
        <v>19968</v>
      </c>
      <c r="CG1573" t="s">
        <v>9098</v>
      </c>
      <c r="CH1573" t="s">
        <v>19969</v>
      </c>
      <c r="CI1573" t="s">
        <v>19973</v>
      </c>
      <c r="CS1573" t="s">
        <v>198</v>
      </c>
      <c r="DC1573" t="s">
        <v>198</v>
      </c>
      <c r="DM1573" t="s">
        <v>198</v>
      </c>
      <c r="DW1573" t="s">
        <v>198</v>
      </c>
      <c r="EG1573" t="s">
        <v>198</v>
      </c>
      <c r="EQ1573" t="s">
        <v>198</v>
      </c>
      <c r="FA1573" t="s">
        <v>198</v>
      </c>
      <c r="FK1573" t="s">
        <v>198</v>
      </c>
      <c r="FU1573" t="s">
        <v>198</v>
      </c>
    </row>
    <row r="1574" spans="1:177">
      <c r="A1574" s="1" t="str">
        <f>HYPERLINK("http://digipan.lumentumllc.com/apps/getLink/index.php?t=PropLink&amp;p=15755796","PL")</f>
        <v>PL</v>
      </c>
      <c r="B1574" s="1" t="str">
        <f>HYPERLINK("http://digipan.lumentumllc.com/apps/getLink/index.php?t=TaxLink&amp;p=15755796","TL")</f>
        <v>TL</v>
      </c>
      <c r="C1574" s="1" t="str">
        <f>HYPERLINK("http://digipan.lumentumllc.com/apps/getMap/index.php?p=15755796","Map")</f>
        <v>Map</v>
      </c>
      <c r="E1574" t="s">
        <v>177</v>
      </c>
      <c r="F1574" t="s">
        <v>178</v>
      </c>
      <c r="L1574" t="s">
        <v>19974</v>
      </c>
      <c r="N1574" t="s">
        <v>19974</v>
      </c>
      <c r="O1574" t="s">
        <v>19974</v>
      </c>
      <c r="Q1574" t="s">
        <v>19974</v>
      </c>
      <c r="V1574">
        <v>1808</v>
      </c>
      <c r="W1574">
        <v>6</v>
      </c>
      <c r="X1574">
        <v>2017</v>
      </c>
      <c r="Y1574">
        <v>2018</v>
      </c>
      <c r="Z1574">
        <v>310.55</v>
      </c>
      <c r="AG1574" t="s">
        <v>184</v>
      </c>
      <c r="AH1574">
        <v>0</v>
      </c>
      <c r="AK1574">
        <v>0</v>
      </c>
      <c r="AL1574">
        <v>18000</v>
      </c>
      <c r="AM1574">
        <v>18000</v>
      </c>
      <c r="AN1574">
        <v>0</v>
      </c>
      <c r="AO1574">
        <v>249</v>
      </c>
      <c r="AP1574">
        <v>2016</v>
      </c>
      <c r="AQ1574">
        <v>1.73</v>
      </c>
      <c r="AS1574" t="s">
        <v>19975</v>
      </c>
      <c r="AT1574" t="s">
        <v>15040</v>
      </c>
      <c r="AU1574" t="s">
        <v>177</v>
      </c>
      <c r="AV1574" t="s">
        <v>371</v>
      </c>
      <c r="AW1574" t="s">
        <v>182</v>
      </c>
      <c r="AX1574">
        <v>4</v>
      </c>
      <c r="AY1574" t="s">
        <v>188</v>
      </c>
      <c r="AZ1574" t="s">
        <v>296</v>
      </c>
      <c r="BA1574" t="s">
        <v>19069</v>
      </c>
      <c r="BB1574" t="s">
        <v>191</v>
      </c>
      <c r="BC1574" t="s">
        <v>182</v>
      </c>
      <c r="BD1574" t="s">
        <v>182</v>
      </c>
      <c r="BE1574" t="s">
        <v>1722</v>
      </c>
      <c r="BF1574">
        <v>0</v>
      </c>
      <c r="BG1574">
        <v>0</v>
      </c>
      <c r="BH1574">
        <v>0</v>
      </c>
      <c r="BI1574" t="s">
        <v>199</v>
      </c>
      <c r="BJ1574" t="s">
        <v>396</v>
      </c>
      <c r="BL1574" t="s">
        <v>19965</v>
      </c>
      <c r="BM1574" t="s">
        <v>273</v>
      </c>
      <c r="BN1574" t="s">
        <v>182</v>
      </c>
      <c r="BO1574" t="s">
        <v>198</v>
      </c>
      <c r="BP1574" t="s">
        <v>198</v>
      </c>
      <c r="BQ1574" t="s">
        <v>198</v>
      </c>
      <c r="BR1574" t="s">
        <v>198</v>
      </c>
      <c r="BS1574" t="s">
        <v>198</v>
      </c>
      <c r="BT1574" t="s">
        <v>198</v>
      </c>
      <c r="BU1574" t="s">
        <v>182</v>
      </c>
      <c r="BV1574" t="s">
        <v>198</v>
      </c>
      <c r="BW1574" t="s">
        <v>198</v>
      </c>
      <c r="BX1574" t="s">
        <v>199</v>
      </c>
      <c r="BY1574" t="s">
        <v>198</v>
      </c>
      <c r="BZ1574" t="s">
        <v>199</v>
      </c>
      <c r="CA1574" t="s">
        <v>199</v>
      </c>
      <c r="CB1574" t="s">
        <v>19966</v>
      </c>
      <c r="CC1574" t="s">
        <v>201</v>
      </c>
      <c r="CD1574" t="s">
        <v>182</v>
      </c>
      <c r="CE1574" t="s">
        <v>19967</v>
      </c>
      <c r="CF1574" t="s">
        <v>19968</v>
      </c>
      <c r="CG1574" t="s">
        <v>9098</v>
      </c>
      <c r="CH1574" t="s">
        <v>19969</v>
      </c>
      <c r="CI1574" t="s">
        <v>19976</v>
      </c>
      <c r="CS1574" t="s">
        <v>198</v>
      </c>
      <c r="DC1574" t="s">
        <v>198</v>
      </c>
      <c r="DM1574" t="s">
        <v>198</v>
      </c>
      <c r="DW1574" t="s">
        <v>198</v>
      </c>
      <c r="EG1574" t="s">
        <v>198</v>
      </c>
      <c r="EQ1574" t="s">
        <v>198</v>
      </c>
      <c r="FA1574" t="s">
        <v>198</v>
      </c>
      <c r="FK1574" t="s">
        <v>198</v>
      </c>
      <c r="FU1574" t="s">
        <v>198</v>
      </c>
    </row>
    <row r="1575" spans="1:177">
      <c r="A1575" s="1" t="str">
        <f>HYPERLINK("http://digipan.lumentumllc.com/apps/getLink/index.php?t=PropLink&amp;p=15755797","PL")</f>
        <v>PL</v>
      </c>
      <c r="B1575" s="1" t="str">
        <f>HYPERLINK("http://digipan.lumentumllc.com/apps/getLink/index.php?t=TaxLink&amp;p=15755797","TL")</f>
        <v>TL</v>
      </c>
      <c r="C1575" s="1" t="str">
        <f>HYPERLINK("http://digipan.lumentumllc.com/apps/getMap/index.php?p=15755797","Map")</f>
        <v>Map</v>
      </c>
      <c r="E1575" t="s">
        <v>177</v>
      </c>
      <c r="F1575" t="s">
        <v>178</v>
      </c>
      <c r="L1575" t="s">
        <v>19977</v>
      </c>
      <c r="N1575" t="s">
        <v>19977</v>
      </c>
      <c r="O1575" t="s">
        <v>19977</v>
      </c>
      <c r="Q1575" t="s">
        <v>19977</v>
      </c>
      <c r="V1575">
        <v>1809</v>
      </c>
      <c r="W1575">
        <v>6</v>
      </c>
      <c r="X1575">
        <v>2017</v>
      </c>
      <c r="Y1575">
        <v>2018</v>
      </c>
      <c r="Z1575">
        <v>310.55</v>
      </c>
      <c r="AG1575" t="s">
        <v>184</v>
      </c>
      <c r="AH1575">
        <v>0</v>
      </c>
      <c r="AK1575">
        <v>0</v>
      </c>
      <c r="AL1575">
        <v>18000</v>
      </c>
      <c r="AM1575">
        <v>18000</v>
      </c>
      <c r="AN1575">
        <v>0</v>
      </c>
      <c r="AO1575">
        <v>249</v>
      </c>
      <c r="AP1575">
        <v>2016</v>
      </c>
      <c r="AQ1575">
        <v>1.73</v>
      </c>
      <c r="AS1575" t="s">
        <v>19978</v>
      </c>
      <c r="AT1575" t="s">
        <v>15040</v>
      </c>
      <c r="AU1575" t="s">
        <v>177</v>
      </c>
      <c r="AV1575" t="s">
        <v>371</v>
      </c>
      <c r="AW1575" t="s">
        <v>182</v>
      </c>
      <c r="AX1575">
        <v>4</v>
      </c>
      <c r="AY1575" t="s">
        <v>188</v>
      </c>
      <c r="AZ1575" t="s">
        <v>296</v>
      </c>
      <c r="BA1575" t="s">
        <v>19069</v>
      </c>
      <c r="BB1575" t="s">
        <v>191</v>
      </c>
      <c r="BC1575" t="s">
        <v>182</v>
      </c>
      <c r="BD1575" t="s">
        <v>182</v>
      </c>
      <c r="BE1575" t="s">
        <v>1722</v>
      </c>
      <c r="BF1575">
        <v>0</v>
      </c>
      <c r="BG1575">
        <v>0</v>
      </c>
      <c r="BH1575">
        <v>0</v>
      </c>
      <c r="BI1575" t="s">
        <v>199</v>
      </c>
      <c r="BJ1575" t="s">
        <v>396</v>
      </c>
      <c r="BL1575" t="s">
        <v>19965</v>
      </c>
      <c r="BM1575" t="s">
        <v>273</v>
      </c>
      <c r="BN1575" t="s">
        <v>182</v>
      </c>
      <c r="BO1575" t="s">
        <v>198</v>
      </c>
      <c r="BP1575" t="s">
        <v>198</v>
      </c>
      <c r="BQ1575" t="s">
        <v>198</v>
      </c>
      <c r="BR1575" t="s">
        <v>198</v>
      </c>
      <c r="BS1575" t="s">
        <v>198</v>
      </c>
      <c r="BT1575" t="s">
        <v>198</v>
      </c>
      <c r="BU1575" t="s">
        <v>182</v>
      </c>
      <c r="BV1575" t="s">
        <v>198</v>
      </c>
      <c r="BW1575" t="s">
        <v>198</v>
      </c>
      <c r="BX1575" t="s">
        <v>199</v>
      </c>
      <c r="BY1575" t="s">
        <v>198</v>
      </c>
      <c r="BZ1575" t="s">
        <v>199</v>
      </c>
      <c r="CA1575" t="s">
        <v>199</v>
      </c>
      <c r="CB1575" t="s">
        <v>19966</v>
      </c>
      <c r="CC1575" t="s">
        <v>201</v>
      </c>
      <c r="CD1575" t="s">
        <v>182</v>
      </c>
      <c r="CE1575" t="s">
        <v>19967</v>
      </c>
      <c r="CF1575" t="s">
        <v>19968</v>
      </c>
      <c r="CG1575" t="s">
        <v>9098</v>
      </c>
      <c r="CH1575" t="s">
        <v>19969</v>
      </c>
      <c r="CI1575" t="s">
        <v>19979</v>
      </c>
      <c r="CS1575" t="s">
        <v>198</v>
      </c>
      <c r="DC1575" t="s">
        <v>198</v>
      </c>
      <c r="DM1575" t="s">
        <v>198</v>
      </c>
      <c r="DW1575" t="s">
        <v>198</v>
      </c>
      <c r="EG1575" t="s">
        <v>198</v>
      </c>
      <c r="EQ1575" t="s">
        <v>198</v>
      </c>
      <c r="FA1575" t="s">
        <v>198</v>
      </c>
      <c r="FK1575" t="s">
        <v>198</v>
      </c>
      <c r="FU1575" t="s">
        <v>198</v>
      </c>
    </row>
    <row r="1576" spans="1:177">
      <c r="A1576" s="1" t="str">
        <f>HYPERLINK("http://digipan.lumentumllc.com/apps/getLink/index.php?t=PropLink&amp;p=15755798","PL")</f>
        <v>PL</v>
      </c>
      <c r="B1576" s="1" t="str">
        <f>HYPERLINK("http://digipan.lumentumllc.com/apps/getLink/index.php?t=TaxLink&amp;p=15755798","TL")</f>
        <v>TL</v>
      </c>
      <c r="C1576" s="1" t="str">
        <f>HYPERLINK("http://digipan.lumentumllc.com/apps/getMap/index.php?p=15755798","Map")</f>
        <v>Map</v>
      </c>
      <c r="E1576" t="s">
        <v>177</v>
      </c>
      <c r="F1576" t="s">
        <v>178</v>
      </c>
      <c r="L1576" t="s">
        <v>19980</v>
      </c>
      <c r="N1576" t="s">
        <v>19980</v>
      </c>
      <c r="O1576" t="s">
        <v>19980</v>
      </c>
      <c r="Q1576" t="s">
        <v>19980</v>
      </c>
      <c r="V1576">
        <v>1810</v>
      </c>
      <c r="W1576">
        <v>6</v>
      </c>
      <c r="X1576">
        <v>2017</v>
      </c>
      <c r="Y1576">
        <v>2018</v>
      </c>
      <c r="Z1576">
        <v>310.55</v>
      </c>
      <c r="AG1576" t="s">
        <v>184</v>
      </c>
      <c r="AH1576">
        <v>0</v>
      </c>
      <c r="AK1576">
        <v>0</v>
      </c>
      <c r="AL1576">
        <v>18000</v>
      </c>
      <c r="AM1576">
        <v>18000</v>
      </c>
      <c r="AN1576">
        <v>0</v>
      </c>
      <c r="AO1576">
        <v>249</v>
      </c>
      <c r="AP1576">
        <v>2016</v>
      </c>
      <c r="AQ1576">
        <v>1.73</v>
      </c>
      <c r="AS1576" t="s">
        <v>19981</v>
      </c>
      <c r="AT1576" t="s">
        <v>15040</v>
      </c>
      <c r="AU1576" t="s">
        <v>177</v>
      </c>
      <c r="AV1576" t="s">
        <v>371</v>
      </c>
      <c r="AW1576" t="s">
        <v>182</v>
      </c>
      <c r="AX1576">
        <v>4</v>
      </c>
      <c r="AY1576" t="s">
        <v>188</v>
      </c>
      <c r="AZ1576" t="s">
        <v>296</v>
      </c>
      <c r="BA1576" t="s">
        <v>19069</v>
      </c>
      <c r="BB1576" t="s">
        <v>191</v>
      </c>
      <c r="BC1576" t="s">
        <v>182</v>
      </c>
      <c r="BD1576" t="s">
        <v>182</v>
      </c>
      <c r="BE1576" t="s">
        <v>1722</v>
      </c>
      <c r="BF1576">
        <v>0</v>
      </c>
      <c r="BG1576">
        <v>0</v>
      </c>
      <c r="BH1576">
        <v>0</v>
      </c>
      <c r="BI1576" t="s">
        <v>199</v>
      </c>
      <c r="BJ1576" t="s">
        <v>396</v>
      </c>
      <c r="BL1576" t="s">
        <v>19965</v>
      </c>
      <c r="BM1576" t="s">
        <v>273</v>
      </c>
      <c r="BN1576" t="s">
        <v>182</v>
      </c>
      <c r="BO1576" t="s">
        <v>198</v>
      </c>
      <c r="BP1576" t="s">
        <v>198</v>
      </c>
      <c r="BQ1576" t="s">
        <v>198</v>
      </c>
      <c r="BR1576" t="s">
        <v>198</v>
      </c>
      <c r="BS1576" t="s">
        <v>198</v>
      </c>
      <c r="BT1576" t="s">
        <v>198</v>
      </c>
      <c r="BU1576" t="s">
        <v>182</v>
      </c>
      <c r="BV1576" t="s">
        <v>198</v>
      </c>
      <c r="BW1576" t="s">
        <v>198</v>
      </c>
      <c r="BX1576" t="s">
        <v>199</v>
      </c>
      <c r="BY1576" t="s">
        <v>198</v>
      </c>
      <c r="BZ1576" t="s">
        <v>199</v>
      </c>
      <c r="CA1576" t="s">
        <v>199</v>
      </c>
      <c r="CB1576" t="s">
        <v>19966</v>
      </c>
      <c r="CC1576" t="s">
        <v>201</v>
      </c>
      <c r="CD1576" t="s">
        <v>182</v>
      </c>
      <c r="CE1576" t="s">
        <v>19967</v>
      </c>
      <c r="CF1576" t="s">
        <v>19968</v>
      </c>
      <c r="CG1576" t="s">
        <v>9098</v>
      </c>
      <c r="CH1576" t="s">
        <v>19969</v>
      </c>
      <c r="CI1576" t="s">
        <v>19982</v>
      </c>
      <c r="CS1576" t="s">
        <v>198</v>
      </c>
      <c r="DC1576" t="s">
        <v>198</v>
      </c>
      <c r="DM1576" t="s">
        <v>198</v>
      </c>
      <c r="DW1576" t="s">
        <v>198</v>
      </c>
      <c r="EG1576" t="s">
        <v>198</v>
      </c>
      <c r="EQ1576" t="s">
        <v>198</v>
      </c>
      <c r="FA1576" t="s">
        <v>198</v>
      </c>
      <c r="FK1576" t="s">
        <v>198</v>
      </c>
      <c r="FU1576" t="s">
        <v>198</v>
      </c>
    </row>
    <row r="1577" spans="1:177">
      <c r="A1577" s="1" t="str">
        <f>HYPERLINK("http://digipan.lumentumllc.com/apps/getLink/index.php?t=PropLink&amp;p=15755799","PL")</f>
        <v>PL</v>
      </c>
      <c r="B1577" s="1" t="str">
        <f>HYPERLINK("http://digipan.lumentumllc.com/apps/getLink/index.php?t=TaxLink&amp;p=15755799","TL")</f>
        <v>TL</v>
      </c>
      <c r="C1577" s="1" t="str">
        <f>HYPERLINK("http://digipan.lumentumllc.com/apps/getMap/index.php?p=15755799","Map")</f>
        <v>Map</v>
      </c>
      <c r="E1577" t="s">
        <v>177</v>
      </c>
      <c r="F1577" t="s">
        <v>178</v>
      </c>
      <c r="L1577" t="s">
        <v>19983</v>
      </c>
      <c r="N1577" t="s">
        <v>19983</v>
      </c>
      <c r="O1577" t="s">
        <v>19983</v>
      </c>
      <c r="Q1577" t="s">
        <v>19983</v>
      </c>
      <c r="V1577">
        <v>1811</v>
      </c>
      <c r="W1577">
        <v>6</v>
      </c>
      <c r="X1577">
        <v>2017</v>
      </c>
      <c r="Y1577">
        <v>2018</v>
      </c>
      <c r="Z1577">
        <v>310.55</v>
      </c>
      <c r="AG1577" t="s">
        <v>184</v>
      </c>
      <c r="AH1577">
        <v>0</v>
      </c>
      <c r="AK1577">
        <v>0</v>
      </c>
      <c r="AL1577">
        <v>18000</v>
      </c>
      <c r="AM1577">
        <v>18000</v>
      </c>
      <c r="AN1577">
        <v>0</v>
      </c>
      <c r="AO1577">
        <v>249</v>
      </c>
      <c r="AP1577">
        <v>2016</v>
      </c>
      <c r="AQ1577">
        <v>1.73</v>
      </c>
      <c r="AS1577" t="s">
        <v>19984</v>
      </c>
      <c r="AT1577" t="s">
        <v>15040</v>
      </c>
      <c r="AU1577" t="s">
        <v>177</v>
      </c>
      <c r="AV1577" t="s">
        <v>371</v>
      </c>
      <c r="AW1577" t="s">
        <v>182</v>
      </c>
      <c r="AX1577">
        <v>4</v>
      </c>
      <c r="AY1577" t="s">
        <v>188</v>
      </c>
      <c r="AZ1577" t="s">
        <v>296</v>
      </c>
      <c r="BA1577" t="s">
        <v>19069</v>
      </c>
      <c r="BB1577" t="s">
        <v>191</v>
      </c>
      <c r="BC1577" t="s">
        <v>182</v>
      </c>
      <c r="BD1577" t="s">
        <v>182</v>
      </c>
      <c r="BE1577" t="s">
        <v>1722</v>
      </c>
      <c r="BF1577">
        <v>0</v>
      </c>
      <c r="BG1577">
        <v>0</v>
      </c>
      <c r="BH1577">
        <v>0</v>
      </c>
      <c r="BI1577" t="s">
        <v>199</v>
      </c>
      <c r="BJ1577" t="s">
        <v>396</v>
      </c>
      <c r="BL1577" t="s">
        <v>19965</v>
      </c>
      <c r="BM1577" t="s">
        <v>273</v>
      </c>
      <c r="BN1577" t="s">
        <v>182</v>
      </c>
      <c r="BO1577" t="s">
        <v>198</v>
      </c>
      <c r="BP1577" t="s">
        <v>198</v>
      </c>
      <c r="BQ1577" t="s">
        <v>198</v>
      </c>
      <c r="BR1577" t="s">
        <v>198</v>
      </c>
      <c r="BS1577" t="s">
        <v>198</v>
      </c>
      <c r="BT1577" t="s">
        <v>198</v>
      </c>
      <c r="BU1577" t="s">
        <v>182</v>
      </c>
      <c r="BV1577" t="s">
        <v>198</v>
      </c>
      <c r="BW1577" t="s">
        <v>198</v>
      </c>
      <c r="BX1577" t="s">
        <v>199</v>
      </c>
      <c r="BY1577" t="s">
        <v>198</v>
      </c>
      <c r="BZ1577" t="s">
        <v>199</v>
      </c>
      <c r="CA1577" t="s">
        <v>199</v>
      </c>
      <c r="CB1577" t="s">
        <v>19966</v>
      </c>
      <c r="CC1577" t="s">
        <v>201</v>
      </c>
      <c r="CD1577" t="s">
        <v>182</v>
      </c>
      <c r="CE1577" t="s">
        <v>19967</v>
      </c>
      <c r="CF1577" t="s">
        <v>19968</v>
      </c>
      <c r="CG1577" t="s">
        <v>9098</v>
      </c>
      <c r="CH1577" t="s">
        <v>19969</v>
      </c>
      <c r="CI1577" t="s">
        <v>19985</v>
      </c>
      <c r="CS1577" t="s">
        <v>198</v>
      </c>
      <c r="DC1577" t="s">
        <v>198</v>
      </c>
      <c r="DM1577" t="s">
        <v>198</v>
      </c>
      <c r="DW1577" t="s">
        <v>198</v>
      </c>
      <c r="EG1577" t="s">
        <v>198</v>
      </c>
      <c r="EQ1577" t="s">
        <v>198</v>
      </c>
      <c r="FA1577" t="s">
        <v>198</v>
      </c>
      <c r="FK1577" t="s">
        <v>198</v>
      </c>
      <c r="FU1577" t="s">
        <v>198</v>
      </c>
    </row>
    <row r="1578" spans="1:177">
      <c r="A1578" s="1" t="str">
        <f>HYPERLINK("http://digipan.lumentumllc.com/apps/getLink/index.php?t=PropLink&amp;p=15755800","PL")</f>
        <v>PL</v>
      </c>
      <c r="B1578" s="1" t="str">
        <f>HYPERLINK("http://digipan.lumentumllc.com/apps/getLink/index.php?t=TaxLink&amp;p=15755800","TL")</f>
        <v>TL</v>
      </c>
      <c r="C1578" s="1" t="str">
        <f>HYPERLINK("http://digipan.lumentumllc.com/apps/getMap/index.php?p=15755800","Map")</f>
        <v>Map</v>
      </c>
      <c r="E1578" t="s">
        <v>177</v>
      </c>
      <c r="F1578" t="s">
        <v>178</v>
      </c>
      <c r="L1578" t="s">
        <v>19986</v>
      </c>
      <c r="N1578" t="s">
        <v>19986</v>
      </c>
      <c r="O1578" t="s">
        <v>19986</v>
      </c>
      <c r="Q1578" t="s">
        <v>19986</v>
      </c>
      <c r="V1578">
        <v>1812</v>
      </c>
      <c r="W1578">
        <v>6</v>
      </c>
      <c r="X1578">
        <v>2017</v>
      </c>
      <c r="Y1578">
        <v>2018</v>
      </c>
      <c r="Z1578">
        <v>310.55</v>
      </c>
      <c r="AG1578" t="s">
        <v>184</v>
      </c>
      <c r="AH1578">
        <v>0</v>
      </c>
      <c r="AK1578">
        <v>0</v>
      </c>
      <c r="AL1578">
        <v>18000</v>
      </c>
      <c r="AM1578">
        <v>18000</v>
      </c>
      <c r="AN1578">
        <v>0</v>
      </c>
      <c r="AO1578">
        <v>249</v>
      </c>
      <c r="AP1578">
        <v>2016</v>
      </c>
      <c r="AQ1578">
        <v>1.73</v>
      </c>
      <c r="AS1578" t="s">
        <v>19987</v>
      </c>
      <c r="AT1578" t="s">
        <v>15040</v>
      </c>
      <c r="AU1578" t="s">
        <v>177</v>
      </c>
      <c r="AV1578" t="s">
        <v>371</v>
      </c>
      <c r="AW1578" t="s">
        <v>182</v>
      </c>
      <c r="AX1578">
        <v>4</v>
      </c>
      <c r="AY1578" t="s">
        <v>188</v>
      </c>
      <c r="AZ1578" t="s">
        <v>296</v>
      </c>
      <c r="BA1578" t="s">
        <v>19069</v>
      </c>
      <c r="BB1578" t="s">
        <v>191</v>
      </c>
      <c r="BC1578" t="s">
        <v>182</v>
      </c>
      <c r="BD1578" t="s">
        <v>182</v>
      </c>
      <c r="BE1578" t="s">
        <v>1722</v>
      </c>
      <c r="BF1578">
        <v>0</v>
      </c>
      <c r="BG1578">
        <v>0</v>
      </c>
      <c r="BH1578">
        <v>0</v>
      </c>
      <c r="BI1578" t="s">
        <v>199</v>
      </c>
      <c r="BJ1578" t="s">
        <v>396</v>
      </c>
      <c r="BL1578" t="s">
        <v>19965</v>
      </c>
      <c r="BM1578" t="s">
        <v>273</v>
      </c>
      <c r="BN1578" t="s">
        <v>182</v>
      </c>
      <c r="BO1578" t="s">
        <v>198</v>
      </c>
      <c r="BP1578" t="s">
        <v>198</v>
      </c>
      <c r="BQ1578" t="s">
        <v>198</v>
      </c>
      <c r="BR1578" t="s">
        <v>198</v>
      </c>
      <c r="BS1578" t="s">
        <v>198</v>
      </c>
      <c r="BT1578" t="s">
        <v>198</v>
      </c>
      <c r="BU1578" t="s">
        <v>182</v>
      </c>
      <c r="BV1578" t="s">
        <v>198</v>
      </c>
      <c r="BW1578" t="s">
        <v>198</v>
      </c>
      <c r="BX1578" t="s">
        <v>199</v>
      </c>
      <c r="BY1578" t="s">
        <v>198</v>
      </c>
      <c r="BZ1578" t="s">
        <v>199</v>
      </c>
      <c r="CA1578" t="s">
        <v>199</v>
      </c>
      <c r="CB1578" t="s">
        <v>19966</v>
      </c>
      <c r="CC1578" t="s">
        <v>201</v>
      </c>
      <c r="CD1578" t="s">
        <v>182</v>
      </c>
      <c r="CE1578" t="s">
        <v>19967</v>
      </c>
      <c r="CF1578" t="s">
        <v>19968</v>
      </c>
      <c r="CG1578" t="s">
        <v>9098</v>
      </c>
      <c r="CH1578" t="s">
        <v>19969</v>
      </c>
      <c r="CI1578" t="s">
        <v>19988</v>
      </c>
      <c r="CS1578" t="s">
        <v>198</v>
      </c>
      <c r="DC1578" t="s">
        <v>198</v>
      </c>
      <c r="DM1578" t="s">
        <v>198</v>
      </c>
      <c r="DW1578" t="s">
        <v>198</v>
      </c>
      <c r="EG1578" t="s">
        <v>198</v>
      </c>
      <c r="EQ1578" t="s">
        <v>198</v>
      </c>
      <c r="FA1578" t="s">
        <v>198</v>
      </c>
      <c r="FK1578" t="s">
        <v>198</v>
      </c>
      <c r="FU1578" t="s">
        <v>198</v>
      </c>
    </row>
    <row r="1579" spans="1:177">
      <c r="A1579" s="1" t="str">
        <f>HYPERLINK("http://digipan.lumentumllc.com/apps/getLink/index.php?t=PropLink&amp;p=15755801","PL")</f>
        <v>PL</v>
      </c>
      <c r="B1579" s="1" t="str">
        <f>HYPERLINK("http://digipan.lumentumllc.com/apps/getLink/index.php?t=TaxLink&amp;p=15755801","TL")</f>
        <v>TL</v>
      </c>
      <c r="C1579" s="1" t="str">
        <f>HYPERLINK("http://digipan.lumentumllc.com/apps/getMap/index.php?p=15755801","Map")</f>
        <v>Map</v>
      </c>
      <c r="E1579" t="s">
        <v>177</v>
      </c>
      <c r="F1579" t="s">
        <v>178</v>
      </c>
      <c r="L1579" t="s">
        <v>19989</v>
      </c>
      <c r="N1579" t="s">
        <v>19989</v>
      </c>
      <c r="O1579" t="s">
        <v>19989</v>
      </c>
      <c r="Q1579" t="s">
        <v>19989</v>
      </c>
      <c r="V1579">
        <v>1813</v>
      </c>
      <c r="W1579">
        <v>6</v>
      </c>
      <c r="X1579">
        <v>2017</v>
      </c>
      <c r="Y1579">
        <v>2018</v>
      </c>
      <c r="Z1579">
        <v>310.55</v>
      </c>
      <c r="AG1579" t="s">
        <v>184</v>
      </c>
      <c r="AH1579">
        <v>0</v>
      </c>
      <c r="AK1579">
        <v>0</v>
      </c>
      <c r="AL1579">
        <v>18000</v>
      </c>
      <c r="AM1579">
        <v>18000</v>
      </c>
      <c r="AN1579">
        <v>0</v>
      </c>
      <c r="AO1579">
        <v>249</v>
      </c>
      <c r="AP1579">
        <v>2016</v>
      </c>
      <c r="AQ1579">
        <v>1.73</v>
      </c>
      <c r="AS1579" t="s">
        <v>19990</v>
      </c>
      <c r="AT1579" t="s">
        <v>15040</v>
      </c>
      <c r="AU1579" t="s">
        <v>177</v>
      </c>
      <c r="AV1579" t="s">
        <v>371</v>
      </c>
      <c r="AW1579" t="s">
        <v>182</v>
      </c>
      <c r="AX1579">
        <v>4</v>
      </c>
      <c r="AY1579" t="s">
        <v>188</v>
      </c>
      <c r="AZ1579" t="s">
        <v>296</v>
      </c>
      <c r="BA1579" t="s">
        <v>19069</v>
      </c>
      <c r="BB1579" t="s">
        <v>191</v>
      </c>
      <c r="BC1579" t="s">
        <v>182</v>
      </c>
      <c r="BD1579" t="s">
        <v>182</v>
      </c>
      <c r="BE1579" t="s">
        <v>1722</v>
      </c>
      <c r="BF1579">
        <v>0</v>
      </c>
      <c r="BG1579">
        <v>0</v>
      </c>
      <c r="BH1579">
        <v>0</v>
      </c>
      <c r="BI1579" t="s">
        <v>199</v>
      </c>
      <c r="BJ1579" t="s">
        <v>396</v>
      </c>
      <c r="BL1579" t="s">
        <v>19965</v>
      </c>
      <c r="BM1579" t="s">
        <v>273</v>
      </c>
      <c r="BN1579" t="s">
        <v>182</v>
      </c>
      <c r="BO1579" t="s">
        <v>198</v>
      </c>
      <c r="BP1579" t="s">
        <v>198</v>
      </c>
      <c r="BQ1579" t="s">
        <v>198</v>
      </c>
      <c r="BR1579" t="s">
        <v>198</v>
      </c>
      <c r="BS1579" t="s">
        <v>198</v>
      </c>
      <c r="BT1579" t="s">
        <v>198</v>
      </c>
      <c r="BU1579" t="s">
        <v>182</v>
      </c>
      <c r="BV1579" t="s">
        <v>198</v>
      </c>
      <c r="BW1579" t="s">
        <v>198</v>
      </c>
      <c r="BX1579" t="s">
        <v>199</v>
      </c>
      <c r="BY1579" t="s">
        <v>198</v>
      </c>
      <c r="BZ1579" t="s">
        <v>199</v>
      </c>
      <c r="CA1579" t="s">
        <v>199</v>
      </c>
      <c r="CB1579" t="s">
        <v>19966</v>
      </c>
      <c r="CC1579" t="s">
        <v>201</v>
      </c>
      <c r="CD1579" t="s">
        <v>182</v>
      </c>
      <c r="CE1579" t="s">
        <v>19967</v>
      </c>
      <c r="CF1579" t="s">
        <v>19968</v>
      </c>
      <c r="CG1579" t="s">
        <v>9098</v>
      </c>
      <c r="CH1579" t="s">
        <v>19969</v>
      </c>
      <c r="CI1579" t="s">
        <v>19991</v>
      </c>
      <c r="CS1579" t="s">
        <v>198</v>
      </c>
      <c r="DC1579" t="s">
        <v>198</v>
      </c>
      <c r="DM1579" t="s">
        <v>198</v>
      </c>
      <c r="DW1579" t="s">
        <v>198</v>
      </c>
      <c r="EG1579" t="s">
        <v>198</v>
      </c>
      <c r="EQ1579" t="s">
        <v>198</v>
      </c>
      <c r="FA1579" t="s">
        <v>198</v>
      </c>
      <c r="FK1579" t="s">
        <v>198</v>
      </c>
      <c r="FU1579" t="s">
        <v>198</v>
      </c>
    </row>
    <row r="1580" spans="1:177">
      <c r="A1580" s="1" t="str">
        <f>HYPERLINK("http://digipan.lumentumllc.com/apps/getLink/index.php?t=PropLink&amp;p=15755802","PL")</f>
        <v>PL</v>
      </c>
      <c r="B1580" s="1" t="str">
        <f>HYPERLINK("http://digipan.lumentumllc.com/apps/getLink/index.php?t=TaxLink&amp;p=15755802","TL")</f>
        <v>TL</v>
      </c>
      <c r="C1580" s="1" t="str">
        <f>HYPERLINK("http://digipan.lumentumllc.com/apps/getMap/index.php?p=15755802","Map")</f>
        <v>Map</v>
      </c>
      <c r="E1580" t="s">
        <v>177</v>
      </c>
      <c r="F1580" t="s">
        <v>178</v>
      </c>
      <c r="L1580" t="s">
        <v>19992</v>
      </c>
      <c r="N1580" t="s">
        <v>19992</v>
      </c>
      <c r="O1580" t="s">
        <v>19992</v>
      </c>
      <c r="Q1580" t="s">
        <v>19992</v>
      </c>
      <c r="V1580">
        <v>1814</v>
      </c>
      <c r="W1580">
        <v>6</v>
      </c>
      <c r="X1580">
        <v>2017</v>
      </c>
      <c r="Y1580">
        <v>2018</v>
      </c>
      <c r="Z1580">
        <v>310.55</v>
      </c>
      <c r="AG1580" t="s">
        <v>184</v>
      </c>
      <c r="AH1580">
        <v>0</v>
      </c>
      <c r="AK1580">
        <v>0</v>
      </c>
      <c r="AL1580">
        <v>18000</v>
      </c>
      <c r="AM1580">
        <v>18000</v>
      </c>
      <c r="AN1580">
        <v>0</v>
      </c>
      <c r="AO1580">
        <v>249</v>
      </c>
      <c r="AP1580">
        <v>2016</v>
      </c>
      <c r="AQ1580">
        <v>1.73</v>
      </c>
      <c r="AS1580" t="s">
        <v>19993</v>
      </c>
      <c r="AT1580" t="s">
        <v>15040</v>
      </c>
      <c r="AU1580" t="s">
        <v>177</v>
      </c>
      <c r="AV1580" t="s">
        <v>371</v>
      </c>
      <c r="AW1580" t="s">
        <v>182</v>
      </c>
      <c r="AX1580">
        <v>4</v>
      </c>
      <c r="AY1580" t="s">
        <v>188</v>
      </c>
      <c r="AZ1580" t="s">
        <v>296</v>
      </c>
      <c r="BA1580" t="s">
        <v>19069</v>
      </c>
      <c r="BB1580" t="s">
        <v>191</v>
      </c>
      <c r="BC1580" t="s">
        <v>182</v>
      </c>
      <c r="BD1580" t="s">
        <v>182</v>
      </c>
      <c r="BE1580" t="s">
        <v>1722</v>
      </c>
      <c r="BF1580">
        <v>0</v>
      </c>
      <c r="BG1580">
        <v>0</v>
      </c>
      <c r="BH1580">
        <v>0</v>
      </c>
      <c r="BI1580" t="s">
        <v>199</v>
      </c>
      <c r="BJ1580" t="s">
        <v>396</v>
      </c>
      <c r="BL1580" t="s">
        <v>19965</v>
      </c>
      <c r="BM1580" t="s">
        <v>273</v>
      </c>
      <c r="BN1580" t="s">
        <v>182</v>
      </c>
      <c r="BO1580" t="s">
        <v>198</v>
      </c>
      <c r="BP1580" t="s">
        <v>198</v>
      </c>
      <c r="BQ1580" t="s">
        <v>198</v>
      </c>
      <c r="BR1580" t="s">
        <v>198</v>
      </c>
      <c r="BS1580" t="s">
        <v>198</v>
      </c>
      <c r="BT1580" t="s">
        <v>198</v>
      </c>
      <c r="BU1580" t="s">
        <v>182</v>
      </c>
      <c r="BV1580" t="s">
        <v>198</v>
      </c>
      <c r="BW1580" t="s">
        <v>198</v>
      </c>
      <c r="BX1580" t="s">
        <v>199</v>
      </c>
      <c r="BY1580" t="s">
        <v>198</v>
      </c>
      <c r="BZ1580" t="s">
        <v>199</v>
      </c>
      <c r="CA1580" t="s">
        <v>199</v>
      </c>
      <c r="CB1580" t="s">
        <v>19966</v>
      </c>
      <c r="CC1580" t="s">
        <v>201</v>
      </c>
      <c r="CD1580" t="s">
        <v>182</v>
      </c>
      <c r="CE1580" t="s">
        <v>19967</v>
      </c>
      <c r="CF1580" t="s">
        <v>19968</v>
      </c>
      <c r="CG1580" t="s">
        <v>9098</v>
      </c>
      <c r="CH1580" t="s">
        <v>19969</v>
      </c>
      <c r="CI1580" t="s">
        <v>19994</v>
      </c>
      <c r="CS1580" t="s">
        <v>198</v>
      </c>
      <c r="DC1580" t="s">
        <v>198</v>
      </c>
      <c r="DM1580" t="s">
        <v>198</v>
      </c>
      <c r="DW1580" t="s">
        <v>198</v>
      </c>
      <c r="EG1580" t="s">
        <v>198</v>
      </c>
      <c r="EQ1580" t="s">
        <v>198</v>
      </c>
      <c r="FA1580" t="s">
        <v>198</v>
      </c>
      <c r="FK1580" t="s">
        <v>198</v>
      </c>
      <c r="FU1580" t="s">
        <v>198</v>
      </c>
    </row>
    <row r="1581" spans="1:177">
      <c r="A1581" s="1" t="str">
        <f>HYPERLINK("http://digipan.lumentumllc.com/apps/getLink/index.php?t=PropLink&amp;p=15755803","PL")</f>
        <v>PL</v>
      </c>
      <c r="B1581" s="1" t="str">
        <f>HYPERLINK("http://digipan.lumentumllc.com/apps/getLink/index.php?t=TaxLink&amp;p=15755803","TL")</f>
        <v>TL</v>
      </c>
      <c r="C1581" s="1" t="str">
        <f>HYPERLINK("http://digipan.lumentumllc.com/apps/getMap/index.php?p=15755803","Map")</f>
        <v>Map</v>
      </c>
      <c r="E1581" t="s">
        <v>177</v>
      </c>
      <c r="F1581" t="s">
        <v>178</v>
      </c>
      <c r="L1581" t="s">
        <v>19995</v>
      </c>
      <c r="N1581" t="s">
        <v>19995</v>
      </c>
      <c r="O1581" t="s">
        <v>19995</v>
      </c>
      <c r="Q1581" t="s">
        <v>19995</v>
      </c>
      <c r="V1581">
        <v>1815</v>
      </c>
      <c r="W1581">
        <v>6</v>
      </c>
      <c r="X1581">
        <v>2017</v>
      </c>
      <c r="Y1581">
        <v>2018</v>
      </c>
      <c r="Z1581">
        <v>310.55</v>
      </c>
      <c r="AG1581" t="s">
        <v>184</v>
      </c>
      <c r="AH1581">
        <v>0</v>
      </c>
      <c r="AK1581">
        <v>0</v>
      </c>
      <c r="AL1581">
        <v>18000</v>
      </c>
      <c r="AM1581">
        <v>18000</v>
      </c>
      <c r="AN1581">
        <v>0</v>
      </c>
      <c r="AO1581">
        <v>249</v>
      </c>
      <c r="AP1581">
        <v>2016</v>
      </c>
      <c r="AQ1581">
        <v>1.73</v>
      </c>
      <c r="AS1581" t="s">
        <v>19996</v>
      </c>
      <c r="AT1581" t="s">
        <v>15040</v>
      </c>
      <c r="AU1581" t="s">
        <v>177</v>
      </c>
      <c r="AV1581" t="s">
        <v>371</v>
      </c>
      <c r="AW1581" t="s">
        <v>182</v>
      </c>
      <c r="AX1581">
        <v>4</v>
      </c>
      <c r="AY1581" t="s">
        <v>188</v>
      </c>
      <c r="AZ1581" t="s">
        <v>296</v>
      </c>
      <c r="BA1581" t="s">
        <v>19069</v>
      </c>
      <c r="BB1581" t="s">
        <v>191</v>
      </c>
      <c r="BC1581" t="s">
        <v>182</v>
      </c>
      <c r="BD1581" t="s">
        <v>182</v>
      </c>
      <c r="BE1581" t="s">
        <v>1722</v>
      </c>
      <c r="BF1581">
        <v>0</v>
      </c>
      <c r="BG1581">
        <v>0</v>
      </c>
      <c r="BH1581">
        <v>0</v>
      </c>
      <c r="BI1581" t="s">
        <v>199</v>
      </c>
      <c r="BJ1581" t="s">
        <v>396</v>
      </c>
      <c r="BL1581" t="s">
        <v>19965</v>
      </c>
      <c r="BM1581" t="s">
        <v>273</v>
      </c>
      <c r="BN1581" t="s">
        <v>182</v>
      </c>
      <c r="BO1581" t="s">
        <v>198</v>
      </c>
      <c r="BP1581" t="s">
        <v>198</v>
      </c>
      <c r="BQ1581" t="s">
        <v>198</v>
      </c>
      <c r="BR1581" t="s">
        <v>198</v>
      </c>
      <c r="BS1581" t="s">
        <v>198</v>
      </c>
      <c r="BT1581" t="s">
        <v>198</v>
      </c>
      <c r="BU1581" t="s">
        <v>182</v>
      </c>
      <c r="BV1581" t="s">
        <v>198</v>
      </c>
      <c r="BW1581" t="s">
        <v>198</v>
      </c>
      <c r="BX1581" t="s">
        <v>199</v>
      </c>
      <c r="BY1581" t="s">
        <v>198</v>
      </c>
      <c r="BZ1581" t="s">
        <v>199</v>
      </c>
      <c r="CA1581" t="s">
        <v>199</v>
      </c>
      <c r="CB1581" t="s">
        <v>19966</v>
      </c>
      <c r="CC1581" t="s">
        <v>201</v>
      </c>
      <c r="CD1581" t="s">
        <v>182</v>
      </c>
      <c r="CE1581" t="s">
        <v>19967</v>
      </c>
      <c r="CF1581" t="s">
        <v>19968</v>
      </c>
      <c r="CG1581" t="s">
        <v>9098</v>
      </c>
      <c r="CH1581" t="s">
        <v>19969</v>
      </c>
      <c r="CI1581" t="s">
        <v>19997</v>
      </c>
      <c r="CS1581" t="s">
        <v>198</v>
      </c>
      <c r="DC1581" t="s">
        <v>198</v>
      </c>
      <c r="DM1581" t="s">
        <v>198</v>
      </c>
      <c r="DW1581" t="s">
        <v>198</v>
      </c>
      <c r="EG1581" t="s">
        <v>198</v>
      </c>
      <c r="EQ1581" t="s">
        <v>198</v>
      </c>
      <c r="FA1581" t="s">
        <v>198</v>
      </c>
      <c r="FK1581" t="s">
        <v>198</v>
      </c>
      <c r="FU1581" t="s">
        <v>198</v>
      </c>
    </row>
    <row r="1582" spans="1:177">
      <c r="A1582" s="1" t="str">
        <f>HYPERLINK("http://digipan.lumentumllc.com/apps/getLink/index.php?t=PropLink&amp;p=15755804","PL")</f>
        <v>PL</v>
      </c>
      <c r="B1582" s="1" t="str">
        <f>HYPERLINK("http://digipan.lumentumllc.com/apps/getLink/index.php?t=TaxLink&amp;p=15755804","TL")</f>
        <v>TL</v>
      </c>
      <c r="C1582" s="1" t="str">
        <f>HYPERLINK("http://digipan.lumentumllc.com/apps/getMap/index.php?p=15755804","Map")</f>
        <v>Map</v>
      </c>
      <c r="E1582" t="s">
        <v>177</v>
      </c>
      <c r="F1582" t="s">
        <v>178</v>
      </c>
      <c r="L1582" t="s">
        <v>19998</v>
      </c>
      <c r="N1582" t="s">
        <v>19998</v>
      </c>
      <c r="O1582" t="s">
        <v>19998</v>
      </c>
      <c r="Q1582" t="s">
        <v>19998</v>
      </c>
      <c r="V1582">
        <v>1816</v>
      </c>
      <c r="W1582">
        <v>6</v>
      </c>
      <c r="X1582">
        <v>2017</v>
      </c>
      <c r="Y1582">
        <v>2018</v>
      </c>
      <c r="Z1582">
        <v>310.55</v>
      </c>
      <c r="AG1582" t="s">
        <v>184</v>
      </c>
      <c r="AH1582">
        <v>0</v>
      </c>
      <c r="AK1582">
        <v>0</v>
      </c>
      <c r="AL1582">
        <v>18000</v>
      </c>
      <c r="AM1582">
        <v>18000</v>
      </c>
      <c r="AN1582">
        <v>0</v>
      </c>
      <c r="AO1582">
        <v>249</v>
      </c>
      <c r="AP1582">
        <v>2016</v>
      </c>
      <c r="AQ1582">
        <v>1.73</v>
      </c>
      <c r="AS1582" t="s">
        <v>19999</v>
      </c>
      <c r="AT1582" t="s">
        <v>15040</v>
      </c>
      <c r="AU1582" t="s">
        <v>177</v>
      </c>
      <c r="AV1582" t="s">
        <v>371</v>
      </c>
      <c r="AW1582" t="s">
        <v>182</v>
      </c>
      <c r="AX1582">
        <v>4</v>
      </c>
      <c r="AY1582" t="s">
        <v>188</v>
      </c>
      <c r="AZ1582" t="s">
        <v>296</v>
      </c>
      <c r="BA1582" t="s">
        <v>19069</v>
      </c>
      <c r="BB1582" t="s">
        <v>191</v>
      </c>
      <c r="BC1582" t="s">
        <v>182</v>
      </c>
      <c r="BD1582" t="s">
        <v>182</v>
      </c>
      <c r="BE1582" t="s">
        <v>1722</v>
      </c>
      <c r="BF1582">
        <v>0</v>
      </c>
      <c r="BG1582">
        <v>0</v>
      </c>
      <c r="BH1582">
        <v>0</v>
      </c>
      <c r="BI1582" t="s">
        <v>199</v>
      </c>
      <c r="BJ1582" t="s">
        <v>396</v>
      </c>
      <c r="BL1582" t="s">
        <v>19965</v>
      </c>
      <c r="BM1582" t="s">
        <v>273</v>
      </c>
      <c r="BN1582" t="s">
        <v>182</v>
      </c>
      <c r="BO1582" t="s">
        <v>198</v>
      </c>
      <c r="BP1582" t="s">
        <v>198</v>
      </c>
      <c r="BQ1582" t="s">
        <v>198</v>
      </c>
      <c r="BR1582" t="s">
        <v>198</v>
      </c>
      <c r="BS1582" t="s">
        <v>198</v>
      </c>
      <c r="BT1582" t="s">
        <v>198</v>
      </c>
      <c r="BU1582" t="s">
        <v>182</v>
      </c>
      <c r="BV1582" t="s">
        <v>198</v>
      </c>
      <c r="BW1582" t="s">
        <v>198</v>
      </c>
      <c r="BX1582" t="s">
        <v>199</v>
      </c>
      <c r="BY1582" t="s">
        <v>198</v>
      </c>
      <c r="BZ1582" t="s">
        <v>199</v>
      </c>
      <c r="CA1582" t="s">
        <v>199</v>
      </c>
      <c r="CB1582" t="s">
        <v>19966</v>
      </c>
      <c r="CC1582" t="s">
        <v>201</v>
      </c>
      <c r="CD1582" t="s">
        <v>182</v>
      </c>
      <c r="CE1582" t="s">
        <v>19967</v>
      </c>
      <c r="CF1582" t="s">
        <v>19968</v>
      </c>
      <c r="CG1582" t="s">
        <v>9098</v>
      </c>
      <c r="CH1582" t="s">
        <v>19969</v>
      </c>
      <c r="CI1582" t="s">
        <v>20000</v>
      </c>
      <c r="CS1582" t="s">
        <v>198</v>
      </c>
      <c r="DC1582" t="s">
        <v>198</v>
      </c>
      <c r="DM1582" t="s">
        <v>198</v>
      </c>
      <c r="DW1582" t="s">
        <v>198</v>
      </c>
      <c r="EG1582" t="s">
        <v>198</v>
      </c>
      <c r="EQ1582" t="s">
        <v>198</v>
      </c>
      <c r="FA1582" t="s">
        <v>198</v>
      </c>
      <c r="FK1582" t="s">
        <v>198</v>
      </c>
      <c r="FU1582" t="s">
        <v>198</v>
      </c>
    </row>
    <row r="1583" spans="1:177">
      <c r="A1583" s="1" t="str">
        <f>HYPERLINK("http://digipan.lumentumllc.com/apps/getLink/index.php?t=PropLink&amp;p=15755805","PL")</f>
        <v>PL</v>
      </c>
      <c r="B1583" s="1" t="str">
        <f>HYPERLINK("http://digipan.lumentumllc.com/apps/getLink/index.php?t=TaxLink&amp;p=15755805","TL")</f>
        <v>TL</v>
      </c>
      <c r="C1583" s="1" t="str">
        <f>HYPERLINK("http://digipan.lumentumllc.com/apps/getMap/index.php?p=15755805","Map")</f>
        <v>Map</v>
      </c>
      <c r="E1583" t="s">
        <v>177</v>
      </c>
      <c r="F1583" t="s">
        <v>178</v>
      </c>
      <c r="L1583" t="s">
        <v>20001</v>
      </c>
      <c r="N1583" t="s">
        <v>20001</v>
      </c>
      <c r="O1583" t="s">
        <v>20001</v>
      </c>
      <c r="Q1583" t="s">
        <v>20001</v>
      </c>
      <c r="V1583">
        <v>1817</v>
      </c>
      <c r="W1583">
        <v>6</v>
      </c>
      <c r="X1583">
        <v>2017</v>
      </c>
      <c r="Y1583">
        <v>2018</v>
      </c>
      <c r="Z1583">
        <v>310.55</v>
      </c>
      <c r="AG1583" t="s">
        <v>184</v>
      </c>
      <c r="AH1583">
        <v>0</v>
      </c>
      <c r="AK1583">
        <v>0</v>
      </c>
      <c r="AL1583">
        <v>18000</v>
      </c>
      <c r="AM1583">
        <v>18000</v>
      </c>
      <c r="AN1583">
        <v>0</v>
      </c>
      <c r="AO1583">
        <v>249</v>
      </c>
      <c r="AP1583">
        <v>2016</v>
      </c>
      <c r="AQ1583">
        <v>1.73</v>
      </c>
      <c r="AS1583" t="s">
        <v>20002</v>
      </c>
      <c r="AT1583" t="s">
        <v>15040</v>
      </c>
      <c r="AU1583" t="s">
        <v>177</v>
      </c>
      <c r="AV1583" t="s">
        <v>371</v>
      </c>
      <c r="AW1583" t="s">
        <v>182</v>
      </c>
      <c r="AX1583">
        <v>4</v>
      </c>
      <c r="AY1583" t="s">
        <v>188</v>
      </c>
      <c r="AZ1583" t="s">
        <v>296</v>
      </c>
      <c r="BA1583" t="s">
        <v>19069</v>
      </c>
      <c r="BB1583" t="s">
        <v>191</v>
      </c>
      <c r="BC1583" t="s">
        <v>182</v>
      </c>
      <c r="BD1583" t="s">
        <v>182</v>
      </c>
      <c r="BE1583" t="s">
        <v>1722</v>
      </c>
      <c r="BF1583">
        <v>0</v>
      </c>
      <c r="BG1583">
        <v>0</v>
      </c>
      <c r="BH1583">
        <v>0</v>
      </c>
      <c r="BI1583" t="s">
        <v>199</v>
      </c>
      <c r="BJ1583" t="s">
        <v>396</v>
      </c>
      <c r="BL1583" t="s">
        <v>19965</v>
      </c>
      <c r="BM1583" t="s">
        <v>273</v>
      </c>
      <c r="BN1583" t="s">
        <v>182</v>
      </c>
      <c r="BO1583" t="s">
        <v>198</v>
      </c>
      <c r="BP1583" t="s">
        <v>198</v>
      </c>
      <c r="BQ1583" t="s">
        <v>198</v>
      </c>
      <c r="BR1583" t="s">
        <v>198</v>
      </c>
      <c r="BS1583" t="s">
        <v>198</v>
      </c>
      <c r="BT1583" t="s">
        <v>198</v>
      </c>
      <c r="BU1583" t="s">
        <v>182</v>
      </c>
      <c r="BV1583" t="s">
        <v>198</v>
      </c>
      <c r="BW1583" t="s">
        <v>198</v>
      </c>
      <c r="BX1583" t="s">
        <v>199</v>
      </c>
      <c r="BY1583" t="s">
        <v>198</v>
      </c>
      <c r="BZ1583" t="s">
        <v>199</v>
      </c>
      <c r="CA1583" t="s">
        <v>199</v>
      </c>
      <c r="CB1583" t="s">
        <v>19966</v>
      </c>
      <c r="CC1583" t="s">
        <v>201</v>
      </c>
      <c r="CD1583" t="s">
        <v>182</v>
      </c>
      <c r="CE1583" t="s">
        <v>19967</v>
      </c>
      <c r="CF1583" t="s">
        <v>19968</v>
      </c>
      <c r="CG1583" t="s">
        <v>9098</v>
      </c>
      <c r="CH1583" t="s">
        <v>19969</v>
      </c>
      <c r="CI1583" t="s">
        <v>20003</v>
      </c>
      <c r="CS1583" t="s">
        <v>198</v>
      </c>
      <c r="DC1583" t="s">
        <v>198</v>
      </c>
      <c r="DM1583" t="s">
        <v>198</v>
      </c>
      <c r="DW1583" t="s">
        <v>198</v>
      </c>
      <c r="EG1583" t="s">
        <v>198</v>
      </c>
      <c r="EQ1583" t="s">
        <v>198</v>
      </c>
      <c r="FA1583" t="s">
        <v>198</v>
      </c>
      <c r="FK1583" t="s">
        <v>198</v>
      </c>
      <c r="FU1583" t="s">
        <v>198</v>
      </c>
    </row>
    <row r="1584" spans="1:177">
      <c r="A1584" s="1" t="str">
        <f>HYPERLINK("http://digipan.lumentumllc.com/apps/getLink/index.php?t=PropLink&amp;p=15755806","PL")</f>
        <v>PL</v>
      </c>
      <c r="B1584" s="1" t="str">
        <f>HYPERLINK("http://digipan.lumentumllc.com/apps/getLink/index.php?t=TaxLink&amp;p=15755806","TL")</f>
        <v>TL</v>
      </c>
      <c r="C1584" s="1" t="str">
        <f>HYPERLINK("http://digipan.lumentumllc.com/apps/getMap/index.php?p=15755806","Map")</f>
        <v>Map</v>
      </c>
      <c r="E1584" t="s">
        <v>177</v>
      </c>
      <c r="F1584" t="s">
        <v>178</v>
      </c>
      <c r="L1584" t="s">
        <v>20004</v>
      </c>
      <c r="N1584" t="s">
        <v>20004</v>
      </c>
      <c r="O1584" t="s">
        <v>20004</v>
      </c>
      <c r="Q1584" t="s">
        <v>20004</v>
      </c>
      <c r="V1584">
        <v>1818</v>
      </c>
      <c r="W1584">
        <v>6</v>
      </c>
      <c r="X1584">
        <v>2017</v>
      </c>
      <c r="Y1584">
        <v>2018</v>
      </c>
      <c r="Z1584">
        <v>310.55</v>
      </c>
      <c r="AG1584" t="s">
        <v>184</v>
      </c>
      <c r="AH1584">
        <v>0</v>
      </c>
      <c r="AK1584">
        <v>0</v>
      </c>
      <c r="AL1584">
        <v>18000</v>
      </c>
      <c r="AM1584">
        <v>18000</v>
      </c>
      <c r="AN1584">
        <v>0</v>
      </c>
      <c r="AO1584">
        <v>249</v>
      </c>
      <c r="AP1584">
        <v>2016</v>
      </c>
      <c r="AQ1584">
        <v>1.73</v>
      </c>
      <c r="AS1584" t="s">
        <v>20005</v>
      </c>
      <c r="AT1584" t="s">
        <v>15040</v>
      </c>
      <c r="AU1584" t="s">
        <v>177</v>
      </c>
      <c r="AV1584" t="s">
        <v>371</v>
      </c>
      <c r="AW1584" t="s">
        <v>182</v>
      </c>
      <c r="AX1584">
        <v>4</v>
      </c>
      <c r="AY1584" t="s">
        <v>188</v>
      </c>
      <c r="AZ1584" t="s">
        <v>296</v>
      </c>
      <c r="BA1584" t="s">
        <v>19069</v>
      </c>
      <c r="BB1584" t="s">
        <v>191</v>
      </c>
      <c r="BC1584" t="s">
        <v>182</v>
      </c>
      <c r="BD1584" t="s">
        <v>182</v>
      </c>
      <c r="BE1584" t="s">
        <v>1722</v>
      </c>
      <c r="BF1584">
        <v>0</v>
      </c>
      <c r="BG1584">
        <v>0</v>
      </c>
      <c r="BH1584">
        <v>0</v>
      </c>
      <c r="BI1584" t="s">
        <v>199</v>
      </c>
      <c r="BJ1584" t="s">
        <v>396</v>
      </c>
      <c r="BL1584" t="s">
        <v>19965</v>
      </c>
      <c r="BM1584" t="s">
        <v>273</v>
      </c>
      <c r="BN1584" t="s">
        <v>182</v>
      </c>
      <c r="BO1584" t="s">
        <v>198</v>
      </c>
      <c r="BP1584" t="s">
        <v>198</v>
      </c>
      <c r="BQ1584" t="s">
        <v>198</v>
      </c>
      <c r="BR1584" t="s">
        <v>198</v>
      </c>
      <c r="BS1584" t="s">
        <v>198</v>
      </c>
      <c r="BT1584" t="s">
        <v>198</v>
      </c>
      <c r="BU1584" t="s">
        <v>182</v>
      </c>
      <c r="BV1584" t="s">
        <v>198</v>
      </c>
      <c r="BW1584" t="s">
        <v>198</v>
      </c>
      <c r="BX1584" t="s">
        <v>199</v>
      </c>
      <c r="BY1584" t="s">
        <v>198</v>
      </c>
      <c r="BZ1584" t="s">
        <v>199</v>
      </c>
      <c r="CA1584" t="s">
        <v>199</v>
      </c>
      <c r="CB1584" t="s">
        <v>19966</v>
      </c>
      <c r="CC1584" t="s">
        <v>201</v>
      </c>
      <c r="CD1584" t="s">
        <v>182</v>
      </c>
      <c r="CE1584" t="s">
        <v>19967</v>
      </c>
      <c r="CF1584" t="s">
        <v>19968</v>
      </c>
      <c r="CG1584" t="s">
        <v>9098</v>
      </c>
      <c r="CH1584" t="s">
        <v>19969</v>
      </c>
      <c r="CI1584" t="s">
        <v>20006</v>
      </c>
      <c r="CS1584" t="s">
        <v>198</v>
      </c>
      <c r="DC1584" t="s">
        <v>198</v>
      </c>
      <c r="DM1584" t="s">
        <v>198</v>
      </c>
      <c r="DW1584" t="s">
        <v>198</v>
      </c>
      <c r="EG1584" t="s">
        <v>198</v>
      </c>
      <c r="EQ1584" t="s">
        <v>198</v>
      </c>
      <c r="FA1584" t="s">
        <v>198</v>
      </c>
      <c r="FK1584" t="s">
        <v>198</v>
      </c>
      <c r="FU1584" t="s">
        <v>198</v>
      </c>
    </row>
    <row r="1585" spans="1:177">
      <c r="A1585" s="1" t="str">
        <f>HYPERLINK("http://digipan.lumentumllc.com/apps/getLink/index.php?t=PropLink&amp;p=15755807","PL")</f>
        <v>PL</v>
      </c>
      <c r="B1585" s="1" t="str">
        <f>HYPERLINK("http://digipan.lumentumllc.com/apps/getLink/index.php?t=TaxLink&amp;p=15755807","TL")</f>
        <v>TL</v>
      </c>
      <c r="C1585" s="1" t="str">
        <f>HYPERLINK("http://digipan.lumentumllc.com/apps/getMap/index.php?p=15755807","Map")</f>
        <v>Map</v>
      </c>
      <c r="E1585" t="s">
        <v>177</v>
      </c>
      <c r="F1585" t="s">
        <v>178</v>
      </c>
      <c r="L1585" t="s">
        <v>20007</v>
      </c>
      <c r="N1585" t="s">
        <v>20007</v>
      </c>
      <c r="O1585" t="s">
        <v>20007</v>
      </c>
      <c r="Q1585" t="s">
        <v>20007</v>
      </c>
      <c r="V1585">
        <v>1819</v>
      </c>
      <c r="W1585">
        <v>6</v>
      </c>
      <c r="X1585">
        <v>2017</v>
      </c>
      <c r="Y1585">
        <v>2018</v>
      </c>
      <c r="Z1585">
        <v>310.55</v>
      </c>
      <c r="AG1585" t="s">
        <v>184</v>
      </c>
      <c r="AH1585">
        <v>0</v>
      </c>
      <c r="AK1585">
        <v>0</v>
      </c>
      <c r="AL1585">
        <v>18000</v>
      </c>
      <c r="AM1585">
        <v>18000</v>
      </c>
      <c r="AN1585">
        <v>0</v>
      </c>
      <c r="AO1585">
        <v>249</v>
      </c>
      <c r="AP1585">
        <v>2016</v>
      </c>
      <c r="AQ1585">
        <v>1.73</v>
      </c>
      <c r="AS1585" t="s">
        <v>20008</v>
      </c>
      <c r="AT1585" t="s">
        <v>15040</v>
      </c>
      <c r="AU1585" t="s">
        <v>177</v>
      </c>
      <c r="AV1585" t="s">
        <v>371</v>
      </c>
      <c r="AW1585" t="s">
        <v>182</v>
      </c>
      <c r="AX1585">
        <v>4</v>
      </c>
      <c r="AY1585" t="s">
        <v>188</v>
      </c>
      <c r="AZ1585" t="s">
        <v>296</v>
      </c>
      <c r="BA1585" t="s">
        <v>19069</v>
      </c>
      <c r="BB1585" t="s">
        <v>191</v>
      </c>
      <c r="BC1585" t="s">
        <v>182</v>
      </c>
      <c r="BD1585" t="s">
        <v>182</v>
      </c>
      <c r="BE1585" t="s">
        <v>1722</v>
      </c>
      <c r="BF1585">
        <v>0</v>
      </c>
      <c r="BG1585">
        <v>0</v>
      </c>
      <c r="BH1585">
        <v>0</v>
      </c>
      <c r="BI1585" t="s">
        <v>199</v>
      </c>
      <c r="BJ1585" t="s">
        <v>396</v>
      </c>
      <c r="BL1585" t="s">
        <v>19965</v>
      </c>
      <c r="BM1585" t="s">
        <v>273</v>
      </c>
      <c r="BN1585" t="s">
        <v>182</v>
      </c>
      <c r="BO1585" t="s">
        <v>198</v>
      </c>
      <c r="BP1585" t="s">
        <v>198</v>
      </c>
      <c r="BQ1585" t="s">
        <v>198</v>
      </c>
      <c r="BR1585" t="s">
        <v>198</v>
      </c>
      <c r="BS1585" t="s">
        <v>198</v>
      </c>
      <c r="BT1585" t="s">
        <v>198</v>
      </c>
      <c r="BU1585" t="s">
        <v>182</v>
      </c>
      <c r="BV1585" t="s">
        <v>198</v>
      </c>
      <c r="BW1585" t="s">
        <v>198</v>
      </c>
      <c r="BX1585" t="s">
        <v>199</v>
      </c>
      <c r="BY1585" t="s">
        <v>198</v>
      </c>
      <c r="BZ1585" t="s">
        <v>199</v>
      </c>
      <c r="CA1585" t="s">
        <v>199</v>
      </c>
      <c r="CB1585" t="s">
        <v>19966</v>
      </c>
      <c r="CC1585" t="s">
        <v>201</v>
      </c>
      <c r="CD1585" t="s">
        <v>182</v>
      </c>
      <c r="CE1585" t="s">
        <v>19967</v>
      </c>
      <c r="CF1585" t="s">
        <v>19968</v>
      </c>
      <c r="CG1585" t="s">
        <v>9098</v>
      </c>
      <c r="CH1585" t="s">
        <v>19969</v>
      </c>
      <c r="CI1585" t="s">
        <v>20009</v>
      </c>
      <c r="CS1585" t="s">
        <v>198</v>
      </c>
      <c r="DC1585" t="s">
        <v>198</v>
      </c>
      <c r="DM1585" t="s">
        <v>198</v>
      </c>
      <c r="DW1585" t="s">
        <v>198</v>
      </c>
      <c r="EG1585" t="s">
        <v>198</v>
      </c>
      <c r="EQ1585" t="s">
        <v>198</v>
      </c>
      <c r="FA1585" t="s">
        <v>198</v>
      </c>
      <c r="FK1585" t="s">
        <v>198</v>
      </c>
      <c r="FU1585" t="s">
        <v>198</v>
      </c>
    </row>
    <row r="1586" spans="1:177">
      <c r="A1586" s="1" t="str">
        <f>HYPERLINK("http://digipan.lumentumllc.com/apps/getLink/index.php?t=PropLink&amp;p=15755808","PL")</f>
        <v>PL</v>
      </c>
      <c r="B1586" s="1" t="str">
        <f>HYPERLINK("http://digipan.lumentumllc.com/apps/getLink/index.php?t=TaxLink&amp;p=15755808","TL")</f>
        <v>TL</v>
      </c>
      <c r="C1586" s="1" t="str">
        <f>HYPERLINK("http://digipan.lumentumllc.com/apps/getMap/index.php?p=15755808","Map")</f>
        <v>Map</v>
      </c>
      <c r="E1586" t="s">
        <v>177</v>
      </c>
      <c r="F1586" t="s">
        <v>178</v>
      </c>
      <c r="L1586" t="s">
        <v>20010</v>
      </c>
      <c r="N1586" t="s">
        <v>20010</v>
      </c>
      <c r="O1586" t="s">
        <v>20010</v>
      </c>
      <c r="Q1586" t="s">
        <v>20010</v>
      </c>
      <c r="V1586">
        <v>1820</v>
      </c>
      <c r="W1586">
        <v>6</v>
      </c>
      <c r="X1586">
        <v>2017</v>
      </c>
      <c r="Y1586">
        <v>2018</v>
      </c>
      <c r="Z1586">
        <v>310.55</v>
      </c>
      <c r="AG1586" t="s">
        <v>184</v>
      </c>
      <c r="AH1586">
        <v>0</v>
      </c>
      <c r="AK1586">
        <v>0</v>
      </c>
      <c r="AL1586">
        <v>18000</v>
      </c>
      <c r="AM1586">
        <v>18000</v>
      </c>
      <c r="AN1586">
        <v>0</v>
      </c>
      <c r="AO1586">
        <v>249</v>
      </c>
      <c r="AP1586">
        <v>2016</v>
      </c>
      <c r="AQ1586">
        <v>1.73</v>
      </c>
      <c r="AS1586" t="s">
        <v>20011</v>
      </c>
      <c r="AT1586" t="s">
        <v>15040</v>
      </c>
      <c r="AU1586" t="s">
        <v>177</v>
      </c>
      <c r="AV1586" t="s">
        <v>371</v>
      </c>
      <c r="AW1586" t="s">
        <v>182</v>
      </c>
      <c r="AX1586">
        <v>4</v>
      </c>
      <c r="AY1586" t="s">
        <v>188</v>
      </c>
      <c r="AZ1586" t="s">
        <v>296</v>
      </c>
      <c r="BA1586" t="s">
        <v>19069</v>
      </c>
      <c r="BB1586" t="s">
        <v>191</v>
      </c>
      <c r="BC1586" t="s">
        <v>182</v>
      </c>
      <c r="BD1586" t="s">
        <v>182</v>
      </c>
      <c r="BE1586" t="s">
        <v>1722</v>
      </c>
      <c r="BF1586">
        <v>0</v>
      </c>
      <c r="BG1586">
        <v>0</v>
      </c>
      <c r="BH1586">
        <v>0</v>
      </c>
      <c r="BI1586" t="s">
        <v>199</v>
      </c>
      <c r="BJ1586" t="s">
        <v>396</v>
      </c>
      <c r="BL1586" t="s">
        <v>19965</v>
      </c>
      <c r="BM1586" t="s">
        <v>273</v>
      </c>
      <c r="BN1586" t="s">
        <v>182</v>
      </c>
      <c r="BO1586" t="s">
        <v>198</v>
      </c>
      <c r="BP1586" t="s">
        <v>198</v>
      </c>
      <c r="BQ1586" t="s">
        <v>198</v>
      </c>
      <c r="BR1586" t="s">
        <v>198</v>
      </c>
      <c r="BS1586" t="s">
        <v>198</v>
      </c>
      <c r="BT1586" t="s">
        <v>198</v>
      </c>
      <c r="BU1586" t="s">
        <v>182</v>
      </c>
      <c r="BV1586" t="s">
        <v>198</v>
      </c>
      <c r="BW1586" t="s">
        <v>198</v>
      </c>
      <c r="BX1586" t="s">
        <v>199</v>
      </c>
      <c r="BY1586" t="s">
        <v>198</v>
      </c>
      <c r="BZ1586" t="s">
        <v>199</v>
      </c>
      <c r="CA1586" t="s">
        <v>199</v>
      </c>
      <c r="CB1586" t="s">
        <v>19966</v>
      </c>
      <c r="CC1586" t="s">
        <v>201</v>
      </c>
      <c r="CD1586" t="s">
        <v>182</v>
      </c>
      <c r="CE1586" t="s">
        <v>19967</v>
      </c>
      <c r="CF1586" t="s">
        <v>19968</v>
      </c>
      <c r="CG1586" t="s">
        <v>9098</v>
      </c>
      <c r="CH1586" t="s">
        <v>19969</v>
      </c>
      <c r="CI1586" t="s">
        <v>20012</v>
      </c>
      <c r="CS1586" t="s">
        <v>198</v>
      </c>
      <c r="DC1586" t="s">
        <v>198</v>
      </c>
      <c r="DM1586" t="s">
        <v>198</v>
      </c>
      <c r="DW1586" t="s">
        <v>198</v>
      </c>
      <c r="EG1586" t="s">
        <v>198</v>
      </c>
      <c r="EQ1586" t="s">
        <v>198</v>
      </c>
      <c r="FA1586" t="s">
        <v>198</v>
      </c>
      <c r="FK1586" t="s">
        <v>198</v>
      </c>
      <c r="FU1586" t="s">
        <v>198</v>
      </c>
    </row>
    <row r="1587" spans="1:177">
      <c r="A1587" s="1" t="str">
        <f>HYPERLINK("http://digipan.lumentumllc.com/apps/getLink/index.php?t=PropLink&amp;p=15755809","PL")</f>
        <v>PL</v>
      </c>
      <c r="B1587" s="1" t="str">
        <f>HYPERLINK("http://digipan.lumentumllc.com/apps/getLink/index.php?t=TaxLink&amp;p=15755809","TL")</f>
        <v>TL</v>
      </c>
      <c r="C1587" s="1" t="str">
        <f>HYPERLINK("http://digipan.lumentumllc.com/apps/getMap/index.php?p=15755809","Map")</f>
        <v>Map</v>
      </c>
      <c r="E1587" t="s">
        <v>177</v>
      </c>
      <c r="F1587" t="s">
        <v>178</v>
      </c>
      <c r="L1587" t="s">
        <v>20013</v>
      </c>
      <c r="N1587" t="s">
        <v>20013</v>
      </c>
      <c r="O1587" t="s">
        <v>20013</v>
      </c>
      <c r="Q1587" t="s">
        <v>20013</v>
      </c>
      <c r="V1587">
        <v>1821</v>
      </c>
      <c r="W1587">
        <v>6</v>
      </c>
      <c r="X1587">
        <v>2017</v>
      </c>
      <c r="Y1587">
        <v>2018</v>
      </c>
      <c r="Z1587">
        <v>310.55</v>
      </c>
      <c r="AG1587" t="s">
        <v>184</v>
      </c>
      <c r="AH1587">
        <v>0</v>
      </c>
      <c r="AK1587">
        <v>0</v>
      </c>
      <c r="AL1587">
        <v>18000</v>
      </c>
      <c r="AM1587">
        <v>18000</v>
      </c>
      <c r="AN1587">
        <v>0</v>
      </c>
      <c r="AO1587">
        <v>249</v>
      </c>
      <c r="AP1587">
        <v>2016</v>
      </c>
      <c r="AQ1587">
        <v>1.73</v>
      </c>
      <c r="AS1587" t="s">
        <v>20014</v>
      </c>
      <c r="AT1587" t="s">
        <v>15040</v>
      </c>
      <c r="AU1587" t="s">
        <v>177</v>
      </c>
      <c r="AV1587" t="s">
        <v>371</v>
      </c>
      <c r="AW1587" t="s">
        <v>182</v>
      </c>
      <c r="AX1587">
        <v>4</v>
      </c>
      <c r="AY1587" t="s">
        <v>188</v>
      </c>
      <c r="AZ1587" t="s">
        <v>296</v>
      </c>
      <c r="BA1587" t="s">
        <v>19069</v>
      </c>
      <c r="BB1587" t="s">
        <v>191</v>
      </c>
      <c r="BC1587" t="s">
        <v>182</v>
      </c>
      <c r="BD1587" t="s">
        <v>182</v>
      </c>
      <c r="BE1587" t="s">
        <v>1722</v>
      </c>
      <c r="BF1587">
        <v>0</v>
      </c>
      <c r="BG1587">
        <v>0</v>
      </c>
      <c r="BH1587">
        <v>0</v>
      </c>
      <c r="BI1587" t="s">
        <v>199</v>
      </c>
      <c r="BJ1587" t="s">
        <v>396</v>
      </c>
      <c r="BL1587" t="s">
        <v>19965</v>
      </c>
      <c r="BM1587" t="s">
        <v>273</v>
      </c>
      <c r="BN1587" t="s">
        <v>182</v>
      </c>
      <c r="BO1587" t="s">
        <v>198</v>
      </c>
      <c r="BP1587" t="s">
        <v>198</v>
      </c>
      <c r="BQ1587" t="s">
        <v>198</v>
      </c>
      <c r="BR1587" t="s">
        <v>198</v>
      </c>
      <c r="BS1587" t="s">
        <v>198</v>
      </c>
      <c r="BT1587" t="s">
        <v>198</v>
      </c>
      <c r="BU1587" t="s">
        <v>182</v>
      </c>
      <c r="BV1587" t="s">
        <v>198</v>
      </c>
      <c r="BW1587" t="s">
        <v>198</v>
      </c>
      <c r="BX1587" t="s">
        <v>199</v>
      </c>
      <c r="BY1587" t="s">
        <v>198</v>
      </c>
      <c r="BZ1587" t="s">
        <v>199</v>
      </c>
      <c r="CA1587" t="s">
        <v>199</v>
      </c>
      <c r="CB1587" t="s">
        <v>19966</v>
      </c>
      <c r="CC1587" t="s">
        <v>201</v>
      </c>
      <c r="CD1587" t="s">
        <v>182</v>
      </c>
      <c r="CE1587" t="s">
        <v>19967</v>
      </c>
      <c r="CF1587" t="s">
        <v>19968</v>
      </c>
      <c r="CG1587" t="s">
        <v>9098</v>
      </c>
      <c r="CH1587" t="s">
        <v>19969</v>
      </c>
      <c r="CI1587" t="s">
        <v>20015</v>
      </c>
      <c r="CS1587" t="s">
        <v>198</v>
      </c>
      <c r="DC1587" t="s">
        <v>198</v>
      </c>
      <c r="DM1587" t="s">
        <v>198</v>
      </c>
      <c r="DW1587" t="s">
        <v>198</v>
      </c>
      <c r="EG1587" t="s">
        <v>198</v>
      </c>
      <c r="EQ1587" t="s">
        <v>198</v>
      </c>
      <c r="FA1587" t="s">
        <v>198</v>
      </c>
      <c r="FK1587" t="s">
        <v>198</v>
      </c>
      <c r="FU1587" t="s">
        <v>198</v>
      </c>
    </row>
    <row r="1588" spans="1:177">
      <c r="A1588" s="1" t="str">
        <f>HYPERLINK("http://digipan.lumentumllc.com/apps/getLink/index.php?t=PropLink&amp;p=15755810","PL")</f>
        <v>PL</v>
      </c>
      <c r="B1588" s="1" t="str">
        <f>HYPERLINK("http://digipan.lumentumllc.com/apps/getLink/index.php?t=TaxLink&amp;p=15755810","TL")</f>
        <v>TL</v>
      </c>
      <c r="C1588" s="1" t="str">
        <f>HYPERLINK("http://digipan.lumentumllc.com/apps/getMap/index.php?p=15755810","Map")</f>
        <v>Map</v>
      </c>
      <c r="E1588" t="s">
        <v>177</v>
      </c>
      <c r="F1588" t="s">
        <v>178</v>
      </c>
      <c r="L1588" t="s">
        <v>20016</v>
      </c>
      <c r="N1588" t="s">
        <v>20016</v>
      </c>
      <c r="O1588" t="s">
        <v>20016</v>
      </c>
      <c r="Q1588" t="s">
        <v>20016</v>
      </c>
      <c r="V1588">
        <v>1822</v>
      </c>
      <c r="W1588">
        <v>6</v>
      </c>
      <c r="X1588">
        <v>2017</v>
      </c>
      <c r="Y1588">
        <v>2018</v>
      </c>
      <c r="Z1588">
        <v>310.55</v>
      </c>
      <c r="AG1588" t="s">
        <v>184</v>
      </c>
      <c r="AH1588">
        <v>0</v>
      </c>
      <c r="AK1588">
        <v>0</v>
      </c>
      <c r="AL1588">
        <v>18000</v>
      </c>
      <c r="AM1588">
        <v>18000</v>
      </c>
      <c r="AN1588">
        <v>0</v>
      </c>
      <c r="AO1588">
        <v>249</v>
      </c>
      <c r="AP1588">
        <v>2016</v>
      </c>
      <c r="AQ1588">
        <v>1.73</v>
      </c>
      <c r="AS1588" t="s">
        <v>20017</v>
      </c>
      <c r="AT1588" t="s">
        <v>15040</v>
      </c>
      <c r="AU1588" t="s">
        <v>177</v>
      </c>
      <c r="AV1588" t="s">
        <v>371</v>
      </c>
      <c r="AW1588" t="s">
        <v>182</v>
      </c>
      <c r="AX1588">
        <v>4</v>
      </c>
      <c r="AY1588" t="s">
        <v>188</v>
      </c>
      <c r="AZ1588" t="s">
        <v>296</v>
      </c>
      <c r="BA1588" t="s">
        <v>19069</v>
      </c>
      <c r="BB1588" t="s">
        <v>191</v>
      </c>
      <c r="BC1588" t="s">
        <v>182</v>
      </c>
      <c r="BD1588" t="s">
        <v>182</v>
      </c>
      <c r="BE1588" t="s">
        <v>1722</v>
      </c>
      <c r="BF1588">
        <v>0</v>
      </c>
      <c r="BG1588">
        <v>0</v>
      </c>
      <c r="BH1588">
        <v>0</v>
      </c>
      <c r="BI1588" t="s">
        <v>199</v>
      </c>
      <c r="BJ1588" t="s">
        <v>396</v>
      </c>
      <c r="BL1588" t="s">
        <v>19965</v>
      </c>
      <c r="BM1588" t="s">
        <v>273</v>
      </c>
      <c r="BN1588" t="s">
        <v>182</v>
      </c>
      <c r="BO1588" t="s">
        <v>198</v>
      </c>
      <c r="BP1588" t="s">
        <v>198</v>
      </c>
      <c r="BQ1588" t="s">
        <v>198</v>
      </c>
      <c r="BR1588" t="s">
        <v>198</v>
      </c>
      <c r="BS1588" t="s">
        <v>198</v>
      </c>
      <c r="BT1588" t="s">
        <v>198</v>
      </c>
      <c r="BU1588" t="s">
        <v>182</v>
      </c>
      <c r="BV1588" t="s">
        <v>198</v>
      </c>
      <c r="BW1588" t="s">
        <v>198</v>
      </c>
      <c r="BX1588" t="s">
        <v>199</v>
      </c>
      <c r="BY1588" t="s">
        <v>198</v>
      </c>
      <c r="BZ1588" t="s">
        <v>199</v>
      </c>
      <c r="CA1588" t="s">
        <v>199</v>
      </c>
      <c r="CB1588" t="s">
        <v>19966</v>
      </c>
      <c r="CC1588" t="s">
        <v>201</v>
      </c>
      <c r="CD1588" t="s">
        <v>182</v>
      </c>
      <c r="CE1588" t="s">
        <v>19967</v>
      </c>
      <c r="CF1588" t="s">
        <v>19968</v>
      </c>
      <c r="CG1588" t="s">
        <v>9098</v>
      </c>
      <c r="CH1588" t="s">
        <v>19969</v>
      </c>
      <c r="CI1588" t="s">
        <v>20018</v>
      </c>
      <c r="CS1588" t="s">
        <v>198</v>
      </c>
      <c r="DC1588" t="s">
        <v>198</v>
      </c>
      <c r="DM1588" t="s">
        <v>198</v>
      </c>
      <c r="DW1588" t="s">
        <v>198</v>
      </c>
      <c r="EG1588" t="s">
        <v>198</v>
      </c>
      <c r="EQ1588" t="s">
        <v>198</v>
      </c>
      <c r="FA1588" t="s">
        <v>198</v>
      </c>
      <c r="FK1588" t="s">
        <v>198</v>
      </c>
      <c r="FU1588" t="s">
        <v>198</v>
      </c>
    </row>
    <row r="1589" spans="1:177">
      <c r="A1589" s="1" t="str">
        <f>HYPERLINK("http://digipan.lumentumllc.com/apps/getLink/index.php?t=PropLink&amp;p=15755811","PL")</f>
        <v>PL</v>
      </c>
      <c r="B1589" s="1" t="str">
        <f>HYPERLINK("http://digipan.lumentumllc.com/apps/getLink/index.php?t=TaxLink&amp;p=15755811","TL")</f>
        <v>TL</v>
      </c>
      <c r="C1589" s="1" t="str">
        <f>HYPERLINK("http://digipan.lumentumllc.com/apps/getMap/index.php?p=15755811","Map")</f>
        <v>Map</v>
      </c>
      <c r="E1589" t="s">
        <v>177</v>
      </c>
      <c r="F1589" t="s">
        <v>178</v>
      </c>
      <c r="L1589" t="s">
        <v>20019</v>
      </c>
      <c r="N1589" t="s">
        <v>20019</v>
      </c>
      <c r="O1589" t="s">
        <v>20019</v>
      </c>
      <c r="Q1589" t="s">
        <v>20019</v>
      </c>
      <c r="V1589">
        <v>1823</v>
      </c>
      <c r="W1589">
        <v>6</v>
      </c>
      <c r="X1589">
        <v>2017</v>
      </c>
      <c r="Y1589">
        <v>2018</v>
      </c>
      <c r="Z1589">
        <v>310.55</v>
      </c>
      <c r="AG1589" t="s">
        <v>184</v>
      </c>
      <c r="AH1589">
        <v>0</v>
      </c>
      <c r="AK1589">
        <v>0</v>
      </c>
      <c r="AL1589">
        <v>18000</v>
      </c>
      <c r="AM1589">
        <v>18000</v>
      </c>
      <c r="AN1589">
        <v>0</v>
      </c>
      <c r="AO1589">
        <v>249</v>
      </c>
      <c r="AP1589">
        <v>2016</v>
      </c>
      <c r="AQ1589">
        <v>1.73</v>
      </c>
      <c r="AS1589" t="s">
        <v>20020</v>
      </c>
      <c r="AT1589" t="s">
        <v>15040</v>
      </c>
      <c r="AU1589" t="s">
        <v>177</v>
      </c>
      <c r="AV1589" t="s">
        <v>371</v>
      </c>
      <c r="AW1589" t="s">
        <v>182</v>
      </c>
      <c r="AX1589">
        <v>4</v>
      </c>
      <c r="AY1589" t="s">
        <v>188</v>
      </c>
      <c r="AZ1589" t="s">
        <v>296</v>
      </c>
      <c r="BA1589" t="s">
        <v>19069</v>
      </c>
      <c r="BB1589" t="s">
        <v>191</v>
      </c>
      <c r="BC1589" t="s">
        <v>182</v>
      </c>
      <c r="BD1589" t="s">
        <v>182</v>
      </c>
      <c r="BE1589" t="s">
        <v>1722</v>
      </c>
      <c r="BF1589">
        <v>0</v>
      </c>
      <c r="BG1589">
        <v>0</v>
      </c>
      <c r="BH1589">
        <v>0</v>
      </c>
      <c r="BI1589" t="s">
        <v>199</v>
      </c>
      <c r="BJ1589" t="s">
        <v>396</v>
      </c>
      <c r="BL1589" t="s">
        <v>19965</v>
      </c>
      <c r="BM1589" t="s">
        <v>273</v>
      </c>
      <c r="BN1589" t="s">
        <v>182</v>
      </c>
      <c r="BO1589" t="s">
        <v>198</v>
      </c>
      <c r="BP1589" t="s">
        <v>198</v>
      </c>
      <c r="BQ1589" t="s">
        <v>198</v>
      </c>
      <c r="BR1589" t="s">
        <v>198</v>
      </c>
      <c r="BS1589" t="s">
        <v>198</v>
      </c>
      <c r="BT1589" t="s">
        <v>198</v>
      </c>
      <c r="BU1589" t="s">
        <v>182</v>
      </c>
      <c r="BV1589" t="s">
        <v>198</v>
      </c>
      <c r="BW1589" t="s">
        <v>198</v>
      </c>
      <c r="BX1589" t="s">
        <v>199</v>
      </c>
      <c r="BY1589" t="s">
        <v>198</v>
      </c>
      <c r="BZ1589" t="s">
        <v>199</v>
      </c>
      <c r="CA1589" t="s">
        <v>199</v>
      </c>
      <c r="CB1589" t="s">
        <v>19966</v>
      </c>
      <c r="CC1589" t="s">
        <v>201</v>
      </c>
      <c r="CD1589" t="s">
        <v>182</v>
      </c>
      <c r="CE1589" t="s">
        <v>19967</v>
      </c>
      <c r="CF1589" t="s">
        <v>19968</v>
      </c>
      <c r="CG1589" t="s">
        <v>9098</v>
      </c>
      <c r="CH1589" t="s">
        <v>19969</v>
      </c>
      <c r="CI1589" t="s">
        <v>20021</v>
      </c>
      <c r="CS1589" t="s">
        <v>198</v>
      </c>
      <c r="DC1589" t="s">
        <v>198</v>
      </c>
      <c r="DM1589" t="s">
        <v>198</v>
      </c>
      <c r="DW1589" t="s">
        <v>198</v>
      </c>
      <c r="EG1589" t="s">
        <v>198</v>
      </c>
      <c r="EQ1589" t="s">
        <v>198</v>
      </c>
      <c r="FA1589" t="s">
        <v>198</v>
      </c>
      <c r="FK1589" t="s">
        <v>198</v>
      </c>
      <c r="FU1589" t="s">
        <v>198</v>
      </c>
    </row>
    <row r="1590" spans="1:177">
      <c r="A1590" s="1" t="str">
        <f>HYPERLINK("http://digipan.lumentumllc.com/apps/getLink/index.php?t=PropLink&amp;p=15755812","PL")</f>
        <v>PL</v>
      </c>
      <c r="B1590" s="1" t="str">
        <f>HYPERLINK("http://digipan.lumentumllc.com/apps/getLink/index.php?t=TaxLink&amp;p=15755812","TL")</f>
        <v>TL</v>
      </c>
      <c r="C1590" s="1" t="str">
        <f>HYPERLINK("http://digipan.lumentumllc.com/apps/getMap/index.php?p=15755812","Map")</f>
        <v>Map</v>
      </c>
      <c r="E1590" t="s">
        <v>177</v>
      </c>
      <c r="F1590" t="s">
        <v>178</v>
      </c>
      <c r="L1590" t="s">
        <v>20022</v>
      </c>
      <c r="N1590" t="s">
        <v>20022</v>
      </c>
      <c r="O1590" t="s">
        <v>20022</v>
      </c>
      <c r="Q1590" t="s">
        <v>20022</v>
      </c>
      <c r="V1590">
        <v>1824</v>
      </c>
      <c r="W1590">
        <v>6</v>
      </c>
      <c r="X1590">
        <v>2017</v>
      </c>
      <c r="Y1590">
        <v>2018</v>
      </c>
      <c r="Z1590">
        <v>310.55</v>
      </c>
      <c r="AG1590" t="s">
        <v>184</v>
      </c>
      <c r="AH1590">
        <v>0</v>
      </c>
      <c r="AK1590">
        <v>0</v>
      </c>
      <c r="AL1590">
        <v>18000</v>
      </c>
      <c r="AM1590">
        <v>18000</v>
      </c>
      <c r="AN1590">
        <v>0</v>
      </c>
      <c r="AO1590">
        <v>249</v>
      </c>
      <c r="AP1590">
        <v>2016</v>
      </c>
      <c r="AQ1590">
        <v>1.73</v>
      </c>
      <c r="AS1590" t="s">
        <v>20023</v>
      </c>
      <c r="AT1590" t="s">
        <v>15040</v>
      </c>
      <c r="AU1590" t="s">
        <v>177</v>
      </c>
      <c r="AV1590" t="s">
        <v>371</v>
      </c>
      <c r="AW1590" t="s">
        <v>182</v>
      </c>
      <c r="AX1590">
        <v>4</v>
      </c>
      <c r="AY1590" t="s">
        <v>188</v>
      </c>
      <c r="AZ1590" t="s">
        <v>296</v>
      </c>
      <c r="BA1590" t="s">
        <v>19069</v>
      </c>
      <c r="BB1590" t="s">
        <v>191</v>
      </c>
      <c r="BC1590" t="s">
        <v>182</v>
      </c>
      <c r="BD1590" t="s">
        <v>182</v>
      </c>
      <c r="BE1590" t="s">
        <v>1722</v>
      </c>
      <c r="BF1590">
        <v>0</v>
      </c>
      <c r="BG1590">
        <v>0</v>
      </c>
      <c r="BH1590">
        <v>0</v>
      </c>
      <c r="BI1590" t="s">
        <v>199</v>
      </c>
      <c r="BJ1590" t="s">
        <v>396</v>
      </c>
      <c r="BL1590" t="s">
        <v>19965</v>
      </c>
      <c r="BM1590" t="s">
        <v>273</v>
      </c>
      <c r="BN1590" t="s">
        <v>182</v>
      </c>
      <c r="BO1590" t="s">
        <v>198</v>
      </c>
      <c r="BP1590" t="s">
        <v>198</v>
      </c>
      <c r="BQ1590" t="s">
        <v>198</v>
      </c>
      <c r="BR1590" t="s">
        <v>198</v>
      </c>
      <c r="BS1590" t="s">
        <v>198</v>
      </c>
      <c r="BT1590" t="s">
        <v>198</v>
      </c>
      <c r="BU1590" t="s">
        <v>182</v>
      </c>
      <c r="BV1590" t="s">
        <v>198</v>
      </c>
      <c r="BW1590" t="s">
        <v>198</v>
      </c>
      <c r="BX1590" t="s">
        <v>199</v>
      </c>
      <c r="BY1590" t="s">
        <v>198</v>
      </c>
      <c r="BZ1590" t="s">
        <v>199</v>
      </c>
      <c r="CA1590" t="s">
        <v>199</v>
      </c>
      <c r="CB1590" t="s">
        <v>19966</v>
      </c>
      <c r="CC1590" t="s">
        <v>201</v>
      </c>
      <c r="CD1590" t="s">
        <v>182</v>
      </c>
      <c r="CE1590" t="s">
        <v>19967</v>
      </c>
      <c r="CF1590" t="s">
        <v>19968</v>
      </c>
      <c r="CG1590" t="s">
        <v>9098</v>
      </c>
      <c r="CH1590" t="s">
        <v>19969</v>
      </c>
      <c r="CI1590" t="s">
        <v>20024</v>
      </c>
      <c r="CS1590" t="s">
        <v>198</v>
      </c>
      <c r="DC1590" t="s">
        <v>198</v>
      </c>
      <c r="DM1590" t="s">
        <v>198</v>
      </c>
      <c r="DW1590" t="s">
        <v>198</v>
      </c>
      <c r="EG1590" t="s">
        <v>198</v>
      </c>
      <c r="EQ1590" t="s">
        <v>198</v>
      </c>
      <c r="FA1590" t="s">
        <v>198</v>
      </c>
      <c r="FK1590" t="s">
        <v>198</v>
      </c>
      <c r="FU1590" t="s">
        <v>198</v>
      </c>
    </row>
    <row r="1591" spans="1:177">
      <c r="A1591" s="1" t="str">
        <f>HYPERLINK("http://digipan.lumentumllc.com/apps/getLink/index.php?t=PropLink&amp;p=15755813","PL")</f>
        <v>PL</v>
      </c>
      <c r="B1591" s="1" t="str">
        <f>HYPERLINK("http://digipan.lumentumllc.com/apps/getLink/index.php?t=TaxLink&amp;p=15755813","TL")</f>
        <v>TL</v>
      </c>
      <c r="C1591" s="1" t="str">
        <f>HYPERLINK("http://digipan.lumentumllc.com/apps/getMap/index.php?p=15755813","Map")</f>
        <v>Map</v>
      </c>
      <c r="E1591" t="s">
        <v>177</v>
      </c>
      <c r="F1591" t="s">
        <v>178</v>
      </c>
      <c r="L1591" t="s">
        <v>20025</v>
      </c>
      <c r="N1591" t="s">
        <v>20025</v>
      </c>
      <c r="O1591" t="s">
        <v>20025</v>
      </c>
      <c r="Q1591" t="s">
        <v>20025</v>
      </c>
      <c r="V1591">
        <v>1825</v>
      </c>
      <c r="W1591">
        <v>6</v>
      </c>
      <c r="X1591">
        <v>2017</v>
      </c>
      <c r="Y1591">
        <v>2018</v>
      </c>
      <c r="Z1591">
        <v>310.55</v>
      </c>
      <c r="AG1591" t="s">
        <v>184</v>
      </c>
      <c r="AH1591">
        <v>0</v>
      </c>
      <c r="AK1591">
        <v>0</v>
      </c>
      <c r="AL1591">
        <v>18000</v>
      </c>
      <c r="AM1591">
        <v>18000</v>
      </c>
      <c r="AN1591">
        <v>0</v>
      </c>
      <c r="AO1591">
        <v>249</v>
      </c>
      <c r="AP1591">
        <v>2016</v>
      </c>
      <c r="AQ1591">
        <v>1.73</v>
      </c>
      <c r="AS1591" t="s">
        <v>20026</v>
      </c>
      <c r="AT1591" t="s">
        <v>15040</v>
      </c>
      <c r="AU1591" t="s">
        <v>177</v>
      </c>
      <c r="AV1591" t="s">
        <v>371</v>
      </c>
      <c r="AW1591" t="s">
        <v>182</v>
      </c>
      <c r="AX1591">
        <v>4</v>
      </c>
      <c r="AY1591" t="s">
        <v>188</v>
      </c>
      <c r="AZ1591" t="s">
        <v>296</v>
      </c>
      <c r="BA1591" t="s">
        <v>19069</v>
      </c>
      <c r="BB1591" t="s">
        <v>191</v>
      </c>
      <c r="BC1591" t="s">
        <v>182</v>
      </c>
      <c r="BD1591" t="s">
        <v>182</v>
      </c>
      <c r="BE1591" t="s">
        <v>1722</v>
      </c>
      <c r="BF1591">
        <v>0</v>
      </c>
      <c r="BG1591">
        <v>0</v>
      </c>
      <c r="BH1591">
        <v>0</v>
      </c>
      <c r="BI1591" t="s">
        <v>199</v>
      </c>
      <c r="BJ1591" t="s">
        <v>396</v>
      </c>
      <c r="BL1591" t="s">
        <v>19965</v>
      </c>
      <c r="BM1591" t="s">
        <v>273</v>
      </c>
      <c r="BN1591" t="s">
        <v>182</v>
      </c>
      <c r="BO1591" t="s">
        <v>198</v>
      </c>
      <c r="BP1591" t="s">
        <v>198</v>
      </c>
      <c r="BQ1591" t="s">
        <v>198</v>
      </c>
      <c r="BR1591" t="s">
        <v>198</v>
      </c>
      <c r="BS1591" t="s">
        <v>198</v>
      </c>
      <c r="BT1591" t="s">
        <v>198</v>
      </c>
      <c r="BU1591" t="s">
        <v>182</v>
      </c>
      <c r="BV1591" t="s">
        <v>198</v>
      </c>
      <c r="BW1591" t="s">
        <v>198</v>
      </c>
      <c r="BX1591" t="s">
        <v>199</v>
      </c>
      <c r="BY1591" t="s">
        <v>198</v>
      </c>
      <c r="BZ1591" t="s">
        <v>199</v>
      </c>
      <c r="CA1591" t="s">
        <v>199</v>
      </c>
      <c r="CB1591" t="s">
        <v>19966</v>
      </c>
      <c r="CC1591" t="s">
        <v>201</v>
      </c>
      <c r="CD1591" t="s">
        <v>182</v>
      </c>
      <c r="CE1591" t="s">
        <v>19967</v>
      </c>
      <c r="CF1591" t="s">
        <v>19968</v>
      </c>
      <c r="CG1591" t="s">
        <v>9098</v>
      </c>
      <c r="CH1591" t="s">
        <v>19969</v>
      </c>
      <c r="CI1591" t="s">
        <v>20027</v>
      </c>
      <c r="CS1591" t="s">
        <v>198</v>
      </c>
      <c r="DC1591" t="s">
        <v>198</v>
      </c>
      <c r="DM1591" t="s">
        <v>198</v>
      </c>
      <c r="DW1591" t="s">
        <v>198</v>
      </c>
      <c r="EG1591" t="s">
        <v>198</v>
      </c>
      <c r="EQ1591" t="s">
        <v>198</v>
      </c>
      <c r="FA1591" t="s">
        <v>198</v>
      </c>
      <c r="FK1591" t="s">
        <v>198</v>
      </c>
      <c r="FU1591" t="s">
        <v>198</v>
      </c>
    </row>
    <row r="1592" spans="1:177">
      <c r="A1592" s="1" t="str">
        <f>HYPERLINK("http://digipan.lumentumllc.com/apps/getLink/index.php?t=PropLink&amp;p=15755814","PL")</f>
        <v>PL</v>
      </c>
      <c r="B1592" s="1" t="str">
        <f>HYPERLINK("http://digipan.lumentumllc.com/apps/getLink/index.php?t=TaxLink&amp;p=15755814","TL")</f>
        <v>TL</v>
      </c>
      <c r="C1592" s="1" t="str">
        <f>HYPERLINK("http://digipan.lumentumllc.com/apps/getMap/index.php?p=15755814","Map")</f>
        <v>Map</v>
      </c>
      <c r="E1592" t="s">
        <v>177</v>
      </c>
      <c r="F1592" t="s">
        <v>178</v>
      </c>
      <c r="L1592" t="s">
        <v>20028</v>
      </c>
      <c r="N1592" t="s">
        <v>20028</v>
      </c>
      <c r="O1592" t="s">
        <v>20028</v>
      </c>
      <c r="Q1592" t="s">
        <v>20028</v>
      </c>
      <c r="V1592">
        <v>1826</v>
      </c>
      <c r="W1592">
        <v>6</v>
      </c>
      <c r="X1592">
        <v>2017</v>
      </c>
      <c r="Y1592">
        <v>2018</v>
      </c>
      <c r="Z1592">
        <v>310.55</v>
      </c>
      <c r="AG1592" t="s">
        <v>184</v>
      </c>
      <c r="AH1592">
        <v>0</v>
      </c>
      <c r="AK1592">
        <v>0</v>
      </c>
      <c r="AL1592">
        <v>18000</v>
      </c>
      <c r="AM1592">
        <v>18000</v>
      </c>
      <c r="AN1592">
        <v>0</v>
      </c>
      <c r="AO1592">
        <v>249</v>
      </c>
      <c r="AP1592">
        <v>2016</v>
      </c>
      <c r="AQ1592">
        <v>1.73</v>
      </c>
      <c r="AS1592" t="s">
        <v>20029</v>
      </c>
      <c r="AT1592" t="s">
        <v>15040</v>
      </c>
      <c r="AU1592" t="s">
        <v>177</v>
      </c>
      <c r="AV1592" t="s">
        <v>371</v>
      </c>
      <c r="AW1592" t="s">
        <v>182</v>
      </c>
      <c r="AX1592">
        <v>4</v>
      </c>
      <c r="AY1592" t="s">
        <v>188</v>
      </c>
      <c r="AZ1592" t="s">
        <v>296</v>
      </c>
      <c r="BA1592" t="s">
        <v>19069</v>
      </c>
      <c r="BB1592" t="s">
        <v>191</v>
      </c>
      <c r="BC1592" t="s">
        <v>182</v>
      </c>
      <c r="BD1592" t="s">
        <v>182</v>
      </c>
      <c r="BE1592" t="s">
        <v>1722</v>
      </c>
      <c r="BF1592">
        <v>0</v>
      </c>
      <c r="BG1592">
        <v>0</v>
      </c>
      <c r="BH1592">
        <v>0</v>
      </c>
      <c r="BI1592" t="s">
        <v>199</v>
      </c>
      <c r="BJ1592" t="s">
        <v>396</v>
      </c>
      <c r="BL1592" t="s">
        <v>19965</v>
      </c>
      <c r="BM1592" t="s">
        <v>273</v>
      </c>
      <c r="BN1592" t="s">
        <v>182</v>
      </c>
      <c r="BO1592" t="s">
        <v>198</v>
      </c>
      <c r="BP1592" t="s">
        <v>198</v>
      </c>
      <c r="BQ1592" t="s">
        <v>198</v>
      </c>
      <c r="BR1592" t="s">
        <v>198</v>
      </c>
      <c r="BS1592" t="s">
        <v>198</v>
      </c>
      <c r="BT1592" t="s">
        <v>198</v>
      </c>
      <c r="BU1592" t="s">
        <v>182</v>
      </c>
      <c r="BV1592" t="s">
        <v>198</v>
      </c>
      <c r="BW1592" t="s">
        <v>198</v>
      </c>
      <c r="BX1592" t="s">
        <v>199</v>
      </c>
      <c r="BY1592" t="s">
        <v>198</v>
      </c>
      <c r="BZ1592" t="s">
        <v>199</v>
      </c>
      <c r="CA1592" t="s">
        <v>199</v>
      </c>
      <c r="CB1592" t="s">
        <v>19966</v>
      </c>
      <c r="CC1592" t="s">
        <v>201</v>
      </c>
      <c r="CD1592" t="s">
        <v>182</v>
      </c>
      <c r="CE1592" t="s">
        <v>19967</v>
      </c>
      <c r="CF1592" t="s">
        <v>19968</v>
      </c>
      <c r="CG1592" t="s">
        <v>9098</v>
      </c>
      <c r="CH1592" t="s">
        <v>19969</v>
      </c>
      <c r="CI1592" t="s">
        <v>20030</v>
      </c>
      <c r="CS1592" t="s">
        <v>198</v>
      </c>
      <c r="DC1592" t="s">
        <v>198</v>
      </c>
      <c r="DM1592" t="s">
        <v>198</v>
      </c>
      <c r="DW1592" t="s">
        <v>198</v>
      </c>
      <c r="EG1592" t="s">
        <v>198</v>
      </c>
      <c r="EQ1592" t="s">
        <v>198</v>
      </c>
      <c r="FA1592" t="s">
        <v>198</v>
      </c>
      <c r="FK1592" t="s">
        <v>198</v>
      </c>
      <c r="FU1592" t="s">
        <v>198</v>
      </c>
    </row>
    <row r="1593" spans="1:177">
      <c r="A1593" s="1" t="str">
        <f>HYPERLINK("http://digipan.lumentumllc.com/apps/getLink/index.php?t=PropLink&amp;p=15755815","PL")</f>
        <v>PL</v>
      </c>
      <c r="B1593" s="1" t="str">
        <f>HYPERLINK("http://digipan.lumentumllc.com/apps/getLink/index.php?t=TaxLink&amp;p=15755815","TL")</f>
        <v>TL</v>
      </c>
      <c r="C1593" s="1" t="str">
        <f>HYPERLINK("http://digipan.lumentumllc.com/apps/getMap/index.php?p=15755815","Map")</f>
        <v>Map</v>
      </c>
      <c r="E1593" t="s">
        <v>177</v>
      </c>
      <c r="F1593" t="s">
        <v>178</v>
      </c>
      <c r="L1593" t="s">
        <v>20031</v>
      </c>
      <c r="N1593" t="s">
        <v>20031</v>
      </c>
      <c r="O1593" t="s">
        <v>20031</v>
      </c>
      <c r="Q1593" t="s">
        <v>20031</v>
      </c>
      <c r="V1593">
        <v>1827</v>
      </c>
      <c r="W1593">
        <v>6</v>
      </c>
      <c r="X1593">
        <v>2017</v>
      </c>
      <c r="Y1593">
        <v>2018</v>
      </c>
      <c r="Z1593">
        <v>310.55</v>
      </c>
      <c r="AG1593" t="s">
        <v>184</v>
      </c>
      <c r="AH1593">
        <v>0</v>
      </c>
      <c r="AK1593">
        <v>0</v>
      </c>
      <c r="AL1593">
        <v>18000</v>
      </c>
      <c r="AM1593">
        <v>18000</v>
      </c>
      <c r="AN1593">
        <v>0</v>
      </c>
      <c r="AO1593">
        <v>249</v>
      </c>
      <c r="AP1593">
        <v>2016</v>
      </c>
      <c r="AQ1593">
        <v>1.73</v>
      </c>
      <c r="AS1593" t="s">
        <v>20032</v>
      </c>
      <c r="AT1593" t="s">
        <v>15040</v>
      </c>
      <c r="AU1593" t="s">
        <v>177</v>
      </c>
      <c r="AV1593" t="s">
        <v>371</v>
      </c>
      <c r="AW1593" t="s">
        <v>182</v>
      </c>
      <c r="AX1593">
        <v>4</v>
      </c>
      <c r="AY1593" t="s">
        <v>188</v>
      </c>
      <c r="AZ1593" t="s">
        <v>296</v>
      </c>
      <c r="BA1593" t="s">
        <v>19069</v>
      </c>
      <c r="BB1593" t="s">
        <v>191</v>
      </c>
      <c r="BC1593" t="s">
        <v>182</v>
      </c>
      <c r="BD1593" t="s">
        <v>182</v>
      </c>
      <c r="BE1593" t="s">
        <v>1722</v>
      </c>
      <c r="BF1593">
        <v>0</v>
      </c>
      <c r="BG1593">
        <v>0</v>
      </c>
      <c r="BH1593">
        <v>0</v>
      </c>
      <c r="BI1593" t="s">
        <v>199</v>
      </c>
      <c r="BJ1593" t="s">
        <v>396</v>
      </c>
      <c r="BL1593" t="s">
        <v>19965</v>
      </c>
      <c r="BM1593" t="s">
        <v>273</v>
      </c>
      <c r="BN1593" t="s">
        <v>182</v>
      </c>
      <c r="BO1593" t="s">
        <v>198</v>
      </c>
      <c r="BP1593" t="s">
        <v>198</v>
      </c>
      <c r="BQ1593" t="s">
        <v>198</v>
      </c>
      <c r="BR1593" t="s">
        <v>198</v>
      </c>
      <c r="BS1593" t="s">
        <v>198</v>
      </c>
      <c r="BT1593" t="s">
        <v>198</v>
      </c>
      <c r="BU1593" t="s">
        <v>182</v>
      </c>
      <c r="BV1593" t="s">
        <v>198</v>
      </c>
      <c r="BW1593" t="s">
        <v>198</v>
      </c>
      <c r="BX1593" t="s">
        <v>199</v>
      </c>
      <c r="BY1593" t="s">
        <v>198</v>
      </c>
      <c r="BZ1593" t="s">
        <v>199</v>
      </c>
      <c r="CA1593" t="s">
        <v>199</v>
      </c>
      <c r="CB1593" t="s">
        <v>19966</v>
      </c>
      <c r="CC1593" t="s">
        <v>201</v>
      </c>
      <c r="CD1593" t="s">
        <v>182</v>
      </c>
      <c r="CE1593" t="s">
        <v>19967</v>
      </c>
      <c r="CF1593" t="s">
        <v>19968</v>
      </c>
      <c r="CG1593" t="s">
        <v>9098</v>
      </c>
      <c r="CH1593" t="s">
        <v>19969</v>
      </c>
      <c r="CI1593" t="s">
        <v>20033</v>
      </c>
      <c r="CS1593" t="s">
        <v>198</v>
      </c>
      <c r="DC1593" t="s">
        <v>198</v>
      </c>
      <c r="DM1593" t="s">
        <v>198</v>
      </c>
      <c r="DW1593" t="s">
        <v>198</v>
      </c>
      <c r="EG1593" t="s">
        <v>198</v>
      </c>
      <c r="EQ1593" t="s">
        <v>198</v>
      </c>
      <c r="FA1593" t="s">
        <v>198</v>
      </c>
      <c r="FK1593" t="s">
        <v>198</v>
      </c>
      <c r="FU1593" t="s">
        <v>198</v>
      </c>
    </row>
    <row r="1594" spans="1:177">
      <c r="A1594" s="1" t="str">
        <f>HYPERLINK("http://digipan.lumentumllc.com/apps/getLink/index.php?t=PropLink&amp;p=15755816","PL")</f>
        <v>PL</v>
      </c>
      <c r="B1594" s="1" t="str">
        <f>HYPERLINK("http://digipan.lumentumllc.com/apps/getLink/index.php?t=TaxLink&amp;p=15755816","TL")</f>
        <v>TL</v>
      </c>
      <c r="C1594" s="1" t="str">
        <f>HYPERLINK("http://digipan.lumentumllc.com/apps/getMap/index.php?p=15755816","Map")</f>
        <v>Map</v>
      </c>
      <c r="E1594" t="s">
        <v>177</v>
      </c>
      <c r="F1594" t="s">
        <v>178</v>
      </c>
      <c r="L1594" t="s">
        <v>20034</v>
      </c>
      <c r="N1594" t="s">
        <v>20034</v>
      </c>
      <c r="O1594" t="s">
        <v>20034</v>
      </c>
      <c r="Q1594" t="s">
        <v>20034</v>
      </c>
      <c r="V1594">
        <v>1828</v>
      </c>
      <c r="W1594">
        <v>6</v>
      </c>
      <c r="X1594">
        <v>2017</v>
      </c>
      <c r="Y1594">
        <v>2018</v>
      </c>
      <c r="Z1594">
        <v>310.55</v>
      </c>
      <c r="AG1594" t="s">
        <v>184</v>
      </c>
      <c r="AH1594">
        <v>0</v>
      </c>
      <c r="AK1594">
        <v>0</v>
      </c>
      <c r="AL1594">
        <v>18000</v>
      </c>
      <c r="AM1594">
        <v>18000</v>
      </c>
      <c r="AN1594">
        <v>0</v>
      </c>
      <c r="AO1594">
        <v>249</v>
      </c>
      <c r="AP1594">
        <v>2016</v>
      </c>
      <c r="AQ1594">
        <v>1.73</v>
      </c>
      <c r="AS1594" t="s">
        <v>20035</v>
      </c>
      <c r="AT1594" t="s">
        <v>15040</v>
      </c>
      <c r="AU1594" t="s">
        <v>177</v>
      </c>
      <c r="AV1594" t="s">
        <v>371</v>
      </c>
      <c r="AW1594" t="s">
        <v>182</v>
      </c>
      <c r="AX1594">
        <v>4</v>
      </c>
      <c r="AY1594" t="s">
        <v>188</v>
      </c>
      <c r="AZ1594" t="s">
        <v>296</v>
      </c>
      <c r="BA1594" t="s">
        <v>19069</v>
      </c>
      <c r="BB1594" t="s">
        <v>191</v>
      </c>
      <c r="BC1594" t="s">
        <v>182</v>
      </c>
      <c r="BD1594" t="s">
        <v>182</v>
      </c>
      <c r="BE1594" t="s">
        <v>1722</v>
      </c>
      <c r="BF1594">
        <v>0</v>
      </c>
      <c r="BG1594">
        <v>0</v>
      </c>
      <c r="BH1594">
        <v>0</v>
      </c>
      <c r="BI1594" t="s">
        <v>199</v>
      </c>
      <c r="BJ1594" t="s">
        <v>396</v>
      </c>
      <c r="BL1594" t="s">
        <v>19965</v>
      </c>
      <c r="BM1594" t="s">
        <v>273</v>
      </c>
      <c r="BN1594" t="s">
        <v>182</v>
      </c>
      <c r="BO1594" t="s">
        <v>198</v>
      </c>
      <c r="BP1594" t="s">
        <v>198</v>
      </c>
      <c r="BQ1594" t="s">
        <v>198</v>
      </c>
      <c r="BR1594" t="s">
        <v>198</v>
      </c>
      <c r="BS1594" t="s">
        <v>198</v>
      </c>
      <c r="BT1594" t="s">
        <v>198</v>
      </c>
      <c r="BU1594" t="s">
        <v>182</v>
      </c>
      <c r="BV1594" t="s">
        <v>198</v>
      </c>
      <c r="BW1594" t="s">
        <v>198</v>
      </c>
      <c r="BX1594" t="s">
        <v>199</v>
      </c>
      <c r="BY1594" t="s">
        <v>198</v>
      </c>
      <c r="BZ1594" t="s">
        <v>199</v>
      </c>
      <c r="CA1594" t="s">
        <v>199</v>
      </c>
      <c r="CB1594" t="s">
        <v>19966</v>
      </c>
      <c r="CC1594" t="s">
        <v>201</v>
      </c>
      <c r="CD1594" t="s">
        <v>182</v>
      </c>
      <c r="CE1594" t="s">
        <v>19967</v>
      </c>
      <c r="CF1594" t="s">
        <v>19968</v>
      </c>
      <c r="CG1594" t="s">
        <v>9098</v>
      </c>
      <c r="CH1594" t="s">
        <v>19969</v>
      </c>
      <c r="CI1594" t="s">
        <v>20036</v>
      </c>
      <c r="CS1594" t="s">
        <v>198</v>
      </c>
      <c r="DC1594" t="s">
        <v>198</v>
      </c>
      <c r="DM1594" t="s">
        <v>198</v>
      </c>
      <c r="DW1594" t="s">
        <v>198</v>
      </c>
      <c r="EG1594" t="s">
        <v>198</v>
      </c>
      <c r="EQ1594" t="s">
        <v>198</v>
      </c>
      <c r="FA1594" t="s">
        <v>198</v>
      </c>
      <c r="FK1594" t="s">
        <v>198</v>
      </c>
      <c r="FU1594" t="s">
        <v>198</v>
      </c>
    </row>
    <row r="1595" spans="1:177">
      <c r="A1595" s="1" t="str">
        <f>HYPERLINK("http://digipan.lumentumllc.com/apps/getLink/index.php?t=PropLink&amp;p=15755817","PL")</f>
        <v>PL</v>
      </c>
      <c r="B1595" s="1" t="str">
        <f>HYPERLINK("http://digipan.lumentumllc.com/apps/getLink/index.php?t=TaxLink&amp;p=15755817","TL")</f>
        <v>TL</v>
      </c>
      <c r="C1595" s="1" t="str">
        <f>HYPERLINK("http://digipan.lumentumllc.com/apps/getMap/index.php?p=15755817","Map")</f>
        <v>Map</v>
      </c>
      <c r="E1595" t="s">
        <v>177</v>
      </c>
      <c r="F1595" t="s">
        <v>178</v>
      </c>
      <c r="L1595" t="s">
        <v>20037</v>
      </c>
      <c r="N1595" t="s">
        <v>20037</v>
      </c>
      <c r="O1595" t="s">
        <v>20037</v>
      </c>
      <c r="Q1595" t="s">
        <v>20037</v>
      </c>
      <c r="V1595">
        <v>1829</v>
      </c>
      <c r="W1595">
        <v>6</v>
      </c>
      <c r="X1595">
        <v>2017</v>
      </c>
      <c r="Y1595">
        <v>2018</v>
      </c>
      <c r="Z1595">
        <v>310.55</v>
      </c>
      <c r="AG1595" t="s">
        <v>184</v>
      </c>
      <c r="AH1595">
        <v>0</v>
      </c>
      <c r="AK1595">
        <v>0</v>
      </c>
      <c r="AL1595">
        <v>18000</v>
      </c>
      <c r="AM1595">
        <v>18000</v>
      </c>
      <c r="AN1595">
        <v>0</v>
      </c>
      <c r="AO1595">
        <v>249</v>
      </c>
      <c r="AP1595">
        <v>2016</v>
      </c>
      <c r="AQ1595">
        <v>1.73</v>
      </c>
      <c r="AS1595" t="s">
        <v>20038</v>
      </c>
      <c r="AT1595" t="s">
        <v>15040</v>
      </c>
      <c r="AU1595" t="s">
        <v>177</v>
      </c>
      <c r="AV1595" t="s">
        <v>371</v>
      </c>
      <c r="AW1595" t="s">
        <v>182</v>
      </c>
      <c r="AX1595">
        <v>4</v>
      </c>
      <c r="AY1595" t="s">
        <v>188</v>
      </c>
      <c r="AZ1595" t="s">
        <v>296</v>
      </c>
      <c r="BA1595" t="s">
        <v>19069</v>
      </c>
      <c r="BB1595" t="s">
        <v>191</v>
      </c>
      <c r="BC1595" t="s">
        <v>182</v>
      </c>
      <c r="BD1595" t="s">
        <v>182</v>
      </c>
      <c r="BE1595" t="s">
        <v>1722</v>
      </c>
      <c r="BF1595">
        <v>0</v>
      </c>
      <c r="BG1595">
        <v>0</v>
      </c>
      <c r="BH1595">
        <v>0</v>
      </c>
      <c r="BI1595" t="s">
        <v>199</v>
      </c>
      <c r="BJ1595" t="s">
        <v>396</v>
      </c>
      <c r="BL1595" t="s">
        <v>19965</v>
      </c>
      <c r="BM1595" t="s">
        <v>273</v>
      </c>
      <c r="BN1595" t="s">
        <v>182</v>
      </c>
      <c r="BO1595" t="s">
        <v>198</v>
      </c>
      <c r="BP1595" t="s">
        <v>198</v>
      </c>
      <c r="BQ1595" t="s">
        <v>198</v>
      </c>
      <c r="BR1595" t="s">
        <v>198</v>
      </c>
      <c r="BS1595" t="s">
        <v>198</v>
      </c>
      <c r="BT1595" t="s">
        <v>198</v>
      </c>
      <c r="BU1595" t="s">
        <v>182</v>
      </c>
      <c r="BV1595" t="s">
        <v>198</v>
      </c>
      <c r="BW1595" t="s">
        <v>198</v>
      </c>
      <c r="BX1595" t="s">
        <v>199</v>
      </c>
      <c r="BY1595" t="s">
        <v>198</v>
      </c>
      <c r="BZ1595" t="s">
        <v>199</v>
      </c>
      <c r="CA1595" t="s">
        <v>199</v>
      </c>
      <c r="CB1595" t="s">
        <v>19966</v>
      </c>
      <c r="CC1595" t="s">
        <v>201</v>
      </c>
      <c r="CD1595" t="s">
        <v>182</v>
      </c>
      <c r="CE1595" t="s">
        <v>19967</v>
      </c>
      <c r="CF1595" t="s">
        <v>19968</v>
      </c>
      <c r="CG1595" t="s">
        <v>9098</v>
      </c>
      <c r="CH1595" t="s">
        <v>19969</v>
      </c>
      <c r="CI1595" t="s">
        <v>20039</v>
      </c>
      <c r="CS1595" t="s">
        <v>198</v>
      </c>
      <c r="DC1595" t="s">
        <v>198</v>
      </c>
      <c r="DM1595" t="s">
        <v>198</v>
      </c>
      <c r="DW1595" t="s">
        <v>198</v>
      </c>
      <c r="EG1595" t="s">
        <v>198</v>
      </c>
      <c r="EQ1595" t="s">
        <v>198</v>
      </c>
      <c r="FA1595" t="s">
        <v>198</v>
      </c>
      <c r="FK1595" t="s">
        <v>198</v>
      </c>
      <c r="FU1595" t="s">
        <v>198</v>
      </c>
    </row>
    <row r="1596" spans="1:177">
      <c r="A1596" s="1" t="str">
        <f>HYPERLINK("http://digipan.lumentumllc.com/apps/getLink/index.php?t=PropLink&amp;p=15755818","PL")</f>
        <v>PL</v>
      </c>
      <c r="B1596" s="1" t="str">
        <f>HYPERLINK("http://digipan.lumentumllc.com/apps/getLink/index.php?t=TaxLink&amp;p=15755818","TL")</f>
        <v>TL</v>
      </c>
      <c r="C1596" s="1" t="str">
        <f>HYPERLINK("http://digipan.lumentumllc.com/apps/getMap/index.php?p=15755818","Map")</f>
        <v>Map</v>
      </c>
      <c r="E1596" t="s">
        <v>177</v>
      </c>
      <c r="F1596" t="s">
        <v>178</v>
      </c>
      <c r="L1596" t="s">
        <v>20040</v>
      </c>
      <c r="N1596" t="s">
        <v>20040</v>
      </c>
      <c r="O1596" t="s">
        <v>20040</v>
      </c>
      <c r="Q1596" t="s">
        <v>20040</v>
      </c>
      <c r="V1596">
        <v>1830</v>
      </c>
      <c r="W1596">
        <v>6</v>
      </c>
      <c r="X1596">
        <v>2017</v>
      </c>
      <c r="Y1596">
        <v>2018</v>
      </c>
      <c r="Z1596">
        <v>310.55</v>
      </c>
      <c r="AG1596" t="s">
        <v>184</v>
      </c>
      <c r="AH1596">
        <v>0</v>
      </c>
      <c r="AK1596">
        <v>0</v>
      </c>
      <c r="AL1596">
        <v>18000</v>
      </c>
      <c r="AM1596">
        <v>18000</v>
      </c>
      <c r="AN1596">
        <v>0</v>
      </c>
      <c r="AO1596">
        <v>249</v>
      </c>
      <c r="AP1596">
        <v>2016</v>
      </c>
      <c r="AQ1596">
        <v>1.73</v>
      </c>
      <c r="AS1596" t="s">
        <v>20041</v>
      </c>
      <c r="AT1596" t="s">
        <v>15040</v>
      </c>
      <c r="AU1596" t="s">
        <v>177</v>
      </c>
      <c r="AV1596" t="s">
        <v>371</v>
      </c>
      <c r="AW1596" t="s">
        <v>182</v>
      </c>
      <c r="AX1596">
        <v>4</v>
      </c>
      <c r="AY1596" t="s">
        <v>188</v>
      </c>
      <c r="AZ1596" t="s">
        <v>296</v>
      </c>
      <c r="BA1596" t="s">
        <v>19069</v>
      </c>
      <c r="BB1596" t="s">
        <v>191</v>
      </c>
      <c r="BC1596" t="s">
        <v>182</v>
      </c>
      <c r="BD1596" t="s">
        <v>182</v>
      </c>
      <c r="BE1596" t="s">
        <v>1722</v>
      </c>
      <c r="BF1596">
        <v>0</v>
      </c>
      <c r="BG1596">
        <v>0</v>
      </c>
      <c r="BH1596">
        <v>0</v>
      </c>
      <c r="BI1596" t="s">
        <v>199</v>
      </c>
      <c r="BJ1596" t="s">
        <v>396</v>
      </c>
      <c r="BL1596" t="s">
        <v>19965</v>
      </c>
      <c r="BM1596" t="s">
        <v>273</v>
      </c>
      <c r="BN1596" t="s">
        <v>182</v>
      </c>
      <c r="BO1596" t="s">
        <v>198</v>
      </c>
      <c r="BP1596" t="s">
        <v>198</v>
      </c>
      <c r="BQ1596" t="s">
        <v>198</v>
      </c>
      <c r="BR1596" t="s">
        <v>198</v>
      </c>
      <c r="BS1596" t="s">
        <v>198</v>
      </c>
      <c r="BT1596" t="s">
        <v>198</v>
      </c>
      <c r="BU1596" t="s">
        <v>182</v>
      </c>
      <c r="BV1596" t="s">
        <v>198</v>
      </c>
      <c r="BW1596" t="s">
        <v>198</v>
      </c>
      <c r="BX1596" t="s">
        <v>199</v>
      </c>
      <c r="BY1596" t="s">
        <v>198</v>
      </c>
      <c r="BZ1596" t="s">
        <v>199</v>
      </c>
      <c r="CA1596" t="s">
        <v>199</v>
      </c>
      <c r="CB1596" t="s">
        <v>19966</v>
      </c>
      <c r="CC1596" t="s">
        <v>201</v>
      </c>
      <c r="CD1596" t="s">
        <v>182</v>
      </c>
      <c r="CE1596" t="s">
        <v>19967</v>
      </c>
      <c r="CF1596" t="s">
        <v>19968</v>
      </c>
      <c r="CG1596" t="s">
        <v>9098</v>
      </c>
      <c r="CH1596" t="s">
        <v>19969</v>
      </c>
      <c r="CI1596" t="s">
        <v>20042</v>
      </c>
      <c r="CS1596" t="s">
        <v>198</v>
      </c>
      <c r="DC1596" t="s">
        <v>198</v>
      </c>
      <c r="DM1596" t="s">
        <v>198</v>
      </c>
      <c r="DW1596" t="s">
        <v>198</v>
      </c>
      <c r="EG1596" t="s">
        <v>198</v>
      </c>
      <c r="EQ1596" t="s">
        <v>198</v>
      </c>
      <c r="FA1596" t="s">
        <v>198</v>
      </c>
      <c r="FK1596" t="s">
        <v>198</v>
      </c>
      <c r="FU1596" t="s">
        <v>198</v>
      </c>
    </row>
    <row r="1597" spans="1:177">
      <c r="A1597" s="1" t="str">
        <f>HYPERLINK("http://digipan.lumentumllc.com/apps/getLink/index.php?t=PropLink&amp;p=15755819","PL")</f>
        <v>PL</v>
      </c>
      <c r="B1597" s="1" t="str">
        <f>HYPERLINK("http://digipan.lumentumllc.com/apps/getLink/index.php?t=TaxLink&amp;p=15755819","TL")</f>
        <v>TL</v>
      </c>
      <c r="C1597" s="1" t="str">
        <f>HYPERLINK("http://digipan.lumentumllc.com/apps/getMap/index.php?p=15755819","Map")</f>
        <v>Map</v>
      </c>
      <c r="E1597" t="s">
        <v>177</v>
      </c>
      <c r="F1597" t="s">
        <v>178</v>
      </c>
      <c r="L1597" t="s">
        <v>20043</v>
      </c>
      <c r="N1597" t="s">
        <v>20043</v>
      </c>
      <c r="O1597" t="s">
        <v>20043</v>
      </c>
      <c r="Q1597" t="s">
        <v>20043</v>
      </c>
      <c r="V1597">
        <v>1831</v>
      </c>
      <c r="W1597">
        <v>6</v>
      </c>
      <c r="X1597">
        <v>2017</v>
      </c>
      <c r="Y1597">
        <v>2018</v>
      </c>
      <c r="Z1597">
        <v>310.55</v>
      </c>
      <c r="AG1597" t="s">
        <v>184</v>
      </c>
      <c r="AH1597">
        <v>0</v>
      </c>
      <c r="AK1597">
        <v>0</v>
      </c>
      <c r="AL1597">
        <v>18000</v>
      </c>
      <c r="AM1597">
        <v>18000</v>
      </c>
      <c r="AN1597">
        <v>0</v>
      </c>
      <c r="AO1597">
        <v>249</v>
      </c>
      <c r="AP1597">
        <v>2016</v>
      </c>
      <c r="AQ1597">
        <v>1.73</v>
      </c>
      <c r="AS1597" t="s">
        <v>20044</v>
      </c>
      <c r="AT1597" t="s">
        <v>15040</v>
      </c>
      <c r="AU1597" t="s">
        <v>177</v>
      </c>
      <c r="AV1597" t="s">
        <v>371</v>
      </c>
      <c r="AW1597" t="s">
        <v>182</v>
      </c>
      <c r="AX1597">
        <v>4</v>
      </c>
      <c r="AY1597" t="s">
        <v>188</v>
      </c>
      <c r="AZ1597" t="s">
        <v>296</v>
      </c>
      <c r="BA1597" t="s">
        <v>19069</v>
      </c>
      <c r="BB1597" t="s">
        <v>191</v>
      </c>
      <c r="BC1597" t="s">
        <v>182</v>
      </c>
      <c r="BD1597" t="s">
        <v>182</v>
      </c>
      <c r="BE1597" t="s">
        <v>1722</v>
      </c>
      <c r="BF1597">
        <v>0</v>
      </c>
      <c r="BG1597">
        <v>0</v>
      </c>
      <c r="BH1597">
        <v>0</v>
      </c>
      <c r="BI1597" t="s">
        <v>199</v>
      </c>
      <c r="BJ1597" t="s">
        <v>396</v>
      </c>
      <c r="BL1597" t="s">
        <v>19965</v>
      </c>
      <c r="BM1597" t="s">
        <v>273</v>
      </c>
      <c r="BN1597" t="s">
        <v>182</v>
      </c>
      <c r="BO1597" t="s">
        <v>198</v>
      </c>
      <c r="BP1597" t="s">
        <v>198</v>
      </c>
      <c r="BQ1597" t="s">
        <v>198</v>
      </c>
      <c r="BR1597" t="s">
        <v>198</v>
      </c>
      <c r="BS1597" t="s">
        <v>198</v>
      </c>
      <c r="BT1597" t="s">
        <v>198</v>
      </c>
      <c r="BU1597" t="s">
        <v>182</v>
      </c>
      <c r="BV1597" t="s">
        <v>198</v>
      </c>
      <c r="BW1597" t="s">
        <v>198</v>
      </c>
      <c r="BX1597" t="s">
        <v>199</v>
      </c>
      <c r="BY1597" t="s">
        <v>198</v>
      </c>
      <c r="BZ1597" t="s">
        <v>199</v>
      </c>
      <c r="CA1597" t="s">
        <v>199</v>
      </c>
      <c r="CB1597" t="s">
        <v>19966</v>
      </c>
      <c r="CC1597" t="s">
        <v>201</v>
      </c>
      <c r="CD1597" t="s">
        <v>182</v>
      </c>
      <c r="CE1597" t="s">
        <v>19967</v>
      </c>
      <c r="CF1597" t="s">
        <v>19968</v>
      </c>
      <c r="CG1597" t="s">
        <v>9098</v>
      </c>
      <c r="CH1597" t="s">
        <v>19969</v>
      </c>
      <c r="CI1597" t="s">
        <v>20045</v>
      </c>
      <c r="CS1597" t="s">
        <v>198</v>
      </c>
      <c r="DC1597" t="s">
        <v>198</v>
      </c>
      <c r="DM1597" t="s">
        <v>198</v>
      </c>
      <c r="DW1597" t="s">
        <v>198</v>
      </c>
      <c r="EG1597" t="s">
        <v>198</v>
      </c>
      <c r="EQ1597" t="s">
        <v>198</v>
      </c>
      <c r="FA1597" t="s">
        <v>198</v>
      </c>
      <c r="FK1597" t="s">
        <v>198</v>
      </c>
      <c r="FU1597" t="s">
        <v>198</v>
      </c>
    </row>
    <row r="1598" spans="1:177">
      <c r="A1598" s="1" t="str">
        <f>HYPERLINK("http://digipan.lumentumllc.com/apps/getLink/index.php?t=PropLink&amp;p=15755820","PL")</f>
        <v>PL</v>
      </c>
      <c r="B1598" s="1" t="str">
        <f>HYPERLINK("http://digipan.lumentumllc.com/apps/getLink/index.php?t=TaxLink&amp;p=15755820","TL")</f>
        <v>TL</v>
      </c>
      <c r="C1598" s="1" t="str">
        <f>HYPERLINK("http://digipan.lumentumllc.com/apps/getMap/index.php?p=15755820","Map")</f>
        <v>Map</v>
      </c>
      <c r="E1598" t="s">
        <v>177</v>
      </c>
      <c r="F1598" t="s">
        <v>178</v>
      </c>
      <c r="L1598" t="s">
        <v>20046</v>
      </c>
      <c r="N1598" t="s">
        <v>20046</v>
      </c>
      <c r="O1598" t="s">
        <v>20046</v>
      </c>
      <c r="Q1598" t="s">
        <v>20046</v>
      </c>
      <c r="V1598">
        <v>1832</v>
      </c>
      <c r="W1598">
        <v>6</v>
      </c>
      <c r="X1598">
        <v>2017</v>
      </c>
      <c r="Y1598">
        <v>2018</v>
      </c>
      <c r="Z1598">
        <v>310.55</v>
      </c>
      <c r="AG1598" t="s">
        <v>184</v>
      </c>
      <c r="AH1598">
        <v>0</v>
      </c>
      <c r="AK1598">
        <v>0</v>
      </c>
      <c r="AL1598">
        <v>18000</v>
      </c>
      <c r="AM1598">
        <v>18000</v>
      </c>
      <c r="AN1598">
        <v>0</v>
      </c>
      <c r="AO1598">
        <v>249</v>
      </c>
      <c r="AP1598">
        <v>2016</v>
      </c>
      <c r="AQ1598">
        <v>1.73</v>
      </c>
      <c r="AS1598" t="s">
        <v>20047</v>
      </c>
      <c r="AT1598" t="s">
        <v>15040</v>
      </c>
      <c r="AU1598" t="s">
        <v>177</v>
      </c>
      <c r="AV1598" t="s">
        <v>371</v>
      </c>
      <c r="AW1598" t="s">
        <v>182</v>
      </c>
      <c r="AX1598">
        <v>4</v>
      </c>
      <c r="AY1598" t="s">
        <v>188</v>
      </c>
      <c r="AZ1598" t="s">
        <v>296</v>
      </c>
      <c r="BA1598" t="s">
        <v>19069</v>
      </c>
      <c r="BB1598" t="s">
        <v>191</v>
      </c>
      <c r="BC1598" t="s">
        <v>182</v>
      </c>
      <c r="BD1598" t="s">
        <v>182</v>
      </c>
      <c r="BE1598" t="s">
        <v>1722</v>
      </c>
      <c r="BF1598">
        <v>0</v>
      </c>
      <c r="BG1598">
        <v>0</v>
      </c>
      <c r="BH1598">
        <v>0</v>
      </c>
      <c r="BI1598" t="s">
        <v>199</v>
      </c>
      <c r="BJ1598" t="s">
        <v>396</v>
      </c>
      <c r="BL1598" t="s">
        <v>19965</v>
      </c>
      <c r="BM1598" t="s">
        <v>273</v>
      </c>
      <c r="BN1598" t="s">
        <v>182</v>
      </c>
      <c r="BO1598" t="s">
        <v>198</v>
      </c>
      <c r="BP1598" t="s">
        <v>198</v>
      </c>
      <c r="BQ1598" t="s">
        <v>198</v>
      </c>
      <c r="BR1598" t="s">
        <v>198</v>
      </c>
      <c r="BS1598" t="s">
        <v>198</v>
      </c>
      <c r="BT1598" t="s">
        <v>198</v>
      </c>
      <c r="BU1598" t="s">
        <v>182</v>
      </c>
      <c r="BV1598" t="s">
        <v>198</v>
      </c>
      <c r="BW1598" t="s">
        <v>198</v>
      </c>
      <c r="BX1598" t="s">
        <v>199</v>
      </c>
      <c r="BY1598" t="s">
        <v>198</v>
      </c>
      <c r="BZ1598" t="s">
        <v>199</v>
      </c>
      <c r="CA1598" t="s">
        <v>199</v>
      </c>
      <c r="CB1598" t="s">
        <v>19966</v>
      </c>
      <c r="CC1598" t="s">
        <v>201</v>
      </c>
      <c r="CD1598" t="s">
        <v>182</v>
      </c>
      <c r="CE1598" t="s">
        <v>19967</v>
      </c>
      <c r="CF1598" t="s">
        <v>19968</v>
      </c>
      <c r="CG1598" t="s">
        <v>9098</v>
      </c>
      <c r="CH1598" t="s">
        <v>19969</v>
      </c>
      <c r="CI1598" t="s">
        <v>20048</v>
      </c>
      <c r="CS1598" t="s">
        <v>198</v>
      </c>
      <c r="DC1598" t="s">
        <v>198</v>
      </c>
      <c r="DM1598" t="s">
        <v>198</v>
      </c>
      <c r="DW1598" t="s">
        <v>198</v>
      </c>
      <c r="EG1598" t="s">
        <v>198</v>
      </c>
      <c r="EQ1598" t="s">
        <v>198</v>
      </c>
      <c r="FA1598" t="s">
        <v>198</v>
      </c>
      <c r="FK1598" t="s">
        <v>198</v>
      </c>
      <c r="FU1598" t="s">
        <v>198</v>
      </c>
    </row>
    <row r="1599" spans="1:177">
      <c r="A1599" s="1" t="str">
        <f>HYPERLINK("http://digipan.lumentumllc.com/apps/getLink/index.php?t=PropLink&amp;p=15755821","PL")</f>
        <v>PL</v>
      </c>
      <c r="B1599" s="1" t="str">
        <f>HYPERLINK("http://digipan.lumentumllc.com/apps/getLink/index.php?t=TaxLink&amp;p=15755821","TL")</f>
        <v>TL</v>
      </c>
      <c r="C1599" s="1" t="str">
        <f>HYPERLINK("http://digipan.lumentumllc.com/apps/getMap/index.php?p=15755821","Map")</f>
        <v>Map</v>
      </c>
      <c r="E1599" t="s">
        <v>177</v>
      </c>
      <c r="F1599" t="s">
        <v>178</v>
      </c>
      <c r="L1599" t="s">
        <v>20049</v>
      </c>
      <c r="N1599" t="s">
        <v>20049</v>
      </c>
      <c r="O1599" t="s">
        <v>20049</v>
      </c>
      <c r="Q1599" t="s">
        <v>20049</v>
      </c>
      <c r="V1599">
        <v>1833</v>
      </c>
      <c r="W1599">
        <v>6</v>
      </c>
      <c r="X1599">
        <v>2017</v>
      </c>
      <c r="Y1599">
        <v>2018</v>
      </c>
      <c r="Z1599">
        <v>310.55</v>
      </c>
      <c r="AG1599" t="s">
        <v>184</v>
      </c>
      <c r="AH1599">
        <v>0</v>
      </c>
      <c r="AK1599">
        <v>0</v>
      </c>
      <c r="AL1599">
        <v>18000</v>
      </c>
      <c r="AM1599">
        <v>18000</v>
      </c>
      <c r="AN1599">
        <v>0</v>
      </c>
      <c r="AO1599">
        <v>249</v>
      </c>
      <c r="AP1599">
        <v>2016</v>
      </c>
      <c r="AQ1599">
        <v>1.73</v>
      </c>
      <c r="AS1599" t="s">
        <v>20050</v>
      </c>
      <c r="AT1599" t="s">
        <v>15040</v>
      </c>
      <c r="AU1599" t="s">
        <v>177</v>
      </c>
      <c r="AV1599" t="s">
        <v>371</v>
      </c>
      <c r="AW1599" t="s">
        <v>182</v>
      </c>
      <c r="AX1599">
        <v>4</v>
      </c>
      <c r="AY1599" t="s">
        <v>188</v>
      </c>
      <c r="AZ1599" t="s">
        <v>296</v>
      </c>
      <c r="BA1599" t="s">
        <v>19069</v>
      </c>
      <c r="BB1599" t="s">
        <v>191</v>
      </c>
      <c r="BC1599" t="s">
        <v>182</v>
      </c>
      <c r="BD1599" t="s">
        <v>182</v>
      </c>
      <c r="BE1599" t="s">
        <v>1722</v>
      </c>
      <c r="BF1599">
        <v>0</v>
      </c>
      <c r="BG1599">
        <v>0</v>
      </c>
      <c r="BH1599">
        <v>0</v>
      </c>
      <c r="BI1599" t="s">
        <v>199</v>
      </c>
      <c r="BJ1599" t="s">
        <v>396</v>
      </c>
      <c r="BL1599" t="s">
        <v>19965</v>
      </c>
      <c r="BM1599" t="s">
        <v>273</v>
      </c>
      <c r="BN1599" t="s">
        <v>182</v>
      </c>
      <c r="BO1599" t="s">
        <v>198</v>
      </c>
      <c r="BP1599" t="s">
        <v>198</v>
      </c>
      <c r="BQ1599" t="s">
        <v>198</v>
      </c>
      <c r="BR1599" t="s">
        <v>198</v>
      </c>
      <c r="BS1599" t="s">
        <v>198</v>
      </c>
      <c r="BT1599" t="s">
        <v>198</v>
      </c>
      <c r="BU1599" t="s">
        <v>182</v>
      </c>
      <c r="BV1599" t="s">
        <v>198</v>
      </c>
      <c r="BW1599" t="s">
        <v>198</v>
      </c>
      <c r="BX1599" t="s">
        <v>199</v>
      </c>
      <c r="BY1599" t="s">
        <v>198</v>
      </c>
      <c r="BZ1599" t="s">
        <v>199</v>
      </c>
      <c r="CA1599" t="s">
        <v>199</v>
      </c>
      <c r="CB1599" t="s">
        <v>19966</v>
      </c>
      <c r="CC1599" t="s">
        <v>201</v>
      </c>
      <c r="CD1599" t="s">
        <v>182</v>
      </c>
      <c r="CE1599" t="s">
        <v>19967</v>
      </c>
      <c r="CF1599" t="s">
        <v>19968</v>
      </c>
      <c r="CG1599" t="s">
        <v>9098</v>
      </c>
      <c r="CH1599" t="s">
        <v>19969</v>
      </c>
      <c r="CI1599" t="s">
        <v>20051</v>
      </c>
      <c r="CS1599" t="s">
        <v>198</v>
      </c>
      <c r="DC1599" t="s">
        <v>198</v>
      </c>
      <c r="DM1599" t="s">
        <v>198</v>
      </c>
      <c r="DW1599" t="s">
        <v>198</v>
      </c>
      <c r="EG1599" t="s">
        <v>198</v>
      </c>
      <c r="EQ1599" t="s">
        <v>198</v>
      </c>
      <c r="FA1599" t="s">
        <v>198</v>
      </c>
      <c r="FK1599" t="s">
        <v>198</v>
      </c>
      <c r="FU1599" t="s">
        <v>198</v>
      </c>
    </row>
    <row r="1600" spans="1:177">
      <c r="A1600" s="1" t="str">
        <f>HYPERLINK("http://digipan.lumentumllc.com/apps/getLink/index.php?t=PropLink&amp;p=15755822","PL")</f>
        <v>PL</v>
      </c>
      <c r="B1600" s="1" t="str">
        <f>HYPERLINK("http://digipan.lumentumllc.com/apps/getLink/index.php?t=TaxLink&amp;p=15755822","TL")</f>
        <v>TL</v>
      </c>
      <c r="C1600" s="1" t="str">
        <f>HYPERLINK("http://digipan.lumentumllc.com/apps/getMap/index.php?p=15755822","Map")</f>
        <v>Map</v>
      </c>
      <c r="E1600" t="s">
        <v>177</v>
      </c>
      <c r="F1600" t="s">
        <v>178</v>
      </c>
      <c r="L1600" t="s">
        <v>20052</v>
      </c>
      <c r="N1600" t="s">
        <v>20052</v>
      </c>
      <c r="O1600" t="s">
        <v>20052</v>
      </c>
      <c r="Q1600" t="s">
        <v>20052</v>
      </c>
      <c r="V1600">
        <v>1834</v>
      </c>
      <c r="W1600">
        <v>6</v>
      </c>
      <c r="X1600">
        <v>2017</v>
      </c>
      <c r="Y1600">
        <v>2018</v>
      </c>
      <c r="Z1600">
        <v>310.55</v>
      </c>
      <c r="AG1600" t="s">
        <v>184</v>
      </c>
      <c r="AH1600">
        <v>0</v>
      </c>
      <c r="AK1600">
        <v>0</v>
      </c>
      <c r="AL1600">
        <v>18000</v>
      </c>
      <c r="AM1600">
        <v>18000</v>
      </c>
      <c r="AN1600">
        <v>0</v>
      </c>
      <c r="AO1600">
        <v>249</v>
      </c>
      <c r="AP1600">
        <v>2016</v>
      </c>
      <c r="AQ1600">
        <v>1.73</v>
      </c>
      <c r="AS1600" t="s">
        <v>20053</v>
      </c>
      <c r="AT1600" t="s">
        <v>15040</v>
      </c>
      <c r="AU1600" t="s">
        <v>177</v>
      </c>
      <c r="AV1600" t="s">
        <v>371</v>
      </c>
      <c r="AW1600" t="s">
        <v>182</v>
      </c>
      <c r="AX1600">
        <v>4</v>
      </c>
      <c r="AY1600" t="s">
        <v>188</v>
      </c>
      <c r="AZ1600" t="s">
        <v>296</v>
      </c>
      <c r="BA1600" t="s">
        <v>19069</v>
      </c>
      <c r="BB1600" t="s">
        <v>191</v>
      </c>
      <c r="BC1600" t="s">
        <v>182</v>
      </c>
      <c r="BD1600" t="s">
        <v>182</v>
      </c>
      <c r="BE1600" t="s">
        <v>1722</v>
      </c>
      <c r="BF1600">
        <v>0</v>
      </c>
      <c r="BG1600">
        <v>0</v>
      </c>
      <c r="BH1600">
        <v>0</v>
      </c>
      <c r="BI1600" t="s">
        <v>199</v>
      </c>
      <c r="BJ1600" t="s">
        <v>396</v>
      </c>
      <c r="BL1600" t="s">
        <v>19965</v>
      </c>
      <c r="BM1600" t="s">
        <v>273</v>
      </c>
      <c r="BN1600" t="s">
        <v>182</v>
      </c>
      <c r="BO1600" t="s">
        <v>198</v>
      </c>
      <c r="BP1600" t="s">
        <v>198</v>
      </c>
      <c r="BQ1600" t="s">
        <v>198</v>
      </c>
      <c r="BR1600" t="s">
        <v>198</v>
      </c>
      <c r="BS1600" t="s">
        <v>198</v>
      </c>
      <c r="BT1600" t="s">
        <v>198</v>
      </c>
      <c r="BU1600" t="s">
        <v>182</v>
      </c>
      <c r="BV1600" t="s">
        <v>198</v>
      </c>
      <c r="BW1600" t="s">
        <v>198</v>
      </c>
      <c r="BX1600" t="s">
        <v>199</v>
      </c>
      <c r="BY1600" t="s">
        <v>198</v>
      </c>
      <c r="BZ1600" t="s">
        <v>199</v>
      </c>
      <c r="CA1600" t="s">
        <v>199</v>
      </c>
      <c r="CB1600" t="s">
        <v>19966</v>
      </c>
      <c r="CC1600" t="s">
        <v>201</v>
      </c>
      <c r="CD1600" t="s">
        <v>182</v>
      </c>
      <c r="CE1600" t="s">
        <v>19967</v>
      </c>
      <c r="CF1600" t="s">
        <v>19968</v>
      </c>
      <c r="CG1600" t="s">
        <v>9098</v>
      </c>
      <c r="CH1600" t="s">
        <v>19969</v>
      </c>
      <c r="CI1600" t="s">
        <v>20054</v>
      </c>
      <c r="CS1600" t="s">
        <v>198</v>
      </c>
      <c r="DC1600" t="s">
        <v>198</v>
      </c>
      <c r="DM1600" t="s">
        <v>198</v>
      </c>
      <c r="DW1600" t="s">
        <v>198</v>
      </c>
      <c r="EG1600" t="s">
        <v>198</v>
      </c>
      <c r="EQ1600" t="s">
        <v>198</v>
      </c>
      <c r="FA1600" t="s">
        <v>198</v>
      </c>
      <c r="FK1600" t="s">
        <v>198</v>
      </c>
      <c r="FU1600" t="s">
        <v>198</v>
      </c>
    </row>
    <row r="1601" spans="1:177">
      <c r="A1601" s="1" t="str">
        <f>HYPERLINK("http://digipan.lumentumllc.com/apps/getLink/index.php?t=PropLink&amp;p=15755823","PL")</f>
        <v>PL</v>
      </c>
      <c r="B1601" s="1" t="str">
        <f>HYPERLINK("http://digipan.lumentumllc.com/apps/getLink/index.php?t=TaxLink&amp;p=15755823","TL")</f>
        <v>TL</v>
      </c>
      <c r="C1601" s="1" t="str">
        <f>HYPERLINK("http://digipan.lumentumllc.com/apps/getMap/index.php?p=15755823","Map")</f>
        <v>Map</v>
      </c>
      <c r="E1601" t="s">
        <v>177</v>
      </c>
      <c r="F1601" t="s">
        <v>178</v>
      </c>
      <c r="L1601" t="s">
        <v>20055</v>
      </c>
      <c r="N1601" t="s">
        <v>20055</v>
      </c>
      <c r="O1601" t="s">
        <v>20055</v>
      </c>
      <c r="Q1601" t="s">
        <v>20055</v>
      </c>
      <c r="V1601">
        <v>1835</v>
      </c>
      <c r="W1601">
        <v>6</v>
      </c>
      <c r="X1601">
        <v>2017</v>
      </c>
      <c r="Y1601">
        <v>2018</v>
      </c>
      <c r="Z1601">
        <v>310.55</v>
      </c>
      <c r="AG1601" t="s">
        <v>184</v>
      </c>
      <c r="AH1601">
        <v>0</v>
      </c>
      <c r="AK1601">
        <v>0</v>
      </c>
      <c r="AL1601">
        <v>18000</v>
      </c>
      <c r="AM1601">
        <v>18000</v>
      </c>
      <c r="AN1601">
        <v>0</v>
      </c>
      <c r="AO1601">
        <v>249</v>
      </c>
      <c r="AP1601">
        <v>2016</v>
      </c>
      <c r="AQ1601">
        <v>1.73</v>
      </c>
      <c r="AS1601" t="s">
        <v>20056</v>
      </c>
      <c r="AT1601" t="s">
        <v>15040</v>
      </c>
      <c r="AU1601" t="s">
        <v>177</v>
      </c>
      <c r="AV1601" t="s">
        <v>371</v>
      </c>
      <c r="AW1601" t="s">
        <v>182</v>
      </c>
      <c r="AX1601">
        <v>4</v>
      </c>
      <c r="AY1601" t="s">
        <v>188</v>
      </c>
      <c r="AZ1601" t="s">
        <v>296</v>
      </c>
      <c r="BA1601" t="s">
        <v>19069</v>
      </c>
      <c r="BB1601" t="s">
        <v>191</v>
      </c>
      <c r="BC1601" t="s">
        <v>182</v>
      </c>
      <c r="BD1601" t="s">
        <v>182</v>
      </c>
      <c r="BE1601" t="s">
        <v>1722</v>
      </c>
      <c r="BF1601">
        <v>0</v>
      </c>
      <c r="BG1601">
        <v>0</v>
      </c>
      <c r="BH1601">
        <v>0</v>
      </c>
      <c r="BI1601" t="s">
        <v>199</v>
      </c>
      <c r="BJ1601" t="s">
        <v>396</v>
      </c>
      <c r="BL1601" t="s">
        <v>19965</v>
      </c>
      <c r="BM1601" t="s">
        <v>273</v>
      </c>
      <c r="BN1601" t="s">
        <v>182</v>
      </c>
      <c r="BO1601" t="s">
        <v>198</v>
      </c>
      <c r="BP1601" t="s">
        <v>198</v>
      </c>
      <c r="BQ1601" t="s">
        <v>198</v>
      </c>
      <c r="BR1601" t="s">
        <v>198</v>
      </c>
      <c r="BS1601" t="s">
        <v>198</v>
      </c>
      <c r="BT1601" t="s">
        <v>198</v>
      </c>
      <c r="BU1601" t="s">
        <v>182</v>
      </c>
      <c r="BV1601" t="s">
        <v>198</v>
      </c>
      <c r="BW1601" t="s">
        <v>198</v>
      </c>
      <c r="BX1601" t="s">
        <v>199</v>
      </c>
      <c r="BY1601" t="s">
        <v>198</v>
      </c>
      <c r="BZ1601" t="s">
        <v>199</v>
      </c>
      <c r="CA1601" t="s">
        <v>199</v>
      </c>
      <c r="CB1601" t="s">
        <v>19966</v>
      </c>
      <c r="CC1601" t="s">
        <v>201</v>
      </c>
      <c r="CD1601" t="s">
        <v>182</v>
      </c>
      <c r="CE1601" t="s">
        <v>19967</v>
      </c>
      <c r="CF1601" t="s">
        <v>19968</v>
      </c>
      <c r="CG1601" t="s">
        <v>9098</v>
      </c>
      <c r="CH1601" t="s">
        <v>19969</v>
      </c>
      <c r="CI1601" t="s">
        <v>20057</v>
      </c>
      <c r="CS1601" t="s">
        <v>198</v>
      </c>
      <c r="DC1601" t="s">
        <v>198</v>
      </c>
      <c r="DM1601" t="s">
        <v>198</v>
      </c>
      <c r="DW1601" t="s">
        <v>198</v>
      </c>
      <c r="EG1601" t="s">
        <v>198</v>
      </c>
      <c r="EQ1601" t="s">
        <v>198</v>
      </c>
      <c r="FA1601" t="s">
        <v>198</v>
      </c>
      <c r="FK1601" t="s">
        <v>198</v>
      </c>
      <c r="FU1601" t="s">
        <v>198</v>
      </c>
    </row>
    <row r="1602" spans="1:177">
      <c r="A1602" s="1" t="str">
        <f>HYPERLINK("http://digipan.lumentumllc.com/apps/getLink/index.php?t=PropLink&amp;p=15755824","PL")</f>
        <v>PL</v>
      </c>
      <c r="B1602" s="1" t="str">
        <f>HYPERLINK("http://digipan.lumentumllc.com/apps/getLink/index.php?t=TaxLink&amp;p=15755824","TL")</f>
        <v>TL</v>
      </c>
      <c r="C1602" s="1" t="str">
        <f>HYPERLINK("http://digipan.lumentumllc.com/apps/getMap/index.php?p=15755824","Map")</f>
        <v>Map</v>
      </c>
      <c r="E1602" t="s">
        <v>177</v>
      </c>
      <c r="F1602" t="s">
        <v>178</v>
      </c>
      <c r="L1602" t="s">
        <v>20058</v>
      </c>
      <c r="N1602" t="s">
        <v>20058</v>
      </c>
      <c r="O1602" t="s">
        <v>20058</v>
      </c>
      <c r="Q1602" t="s">
        <v>20058</v>
      </c>
      <c r="V1602">
        <v>1836</v>
      </c>
      <c r="W1602">
        <v>6</v>
      </c>
      <c r="X1602">
        <v>2017</v>
      </c>
      <c r="Y1602">
        <v>2018</v>
      </c>
      <c r="Z1602">
        <v>310.55</v>
      </c>
      <c r="AG1602" t="s">
        <v>184</v>
      </c>
      <c r="AH1602">
        <v>0</v>
      </c>
      <c r="AK1602">
        <v>0</v>
      </c>
      <c r="AL1602">
        <v>18000</v>
      </c>
      <c r="AM1602">
        <v>18000</v>
      </c>
      <c r="AN1602">
        <v>0</v>
      </c>
      <c r="AO1602">
        <v>249</v>
      </c>
      <c r="AP1602">
        <v>2016</v>
      </c>
      <c r="AQ1602">
        <v>1.73</v>
      </c>
      <c r="AS1602" t="s">
        <v>20059</v>
      </c>
      <c r="AT1602" t="s">
        <v>15040</v>
      </c>
      <c r="AU1602" t="s">
        <v>177</v>
      </c>
      <c r="AV1602" t="s">
        <v>371</v>
      </c>
      <c r="AW1602" t="s">
        <v>182</v>
      </c>
      <c r="AX1602">
        <v>4</v>
      </c>
      <c r="AY1602" t="s">
        <v>188</v>
      </c>
      <c r="AZ1602" t="s">
        <v>296</v>
      </c>
      <c r="BA1602" t="s">
        <v>19069</v>
      </c>
      <c r="BB1602" t="s">
        <v>191</v>
      </c>
      <c r="BC1602" t="s">
        <v>182</v>
      </c>
      <c r="BD1602" t="s">
        <v>182</v>
      </c>
      <c r="BE1602" t="s">
        <v>1722</v>
      </c>
      <c r="BF1602">
        <v>0</v>
      </c>
      <c r="BG1602">
        <v>0</v>
      </c>
      <c r="BH1602">
        <v>0</v>
      </c>
      <c r="BI1602" t="s">
        <v>199</v>
      </c>
      <c r="BJ1602" t="s">
        <v>396</v>
      </c>
      <c r="BL1602" t="s">
        <v>19965</v>
      </c>
      <c r="BM1602" t="s">
        <v>273</v>
      </c>
      <c r="BN1602" t="s">
        <v>182</v>
      </c>
      <c r="BO1602" t="s">
        <v>198</v>
      </c>
      <c r="BP1602" t="s">
        <v>198</v>
      </c>
      <c r="BQ1602" t="s">
        <v>198</v>
      </c>
      <c r="BR1602" t="s">
        <v>198</v>
      </c>
      <c r="BS1602" t="s">
        <v>198</v>
      </c>
      <c r="BT1602" t="s">
        <v>198</v>
      </c>
      <c r="BU1602" t="s">
        <v>182</v>
      </c>
      <c r="BV1602" t="s">
        <v>198</v>
      </c>
      <c r="BW1602" t="s">
        <v>198</v>
      </c>
      <c r="BX1602" t="s">
        <v>199</v>
      </c>
      <c r="BY1602" t="s">
        <v>198</v>
      </c>
      <c r="BZ1602" t="s">
        <v>199</v>
      </c>
      <c r="CA1602" t="s">
        <v>199</v>
      </c>
      <c r="CB1602" t="s">
        <v>19966</v>
      </c>
      <c r="CC1602" t="s">
        <v>201</v>
      </c>
      <c r="CD1602" t="s">
        <v>182</v>
      </c>
      <c r="CE1602" t="s">
        <v>19967</v>
      </c>
      <c r="CF1602" t="s">
        <v>19968</v>
      </c>
      <c r="CG1602" t="s">
        <v>9098</v>
      </c>
      <c r="CH1602" t="s">
        <v>19969</v>
      </c>
      <c r="CI1602" t="s">
        <v>20060</v>
      </c>
      <c r="CS1602" t="s">
        <v>198</v>
      </c>
      <c r="DC1602" t="s">
        <v>198</v>
      </c>
      <c r="DM1602" t="s">
        <v>198</v>
      </c>
      <c r="DW1602" t="s">
        <v>198</v>
      </c>
      <c r="EG1602" t="s">
        <v>198</v>
      </c>
      <c r="EQ1602" t="s">
        <v>198</v>
      </c>
      <c r="FA1602" t="s">
        <v>198</v>
      </c>
      <c r="FK1602" t="s">
        <v>198</v>
      </c>
      <c r="FU1602" t="s">
        <v>198</v>
      </c>
    </row>
    <row r="1603" spans="1:177">
      <c r="A1603" s="1" t="str">
        <f>HYPERLINK("http://digipan.lumentumllc.com/apps/getLink/index.php?t=PropLink&amp;p=15755825","PL")</f>
        <v>PL</v>
      </c>
      <c r="B1603" s="1" t="str">
        <f>HYPERLINK("http://digipan.lumentumllc.com/apps/getLink/index.php?t=TaxLink&amp;p=15755825","TL")</f>
        <v>TL</v>
      </c>
      <c r="C1603" s="1" t="str">
        <f>HYPERLINK("http://digipan.lumentumllc.com/apps/getMap/index.php?p=15755825","Map")</f>
        <v>Map</v>
      </c>
      <c r="E1603" t="s">
        <v>177</v>
      </c>
      <c r="F1603" t="s">
        <v>178</v>
      </c>
      <c r="L1603" t="s">
        <v>20061</v>
      </c>
      <c r="N1603" t="s">
        <v>20061</v>
      </c>
      <c r="O1603" t="s">
        <v>20061</v>
      </c>
      <c r="Q1603" t="s">
        <v>20061</v>
      </c>
      <c r="V1603">
        <v>1837</v>
      </c>
      <c r="W1603">
        <v>6</v>
      </c>
      <c r="X1603">
        <v>2017</v>
      </c>
      <c r="Y1603">
        <v>2018</v>
      </c>
      <c r="Z1603">
        <v>310.55</v>
      </c>
      <c r="AG1603" t="s">
        <v>184</v>
      </c>
      <c r="AH1603">
        <v>0</v>
      </c>
      <c r="AK1603">
        <v>0</v>
      </c>
      <c r="AL1603">
        <v>18000</v>
      </c>
      <c r="AM1603">
        <v>18000</v>
      </c>
      <c r="AN1603">
        <v>0</v>
      </c>
      <c r="AO1603">
        <v>249</v>
      </c>
      <c r="AP1603">
        <v>2016</v>
      </c>
      <c r="AQ1603">
        <v>1.73</v>
      </c>
      <c r="AS1603" t="s">
        <v>20062</v>
      </c>
      <c r="AT1603" t="s">
        <v>15040</v>
      </c>
      <c r="AU1603" t="s">
        <v>177</v>
      </c>
      <c r="AV1603" t="s">
        <v>371</v>
      </c>
      <c r="AW1603" t="s">
        <v>182</v>
      </c>
      <c r="AX1603">
        <v>4</v>
      </c>
      <c r="AY1603" t="s">
        <v>188</v>
      </c>
      <c r="AZ1603" t="s">
        <v>296</v>
      </c>
      <c r="BA1603" t="s">
        <v>19069</v>
      </c>
      <c r="BB1603" t="s">
        <v>191</v>
      </c>
      <c r="BC1603" t="s">
        <v>182</v>
      </c>
      <c r="BD1603" t="s">
        <v>182</v>
      </c>
      <c r="BE1603" t="s">
        <v>1722</v>
      </c>
      <c r="BF1603">
        <v>0</v>
      </c>
      <c r="BG1603">
        <v>0</v>
      </c>
      <c r="BH1603">
        <v>0</v>
      </c>
      <c r="BI1603" t="s">
        <v>199</v>
      </c>
      <c r="BJ1603" t="s">
        <v>396</v>
      </c>
      <c r="BL1603" t="s">
        <v>19965</v>
      </c>
      <c r="BM1603" t="s">
        <v>273</v>
      </c>
      <c r="BN1603" t="s">
        <v>182</v>
      </c>
      <c r="BO1603" t="s">
        <v>198</v>
      </c>
      <c r="BP1603" t="s">
        <v>198</v>
      </c>
      <c r="BQ1603" t="s">
        <v>198</v>
      </c>
      <c r="BR1603" t="s">
        <v>198</v>
      </c>
      <c r="BS1603" t="s">
        <v>198</v>
      </c>
      <c r="BT1603" t="s">
        <v>198</v>
      </c>
      <c r="BU1603" t="s">
        <v>182</v>
      </c>
      <c r="BV1603" t="s">
        <v>198</v>
      </c>
      <c r="BW1603" t="s">
        <v>198</v>
      </c>
      <c r="BX1603" t="s">
        <v>199</v>
      </c>
      <c r="BY1603" t="s">
        <v>198</v>
      </c>
      <c r="BZ1603" t="s">
        <v>199</v>
      </c>
      <c r="CA1603" t="s">
        <v>199</v>
      </c>
      <c r="CB1603" t="s">
        <v>19966</v>
      </c>
      <c r="CC1603" t="s">
        <v>201</v>
      </c>
      <c r="CD1603" t="s">
        <v>182</v>
      </c>
      <c r="CE1603" t="s">
        <v>19967</v>
      </c>
      <c r="CF1603" t="s">
        <v>19968</v>
      </c>
      <c r="CG1603" t="s">
        <v>9098</v>
      </c>
      <c r="CH1603" t="s">
        <v>19969</v>
      </c>
      <c r="CI1603" t="s">
        <v>20063</v>
      </c>
      <c r="CS1603" t="s">
        <v>198</v>
      </c>
      <c r="DC1603" t="s">
        <v>198</v>
      </c>
      <c r="DM1603" t="s">
        <v>198</v>
      </c>
      <c r="DW1603" t="s">
        <v>198</v>
      </c>
      <c r="EG1603" t="s">
        <v>198</v>
      </c>
      <c r="EQ1603" t="s">
        <v>198</v>
      </c>
      <c r="FA1603" t="s">
        <v>198</v>
      </c>
      <c r="FK1603" t="s">
        <v>198</v>
      </c>
      <c r="FU1603" t="s">
        <v>198</v>
      </c>
    </row>
    <row r="1604" spans="1:177">
      <c r="A1604" s="1" t="str">
        <f>HYPERLINK("http://digipan.lumentumllc.com/apps/getLink/index.php?t=PropLink&amp;p=15755826","PL")</f>
        <v>PL</v>
      </c>
      <c r="B1604" s="1" t="str">
        <f>HYPERLINK("http://digipan.lumentumllc.com/apps/getLink/index.php?t=TaxLink&amp;p=15755826","TL")</f>
        <v>TL</v>
      </c>
      <c r="C1604" s="1" t="str">
        <f>HYPERLINK("http://digipan.lumentumllc.com/apps/getMap/index.php?p=15755826","Map")</f>
        <v>Map</v>
      </c>
      <c r="E1604" t="s">
        <v>177</v>
      </c>
      <c r="F1604" t="s">
        <v>178</v>
      </c>
      <c r="L1604" t="s">
        <v>20064</v>
      </c>
      <c r="N1604" t="s">
        <v>20064</v>
      </c>
      <c r="O1604" t="s">
        <v>20064</v>
      </c>
      <c r="Q1604" t="s">
        <v>20064</v>
      </c>
      <c r="V1604">
        <v>1838</v>
      </c>
      <c r="W1604">
        <v>6</v>
      </c>
      <c r="X1604">
        <v>2017</v>
      </c>
      <c r="Y1604">
        <v>2018</v>
      </c>
      <c r="Z1604">
        <v>310.55</v>
      </c>
      <c r="AG1604" t="s">
        <v>184</v>
      </c>
      <c r="AH1604">
        <v>0</v>
      </c>
      <c r="AK1604">
        <v>0</v>
      </c>
      <c r="AL1604">
        <v>18000</v>
      </c>
      <c r="AM1604">
        <v>18000</v>
      </c>
      <c r="AN1604">
        <v>0</v>
      </c>
      <c r="AO1604">
        <v>249</v>
      </c>
      <c r="AP1604">
        <v>2016</v>
      </c>
      <c r="AQ1604">
        <v>1.73</v>
      </c>
      <c r="AS1604" t="s">
        <v>20065</v>
      </c>
      <c r="AT1604" t="s">
        <v>15040</v>
      </c>
      <c r="AU1604" t="s">
        <v>177</v>
      </c>
      <c r="AV1604" t="s">
        <v>371</v>
      </c>
      <c r="AW1604" t="s">
        <v>182</v>
      </c>
      <c r="AX1604">
        <v>4</v>
      </c>
      <c r="AY1604" t="s">
        <v>188</v>
      </c>
      <c r="AZ1604" t="s">
        <v>296</v>
      </c>
      <c r="BA1604" t="s">
        <v>19069</v>
      </c>
      <c r="BB1604" t="s">
        <v>191</v>
      </c>
      <c r="BC1604" t="s">
        <v>182</v>
      </c>
      <c r="BD1604" t="s">
        <v>182</v>
      </c>
      <c r="BE1604" t="s">
        <v>1722</v>
      </c>
      <c r="BF1604">
        <v>0</v>
      </c>
      <c r="BG1604">
        <v>0</v>
      </c>
      <c r="BH1604">
        <v>0</v>
      </c>
      <c r="BI1604" t="s">
        <v>199</v>
      </c>
      <c r="BJ1604" t="s">
        <v>396</v>
      </c>
      <c r="BL1604" t="s">
        <v>19965</v>
      </c>
      <c r="BM1604" t="s">
        <v>273</v>
      </c>
      <c r="BN1604" t="s">
        <v>182</v>
      </c>
      <c r="BO1604" t="s">
        <v>198</v>
      </c>
      <c r="BP1604" t="s">
        <v>198</v>
      </c>
      <c r="BQ1604" t="s">
        <v>198</v>
      </c>
      <c r="BR1604" t="s">
        <v>198</v>
      </c>
      <c r="BS1604" t="s">
        <v>198</v>
      </c>
      <c r="BT1604" t="s">
        <v>198</v>
      </c>
      <c r="BU1604" t="s">
        <v>182</v>
      </c>
      <c r="BV1604" t="s">
        <v>198</v>
      </c>
      <c r="BW1604" t="s">
        <v>198</v>
      </c>
      <c r="BX1604" t="s">
        <v>199</v>
      </c>
      <c r="BY1604" t="s">
        <v>198</v>
      </c>
      <c r="BZ1604" t="s">
        <v>199</v>
      </c>
      <c r="CA1604" t="s">
        <v>199</v>
      </c>
      <c r="CB1604" t="s">
        <v>19966</v>
      </c>
      <c r="CC1604" t="s">
        <v>201</v>
      </c>
      <c r="CD1604" t="s">
        <v>182</v>
      </c>
      <c r="CE1604" t="s">
        <v>19967</v>
      </c>
      <c r="CF1604" t="s">
        <v>19968</v>
      </c>
      <c r="CG1604" t="s">
        <v>9098</v>
      </c>
      <c r="CH1604" t="s">
        <v>19969</v>
      </c>
      <c r="CI1604" t="s">
        <v>20066</v>
      </c>
      <c r="CS1604" t="s">
        <v>198</v>
      </c>
      <c r="DC1604" t="s">
        <v>198</v>
      </c>
      <c r="DM1604" t="s">
        <v>198</v>
      </c>
      <c r="DW1604" t="s">
        <v>198</v>
      </c>
      <c r="EG1604" t="s">
        <v>198</v>
      </c>
      <c r="EQ1604" t="s">
        <v>198</v>
      </c>
      <c r="FA1604" t="s">
        <v>198</v>
      </c>
      <c r="FK1604" t="s">
        <v>198</v>
      </c>
      <c r="FU1604" t="s">
        <v>198</v>
      </c>
    </row>
    <row r="1605" spans="1:177">
      <c r="A1605" s="1" t="str">
        <f>HYPERLINK("http://digipan.lumentumllc.com/apps/getLink/index.php?t=PropLink&amp;p=15755827","PL")</f>
        <v>PL</v>
      </c>
      <c r="B1605" s="1" t="str">
        <f>HYPERLINK("http://digipan.lumentumllc.com/apps/getLink/index.php?t=TaxLink&amp;p=15755827","TL")</f>
        <v>TL</v>
      </c>
      <c r="C1605" s="1" t="str">
        <f>HYPERLINK("http://digipan.lumentumllc.com/apps/getMap/index.php?p=15755827","Map")</f>
        <v>Map</v>
      </c>
      <c r="E1605" t="s">
        <v>177</v>
      </c>
      <c r="F1605" t="s">
        <v>178</v>
      </c>
      <c r="L1605" t="s">
        <v>20067</v>
      </c>
      <c r="N1605" t="s">
        <v>20067</v>
      </c>
      <c r="O1605" t="s">
        <v>20067</v>
      </c>
      <c r="Q1605" t="s">
        <v>20067</v>
      </c>
      <c r="V1605">
        <v>1839</v>
      </c>
      <c r="W1605">
        <v>6</v>
      </c>
      <c r="X1605">
        <v>2017</v>
      </c>
      <c r="Y1605">
        <v>2018</v>
      </c>
      <c r="Z1605">
        <v>310.55</v>
      </c>
      <c r="AG1605" t="s">
        <v>184</v>
      </c>
      <c r="AH1605">
        <v>0</v>
      </c>
      <c r="AK1605">
        <v>0</v>
      </c>
      <c r="AL1605">
        <v>18000</v>
      </c>
      <c r="AM1605">
        <v>18000</v>
      </c>
      <c r="AN1605">
        <v>0</v>
      </c>
      <c r="AO1605">
        <v>249</v>
      </c>
      <c r="AP1605">
        <v>2016</v>
      </c>
      <c r="AQ1605">
        <v>1.73</v>
      </c>
      <c r="AS1605" t="s">
        <v>20068</v>
      </c>
      <c r="AT1605" t="s">
        <v>15040</v>
      </c>
      <c r="AU1605" t="s">
        <v>177</v>
      </c>
      <c r="AV1605" t="s">
        <v>371</v>
      </c>
      <c r="AW1605" t="s">
        <v>182</v>
      </c>
      <c r="AX1605">
        <v>4</v>
      </c>
      <c r="AY1605" t="s">
        <v>188</v>
      </c>
      <c r="AZ1605" t="s">
        <v>296</v>
      </c>
      <c r="BA1605" t="s">
        <v>19069</v>
      </c>
      <c r="BB1605" t="s">
        <v>191</v>
      </c>
      <c r="BC1605" t="s">
        <v>182</v>
      </c>
      <c r="BD1605" t="s">
        <v>182</v>
      </c>
      <c r="BE1605" t="s">
        <v>1722</v>
      </c>
      <c r="BF1605">
        <v>0</v>
      </c>
      <c r="BG1605">
        <v>0</v>
      </c>
      <c r="BH1605">
        <v>0</v>
      </c>
      <c r="BI1605" t="s">
        <v>199</v>
      </c>
      <c r="BJ1605" t="s">
        <v>396</v>
      </c>
      <c r="BL1605" t="s">
        <v>19965</v>
      </c>
      <c r="BM1605" t="s">
        <v>273</v>
      </c>
      <c r="BN1605" t="s">
        <v>182</v>
      </c>
      <c r="BO1605" t="s">
        <v>198</v>
      </c>
      <c r="BP1605" t="s">
        <v>198</v>
      </c>
      <c r="BQ1605" t="s">
        <v>198</v>
      </c>
      <c r="BR1605" t="s">
        <v>198</v>
      </c>
      <c r="BS1605" t="s">
        <v>198</v>
      </c>
      <c r="BT1605" t="s">
        <v>198</v>
      </c>
      <c r="BU1605" t="s">
        <v>182</v>
      </c>
      <c r="BV1605" t="s">
        <v>198</v>
      </c>
      <c r="BW1605" t="s">
        <v>198</v>
      </c>
      <c r="BX1605" t="s">
        <v>199</v>
      </c>
      <c r="BY1605" t="s">
        <v>198</v>
      </c>
      <c r="BZ1605" t="s">
        <v>199</v>
      </c>
      <c r="CA1605" t="s">
        <v>199</v>
      </c>
      <c r="CB1605" t="s">
        <v>19966</v>
      </c>
      <c r="CC1605" t="s">
        <v>201</v>
      </c>
      <c r="CD1605" t="s">
        <v>182</v>
      </c>
      <c r="CE1605" t="s">
        <v>19967</v>
      </c>
      <c r="CF1605" t="s">
        <v>19968</v>
      </c>
      <c r="CG1605" t="s">
        <v>9098</v>
      </c>
      <c r="CH1605" t="s">
        <v>19969</v>
      </c>
      <c r="CI1605" t="s">
        <v>20069</v>
      </c>
      <c r="CS1605" t="s">
        <v>198</v>
      </c>
      <c r="DC1605" t="s">
        <v>198</v>
      </c>
      <c r="DM1605" t="s">
        <v>198</v>
      </c>
      <c r="DW1605" t="s">
        <v>198</v>
      </c>
      <c r="EG1605" t="s">
        <v>198</v>
      </c>
      <c r="EQ1605" t="s">
        <v>198</v>
      </c>
      <c r="FA1605" t="s">
        <v>198</v>
      </c>
      <c r="FK1605" t="s">
        <v>198</v>
      </c>
      <c r="FU1605" t="s">
        <v>198</v>
      </c>
    </row>
    <row r="1606" spans="1:177">
      <c r="A1606" s="1" t="str">
        <f>HYPERLINK("http://digipan.lumentumllc.com/apps/getLink/index.php?t=PropLink&amp;p=15755828","PL")</f>
        <v>PL</v>
      </c>
      <c r="B1606" s="1" t="str">
        <f>HYPERLINK("http://digipan.lumentumllc.com/apps/getLink/index.php?t=TaxLink&amp;p=15755828","TL")</f>
        <v>TL</v>
      </c>
      <c r="C1606" s="1" t="str">
        <f>HYPERLINK("http://digipan.lumentumllc.com/apps/getMap/index.php?p=15755828","Map")</f>
        <v>Map</v>
      </c>
      <c r="E1606" t="s">
        <v>177</v>
      </c>
      <c r="F1606" t="s">
        <v>178</v>
      </c>
      <c r="L1606" t="s">
        <v>20070</v>
      </c>
      <c r="N1606" t="s">
        <v>20070</v>
      </c>
      <c r="O1606" t="s">
        <v>20070</v>
      </c>
      <c r="Q1606" t="s">
        <v>20070</v>
      </c>
      <c r="V1606">
        <v>1840</v>
      </c>
      <c r="W1606">
        <v>6</v>
      </c>
      <c r="X1606">
        <v>2017</v>
      </c>
      <c r="Y1606">
        <v>2018</v>
      </c>
      <c r="Z1606">
        <v>310.55</v>
      </c>
      <c r="AG1606" t="s">
        <v>184</v>
      </c>
      <c r="AH1606">
        <v>0</v>
      </c>
      <c r="AK1606">
        <v>0</v>
      </c>
      <c r="AL1606">
        <v>18000</v>
      </c>
      <c r="AM1606">
        <v>18000</v>
      </c>
      <c r="AN1606">
        <v>0</v>
      </c>
      <c r="AO1606">
        <v>249</v>
      </c>
      <c r="AP1606">
        <v>2016</v>
      </c>
      <c r="AQ1606">
        <v>1.73</v>
      </c>
      <c r="AS1606" t="s">
        <v>20071</v>
      </c>
      <c r="AT1606" t="s">
        <v>15040</v>
      </c>
      <c r="AU1606" t="s">
        <v>177</v>
      </c>
      <c r="AV1606" t="s">
        <v>371</v>
      </c>
      <c r="AW1606" t="s">
        <v>182</v>
      </c>
      <c r="AX1606">
        <v>4</v>
      </c>
      <c r="AY1606" t="s">
        <v>188</v>
      </c>
      <c r="AZ1606" t="s">
        <v>296</v>
      </c>
      <c r="BA1606" t="s">
        <v>19069</v>
      </c>
      <c r="BB1606" t="s">
        <v>191</v>
      </c>
      <c r="BC1606" t="s">
        <v>182</v>
      </c>
      <c r="BD1606" t="s">
        <v>182</v>
      </c>
      <c r="BE1606" t="s">
        <v>1722</v>
      </c>
      <c r="BF1606">
        <v>0</v>
      </c>
      <c r="BG1606">
        <v>0</v>
      </c>
      <c r="BH1606">
        <v>0</v>
      </c>
      <c r="BI1606" t="s">
        <v>199</v>
      </c>
      <c r="BJ1606" t="s">
        <v>396</v>
      </c>
      <c r="BL1606" t="s">
        <v>19965</v>
      </c>
      <c r="BM1606" t="s">
        <v>273</v>
      </c>
      <c r="BN1606" t="s">
        <v>182</v>
      </c>
      <c r="BO1606" t="s">
        <v>198</v>
      </c>
      <c r="BP1606" t="s">
        <v>198</v>
      </c>
      <c r="BQ1606" t="s">
        <v>198</v>
      </c>
      <c r="BR1606" t="s">
        <v>198</v>
      </c>
      <c r="BS1606" t="s">
        <v>198</v>
      </c>
      <c r="BT1606" t="s">
        <v>198</v>
      </c>
      <c r="BU1606" t="s">
        <v>182</v>
      </c>
      <c r="BV1606" t="s">
        <v>198</v>
      </c>
      <c r="BW1606" t="s">
        <v>198</v>
      </c>
      <c r="BX1606" t="s">
        <v>199</v>
      </c>
      <c r="BY1606" t="s">
        <v>198</v>
      </c>
      <c r="BZ1606" t="s">
        <v>199</v>
      </c>
      <c r="CA1606" t="s">
        <v>199</v>
      </c>
      <c r="CB1606" t="s">
        <v>19966</v>
      </c>
      <c r="CC1606" t="s">
        <v>201</v>
      </c>
      <c r="CD1606" t="s">
        <v>182</v>
      </c>
      <c r="CE1606" t="s">
        <v>19967</v>
      </c>
      <c r="CF1606" t="s">
        <v>19968</v>
      </c>
      <c r="CG1606" t="s">
        <v>9098</v>
      </c>
      <c r="CH1606" t="s">
        <v>19969</v>
      </c>
      <c r="CI1606" t="s">
        <v>20072</v>
      </c>
      <c r="CS1606" t="s">
        <v>198</v>
      </c>
      <c r="DC1606" t="s">
        <v>198</v>
      </c>
      <c r="DM1606" t="s">
        <v>198</v>
      </c>
      <c r="DW1606" t="s">
        <v>198</v>
      </c>
      <c r="EG1606" t="s">
        <v>198</v>
      </c>
      <c r="EQ1606" t="s">
        <v>198</v>
      </c>
      <c r="FA1606" t="s">
        <v>198</v>
      </c>
      <c r="FK1606" t="s">
        <v>198</v>
      </c>
      <c r="FU1606" t="s">
        <v>198</v>
      </c>
    </row>
    <row r="1607" spans="1:177">
      <c r="A1607" s="1" t="str">
        <f>HYPERLINK("http://digipan.lumentumllc.com/apps/getLink/index.php?t=PropLink&amp;p=15755829","PL")</f>
        <v>PL</v>
      </c>
      <c r="B1607" s="1" t="str">
        <f>HYPERLINK("http://digipan.lumentumllc.com/apps/getLink/index.php?t=TaxLink&amp;p=15755829","TL")</f>
        <v>TL</v>
      </c>
      <c r="C1607" s="1" t="str">
        <f>HYPERLINK("http://digipan.lumentumllc.com/apps/getMap/index.php?p=15755829","Map")</f>
        <v>Map</v>
      </c>
      <c r="E1607" t="s">
        <v>177</v>
      </c>
      <c r="F1607" t="s">
        <v>178</v>
      </c>
      <c r="L1607" t="s">
        <v>20073</v>
      </c>
      <c r="N1607" t="s">
        <v>20073</v>
      </c>
      <c r="O1607" t="s">
        <v>20073</v>
      </c>
      <c r="Q1607" t="s">
        <v>20073</v>
      </c>
      <c r="V1607">
        <v>1841</v>
      </c>
      <c r="W1607">
        <v>6</v>
      </c>
      <c r="X1607">
        <v>2017</v>
      </c>
      <c r="Y1607">
        <v>2018</v>
      </c>
      <c r="Z1607">
        <v>310.55</v>
      </c>
      <c r="AG1607" t="s">
        <v>184</v>
      </c>
      <c r="AH1607">
        <v>0</v>
      </c>
      <c r="AK1607">
        <v>0</v>
      </c>
      <c r="AL1607">
        <v>18000</v>
      </c>
      <c r="AM1607">
        <v>18000</v>
      </c>
      <c r="AN1607">
        <v>0</v>
      </c>
      <c r="AO1607">
        <v>249</v>
      </c>
      <c r="AP1607">
        <v>2016</v>
      </c>
      <c r="AQ1607">
        <v>1.73</v>
      </c>
      <c r="AS1607" t="s">
        <v>20074</v>
      </c>
      <c r="AT1607" t="s">
        <v>15040</v>
      </c>
      <c r="AU1607" t="s">
        <v>177</v>
      </c>
      <c r="AV1607" t="s">
        <v>371</v>
      </c>
      <c r="AW1607" t="s">
        <v>182</v>
      </c>
      <c r="AX1607">
        <v>4</v>
      </c>
      <c r="AY1607" t="s">
        <v>188</v>
      </c>
      <c r="AZ1607" t="s">
        <v>296</v>
      </c>
      <c r="BA1607" t="s">
        <v>19069</v>
      </c>
      <c r="BB1607" t="s">
        <v>191</v>
      </c>
      <c r="BC1607" t="s">
        <v>182</v>
      </c>
      <c r="BD1607" t="s">
        <v>182</v>
      </c>
      <c r="BE1607" t="s">
        <v>1722</v>
      </c>
      <c r="BF1607">
        <v>0</v>
      </c>
      <c r="BG1607">
        <v>0</v>
      </c>
      <c r="BH1607">
        <v>0</v>
      </c>
      <c r="BI1607" t="s">
        <v>199</v>
      </c>
      <c r="BJ1607" t="s">
        <v>396</v>
      </c>
      <c r="BL1607" t="s">
        <v>19965</v>
      </c>
      <c r="BM1607" t="s">
        <v>273</v>
      </c>
      <c r="BN1607" t="s">
        <v>182</v>
      </c>
      <c r="BO1607" t="s">
        <v>198</v>
      </c>
      <c r="BP1607" t="s">
        <v>198</v>
      </c>
      <c r="BQ1607" t="s">
        <v>198</v>
      </c>
      <c r="BR1607" t="s">
        <v>198</v>
      </c>
      <c r="BS1607" t="s">
        <v>198</v>
      </c>
      <c r="BT1607" t="s">
        <v>198</v>
      </c>
      <c r="BU1607" t="s">
        <v>182</v>
      </c>
      <c r="BV1607" t="s">
        <v>198</v>
      </c>
      <c r="BW1607" t="s">
        <v>198</v>
      </c>
      <c r="BX1607" t="s">
        <v>199</v>
      </c>
      <c r="BY1607" t="s">
        <v>198</v>
      </c>
      <c r="BZ1607" t="s">
        <v>199</v>
      </c>
      <c r="CA1607" t="s">
        <v>199</v>
      </c>
      <c r="CB1607" t="s">
        <v>19966</v>
      </c>
      <c r="CC1607" t="s">
        <v>201</v>
      </c>
      <c r="CD1607" t="s">
        <v>182</v>
      </c>
      <c r="CE1607" t="s">
        <v>19967</v>
      </c>
      <c r="CF1607" t="s">
        <v>19968</v>
      </c>
      <c r="CG1607" t="s">
        <v>9098</v>
      </c>
      <c r="CH1607" t="s">
        <v>19969</v>
      </c>
      <c r="CI1607" t="s">
        <v>20075</v>
      </c>
      <c r="CS1607" t="s">
        <v>198</v>
      </c>
      <c r="DC1607" t="s">
        <v>198</v>
      </c>
      <c r="DM1607" t="s">
        <v>198</v>
      </c>
      <c r="DW1607" t="s">
        <v>198</v>
      </c>
      <c r="EG1607" t="s">
        <v>198</v>
      </c>
      <c r="EQ1607" t="s">
        <v>198</v>
      </c>
      <c r="FA1607" t="s">
        <v>198</v>
      </c>
      <c r="FK1607" t="s">
        <v>198</v>
      </c>
      <c r="FU1607" t="s">
        <v>198</v>
      </c>
    </row>
    <row r="1608" spans="1:177">
      <c r="A1608" s="1" t="str">
        <f>HYPERLINK("http://digipan.lumentumllc.com/apps/getLink/index.php?t=PropLink&amp;p=6886814","PL")</f>
        <v>PL</v>
      </c>
      <c r="B1608" s="1" t="str">
        <f>HYPERLINK("http://digipan.lumentumllc.com/apps/getLink/index.php?t=TaxLink&amp;p=6886814","TL")</f>
        <v>TL</v>
      </c>
      <c r="C1608" s="1" t="str">
        <f>HYPERLINK("http://digipan.lumentumllc.com/apps/getMap/index.php?p=6886814","Map")</f>
        <v>Map</v>
      </c>
      <c r="E1608" t="s">
        <v>177</v>
      </c>
      <c r="F1608" t="s">
        <v>178</v>
      </c>
      <c r="L1608" t="s">
        <v>20076</v>
      </c>
      <c r="N1608" t="s">
        <v>20076</v>
      </c>
      <c r="O1608" t="s">
        <v>20076</v>
      </c>
      <c r="P1608" t="s">
        <v>20077</v>
      </c>
      <c r="Q1608" t="s">
        <v>20076</v>
      </c>
      <c r="V1608">
        <v>1842</v>
      </c>
      <c r="W1608">
        <v>6</v>
      </c>
      <c r="X1608">
        <v>2017</v>
      </c>
      <c r="Y1608">
        <v>2018</v>
      </c>
      <c r="Z1608">
        <v>2677.07</v>
      </c>
      <c r="AB1608" t="s">
        <v>181</v>
      </c>
      <c r="AC1608" t="s">
        <v>182</v>
      </c>
      <c r="AD1608" t="s">
        <v>183</v>
      </c>
      <c r="AE1608">
        <v>1</v>
      </c>
      <c r="AF1608">
        <v>1</v>
      </c>
      <c r="AG1608" t="s">
        <v>2222</v>
      </c>
      <c r="AH1608">
        <v>50</v>
      </c>
      <c r="AI1608">
        <v>2527.67</v>
      </c>
      <c r="AJ1608">
        <v>126.38</v>
      </c>
      <c r="AK1608">
        <v>2654.05</v>
      </c>
      <c r="AL1608">
        <v>159974</v>
      </c>
      <c r="AM1608">
        <v>31500</v>
      </c>
      <c r="AN1608">
        <v>128474</v>
      </c>
      <c r="AO1608">
        <v>2312</v>
      </c>
      <c r="AP1608">
        <v>2016</v>
      </c>
      <c r="AQ1608">
        <v>1.67</v>
      </c>
      <c r="AR1608">
        <v>1.66</v>
      </c>
      <c r="AS1608" t="s">
        <v>20078</v>
      </c>
      <c r="AT1608" t="s">
        <v>15040</v>
      </c>
      <c r="AU1608" t="s">
        <v>177</v>
      </c>
      <c r="AV1608" t="s">
        <v>371</v>
      </c>
      <c r="AW1608" t="s">
        <v>182</v>
      </c>
      <c r="AX1608">
        <v>1</v>
      </c>
      <c r="AY1608" t="s">
        <v>188</v>
      </c>
      <c r="AZ1608" t="s">
        <v>206</v>
      </c>
      <c r="BA1608" t="s">
        <v>355</v>
      </c>
      <c r="BB1608" t="s">
        <v>191</v>
      </c>
      <c r="BC1608" t="s">
        <v>182</v>
      </c>
      <c r="BD1608" t="s">
        <v>182</v>
      </c>
      <c r="BE1608" t="s">
        <v>3907</v>
      </c>
      <c r="BF1608">
        <v>1</v>
      </c>
      <c r="BG1608">
        <v>1</v>
      </c>
      <c r="BH1608">
        <v>1996</v>
      </c>
      <c r="BI1608" t="s">
        <v>20079</v>
      </c>
      <c r="BJ1608" t="s">
        <v>1945</v>
      </c>
      <c r="BK1608" t="s">
        <v>195</v>
      </c>
      <c r="BL1608" t="s">
        <v>4712</v>
      </c>
      <c r="BM1608" t="s">
        <v>292</v>
      </c>
      <c r="BN1608" t="s">
        <v>182</v>
      </c>
      <c r="BO1608" t="s">
        <v>198</v>
      </c>
      <c r="BP1608" t="s">
        <v>198</v>
      </c>
      <c r="BQ1608" t="s">
        <v>198</v>
      </c>
      <c r="BR1608" t="s">
        <v>198</v>
      </c>
      <c r="BS1608" t="s">
        <v>198</v>
      </c>
      <c r="BT1608" t="s">
        <v>198</v>
      </c>
      <c r="BU1608" t="s">
        <v>182</v>
      </c>
      <c r="BV1608" t="s">
        <v>198</v>
      </c>
      <c r="BW1608" t="s">
        <v>198</v>
      </c>
      <c r="BX1608" t="s">
        <v>199</v>
      </c>
      <c r="BY1608" t="s">
        <v>198</v>
      </c>
      <c r="BZ1608" t="s">
        <v>199</v>
      </c>
      <c r="CA1608" t="s">
        <v>199</v>
      </c>
      <c r="CB1608" t="s">
        <v>20080</v>
      </c>
      <c r="CC1608" t="s">
        <v>201</v>
      </c>
      <c r="CD1608" t="s">
        <v>182</v>
      </c>
      <c r="CE1608" t="s">
        <v>20081</v>
      </c>
      <c r="CF1608" t="s">
        <v>5331</v>
      </c>
      <c r="CG1608" t="s">
        <v>177</v>
      </c>
      <c r="CH1608" t="s">
        <v>371</v>
      </c>
      <c r="CI1608" t="s">
        <v>20082</v>
      </c>
      <c r="CJ1608" t="s">
        <v>19280</v>
      </c>
      <c r="CK1608" t="s">
        <v>232</v>
      </c>
      <c r="CL1608" t="s">
        <v>233</v>
      </c>
      <c r="CM1608" t="s">
        <v>20083</v>
      </c>
      <c r="CN1608" t="s">
        <v>235</v>
      </c>
      <c r="CO1608" t="s">
        <v>183</v>
      </c>
      <c r="CP1608" t="s">
        <v>266</v>
      </c>
      <c r="CS1608" t="s">
        <v>198</v>
      </c>
      <c r="CT1608" t="s">
        <v>19260</v>
      </c>
      <c r="CU1608" t="s">
        <v>267</v>
      </c>
      <c r="CV1608" t="s">
        <v>268</v>
      </c>
      <c r="CW1608" t="s">
        <v>20084</v>
      </c>
      <c r="CX1608" t="s">
        <v>235</v>
      </c>
      <c r="CY1608" t="s">
        <v>183</v>
      </c>
      <c r="CZ1608" t="s">
        <v>211</v>
      </c>
      <c r="DA1608" t="s">
        <v>206</v>
      </c>
      <c r="DC1608" t="s">
        <v>20085</v>
      </c>
      <c r="DM1608" t="s">
        <v>198</v>
      </c>
      <c r="DW1608" t="s">
        <v>198</v>
      </c>
      <c r="EG1608" t="s">
        <v>198</v>
      </c>
      <c r="EQ1608" t="s">
        <v>198</v>
      </c>
      <c r="FA1608" t="s">
        <v>198</v>
      </c>
      <c r="FK1608" t="s">
        <v>198</v>
      </c>
      <c r="FU1608" t="s">
        <v>198</v>
      </c>
    </row>
    <row r="1609" spans="1:177">
      <c r="A1609" s="1" t="str">
        <f>HYPERLINK("http://digipan.lumentumllc.com/apps/getLink/index.php?t=PropLink&amp;p=15755883","PL")</f>
        <v>PL</v>
      </c>
      <c r="B1609" s="1" t="str">
        <f>HYPERLINK("http://digipan.lumentumllc.com/apps/getLink/index.php?t=TaxLink&amp;p=15755883","TL")</f>
        <v>TL</v>
      </c>
      <c r="C1609" s="1" t="str">
        <f>HYPERLINK("http://digipan.lumentumllc.com/apps/getMap/index.php?p=15755883","Map")</f>
        <v>Map</v>
      </c>
      <c r="E1609" t="s">
        <v>177</v>
      </c>
      <c r="F1609" t="s">
        <v>178</v>
      </c>
      <c r="L1609" t="s">
        <v>20086</v>
      </c>
      <c r="N1609" t="s">
        <v>20086</v>
      </c>
      <c r="O1609" t="s">
        <v>20086</v>
      </c>
      <c r="Q1609" t="s">
        <v>20086</v>
      </c>
      <c r="V1609">
        <v>1843</v>
      </c>
      <c r="W1609">
        <v>6</v>
      </c>
      <c r="X1609">
        <v>2017</v>
      </c>
      <c r="Y1609">
        <v>2018</v>
      </c>
      <c r="Z1609">
        <v>3490.37</v>
      </c>
      <c r="AG1609" t="s">
        <v>184</v>
      </c>
      <c r="AH1609">
        <v>0</v>
      </c>
      <c r="AK1609">
        <v>0</v>
      </c>
      <c r="AL1609">
        <v>215924</v>
      </c>
      <c r="AM1609">
        <v>30000</v>
      </c>
      <c r="AN1609">
        <v>185924</v>
      </c>
      <c r="AO1609">
        <v>3090</v>
      </c>
      <c r="AP1609">
        <v>2016</v>
      </c>
      <c r="AQ1609">
        <v>1.62</v>
      </c>
      <c r="AS1609" t="s">
        <v>20087</v>
      </c>
      <c r="AT1609" t="s">
        <v>15040</v>
      </c>
      <c r="AU1609" t="s">
        <v>177</v>
      </c>
      <c r="AV1609" t="s">
        <v>371</v>
      </c>
      <c r="AW1609" t="s">
        <v>182</v>
      </c>
      <c r="AX1609">
        <v>1</v>
      </c>
      <c r="AY1609" t="s">
        <v>188</v>
      </c>
      <c r="AZ1609" t="s">
        <v>206</v>
      </c>
      <c r="BA1609" t="s">
        <v>355</v>
      </c>
      <c r="BB1609" t="s">
        <v>191</v>
      </c>
      <c r="BC1609" t="s">
        <v>182</v>
      </c>
      <c r="BD1609" t="s">
        <v>182</v>
      </c>
      <c r="BE1609" t="s">
        <v>3861</v>
      </c>
      <c r="BF1609">
        <v>1</v>
      </c>
      <c r="BG1609">
        <v>1</v>
      </c>
      <c r="BH1609">
        <v>2003</v>
      </c>
      <c r="BI1609" t="s">
        <v>7563</v>
      </c>
      <c r="BJ1609" t="s">
        <v>396</v>
      </c>
      <c r="BK1609" t="s">
        <v>195</v>
      </c>
      <c r="BL1609" t="s">
        <v>5433</v>
      </c>
      <c r="BM1609" t="s">
        <v>325</v>
      </c>
      <c r="BN1609" t="s">
        <v>182</v>
      </c>
      <c r="BO1609" t="s">
        <v>8682</v>
      </c>
      <c r="BP1609" t="s">
        <v>2421</v>
      </c>
      <c r="BQ1609" t="s">
        <v>800</v>
      </c>
      <c r="BS1609" t="s">
        <v>198</v>
      </c>
      <c r="BT1609" t="s">
        <v>20088</v>
      </c>
      <c r="BU1609" t="s">
        <v>182</v>
      </c>
      <c r="BV1609" t="s">
        <v>198</v>
      </c>
      <c r="BW1609" t="s">
        <v>198</v>
      </c>
      <c r="BX1609" t="s">
        <v>199</v>
      </c>
      <c r="BY1609" t="s">
        <v>198</v>
      </c>
      <c r="BZ1609" t="s">
        <v>199</v>
      </c>
      <c r="CA1609" t="s">
        <v>199</v>
      </c>
      <c r="CB1609" t="s">
        <v>20089</v>
      </c>
      <c r="CC1609" t="s">
        <v>201</v>
      </c>
      <c r="CD1609" t="s">
        <v>202</v>
      </c>
      <c r="CE1609" t="s">
        <v>20090</v>
      </c>
      <c r="CF1609" t="s">
        <v>5331</v>
      </c>
      <c r="CG1609" t="s">
        <v>177</v>
      </c>
      <c r="CH1609" t="s">
        <v>371</v>
      </c>
      <c r="CI1609" t="s">
        <v>9154</v>
      </c>
      <c r="CS1609" t="s">
        <v>198</v>
      </c>
      <c r="DC1609" t="s">
        <v>198</v>
      </c>
      <c r="DM1609" t="s">
        <v>198</v>
      </c>
      <c r="DW1609" t="s">
        <v>198</v>
      </c>
      <c r="EG1609" t="s">
        <v>198</v>
      </c>
      <c r="EQ1609" t="s">
        <v>198</v>
      </c>
      <c r="FA1609" t="s">
        <v>198</v>
      </c>
      <c r="FK1609" t="s">
        <v>198</v>
      </c>
      <c r="FU1609" t="s">
        <v>198</v>
      </c>
    </row>
    <row r="1610" spans="1:177">
      <c r="A1610" s="1" t="str">
        <f>HYPERLINK("http://digipan.lumentumllc.com/apps/getLink/index.php?t=PropLink&amp;p=5247475","PL")</f>
        <v>PL</v>
      </c>
      <c r="B1610" s="1" t="str">
        <f>HYPERLINK("http://digipan.lumentumllc.com/apps/getLink/index.php?t=TaxLink&amp;p=5247475","TL")</f>
        <v>TL</v>
      </c>
      <c r="C1610" s="1" t="str">
        <f>HYPERLINK("http://digipan.lumentumllc.com/apps/getMap/index.php?p=5247475","Map")</f>
        <v>Map</v>
      </c>
      <c r="E1610" t="s">
        <v>177</v>
      </c>
      <c r="F1610" t="s">
        <v>178</v>
      </c>
      <c r="L1610" t="s">
        <v>20091</v>
      </c>
      <c r="N1610" t="s">
        <v>20091</v>
      </c>
      <c r="O1610" t="s">
        <v>20091</v>
      </c>
      <c r="P1610" t="s">
        <v>20092</v>
      </c>
      <c r="Q1610" t="s">
        <v>20091</v>
      </c>
      <c r="V1610">
        <v>1844</v>
      </c>
      <c r="W1610">
        <v>6</v>
      </c>
      <c r="X1610">
        <v>2017</v>
      </c>
      <c r="Y1610">
        <v>2018</v>
      </c>
      <c r="Z1610">
        <v>17008.099999999999</v>
      </c>
      <c r="AB1610" t="s">
        <v>181</v>
      </c>
      <c r="AC1610" t="s">
        <v>202</v>
      </c>
      <c r="AD1610" t="s">
        <v>183</v>
      </c>
      <c r="AE1610">
        <v>1</v>
      </c>
      <c r="AF1610">
        <v>7</v>
      </c>
      <c r="AG1610" t="s">
        <v>418</v>
      </c>
      <c r="AH1610">
        <v>86</v>
      </c>
      <c r="AI1610">
        <v>17248.830000000002</v>
      </c>
      <c r="AJ1610">
        <v>862.44</v>
      </c>
      <c r="AK1610">
        <v>18111.27</v>
      </c>
      <c r="AL1610">
        <v>1026720</v>
      </c>
      <c r="AM1610">
        <v>1026720</v>
      </c>
      <c r="AN1610">
        <v>0</v>
      </c>
      <c r="AO1610">
        <v>15924</v>
      </c>
      <c r="AP1610">
        <v>2016</v>
      </c>
      <c r="AQ1610">
        <v>1.66</v>
      </c>
      <c r="AR1610">
        <v>1.76</v>
      </c>
      <c r="AS1610" t="s">
        <v>10628</v>
      </c>
      <c r="AT1610" t="s">
        <v>15040</v>
      </c>
      <c r="AU1610" t="s">
        <v>177</v>
      </c>
      <c r="AV1610" t="s">
        <v>371</v>
      </c>
      <c r="AW1610" t="s">
        <v>182</v>
      </c>
      <c r="AX1610">
        <v>0</v>
      </c>
      <c r="AY1610" t="s">
        <v>312</v>
      </c>
      <c r="AZ1610" t="s">
        <v>199</v>
      </c>
      <c r="BA1610" t="s">
        <v>313</v>
      </c>
      <c r="BB1610" t="s">
        <v>191</v>
      </c>
      <c r="BC1610" t="s">
        <v>182</v>
      </c>
      <c r="BD1610" t="s">
        <v>182</v>
      </c>
      <c r="BE1610" t="s">
        <v>20093</v>
      </c>
      <c r="BF1610">
        <v>0</v>
      </c>
      <c r="BG1610">
        <v>0</v>
      </c>
      <c r="BH1610">
        <v>0</v>
      </c>
      <c r="BI1610" t="s">
        <v>199</v>
      </c>
      <c r="BJ1610" t="s">
        <v>315</v>
      </c>
      <c r="BL1610" t="s">
        <v>19926</v>
      </c>
      <c r="BM1610" t="s">
        <v>559</v>
      </c>
      <c r="BN1610" t="s">
        <v>182</v>
      </c>
      <c r="BO1610" t="s">
        <v>20094</v>
      </c>
      <c r="BP1610" t="s">
        <v>561</v>
      </c>
      <c r="BQ1610" t="s">
        <v>904</v>
      </c>
      <c r="BR1610" t="s">
        <v>563</v>
      </c>
      <c r="BS1610" t="s">
        <v>198</v>
      </c>
      <c r="BT1610" t="s">
        <v>228</v>
      </c>
      <c r="BU1610" t="s">
        <v>182</v>
      </c>
      <c r="BV1610" t="s">
        <v>198</v>
      </c>
      <c r="BW1610" t="s">
        <v>198</v>
      </c>
      <c r="BX1610" t="s">
        <v>199</v>
      </c>
      <c r="BY1610" t="s">
        <v>198</v>
      </c>
      <c r="BZ1610" t="s">
        <v>199</v>
      </c>
      <c r="CA1610" t="s">
        <v>199</v>
      </c>
      <c r="CB1610" t="s">
        <v>19927</v>
      </c>
      <c r="CC1610" t="s">
        <v>201</v>
      </c>
      <c r="CD1610" t="s">
        <v>182</v>
      </c>
      <c r="CE1610" t="s">
        <v>20095</v>
      </c>
      <c r="CF1610" t="s">
        <v>413</v>
      </c>
      <c r="CG1610" t="s">
        <v>177</v>
      </c>
      <c r="CH1610" t="s">
        <v>685</v>
      </c>
      <c r="CI1610" t="s">
        <v>20096</v>
      </c>
      <c r="CJ1610" t="s">
        <v>8594</v>
      </c>
      <c r="CK1610" t="s">
        <v>232</v>
      </c>
      <c r="CL1610" t="s">
        <v>233</v>
      </c>
      <c r="CM1610" t="s">
        <v>20097</v>
      </c>
      <c r="CN1610" t="s">
        <v>235</v>
      </c>
      <c r="CO1610" t="s">
        <v>183</v>
      </c>
      <c r="CP1610" t="s">
        <v>266</v>
      </c>
      <c r="CS1610" t="s">
        <v>198</v>
      </c>
      <c r="CT1610" t="s">
        <v>12232</v>
      </c>
      <c r="CU1610" t="s">
        <v>292</v>
      </c>
      <c r="CV1610" t="s">
        <v>293</v>
      </c>
      <c r="CW1610" t="s">
        <v>20098</v>
      </c>
      <c r="CX1610" t="s">
        <v>235</v>
      </c>
      <c r="CY1610" t="s">
        <v>183</v>
      </c>
      <c r="CZ1610" t="s">
        <v>211</v>
      </c>
      <c r="DA1610" t="s">
        <v>199</v>
      </c>
      <c r="DB1610" t="s">
        <v>271</v>
      </c>
      <c r="DC1610" t="s">
        <v>20099</v>
      </c>
      <c r="DD1610" t="s">
        <v>18222</v>
      </c>
      <c r="DE1610" t="s">
        <v>267</v>
      </c>
      <c r="DF1610" t="s">
        <v>268</v>
      </c>
      <c r="DG1610" t="s">
        <v>20100</v>
      </c>
      <c r="DH1610" t="s">
        <v>331</v>
      </c>
      <c r="DI1610" t="s">
        <v>183</v>
      </c>
      <c r="DJ1610" t="s">
        <v>211</v>
      </c>
      <c r="DK1610" t="s">
        <v>427</v>
      </c>
      <c r="DL1610" t="s">
        <v>271</v>
      </c>
      <c r="DM1610" t="s">
        <v>20099</v>
      </c>
      <c r="DN1610" t="s">
        <v>5393</v>
      </c>
      <c r="DO1610" t="s">
        <v>273</v>
      </c>
      <c r="DP1610" t="s">
        <v>274</v>
      </c>
      <c r="DQ1610" t="s">
        <v>20101</v>
      </c>
      <c r="DR1610" t="s">
        <v>235</v>
      </c>
      <c r="DS1610" t="s">
        <v>183</v>
      </c>
      <c r="DT1610" t="s">
        <v>211</v>
      </c>
      <c r="DV1610" t="s">
        <v>271</v>
      </c>
      <c r="DW1610" t="s">
        <v>198</v>
      </c>
      <c r="DX1610" t="s">
        <v>20102</v>
      </c>
      <c r="DY1610" t="s">
        <v>302</v>
      </c>
      <c r="DZ1610" t="s">
        <v>303</v>
      </c>
      <c r="EA1610" t="s">
        <v>20103</v>
      </c>
      <c r="EB1610" t="s">
        <v>235</v>
      </c>
      <c r="EC1610" t="s">
        <v>183</v>
      </c>
      <c r="ED1610" t="s">
        <v>211</v>
      </c>
      <c r="EE1610" t="s">
        <v>655</v>
      </c>
      <c r="EF1610" t="s">
        <v>271</v>
      </c>
      <c r="EG1610" t="s">
        <v>20099</v>
      </c>
      <c r="EH1610" t="s">
        <v>17044</v>
      </c>
      <c r="EI1610" t="s">
        <v>238</v>
      </c>
      <c r="EJ1610" t="s">
        <v>239</v>
      </c>
      <c r="EK1610" t="s">
        <v>20104</v>
      </c>
      <c r="EL1610" t="s">
        <v>922</v>
      </c>
      <c r="EM1610" t="s">
        <v>183</v>
      </c>
      <c r="EN1610" t="s">
        <v>211</v>
      </c>
      <c r="EO1610" t="s">
        <v>206</v>
      </c>
      <c r="EP1610" t="s">
        <v>271</v>
      </c>
      <c r="EQ1610" t="s">
        <v>1293</v>
      </c>
      <c r="ER1610" t="s">
        <v>20105</v>
      </c>
      <c r="ES1610" t="s">
        <v>346</v>
      </c>
      <c r="ET1610" t="s">
        <v>347</v>
      </c>
      <c r="EU1610" t="s">
        <v>20106</v>
      </c>
      <c r="EV1610" t="s">
        <v>278</v>
      </c>
      <c r="EW1610" t="s">
        <v>183</v>
      </c>
      <c r="EX1610" t="s">
        <v>211</v>
      </c>
      <c r="EY1610" t="s">
        <v>306</v>
      </c>
      <c r="EZ1610" t="s">
        <v>271</v>
      </c>
      <c r="FA1610" t="s">
        <v>1293</v>
      </c>
      <c r="FB1610" t="s">
        <v>20107</v>
      </c>
      <c r="FC1610" t="s">
        <v>207</v>
      </c>
      <c r="FD1610" t="s">
        <v>208</v>
      </c>
      <c r="FE1610" t="s">
        <v>20108</v>
      </c>
      <c r="FF1610" t="s">
        <v>1966</v>
      </c>
      <c r="FG1610" t="s">
        <v>183</v>
      </c>
      <c r="FH1610" t="s">
        <v>211</v>
      </c>
      <c r="FJ1610" t="s">
        <v>271</v>
      </c>
      <c r="FK1610" t="s">
        <v>198</v>
      </c>
      <c r="FU1610" t="s">
        <v>198</v>
      </c>
    </row>
    <row r="1611" spans="1:177">
      <c r="A1611" s="1" t="str">
        <f>HYPERLINK("http://digipan.lumentumllc.com/apps/getLink/index.php?t=PropLink&amp;p=7112537","PL")</f>
        <v>PL</v>
      </c>
      <c r="B1611" s="1" t="str">
        <f>HYPERLINK("http://digipan.lumentumllc.com/apps/getLink/index.php?t=TaxLink&amp;p=7112537","TL")</f>
        <v>TL</v>
      </c>
      <c r="C1611" s="1" t="str">
        <f>HYPERLINK("http://digipan.lumentumllc.com/apps/getMap/index.php?p=7112537","Map")</f>
        <v>Map</v>
      </c>
      <c r="E1611" t="s">
        <v>177</v>
      </c>
      <c r="F1611" t="s">
        <v>178</v>
      </c>
      <c r="L1611" t="s">
        <v>20109</v>
      </c>
      <c r="N1611" t="s">
        <v>20109</v>
      </c>
      <c r="O1611" t="s">
        <v>20109</v>
      </c>
      <c r="P1611" t="s">
        <v>20110</v>
      </c>
      <c r="Q1611" t="s">
        <v>20109</v>
      </c>
      <c r="V1611">
        <v>1845</v>
      </c>
      <c r="W1611">
        <v>6</v>
      </c>
      <c r="X1611">
        <v>2017</v>
      </c>
      <c r="Y1611">
        <v>2018</v>
      </c>
      <c r="Z1611">
        <v>1065.4100000000001</v>
      </c>
      <c r="AG1611" t="s">
        <v>184</v>
      </c>
      <c r="AH1611">
        <v>0</v>
      </c>
      <c r="AK1611">
        <v>0</v>
      </c>
      <c r="AL1611">
        <v>62500</v>
      </c>
      <c r="AM1611">
        <v>62500</v>
      </c>
      <c r="AN1611">
        <v>0</v>
      </c>
      <c r="AO1611">
        <v>969</v>
      </c>
      <c r="AP1611">
        <v>2016</v>
      </c>
      <c r="AQ1611">
        <v>1.7</v>
      </c>
      <c r="AS1611" t="s">
        <v>20111</v>
      </c>
      <c r="AT1611" t="s">
        <v>15040</v>
      </c>
      <c r="AU1611" t="s">
        <v>177</v>
      </c>
      <c r="AV1611" t="s">
        <v>371</v>
      </c>
      <c r="AW1611" t="s">
        <v>182</v>
      </c>
      <c r="AX1611">
        <v>0</v>
      </c>
      <c r="AY1611" t="s">
        <v>312</v>
      </c>
      <c r="AZ1611" t="s">
        <v>199</v>
      </c>
      <c r="BA1611" t="s">
        <v>313</v>
      </c>
      <c r="BB1611" t="s">
        <v>191</v>
      </c>
      <c r="BC1611" t="s">
        <v>182</v>
      </c>
      <c r="BD1611" t="s">
        <v>182</v>
      </c>
      <c r="BE1611" t="s">
        <v>15788</v>
      </c>
      <c r="BF1611">
        <v>0</v>
      </c>
      <c r="BG1611">
        <v>0</v>
      </c>
      <c r="BH1611">
        <v>0</v>
      </c>
      <c r="BI1611" t="s">
        <v>199</v>
      </c>
      <c r="BJ1611" t="s">
        <v>315</v>
      </c>
      <c r="BL1611" t="s">
        <v>20112</v>
      </c>
      <c r="BM1611" t="s">
        <v>286</v>
      </c>
      <c r="BN1611" t="s">
        <v>182</v>
      </c>
      <c r="BO1611" t="s">
        <v>20113</v>
      </c>
      <c r="BP1611" t="s">
        <v>20114</v>
      </c>
      <c r="BQ1611" t="s">
        <v>800</v>
      </c>
      <c r="BR1611" t="s">
        <v>1857</v>
      </c>
      <c r="BS1611" t="s">
        <v>198</v>
      </c>
      <c r="BT1611" t="s">
        <v>228</v>
      </c>
      <c r="BU1611" t="s">
        <v>182</v>
      </c>
      <c r="BV1611" t="s">
        <v>198</v>
      </c>
      <c r="BW1611" t="s">
        <v>198</v>
      </c>
      <c r="BX1611" t="s">
        <v>199</v>
      </c>
      <c r="BY1611" t="s">
        <v>198</v>
      </c>
      <c r="BZ1611" t="s">
        <v>199</v>
      </c>
      <c r="CA1611" t="s">
        <v>199</v>
      </c>
      <c r="CB1611" t="s">
        <v>20115</v>
      </c>
      <c r="CC1611" t="s">
        <v>1407</v>
      </c>
      <c r="CD1611" t="s">
        <v>202</v>
      </c>
      <c r="CE1611" t="s">
        <v>20116</v>
      </c>
      <c r="CF1611" t="s">
        <v>20117</v>
      </c>
      <c r="CG1611" t="s">
        <v>1602</v>
      </c>
      <c r="CH1611" t="s">
        <v>20118</v>
      </c>
      <c r="CI1611" t="s">
        <v>10240</v>
      </c>
      <c r="CS1611" t="s">
        <v>198</v>
      </c>
      <c r="DC1611" t="s">
        <v>198</v>
      </c>
      <c r="DM1611" t="s">
        <v>198</v>
      </c>
      <c r="DW1611" t="s">
        <v>198</v>
      </c>
      <c r="EG1611" t="s">
        <v>198</v>
      </c>
      <c r="EQ1611" t="s">
        <v>198</v>
      </c>
      <c r="FA1611" t="s">
        <v>198</v>
      </c>
      <c r="FK1611" t="s">
        <v>198</v>
      </c>
      <c r="FU1611" t="s">
        <v>198</v>
      </c>
    </row>
    <row r="1612" spans="1:177">
      <c r="A1612" s="1" t="str">
        <f>HYPERLINK("http://digipan.lumentumllc.com/apps/getLink/index.php?t=PropLink&amp;p=5247477","PL")</f>
        <v>PL</v>
      </c>
      <c r="B1612" s="1" t="str">
        <f>HYPERLINK("http://digipan.lumentumllc.com/apps/getLink/index.php?t=TaxLink&amp;p=5247477","TL")</f>
        <v>TL</v>
      </c>
      <c r="C1612" s="1" t="str">
        <f>HYPERLINK("http://digipan.lumentumllc.com/apps/getMap/index.php?p=5247477","Map")</f>
        <v>Map</v>
      </c>
      <c r="E1612" t="s">
        <v>177</v>
      </c>
      <c r="F1612" t="s">
        <v>178</v>
      </c>
      <c r="L1612" t="s">
        <v>20119</v>
      </c>
      <c r="N1612" t="s">
        <v>20119</v>
      </c>
      <c r="O1612" t="s">
        <v>20119</v>
      </c>
      <c r="P1612" t="s">
        <v>20120</v>
      </c>
      <c r="Q1612" t="s">
        <v>20119</v>
      </c>
      <c r="V1612">
        <v>1846</v>
      </c>
      <c r="W1612">
        <v>6</v>
      </c>
      <c r="X1612">
        <v>2017</v>
      </c>
      <c r="Y1612">
        <v>2018</v>
      </c>
      <c r="Z1612">
        <v>1266.0899999999999</v>
      </c>
      <c r="AB1612" t="s">
        <v>181</v>
      </c>
      <c r="AC1612" t="s">
        <v>182</v>
      </c>
      <c r="AD1612" t="s">
        <v>183</v>
      </c>
      <c r="AE1612">
        <v>0</v>
      </c>
      <c r="AF1612">
        <v>3</v>
      </c>
      <c r="AG1612" t="s">
        <v>381</v>
      </c>
      <c r="AH1612">
        <v>100</v>
      </c>
      <c r="AK1612">
        <v>0</v>
      </c>
      <c r="AL1612">
        <v>100000</v>
      </c>
      <c r="AM1612">
        <v>100000</v>
      </c>
      <c r="AN1612">
        <v>0</v>
      </c>
      <c r="AO1612">
        <v>1551</v>
      </c>
      <c r="AP1612">
        <v>2016</v>
      </c>
      <c r="AQ1612">
        <v>1.27</v>
      </c>
      <c r="AS1612" t="s">
        <v>20121</v>
      </c>
      <c r="AT1612" t="s">
        <v>15040</v>
      </c>
      <c r="AU1612" t="s">
        <v>177</v>
      </c>
      <c r="AV1612" t="s">
        <v>371</v>
      </c>
      <c r="AW1612" t="s">
        <v>182</v>
      </c>
      <c r="AX1612">
        <v>0</v>
      </c>
      <c r="AY1612" t="s">
        <v>312</v>
      </c>
      <c r="AZ1612" t="s">
        <v>199</v>
      </c>
      <c r="BA1612" t="s">
        <v>313</v>
      </c>
      <c r="BB1612" t="s">
        <v>191</v>
      </c>
      <c r="BC1612" t="s">
        <v>182</v>
      </c>
      <c r="BD1612" t="s">
        <v>182</v>
      </c>
      <c r="BE1612" t="s">
        <v>7118</v>
      </c>
      <c r="BF1612">
        <v>0</v>
      </c>
      <c r="BG1612">
        <v>0</v>
      </c>
      <c r="BH1612">
        <v>0</v>
      </c>
      <c r="BI1612" t="s">
        <v>199</v>
      </c>
      <c r="BJ1612" t="s">
        <v>248</v>
      </c>
      <c r="BL1612" t="s">
        <v>4009</v>
      </c>
      <c r="BM1612" t="s">
        <v>981</v>
      </c>
      <c r="BN1612" t="s">
        <v>182</v>
      </c>
      <c r="BO1612" t="s">
        <v>10245</v>
      </c>
      <c r="BP1612" t="s">
        <v>12362</v>
      </c>
      <c r="BQ1612" t="s">
        <v>800</v>
      </c>
      <c r="BS1612" t="s">
        <v>198</v>
      </c>
      <c r="BT1612" t="s">
        <v>20122</v>
      </c>
      <c r="BU1612" t="s">
        <v>182</v>
      </c>
      <c r="BV1612" t="s">
        <v>198</v>
      </c>
      <c r="BW1612" t="s">
        <v>198</v>
      </c>
      <c r="BX1612" t="s">
        <v>199</v>
      </c>
      <c r="BY1612" t="s">
        <v>198</v>
      </c>
      <c r="BZ1612" t="s">
        <v>199</v>
      </c>
      <c r="CA1612" t="s">
        <v>199</v>
      </c>
      <c r="CB1612" t="s">
        <v>20123</v>
      </c>
      <c r="CC1612" t="s">
        <v>201</v>
      </c>
      <c r="CD1612" t="s">
        <v>182</v>
      </c>
      <c r="CE1612" t="s">
        <v>20124</v>
      </c>
      <c r="CF1612" t="s">
        <v>5331</v>
      </c>
      <c r="CG1612" t="s">
        <v>177</v>
      </c>
      <c r="CH1612" t="s">
        <v>371</v>
      </c>
      <c r="CI1612" t="s">
        <v>15533</v>
      </c>
      <c r="CJ1612" t="s">
        <v>20125</v>
      </c>
      <c r="CK1612" t="s">
        <v>302</v>
      </c>
      <c r="CL1612" t="s">
        <v>303</v>
      </c>
      <c r="CM1612" t="s">
        <v>20126</v>
      </c>
      <c r="CN1612" t="s">
        <v>235</v>
      </c>
      <c r="CO1612" t="s">
        <v>183</v>
      </c>
      <c r="CP1612" t="s">
        <v>211</v>
      </c>
      <c r="CQ1612" t="s">
        <v>339</v>
      </c>
      <c r="CS1612" t="s">
        <v>9621</v>
      </c>
      <c r="CT1612" t="s">
        <v>20127</v>
      </c>
      <c r="CU1612" t="s">
        <v>238</v>
      </c>
      <c r="CV1612" t="s">
        <v>239</v>
      </c>
      <c r="CW1612" t="s">
        <v>20128</v>
      </c>
      <c r="CX1612" t="s">
        <v>247</v>
      </c>
      <c r="CY1612" t="s">
        <v>183</v>
      </c>
      <c r="CZ1612" t="s">
        <v>211</v>
      </c>
      <c r="DA1612" t="s">
        <v>290</v>
      </c>
      <c r="DC1612" t="s">
        <v>20129</v>
      </c>
      <c r="DD1612" t="s">
        <v>16622</v>
      </c>
      <c r="DE1612" t="s">
        <v>346</v>
      </c>
      <c r="DF1612" t="s">
        <v>347</v>
      </c>
      <c r="DG1612" t="s">
        <v>20130</v>
      </c>
      <c r="DH1612" t="s">
        <v>440</v>
      </c>
      <c r="DI1612" t="s">
        <v>183</v>
      </c>
      <c r="DJ1612" t="s">
        <v>211</v>
      </c>
      <c r="DK1612" t="s">
        <v>339</v>
      </c>
      <c r="DM1612" t="s">
        <v>12373</v>
      </c>
      <c r="DW1612" t="s">
        <v>198</v>
      </c>
      <c r="EG1612" t="s">
        <v>198</v>
      </c>
      <c r="EQ1612" t="s">
        <v>198</v>
      </c>
      <c r="FA1612" t="s">
        <v>198</v>
      </c>
      <c r="FK1612" t="s">
        <v>198</v>
      </c>
      <c r="FU1612" t="s">
        <v>198</v>
      </c>
    </row>
    <row r="1613" spans="1:177">
      <c r="A1613" s="1" t="str">
        <f>HYPERLINK("http://digipan.lumentumllc.com/apps/getLink/index.php?t=PropLink&amp;p=15755961","PL")</f>
        <v>PL</v>
      </c>
      <c r="B1613" s="1" t="str">
        <f>HYPERLINK("http://digipan.lumentumllc.com/apps/getLink/index.php?t=TaxLink&amp;p=15755961","TL")</f>
        <v>TL</v>
      </c>
      <c r="C1613" s="1" t="str">
        <f>HYPERLINK("http://digipan.lumentumllc.com/apps/getMap/index.php?p=15755961","Map")</f>
        <v>Map</v>
      </c>
      <c r="E1613" t="s">
        <v>177</v>
      </c>
      <c r="F1613" t="s">
        <v>178</v>
      </c>
      <c r="L1613" t="s">
        <v>20131</v>
      </c>
      <c r="N1613" t="s">
        <v>20131</v>
      </c>
      <c r="O1613" t="s">
        <v>20131</v>
      </c>
      <c r="Q1613" t="s">
        <v>20131</v>
      </c>
      <c r="V1613">
        <v>1847</v>
      </c>
      <c r="W1613">
        <v>6</v>
      </c>
      <c r="X1613">
        <v>2017</v>
      </c>
      <c r="Y1613">
        <v>2018</v>
      </c>
      <c r="Z1613">
        <v>2238.81</v>
      </c>
      <c r="AG1613" t="s">
        <v>184</v>
      </c>
      <c r="AH1613">
        <v>0</v>
      </c>
      <c r="AK1613">
        <v>0</v>
      </c>
      <c r="AL1613">
        <v>217167</v>
      </c>
      <c r="AM1613">
        <v>52500</v>
      </c>
      <c r="AN1613">
        <v>164667</v>
      </c>
      <c r="AO1613">
        <v>2027</v>
      </c>
      <c r="AP1613">
        <v>2016</v>
      </c>
      <c r="AQ1613">
        <v>1.03</v>
      </c>
      <c r="AS1613" t="s">
        <v>20132</v>
      </c>
      <c r="AT1613" t="s">
        <v>15040</v>
      </c>
      <c r="AU1613" t="s">
        <v>177</v>
      </c>
      <c r="AV1613" t="s">
        <v>371</v>
      </c>
      <c r="AW1613" t="s">
        <v>202</v>
      </c>
      <c r="AX1613">
        <v>1</v>
      </c>
      <c r="AY1613" t="s">
        <v>188</v>
      </c>
      <c r="AZ1613" t="s">
        <v>206</v>
      </c>
      <c r="BA1613" t="s">
        <v>355</v>
      </c>
      <c r="BB1613" t="s">
        <v>191</v>
      </c>
      <c r="BC1613" t="s">
        <v>182</v>
      </c>
      <c r="BD1613" t="s">
        <v>182</v>
      </c>
      <c r="BE1613" t="s">
        <v>10485</v>
      </c>
      <c r="BF1613">
        <v>1</v>
      </c>
      <c r="BG1613">
        <v>1</v>
      </c>
      <c r="BH1613">
        <v>1989</v>
      </c>
      <c r="BI1613" t="s">
        <v>20133</v>
      </c>
      <c r="BJ1613" t="s">
        <v>194</v>
      </c>
      <c r="BK1613" t="s">
        <v>195</v>
      </c>
      <c r="BL1613" t="s">
        <v>199</v>
      </c>
      <c r="BM1613" t="s">
        <v>346</v>
      </c>
      <c r="BN1613" t="s">
        <v>182</v>
      </c>
      <c r="BO1613" t="s">
        <v>198</v>
      </c>
      <c r="BP1613" t="s">
        <v>198</v>
      </c>
      <c r="BQ1613" t="s">
        <v>198</v>
      </c>
      <c r="BR1613" t="s">
        <v>198</v>
      </c>
      <c r="BS1613" t="s">
        <v>198</v>
      </c>
      <c r="BT1613" t="s">
        <v>198</v>
      </c>
      <c r="BU1613" t="s">
        <v>182</v>
      </c>
      <c r="BV1613" t="s">
        <v>198</v>
      </c>
      <c r="BW1613" t="s">
        <v>198</v>
      </c>
      <c r="BX1613" t="s">
        <v>199</v>
      </c>
      <c r="BY1613" t="s">
        <v>198</v>
      </c>
      <c r="BZ1613" t="s">
        <v>199</v>
      </c>
      <c r="CA1613" t="s">
        <v>199</v>
      </c>
      <c r="CB1613" t="s">
        <v>20134</v>
      </c>
      <c r="CC1613" t="s">
        <v>201</v>
      </c>
      <c r="CD1613" t="s">
        <v>182</v>
      </c>
      <c r="CE1613" t="s">
        <v>20135</v>
      </c>
      <c r="CF1613" t="s">
        <v>5331</v>
      </c>
      <c r="CG1613" t="s">
        <v>177</v>
      </c>
      <c r="CH1613" t="s">
        <v>371</v>
      </c>
      <c r="CI1613" t="s">
        <v>20136</v>
      </c>
      <c r="CS1613" t="s">
        <v>198</v>
      </c>
      <c r="DC1613" t="s">
        <v>198</v>
      </c>
      <c r="DM1613" t="s">
        <v>198</v>
      </c>
      <c r="DW1613" t="s">
        <v>198</v>
      </c>
      <c r="EG1613" t="s">
        <v>198</v>
      </c>
      <c r="EQ1613" t="s">
        <v>198</v>
      </c>
      <c r="FA1613" t="s">
        <v>198</v>
      </c>
      <c r="FK1613" t="s">
        <v>198</v>
      </c>
      <c r="FU1613" t="s">
        <v>198</v>
      </c>
    </row>
    <row r="1614" spans="1:177">
      <c r="A1614" s="1" t="str">
        <f>HYPERLINK("http://digipan.lumentumllc.com/apps/getLink/index.php?t=PropLink&amp;p=5247478","PL")</f>
        <v>PL</v>
      </c>
      <c r="B1614" s="1" t="str">
        <f>HYPERLINK("http://digipan.lumentumllc.com/apps/getLink/index.php?t=TaxLink&amp;p=5247478","TL")</f>
        <v>TL</v>
      </c>
      <c r="C1614" s="1" t="str">
        <f>HYPERLINK("http://digipan.lumentumllc.com/apps/getMap/index.php?p=5247478","Map")</f>
        <v>Map</v>
      </c>
      <c r="E1614" t="s">
        <v>177</v>
      </c>
      <c r="F1614" t="s">
        <v>178</v>
      </c>
      <c r="L1614" t="s">
        <v>20137</v>
      </c>
      <c r="N1614" t="s">
        <v>20137</v>
      </c>
      <c r="O1614" t="s">
        <v>20137</v>
      </c>
      <c r="P1614" t="s">
        <v>20138</v>
      </c>
      <c r="Q1614" t="s">
        <v>20137</v>
      </c>
      <c r="V1614">
        <v>1848</v>
      </c>
      <c r="W1614">
        <v>6</v>
      </c>
      <c r="X1614">
        <v>2017</v>
      </c>
      <c r="Y1614">
        <v>2018</v>
      </c>
      <c r="Z1614">
        <v>2611.66</v>
      </c>
      <c r="AB1614" t="s">
        <v>181</v>
      </c>
      <c r="AC1614" t="s">
        <v>182</v>
      </c>
      <c r="AD1614" t="s">
        <v>183</v>
      </c>
      <c r="AE1614">
        <v>1</v>
      </c>
      <c r="AF1614">
        <v>7</v>
      </c>
      <c r="AG1614" t="s">
        <v>418</v>
      </c>
      <c r="AH1614">
        <v>86</v>
      </c>
      <c r="AI1614">
        <v>2579.36</v>
      </c>
      <c r="AJ1614">
        <v>128.97</v>
      </c>
      <c r="AK1614">
        <v>2708.33</v>
      </c>
      <c r="AL1614">
        <v>245508</v>
      </c>
      <c r="AM1614">
        <v>50000</v>
      </c>
      <c r="AN1614">
        <v>195508</v>
      </c>
      <c r="AO1614">
        <v>2360</v>
      </c>
      <c r="AP1614">
        <v>2016</v>
      </c>
      <c r="AQ1614">
        <v>1.06</v>
      </c>
      <c r="AR1614">
        <v>1.1000000000000001</v>
      </c>
      <c r="AS1614" t="s">
        <v>20139</v>
      </c>
      <c r="AT1614" t="s">
        <v>15040</v>
      </c>
      <c r="AU1614" t="s">
        <v>177</v>
      </c>
      <c r="AV1614" t="s">
        <v>371</v>
      </c>
      <c r="AW1614" t="s">
        <v>202</v>
      </c>
      <c r="AX1614">
        <v>1</v>
      </c>
      <c r="AY1614" t="s">
        <v>188</v>
      </c>
      <c r="AZ1614" t="s">
        <v>206</v>
      </c>
      <c r="BA1614" t="s">
        <v>355</v>
      </c>
      <c r="BB1614" t="s">
        <v>191</v>
      </c>
      <c r="BC1614" t="s">
        <v>182</v>
      </c>
      <c r="BD1614" t="s">
        <v>182</v>
      </c>
      <c r="BE1614" t="s">
        <v>15660</v>
      </c>
      <c r="BF1614">
        <v>1</v>
      </c>
      <c r="BG1614">
        <v>1</v>
      </c>
      <c r="BH1614">
        <v>1989</v>
      </c>
      <c r="BI1614" t="s">
        <v>18349</v>
      </c>
      <c r="BJ1614" t="s">
        <v>194</v>
      </c>
      <c r="BK1614" t="s">
        <v>195</v>
      </c>
      <c r="BL1614" t="s">
        <v>199</v>
      </c>
      <c r="BM1614" t="s">
        <v>346</v>
      </c>
      <c r="BN1614" t="s">
        <v>182</v>
      </c>
      <c r="BO1614" t="s">
        <v>20140</v>
      </c>
      <c r="BP1614" t="s">
        <v>12362</v>
      </c>
      <c r="BS1614" t="s">
        <v>20141</v>
      </c>
      <c r="BT1614" t="s">
        <v>198</v>
      </c>
      <c r="BU1614" t="s">
        <v>182</v>
      </c>
      <c r="BV1614" t="s">
        <v>198</v>
      </c>
      <c r="BW1614" t="s">
        <v>198</v>
      </c>
      <c r="BX1614" t="s">
        <v>199</v>
      </c>
      <c r="BY1614" t="s">
        <v>198</v>
      </c>
      <c r="BZ1614" t="s">
        <v>199</v>
      </c>
      <c r="CA1614" t="s">
        <v>199</v>
      </c>
      <c r="CB1614" t="s">
        <v>20142</v>
      </c>
      <c r="CC1614" t="s">
        <v>201</v>
      </c>
      <c r="CD1614" t="s">
        <v>182</v>
      </c>
      <c r="CE1614" t="s">
        <v>20143</v>
      </c>
      <c r="CF1614" t="s">
        <v>5331</v>
      </c>
      <c r="CG1614" t="s">
        <v>177</v>
      </c>
      <c r="CH1614" t="s">
        <v>371</v>
      </c>
      <c r="CI1614" t="s">
        <v>20144</v>
      </c>
      <c r="CJ1614" t="s">
        <v>18622</v>
      </c>
      <c r="CK1614" t="s">
        <v>232</v>
      </c>
      <c r="CL1614" t="s">
        <v>233</v>
      </c>
      <c r="CM1614" t="s">
        <v>20145</v>
      </c>
      <c r="CN1614" t="s">
        <v>235</v>
      </c>
      <c r="CO1614" t="s">
        <v>183</v>
      </c>
      <c r="CP1614" t="s">
        <v>266</v>
      </c>
      <c r="CS1614" t="s">
        <v>198</v>
      </c>
      <c r="CT1614" t="s">
        <v>18767</v>
      </c>
      <c r="CU1614" t="s">
        <v>292</v>
      </c>
      <c r="CV1614" t="s">
        <v>293</v>
      </c>
      <c r="CW1614" t="s">
        <v>20146</v>
      </c>
      <c r="CX1614" t="s">
        <v>235</v>
      </c>
      <c r="CY1614" t="s">
        <v>183</v>
      </c>
      <c r="CZ1614" t="s">
        <v>211</v>
      </c>
      <c r="DA1614" t="s">
        <v>523</v>
      </c>
      <c r="DC1614" t="s">
        <v>4868</v>
      </c>
      <c r="DD1614" t="s">
        <v>18248</v>
      </c>
      <c r="DE1614" t="s">
        <v>267</v>
      </c>
      <c r="DF1614" t="s">
        <v>268</v>
      </c>
      <c r="DG1614" t="s">
        <v>20147</v>
      </c>
      <c r="DH1614" t="s">
        <v>235</v>
      </c>
      <c r="DI1614" t="s">
        <v>183</v>
      </c>
      <c r="DJ1614" t="s">
        <v>211</v>
      </c>
      <c r="DK1614" t="s">
        <v>298</v>
      </c>
      <c r="DM1614" t="s">
        <v>2670</v>
      </c>
      <c r="DN1614" t="s">
        <v>18962</v>
      </c>
      <c r="DO1614" t="s">
        <v>273</v>
      </c>
      <c r="DP1614" t="s">
        <v>274</v>
      </c>
      <c r="DQ1614" t="s">
        <v>20148</v>
      </c>
      <c r="DR1614" t="s">
        <v>235</v>
      </c>
      <c r="DS1614" t="s">
        <v>183</v>
      </c>
      <c r="DT1614" t="s">
        <v>211</v>
      </c>
      <c r="DU1614" t="s">
        <v>345</v>
      </c>
      <c r="DW1614" t="s">
        <v>9539</v>
      </c>
      <c r="DX1614" t="s">
        <v>11999</v>
      </c>
      <c r="DY1614" t="s">
        <v>302</v>
      </c>
      <c r="DZ1614" t="s">
        <v>303</v>
      </c>
      <c r="EA1614" t="s">
        <v>20149</v>
      </c>
      <c r="EB1614" t="s">
        <v>235</v>
      </c>
      <c r="EC1614" t="s">
        <v>183</v>
      </c>
      <c r="ED1614" t="s">
        <v>211</v>
      </c>
      <c r="EE1614" t="s">
        <v>345</v>
      </c>
      <c r="EG1614" t="s">
        <v>2432</v>
      </c>
      <c r="EH1614" t="s">
        <v>5404</v>
      </c>
      <c r="EI1614" t="s">
        <v>238</v>
      </c>
      <c r="EJ1614" t="s">
        <v>239</v>
      </c>
      <c r="EK1614" t="s">
        <v>20150</v>
      </c>
      <c r="EL1614" t="s">
        <v>235</v>
      </c>
      <c r="EM1614" t="s">
        <v>183</v>
      </c>
      <c r="EN1614" t="s">
        <v>211</v>
      </c>
      <c r="EO1614" t="s">
        <v>345</v>
      </c>
      <c r="EQ1614" t="s">
        <v>6842</v>
      </c>
      <c r="ER1614" t="s">
        <v>20151</v>
      </c>
      <c r="ES1614" t="s">
        <v>346</v>
      </c>
      <c r="ET1614" t="s">
        <v>347</v>
      </c>
      <c r="EU1614" t="s">
        <v>20152</v>
      </c>
      <c r="EV1614" t="s">
        <v>235</v>
      </c>
      <c r="EW1614" t="s">
        <v>183</v>
      </c>
      <c r="EX1614" t="s">
        <v>211</v>
      </c>
      <c r="EY1614" t="s">
        <v>345</v>
      </c>
      <c r="FA1614" t="s">
        <v>2496</v>
      </c>
      <c r="FB1614" t="s">
        <v>20153</v>
      </c>
      <c r="FC1614" t="s">
        <v>207</v>
      </c>
      <c r="FD1614" t="s">
        <v>208</v>
      </c>
      <c r="FE1614" t="s">
        <v>20154</v>
      </c>
      <c r="FF1614" t="s">
        <v>235</v>
      </c>
      <c r="FG1614" t="s">
        <v>183</v>
      </c>
      <c r="FH1614" t="s">
        <v>211</v>
      </c>
      <c r="FI1614" t="s">
        <v>345</v>
      </c>
      <c r="FK1614" t="s">
        <v>20155</v>
      </c>
      <c r="FU1614" t="s">
        <v>198</v>
      </c>
    </row>
    <row r="1615" spans="1:177">
      <c r="A1615" s="1" t="str">
        <f>HYPERLINK("http://digipan.lumentumllc.com/apps/getLink/index.php?t=PropLink&amp;p=6129295","PL")</f>
        <v>PL</v>
      </c>
      <c r="B1615" s="1" t="str">
        <f>HYPERLINK("http://digipan.lumentumllc.com/apps/getLink/index.php?t=TaxLink&amp;p=6129295","TL")</f>
        <v>TL</v>
      </c>
      <c r="C1615" s="1" t="str">
        <f>HYPERLINK("http://digipan.lumentumllc.com/apps/getMap/index.php?p=6129295","Map")</f>
        <v>Map</v>
      </c>
      <c r="E1615" t="s">
        <v>177</v>
      </c>
      <c r="F1615" t="s">
        <v>178</v>
      </c>
      <c r="L1615" t="s">
        <v>20156</v>
      </c>
      <c r="N1615" t="s">
        <v>20156</v>
      </c>
      <c r="O1615" t="s">
        <v>20156</v>
      </c>
      <c r="P1615" t="s">
        <v>20157</v>
      </c>
      <c r="Q1615" t="s">
        <v>20156</v>
      </c>
      <c r="V1615">
        <v>1849</v>
      </c>
      <c r="W1615">
        <v>6</v>
      </c>
      <c r="X1615">
        <v>2017</v>
      </c>
      <c r="Y1615">
        <v>2018</v>
      </c>
      <c r="Z1615">
        <v>2196.41</v>
      </c>
      <c r="AB1615" t="s">
        <v>181</v>
      </c>
      <c r="AC1615" t="s">
        <v>182</v>
      </c>
      <c r="AD1615" t="s">
        <v>183</v>
      </c>
      <c r="AE1615">
        <v>0</v>
      </c>
      <c r="AF1615">
        <v>6</v>
      </c>
      <c r="AG1615" t="s">
        <v>3266</v>
      </c>
      <c r="AH1615">
        <v>100</v>
      </c>
      <c r="AK1615">
        <v>0</v>
      </c>
      <c r="AL1615">
        <v>130904</v>
      </c>
      <c r="AM1615">
        <v>50000</v>
      </c>
      <c r="AN1615">
        <v>80904</v>
      </c>
      <c r="AO1615">
        <v>1996</v>
      </c>
      <c r="AP1615">
        <v>2016</v>
      </c>
      <c r="AQ1615">
        <v>1.68</v>
      </c>
      <c r="AS1615" t="s">
        <v>20158</v>
      </c>
      <c r="AT1615" t="s">
        <v>15040</v>
      </c>
      <c r="AU1615" t="s">
        <v>177</v>
      </c>
      <c r="AV1615" t="s">
        <v>371</v>
      </c>
      <c r="AW1615" t="s">
        <v>182</v>
      </c>
      <c r="AX1615">
        <v>1</v>
      </c>
      <c r="AY1615" t="s">
        <v>188</v>
      </c>
      <c r="AZ1615" t="s">
        <v>206</v>
      </c>
      <c r="BA1615" t="s">
        <v>355</v>
      </c>
      <c r="BB1615" t="s">
        <v>191</v>
      </c>
      <c r="BC1615" t="s">
        <v>182</v>
      </c>
      <c r="BD1615" t="s">
        <v>182</v>
      </c>
      <c r="BE1615" t="s">
        <v>10639</v>
      </c>
      <c r="BF1615">
        <v>1</v>
      </c>
      <c r="BG1615">
        <v>1</v>
      </c>
      <c r="BH1615">
        <v>1998</v>
      </c>
      <c r="BI1615" t="s">
        <v>13485</v>
      </c>
      <c r="BJ1615" t="s">
        <v>396</v>
      </c>
      <c r="BK1615" t="s">
        <v>195</v>
      </c>
      <c r="BL1615" t="s">
        <v>20159</v>
      </c>
      <c r="BM1615" t="s">
        <v>410</v>
      </c>
      <c r="BN1615" t="s">
        <v>182</v>
      </c>
      <c r="BO1615" t="s">
        <v>20160</v>
      </c>
      <c r="BP1615" t="s">
        <v>4747</v>
      </c>
      <c r="BS1615" t="s">
        <v>20161</v>
      </c>
      <c r="BT1615" t="s">
        <v>198</v>
      </c>
      <c r="BU1615" t="s">
        <v>182</v>
      </c>
      <c r="BV1615" t="s">
        <v>198</v>
      </c>
      <c r="BW1615" t="s">
        <v>198</v>
      </c>
      <c r="BX1615" t="s">
        <v>199</v>
      </c>
      <c r="BY1615" t="s">
        <v>198</v>
      </c>
      <c r="BZ1615" t="s">
        <v>199</v>
      </c>
      <c r="CA1615" t="s">
        <v>199</v>
      </c>
      <c r="CB1615" t="s">
        <v>20162</v>
      </c>
      <c r="CC1615" t="s">
        <v>201</v>
      </c>
      <c r="CD1615" t="s">
        <v>202</v>
      </c>
      <c r="CE1615" t="s">
        <v>20163</v>
      </c>
      <c r="CF1615" t="s">
        <v>5331</v>
      </c>
      <c r="CG1615" t="s">
        <v>177</v>
      </c>
      <c r="CH1615" t="s">
        <v>371</v>
      </c>
      <c r="CI1615" t="s">
        <v>20164</v>
      </c>
      <c r="CJ1615" t="s">
        <v>11109</v>
      </c>
      <c r="CK1615" t="s">
        <v>232</v>
      </c>
      <c r="CL1615" t="s">
        <v>233</v>
      </c>
      <c r="CM1615" t="s">
        <v>20165</v>
      </c>
      <c r="CN1615" t="s">
        <v>235</v>
      </c>
      <c r="CO1615" t="s">
        <v>183</v>
      </c>
      <c r="CP1615" t="s">
        <v>211</v>
      </c>
      <c r="CQ1615" t="s">
        <v>264</v>
      </c>
      <c r="CS1615" t="s">
        <v>11065</v>
      </c>
      <c r="CT1615" t="s">
        <v>17651</v>
      </c>
      <c r="CU1615" t="s">
        <v>292</v>
      </c>
      <c r="CV1615" t="s">
        <v>293</v>
      </c>
      <c r="CW1615" t="s">
        <v>20166</v>
      </c>
      <c r="CX1615" t="s">
        <v>235</v>
      </c>
      <c r="CY1615" t="s">
        <v>183</v>
      </c>
      <c r="CZ1615" t="s">
        <v>211</v>
      </c>
      <c r="DA1615" t="s">
        <v>487</v>
      </c>
      <c r="DC1615" t="s">
        <v>20167</v>
      </c>
      <c r="DD1615" t="s">
        <v>18269</v>
      </c>
      <c r="DE1615" t="s">
        <v>267</v>
      </c>
      <c r="DF1615" t="s">
        <v>268</v>
      </c>
      <c r="DG1615" t="s">
        <v>20168</v>
      </c>
      <c r="DH1615" t="s">
        <v>235</v>
      </c>
      <c r="DI1615" t="s">
        <v>183</v>
      </c>
      <c r="DJ1615" t="s">
        <v>211</v>
      </c>
      <c r="DK1615" t="s">
        <v>212</v>
      </c>
      <c r="DM1615" t="s">
        <v>15627</v>
      </c>
      <c r="DN1615" t="s">
        <v>12047</v>
      </c>
      <c r="DO1615" t="s">
        <v>302</v>
      </c>
      <c r="DP1615" t="s">
        <v>303</v>
      </c>
      <c r="DQ1615" t="s">
        <v>20169</v>
      </c>
      <c r="DR1615" t="s">
        <v>235</v>
      </c>
      <c r="DS1615" t="s">
        <v>183</v>
      </c>
      <c r="DT1615" t="s">
        <v>211</v>
      </c>
      <c r="DU1615" t="s">
        <v>296</v>
      </c>
      <c r="DW1615" t="s">
        <v>20170</v>
      </c>
      <c r="DX1615" t="s">
        <v>17105</v>
      </c>
      <c r="DY1615" t="s">
        <v>238</v>
      </c>
      <c r="DZ1615" t="s">
        <v>239</v>
      </c>
      <c r="EA1615" t="s">
        <v>20171</v>
      </c>
      <c r="EB1615" t="s">
        <v>235</v>
      </c>
      <c r="EC1615" t="s">
        <v>183</v>
      </c>
      <c r="ED1615" t="s">
        <v>211</v>
      </c>
      <c r="EE1615" t="s">
        <v>460</v>
      </c>
      <c r="EG1615" t="s">
        <v>11992</v>
      </c>
      <c r="EH1615" t="s">
        <v>20172</v>
      </c>
      <c r="EI1615" t="s">
        <v>207</v>
      </c>
      <c r="EJ1615" t="s">
        <v>208</v>
      </c>
      <c r="EK1615" t="s">
        <v>20173</v>
      </c>
      <c r="EL1615" t="s">
        <v>235</v>
      </c>
      <c r="EM1615" t="s">
        <v>183</v>
      </c>
      <c r="EN1615" t="s">
        <v>211</v>
      </c>
      <c r="EO1615" t="s">
        <v>199</v>
      </c>
      <c r="EQ1615" t="s">
        <v>7782</v>
      </c>
      <c r="FA1615" t="s">
        <v>198</v>
      </c>
      <c r="FK1615" t="s">
        <v>198</v>
      </c>
      <c r="FU1615" t="s">
        <v>198</v>
      </c>
    </row>
    <row r="1616" spans="1:177">
      <c r="A1616" s="1" t="str">
        <f>HYPERLINK("http://digipan.lumentumllc.com/apps/getLink/index.php?t=PropLink&amp;p=5247479","PL")</f>
        <v>PL</v>
      </c>
      <c r="B1616" s="1" t="str">
        <f>HYPERLINK("http://digipan.lumentumllc.com/apps/getLink/index.php?t=TaxLink&amp;p=5247479","TL")</f>
        <v>TL</v>
      </c>
      <c r="C1616" s="1" t="str">
        <f>HYPERLINK("http://digipan.lumentumllc.com/apps/getMap/index.php?p=5247479","Map")</f>
        <v>Map</v>
      </c>
      <c r="E1616" t="s">
        <v>177</v>
      </c>
      <c r="F1616" t="s">
        <v>178</v>
      </c>
      <c r="L1616" t="s">
        <v>20174</v>
      </c>
      <c r="N1616" t="s">
        <v>20174</v>
      </c>
      <c r="O1616" t="s">
        <v>20174</v>
      </c>
      <c r="P1616" t="s">
        <v>20175</v>
      </c>
      <c r="Q1616" t="s">
        <v>20174</v>
      </c>
      <c r="V1616">
        <v>1850</v>
      </c>
      <c r="W1616">
        <v>6</v>
      </c>
      <c r="X1616">
        <v>2017</v>
      </c>
      <c r="Y1616">
        <v>2018</v>
      </c>
      <c r="Z1616">
        <v>1354.74</v>
      </c>
      <c r="AB1616" t="s">
        <v>181</v>
      </c>
      <c r="AC1616" t="s">
        <v>182</v>
      </c>
      <c r="AD1616" t="s">
        <v>183</v>
      </c>
      <c r="AE1616">
        <v>1</v>
      </c>
      <c r="AF1616">
        <v>7</v>
      </c>
      <c r="AG1616" t="s">
        <v>418</v>
      </c>
      <c r="AH1616">
        <v>86</v>
      </c>
      <c r="AI1616">
        <v>1368.89</v>
      </c>
      <c r="AJ1616">
        <v>68.44</v>
      </c>
      <c r="AK1616">
        <v>1437.33</v>
      </c>
      <c r="AL1616">
        <v>80000</v>
      </c>
      <c r="AM1616">
        <v>80000</v>
      </c>
      <c r="AN1616">
        <v>0</v>
      </c>
      <c r="AO1616">
        <v>1241</v>
      </c>
      <c r="AP1616">
        <v>2016</v>
      </c>
      <c r="AQ1616">
        <v>1.69</v>
      </c>
      <c r="AR1616">
        <v>1.8</v>
      </c>
      <c r="AS1616" t="s">
        <v>20176</v>
      </c>
      <c r="AT1616" t="s">
        <v>15040</v>
      </c>
      <c r="AU1616" t="s">
        <v>177</v>
      </c>
      <c r="AV1616" t="s">
        <v>371</v>
      </c>
      <c r="AW1616" t="s">
        <v>182</v>
      </c>
      <c r="AX1616">
        <v>0</v>
      </c>
      <c r="AY1616" t="s">
        <v>312</v>
      </c>
      <c r="AZ1616" t="s">
        <v>199</v>
      </c>
      <c r="BA1616" t="s">
        <v>313</v>
      </c>
      <c r="BB1616" t="s">
        <v>191</v>
      </c>
      <c r="BC1616" t="s">
        <v>182</v>
      </c>
      <c r="BD1616" t="s">
        <v>182</v>
      </c>
      <c r="BE1616" t="s">
        <v>498</v>
      </c>
      <c r="BF1616">
        <v>0</v>
      </c>
      <c r="BG1616">
        <v>0</v>
      </c>
      <c r="BH1616">
        <v>0</v>
      </c>
      <c r="BI1616" t="s">
        <v>199</v>
      </c>
      <c r="BJ1616" t="s">
        <v>315</v>
      </c>
      <c r="BL1616" t="s">
        <v>20177</v>
      </c>
      <c r="BM1616" t="s">
        <v>533</v>
      </c>
      <c r="BN1616" t="s">
        <v>182</v>
      </c>
      <c r="BO1616" t="s">
        <v>198</v>
      </c>
      <c r="BP1616" t="s">
        <v>198</v>
      </c>
      <c r="BQ1616" t="s">
        <v>198</v>
      </c>
      <c r="BR1616" t="s">
        <v>198</v>
      </c>
      <c r="BS1616" t="s">
        <v>198</v>
      </c>
      <c r="BT1616" t="s">
        <v>198</v>
      </c>
      <c r="BU1616" t="s">
        <v>182</v>
      </c>
      <c r="BV1616" t="s">
        <v>198</v>
      </c>
      <c r="BW1616" t="s">
        <v>198</v>
      </c>
      <c r="BX1616" t="s">
        <v>199</v>
      </c>
      <c r="BY1616" t="s">
        <v>198</v>
      </c>
      <c r="BZ1616" t="s">
        <v>199</v>
      </c>
      <c r="CA1616" t="s">
        <v>199</v>
      </c>
      <c r="CB1616" t="s">
        <v>20178</v>
      </c>
      <c r="CC1616" t="s">
        <v>201</v>
      </c>
      <c r="CD1616" t="s">
        <v>182</v>
      </c>
      <c r="CE1616" t="s">
        <v>20179</v>
      </c>
      <c r="CF1616" t="s">
        <v>5331</v>
      </c>
      <c r="CG1616" t="s">
        <v>177</v>
      </c>
      <c r="CH1616" t="s">
        <v>371</v>
      </c>
      <c r="CI1616" t="s">
        <v>20180</v>
      </c>
      <c r="CJ1616" t="s">
        <v>17913</v>
      </c>
      <c r="CK1616" t="s">
        <v>232</v>
      </c>
      <c r="CL1616" t="s">
        <v>233</v>
      </c>
      <c r="CM1616" t="s">
        <v>20181</v>
      </c>
      <c r="CN1616" t="s">
        <v>235</v>
      </c>
      <c r="CO1616" t="s">
        <v>183</v>
      </c>
      <c r="CP1616" t="s">
        <v>266</v>
      </c>
      <c r="CS1616" t="s">
        <v>198</v>
      </c>
      <c r="CT1616" t="s">
        <v>814</v>
      </c>
      <c r="CU1616" t="s">
        <v>292</v>
      </c>
      <c r="CV1616" t="s">
        <v>293</v>
      </c>
      <c r="CW1616" t="s">
        <v>20182</v>
      </c>
      <c r="CX1616" t="s">
        <v>235</v>
      </c>
      <c r="CY1616" t="s">
        <v>183</v>
      </c>
      <c r="CZ1616" t="s">
        <v>211</v>
      </c>
      <c r="DA1616" t="s">
        <v>298</v>
      </c>
      <c r="DC1616" t="s">
        <v>1641</v>
      </c>
      <c r="DD1616" t="s">
        <v>20183</v>
      </c>
      <c r="DE1616" t="s">
        <v>267</v>
      </c>
      <c r="DF1616" t="s">
        <v>268</v>
      </c>
      <c r="DG1616" t="s">
        <v>20184</v>
      </c>
      <c r="DH1616" t="s">
        <v>331</v>
      </c>
      <c r="DI1616" t="s">
        <v>183</v>
      </c>
      <c r="DJ1616" t="s">
        <v>211</v>
      </c>
      <c r="DK1616" t="s">
        <v>298</v>
      </c>
      <c r="DM1616" t="s">
        <v>20185</v>
      </c>
      <c r="DN1616" t="s">
        <v>18969</v>
      </c>
      <c r="DO1616" t="s">
        <v>273</v>
      </c>
      <c r="DP1616" t="s">
        <v>274</v>
      </c>
      <c r="DQ1616" t="s">
        <v>20186</v>
      </c>
      <c r="DR1616" t="s">
        <v>235</v>
      </c>
      <c r="DS1616" t="s">
        <v>183</v>
      </c>
      <c r="DT1616" t="s">
        <v>211</v>
      </c>
      <c r="DU1616" t="s">
        <v>298</v>
      </c>
      <c r="DW1616" t="s">
        <v>2749</v>
      </c>
      <c r="DX1616" t="s">
        <v>20187</v>
      </c>
      <c r="DY1616" t="s">
        <v>302</v>
      </c>
      <c r="DZ1616" t="s">
        <v>303</v>
      </c>
      <c r="EA1616" t="s">
        <v>20188</v>
      </c>
      <c r="EB1616" t="s">
        <v>7278</v>
      </c>
      <c r="EC1616" t="s">
        <v>183</v>
      </c>
      <c r="ED1616" t="s">
        <v>211</v>
      </c>
      <c r="EE1616" t="s">
        <v>298</v>
      </c>
      <c r="EG1616" t="s">
        <v>2359</v>
      </c>
      <c r="EH1616" t="s">
        <v>20189</v>
      </c>
      <c r="EI1616" t="s">
        <v>238</v>
      </c>
      <c r="EJ1616" t="s">
        <v>239</v>
      </c>
      <c r="EK1616" t="s">
        <v>20190</v>
      </c>
      <c r="EL1616" t="s">
        <v>2679</v>
      </c>
      <c r="EM1616" t="s">
        <v>183</v>
      </c>
      <c r="EN1616" t="s">
        <v>211</v>
      </c>
      <c r="EO1616" t="s">
        <v>298</v>
      </c>
      <c r="EQ1616" t="s">
        <v>467</v>
      </c>
      <c r="ER1616" t="s">
        <v>20191</v>
      </c>
      <c r="ES1616" t="s">
        <v>346</v>
      </c>
      <c r="ET1616" t="s">
        <v>347</v>
      </c>
      <c r="EU1616" t="s">
        <v>20192</v>
      </c>
      <c r="EV1616" t="s">
        <v>278</v>
      </c>
      <c r="EW1616" t="s">
        <v>183</v>
      </c>
      <c r="EX1616" t="s">
        <v>211</v>
      </c>
      <c r="EY1616" t="s">
        <v>298</v>
      </c>
      <c r="FA1616" t="s">
        <v>1622</v>
      </c>
      <c r="FB1616" t="s">
        <v>20193</v>
      </c>
      <c r="FC1616" t="s">
        <v>207</v>
      </c>
      <c r="FD1616" t="s">
        <v>208</v>
      </c>
      <c r="FE1616" t="s">
        <v>20194</v>
      </c>
      <c r="FF1616" t="s">
        <v>341</v>
      </c>
      <c r="FG1616" t="s">
        <v>183</v>
      </c>
      <c r="FH1616" t="s">
        <v>211</v>
      </c>
      <c r="FI1616" t="s">
        <v>616</v>
      </c>
      <c r="FK1616" t="s">
        <v>1301</v>
      </c>
      <c r="FU1616" t="s">
        <v>198</v>
      </c>
    </row>
    <row r="1617" spans="1:177">
      <c r="A1617" s="1" t="str">
        <f>HYPERLINK("http://digipan.lumentumllc.com/apps/getLink/index.php?t=PropLink&amp;p=5247480","PL")</f>
        <v>PL</v>
      </c>
      <c r="B1617" s="1" t="str">
        <f>HYPERLINK("http://digipan.lumentumllc.com/apps/getLink/index.php?t=TaxLink&amp;p=5247480","TL")</f>
        <v>TL</v>
      </c>
      <c r="C1617" s="1" t="str">
        <f>HYPERLINK("http://digipan.lumentumllc.com/apps/getMap/index.php?p=5247480","Map")</f>
        <v>Map</v>
      </c>
      <c r="E1617" t="s">
        <v>177</v>
      </c>
      <c r="F1617" t="s">
        <v>178</v>
      </c>
      <c r="L1617" t="s">
        <v>20195</v>
      </c>
      <c r="N1617" t="s">
        <v>20195</v>
      </c>
      <c r="O1617" t="s">
        <v>20195</v>
      </c>
      <c r="P1617" t="s">
        <v>20196</v>
      </c>
      <c r="Q1617" t="s">
        <v>20195</v>
      </c>
      <c r="V1617">
        <v>1851</v>
      </c>
      <c r="W1617">
        <v>6</v>
      </c>
      <c r="X1617">
        <v>2017</v>
      </c>
      <c r="Y1617">
        <v>2018</v>
      </c>
      <c r="Z1617">
        <v>1487.03</v>
      </c>
      <c r="AB1617" t="s">
        <v>181</v>
      </c>
      <c r="AC1617" t="s">
        <v>202</v>
      </c>
      <c r="AD1617" t="s">
        <v>183</v>
      </c>
      <c r="AE1617">
        <v>1</v>
      </c>
      <c r="AF1617">
        <v>6</v>
      </c>
      <c r="AG1617" t="s">
        <v>322</v>
      </c>
      <c r="AH1617">
        <v>83</v>
      </c>
      <c r="AI1617">
        <v>1503.1</v>
      </c>
      <c r="AJ1617">
        <v>75.16</v>
      </c>
      <c r="AK1617">
        <v>1578.26</v>
      </c>
      <c r="AL1617">
        <v>88000</v>
      </c>
      <c r="AM1617">
        <v>88000</v>
      </c>
      <c r="AN1617">
        <v>0</v>
      </c>
      <c r="AO1617">
        <v>1365</v>
      </c>
      <c r="AP1617">
        <v>2016</v>
      </c>
      <c r="AQ1617">
        <v>1.69</v>
      </c>
      <c r="AR1617">
        <v>1.79</v>
      </c>
      <c r="AS1617" t="s">
        <v>20176</v>
      </c>
      <c r="AT1617" t="s">
        <v>15040</v>
      </c>
      <c r="AU1617" t="s">
        <v>177</v>
      </c>
      <c r="AV1617" t="s">
        <v>371</v>
      </c>
      <c r="AW1617" t="s">
        <v>182</v>
      </c>
      <c r="AX1617">
        <v>0</v>
      </c>
      <c r="AY1617" t="s">
        <v>312</v>
      </c>
      <c r="AZ1617" t="s">
        <v>199</v>
      </c>
      <c r="BA1617" t="s">
        <v>313</v>
      </c>
      <c r="BB1617" t="s">
        <v>191</v>
      </c>
      <c r="BC1617" t="s">
        <v>182</v>
      </c>
      <c r="BD1617" t="s">
        <v>182</v>
      </c>
      <c r="BE1617" t="s">
        <v>8792</v>
      </c>
      <c r="BF1617">
        <v>0</v>
      </c>
      <c r="BG1617">
        <v>0</v>
      </c>
      <c r="BH1617">
        <v>0</v>
      </c>
      <c r="BI1617" t="s">
        <v>199</v>
      </c>
      <c r="BJ1617" t="s">
        <v>315</v>
      </c>
      <c r="BL1617" t="s">
        <v>20177</v>
      </c>
      <c r="BM1617" t="s">
        <v>533</v>
      </c>
      <c r="BN1617" t="s">
        <v>182</v>
      </c>
      <c r="BO1617" t="s">
        <v>198</v>
      </c>
      <c r="BP1617" t="s">
        <v>198</v>
      </c>
      <c r="BQ1617" t="s">
        <v>198</v>
      </c>
      <c r="BR1617" t="s">
        <v>198</v>
      </c>
      <c r="BS1617" t="s">
        <v>198</v>
      </c>
      <c r="BT1617" t="s">
        <v>198</v>
      </c>
      <c r="BU1617" t="s">
        <v>182</v>
      </c>
      <c r="BV1617" t="s">
        <v>198</v>
      </c>
      <c r="BW1617" t="s">
        <v>198</v>
      </c>
      <c r="BX1617" t="s">
        <v>199</v>
      </c>
      <c r="BY1617" t="s">
        <v>198</v>
      </c>
      <c r="BZ1617" t="s">
        <v>199</v>
      </c>
      <c r="CA1617" t="s">
        <v>199</v>
      </c>
      <c r="CB1617" t="s">
        <v>20178</v>
      </c>
      <c r="CC1617" t="s">
        <v>201</v>
      </c>
      <c r="CD1617" t="s">
        <v>182</v>
      </c>
      <c r="CE1617" t="s">
        <v>20179</v>
      </c>
      <c r="CF1617" t="s">
        <v>5331</v>
      </c>
      <c r="CG1617" t="s">
        <v>177</v>
      </c>
      <c r="CH1617" t="s">
        <v>371</v>
      </c>
      <c r="CI1617" t="s">
        <v>20197</v>
      </c>
      <c r="CJ1617" t="s">
        <v>20198</v>
      </c>
      <c r="CK1617" t="s">
        <v>232</v>
      </c>
      <c r="CL1617" t="s">
        <v>233</v>
      </c>
      <c r="CM1617" t="s">
        <v>20199</v>
      </c>
      <c r="CN1617" t="s">
        <v>235</v>
      </c>
      <c r="CO1617" t="s">
        <v>183</v>
      </c>
      <c r="CP1617" t="s">
        <v>266</v>
      </c>
      <c r="CS1617" t="s">
        <v>198</v>
      </c>
      <c r="CT1617" t="s">
        <v>8995</v>
      </c>
      <c r="CU1617" t="s">
        <v>292</v>
      </c>
      <c r="CV1617" t="s">
        <v>293</v>
      </c>
      <c r="CW1617" t="s">
        <v>20200</v>
      </c>
      <c r="CX1617" t="s">
        <v>235</v>
      </c>
      <c r="CY1617" t="s">
        <v>183</v>
      </c>
      <c r="CZ1617" t="s">
        <v>211</v>
      </c>
      <c r="DA1617" t="s">
        <v>298</v>
      </c>
      <c r="DC1617" t="s">
        <v>1641</v>
      </c>
      <c r="DD1617" t="s">
        <v>7247</v>
      </c>
      <c r="DE1617" t="s">
        <v>267</v>
      </c>
      <c r="DF1617" t="s">
        <v>268</v>
      </c>
      <c r="DG1617" t="s">
        <v>20201</v>
      </c>
      <c r="DH1617" t="s">
        <v>331</v>
      </c>
      <c r="DI1617" t="s">
        <v>183</v>
      </c>
      <c r="DJ1617" t="s">
        <v>211</v>
      </c>
      <c r="DK1617" t="s">
        <v>298</v>
      </c>
      <c r="DM1617" t="s">
        <v>2096</v>
      </c>
      <c r="DN1617" t="s">
        <v>14551</v>
      </c>
      <c r="DO1617" t="s">
        <v>273</v>
      </c>
      <c r="DP1617" t="s">
        <v>274</v>
      </c>
      <c r="DQ1617" t="s">
        <v>20202</v>
      </c>
      <c r="DR1617" t="s">
        <v>235</v>
      </c>
      <c r="DS1617" t="s">
        <v>183</v>
      </c>
      <c r="DT1617" t="s">
        <v>211</v>
      </c>
      <c r="DU1617" t="s">
        <v>298</v>
      </c>
      <c r="DW1617" t="s">
        <v>1069</v>
      </c>
      <c r="DX1617" t="s">
        <v>15897</v>
      </c>
      <c r="DY1617" t="s">
        <v>302</v>
      </c>
      <c r="DZ1617" t="s">
        <v>303</v>
      </c>
      <c r="EA1617" t="s">
        <v>20203</v>
      </c>
      <c r="EB1617" t="s">
        <v>7278</v>
      </c>
      <c r="EC1617" t="s">
        <v>183</v>
      </c>
      <c r="ED1617" t="s">
        <v>211</v>
      </c>
      <c r="EE1617" t="s">
        <v>298</v>
      </c>
      <c r="EG1617" t="s">
        <v>2359</v>
      </c>
      <c r="EH1617" t="s">
        <v>20204</v>
      </c>
      <c r="EI1617" t="s">
        <v>346</v>
      </c>
      <c r="EJ1617" t="s">
        <v>347</v>
      </c>
      <c r="EK1617" t="s">
        <v>20192</v>
      </c>
      <c r="EL1617" t="s">
        <v>278</v>
      </c>
      <c r="EM1617" t="s">
        <v>183</v>
      </c>
      <c r="EN1617" t="s">
        <v>211</v>
      </c>
      <c r="EO1617" t="s">
        <v>212</v>
      </c>
      <c r="EP1617" t="s">
        <v>271</v>
      </c>
      <c r="EQ1617" t="s">
        <v>17619</v>
      </c>
      <c r="ER1617" t="s">
        <v>20205</v>
      </c>
      <c r="ES1617" t="s">
        <v>207</v>
      </c>
      <c r="ET1617" t="s">
        <v>208</v>
      </c>
      <c r="EU1617" t="s">
        <v>20194</v>
      </c>
      <c r="EV1617" t="s">
        <v>576</v>
      </c>
      <c r="EW1617" t="s">
        <v>183</v>
      </c>
      <c r="EX1617" t="s">
        <v>211</v>
      </c>
      <c r="EZ1617" t="s">
        <v>271</v>
      </c>
      <c r="FA1617" t="s">
        <v>198</v>
      </c>
      <c r="FK1617" t="s">
        <v>198</v>
      </c>
      <c r="FU1617" t="s">
        <v>198</v>
      </c>
    </row>
    <row r="1618" spans="1:177">
      <c r="A1618" s="1" t="str">
        <f>HYPERLINK("http://digipan.lumentumllc.com/apps/getLink/index.php?t=PropLink&amp;p=15757395","PL")</f>
        <v>PL</v>
      </c>
      <c r="B1618" s="1" t="str">
        <f>HYPERLINK("http://digipan.lumentumllc.com/apps/getLink/index.php?t=TaxLink&amp;p=15757395","TL")</f>
        <v>TL</v>
      </c>
      <c r="C1618" s="1" t="str">
        <f>HYPERLINK("http://digipan.lumentumllc.com/apps/getMap/index.php?p=15757395","Map")</f>
        <v>Map</v>
      </c>
      <c r="E1618" t="s">
        <v>177</v>
      </c>
      <c r="F1618" t="s">
        <v>178</v>
      </c>
      <c r="L1618" t="s">
        <v>20206</v>
      </c>
      <c r="N1618" t="s">
        <v>20206</v>
      </c>
      <c r="O1618" t="s">
        <v>20206</v>
      </c>
      <c r="Q1618" t="s">
        <v>20206</v>
      </c>
      <c r="V1618">
        <v>1852</v>
      </c>
      <c r="W1618">
        <v>6</v>
      </c>
      <c r="X1618">
        <v>2017</v>
      </c>
      <c r="Y1618">
        <v>2018</v>
      </c>
      <c r="Z1618">
        <v>1594.11</v>
      </c>
      <c r="AG1618" t="s">
        <v>184</v>
      </c>
      <c r="AH1618">
        <v>0</v>
      </c>
      <c r="AK1618">
        <v>0</v>
      </c>
      <c r="AL1618">
        <v>105000</v>
      </c>
      <c r="AM1618">
        <v>105000</v>
      </c>
      <c r="AN1618">
        <v>0</v>
      </c>
      <c r="AO1618">
        <v>1228</v>
      </c>
      <c r="AP1618">
        <v>2016</v>
      </c>
      <c r="AQ1618">
        <v>1.52</v>
      </c>
      <c r="AS1618" t="s">
        <v>20207</v>
      </c>
      <c r="AT1618" t="s">
        <v>15040</v>
      </c>
      <c r="AU1618" t="s">
        <v>177</v>
      </c>
      <c r="AV1618" t="s">
        <v>371</v>
      </c>
      <c r="AW1618" t="s">
        <v>182</v>
      </c>
      <c r="AX1618">
        <v>0</v>
      </c>
      <c r="AY1618" t="s">
        <v>312</v>
      </c>
      <c r="AZ1618" t="s">
        <v>199</v>
      </c>
      <c r="BA1618" t="s">
        <v>313</v>
      </c>
      <c r="BB1618" t="s">
        <v>191</v>
      </c>
      <c r="BC1618" t="s">
        <v>182</v>
      </c>
      <c r="BD1618" t="s">
        <v>182</v>
      </c>
      <c r="BE1618" t="s">
        <v>383</v>
      </c>
      <c r="BF1618">
        <v>0</v>
      </c>
      <c r="BG1618">
        <v>0</v>
      </c>
      <c r="BH1618">
        <v>0</v>
      </c>
      <c r="BI1618" t="s">
        <v>199</v>
      </c>
      <c r="BJ1618" t="s">
        <v>396</v>
      </c>
      <c r="BL1618" t="s">
        <v>16732</v>
      </c>
      <c r="BM1618" t="s">
        <v>197</v>
      </c>
      <c r="BN1618" t="s">
        <v>182</v>
      </c>
      <c r="BO1618" t="s">
        <v>198</v>
      </c>
      <c r="BP1618" t="s">
        <v>198</v>
      </c>
      <c r="BQ1618" t="s">
        <v>198</v>
      </c>
      <c r="BR1618" t="s">
        <v>198</v>
      </c>
      <c r="BS1618" t="s">
        <v>198</v>
      </c>
      <c r="BT1618" t="s">
        <v>198</v>
      </c>
      <c r="BU1618" t="s">
        <v>182</v>
      </c>
      <c r="BV1618" t="s">
        <v>198</v>
      </c>
      <c r="BW1618" t="s">
        <v>198</v>
      </c>
      <c r="BX1618" t="s">
        <v>199</v>
      </c>
      <c r="BY1618" t="s">
        <v>198</v>
      </c>
      <c r="BZ1618" t="s">
        <v>199</v>
      </c>
      <c r="CA1618" t="s">
        <v>199</v>
      </c>
      <c r="CB1618" t="s">
        <v>20208</v>
      </c>
      <c r="CC1618" t="s">
        <v>201</v>
      </c>
      <c r="CD1618" t="s">
        <v>202</v>
      </c>
      <c r="CE1618" t="s">
        <v>20209</v>
      </c>
      <c r="CF1618" t="s">
        <v>626</v>
      </c>
      <c r="CG1618" t="s">
        <v>627</v>
      </c>
      <c r="CH1618" t="s">
        <v>628</v>
      </c>
      <c r="CI1618" t="s">
        <v>18520</v>
      </c>
      <c r="CS1618" t="s">
        <v>198</v>
      </c>
      <c r="DC1618" t="s">
        <v>198</v>
      </c>
      <c r="DM1618" t="s">
        <v>198</v>
      </c>
      <c r="DW1618" t="s">
        <v>198</v>
      </c>
      <c r="EG1618" t="s">
        <v>198</v>
      </c>
      <c r="EQ1618" t="s">
        <v>198</v>
      </c>
      <c r="FA1618" t="s">
        <v>198</v>
      </c>
      <c r="FK1618" t="s">
        <v>198</v>
      </c>
      <c r="FU1618" t="s">
        <v>198</v>
      </c>
    </row>
    <row r="1619" spans="1:177">
      <c r="A1619" s="1" t="str">
        <f>HYPERLINK("http://digipan.lumentumllc.com/apps/getLink/index.php?t=PropLink&amp;p=15757396","PL")</f>
        <v>PL</v>
      </c>
      <c r="B1619" s="1" t="str">
        <f>HYPERLINK("http://digipan.lumentumllc.com/apps/getLink/index.php?t=TaxLink&amp;p=15757396","TL")</f>
        <v>TL</v>
      </c>
      <c r="C1619" s="1" t="str">
        <f>HYPERLINK("http://digipan.lumentumllc.com/apps/getMap/index.php?p=15757396","Map")</f>
        <v>Map</v>
      </c>
      <c r="E1619" t="s">
        <v>177</v>
      </c>
      <c r="F1619" t="s">
        <v>178</v>
      </c>
      <c r="L1619" t="s">
        <v>20210</v>
      </c>
      <c r="N1619" t="s">
        <v>20210</v>
      </c>
      <c r="O1619" t="s">
        <v>20210</v>
      </c>
      <c r="Q1619" t="s">
        <v>20210</v>
      </c>
      <c r="V1619">
        <v>1853</v>
      </c>
      <c r="W1619">
        <v>6</v>
      </c>
      <c r="X1619">
        <v>2017</v>
      </c>
      <c r="Y1619">
        <v>2018</v>
      </c>
      <c r="Z1619">
        <v>1594.11</v>
      </c>
      <c r="AG1619" t="s">
        <v>184</v>
      </c>
      <c r="AH1619">
        <v>0</v>
      </c>
      <c r="AK1619">
        <v>0</v>
      </c>
      <c r="AL1619">
        <v>105000</v>
      </c>
      <c r="AM1619">
        <v>105000</v>
      </c>
      <c r="AN1619">
        <v>0</v>
      </c>
      <c r="AO1619">
        <v>1228</v>
      </c>
      <c r="AP1619">
        <v>2016</v>
      </c>
      <c r="AQ1619">
        <v>1.52</v>
      </c>
      <c r="AS1619" t="s">
        <v>20211</v>
      </c>
      <c r="AT1619" t="s">
        <v>15040</v>
      </c>
      <c r="AU1619" t="s">
        <v>177</v>
      </c>
      <c r="AV1619" t="s">
        <v>371</v>
      </c>
      <c r="AW1619" t="s">
        <v>182</v>
      </c>
      <c r="AX1619">
        <v>0</v>
      </c>
      <c r="AY1619" t="s">
        <v>312</v>
      </c>
      <c r="AZ1619" t="s">
        <v>199</v>
      </c>
      <c r="BA1619" t="s">
        <v>313</v>
      </c>
      <c r="BB1619" t="s">
        <v>191</v>
      </c>
      <c r="BC1619" t="s">
        <v>182</v>
      </c>
      <c r="BD1619" t="s">
        <v>182</v>
      </c>
      <c r="BE1619" t="s">
        <v>383</v>
      </c>
      <c r="BF1619">
        <v>0</v>
      </c>
      <c r="BG1619">
        <v>0</v>
      </c>
      <c r="BH1619">
        <v>0</v>
      </c>
      <c r="BI1619" t="s">
        <v>199</v>
      </c>
      <c r="BJ1619" t="s">
        <v>396</v>
      </c>
      <c r="BL1619" t="s">
        <v>20212</v>
      </c>
      <c r="BM1619" t="s">
        <v>533</v>
      </c>
      <c r="BN1619" t="s">
        <v>182</v>
      </c>
      <c r="BO1619" t="s">
        <v>198</v>
      </c>
      <c r="BP1619" t="s">
        <v>198</v>
      </c>
      <c r="BQ1619" t="s">
        <v>198</v>
      </c>
      <c r="BR1619" t="s">
        <v>198</v>
      </c>
      <c r="BS1619" t="s">
        <v>198</v>
      </c>
      <c r="BT1619" t="s">
        <v>198</v>
      </c>
      <c r="BU1619" t="s">
        <v>182</v>
      </c>
      <c r="BV1619" t="s">
        <v>198</v>
      </c>
      <c r="BW1619" t="s">
        <v>198</v>
      </c>
      <c r="BX1619" t="s">
        <v>199</v>
      </c>
      <c r="BY1619" t="s">
        <v>198</v>
      </c>
      <c r="BZ1619" t="s">
        <v>199</v>
      </c>
      <c r="CA1619" t="s">
        <v>199</v>
      </c>
      <c r="CB1619" t="s">
        <v>20213</v>
      </c>
      <c r="CC1619" t="s">
        <v>201</v>
      </c>
      <c r="CD1619" t="s">
        <v>202</v>
      </c>
      <c r="CE1619" t="s">
        <v>20214</v>
      </c>
      <c r="CF1619" t="s">
        <v>5331</v>
      </c>
      <c r="CG1619" t="s">
        <v>177</v>
      </c>
      <c r="CH1619" t="s">
        <v>371</v>
      </c>
      <c r="CI1619" t="s">
        <v>15517</v>
      </c>
      <c r="CS1619" t="s">
        <v>198</v>
      </c>
      <c r="DC1619" t="s">
        <v>198</v>
      </c>
      <c r="DM1619" t="s">
        <v>198</v>
      </c>
      <c r="DW1619" t="s">
        <v>198</v>
      </c>
      <c r="EG1619" t="s">
        <v>198</v>
      </c>
      <c r="EQ1619" t="s">
        <v>198</v>
      </c>
      <c r="FA1619" t="s">
        <v>198</v>
      </c>
      <c r="FK1619" t="s">
        <v>198</v>
      </c>
      <c r="FU1619" t="s">
        <v>198</v>
      </c>
    </row>
    <row r="1620" spans="1:177">
      <c r="A1620" s="1" t="str">
        <f>HYPERLINK("http://digipan.lumentumllc.com/apps/getLink/index.php?t=PropLink&amp;p=5247579","PL")</f>
        <v>PL</v>
      </c>
      <c r="B1620" s="1" t="str">
        <f>HYPERLINK("http://digipan.lumentumllc.com/apps/getLink/index.php?t=TaxLink&amp;p=5247579","TL")</f>
        <v>TL</v>
      </c>
      <c r="C1620" s="1" t="str">
        <f>HYPERLINK("http://digipan.lumentumllc.com/apps/getMap/index.php?p=5247579","Map")</f>
        <v>Map</v>
      </c>
      <c r="E1620" t="s">
        <v>177</v>
      </c>
      <c r="F1620" t="s">
        <v>178</v>
      </c>
      <c r="L1620" t="s">
        <v>20215</v>
      </c>
      <c r="N1620" t="s">
        <v>20215</v>
      </c>
      <c r="O1620" t="s">
        <v>20215</v>
      </c>
      <c r="P1620" t="s">
        <v>20216</v>
      </c>
      <c r="Q1620" t="s">
        <v>20215</v>
      </c>
      <c r="V1620">
        <v>1854</v>
      </c>
      <c r="W1620">
        <v>6</v>
      </c>
      <c r="X1620">
        <v>2017</v>
      </c>
      <c r="Y1620">
        <v>2018</v>
      </c>
      <c r="Z1620">
        <v>1471.94</v>
      </c>
      <c r="AB1620" t="s">
        <v>181</v>
      </c>
      <c r="AC1620" t="s">
        <v>202</v>
      </c>
      <c r="AD1620" t="s">
        <v>183</v>
      </c>
      <c r="AE1620">
        <v>0</v>
      </c>
      <c r="AF1620">
        <v>4</v>
      </c>
      <c r="AG1620" t="s">
        <v>381</v>
      </c>
      <c r="AH1620">
        <v>100</v>
      </c>
      <c r="AK1620">
        <v>0</v>
      </c>
      <c r="AL1620">
        <v>95000</v>
      </c>
      <c r="AM1620">
        <v>95000</v>
      </c>
      <c r="AN1620">
        <v>0</v>
      </c>
      <c r="AO1620">
        <v>1151</v>
      </c>
      <c r="AP1620">
        <v>2016</v>
      </c>
      <c r="AQ1620">
        <v>1.55</v>
      </c>
      <c r="AS1620" t="s">
        <v>20217</v>
      </c>
      <c r="AT1620" t="s">
        <v>15040</v>
      </c>
      <c r="AU1620" t="s">
        <v>177</v>
      </c>
      <c r="AV1620" t="s">
        <v>371</v>
      </c>
      <c r="AW1620" t="s">
        <v>182</v>
      </c>
      <c r="AX1620">
        <v>0</v>
      </c>
      <c r="AY1620" t="s">
        <v>312</v>
      </c>
      <c r="AZ1620" t="s">
        <v>199</v>
      </c>
      <c r="BA1620" t="s">
        <v>313</v>
      </c>
      <c r="BB1620" t="s">
        <v>191</v>
      </c>
      <c r="BC1620" t="s">
        <v>182</v>
      </c>
      <c r="BD1620" t="s">
        <v>182</v>
      </c>
      <c r="BE1620" t="s">
        <v>7258</v>
      </c>
      <c r="BF1620">
        <v>0</v>
      </c>
      <c r="BG1620">
        <v>0</v>
      </c>
      <c r="BH1620">
        <v>0</v>
      </c>
      <c r="BI1620" t="s">
        <v>199</v>
      </c>
      <c r="BJ1620" t="s">
        <v>396</v>
      </c>
      <c r="BL1620" t="s">
        <v>824</v>
      </c>
      <c r="BM1620" t="s">
        <v>292</v>
      </c>
      <c r="BN1620" t="s">
        <v>182</v>
      </c>
      <c r="BO1620" t="s">
        <v>198</v>
      </c>
      <c r="BP1620" t="s">
        <v>198</v>
      </c>
      <c r="BQ1620" t="s">
        <v>198</v>
      </c>
      <c r="BR1620" t="s">
        <v>198</v>
      </c>
      <c r="BS1620" t="s">
        <v>198</v>
      </c>
      <c r="BT1620" t="s">
        <v>198</v>
      </c>
      <c r="BU1620" t="s">
        <v>182</v>
      </c>
      <c r="BV1620" t="s">
        <v>198</v>
      </c>
      <c r="BW1620" t="s">
        <v>198</v>
      </c>
      <c r="BX1620" t="s">
        <v>199</v>
      </c>
      <c r="BY1620" t="s">
        <v>198</v>
      </c>
      <c r="BZ1620" t="s">
        <v>199</v>
      </c>
      <c r="CA1620" t="s">
        <v>199</v>
      </c>
      <c r="CB1620" t="s">
        <v>20218</v>
      </c>
      <c r="CC1620" t="s">
        <v>201</v>
      </c>
      <c r="CD1620" t="s">
        <v>182</v>
      </c>
      <c r="CE1620" t="s">
        <v>20219</v>
      </c>
      <c r="CF1620" t="s">
        <v>5331</v>
      </c>
      <c r="CG1620" t="s">
        <v>177</v>
      </c>
      <c r="CH1620" t="s">
        <v>371</v>
      </c>
      <c r="CI1620" t="s">
        <v>5915</v>
      </c>
      <c r="CJ1620" t="s">
        <v>20220</v>
      </c>
      <c r="CK1620" t="s">
        <v>273</v>
      </c>
      <c r="CL1620" t="s">
        <v>274</v>
      </c>
      <c r="CM1620" t="s">
        <v>20221</v>
      </c>
      <c r="CN1620" t="s">
        <v>235</v>
      </c>
      <c r="CO1620" t="s">
        <v>183</v>
      </c>
      <c r="CP1620" t="s">
        <v>211</v>
      </c>
      <c r="CQ1620" t="s">
        <v>296</v>
      </c>
      <c r="CR1620" t="s">
        <v>271</v>
      </c>
      <c r="CS1620" t="s">
        <v>8750</v>
      </c>
      <c r="CT1620" t="s">
        <v>979</v>
      </c>
      <c r="CU1620" t="s">
        <v>238</v>
      </c>
      <c r="CV1620" t="s">
        <v>239</v>
      </c>
      <c r="CW1620" t="s">
        <v>14667</v>
      </c>
      <c r="CX1620" t="s">
        <v>400</v>
      </c>
      <c r="CY1620" t="s">
        <v>183</v>
      </c>
      <c r="CZ1620" t="s">
        <v>211</v>
      </c>
      <c r="DB1620" t="s">
        <v>271</v>
      </c>
      <c r="DC1620" t="s">
        <v>198</v>
      </c>
      <c r="DD1620" t="s">
        <v>16756</v>
      </c>
      <c r="DE1620" t="s">
        <v>346</v>
      </c>
      <c r="DF1620" t="s">
        <v>347</v>
      </c>
      <c r="DG1620" t="s">
        <v>20222</v>
      </c>
      <c r="DH1620" t="s">
        <v>278</v>
      </c>
      <c r="DI1620" t="s">
        <v>183</v>
      </c>
      <c r="DJ1620" t="s">
        <v>211</v>
      </c>
      <c r="DK1620" t="s">
        <v>298</v>
      </c>
      <c r="DM1620" t="s">
        <v>470</v>
      </c>
      <c r="DN1620" t="s">
        <v>15882</v>
      </c>
      <c r="DO1620" t="s">
        <v>207</v>
      </c>
      <c r="DP1620" t="s">
        <v>208</v>
      </c>
      <c r="DQ1620" t="s">
        <v>20223</v>
      </c>
      <c r="DR1620" t="s">
        <v>341</v>
      </c>
      <c r="DS1620" t="s">
        <v>183</v>
      </c>
      <c r="DT1620" t="s">
        <v>211</v>
      </c>
      <c r="DU1620" t="s">
        <v>1190</v>
      </c>
      <c r="DV1620" t="s">
        <v>271</v>
      </c>
      <c r="DW1620" t="s">
        <v>8750</v>
      </c>
      <c r="EG1620" t="s">
        <v>198</v>
      </c>
      <c r="EQ1620" t="s">
        <v>198</v>
      </c>
      <c r="FA1620" t="s">
        <v>198</v>
      </c>
      <c r="FK1620" t="s">
        <v>198</v>
      </c>
      <c r="FU1620" t="s">
        <v>198</v>
      </c>
    </row>
    <row r="1621" spans="1:177">
      <c r="A1621" s="1" t="str">
        <f>HYPERLINK("http://digipan.lumentumllc.com/apps/getLink/index.php?t=PropLink&amp;p=5247610","PL")</f>
        <v>PL</v>
      </c>
      <c r="B1621" s="1" t="str">
        <f>HYPERLINK("http://digipan.lumentumllc.com/apps/getLink/index.php?t=TaxLink&amp;p=5247610","TL")</f>
        <v>TL</v>
      </c>
      <c r="C1621" s="1" t="str">
        <f>HYPERLINK("http://digipan.lumentumllc.com/apps/getMap/index.php?p=5247610","Map")</f>
        <v>Map</v>
      </c>
      <c r="E1621" t="s">
        <v>177</v>
      </c>
      <c r="F1621" t="s">
        <v>178</v>
      </c>
      <c r="L1621" t="s">
        <v>20224</v>
      </c>
      <c r="N1621" t="s">
        <v>20224</v>
      </c>
      <c r="O1621" t="s">
        <v>20224</v>
      </c>
      <c r="P1621" t="s">
        <v>20225</v>
      </c>
      <c r="Q1621" t="s">
        <v>20224</v>
      </c>
      <c r="V1621">
        <v>1855</v>
      </c>
      <c r="W1621">
        <v>6</v>
      </c>
      <c r="X1621">
        <v>2017</v>
      </c>
      <c r="Y1621">
        <v>2018</v>
      </c>
      <c r="Z1621">
        <v>212.51</v>
      </c>
      <c r="AB1621" t="s">
        <v>181</v>
      </c>
      <c r="AC1621" t="s">
        <v>202</v>
      </c>
      <c r="AD1621" t="s">
        <v>183</v>
      </c>
      <c r="AE1621">
        <v>1</v>
      </c>
      <c r="AF1621">
        <v>6</v>
      </c>
      <c r="AG1621" t="s">
        <v>322</v>
      </c>
      <c r="AH1621">
        <v>83</v>
      </c>
      <c r="AI1621">
        <v>205.17</v>
      </c>
      <c r="AJ1621">
        <v>10.26</v>
      </c>
      <c r="AK1621">
        <v>215.43</v>
      </c>
      <c r="AL1621">
        <v>11025</v>
      </c>
      <c r="AM1621">
        <v>11025</v>
      </c>
      <c r="AN1621">
        <v>0</v>
      </c>
      <c r="AO1621">
        <v>165</v>
      </c>
      <c r="AP1621">
        <v>2016</v>
      </c>
      <c r="AQ1621">
        <v>1.93</v>
      </c>
      <c r="AR1621">
        <v>1.95</v>
      </c>
      <c r="AS1621" t="s">
        <v>20226</v>
      </c>
      <c r="AT1621" t="s">
        <v>15040</v>
      </c>
      <c r="AU1621" t="s">
        <v>177</v>
      </c>
      <c r="AV1621" t="s">
        <v>371</v>
      </c>
      <c r="AW1621" t="s">
        <v>182</v>
      </c>
      <c r="AX1621">
        <v>0</v>
      </c>
      <c r="AY1621" t="s">
        <v>312</v>
      </c>
      <c r="AZ1621" t="s">
        <v>199</v>
      </c>
      <c r="BA1621" t="s">
        <v>313</v>
      </c>
      <c r="BB1621" t="s">
        <v>191</v>
      </c>
      <c r="BC1621" t="s">
        <v>182</v>
      </c>
      <c r="BD1621" t="s">
        <v>182</v>
      </c>
      <c r="BE1621" t="s">
        <v>5608</v>
      </c>
      <c r="BF1621">
        <v>0</v>
      </c>
      <c r="BG1621">
        <v>0</v>
      </c>
      <c r="BH1621">
        <v>0</v>
      </c>
      <c r="BI1621" t="s">
        <v>199</v>
      </c>
      <c r="BJ1621" t="s">
        <v>315</v>
      </c>
      <c r="BL1621" t="s">
        <v>199</v>
      </c>
      <c r="BM1621" t="s">
        <v>1825</v>
      </c>
      <c r="BN1621" t="s">
        <v>182</v>
      </c>
      <c r="BO1621" t="s">
        <v>1424</v>
      </c>
      <c r="BP1621" t="s">
        <v>20227</v>
      </c>
      <c r="BQ1621" t="s">
        <v>1426</v>
      </c>
      <c r="BS1621" t="s">
        <v>20228</v>
      </c>
      <c r="BT1621" t="s">
        <v>198</v>
      </c>
      <c r="BU1621" t="s">
        <v>182</v>
      </c>
      <c r="BV1621" t="s">
        <v>198</v>
      </c>
      <c r="BW1621" t="s">
        <v>198</v>
      </c>
      <c r="BX1621" t="s">
        <v>199</v>
      </c>
      <c r="BY1621" t="s">
        <v>198</v>
      </c>
      <c r="BZ1621" t="s">
        <v>199</v>
      </c>
      <c r="CA1621" t="s">
        <v>199</v>
      </c>
      <c r="CB1621" t="s">
        <v>20229</v>
      </c>
      <c r="CC1621" t="s">
        <v>201</v>
      </c>
      <c r="CD1621" t="s">
        <v>182</v>
      </c>
      <c r="CE1621" t="s">
        <v>20230</v>
      </c>
      <c r="CF1621" t="s">
        <v>5331</v>
      </c>
      <c r="CG1621" t="s">
        <v>177</v>
      </c>
      <c r="CH1621" t="s">
        <v>371</v>
      </c>
      <c r="CI1621" t="s">
        <v>20231</v>
      </c>
      <c r="CJ1621" t="s">
        <v>17332</v>
      </c>
      <c r="CK1621" t="s">
        <v>232</v>
      </c>
      <c r="CL1621" t="s">
        <v>233</v>
      </c>
      <c r="CM1621" t="s">
        <v>20232</v>
      </c>
      <c r="CN1621" t="s">
        <v>235</v>
      </c>
      <c r="CO1621" t="s">
        <v>183</v>
      </c>
      <c r="CP1621" t="s">
        <v>266</v>
      </c>
      <c r="CS1621" t="s">
        <v>198</v>
      </c>
      <c r="CT1621" t="s">
        <v>20233</v>
      </c>
      <c r="CU1621" t="s">
        <v>267</v>
      </c>
      <c r="CV1621" t="s">
        <v>268</v>
      </c>
      <c r="CW1621" t="s">
        <v>20234</v>
      </c>
      <c r="CX1621" t="s">
        <v>331</v>
      </c>
      <c r="CY1621" t="s">
        <v>183</v>
      </c>
      <c r="CZ1621" t="s">
        <v>211</v>
      </c>
      <c r="DA1621" t="s">
        <v>290</v>
      </c>
      <c r="DB1621" t="s">
        <v>271</v>
      </c>
      <c r="DC1621" t="s">
        <v>9732</v>
      </c>
      <c r="DD1621" t="s">
        <v>18522</v>
      </c>
      <c r="DE1621" t="s">
        <v>273</v>
      </c>
      <c r="DF1621" t="s">
        <v>268</v>
      </c>
      <c r="DG1621" t="s">
        <v>20235</v>
      </c>
      <c r="DH1621" t="s">
        <v>482</v>
      </c>
      <c r="DI1621" t="s">
        <v>183</v>
      </c>
      <c r="DJ1621" t="s">
        <v>211</v>
      </c>
      <c r="DK1621" t="s">
        <v>290</v>
      </c>
      <c r="DL1621" t="s">
        <v>271</v>
      </c>
      <c r="DM1621" t="s">
        <v>9732</v>
      </c>
      <c r="DN1621" t="s">
        <v>3581</v>
      </c>
      <c r="DO1621" t="s">
        <v>302</v>
      </c>
      <c r="DP1621" t="s">
        <v>303</v>
      </c>
      <c r="DQ1621" t="s">
        <v>20236</v>
      </c>
      <c r="DR1621" t="s">
        <v>2515</v>
      </c>
      <c r="DS1621" t="s">
        <v>183</v>
      </c>
      <c r="DT1621" t="s">
        <v>211</v>
      </c>
      <c r="DV1621" t="s">
        <v>271</v>
      </c>
      <c r="DW1621" t="s">
        <v>198</v>
      </c>
      <c r="DX1621" t="s">
        <v>20237</v>
      </c>
      <c r="DY1621" t="s">
        <v>238</v>
      </c>
      <c r="DZ1621" t="s">
        <v>239</v>
      </c>
      <c r="EA1621" t="s">
        <v>15279</v>
      </c>
      <c r="EB1621" t="s">
        <v>482</v>
      </c>
      <c r="EC1621" t="s">
        <v>183</v>
      </c>
      <c r="ED1621" t="s">
        <v>211</v>
      </c>
      <c r="EE1621" t="s">
        <v>337</v>
      </c>
      <c r="EG1621" t="s">
        <v>1349</v>
      </c>
      <c r="EH1621" t="s">
        <v>20238</v>
      </c>
      <c r="EI1621" t="s">
        <v>346</v>
      </c>
      <c r="EJ1621" t="s">
        <v>347</v>
      </c>
      <c r="EK1621" t="s">
        <v>20239</v>
      </c>
      <c r="EL1621" t="s">
        <v>440</v>
      </c>
      <c r="EM1621" t="s">
        <v>183</v>
      </c>
      <c r="EN1621" t="s">
        <v>211</v>
      </c>
      <c r="EO1621" t="s">
        <v>337</v>
      </c>
      <c r="EQ1621" t="s">
        <v>1352</v>
      </c>
      <c r="ER1621" t="s">
        <v>20240</v>
      </c>
      <c r="ES1621" t="s">
        <v>207</v>
      </c>
      <c r="ET1621" t="s">
        <v>208</v>
      </c>
      <c r="EU1621" t="s">
        <v>20241</v>
      </c>
      <c r="EV1621" t="s">
        <v>482</v>
      </c>
      <c r="EW1621" t="s">
        <v>183</v>
      </c>
      <c r="EX1621" t="s">
        <v>211</v>
      </c>
      <c r="EY1621" t="s">
        <v>337</v>
      </c>
      <c r="FA1621" t="s">
        <v>20242</v>
      </c>
      <c r="FK1621" t="s">
        <v>198</v>
      </c>
      <c r="FU1621" t="s">
        <v>198</v>
      </c>
    </row>
    <row r="1622" spans="1:177">
      <c r="A1622" s="1" t="str">
        <f>HYPERLINK("http://digipan.lumentumllc.com/apps/getLink/index.php?t=PropLink&amp;p=5247611","PL")</f>
        <v>PL</v>
      </c>
      <c r="B1622" s="1" t="str">
        <f>HYPERLINK("http://digipan.lumentumllc.com/apps/getLink/index.php?t=TaxLink&amp;p=5247611","TL")</f>
        <v>TL</v>
      </c>
      <c r="C1622" s="1" t="str">
        <f>HYPERLINK("http://digipan.lumentumllc.com/apps/getMap/index.php?p=5247611","Map")</f>
        <v>Map</v>
      </c>
      <c r="E1622" t="s">
        <v>177</v>
      </c>
      <c r="F1622" t="s">
        <v>178</v>
      </c>
      <c r="L1622" t="s">
        <v>20243</v>
      </c>
      <c r="N1622" t="s">
        <v>20243</v>
      </c>
      <c r="O1622" t="s">
        <v>20243</v>
      </c>
      <c r="P1622" t="s">
        <v>20244</v>
      </c>
      <c r="Q1622" t="s">
        <v>20243</v>
      </c>
      <c r="V1622">
        <v>1856</v>
      </c>
      <c r="W1622">
        <v>6</v>
      </c>
      <c r="X1622">
        <v>2017</v>
      </c>
      <c r="Y1622">
        <v>2018</v>
      </c>
      <c r="Z1622">
        <v>1800.25</v>
      </c>
      <c r="AB1622" t="s">
        <v>181</v>
      </c>
      <c r="AC1622" t="s">
        <v>182</v>
      </c>
      <c r="AD1622" t="s">
        <v>183</v>
      </c>
      <c r="AE1622">
        <v>1</v>
      </c>
      <c r="AF1622">
        <v>7</v>
      </c>
      <c r="AG1622" t="s">
        <v>418</v>
      </c>
      <c r="AH1622">
        <v>86</v>
      </c>
      <c r="AI1622">
        <v>1707.97</v>
      </c>
      <c r="AJ1622">
        <v>85.4</v>
      </c>
      <c r="AK1622">
        <v>1793.37</v>
      </c>
      <c r="AL1622">
        <v>108000</v>
      </c>
      <c r="AM1622">
        <v>108000</v>
      </c>
      <c r="AN1622">
        <v>0</v>
      </c>
      <c r="AO1622">
        <v>1554</v>
      </c>
      <c r="AP1622">
        <v>2016</v>
      </c>
      <c r="AQ1622">
        <v>1.67</v>
      </c>
      <c r="AR1622">
        <v>1.66</v>
      </c>
      <c r="AS1622" t="s">
        <v>20245</v>
      </c>
      <c r="AT1622" t="s">
        <v>15040</v>
      </c>
      <c r="AU1622" t="s">
        <v>177</v>
      </c>
      <c r="AV1622" t="s">
        <v>371</v>
      </c>
      <c r="AW1622" t="s">
        <v>182</v>
      </c>
      <c r="AX1622">
        <v>0</v>
      </c>
      <c r="AY1622" t="s">
        <v>312</v>
      </c>
      <c r="AZ1622" t="s">
        <v>199</v>
      </c>
      <c r="BA1622" t="s">
        <v>313</v>
      </c>
      <c r="BB1622" t="s">
        <v>191</v>
      </c>
      <c r="BC1622" t="s">
        <v>182</v>
      </c>
      <c r="BD1622" t="s">
        <v>182</v>
      </c>
      <c r="BE1622" t="s">
        <v>796</v>
      </c>
      <c r="BF1622">
        <v>0</v>
      </c>
      <c r="BG1622">
        <v>0</v>
      </c>
      <c r="BH1622">
        <v>0</v>
      </c>
      <c r="BI1622" t="s">
        <v>199</v>
      </c>
      <c r="BJ1622" t="s">
        <v>315</v>
      </c>
      <c r="BL1622" t="s">
        <v>4009</v>
      </c>
      <c r="BM1622" t="s">
        <v>981</v>
      </c>
      <c r="BN1622" t="s">
        <v>182</v>
      </c>
      <c r="BO1622" t="s">
        <v>198</v>
      </c>
      <c r="BP1622" t="s">
        <v>198</v>
      </c>
      <c r="BQ1622" t="s">
        <v>198</v>
      </c>
      <c r="BR1622" t="s">
        <v>198</v>
      </c>
      <c r="BS1622" t="s">
        <v>198</v>
      </c>
      <c r="BT1622" t="s">
        <v>198</v>
      </c>
      <c r="BU1622" t="s">
        <v>182</v>
      </c>
      <c r="BV1622" t="s">
        <v>198</v>
      </c>
      <c r="BW1622" t="s">
        <v>198</v>
      </c>
      <c r="BX1622" t="s">
        <v>199</v>
      </c>
      <c r="BY1622" t="s">
        <v>198</v>
      </c>
      <c r="BZ1622" t="s">
        <v>199</v>
      </c>
      <c r="CA1622" t="s">
        <v>199</v>
      </c>
      <c r="CB1622" t="s">
        <v>20246</v>
      </c>
      <c r="CC1622" t="s">
        <v>201</v>
      </c>
      <c r="CD1622" t="s">
        <v>182</v>
      </c>
      <c r="CE1622" t="s">
        <v>20247</v>
      </c>
      <c r="CF1622" t="s">
        <v>2333</v>
      </c>
      <c r="CG1622" t="s">
        <v>177</v>
      </c>
      <c r="CH1622" t="s">
        <v>2334</v>
      </c>
      <c r="CI1622" t="s">
        <v>20248</v>
      </c>
      <c r="CJ1622" t="s">
        <v>4147</v>
      </c>
      <c r="CK1622" t="s">
        <v>232</v>
      </c>
      <c r="CL1622" t="s">
        <v>233</v>
      </c>
      <c r="CM1622" t="s">
        <v>20249</v>
      </c>
      <c r="CN1622" t="s">
        <v>235</v>
      </c>
      <c r="CO1622" t="s">
        <v>183</v>
      </c>
      <c r="CP1622" t="s">
        <v>266</v>
      </c>
      <c r="CS1622" t="s">
        <v>198</v>
      </c>
      <c r="CT1622" t="s">
        <v>852</v>
      </c>
      <c r="CU1622" t="s">
        <v>292</v>
      </c>
      <c r="CV1622" t="s">
        <v>293</v>
      </c>
      <c r="CW1622" t="s">
        <v>20250</v>
      </c>
      <c r="CX1622" t="s">
        <v>235</v>
      </c>
      <c r="CY1622" t="s">
        <v>183</v>
      </c>
      <c r="CZ1622" t="s">
        <v>211</v>
      </c>
      <c r="DA1622" t="s">
        <v>523</v>
      </c>
      <c r="DC1622" t="s">
        <v>13290</v>
      </c>
      <c r="DD1622" t="s">
        <v>18300</v>
      </c>
      <c r="DE1622" t="s">
        <v>267</v>
      </c>
      <c r="DF1622" t="s">
        <v>268</v>
      </c>
      <c r="DG1622" t="s">
        <v>20251</v>
      </c>
      <c r="DH1622" t="s">
        <v>511</v>
      </c>
      <c r="DI1622" t="s">
        <v>183</v>
      </c>
      <c r="DJ1622" t="s">
        <v>211</v>
      </c>
      <c r="DK1622" t="s">
        <v>298</v>
      </c>
      <c r="DM1622" t="s">
        <v>432</v>
      </c>
      <c r="DN1622" t="s">
        <v>19017</v>
      </c>
      <c r="DO1622" t="s">
        <v>273</v>
      </c>
      <c r="DP1622" t="s">
        <v>274</v>
      </c>
      <c r="DQ1622" t="s">
        <v>20252</v>
      </c>
      <c r="DR1622" t="s">
        <v>235</v>
      </c>
      <c r="DS1622" t="s">
        <v>183</v>
      </c>
      <c r="DT1622" t="s">
        <v>211</v>
      </c>
      <c r="DU1622" t="s">
        <v>298</v>
      </c>
      <c r="DW1622" t="s">
        <v>434</v>
      </c>
      <c r="DX1622" t="s">
        <v>12110</v>
      </c>
      <c r="DY1622" t="s">
        <v>302</v>
      </c>
      <c r="DZ1622" t="s">
        <v>303</v>
      </c>
      <c r="EA1622" t="s">
        <v>20253</v>
      </c>
      <c r="EB1622" t="s">
        <v>3342</v>
      </c>
      <c r="EC1622" t="s">
        <v>183</v>
      </c>
      <c r="ED1622" t="s">
        <v>211</v>
      </c>
      <c r="EE1622" t="s">
        <v>298</v>
      </c>
      <c r="EG1622" t="s">
        <v>1071</v>
      </c>
      <c r="EH1622" t="s">
        <v>20254</v>
      </c>
      <c r="EI1622" t="s">
        <v>238</v>
      </c>
      <c r="EJ1622" t="s">
        <v>239</v>
      </c>
      <c r="EK1622" t="s">
        <v>20255</v>
      </c>
      <c r="EL1622" t="s">
        <v>440</v>
      </c>
      <c r="EM1622" t="s">
        <v>183</v>
      </c>
      <c r="EN1622" t="s">
        <v>211</v>
      </c>
      <c r="EO1622" t="s">
        <v>298</v>
      </c>
      <c r="EQ1622" t="s">
        <v>1815</v>
      </c>
      <c r="ER1622" t="s">
        <v>20256</v>
      </c>
      <c r="ES1622" t="s">
        <v>346</v>
      </c>
      <c r="ET1622" t="s">
        <v>347</v>
      </c>
      <c r="EU1622" t="s">
        <v>20257</v>
      </c>
      <c r="EV1622" t="s">
        <v>278</v>
      </c>
      <c r="EW1622" t="s">
        <v>183</v>
      </c>
      <c r="EX1622" t="s">
        <v>211</v>
      </c>
      <c r="EY1622" t="s">
        <v>298</v>
      </c>
      <c r="FA1622" t="s">
        <v>1622</v>
      </c>
      <c r="FB1622" t="s">
        <v>20258</v>
      </c>
      <c r="FC1622" t="s">
        <v>207</v>
      </c>
      <c r="FD1622" t="s">
        <v>208</v>
      </c>
      <c r="FE1622" t="s">
        <v>20259</v>
      </c>
      <c r="FF1622" t="s">
        <v>341</v>
      </c>
      <c r="FG1622" t="s">
        <v>183</v>
      </c>
      <c r="FH1622" t="s">
        <v>211</v>
      </c>
      <c r="FI1622" t="s">
        <v>298</v>
      </c>
      <c r="FK1622" t="s">
        <v>1324</v>
      </c>
      <c r="FU1622" t="s">
        <v>198</v>
      </c>
    </row>
    <row r="1623" spans="1:177">
      <c r="A1623" s="1" t="str">
        <f>HYPERLINK("http://digipan.lumentumllc.com/apps/getLink/index.php?t=PropLink&amp;p=5247613","PL")</f>
        <v>PL</v>
      </c>
      <c r="B1623" s="1" t="str">
        <f>HYPERLINK("http://digipan.lumentumllc.com/apps/getLink/index.php?t=TaxLink&amp;p=5247613","TL")</f>
        <v>TL</v>
      </c>
      <c r="C1623" s="1" t="str">
        <f>HYPERLINK("http://digipan.lumentumllc.com/apps/getMap/index.php?p=5247613","Map")</f>
        <v>Map</v>
      </c>
      <c r="E1623" t="s">
        <v>177</v>
      </c>
      <c r="F1623" t="s">
        <v>178</v>
      </c>
      <c r="L1623" t="s">
        <v>20260</v>
      </c>
      <c r="N1623" t="s">
        <v>20260</v>
      </c>
      <c r="O1623" t="s">
        <v>20260</v>
      </c>
      <c r="P1623" t="s">
        <v>20261</v>
      </c>
      <c r="Q1623" t="s">
        <v>20260</v>
      </c>
      <c r="V1623">
        <v>1857</v>
      </c>
      <c r="W1623">
        <v>6</v>
      </c>
      <c r="X1623">
        <v>2017</v>
      </c>
      <c r="Y1623">
        <v>2018</v>
      </c>
      <c r="Z1623">
        <v>1652.89</v>
      </c>
      <c r="AB1623" t="s">
        <v>181</v>
      </c>
      <c r="AC1623" t="s">
        <v>182</v>
      </c>
      <c r="AD1623" t="s">
        <v>183</v>
      </c>
      <c r="AE1623">
        <v>1</v>
      </c>
      <c r="AF1623">
        <v>7</v>
      </c>
      <c r="AG1623" t="s">
        <v>418</v>
      </c>
      <c r="AH1623">
        <v>86</v>
      </c>
      <c r="AI1623">
        <v>1567.86</v>
      </c>
      <c r="AJ1623">
        <v>78.39</v>
      </c>
      <c r="AK1623">
        <v>1646.25</v>
      </c>
      <c r="AL1623">
        <v>99000</v>
      </c>
      <c r="AM1623">
        <v>99000</v>
      </c>
      <c r="AN1623">
        <v>0</v>
      </c>
      <c r="AO1623">
        <v>1425</v>
      </c>
      <c r="AP1623">
        <v>2016</v>
      </c>
      <c r="AQ1623">
        <v>1.67</v>
      </c>
      <c r="AR1623">
        <v>1.66</v>
      </c>
      <c r="AS1623" t="s">
        <v>20262</v>
      </c>
      <c r="AT1623" t="s">
        <v>15040</v>
      </c>
      <c r="AU1623" t="s">
        <v>177</v>
      </c>
      <c r="AV1623" t="s">
        <v>371</v>
      </c>
      <c r="AW1623" t="s">
        <v>182</v>
      </c>
      <c r="AX1623">
        <v>0</v>
      </c>
      <c r="AY1623" t="s">
        <v>312</v>
      </c>
      <c r="AZ1623" t="s">
        <v>199</v>
      </c>
      <c r="BA1623" t="s">
        <v>313</v>
      </c>
      <c r="BB1623" t="s">
        <v>191</v>
      </c>
      <c r="BC1623" t="s">
        <v>182</v>
      </c>
      <c r="BD1623" t="s">
        <v>182</v>
      </c>
      <c r="BE1623" t="s">
        <v>3342</v>
      </c>
      <c r="BF1623">
        <v>0</v>
      </c>
      <c r="BG1623">
        <v>0</v>
      </c>
      <c r="BH1623">
        <v>0</v>
      </c>
      <c r="BI1623" t="s">
        <v>199</v>
      </c>
      <c r="BJ1623" t="s">
        <v>248</v>
      </c>
      <c r="BL1623" t="s">
        <v>2762</v>
      </c>
      <c r="BM1623" t="s">
        <v>3957</v>
      </c>
      <c r="BN1623" t="s">
        <v>182</v>
      </c>
      <c r="BO1623" t="s">
        <v>198</v>
      </c>
      <c r="BP1623" t="s">
        <v>198</v>
      </c>
      <c r="BQ1623" t="s">
        <v>198</v>
      </c>
      <c r="BR1623" t="s">
        <v>198</v>
      </c>
      <c r="BS1623" t="s">
        <v>198</v>
      </c>
      <c r="BT1623" t="s">
        <v>198</v>
      </c>
      <c r="BU1623" t="s">
        <v>182</v>
      </c>
      <c r="BV1623" t="s">
        <v>198</v>
      </c>
      <c r="BW1623" t="s">
        <v>198</v>
      </c>
      <c r="BX1623" t="s">
        <v>199</v>
      </c>
      <c r="BY1623" t="s">
        <v>198</v>
      </c>
      <c r="BZ1623" t="s">
        <v>199</v>
      </c>
      <c r="CA1623" t="s">
        <v>199</v>
      </c>
      <c r="CB1623" t="s">
        <v>20263</v>
      </c>
      <c r="CC1623" t="s">
        <v>201</v>
      </c>
      <c r="CD1623" t="s">
        <v>182</v>
      </c>
      <c r="CE1623" t="s">
        <v>20247</v>
      </c>
      <c r="CF1623" t="s">
        <v>2333</v>
      </c>
      <c r="CG1623" t="s">
        <v>177</v>
      </c>
      <c r="CH1623" t="s">
        <v>2334</v>
      </c>
      <c r="CI1623" t="s">
        <v>20264</v>
      </c>
      <c r="CJ1623" t="s">
        <v>4166</v>
      </c>
      <c r="CK1623" t="s">
        <v>232</v>
      </c>
      <c r="CL1623" t="s">
        <v>233</v>
      </c>
      <c r="CM1623" t="s">
        <v>20265</v>
      </c>
      <c r="CN1623" t="s">
        <v>235</v>
      </c>
      <c r="CO1623" t="s">
        <v>183</v>
      </c>
      <c r="CP1623" t="s">
        <v>266</v>
      </c>
      <c r="CS1623" t="s">
        <v>198</v>
      </c>
      <c r="CT1623" t="s">
        <v>873</v>
      </c>
      <c r="CU1623" t="s">
        <v>292</v>
      </c>
      <c r="CV1623" t="s">
        <v>293</v>
      </c>
      <c r="CW1623" t="s">
        <v>20266</v>
      </c>
      <c r="CX1623" t="s">
        <v>235</v>
      </c>
      <c r="CY1623" t="s">
        <v>183</v>
      </c>
      <c r="CZ1623" t="s">
        <v>211</v>
      </c>
      <c r="DA1623" t="s">
        <v>523</v>
      </c>
      <c r="DC1623" t="s">
        <v>13290</v>
      </c>
      <c r="DD1623" t="s">
        <v>20267</v>
      </c>
      <c r="DE1623" t="s">
        <v>267</v>
      </c>
      <c r="DF1623" t="s">
        <v>268</v>
      </c>
      <c r="DG1623" t="s">
        <v>20268</v>
      </c>
      <c r="DH1623" t="s">
        <v>511</v>
      </c>
      <c r="DI1623" t="s">
        <v>183</v>
      </c>
      <c r="DJ1623" t="s">
        <v>211</v>
      </c>
      <c r="DK1623" t="s">
        <v>298</v>
      </c>
      <c r="DM1623" t="s">
        <v>432</v>
      </c>
      <c r="DN1623" t="s">
        <v>9926</v>
      </c>
      <c r="DO1623" t="s">
        <v>273</v>
      </c>
      <c r="DP1623" t="s">
        <v>274</v>
      </c>
      <c r="DQ1623" t="s">
        <v>20269</v>
      </c>
      <c r="DR1623" t="s">
        <v>235</v>
      </c>
      <c r="DS1623" t="s">
        <v>183</v>
      </c>
      <c r="DT1623" t="s">
        <v>211</v>
      </c>
      <c r="DU1623" t="s">
        <v>298</v>
      </c>
      <c r="DW1623" t="s">
        <v>434</v>
      </c>
      <c r="DX1623" t="s">
        <v>20270</v>
      </c>
      <c r="DY1623" t="s">
        <v>302</v>
      </c>
      <c r="DZ1623" t="s">
        <v>303</v>
      </c>
      <c r="EA1623" t="s">
        <v>20271</v>
      </c>
      <c r="EB1623" t="s">
        <v>3342</v>
      </c>
      <c r="EC1623" t="s">
        <v>183</v>
      </c>
      <c r="ED1623" t="s">
        <v>211</v>
      </c>
      <c r="EE1623" t="s">
        <v>298</v>
      </c>
      <c r="EG1623" t="s">
        <v>1071</v>
      </c>
      <c r="EH1623" t="s">
        <v>19943</v>
      </c>
      <c r="EI1623" t="s">
        <v>238</v>
      </c>
      <c r="EJ1623" t="s">
        <v>239</v>
      </c>
      <c r="EK1623" t="s">
        <v>20272</v>
      </c>
      <c r="EL1623" t="s">
        <v>440</v>
      </c>
      <c r="EM1623" t="s">
        <v>183</v>
      </c>
      <c r="EN1623" t="s">
        <v>211</v>
      </c>
      <c r="EO1623" t="s">
        <v>298</v>
      </c>
      <c r="EQ1623" t="s">
        <v>1815</v>
      </c>
      <c r="ER1623" t="s">
        <v>13518</v>
      </c>
      <c r="ES1623" t="s">
        <v>346</v>
      </c>
      <c r="ET1623" t="s">
        <v>347</v>
      </c>
      <c r="EU1623" t="s">
        <v>20273</v>
      </c>
      <c r="EV1623" t="s">
        <v>278</v>
      </c>
      <c r="EW1623" t="s">
        <v>183</v>
      </c>
      <c r="EX1623" t="s">
        <v>211</v>
      </c>
      <c r="EY1623" t="s">
        <v>298</v>
      </c>
      <c r="FA1623" t="s">
        <v>1622</v>
      </c>
      <c r="FB1623" t="s">
        <v>20274</v>
      </c>
      <c r="FC1623" t="s">
        <v>207</v>
      </c>
      <c r="FD1623" t="s">
        <v>208</v>
      </c>
      <c r="FE1623" t="s">
        <v>20275</v>
      </c>
      <c r="FF1623" t="s">
        <v>341</v>
      </c>
      <c r="FG1623" t="s">
        <v>183</v>
      </c>
      <c r="FH1623" t="s">
        <v>211</v>
      </c>
      <c r="FI1623" t="s">
        <v>298</v>
      </c>
      <c r="FK1623" t="s">
        <v>1324</v>
      </c>
      <c r="FU1623" t="s">
        <v>198</v>
      </c>
    </row>
    <row r="1624" spans="1:177">
      <c r="A1624" s="1" t="str">
        <f>HYPERLINK("http://digipan.lumentumllc.com/apps/getLink/index.php?t=PropLink&amp;p=6886825","PL")</f>
        <v>PL</v>
      </c>
      <c r="B1624" s="1" t="str">
        <f>HYPERLINK("http://digipan.lumentumllc.com/apps/getLink/index.php?t=TaxLink&amp;p=6886825","TL")</f>
        <v>TL</v>
      </c>
      <c r="C1624" s="1" t="str">
        <f>HYPERLINK("http://digipan.lumentumllc.com/apps/getMap/index.php?p=6886825","Map")</f>
        <v>Map</v>
      </c>
      <c r="E1624" t="s">
        <v>177</v>
      </c>
      <c r="F1624" t="s">
        <v>178</v>
      </c>
      <c r="L1624" t="s">
        <v>20276</v>
      </c>
      <c r="N1624" t="s">
        <v>20276</v>
      </c>
      <c r="O1624" t="s">
        <v>20276</v>
      </c>
      <c r="P1624" t="s">
        <v>20277</v>
      </c>
      <c r="Q1624" t="s">
        <v>20276</v>
      </c>
      <c r="V1624">
        <v>1858</v>
      </c>
      <c r="W1624">
        <v>6</v>
      </c>
      <c r="X1624">
        <v>2017</v>
      </c>
      <c r="Y1624">
        <v>2018</v>
      </c>
      <c r="Z1624">
        <v>501.85</v>
      </c>
      <c r="AB1624" t="s">
        <v>181</v>
      </c>
      <c r="AC1624" t="s">
        <v>182</v>
      </c>
      <c r="AD1624" t="s">
        <v>183</v>
      </c>
      <c r="AE1624">
        <v>0</v>
      </c>
      <c r="AF1624">
        <v>3</v>
      </c>
      <c r="AG1624" t="s">
        <v>381</v>
      </c>
      <c r="AH1624">
        <v>100</v>
      </c>
      <c r="AK1624">
        <v>0</v>
      </c>
      <c r="AL1624">
        <v>85366</v>
      </c>
      <c r="AM1624">
        <v>22500</v>
      </c>
      <c r="AN1624">
        <v>62866</v>
      </c>
      <c r="AO1624">
        <v>429</v>
      </c>
      <c r="AP1624">
        <v>2016</v>
      </c>
      <c r="AQ1624">
        <v>0.59</v>
      </c>
      <c r="AS1624" t="s">
        <v>20278</v>
      </c>
      <c r="AT1624" t="s">
        <v>15040</v>
      </c>
      <c r="AU1624" t="s">
        <v>177</v>
      </c>
      <c r="AV1624" t="s">
        <v>371</v>
      </c>
      <c r="AW1624" t="s">
        <v>202</v>
      </c>
      <c r="AX1624">
        <v>1</v>
      </c>
      <c r="AY1624" t="s">
        <v>188</v>
      </c>
      <c r="AZ1624" t="s">
        <v>206</v>
      </c>
      <c r="BA1624" t="s">
        <v>355</v>
      </c>
      <c r="BB1624" t="s">
        <v>191</v>
      </c>
      <c r="BC1624" t="s">
        <v>182</v>
      </c>
      <c r="BD1624" t="s">
        <v>182</v>
      </c>
      <c r="BE1624" t="s">
        <v>6618</v>
      </c>
      <c r="BF1624">
        <v>1</v>
      </c>
      <c r="BG1624">
        <v>1</v>
      </c>
      <c r="BH1624">
        <v>1978</v>
      </c>
      <c r="BI1624" t="s">
        <v>8010</v>
      </c>
      <c r="BJ1624" t="s">
        <v>194</v>
      </c>
      <c r="BK1624" t="s">
        <v>195</v>
      </c>
      <c r="BL1624" t="s">
        <v>199</v>
      </c>
      <c r="BM1624" t="s">
        <v>207</v>
      </c>
      <c r="BN1624" t="s">
        <v>182</v>
      </c>
      <c r="BO1624" t="s">
        <v>198</v>
      </c>
      <c r="BP1624" t="s">
        <v>198</v>
      </c>
      <c r="BQ1624" t="s">
        <v>198</v>
      </c>
      <c r="BR1624" t="s">
        <v>198</v>
      </c>
      <c r="BS1624" t="s">
        <v>198</v>
      </c>
      <c r="BT1624" t="s">
        <v>198</v>
      </c>
      <c r="BU1624" t="s">
        <v>182</v>
      </c>
      <c r="BV1624" t="s">
        <v>198</v>
      </c>
      <c r="BW1624" t="s">
        <v>198</v>
      </c>
      <c r="BX1624" t="s">
        <v>199</v>
      </c>
      <c r="BY1624" t="s">
        <v>198</v>
      </c>
      <c r="BZ1624" t="s">
        <v>199</v>
      </c>
      <c r="CA1624" t="s">
        <v>199</v>
      </c>
      <c r="CB1624" t="s">
        <v>20279</v>
      </c>
      <c r="CC1624" t="s">
        <v>201</v>
      </c>
      <c r="CD1624" t="s">
        <v>202</v>
      </c>
      <c r="CE1624" t="s">
        <v>20280</v>
      </c>
      <c r="CF1624" t="s">
        <v>5331</v>
      </c>
      <c r="CG1624" t="s">
        <v>177</v>
      </c>
      <c r="CH1624" t="s">
        <v>371</v>
      </c>
      <c r="CI1624" t="s">
        <v>20281</v>
      </c>
      <c r="CJ1624" t="s">
        <v>17398</v>
      </c>
      <c r="CK1624" t="s">
        <v>232</v>
      </c>
      <c r="CL1624" t="s">
        <v>233</v>
      </c>
      <c r="CM1624" t="s">
        <v>20282</v>
      </c>
      <c r="CN1624" t="s">
        <v>235</v>
      </c>
      <c r="CO1624" t="s">
        <v>183</v>
      </c>
      <c r="CP1624" t="s">
        <v>211</v>
      </c>
      <c r="CQ1624" t="s">
        <v>329</v>
      </c>
      <c r="CS1624" t="s">
        <v>4023</v>
      </c>
      <c r="CT1624" t="s">
        <v>2028</v>
      </c>
      <c r="CU1624" t="s">
        <v>292</v>
      </c>
      <c r="CV1624" t="s">
        <v>293</v>
      </c>
      <c r="CW1624" t="s">
        <v>20283</v>
      </c>
      <c r="CX1624" t="s">
        <v>235</v>
      </c>
      <c r="CY1624" t="s">
        <v>183</v>
      </c>
      <c r="CZ1624" t="s">
        <v>211</v>
      </c>
      <c r="DA1624" t="s">
        <v>444</v>
      </c>
      <c r="DC1624" t="s">
        <v>16278</v>
      </c>
      <c r="DD1624" t="s">
        <v>18321</v>
      </c>
      <c r="DE1624" t="s">
        <v>267</v>
      </c>
      <c r="DF1624" t="s">
        <v>268</v>
      </c>
      <c r="DG1624" t="s">
        <v>20284</v>
      </c>
      <c r="DH1624" t="s">
        <v>235</v>
      </c>
      <c r="DI1624" t="s">
        <v>183</v>
      </c>
      <c r="DJ1624" t="s">
        <v>211</v>
      </c>
      <c r="DK1624" t="s">
        <v>345</v>
      </c>
      <c r="DM1624" t="s">
        <v>9277</v>
      </c>
      <c r="DW1624" t="s">
        <v>198</v>
      </c>
      <c r="EG1624" t="s">
        <v>198</v>
      </c>
      <c r="EQ1624" t="s">
        <v>198</v>
      </c>
      <c r="FA1624" t="s">
        <v>198</v>
      </c>
      <c r="FK1624" t="s">
        <v>198</v>
      </c>
      <c r="FU1624" t="s">
        <v>198</v>
      </c>
    </row>
    <row r="1625" spans="1:177">
      <c r="A1625" s="1" t="str">
        <f>HYPERLINK("http://digipan.lumentumllc.com/apps/getLink/index.php?t=PropLink&amp;p=15757616","PL")</f>
        <v>PL</v>
      </c>
      <c r="B1625" s="1" t="str">
        <f>HYPERLINK("http://digipan.lumentumllc.com/apps/getLink/index.php?t=TaxLink&amp;p=15757616","TL")</f>
        <v>TL</v>
      </c>
      <c r="C1625" s="1" t="str">
        <f>HYPERLINK("http://digipan.lumentumllc.com/apps/getMap/index.php?p=15757616","Map")</f>
        <v>Map</v>
      </c>
      <c r="E1625" t="s">
        <v>177</v>
      </c>
      <c r="F1625" t="s">
        <v>178</v>
      </c>
      <c r="L1625" t="s">
        <v>20285</v>
      </c>
      <c r="N1625" t="s">
        <v>20285</v>
      </c>
      <c r="O1625" t="s">
        <v>20285</v>
      </c>
      <c r="Q1625" t="s">
        <v>20285</v>
      </c>
      <c r="V1625">
        <v>1859</v>
      </c>
      <c r="W1625">
        <v>6</v>
      </c>
      <c r="X1625">
        <v>2017</v>
      </c>
      <c r="Y1625">
        <v>2018</v>
      </c>
      <c r="Z1625">
        <v>97.5</v>
      </c>
      <c r="AG1625" t="s">
        <v>184</v>
      </c>
      <c r="AH1625">
        <v>0</v>
      </c>
      <c r="AK1625">
        <v>0</v>
      </c>
      <c r="AL1625">
        <v>4000</v>
      </c>
      <c r="AM1625">
        <v>4000</v>
      </c>
      <c r="AN1625">
        <v>0</v>
      </c>
      <c r="AO1625">
        <v>0</v>
      </c>
      <c r="AP1625">
        <v>0</v>
      </c>
      <c r="AQ1625">
        <v>2.44</v>
      </c>
      <c r="AS1625" t="s">
        <v>20286</v>
      </c>
      <c r="AT1625" t="s">
        <v>15040</v>
      </c>
      <c r="AU1625" t="s">
        <v>177</v>
      </c>
      <c r="AV1625" t="s">
        <v>371</v>
      </c>
      <c r="AW1625" t="s">
        <v>182</v>
      </c>
      <c r="AX1625">
        <v>0</v>
      </c>
      <c r="AY1625" t="s">
        <v>312</v>
      </c>
      <c r="AZ1625" t="s">
        <v>199</v>
      </c>
      <c r="BA1625" t="s">
        <v>313</v>
      </c>
      <c r="BB1625" t="s">
        <v>191</v>
      </c>
      <c r="BC1625" t="s">
        <v>182</v>
      </c>
      <c r="BD1625" t="s">
        <v>182</v>
      </c>
      <c r="BE1625" t="s">
        <v>20287</v>
      </c>
      <c r="BF1625">
        <v>0</v>
      </c>
      <c r="BG1625">
        <v>0</v>
      </c>
      <c r="BH1625">
        <v>0</v>
      </c>
      <c r="BI1625" t="s">
        <v>199</v>
      </c>
      <c r="BJ1625" t="s">
        <v>315</v>
      </c>
      <c r="BL1625" t="s">
        <v>199</v>
      </c>
      <c r="BM1625" t="s">
        <v>238</v>
      </c>
      <c r="BN1625" t="s">
        <v>182</v>
      </c>
      <c r="BO1625" t="s">
        <v>198</v>
      </c>
      <c r="BP1625" t="s">
        <v>198</v>
      </c>
      <c r="BQ1625" t="s">
        <v>198</v>
      </c>
      <c r="BR1625" t="s">
        <v>198</v>
      </c>
      <c r="BS1625" t="s">
        <v>198</v>
      </c>
      <c r="BT1625" t="s">
        <v>198</v>
      </c>
      <c r="BU1625" t="s">
        <v>182</v>
      </c>
      <c r="BV1625" t="s">
        <v>198</v>
      </c>
      <c r="BW1625" t="s">
        <v>198</v>
      </c>
      <c r="BX1625" t="s">
        <v>199</v>
      </c>
      <c r="BY1625" t="s">
        <v>198</v>
      </c>
      <c r="BZ1625" t="s">
        <v>199</v>
      </c>
      <c r="CA1625" t="s">
        <v>199</v>
      </c>
      <c r="CB1625" t="s">
        <v>20288</v>
      </c>
      <c r="CC1625" t="s">
        <v>1407</v>
      </c>
      <c r="CD1625" t="s">
        <v>202</v>
      </c>
      <c r="CE1625" t="s">
        <v>20289</v>
      </c>
      <c r="CF1625" t="s">
        <v>7175</v>
      </c>
      <c r="CG1625" t="s">
        <v>177</v>
      </c>
      <c r="CH1625" t="s">
        <v>20290</v>
      </c>
      <c r="CI1625" t="s">
        <v>20291</v>
      </c>
      <c r="CS1625" t="s">
        <v>198</v>
      </c>
      <c r="DC1625" t="s">
        <v>198</v>
      </c>
      <c r="DM1625" t="s">
        <v>198</v>
      </c>
      <c r="DW1625" t="s">
        <v>198</v>
      </c>
      <c r="EG1625" t="s">
        <v>198</v>
      </c>
      <c r="EQ1625" t="s">
        <v>198</v>
      </c>
      <c r="FA1625" t="s">
        <v>198</v>
      </c>
      <c r="FK1625" t="s">
        <v>198</v>
      </c>
      <c r="FU1625" t="s">
        <v>198</v>
      </c>
    </row>
    <row r="1626" spans="1:177">
      <c r="A1626" s="1" t="str">
        <f>HYPERLINK("http://digipan.lumentumllc.com/apps/getLink/index.php?t=PropLink&amp;p=5247619","PL")</f>
        <v>PL</v>
      </c>
      <c r="B1626" s="1" t="str">
        <f>HYPERLINK("http://digipan.lumentumllc.com/apps/getLink/index.php?t=TaxLink&amp;p=5247619","TL")</f>
        <v>TL</v>
      </c>
      <c r="C1626" s="1" t="str">
        <f>HYPERLINK("http://digipan.lumentumllc.com/apps/getMap/index.php?p=5247619","Map")</f>
        <v>Map</v>
      </c>
      <c r="E1626" t="s">
        <v>177</v>
      </c>
      <c r="F1626" t="s">
        <v>178</v>
      </c>
      <c r="L1626" t="s">
        <v>20292</v>
      </c>
      <c r="N1626" t="s">
        <v>20292</v>
      </c>
      <c r="O1626" t="s">
        <v>20292</v>
      </c>
      <c r="P1626" t="s">
        <v>20293</v>
      </c>
      <c r="Q1626" t="s">
        <v>20292</v>
      </c>
      <c r="V1626">
        <v>1860</v>
      </c>
      <c r="W1626">
        <v>6</v>
      </c>
      <c r="X1626">
        <v>2017</v>
      </c>
      <c r="Y1626">
        <v>2018</v>
      </c>
      <c r="Z1626">
        <v>370.14</v>
      </c>
      <c r="AB1626" t="s">
        <v>181</v>
      </c>
      <c r="AC1626" t="s">
        <v>182</v>
      </c>
      <c r="AD1626" t="s">
        <v>183</v>
      </c>
      <c r="AE1626">
        <v>0</v>
      </c>
      <c r="AF1626">
        <v>7</v>
      </c>
      <c r="AG1626" t="s">
        <v>528</v>
      </c>
      <c r="AH1626">
        <v>100</v>
      </c>
      <c r="AK1626">
        <v>0</v>
      </c>
      <c r="AL1626">
        <v>21018</v>
      </c>
      <c r="AM1626">
        <v>13518</v>
      </c>
      <c r="AN1626">
        <v>7500</v>
      </c>
      <c r="AO1626">
        <v>284</v>
      </c>
      <c r="AP1626">
        <v>2016</v>
      </c>
      <c r="AQ1626">
        <v>1.76</v>
      </c>
      <c r="AS1626" t="s">
        <v>20294</v>
      </c>
      <c r="AT1626" t="s">
        <v>15040</v>
      </c>
      <c r="AU1626" t="s">
        <v>177</v>
      </c>
      <c r="AV1626" t="s">
        <v>371</v>
      </c>
      <c r="AW1626" t="s">
        <v>182</v>
      </c>
      <c r="AX1626">
        <v>0</v>
      </c>
      <c r="AY1626" t="s">
        <v>312</v>
      </c>
      <c r="AZ1626" t="s">
        <v>199</v>
      </c>
      <c r="BA1626" t="s">
        <v>313</v>
      </c>
      <c r="BB1626" t="s">
        <v>191</v>
      </c>
      <c r="BC1626" t="s">
        <v>182</v>
      </c>
      <c r="BD1626" t="s">
        <v>182</v>
      </c>
      <c r="BE1626" t="s">
        <v>11045</v>
      </c>
      <c r="BF1626">
        <v>0</v>
      </c>
      <c r="BG1626">
        <v>0</v>
      </c>
      <c r="BH1626">
        <v>0</v>
      </c>
      <c r="BI1626" t="s">
        <v>199</v>
      </c>
      <c r="BJ1626" t="s">
        <v>396</v>
      </c>
      <c r="BL1626" t="s">
        <v>199</v>
      </c>
      <c r="BM1626" t="s">
        <v>533</v>
      </c>
      <c r="BN1626" t="s">
        <v>182</v>
      </c>
      <c r="BO1626" t="s">
        <v>198</v>
      </c>
      <c r="BP1626" t="s">
        <v>198</v>
      </c>
      <c r="BQ1626" t="s">
        <v>198</v>
      </c>
      <c r="BR1626" t="s">
        <v>198</v>
      </c>
      <c r="BS1626" t="s">
        <v>198</v>
      </c>
      <c r="BT1626" t="s">
        <v>198</v>
      </c>
      <c r="BU1626" t="s">
        <v>182</v>
      </c>
      <c r="BV1626" t="s">
        <v>198</v>
      </c>
      <c r="BW1626" t="s">
        <v>198</v>
      </c>
      <c r="BX1626" t="s">
        <v>199</v>
      </c>
      <c r="BY1626" t="s">
        <v>198</v>
      </c>
      <c r="BZ1626" t="s">
        <v>199</v>
      </c>
      <c r="CA1626" t="s">
        <v>199</v>
      </c>
      <c r="CB1626" t="s">
        <v>20295</v>
      </c>
      <c r="CC1626" t="s">
        <v>201</v>
      </c>
      <c r="CD1626" t="s">
        <v>202</v>
      </c>
      <c r="CE1626" t="s">
        <v>20296</v>
      </c>
      <c r="CF1626" t="s">
        <v>413</v>
      </c>
      <c r="CG1626" t="s">
        <v>177</v>
      </c>
      <c r="CH1626" t="s">
        <v>4489</v>
      </c>
      <c r="CI1626" t="s">
        <v>20297</v>
      </c>
      <c r="CJ1626" t="s">
        <v>17416</v>
      </c>
      <c r="CK1626" t="s">
        <v>232</v>
      </c>
      <c r="CL1626" t="s">
        <v>233</v>
      </c>
      <c r="CM1626" t="s">
        <v>20298</v>
      </c>
      <c r="CN1626" t="s">
        <v>235</v>
      </c>
      <c r="CO1626" t="s">
        <v>183</v>
      </c>
      <c r="CP1626" t="s">
        <v>211</v>
      </c>
      <c r="CQ1626" t="s">
        <v>250</v>
      </c>
      <c r="CS1626" t="s">
        <v>20167</v>
      </c>
      <c r="CT1626" t="s">
        <v>13112</v>
      </c>
      <c r="CU1626" t="s">
        <v>267</v>
      </c>
      <c r="CV1626" t="s">
        <v>268</v>
      </c>
      <c r="CW1626" t="s">
        <v>20299</v>
      </c>
      <c r="CX1626" t="s">
        <v>331</v>
      </c>
      <c r="CY1626" t="s">
        <v>183</v>
      </c>
      <c r="CZ1626" t="s">
        <v>211</v>
      </c>
      <c r="DA1626" t="s">
        <v>339</v>
      </c>
      <c r="DC1626" t="s">
        <v>20300</v>
      </c>
      <c r="DD1626" t="s">
        <v>19061</v>
      </c>
      <c r="DE1626" t="s">
        <v>273</v>
      </c>
      <c r="DF1626" t="s">
        <v>274</v>
      </c>
      <c r="DG1626" t="s">
        <v>20301</v>
      </c>
      <c r="DH1626" t="s">
        <v>235</v>
      </c>
      <c r="DI1626" t="s">
        <v>183</v>
      </c>
      <c r="DJ1626" t="s">
        <v>211</v>
      </c>
      <c r="DK1626" t="s">
        <v>339</v>
      </c>
      <c r="DM1626" t="s">
        <v>18101</v>
      </c>
      <c r="DN1626" t="s">
        <v>1800</v>
      </c>
      <c r="DO1626" t="s">
        <v>302</v>
      </c>
      <c r="DP1626" t="s">
        <v>303</v>
      </c>
      <c r="DQ1626" t="s">
        <v>20302</v>
      </c>
      <c r="DR1626" t="s">
        <v>440</v>
      </c>
      <c r="DS1626" t="s">
        <v>183</v>
      </c>
      <c r="DT1626" t="s">
        <v>211</v>
      </c>
      <c r="DU1626" t="s">
        <v>493</v>
      </c>
      <c r="DW1626" t="s">
        <v>18101</v>
      </c>
      <c r="DX1626" t="s">
        <v>20303</v>
      </c>
      <c r="DY1626" t="s">
        <v>238</v>
      </c>
      <c r="DZ1626" t="s">
        <v>239</v>
      </c>
      <c r="EA1626" t="s">
        <v>20304</v>
      </c>
      <c r="EB1626" t="s">
        <v>278</v>
      </c>
      <c r="EC1626" t="s">
        <v>183</v>
      </c>
      <c r="ED1626" t="s">
        <v>211</v>
      </c>
      <c r="EE1626" t="s">
        <v>298</v>
      </c>
      <c r="EG1626" t="s">
        <v>875</v>
      </c>
      <c r="EH1626" t="s">
        <v>20305</v>
      </c>
      <c r="EI1626" t="s">
        <v>346</v>
      </c>
      <c r="EJ1626" t="s">
        <v>347</v>
      </c>
      <c r="EK1626" t="s">
        <v>20306</v>
      </c>
      <c r="EL1626" t="s">
        <v>278</v>
      </c>
      <c r="EM1626" t="s">
        <v>183</v>
      </c>
      <c r="EN1626" t="s">
        <v>211</v>
      </c>
      <c r="EO1626" t="s">
        <v>264</v>
      </c>
      <c r="EQ1626" t="s">
        <v>20307</v>
      </c>
      <c r="ER1626" t="s">
        <v>18958</v>
      </c>
      <c r="ES1626" t="s">
        <v>207</v>
      </c>
      <c r="ET1626" t="s">
        <v>208</v>
      </c>
      <c r="EU1626" t="s">
        <v>20308</v>
      </c>
      <c r="EV1626" t="s">
        <v>482</v>
      </c>
      <c r="EW1626" t="s">
        <v>183</v>
      </c>
      <c r="EX1626" t="s">
        <v>211</v>
      </c>
      <c r="EY1626" t="s">
        <v>471</v>
      </c>
      <c r="FA1626" t="s">
        <v>20307</v>
      </c>
      <c r="FK1626" t="s">
        <v>198</v>
      </c>
      <c r="FU1626" t="s">
        <v>198</v>
      </c>
    </row>
    <row r="1627" spans="1:177">
      <c r="A1627" s="1" t="str">
        <f>HYPERLINK("http://digipan.lumentumllc.com/apps/getLink/index.php?t=PropLink&amp;p=4638397","PL")</f>
        <v>PL</v>
      </c>
      <c r="B1627" s="1" t="str">
        <f>HYPERLINK("http://digipan.lumentumllc.com/apps/getLink/index.php?t=TaxLink&amp;p=4638397","TL")</f>
        <v>TL</v>
      </c>
      <c r="C1627" s="1" t="str">
        <f>HYPERLINK("http://digipan.lumentumllc.com/apps/getMap/index.php?p=4638397","Map")</f>
        <v>Map</v>
      </c>
      <c r="E1627" t="s">
        <v>177</v>
      </c>
      <c r="F1627" t="s">
        <v>178</v>
      </c>
      <c r="L1627" t="s">
        <v>20309</v>
      </c>
      <c r="N1627" t="s">
        <v>20309</v>
      </c>
      <c r="O1627" t="s">
        <v>20309</v>
      </c>
      <c r="P1627" t="s">
        <v>20310</v>
      </c>
      <c r="Q1627" t="s">
        <v>20309</v>
      </c>
      <c r="V1627">
        <v>1861</v>
      </c>
      <c r="W1627">
        <v>6</v>
      </c>
      <c r="X1627">
        <v>2017</v>
      </c>
      <c r="Y1627">
        <v>2018</v>
      </c>
      <c r="Z1627">
        <v>497.42</v>
      </c>
      <c r="AB1627" t="s">
        <v>181</v>
      </c>
      <c r="AC1627" t="s">
        <v>182</v>
      </c>
      <c r="AD1627" t="s">
        <v>1037</v>
      </c>
      <c r="AE1627">
        <v>1</v>
      </c>
      <c r="AF1627">
        <v>1</v>
      </c>
      <c r="AG1627" t="s">
        <v>2222</v>
      </c>
      <c r="AH1627">
        <v>50</v>
      </c>
      <c r="AI1627">
        <v>498.94</v>
      </c>
      <c r="AJ1627">
        <v>24.95</v>
      </c>
      <c r="AK1627">
        <v>523.89</v>
      </c>
      <c r="AL1627">
        <v>28427</v>
      </c>
      <c r="AM1627">
        <v>11716</v>
      </c>
      <c r="AN1627">
        <v>16711</v>
      </c>
      <c r="AO1627">
        <v>436</v>
      </c>
      <c r="AP1627">
        <v>2016</v>
      </c>
      <c r="AQ1627">
        <v>1.75</v>
      </c>
      <c r="AR1627">
        <v>1.84</v>
      </c>
      <c r="AS1627" t="s">
        <v>20311</v>
      </c>
      <c r="AT1627" t="s">
        <v>15040</v>
      </c>
      <c r="AU1627" t="s">
        <v>177</v>
      </c>
      <c r="AV1627" t="s">
        <v>371</v>
      </c>
      <c r="AW1627" t="s">
        <v>182</v>
      </c>
      <c r="AX1627">
        <v>1</v>
      </c>
      <c r="AY1627" t="s">
        <v>188</v>
      </c>
      <c r="AZ1627" t="s">
        <v>206</v>
      </c>
      <c r="BA1627" t="s">
        <v>355</v>
      </c>
      <c r="BB1627" t="s">
        <v>191</v>
      </c>
      <c r="BC1627" t="s">
        <v>182</v>
      </c>
      <c r="BD1627" t="s">
        <v>182</v>
      </c>
      <c r="BE1627" t="s">
        <v>20287</v>
      </c>
      <c r="BF1627">
        <v>1</v>
      </c>
      <c r="BG1627">
        <v>1</v>
      </c>
      <c r="BH1627">
        <v>1950</v>
      </c>
      <c r="BI1627" t="s">
        <v>2190</v>
      </c>
      <c r="BJ1627" t="s">
        <v>285</v>
      </c>
      <c r="BK1627" t="s">
        <v>195</v>
      </c>
      <c r="BL1627" t="s">
        <v>199</v>
      </c>
      <c r="BM1627" t="s">
        <v>533</v>
      </c>
      <c r="BN1627" t="s">
        <v>182</v>
      </c>
      <c r="BO1627" t="s">
        <v>198</v>
      </c>
      <c r="BP1627" t="s">
        <v>198</v>
      </c>
      <c r="BQ1627" t="s">
        <v>198</v>
      </c>
      <c r="BR1627" t="s">
        <v>198</v>
      </c>
      <c r="BS1627" t="s">
        <v>198</v>
      </c>
      <c r="BT1627" t="s">
        <v>198</v>
      </c>
      <c r="BU1627" t="s">
        <v>182</v>
      </c>
      <c r="BV1627" t="s">
        <v>198</v>
      </c>
      <c r="BW1627" t="s">
        <v>198</v>
      </c>
      <c r="BX1627" t="s">
        <v>199</v>
      </c>
      <c r="BY1627" t="s">
        <v>198</v>
      </c>
      <c r="BZ1627" t="s">
        <v>199</v>
      </c>
      <c r="CA1627" t="s">
        <v>199</v>
      </c>
      <c r="CB1627" t="s">
        <v>20312</v>
      </c>
      <c r="CC1627" t="s">
        <v>201</v>
      </c>
      <c r="CD1627" t="s">
        <v>202</v>
      </c>
      <c r="CE1627" t="s">
        <v>20313</v>
      </c>
      <c r="CF1627" t="s">
        <v>5331</v>
      </c>
      <c r="CG1627" t="s">
        <v>177</v>
      </c>
      <c r="CH1627" t="s">
        <v>371</v>
      </c>
      <c r="CI1627" t="s">
        <v>20314</v>
      </c>
      <c r="CJ1627" t="s">
        <v>18702</v>
      </c>
      <c r="CK1627" t="s">
        <v>232</v>
      </c>
      <c r="CL1627" t="s">
        <v>233</v>
      </c>
      <c r="CM1627" t="s">
        <v>20315</v>
      </c>
      <c r="CN1627" t="s">
        <v>235</v>
      </c>
      <c r="CO1627" t="s">
        <v>183</v>
      </c>
      <c r="CP1627" t="s">
        <v>266</v>
      </c>
      <c r="CS1627" t="s">
        <v>198</v>
      </c>
      <c r="CT1627" t="s">
        <v>20316</v>
      </c>
      <c r="CU1627" t="s">
        <v>238</v>
      </c>
      <c r="CV1627" t="s">
        <v>239</v>
      </c>
      <c r="CW1627" t="s">
        <v>20317</v>
      </c>
      <c r="CX1627" t="s">
        <v>482</v>
      </c>
      <c r="CY1627" t="s">
        <v>5</v>
      </c>
      <c r="CZ1627" t="s">
        <v>211</v>
      </c>
      <c r="DA1627" t="s">
        <v>270</v>
      </c>
      <c r="DC1627" t="s">
        <v>13095</v>
      </c>
      <c r="DM1627" t="s">
        <v>198</v>
      </c>
      <c r="DW1627" t="s">
        <v>198</v>
      </c>
      <c r="EG1627" t="s">
        <v>198</v>
      </c>
      <c r="EQ1627" t="s">
        <v>198</v>
      </c>
      <c r="FA1627" t="s">
        <v>198</v>
      </c>
      <c r="FK1627" t="s">
        <v>198</v>
      </c>
      <c r="FU1627" t="s">
        <v>198</v>
      </c>
    </row>
    <row r="1628" spans="1:177">
      <c r="A1628" s="1" t="str">
        <f>HYPERLINK("http://digipan.lumentumllc.com/apps/getLink/index.php?t=PropLink&amp;p=6594343","PL")</f>
        <v>PL</v>
      </c>
      <c r="B1628" s="1" t="str">
        <f>HYPERLINK("http://digipan.lumentumllc.com/apps/getLink/index.php?t=TaxLink&amp;p=6594343","TL")</f>
        <v>TL</v>
      </c>
      <c r="C1628" s="1" t="str">
        <f>HYPERLINK("http://digipan.lumentumllc.com/apps/getMap/index.php?p=6594343","Map")</f>
        <v>Map</v>
      </c>
      <c r="E1628" t="s">
        <v>177</v>
      </c>
      <c r="F1628" t="s">
        <v>178</v>
      </c>
      <c r="L1628" t="s">
        <v>20318</v>
      </c>
      <c r="N1628" t="s">
        <v>20318</v>
      </c>
      <c r="O1628" t="s">
        <v>20318</v>
      </c>
      <c r="P1628" t="s">
        <v>20319</v>
      </c>
      <c r="Q1628" t="s">
        <v>20318</v>
      </c>
      <c r="V1628">
        <v>1862</v>
      </c>
      <c r="W1628">
        <v>6</v>
      </c>
      <c r="X1628">
        <v>2017</v>
      </c>
      <c r="Y1628">
        <v>2018</v>
      </c>
      <c r="Z1628">
        <v>979.96</v>
      </c>
      <c r="AB1628" t="s">
        <v>181</v>
      </c>
      <c r="AC1628" t="s">
        <v>182</v>
      </c>
      <c r="AD1628" t="s">
        <v>183</v>
      </c>
      <c r="AE1628">
        <v>1</v>
      </c>
      <c r="AF1628">
        <v>2</v>
      </c>
      <c r="AG1628" t="s">
        <v>363</v>
      </c>
      <c r="AH1628">
        <v>67</v>
      </c>
      <c r="AI1628">
        <v>981.21</v>
      </c>
      <c r="AJ1628">
        <v>49.06</v>
      </c>
      <c r="AK1628">
        <v>1030.27</v>
      </c>
      <c r="AL1628">
        <v>61984</v>
      </c>
      <c r="AM1628">
        <v>21000</v>
      </c>
      <c r="AN1628">
        <v>40984</v>
      </c>
      <c r="AO1628">
        <v>762</v>
      </c>
      <c r="AP1628">
        <v>2016</v>
      </c>
      <c r="AQ1628">
        <v>1.58</v>
      </c>
      <c r="AR1628">
        <v>1.66</v>
      </c>
      <c r="AS1628" t="s">
        <v>20320</v>
      </c>
      <c r="AT1628" t="s">
        <v>15040</v>
      </c>
      <c r="AU1628" t="s">
        <v>177</v>
      </c>
      <c r="AV1628" t="s">
        <v>371</v>
      </c>
      <c r="AW1628" t="s">
        <v>182</v>
      </c>
      <c r="AX1628">
        <v>2</v>
      </c>
      <c r="AY1628" t="s">
        <v>188</v>
      </c>
      <c r="AZ1628" t="s">
        <v>189</v>
      </c>
      <c r="BA1628" t="s">
        <v>190</v>
      </c>
      <c r="BB1628" t="s">
        <v>191</v>
      </c>
      <c r="BC1628" t="s">
        <v>182</v>
      </c>
      <c r="BD1628" t="s">
        <v>182</v>
      </c>
      <c r="BE1628" t="s">
        <v>8792</v>
      </c>
      <c r="BF1628">
        <v>2</v>
      </c>
      <c r="BG1628">
        <v>2</v>
      </c>
      <c r="BH1628">
        <v>1994</v>
      </c>
      <c r="BI1628" t="s">
        <v>20321</v>
      </c>
      <c r="BJ1628" t="s">
        <v>194</v>
      </c>
      <c r="BK1628" t="s">
        <v>195</v>
      </c>
      <c r="BL1628" t="s">
        <v>841</v>
      </c>
      <c r="BM1628" t="s">
        <v>533</v>
      </c>
      <c r="BN1628" t="s">
        <v>182</v>
      </c>
      <c r="BO1628" t="s">
        <v>20322</v>
      </c>
      <c r="BP1628" t="s">
        <v>20323</v>
      </c>
      <c r="BS1628" t="s">
        <v>20324</v>
      </c>
      <c r="BT1628" t="s">
        <v>198</v>
      </c>
      <c r="BU1628" t="s">
        <v>182</v>
      </c>
      <c r="BV1628" t="s">
        <v>198</v>
      </c>
      <c r="BW1628" t="s">
        <v>198</v>
      </c>
      <c r="BX1628" t="s">
        <v>199</v>
      </c>
      <c r="BY1628" t="s">
        <v>198</v>
      </c>
      <c r="BZ1628" t="s">
        <v>199</v>
      </c>
      <c r="CA1628" t="s">
        <v>199</v>
      </c>
      <c r="CB1628" t="s">
        <v>20325</v>
      </c>
      <c r="CC1628" t="s">
        <v>201</v>
      </c>
      <c r="CD1628" t="s">
        <v>202</v>
      </c>
      <c r="CE1628" t="s">
        <v>20326</v>
      </c>
      <c r="CF1628" t="s">
        <v>2333</v>
      </c>
      <c r="CG1628" t="s">
        <v>177</v>
      </c>
      <c r="CH1628" t="s">
        <v>2334</v>
      </c>
      <c r="CI1628" t="s">
        <v>20327</v>
      </c>
      <c r="CJ1628" t="s">
        <v>4354</v>
      </c>
      <c r="CK1628" t="s">
        <v>292</v>
      </c>
      <c r="CL1628" t="s">
        <v>293</v>
      </c>
      <c r="CM1628" t="s">
        <v>20328</v>
      </c>
      <c r="CN1628" t="s">
        <v>1722</v>
      </c>
      <c r="CO1628" t="s">
        <v>183</v>
      </c>
      <c r="CP1628" t="s">
        <v>266</v>
      </c>
      <c r="CS1628" t="s">
        <v>198</v>
      </c>
      <c r="CT1628" t="s">
        <v>15469</v>
      </c>
      <c r="CU1628" t="s">
        <v>267</v>
      </c>
      <c r="CV1628" t="s">
        <v>268</v>
      </c>
      <c r="CW1628" t="s">
        <v>20329</v>
      </c>
      <c r="CX1628" t="s">
        <v>235</v>
      </c>
      <c r="CY1628" t="s">
        <v>183</v>
      </c>
      <c r="CZ1628" t="s">
        <v>211</v>
      </c>
      <c r="DA1628" t="s">
        <v>298</v>
      </c>
      <c r="DC1628" t="s">
        <v>5919</v>
      </c>
      <c r="DD1628" t="s">
        <v>11810</v>
      </c>
      <c r="DE1628" t="s">
        <v>273</v>
      </c>
      <c r="DF1628" t="s">
        <v>274</v>
      </c>
      <c r="DG1628" t="s">
        <v>20330</v>
      </c>
      <c r="DH1628" t="s">
        <v>235</v>
      </c>
      <c r="DI1628" t="s">
        <v>183</v>
      </c>
      <c r="DJ1628" t="s">
        <v>211</v>
      </c>
      <c r="DK1628" t="s">
        <v>298</v>
      </c>
      <c r="DM1628" t="s">
        <v>3408</v>
      </c>
      <c r="DW1628" t="s">
        <v>198</v>
      </c>
      <c r="EG1628" t="s">
        <v>198</v>
      </c>
      <c r="EQ1628" t="s">
        <v>198</v>
      </c>
      <c r="FA1628" t="s">
        <v>198</v>
      </c>
      <c r="FK1628" t="s">
        <v>198</v>
      </c>
      <c r="FU1628" t="s">
        <v>198</v>
      </c>
    </row>
    <row r="1629" spans="1:177">
      <c r="A1629" s="1" t="str">
        <f>HYPERLINK("http://digipan.lumentumllc.com/apps/getLink/index.php?t=PropLink&amp;p=5247620","PL")</f>
        <v>PL</v>
      </c>
      <c r="B1629" s="1" t="str">
        <f>HYPERLINK("http://digipan.lumentumllc.com/apps/getLink/index.php?t=TaxLink&amp;p=5247620","TL")</f>
        <v>TL</v>
      </c>
      <c r="C1629" s="1" t="str">
        <f>HYPERLINK("http://digipan.lumentumllc.com/apps/getMap/index.php?p=5247620","Map")</f>
        <v>Map</v>
      </c>
      <c r="E1629" t="s">
        <v>177</v>
      </c>
      <c r="F1629" t="s">
        <v>178</v>
      </c>
      <c r="L1629" t="s">
        <v>20331</v>
      </c>
      <c r="N1629" t="s">
        <v>20331</v>
      </c>
      <c r="O1629" t="s">
        <v>20331</v>
      </c>
      <c r="P1629" t="s">
        <v>20332</v>
      </c>
      <c r="Q1629" t="s">
        <v>20331</v>
      </c>
      <c r="V1629">
        <v>1863</v>
      </c>
      <c r="W1629">
        <v>6</v>
      </c>
      <c r="X1629">
        <v>2017</v>
      </c>
      <c r="Y1629">
        <v>2018</v>
      </c>
      <c r="Z1629">
        <v>521.23</v>
      </c>
      <c r="AB1629" t="s">
        <v>181</v>
      </c>
      <c r="AC1629" t="s">
        <v>202</v>
      </c>
      <c r="AD1629" t="s">
        <v>183</v>
      </c>
      <c r="AE1629">
        <v>0</v>
      </c>
      <c r="AF1629">
        <v>6</v>
      </c>
      <c r="AG1629" t="s">
        <v>3266</v>
      </c>
      <c r="AH1629">
        <v>100</v>
      </c>
      <c r="AK1629">
        <v>0</v>
      </c>
      <c r="AL1629">
        <v>29881</v>
      </c>
      <c r="AM1629">
        <v>7875</v>
      </c>
      <c r="AN1629">
        <v>22006</v>
      </c>
      <c r="AO1629">
        <v>430</v>
      </c>
      <c r="AP1629">
        <v>2016</v>
      </c>
      <c r="AQ1629">
        <v>1.74</v>
      </c>
      <c r="AS1629" t="s">
        <v>20333</v>
      </c>
      <c r="AT1629" t="s">
        <v>15040</v>
      </c>
      <c r="AU1629" t="s">
        <v>177</v>
      </c>
      <c r="AV1629" t="s">
        <v>371</v>
      </c>
      <c r="AW1629" t="s">
        <v>182</v>
      </c>
      <c r="AX1629">
        <v>1</v>
      </c>
      <c r="AY1629" t="s">
        <v>188</v>
      </c>
      <c r="AZ1629" t="s">
        <v>206</v>
      </c>
      <c r="BA1629" t="s">
        <v>355</v>
      </c>
      <c r="BB1629" t="s">
        <v>191</v>
      </c>
      <c r="BC1629" t="s">
        <v>182</v>
      </c>
      <c r="BD1629" t="s">
        <v>182</v>
      </c>
      <c r="BE1629" t="s">
        <v>3956</v>
      </c>
      <c r="BF1629">
        <v>2</v>
      </c>
      <c r="BG1629">
        <v>2</v>
      </c>
      <c r="BH1629">
        <v>1985</v>
      </c>
      <c r="BI1629" t="s">
        <v>346</v>
      </c>
      <c r="BJ1629" t="s">
        <v>194</v>
      </c>
      <c r="BK1629" t="s">
        <v>195</v>
      </c>
      <c r="BL1629" t="s">
        <v>13080</v>
      </c>
      <c r="BM1629" t="s">
        <v>4513</v>
      </c>
      <c r="BN1629" t="s">
        <v>182</v>
      </c>
      <c r="BO1629" t="s">
        <v>198</v>
      </c>
      <c r="BP1629" t="s">
        <v>198</v>
      </c>
      <c r="BQ1629" t="s">
        <v>198</v>
      </c>
      <c r="BR1629" t="s">
        <v>198</v>
      </c>
      <c r="BS1629" t="s">
        <v>198</v>
      </c>
      <c r="BT1629" t="s">
        <v>198</v>
      </c>
      <c r="BU1629" t="s">
        <v>182</v>
      </c>
      <c r="BV1629" t="s">
        <v>198</v>
      </c>
      <c r="BW1629" t="s">
        <v>198</v>
      </c>
      <c r="BX1629" t="s">
        <v>199</v>
      </c>
      <c r="BY1629" t="s">
        <v>198</v>
      </c>
      <c r="BZ1629" t="s">
        <v>199</v>
      </c>
      <c r="CA1629" t="s">
        <v>199</v>
      </c>
      <c r="CB1629" t="s">
        <v>20334</v>
      </c>
      <c r="CC1629" t="s">
        <v>201</v>
      </c>
      <c r="CD1629" t="s">
        <v>202</v>
      </c>
      <c r="CE1629" t="s">
        <v>20335</v>
      </c>
      <c r="CF1629" t="s">
        <v>5331</v>
      </c>
      <c r="CG1629" t="s">
        <v>177</v>
      </c>
      <c r="CH1629" t="s">
        <v>371</v>
      </c>
      <c r="CI1629" t="s">
        <v>20336</v>
      </c>
      <c r="CJ1629" t="s">
        <v>19552</v>
      </c>
      <c r="CK1629" t="s">
        <v>292</v>
      </c>
      <c r="CL1629" t="s">
        <v>293</v>
      </c>
      <c r="CM1629" t="s">
        <v>20337</v>
      </c>
      <c r="CN1629" t="s">
        <v>387</v>
      </c>
      <c r="CO1629" t="s">
        <v>183</v>
      </c>
      <c r="CP1629" t="s">
        <v>211</v>
      </c>
      <c r="CQ1629" t="s">
        <v>270</v>
      </c>
      <c r="CR1629" t="s">
        <v>271</v>
      </c>
      <c r="CS1629" t="s">
        <v>4800</v>
      </c>
      <c r="CT1629" t="s">
        <v>18393</v>
      </c>
      <c r="CU1629" t="s">
        <v>267</v>
      </c>
      <c r="CV1629" t="s">
        <v>268</v>
      </c>
      <c r="CW1629" t="s">
        <v>20338</v>
      </c>
      <c r="CX1629" t="s">
        <v>511</v>
      </c>
      <c r="CY1629" t="s">
        <v>183</v>
      </c>
      <c r="CZ1629" t="s">
        <v>211</v>
      </c>
      <c r="DB1629" t="s">
        <v>271</v>
      </c>
      <c r="DC1629" t="s">
        <v>198</v>
      </c>
      <c r="DD1629" t="s">
        <v>15940</v>
      </c>
      <c r="DE1629" t="s">
        <v>302</v>
      </c>
      <c r="DF1629" t="s">
        <v>303</v>
      </c>
      <c r="DG1629" t="s">
        <v>20339</v>
      </c>
      <c r="DH1629" t="s">
        <v>235</v>
      </c>
      <c r="DI1629" t="s">
        <v>183</v>
      </c>
      <c r="DJ1629" t="s">
        <v>211</v>
      </c>
      <c r="DK1629" t="s">
        <v>270</v>
      </c>
      <c r="DM1629" t="s">
        <v>17022</v>
      </c>
      <c r="DN1629" t="s">
        <v>20340</v>
      </c>
      <c r="DO1629" t="s">
        <v>238</v>
      </c>
      <c r="DP1629" t="s">
        <v>239</v>
      </c>
      <c r="DQ1629" t="s">
        <v>20341</v>
      </c>
      <c r="DR1629" t="s">
        <v>440</v>
      </c>
      <c r="DS1629" t="s">
        <v>183</v>
      </c>
      <c r="DT1629" t="s">
        <v>211</v>
      </c>
      <c r="DU1629" t="s">
        <v>337</v>
      </c>
      <c r="DW1629" t="s">
        <v>1349</v>
      </c>
      <c r="DX1629" t="s">
        <v>1297</v>
      </c>
      <c r="DY1629" t="s">
        <v>346</v>
      </c>
      <c r="DZ1629" t="s">
        <v>347</v>
      </c>
      <c r="EA1629" t="s">
        <v>20342</v>
      </c>
      <c r="EB1629" t="s">
        <v>440</v>
      </c>
      <c r="EC1629" t="s">
        <v>183</v>
      </c>
      <c r="ED1629" t="s">
        <v>211</v>
      </c>
      <c r="EE1629" t="s">
        <v>337</v>
      </c>
      <c r="EG1629" t="s">
        <v>1352</v>
      </c>
      <c r="EH1629" t="s">
        <v>18963</v>
      </c>
      <c r="EI1629" t="s">
        <v>207</v>
      </c>
      <c r="EJ1629" t="s">
        <v>208</v>
      </c>
      <c r="EK1629" t="s">
        <v>20343</v>
      </c>
      <c r="EL1629" t="s">
        <v>469</v>
      </c>
      <c r="EM1629" t="s">
        <v>183</v>
      </c>
      <c r="EN1629" t="s">
        <v>211</v>
      </c>
      <c r="EO1629" t="s">
        <v>337</v>
      </c>
      <c r="EQ1629" t="s">
        <v>20242</v>
      </c>
      <c r="FA1629" t="s">
        <v>198</v>
      </c>
      <c r="FK1629" t="s">
        <v>198</v>
      </c>
      <c r="FU1629" t="s">
        <v>198</v>
      </c>
    </row>
    <row r="1630" spans="1:177">
      <c r="A1630" s="1" t="str">
        <f>HYPERLINK("http://digipan.lumentumllc.com/apps/getLink/index.php?t=PropLink&amp;p=5247621","PL")</f>
        <v>PL</v>
      </c>
      <c r="B1630" s="1" t="str">
        <f>HYPERLINK("http://digipan.lumentumllc.com/apps/getLink/index.php?t=TaxLink&amp;p=5247621","TL")</f>
        <v>TL</v>
      </c>
      <c r="C1630" s="1" t="str">
        <f>HYPERLINK("http://digipan.lumentumllc.com/apps/getMap/index.php?p=5247621","Map")</f>
        <v>Map</v>
      </c>
      <c r="E1630" t="s">
        <v>177</v>
      </c>
      <c r="F1630" t="s">
        <v>178</v>
      </c>
      <c r="L1630" t="s">
        <v>20344</v>
      </c>
      <c r="N1630" t="s">
        <v>20344</v>
      </c>
      <c r="O1630" t="s">
        <v>20344</v>
      </c>
      <c r="P1630" t="s">
        <v>20345</v>
      </c>
      <c r="Q1630" t="s">
        <v>20344</v>
      </c>
      <c r="V1630">
        <v>1864</v>
      </c>
      <c r="W1630">
        <v>6</v>
      </c>
      <c r="X1630">
        <v>2017</v>
      </c>
      <c r="Y1630">
        <v>2018</v>
      </c>
      <c r="Z1630">
        <v>563.04999999999995</v>
      </c>
      <c r="AB1630" t="s">
        <v>181</v>
      </c>
      <c r="AC1630" t="s">
        <v>202</v>
      </c>
      <c r="AD1630" t="s">
        <v>183</v>
      </c>
      <c r="AE1630">
        <v>1</v>
      </c>
      <c r="AF1630">
        <v>4</v>
      </c>
      <c r="AG1630" t="s">
        <v>257</v>
      </c>
      <c r="AH1630">
        <v>75</v>
      </c>
      <c r="AI1630">
        <v>565.49</v>
      </c>
      <c r="AJ1630">
        <v>28.27</v>
      </c>
      <c r="AK1630">
        <v>593.76</v>
      </c>
      <c r="AL1630">
        <v>32435</v>
      </c>
      <c r="AM1630">
        <v>15765</v>
      </c>
      <c r="AN1630">
        <v>16670</v>
      </c>
      <c r="AO1630">
        <v>498</v>
      </c>
      <c r="AP1630">
        <v>2016</v>
      </c>
      <c r="AQ1630">
        <v>1.74</v>
      </c>
      <c r="AR1630">
        <v>1.83</v>
      </c>
      <c r="AS1630" t="s">
        <v>20346</v>
      </c>
      <c r="AT1630" t="s">
        <v>15040</v>
      </c>
      <c r="AU1630" t="s">
        <v>177</v>
      </c>
      <c r="AV1630" t="s">
        <v>371</v>
      </c>
      <c r="AW1630" t="s">
        <v>182</v>
      </c>
      <c r="AX1630">
        <v>2</v>
      </c>
      <c r="AY1630" t="s">
        <v>188</v>
      </c>
      <c r="AZ1630" t="s">
        <v>189</v>
      </c>
      <c r="BA1630" t="s">
        <v>190</v>
      </c>
      <c r="BB1630" t="s">
        <v>191</v>
      </c>
      <c r="BC1630" t="s">
        <v>182</v>
      </c>
      <c r="BD1630" t="s">
        <v>182</v>
      </c>
      <c r="BE1630" t="s">
        <v>4906</v>
      </c>
      <c r="BF1630">
        <v>1</v>
      </c>
      <c r="BG1630">
        <v>1</v>
      </c>
      <c r="BH1630">
        <v>1982</v>
      </c>
      <c r="BI1630" t="s">
        <v>12782</v>
      </c>
      <c r="BJ1630" t="s">
        <v>194</v>
      </c>
      <c r="BK1630" t="s">
        <v>195</v>
      </c>
      <c r="BL1630" t="s">
        <v>199</v>
      </c>
      <c r="BM1630" t="s">
        <v>346</v>
      </c>
      <c r="BN1630" t="s">
        <v>182</v>
      </c>
      <c r="BO1630" t="s">
        <v>198</v>
      </c>
      <c r="BP1630" t="s">
        <v>198</v>
      </c>
      <c r="BQ1630" t="s">
        <v>198</v>
      </c>
      <c r="BR1630" t="s">
        <v>198</v>
      </c>
      <c r="BS1630" t="s">
        <v>198</v>
      </c>
      <c r="BT1630" t="s">
        <v>198</v>
      </c>
      <c r="BU1630" t="s">
        <v>182</v>
      </c>
      <c r="BV1630" t="s">
        <v>198</v>
      </c>
      <c r="BW1630" t="s">
        <v>198</v>
      </c>
      <c r="BX1630" t="s">
        <v>199</v>
      </c>
      <c r="BY1630" t="s">
        <v>198</v>
      </c>
      <c r="BZ1630" t="s">
        <v>199</v>
      </c>
      <c r="CA1630" t="s">
        <v>199</v>
      </c>
      <c r="CB1630" t="s">
        <v>20347</v>
      </c>
      <c r="CC1630" t="s">
        <v>201</v>
      </c>
      <c r="CD1630" t="s">
        <v>182</v>
      </c>
      <c r="CE1630" t="s">
        <v>20348</v>
      </c>
      <c r="CF1630" t="s">
        <v>9760</v>
      </c>
      <c r="CG1630" t="s">
        <v>177</v>
      </c>
      <c r="CH1630" t="s">
        <v>9761</v>
      </c>
      <c r="CI1630" t="s">
        <v>20349</v>
      </c>
      <c r="CJ1630" t="s">
        <v>1143</v>
      </c>
      <c r="CK1630" t="s">
        <v>232</v>
      </c>
      <c r="CL1630" t="s">
        <v>233</v>
      </c>
      <c r="CM1630" t="s">
        <v>20350</v>
      </c>
      <c r="CN1630" t="s">
        <v>1722</v>
      </c>
      <c r="CO1630" t="s">
        <v>183</v>
      </c>
      <c r="CP1630" t="s">
        <v>266</v>
      </c>
      <c r="CS1630" t="s">
        <v>198</v>
      </c>
      <c r="CT1630" t="s">
        <v>4406</v>
      </c>
      <c r="CU1630" t="s">
        <v>292</v>
      </c>
      <c r="CV1630" t="s">
        <v>293</v>
      </c>
      <c r="CW1630" t="s">
        <v>20351</v>
      </c>
      <c r="CX1630" t="s">
        <v>333</v>
      </c>
      <c r="CY1630" t="s">
        <v>183</v>
      </c>
      <c r="CZ1630" t="s">
        <v>211</v>
      </c>
      <c r="DA1630" t="s">
        <v>342</v>
      </c>
      <c r="DC1630" t="s">
        <v>8069</v>
      </c>
      <c r="DD1630" t="s">
        <v>19019</v>
      </c>
      <c r="DE1630" t="s">
        <v>267</v>
      </c>
      <c r="DF1630" t="s">
        <v>268</v>
      </c>
      <c r="DG1630" t="s">
        <v>20352</v>
      </c>
      <c r="DH1630" t="s">
        <v>511</v>
      </c>
      <c r="DI1630" t="s">
        <v>183</v>
      </c>
      <c r="DJ1630" t="s">
        <v>211</v>
      </c>
      <c r="DK1630" t="s">
        <v>199</v>
      </c>
      <c r="DM1630" t="s">
        <v>20353</v>
      </c>
      <c r="DN1630" t="s">
        <v>16824</v>
      </c>
      <c r="DO1630" t="s">
        <v>346</v>
      </c>
      <c r="DP1630" t="s">
        <v>347</v>
      </c>
      <c r="DQ1630" t="s">
        <v>20354</v>
      </c>
      <c r="DR1630" t="s">
        <v>440</v>
      </c>
      <c r="DS1630" t="s">
        <v>183</v>
      </c>
      <c r="DT1630" t="s">
        <v>211</v>
      </c>
      <c r="DU1630" t="s">
        <v>329</v>
      </c>
      <c r="DV1630" t="s">
        <v>271</v>
      </c>
      <c r="DW1630" t="s">
        <v>1167</v>
      </c>
      <c r="DX1630" t="s">
        <v>18973</v>
      </c>
      <c r="DY1630" t="s">
        <v>207</v>
      </c>
      <c r="DZ1630" t="s">
        <v>208</v>
      </c>
      <c r="EA1630" t="s">
        <v>20355</v>
      </c>
      <c r="EB1630" t="s">
        <v>1966</v>
      </c>
      <c r="EC1630" t="s">
        <v>183</v>
      </c>
      <c r="ED1630" t="s">
        <v>211</v>
      </c>
      <c r="EE1630" t="s">
        <v>298</v>
      </c>
      <c r="EF1630" t="s">
        <v>271</v>
      </c>
      <c r="EG1630" t="s">
        <v>1167</v>
      </c>
      <c r="EQ1630" t="s">
        <v>198</v>
      </c>
      <c r="FA1630" t="s">
        <v>198</v>
      </c>
      <c r="FK1630" t="s">
        <v>198</v>
      </c>
      <c r="FU1630" t="s">
        <v>198</v>
      </c>
    </row>
    <row r="1631" spans="1:177">
      <c r="A1631" s="1" t="str">
        <f>HYPERLINK("http://digipan.lumentumllc.com/apps/getLink/index.php?t=PropLink&amp;p=5247622","PL")</f>
        <v>PL</v>
      </c>
      <c r="B1631" s="1" t="str">
        <f>HYPERLINK("http://digipan.lumentumllc.com/apps/getLink/index.php?t=TaxLink&amp;p=5247622","TL")</f>
        <v>TL</v>
      </c>
      <c r="C1631" s="1" t="str">
        <f>HYPERLINK("http://digipan.lumentumllc.com/apps/getMap/index.php?p=5247622","Map")</f>
        <v>Map</v>
      </c>
      <c r="E1631" t="s">
        <v>177</v>
      </c>
      <c r="F1631" t="s">
        <v>178</v>
      </c>
      <c r="L1631" t="s">
        <v>20356</v>
      </c>
      <c r="N1631" t="s">
        <v>20356</v>
      </c>
      <c r="O1631" t="s">
        <v>20356</v>
      </c>
      <c r="P1631" t="s">
        <v>20357</v>
      </c>
      <c r="Q1631" t="s">
        <v>20356</v>
      </c>
      <c r="V1631">
        <v>1865</v>
      </c>
      <c r="W1631">
        <v>6</v>
      </c>
      <c r="X1631">
        <v>2017</v>
      </c>
      <c r="Y1631">
        <v>2018</v>
      </c>
      <c r="Z1631">
        <v>517.48</v>
      </c>
      <c r="AB1631" t="s">
        <v>181</v>
      </c>
      <c r="AC1631" t="s">
        <v>182</v>
      </c>
      <c r="AD1631" t="s">
        <v>183</v>
      </c>
      <c r="AE1631">
        <v>1</v>
      </c>
      <c r="AF1631">
        <v>5</v>
      </c>
      <c r="AG1631" t="s">
        <v>951</v>
      </c>
      <c r="AH1631">
        <v>80</v>
      </c>
      <c r="AI1631">
        <v>1029.99</v>
      </c>
      <c r="AJ1631">
        <v>51.5</v>
      </c>
      <c r="AK1631">
        <v>1081.49</v>
      </c>
      <c r="AL1631">
        <v>29651</v>
      </c>
      <c r="AM1631">
        <v>13983</v>
      </c>
      <c r="AN1631">
        <v>15668</v>
      </c>
      <c r="AO1631">
        <v>927</v>
      </c>
      <c r="AP1631">
        <v>2016</v>
      </c>
      <c r="AQ1631">
        <v>1.75</v>
      </c>
      <c r="AR1631">
        <v>3.65</v>
      </c>
      <c r="AS1631" t="s">
        <v>20358</v>
      </c>
      <c r="AT1631" t="s">
        <v>15040</v>
      </c>
      <c r="AU1631" t="s">
        <v>177</v>
      </c>
      <c r="AV1631" t="s">
        <v>371</v>
      </c>
      <c r="AW1631" t="s">
        <v>182</v>
      </c>
      <c r="AX1631">
        <v>1</v>
      </c>
      <c r="AY1631" t="s">
        <v>188</v>
      </c>
      <c r="AZ1631" t="s">
        <v>206</v>
      </c>
      <c r="BA1631" t="s">
        <v>355</v>
      </c>
      <c r="BB1631" t="s">
        <v>191</v>
      </c>
      <c r="BC1631" t="s">
        <v>182</v>
      </c>
      <c r="BD1631" t="s">
        <v>182</v>
      </c>
      <c r="BE1631" t="s">
        <v>8875</v>
      </c>
      <c r="BF1631">
        <v>1</v>
      </c>
      <c r="BG1631">
        <v>1</v>
      </c>
      <c r="BH1631">
        <v>1957</v>
      </c>
      <c r="BI1631" t="s">
        <v>17466</v>
      </c>
      <c r="BJ1631" t="s">
        <v>194</v>
      </c>
      <c r="BK1631" t="s">
        <v>195</v>
      </c>
      <c r="BL1631" t="s">
        <v>199</v>
      </c>
      <c r="BM1631" t="s">
        <v>207</v>
      </c>
      <c r="BN1631" t="s">
        <v>182</v>
      </c>
      <c r="BO1631" t="s">
        <v>198</v>
      </c>
      <c r="BP1631" t="s">
        <v>198</v>
      </c>
      <c r="BQ1631" t="s">
        <v>198</v>
      </c>
      <c r="BR1631" t="s">
        <v>198</v>
      </c>
      <c r="BS1631" t="s">
        <v>198</v>
      </c>
      <c r="BT1631" t="s">
        <v>198</v>
      </c>
      <c r="BU1631" t="s">
        <v>182</v>
      </c>
      <c r="BV1631" t="s">
        <v>198</v>
      </c>
      <c r="BW1631" t="s">
        <v>198</v>
      </c>
      <c r="BX1631" t="s">
        <v>199</v>
      </c>
      <c r="BY1631" t="s">
        <v>198</v>
      </c>
      <c r="BZ1631" t="s">
        <v>199</v>
      </c>
      <c r="CA1631" t="s">
        <v>199</v>
      </c>
      <c r="CB1631" t="s">
        <v>20347</v>
      </c>
      <c r="CC1631" t="s">
        <v>201</v>
      </c>
      <c r="CD1631" t="s">
        <v>182</v>
      </c>
      <c r="CE1631" t="s">
        <v>20348</v>
      </c>
      <c r="CF1631" t="s">
        <v>9760</v>
      </c>
      <c r="CG1631" t="s">
        <v>177</v>
      </c>
      <c r="CH1631" t="s">
        <v>9761</v>
      </c>
      <c r="CI1631" t="s">
        <v>20349</v>
      </c>
      <c r="CJ1631" t="s">
        <v>17425</v>
      </c>
      <c r="CK1631" t="s">
        <v>232</v>
      </c>
      <c r="CL1631" t="s">
        <v>233</v>
      </c>
      <c r="CM1631" t="s">
        <v>20359</v>
      </c>
      <c r="CN1631" t="s">
        <v>1722</v>
      </c>
      <c r="CO1631" t="s">
        <v>183</v>
      </c>
      <c r="CP1631" t="s">
        <v>266</v>
      </c>
      <c r="CS1631" t="s">
        <v>198</v>
      </c>
      <c r="CT1631" t="s">
        <v>4428</v>
      </c>
      <c r="CU1631" t="s">
        <v>292</v>
      </c>
      <c r="CV1631" t="s">
        <v>293</v>
      </c>
      <c r="CW1631" t="s">
        <v>20360</v>
      </c>
      <c r="CX1631" t="s">
        <v>235</v>
      </c>
      <c r="CY1631" t="s">
        <v>183</v>
      </c>
      <c r="CZ1631" t="s">
        <v>211</v>
      </c>
      <c r="DA1631" t="s">
        <v>342</v>
      </c>
      <c r="DC1631" t="s">
        <v>8069</v>
      </c>
      <c r="DD1631" t="s">
        <v>19040</v>
      </c>
      <c r="DE1631" t="s">
        <v>267</v>
      </c>
      <c r="DF1631" t="s">
        <v>268</v>
      </c>
      <c r="DG1631" t="s">
        <v>20361</v>
      </c>
      <c r="DH1631" t="s">
        <v>235</v>
      </c>
      <c r="DI1631" t="s">
        <v>183</v>
      </c>
      <c r="DJ1631" t="s">
        <v>211</v>
      </c>
      <c r="DK1631" t="s">
        <v>199</v>
      </c>
      <c r="DM1631" t="s">
        <v>20353</v>
      </c>
      <c r="DN1631" t="s">
        <v>20362</v>
      </c>
      <c r="DO1631" t="s">
        <v>238</v>
      </c>
      <c r="DP1631" t="s">
        <v>239</v>
      </c>
      <c r="DQ1631" t="s">
        <v>20363</v>
      </c>
      <c r="DR1631" t="s">
        <v>1966</v>
      </c>
      <c r="DS1631" t="s">
        <v>183</v>
      </c>
      <c r="DT1631" t="s">
        <v>211</v>
      </c>
      <c r="DU1631" t="s">
        <v>329</v>
      </c>
      <c r="DW1631" t="s">
        <v>20364</v>
      </c>
      <c r="DX1631" t="s">
        <v>16838</v>
      </c>
      <c r="DY1631" t="s">
        <v>346</v>
      </c>
      <c r="DZ1631" t="s">
        <v>347</v>
      </c>
      <c r="EA1631" t="s">
        <v>20365</v>
      </c>
      <c r="EB1631" t="s">
        <v>440</v>
      </c>
      <c r="EC1631" t="s">
        <v>183</v>
      </c>
      <c r="ED1631" t="s">
        <v>211</v>
      </c>
      <c r="EE1631" t="s">
        <v>298</v>
      </c>
      <c r="EG1631" t="s">
        <v>20364</v>
      </c>
      <c r="EH1631" t="s">
        <v>18985</v>
      </c>
      <c r="EI1631" t="s">
        <v>207</v>
      </c>
      <c r="EJ1631" t="s">
        <v>208</v>
      </c>
      <c r="EK1631" t="s">
        <v>20366</v>
      </c>
      <c r="EL1631" t="s">
        <v>341</v>
      </c>
      <c r="EM1631" t="s">
        <v>183</v>
      </c>
      <c r="EN1631" t="s">
        <v>211</v>
      </c>
      <c r="EO1631" t="s">
        <v>334</v>
      </c>
      <c r="EQ1631" t="s">
        <v>20367</v>
      </c>
      <c r="FA1631" t="s">
        <v>198</v>
      </c>
      <c r="FK1631" t="s">
        <v>198</v>
      </c>
      <c r="FU1631" t="s">
        <v>198</v>
      </c>
    </row>
    <row r="1632" spans="1:177">
      <c r="A1632" s="1" t="str">
        <f>HYPERLINK("http://digipan.lumentumllc.com/apps/getLink/index.php?t=PropLink&amp;p=5247623","PL")</f>
        <v>PL</v>
      </c>
      <c r="B1632" s="1" t="str">
        <f>HYPERLINK("http://digipan.lumentumllc.com/apps/getLink/index.php?t=TaxLink&amp;p=5247623","TL")</f>
        <v>TL</v>
      </c>
      <c r="C1632" s="1" t="str">
        <f>HYPERLINK("http://digipan.lumentumllc.com/apps/getMap/index.php?p=5247623","Map")</f>
        <v>Map</v>
      </c>
      <c r="E1632" t="s">
        <v>177</v>
      </c>
      <c r="F1632" t="s">
        <v>178</v>
      </c>
      <c r="L1632" t="s">
        <v>20368</v>
      </c>
      <c r="N1632" t="s">
        <v>20368</v>
      </c>
      <c r="O1632" t="s">
        <v>20368</v>
      </c>
      <c r="P1632" t="s">
        <v>20369</v>
      </c>
      <c r="Q1632" t="s">
        <v>20368</v>
      </c>
      <c r="V1632">
        <v>1866</v>
      </c>
      <c r="W1632">
        <v>6</v>
      </c>
      <c r="X1632">
        <v>2017</v>
      </c>
      <c r="Y1632">
        <v>2018</v>
      </c>
      <c r="Z1632">
        <v>260.94</v>
      </c>
      <c r="AB1632" t="s">
        <v>181</v>
      </c>
      <c r="AC1632" t="s">
        <v>182</v>
      </c>
      <c r="AD1632" t="s">
        <v>183</v>
      </c>
      <c r="AE1632">
        <v>1</v>
      </c>
      <c r="AF1632">
        <v>5</v>
      </c>
      <c r="AG1632" t="s">
        <v>951</v>
      </c>
      <c r="AH1632">
        <v>80</v>
      </c>
      <c r="AI1632">
        <v>259.16000000000003</v>
      </c>
      <c r="AJ1632">
        <v>12.96</v>
      </c>
      <c r="AK1632">
        <v>272.12</v>
      </c>
      <c r="AL1632">
        <v>13983</v>
      </c>
      <c r="AM1632">
        <v>13983</v>
      </c>
      <c r="AN1632">
        <v>0</v>
      </c>
      <c r="AO1632">
        <v>215</v>
      </c>
      <c r="AP1632">
        <v>2016</v>
      </c>
      <c r="AQ1632">
        <v>1.87</v>
      </c>
      <c r="AR1632">
        <v>1.95</v>
      </c>
      <c r="AS1632" t="s">
        <v>20286</v>
      </c>
      <c r="AT1632" t="s">
        <v>15040</v>
      </c>
      <c r="AU1632" t="s">
        <v>177</v>
      </c>
      <c r="AV1632" t="s">
        <v>371</v>
      </c>
      <c r="AW1632" t="s">
        <v>182</v>
      </c>
      <c r="AX1632">
        <v>0</v>
      </c>
      <c r="AY1632" t="s">
        <v>312</v>
      </c>
      <c r="AZ1632" t="s">
        <v>199</v>
      </c>
      <c r="BA1632" t="s">
        <v>313</v>
      </c>
      <c r="BB1632" t="s">
        <v>191</v>
      </c>
      <c r="BC1632" t="s">
        <v>182</v>
      </c>
      <c r="BD1632" t="s">
        <v>182</v>
      </c>
      <c r="BE1632" t="s">
        <v>8875</v>
      </c>
      <c r="BF1632">
        <v>0</v>
      </c>
      <c r="BG1632">
        <v>0</v>
      </c>
      <c r="BH1632">
        <v>0</v>
      </c>
      <c r="BI1632" t="s">
        <v>199</v>
      </c>
      <c r="BJ1632" t="s">
        <v>315</v>
      </c>
      <c r="BL1632" t="s">
        <v>199</v>
      </c>
      <c r="BM1632" t="s">
        <v>207</v>
      </c>
      <c r="BN1632" t="s">
        <v>182</v>
      </c>
      <c r="BO1632" t="s">
        <v>198</v>
      </c>
      <c r="BP1632" t="s">
        <v>198</v>
      </c>
      <c r="BQ1632" t="s">
        <v>198</v>
      </c>
      <c r="BR1632" t="s">
        <v>198</v>
      </c>
      <c r="BS1632" t="s">
        <v>198</v>
      </c>
      <c r="BT1632" t="s">
        <v>198</v>
      </c>
      <c r="BU1632" t="s">
        <v>182</v>
      </c>
      <c r="BV1632" t="s">
        <v>198</v>
      </c>
      <c r="BW1632" t="s">
        <v>198</v>
      </c>
      <c r="BX1632" t="s">
        <v>199</v>
      </c>
      <c r="BY1632" t="s">
        <v>198</v>
      </c>
      <c r="BZ1632" t="s">
        <v>199</v>
      </c>
      <c r="CA1632" t="s">
        <v>199</v>
      </c>
      <c r="CB1632" t="s">
        <v>20347</v>
      </c>
      <c r="CC1632" t="s">
        <v>201</v>
      </c>
      <c r="CD1632" t="s">
        <v>182</v>
      </c>
      <c r="CE1632" t="s">
        <v>20348</v>
      </c>
      <c r="CF1632" t="s">
        <v>9760</v>
      </c>
      <c r="CG1632" t="s">
        <v>177</v>
      </c>
      <c r="CH1632" t="s">
        <v>9761</v>
      </c>
      <c r="CI1632" t="s">
        <v>20349</v>
      </c>
      <c r="CJ1632" t="s">
        <v>17438</v>
      </c>
      <c r="CK1632" t="s">
        <v>232</v>
      </c>
      <c r="CL1632" t="s">
        <v>233</v>
      </c>
      <c r="CM1632" t="s">
        <v>20370</v>
      </c>
      <c r="CN1632" t="s">
        <v>1722</v>
      </c>
      <c r="CO1632" t="s">
        <v>183</v>
      </c>
      <c r="CP1632" t="s">
        <v>266</v>
      </c>
      <c r="CS1632" t="s">
        <v>198</v>
      </c>
      <c r="CT1632" t="s">
        <v>10973</v>
      </c>
      <c r="CU1632" t="s">
        <v>292</v>
      </c>
      <c r="CV1632" t="s">
        <v>293</v>
      </c>
      <c r="CW1632" t="s">
        <v>20371</v>
      </c>
      <c r="CX1632" t="s">
        <v>235</v>
      </c>
      <c r="CY1632" t="s">
        <v>183</v>
      </c>
      <c r="CZ1632" t="s">
        <v>211</v>
      </c>
      <c r="DA1632" t="s">
        <v>342</v>
      </c>
      <c r="DC1632" t="s">
        <v>8069</v>
      </c>
      <c r="DD1632" t="s">
        <v>20372</v>
      </c>
      <c r="DE1632" t="s">
        <v>267</v>
      </c>
      <c r="DF1632" t="s">
        <v>268</v>
      </c>
      <c r="DG1632" t="s">
        <v>20373</v>
      </c>
      <c r="DH1632" t="s">
        <v>254</v>
      </c>
      <c r="DI1632" t="s">
        <v>183</v>
      </c>
      <c r="DJ1632" t="s">
        <v>211</v>
      </c>
      <c r="DK1632" t="s">
        <v>199</v>
      </c>
      <c r="DM1632" t="s">
        <v>20353</v>
      </c>
      <c r="DN1632" t="s">
        <v>20374</v>
      </c>
      <c r="DO1632" t="s">
        <v>238</v>
      </c>
      <c r="DP1632" t="s">
        <v>239</v>
      </c>
      <c r="DQ1632" t="s">
        <v>20375</v>
      </c>
      <c r="DR1632" t="s">
        <v>482</v>
      </c>
      <c r="DS1632" t="s">
        <v>183</v>
      </c>
      <c r="DT1632" t="s">
        <v>211</v>
      </c>
      <c r="DU1632" t="s">
        <v>329</v>
      </c>
      <c r="DW1632" t="s">
        <v>20364</v>
      </c>
      <c r="DX1632" t="s">
        <v>20376</v>
      </c>
      <c r="DY1632" t="s">
        <v>346</v>
      </c>
      <c r="DZ1632" t="s">
        <v>347</v>
      </c>
      <c r="EA1632" t="s">
        <v>20377</v>
      </c>
      <c r="EB1632" t="s">
        <v>482</v>
      </c>
      <c r="EC1632" t="s">
        <v>183</v>
      </c>
      <c r="ED1632" t="s">
        <v>211</v>
      </c>
      <c r="EE1632" t="s">
        <v>298</v>
      </c>
      <c r="EG1632" t="s">
        <v>20364</v>
      </c>
      <c r="EH1632" t="s">
        <v>20378</v>
      </c>
      <c r="EI1632" t="s">
        <v>207</v>
      </c>
      <c r="EJ1632" t="s">
        <v>208</v>
      </c>
      <c r="EK1632" t="s">
        <v>20379</v>
      </c>
      <c r="EL1632" t="s">
        <v>482</v>
      </c>
      <c r="EM1632" t="s">
        <v>183</v>
      </c>
      <c r="EN1632" t="s">
        <v>211</v>
      </c>
      <c r="EO1632" t="s">
        <v>334</v>
      </c>
      <c r="EQ1632" t="s">
        <v>20367</v>
      </c>
      <c r="FA1632" t="s">
        <v>198</v>
      </c>
      <c r="FK1632" t="s">
        <v>198</v>
      </c>
      <c r="FU1632" t="s">
        <v>198</v>
      </c>
    </row>
    <row r="1633" spans="1:177">
      <c r="A1633" s="1" t="str">
        <f>HYPERLINK("http://digipan.lumentumllc.com/apps/getLink/index.php?t=PropLink&amp;p=5247626","PL")</f>
        <v>PL</v>
      </c>
      <c r="B1633" s="1" t="str">
        <f>HYPERLINK("http://digipan.lumentumllc.com/apps/getLink/index.php?t=TaxLink&amp;p=5247626","TL")</f>
        <v>TL</v>
      </c>
      <c r="C1633" s="1" t="str">
        <f>HYPERLINK("http://digipan.lumentumllc.com/apps/getMap/index.php?p=5247626","Map")</f>
        <v>Map</v>
      </c>
      <c r="E1633" t="s">
        <v>177</v>
      </c>
      <c r="F1633" t="s">
        <v>178</v>
      </c>
      <c r="L1633" t="s">
        <v>20380</v>
      </c>
      <c r="N1633" t="s">
        <v>20380</v>
      </c>
      <c r="O1633" t="s">
        <v>20380</v>
      </c>
      <c r="P1633" t="s">
        <v>20381</v>
      </c>
      <c r="Q1633" t="s">
        <v>20380</v>
      </c>
      <c r="V1633">
        <v>1867</v>
      </c>
      <c r="W1633">
        <v>6</v>
      </c>
      <c r="X1633">
        <v>2017</v>
      </c>
      <c r="Y1633">
        <v>2018</v>
      </c>
      <c r="Z1633">
        <v>72.94</v>
      </c>
      <c r="AB1633" t="s">
        <v>181</v>
      </c>
      <c r="AC1633" t="s">
        <v>182</v>
      </c>
      <c r="AD1633" t="s">
        <v>183</v>
      </c>
      <c r="AE1633">
        <v>7</v>
      </c>
      <c r="AF1633">
        <v>0</v>
      </c>
      <c r="AG1633" t="s">
        <v>1038</v>
      </c>
      <c r="AH1633">
        <v>0</v>
      </c>
      <c r="AI1633">
        <v>465.7</v>
      </c>
      <c r="AJ1633">
        <v>300.04000000000002</v>
      </c>
      <c r="AK1633">
        <v>765.74</v>
      </c>
      <c r="AL1633">
        <v>2500</v>
      </c>
      <c r="AM1633">
        <v>2500</v>
      </c>
      <c r="AN1633">
        <v>0</v>
      </c>
      <c r="AO1633">
        <v>38</v>
      </c>
      <c r="AP1633">
        <v>2016</v>
      </c>
      <c r="AQ1633">
        <v>2.92</v>
      </c>
      <c r="AR1633">
        <v>30.63</v>
      </c>
      <c r="AS1633" t="s">
        <v>20382</v>
      </c>
      <c r="AT1633" t="s">
        <v>15040</v>
      </c>
      <c r="AU1633" t="s">
        <v>177</v>
      </c>
      <c r="AV1633" t="s">
        <v>371</v>
      </c>
      <c r="AW1633" t="s">
        <v>182</v>
      </c>
      <c r="AX1633">
        <v>96</v>
      </c>
      <c r="AY1633" t="s">
        <v>1575</v>
      </c>
      <c r="AZ1633" t="s">
        <v>790</v>
      </c>
      <c r="BA1633" t="s">
        <v>15682</v>
      </c>
      <c r="BB1633" t="s">
        <v>191</v>
      </c>
      <c r="BC1633" t="s">
        <v>182</v>
      </c>
      <c r="BD1633" t="s">
        <v>182</v>
      </c>
      <c r="BE1633" t="s">
        <v>6673</v>
      </c>
      <c r="BF1633">
        <v>0</v>
      </c>
      <c r="BG1633">
        <v>0</v>
      </c>
      <c r="BH1633">
        <v>0</v>
      </c>
      <c r="BI1633" t="s">
        <v>199</v>
      </c>
      <c r="BJ1633" t="s">
        <v>315</v>
      </c>
      <c r="BL1633" t="s">
        <v>2960</v>
      </c>
      <c r="BM1633" t="s">
        <v>2351</v>
      </c>
      <c r="BN1633" t="s">
        <v>182</v>
      </c>
      <c r="BO1633" t="s">
        <v>198</v>
      </c>
      <c r="BP1633" t="s">
        <v>198</v>
      </c>
      <c r="BQ1633" t="s">
        <v>198</v>
      </c>
      <c r="BR1633" t="s">
        <v>198</v>
      </c>
      <c r="BS1633" t="s">
        <v>198</v>
      </c>
      <c r="BT1633" t="s">
        <v>198</v>
      </c>
      <c r="BU1633" t="s">
        <v>182</v>
      </c>
      <c r="BV1633" t="s">
        <v>198</v>
      </c>
      <c r="BW1633" t="s">
        <v>198</v>
      </c>
      <c r="BX1633" t="s">
        <v>199</v>
      </c>
      <c r="BY1633" t="s">
        <v>198</v>
      </c>
      <c r="BZ1633" t="s">
        <v>199</v>
      </c>
      <c r="CA1633" t="s">
        <v>199</v>
      </c>
      <c r="CB1633" t="s">
        <v>20383</v>
      </c>
      <c r="CC1633" t="s">
        <v>201</v>
      </c>
      <c r="CD1633" t="s">
        <v>202</v>
      </c>
      <c r="CE1633" t="s">
        <v>20384</v>
      </c>
      <c r="CF1633" t="s">
        <v>5331</v>
      </c>
      <c r="CG1633" t="s">
        <v>177</v>
      </c>
      <c r="CH1633" t="s">
        <v>5332</v>
      </c>
      <c r="CI1633" t="s">
        <v>20385</v>
      </c>
      <c r="CJ1633" t="s">
        <v>20386</v>
      </c>
      <c r="CK1633" t="s">
        <v>232</v>
      </c>
      <c r="CL1633" t="s">
        <v>233</v>
      </c>
      <c r="CM1633" t="s">
        <v>20387</v>
      </c>
      <c r="CN1633" t="s">
        <v>235</v>
      </c>
      <c r="CO1633" t="s">
        <v>183</v>
      </c>
      <c r="CP1633" t="s">
        <v>266</v>
      </c>
      <c r="CS1633" t="s">
        <v>198</v>
      </c>
      <c r="CT1633" t="s">
        <v>17643</v>
      </c>
      <c r="CU1633" t="s">
        <v>292</v>
      </c>
      <c r="CV1633" t="s">
        <v>293</v>
      </c>
      <c r="CW1633" t="s">
        <v>15092</v>
      </c>
      <c r="CX1633" t="s">
        <v>482</v>
      </c>
      <c r="CY1633" t="s">
        <v>183</v>
      </c>
      <c r="CZ1633" t="s">
        <v>266</v>
      </c>
      <c r="DC1633" t="s">
        <v>198</v>
      </c>
      <c r="DD1633" t="s">
        <v>8541</v>
      </c>
      <c r="DE1633" t="s">
        <v>267</v>
      </c>
      <c r="DF1633" t="s">
        <v>268</v>
      </c>
      <c r="DG1633" t="s">
        <v>15093</v>
      </c>
      <c r="DH1633" t="s">
        <v>482</v>
      </c>
      <c r="DI1633" t="s">
        <v>183</v>
      </c>
      <c r="DJ1633" t="s">
        <v>266</v>
      </c>
      <c r="DM1633" t="s">
        <v>198</v>
      </c>
      <c r="DN1633" t="s">
        <v>20388</v>
      </c>
      <c r="DO1633" t="s">
        <v>273</v>
      </c>
      <c r="DP1633" t="s">
        <v>268</v>
      </c>
      <c r="DQ1633" t="s">
        <v>20389</v>
      </c>
      <c r="DR1633" t="s">
        <v>482</v>
      </c>
      <c r="DS1633" t="s">
        <v>183</v>
      </c>
      <c r="DT1633" t="s">
        <v>266</v>
      </c>
      <c r="DW1633" t="s">
        <v>198</v>
      </c>
      <c r="DX1633" t="s">
        <v>9110</v>
      </c>
      <c r="DY1633" t="s">
        <v>302</v>
      </c>
      <c r="DZ1633" t="s">
        <v>303</v>
      </c>
      <c r="EA1633" t="s">
        <v>15095</v>
      </c>
      <c r="EB1633" t="s">
        <v>1615</v>
      </c>
      <c r="EC1633" t="s">
        <v>183</v>
      </c>
      <c r="ED1633" t="s">
        <v>266</v>
      </c>
      <c r="EG1633" t="s">
        <v>198</v>
      </c>
      <c r="EH1633" t="s">
        <v>20153</v>
      </c>
      <c r="EI1633" t="s">
        <v>238</v>
      </c>
      <c r="EJ1633" t="s">
        <v>239</v>
      </c>
      <c r="EK1633" t="s">
        <v>3689</v>
      </c>
      <c r="EL1633" t="s">
        <v>482</v>
      </c>
      <c r="EM1633" t="s">
        <v>183</v>
      </c>
      <c r="EN1633" t="s">
        <v>266</v>
      </c>
      <c r="EQ1633" t="s">
        <v>198</v>
      </c>
      <c r="ER1633" t="s">
        <v>16879</v>
      </c>
      <c r="ES1633" t="s">
        <v>346</v>
      </c>
      <c r="ET1633" t="s">
        <v>347</v>
      </c>
      <c r="EU1633" t="s">
        <v>20390</v>
      </c>
      <c r="EV1633" t="s">
        <v>482</v>
      </c>
      <c r="EW1633" t="s">
        <v>183</v>
      </c>
      <c r="EX1633" t="s">
        <v>266</v>
      </c>
      <c r="FA1633" t="s">
        <v>198</v>
      </c>
      <c r="FK1633" t="s">
        <v>198</v>
      </c>
      <c r="FU1633" t="s">
        <v>198</v>
      </c>
    </row>
    <row r="1634" spans="1:177">
      <c r="A1634" s="1" t="str">
        <f>HYPERLINK("http://digipan.lumentumllc.com/apps/getLink/index.php?t=PropLink&amp;p=7112560","PL")</f>
        <v>PL</v>
      </c>
      <c r="B1634" s="1" t="str">
        <f>HYPERLINK("http://digipan.lumentumllc.com/apps/getLink/index.php?t=TaxLink&amp;p=7112560","TL")</f>
        <v>TL</v>
      </c>
      <c r="C1634" s="1" t="str">
        <f>HYPERLINK("http://digipan.lumentumllc.com/apps/getMap/index.php?p=7112560","Map")</f>
        <v>Map</v>
      </c>
      <c r="E1634" t="s">
        <v>177</v>
      </c>
      <c r="F1634" t="s">
        <v>178</v>
      </c>
      <c r="L1634" t="s">
        <v>20391</v>
      </c>
      <c r="N1634" t="s">
        <v>20391</v>
      </c>
      <c r="O1634" t="s">
        <v>20391</v>
      </c>
      <c r="P1634" t="s">
        <v>20392</v>
      </c>
      <c r="Q1634" t="s">
        <v>20391</v>
      </c>
      <c r="V1634">
        <v>1868</v>
      </c>
      <c r="W1634">
        <v>6</v>
      </c>
      <c r="X1634">
        <v>2017</v>
      </c>
      <c r="Y1634">
        <v>2018</v>
      </c>
      <c r="Z1634">
        <v>727.85</v>
      </c>
      <c r="AB1634" t="s">
        <v>181</v>
      </c>
      <c r="AC1634" t="s">
        <v>182</v>
      </c>
      <c r="AD1634" t="s">
        <v>183</v>
      </c>
      <c r="AE1634">
        <v>0</v>
      </c>
      <c r="AF1634">
        <v>1</v>
      </c>
      <c r="AG1634" t="s">
        <v>821</v>
      </c>
      <c r="AH1634">
        <v>100</v>
      </c>
      <c r="AK1634">
        <v>0</v>
      </c>
      <c r="AL1634">
        <v>42500</v>
      </c>
      <c r="AM1634">
        <v>42500</v>
      </c>
      <c r="AN1634">
        <v>0</v>
      </c>
      <c r="AO1634">
        <v>652</v>
      </c>
      <c r="AP1634">
        <v>2016</v>
      </c>
      <c r="AQ1634">
        <v>1.71</v>
      </c>
      <c r="AS1634" t="s">
        <v>10628</v>
      </c>
      <c r="AT1634" t="s">
        <v>15040</v>
      </c>
      <c r="AU1634" t="s">
        <v>177</v>
      </c>
      <c r="AV1634" t="s">
        <v>371</v>
      </c>
      <c r="AW1634" t="s">
        <v>182</v>
      </c>
      <c r="AX1634">
        <v>0</v>
      </c>
      <c r="AY1634" t="s">
        <v>312</v>
      </c>
      <c r="AZ1634" t="s">
        <v>199</v>
      </c>
      <c r="BA1634" t="s">
        <v>313</v>
      </c>
      <c r="BB1634" t="s">
        <v>191</v>
      </c>
      <c r="BC1634" t="s">
        <v>182</v>
      </c>
      <c r="BD1634" t="s">
        <v>182</v>
      </c>
      <c r="BE1634" t="s">
        <v>5608</v>
      </c>
      <c r="BF1634">
        <v>0</v>
      </c>
      <c r="BG1634">
        <v>0</v>
      </c>
      <c r="BH1634">
        <v>0</v>
      </c>
      <c r="BI1634" t="s">
        <v>199</v>
      </c>
      <c r="BJ1634" t="s">
        <v>315</v>
      </c>
      <c r="BL1634" t="s">
        <v>4647</v>
      </c>
      <c r="BM1634" t="s">
        <v>3644</v>
      </c>
      <c r="BN1634" t="s">
        <v>182</v>
      </c>
      <c r="BO1634" t="s">
        <v>198</v>
      </c>
      <c r="BP1634" t="s">
        <v>198</v>
      </c>
      <c r="BQ1634" t="s">
        <v>198</v>
      </c>
      <c r="BR1634" t="s">
        <v>198</v>
      </c>
      <c r="BS1634" t="s">
        <v>198</v>
      </c>
      <c r="BT1634" t="s">
        <v>198</v>
      </c>
      <c r="BU1634" t="s">
        <v>182</v>
      </c>
      <c r="BV1634" t="s">
        <v>198</v>
      </c>
      <c r="BW1634" t="s">
        <v>198</v>
      </c>
      <c r="BX1634" t="s">
        <v>199</v>
      </c>
      <c r="BY1634" t="s">
        <v>198</v>
      </c>
      <c r="BZ1634" t="s">
        <v>199</v>
      </c>
      <c r="CA1634" t="s">
        <v>199</v>
      </c>
      <c r="CB1634" t="s">
        <v>20393</v>
      </c>
      <c r="CC1634" t="s">
        <v>201</v>
      </c>
      <c r="CD1634" t="s">
        <v>182</v>
      </c>
      <c r="CE1634" t="s">
        <v>20394</v>
      </c>
      <c r="CF1634" t="s">
        <v>20395</v>
      </c>
      <c r="CG1634" t="s">
        <v>3911</v>
      </c>
      <c r="CH1634" t="s">
        <v>20396</v>
      </c>
      <c r="CI1634" t="s">
        <v>20397</v>
      </c>
      <c r="CJ1634" t="s">
        <v>20398</v>
      </c>
      <c r="CK1634" t="s">
        <v>232</v>
      </c>
      <c r="CL1634" t="s">
        <v>233</v>
      </c>
      <c r="CM1634" t="s">
        <v>20399</v>
      </c>
      <c r="CN1634" t="s">
        <v>235</v>
      </c>
      <c r="CO1634" t="s">
        <v>183</v>
      </c>
      <c r="CP1634" t="s">
        <v>211</v>
      </c>
      <c r="CQ1634" t="s">
        <v>206</v>
      </c>
      <c r="CS1634" t="s">
        <v>8846</v>
      </c>
      <c r="DC1634" t="s">
        <v>198</v>
      </c>
      <c r="DM1634" t="s">
        <v>198</v>
      </c>
      <c r="DW1634" t="s">
        <v>198</v>
      </c>
      <c r="EG1634" t="s">
        <v>198</v>
      </c>
      <c r="EQ1634" t="s">
        <v>198</v>
      </c>
      <c r="FA1634" t="s">
        <v>198</v>
      </c>
      <c r="FK1634" t="s">
        <v>198</v>
      </c>
      <c r="FU1634" t="s">
        <v>198</v>
      </c>
    </row>
    <row r="1635" spans="1:177">
      <c r="A1635" s="1" t="str">
        <f>HYPERLINK("http://digipan.lumentumllc.com/apps/getLink/index.php?t=PropLink&amp;p=6129454","PL")</f>
        <v>PL</v>
      </c>
      <c r="B1635" s="1" t="str">
        <f>HYPERLINK("http://digipan.lumentumllc.com/apps/getLink/index.php?t=TaxLink&amp;p=6129454","TL")</f>
        <v>TL</v>
      </c>
      <c r="C1635" s="1" t="str">
        <f>HYPERLINK("http://digipan.lumentumllc.com/apps/getMap/index.php?p=6129454","Map")</f>
        <v>Map</v>
      </c>
      <c r="E1635" t="s">
        <v>177</v>
      </c>
      <c r="F1635" t="s">
        <v>178</v>
      </c>
      <c r="L1635" t="s">
        <v>20400</v>
      </c>
      <c r="N1635" t="s">
        <v>20400</v>
      </c>
      <c r="O1635" t="s">
        <v>20400</v>
      </c>
      <c r="P1635" t="s">
        <v>20401</v>
      </c>
      <c r="Q1635" t="s">
        <v>20400</v>
      </c>
      <c r="V1635">
        <v>1869</v>
      </c>
      <c r="W1635">
        <v>6</v>
      </c>
      <c r="X1635">
        <v>2017</v>
      </c>
      <c r="Y1635">
        <v>2018</v>
      </c>
      <c r="Z1635">
        <v>3430.94</v>
      </c>
      <c r="AG1635" t="s">
        <v>184</v>
      </c>
      <c r="AH1635">
        <v>0</v>
      </c>
      <c r="AK1635">
        <v>0</v>
      </c>
      <c r="AL1635">
        <v>207600</v>
      </c>
      <c r="AM1635">
        <v>207600</v>
      </c>
      <c r="AN1635">
        <v>0</v>
      </c>
      <c r="AO1635">
        <v>3160</v>
      </c>
      <c r="AP1635">
        <v>2016</v>
      </c>
      <c r="AQ1635">
        <v>1.65</v>
      </c>
      <c r="AS1635" t="s">
        <v>20402</v>
      </c>
      <c r="AT1635" t="s">
        <v>15040</v>
      </c>
      <c r="AU1635" t="s">
        <v>177</v>
      </c>
      <c r="AV1635" t="s">
        <v>371</v>
      </c>
      <c r="AW1635" t="s">
        <v>182</v>
      </c>
      <c r="AX1635">
        <v>0</v>
      </c>
      <c r="AY1635" t="s">
        <v>312</v>
      </c>
      <c r="AZ1635" t="s">
        <v>199</v>
      </c>
      <c r="BA1635" t="s">
        <v>313</v>
      </c>
      <c r="BB1635" t="s">
        <v>191</v>
      </c>
      <c r="BC1635" t="s">
        <v>182</v>
      </c>
      <c r="BD1635" t="s">
        <v>182</v>
      </c>
      <c r="BE1635" t="s">
        <v>15343</v>
      </c>
      <c r="BF1635">
        <v>0</v>
      </c>
      <c r="BG1635">
        <v>0</v>
      </c>
      <c r="BH1635">
        <v>0</v>
      </c>
      <c r="BI1635" t="s">
        <v>199</v>
      </c>
      <c r="BJ1635" t="s">
        <v>315</v>
      </c>
      <c r="BL1635" t="s">
        <v>199</v>
      </c>
      <c r="BM1635" t="s">
        <v>207</v>
      </c>
      <c r="BN1635" t="s">
        <v>182</v>
      </c>
      <c r="BO1635" t="s">
        <v>198</v>
      </c>
      <c r="BP1635" t="s">
        <v>198</v>
      </c>
      <c r="BQ1635" t="s">
        <v>198</v>
      </c>
      <c r="BR1635" t="s">
        <v>198</v>
      </c>
      <c r="BS1635" t="s">
        <v>198</v>
      </c>
      <c r="BT1635" t="s">
        <v>198</v>
      </c>
      <c r="BU1635" t="s">
        <v>182</v>
      </c>
      <c r="BV1635" t="s">
        <v>198</v>
      </c>
      <c r="BW1635" t="s">
        <v>198</v>
      </c>
      <c r="BX1635" t="s">
        <v>199</v>
      </c>
      <c r="BY1635" t="s">
        <v>198</v>
      </c>
      <c r="BZ1635" t="s">
        <v>199</v>
      </c>
      <c r="CA1635" t="s">
        <v>199</v>
      </c>
      <c r="CB1635" t="s">
        <v>20403</v>
      </c>
      <c r="CC1635" t="s">
        <v>201</v>
      </c>
      <c r="CD1635" t="s">
        <v>182</v>
      </c>
      <c r="CE1635" t="s">
        <v>20404</v>
      </c>
      <c r="CF1635" t="s">
        <v>2620</v>
      </c>
      <c r="CG1635" t="s">
        <v>177</v>
      </c>
      <c r="CH1635" t="s">
        <v>20405</v>
      </c>
      <c r="CI1635" t="s">
        <v>20406</v>
      </c>
      <c r="CS1635" t="s">
        <v>198</v>
      </c>
      <c r="DC1635" t="s">
        <v>198</v>
      </c>
      <c r="DM1635" t="s">
        <v>198</v>
      </c>
      <c r="DW1635" t="s">
        <v>198</v>
      </c>
      <c r="EG1635" t="s">
        <v>198</v>
      </c>
      <c r="EQ1635" t="s">
        <v>198</v>
      </c>
      <c r="FA1635" t="s">
        <v>198</v>
      </c>
      <c r="FK1635" t="s">
        <v>198</v>
      </c>
      <c r="FU1635" t="s">
        <v>198</v>
      </c>
    </row>
    <row r="1636" spans="1:177">
      <c r="A1636" s="1" t="str">
        <f>HYPERLINK("http://digipan.lumentumllc.com/apps/getLink/index.php?t=PropLink&amp;p=7112561","PL")</f>
        <v>PL</v>
      </c>
      <c r="B1636" s="1" t="str">
        <f>HYPERLINK("http://digipan.lumentumllc.com/apps/getLink/index.php?t=TaxLink&amp;p=7112561","TL")</f>
        <v>TL</v>
      </c>
      <c r="C1636" s="1" t="str">
        <f>HYPERLINK("http://digipan.lumentumllc.com/apps/getMap/index.php?p=7112561","Map")</f>
        <v>Map</v>
      </c>
      <c r="E1636" t="s">
        <v>177</v>
      </c>
      <c r="F1636" t="s">
        <v>178</v>
      </c>
      <c r="L1636" t="s">
        <v>20407</v>
      </c>
      <c r="N1636" t="s">
        <v>20407</v>
      </c>
      <c r="O1636" t="s">
        <v>20407</v>
      </c>
      <c r="P1636" t="s">
        <v>20408</v>
      </c>
      <c r="Q1636" t="s">
        <v>20407</v>
      </c>
      <c r="V1636">
        <v>1870</v>
      </c>
      <c r="W1636">
        <v>6</v>
      </c>
      <c r="X1636">
        <v>2017</v>
      </c>
      <c r="Y1636">
        <v>2018</v>
      </c>
      <c r="Z1636">
        <v>325.56</v>
      </c>
      <c r="AB1636" t="s">
        <v>181</v>
      </c>
      <c r="AC1636" t="s">
        <v>182</v>
      </c>
      <c r="AD1636" t="s">
        <v>183</v>
      </c>
      <c r="AE1636">
        <v>0</v>
      </c>
      <c r="AF1636">
        <v>1</v>
      </c>
      <c r="AG1636" t="s">
        <v>821</v>
      </c>
      <c r="AH1636">
        <v>100</v>
      </c>
      <c r="AK1636">
        <v>0</v>
      </c>
      <c r="AL1636">
        <v>17930</v>
      </c>
      <c r="AM1636">
        <v>17930</v>
      </c>
      <c r="AN1636">
        <v>0</v>
      </c>
      <c r="AO1636">
        <v>275</v>
      </c>
      <c r="AP1636">
        <v>2016</v>
      </c>
      <c r="AQ1636">
        <v>1.82</v>
      </c>
      <c r="AS1636" t="s">
        <v>20409</v>
      </c>
      <c r="AT1636" t="s">
        <v>15040</v>
      </c>
      <c r="AU1636" t="s">
        <v>177</v>
      </c>
      <c r="AV1636" t="s">
        <v>371</v>
      </c>
      <c r="AW1636" t="s">
        <v>182</v>
      </c>
      <c r="AX1636">
        <v>0</v>
      </c>
      <c r="AY1636" t="s">
        <v>312</v>
      </c>
      <c r="AZ1636" t="s">
        <v>199</v>
      </c>
      <c r="BA1636" t="s">
        <v>313</v>
      </c>
      <c r="BB1636" t="s">
        <v>191</v>
      </c>
      <c r="BC1636" t="s">
        <v>182</v>
      </c>
      <c r="BD1636" t="s">
        <v>182</v>
      </c>
      <c r="BE1636" t="s">
        <v>15298</v>
      </c>
      <c r="BF1636">
        <v>0</v>
      </c>
      <c r="BG1636">
        <v>0</v>
      </c>
      <c r="BH1636">
        <v>0</v>
      </c>
      <c r="BI1636" t="s">
        <v>199</v>
      </c>
      <c r="BJ1636" t="s">
        <v>315</v>
      </c>
      <c r="BL1636" t="s">
        <v>199</v>
      </c>
      <c r="BM1636" t="s">
        <v>358</v>
      </c>
      <c r="BN1636" t="s">
        <v>182</v>
      </c>
      <c r="BO1636" t="s">
        <v>198</v>
      </c>
      <c r="BP1636" t="s">
        <v>198</v>
      </c>
      <c r="BQ1636" t="s">
        <v>198</v>
      </c>
      <c r="BR1636" t="s">
        <v>198</v>
      </c>
      <c r="BS1636" t="s">
        <v>198</v>
      </c>
      <c r="BT1636" t="s">
        <v>198</v>
      </c>
      <c r="BU1636" t="s">
        <v>182</v>
      </c>
      <c r="BV1636" t="s">
        <v>198</v>
      </c>
      <c r="BW1636" t="s">
        <v>198</v>
      </c>
      <c r="BX1636" t="s">
        <v>199</v>
      </c>
      <c r="BY1636" t="s">
        <v>198</v>
      </c>
      <c r="BZ1636" t="s">
        <v>199</v>
      </c>
      <c r="CA1636" t="s">
        <v>199</v>
      </c>
      <c r="CB1636" t="s">
        <v>20393</v>
      </c>
      <c r="CC1636" t="s">
        <v>201</v>
      </c>
      <c r="CD1636" t="s">
        <v>182</v>
      </c>
      <c r="CE1636" t="s">
        <v>20394</v>
      </c>
      <c r="CF1636" t="s">
        <v>20395</v>
      </c>
      <c r="CG1636" t="s">
        <v>3911</v>
      </c>
      <c r="CH1636" t="s">
        <v>20396</v>
      </c>
      <c r="CI1636" t="s">
        <v>20410</v>
      </c>
      <c r="CJ1636" t="s">
        <v>17489</v>
      </c>
      <c r="CK1636" t="s">
        <v>232</v>
      </c>
      <c r="CL1636" t="s">
        <v>233</v>
      </c>
      <c r="CM1636" t="s">
        <v>20411</v>
      </c>
      <c r="CN1636" t="s">
        <v>235</v>
      </c>
      <c r="CO1636" t="s">
        <v>183</v>
      </c>
      <c r="CP1636" t="s">
        <v>211</v>
      </c>
      <c r="CQ1636" t="s">
        <v>206</v>
      </c>
      <c r="CS1636" t="s">
        <v>8846</v>
      </c>
      <c r="DC1636" t="s">
        <v>198</v>
      </c>
      <c r="DM1636" t="s">
        <v>198</v>
      </c>
      <c r="DW1636" t="s">
        <v>198</v>
      </c>
      <c r="EG1636" t="s">
        <v>198</v>
      </c>
      <c r="EQ1636" t="s">
        <v>198</v>
      </c>
      <c r="FA1636" t="s">
        <v>198</v>
      </c>
      <c r="FK1636" t="s">
        <v>198</v>
      </c>
      <c r="FU1636" t="s">
        <v>198</v>
      </c>
    </row>
    <row r="1637" spans="1:177">
      <c r="A1637" s="1" t="str">
        <f>HYPERLINK("http://digipan.lumentumllc.com/apps/getLink/index.php?t=PropLink&amp;p=5247653","PL")</f>
        <v>PL</v>
      </c>
      <c r="B1637" s="1" t="str">
        <f>HYPERLINK("http://digipan.lumentumllc.com/apps/getLink/index.php?t=TaxLink&amp;p=5247653","TL")</f>
        <v>TL</v>
      </c>
      <c r="C1637" s="1" t="str">
        <f>HYPERLINK("http://digipan.lumentumllc.com/apps/getMap/index.php?p=5247653","Map")</f>
        <v>Map</v>
      </c>
      <c r="E1637" t="s">
        <v>177</v>
      </c>
      <c r="F1637" t="s">
        <v>178</v>
      </c>
      <c r="L1637" t="s">
        <v>20412</v>
      </c>
      <c r="N1637" t="s">
        <v>20412</v>
      </c>
      <c r="O1637" t="s">
        <v>20412</v>
      </c>
      <c r="P1637" t="s">
        <v>20413</v>
      </c>
      <c r="Q1637" t="s">
        <v>20412</v>
      </c>
      <c r="V1637">
        <v>1871</v>
      </c>
      <c r="W1637">
        <v>6</v>
      </c>
      <c r="X1637">
        <v>2017</v>
      </c>
      <c r="Y1637">
        <v>2018</v>
      </c>
      <c r="Z1637">
        <v>2468.0500000000002</v>
      </c>
      <c r="AB1637" t="s">
        <v>181</v>
      </c>
      <c r="AC1637" t="s">
        <v>182</v>
      </c>
      <c r="AD1637" t="s">
        <v>183</v>
      </c>
      <c r="AE1637">
        <v>1</v>
      </c>
      <c r="AF1637">
        <v>7</v>
      </c>
      <c r="AG1637" t="s">
        <v>418</v>
      </c>
      <c r="AH1637">
        <v>86</v>
      </c>
      <c r="AI1637">
        <v>2497.4299999999998</v>
      </c>
      <c r="AJ1637">
        <v>124.87</v>
      </c>
      <c r="AK1637">
        <v>2622.3</v>
      </c>
      <c r="AL1637">
        <v>148788</v>
      </c>
      <c r="AM1637">
        <v>148488</v>
      </c>
      <c r="AN1637">
        <v>300</v>
      </c>
      <c r="AO1637">
        <v>2284</v>
      </c>
      <c r="AP1637">
        <v>2016</v>
      </c>
      <c r="AQ1637">
        <v>1.66</v>
      </c>
      <c r="AR1637">
        <v>1.76</v>
      </c>
      <c r="AS1637" t="s">
        <v>18928</v>
      </c>
      <c r="AT1637" t="s">
        <v>15040</v>
      </c>
      <c r="AU1637" t="s">
        <v>177</v>
      </c>
      <c r="AV1637" t="s">
        <v>371</v>
      </c>
      <c r="AW1637" t="s">
        <v>182</v>
      </c>
      <c r="AX1637">
        <v>10</v>
      </c>
      <c r="AY1637" t="s">
        <v>3211</v>
      </c>
      <c r="AZ1637" t="s">
        <v>270</v>
      </c>
      <c r="BA1637" t="s">
        <v>3212</v>
      </c>
      <c r="BB1637" t="s">
        <v>191</v>
      </c>
      <c r="BC1637" t="s">
        <v>182</v>
      </c>
      <c r="BD1637" t="s">
        <v>182</v>
      </c>
      <c r="BE1637" t="s">
        <v>18053</v>
      </c>
      <c r="BF1637">
        <v>0</v>
      </c>
      <c r="BG1637">
        <v>0</v>
      </c>
      <c r="BH1637">
        <v>0</v>
      </c>
      <c r="BI1637" t="s">
        <v>199</v>
      </c>
      <c r="BJ1637" t="s">
        <v>315</v>
      </c>
      <c r="BL1637" t="s">
        <v>20414</v>
      </c>
      <c r="BM1637" t="s">
        <v>3644</v>
      </c>
      <c r="BN1637" t="s">
        <v>182</v>
      </c>
      <c r="BO1637" t="s">
        <v>198</v>
      </c>
      <c r="BP1637" t="s">
        <v>198</v>
      </c>
      <c r="BQ1637" t="s">
        <v>198</v>
      </c>
      <c r="BR1637" t="s">
        <v>198</v>
      </c>
      <c r="BS1637" t="s">
        <v>198</v>
      </c>
      <c r="BT1637" t="s">
        <v>198</v>
      </c>
      <c r="BU1637" t="s">
        <v>182</v>
      </c>
      <c r="BV1637" t="s">
        <v>198</v>
      </c>
      <c r="BW1637" t="s">
        <v>198</v>
      </c>
      <c r="BX1637" t="s">
        <v>199</v>
      </c>
      <c r="BY1637" t="s">
        <v>198</v>
      </c>
      <c r="BZ1637" t="s">
        <v>199</v>
      </c>
      <c r="CA1637" t="s">
        <v>199</v>
      </c>
      <c r="CB1637" t="s">
        <v>20246</v>
      </c>
      <c r="CC1637" t="s">
        <v>201</v>
      </c>
      <c r="CD1637" t="s">
        <v>182</v>
      </c>
      <c r="CE1637" t="s">
        <v>20247</v>
      </c>
      <c r="CF1637" t="s">
        <v>2333</v>
      </c>
      <c r="CG1637" t="s">
        <v>177</v>
      </c>
      <c r="CH1637" t="s">
        <v>2334</v>
      </c>
      <c r="CI1637" t="s">
        <v>20415</v>
      </c>
      <c r="CJ1637" t="s">
        <v>4209</v>
      </c>
      <c r="CK1637" t="s">
        <v>232</v>
      </c>
      <c r="CL1637" t="s">
        <v>233</v>
      </c>
      <c r="CM1637" t="s">
        <v>20416</v>
      </c>
      <c r="CN1637" t="s">
        <v>235</v>
      </c>
      <c r="CO1637" t="s">
        <v>183</v>
      </c>
      <c r="CP1637" t="s">
        <v>266</v>
      </c>
      <c r="CS1637" t="s">
        <v>198</v>
      </c>
      <c r="CT1637" t="s">
        <v>17851</v>
      </c>
      <c r="CU1637" t="s">
        <v>292</v>
      </c>
      <c r="CV1637" t="s">
        <v>293</v>
      </c>
      <c r="CW1637" t="s">
        <v>20417</v>
      </c>
      <c r="CX1637" t="s">
        <v>235</v>
      </c>
      <c r="CY1637" t="s">
        <v>183</v>
      </c>
      <c r="CZ1637" t="s">
        <v>211</v>
      </c>
      <c r="DA1637" t="s">
        <v>523</v>
      </c>
      <c r="DC1637" t="s">
        <v>13290</v>
      </c>
      <c r="DD1637" t="s">
        <v>8497</v>
      </c>
      <c r="DE1637" t="s">
        <v>267</v>
      </c>
      <c r="DF1637" t="s">
        <v>268</v>
      </c>
      <c r="DG1637" t="s">
        <v>20418</v>
      </c>
      <c r="DH1637" t="s">
        <v>484</v>
      </c>
      <c r="DI1637" t="s">
        <v>183</v>
      </c>
      <c r="DJ1637" t="s">
        <v>211</v>
      </c>
      <c r="DK1637" t="s">
        <v>298</v>
      </c>
      <c r="DM1637" t="s">
        <v>432</v>
      </c>
      <c r="DN1637" t="s">
        <v>7552</v>
      </c>
      <c r="DO1637" t="s">
        <v>273</v>
      </c>
      <c r="DP1637" t="s">
        <v>274</v>
      </c>
      <c r="DQ1637" t="s">
        <v>20419</v>
      </c>
      <c r="DR1637" t="s">
        <v>235</v>
      </c>
      <c r="DS1637" t="s">
        <v>183</v>
      </c>
      <c r="DT1637" t="s">
        <v>211</v>
      </c>
      <c r="DU1637" t="s">
        <v>298</v>
      </c>
      <c r="DW1637" t="s">
        <v>434</v>
      </c>
      <c r="DX1637" t="s">
        <v>16070</v>
      </c>
      <c r="DY1637" t="s">
        <v>302</v>
      </c>
      <c r="DZ1637" t="s">
        <v>303</v>
      </c>
      <c r="EA1637" t="s">
        <v>20420</v>
      </c>
      <c r="EB1637" t="s">
        <v>235</v>
      </c>
      <c r="EC1637" t="s">
        <v>183</v>
      </c>
      <c r="ED1637" t="s">
        <v>211</v>
      </c>
      <c r="EE1637" t="s">
        <v>298</v>
      </c>
      <c r="EG1637" t="s">
        <v>1071</v>
      </c>
      <c r="EH1637" t="s">
        <v>20421</v>
      </c>
      <c r="EI1637" t="s">
        <v>238</v>
      </c>
      <c r="EJ1637" t="s">
        <v>239</v>
      </c>
      <c r="EK1637" t="s">
        <v>20422</v>
      </c>
      <c r="EL1637" t="s">
        <v>278</v>
      </c>
      <c r="EM1637" t="s">
        <v>183</v>
      </c>
      <c r="EN1637" t="s">
        <v>211</v>
      </c>
      <c r="EO1637" t="s">
        <v>298</v>
      </c>
      <c r="EQ1637" t="s">
        <v>1815</v>
      </c>
      <c r="ER1637" t="s">
        <v>20423</v>
      </c>
      <c r="ES1637" t="s">
        <v>346</v>
      </c>
      <c r="ET1637" t="s">
        <v>347</v>
      </c>
      <c r="EU1637" t="s">
        <v>20424</v>
      </c>
      <c r="EV1637" t="s">
        <v>278</v>
      </c>
      <c r="EW1637" t="s">
        <v>183</v>
      </c>
      <c r="EX1637" t="s">
        <v>211</v>
      </c>
      <c r="EY1637" t="s">
        <v>298</v>
      </c>
      <c r="FA1637" t="s">
        <v>1622</v>
      </c>
      <c r="FB1637" t="s">
        <v>9138</v>
      </c>
      <c r="FC1637" t="s">
        <v>207</v>
      </c>
      <c r="FD1637" t="s">
        <v>208</v>
      </c>
      <c r="FE1637" t="s">
        <v>20425</v>
      </c>
      <c r="FF1637" t="s">
        <v>341</v>
      </c>
      <c r="FG1637" t="s">
        <v>183</v>
      </c>
      <c r="FH1637" t="s">
        <v>211</v>
      </c>
      <c r="FI1637" t="s">
        <v>298</v>
      </c>
      <c r="FK1637" t="s">
        <v>1324</v>
      </c>
      <c r="FU1637" t="s">
        <v>198</v>
      </c>
    </row>
    <row r="1638" spans="1:177">
      <c r="A1638" s="1" t="str">
        <f>HYPERLINK("http://digipan.lumentumllc.com/apps/getLink/index.php?t=PropLink&amp;p=5247657","PL")</f>
        <v>PL</v>
      </c>
      <c r="B1638" s="1" t="str">
        <f>HYPERLINK("http://digipan.lumentumllc.com/apps/getLink/index.php?t=TaxLink&amp;p=5247657","TL")</f>
        <v>TL</v>
      </c>
      <c r="C1638" s="1" t="str">
        <f>HYPERLINK("http://digipan.lumentumllc.com/apps/getMap/index.php?p=5247657","Map")</f>
        <v>Map</v>
      </c>
      <c r="E1638" t="s">
        <v>177</v>
      </c>
      <c r="F1638" t="s">
        <v>178</v>
      </c>
      <c r="L1638" t="s">
        <v>20426</v>
      </c>
      <c r="N1638" t="s">
        <v>20426</v>
      </c>
      <c r="O1638" t="s">
        <v>20426</v>
      </c>
      <c r="P1638" t="s">
        <v>20427</v>
      </c>
      <c r="Q1638" t="s">
        <v>20426</v>
      </c>
      <c r="V1638">
        <v>1873</v>
      </c>
      <c r="W1638">
        <v>6</v>
      </c>
      <c r="X1638">
        <v>2017</v>
      </c>
      <c r="Y1638">
        <v>2018</v>
      </c>
      <c r="Z1638">
        <v>786.28</v>
      </c>
      <c r="AB1638" t="s">
        <v>181</v>
      </c>
      <c r="AC1638" t="s">
        <v>182</v>
      </c>
      <c r="AD1638" t="s">
        <v>183</v>
      </c>
      <c r="AE1638">
        <v>1</v>
      </c>
      <c r="AF1638">
        <v>7</v>
      </c>
      <c r="AG1638" t="s">
        <v>418</v>
      </c>
      <c r="AH1638">
        <v>86</v>
      </c>
      <c r="AI1638">
        <v>699.64</v>
      </c>
      <c r="AJ1638">
        <v>34.979999999999997</v>
      </c>
      <c r="AK1638">
        <v>734.62</v>
      </c>
      <c r="AL1638">
        <v>48014</v>
      </c>
      <c r="AM1638">
        <v>25000</v>
      </c>
      <c r="AN1638">
        <v>23014</v>
      </c>
      <c r="AO1638">
        <v>622</v>
      </c>
      <c r="AP1638">
        <v>2016</v>
      </c>
      <c r="AQ1638">
        <v>1.64</v>
      </c>
      <c r="AR1638">
        <v>1.53</v>
      </c>
      <c r="AS1638" t="s">
        <v>20428</v>
      </c>
      <c r="AT1638" t="s">
        <v>15040</v>
      </c>
      <c r="AU1638" t="s">
        <v>177</v>
      </c>
      <c r="AV1638" t="s">
        <v>371</v>
      </c>
      <c r="AW1638" t="s">
        <v>182</v>
      </c>
      <c r="AX1638">
        <v>2</v>
      </c>
      <c r="AY1638" t="s">
        <v>188</v>
      </c>
      <c r="AZ1638" t="s">
        <v>189</v>
      </c>
      <c r="BA1638" t="s">
        <v>190</v>
      </c>
      <c r="BB1638" t="s">
        <v>191</v>
      </c>
      <c r="BC1638" t="s">
        <v>182</v>
      </c>
      <c r="BD1638" t="s">
        <v>182</v>
      </c>
      <c r="BE1638" t="s">
        <v>383</v>
      </c>
      <c r="BF1638">
        <v>1</v>
      </c>
      <c r="BG1638">
        <v>1</v>
      </c>
      <c r="BH1638">
        <v>1986</v>
      </c>
      <c r="BI1638" t="s">
        <v>14204</v>
      </c>
      <c r="BJ1638" t="s">
        <v>194</v>
      </c>
      <c r="BK1638" t="s">
        <v>195</v>
      </c>
      <c r="BL1638" t="s">
        <v>824</v>
      </c>
      <c r="BM1638" t="s">
        <v>533</v>
      </c>
      <c r="BN1638" t="s">
        <v>182</v>
      </c>
      <c r="BO1638" t="s">
        <v>198</v>
      </c>
      <c r="BP1638" t="s">
        <v>198</v>
      </c>
      <c r="BQ1638" t="s">
        <v>198</v>
      </c>
      <c r="BR1638" t="s">
        <v>198</v>
      </c>
      <c r="BS1638" t="s">
        <v>198</v>
      </c>
      <c r="BT1638" t="s">
        <v>198</v>
      </c>
      <c r="BU1638" t="s">
        <v>182</v>
      </c>
      <c r="BV1638" t="s">
        <v>198</v>
      </c>
      <c r="BW1638" t="s">
        <v>198</v>
      </c>
      <c r="BX1638" t="s">
        <v>199</v>
      </c>
      <c r="BY1638" t="s">
        <v>198</v>
      </c>
      <c r="BZ1638" t="s">
        <v>199</v>
      </c>
      <c r="CA1638" t="s">
        <v>199</v>
      </c>
      <c r="CB1638" t="s">
        <v>20429</v>
      </c>
      <c r="CC1638" t="s">
        <v>201</v>
      </c>
      <c r="CD1638" t="s">
        <v>182</v>
      </c>
      <c r="CE1638" t="s">
        <v>20430</v>
      </c>
      <c r="CF1638" t="s">
        <v>2333</v>
      </c>
      <c r="CG1638" t="s">
        <v>177</v>
      </c>
      <c r="CH1638" t="s">
        <v>2334</v>
      </c>
      <c r="CI1638" t="s">
        <v>20431</v>
      </c>
      <c r="CJ1638" t="s">
        <v>17542</v>
      </c>
      <c r="CK1638" t="s">
        <v>232</v>
      </c>
      <c r="CL1638" t="s">
        <v>233</v>
      </c>
      <c r="CM1638" t="s">
        <v>20432</v>
      </c>
      <c r="CN1638" t="s">
        <v>235</v>
      </c>
      <c r="CO1638" t="s">
        <v>183</v>
      </c>
      <c r="CP1638" t="s">
        <v>266</v>
      </c>
      <c r="CS1638" t="s">
        <v>198</v>
      </c>
      <c r="CT1638" t="s">
        <v>5238</v>
      </c>
      <c r="CU1638" t="s">
        <v>292</v>
      </c>
      <c r="CV1638" t="s">
        <v>293</v>
      </c>
      <c r="CW1638" t="s">
        <v>20433</v>
      </c>
      <c r="CX1638" t="s">
        <v>235</v>
      </c>
      <c r="CY1638" t="s">
        <v>183</v>
      </c>
      <c r="CZ1638" t="s">
        <v>211</v>
      </c>
      <c r="DA1638" t="s">
        <v>298</v>
      </c>
      <c r="DC1638" t="s">
        <v>1641</v>
      </c>
      <c r="DD1638" t="s">
        <v>18501</v>
      </c>
      <c r="DE1638" t="s">
        <v>267</v>
      </c>
      <c r="DF1638" t="s">
        <v>268</v>
      </c>
      <c r="DG1638" t="s">
        <v>20434</v>
      </c>
      <c r="DH1638" t="s">
        <v>235</v>
      </c>
      <c r="DI1638" t="s">
        <v>183</v>
      </c>
      <c r="DJ1638" t="s">
        <v>211</v>
      </c>
      <c r="DK1638" t="s">
        <v>334</v>
      </c>
      <c r="DM1638" t="s">
        <v>8556</v>
      </c>
      <c r="DN1638" t="s">
        <v>4954</v>
      </c>
      <c r="DO1638" t="s">
        <v>273</v>
      </c>
      <c r="DP1638" t="s">
        <v>274</v>
      </c>
      <c r="DQ1638" t="s">
        <v>20435</v>
      </c>
      <c r="DR1638" t="s">
        <v>235</v>
      </c>
      <c r="DS1638" t="s">
        <v>183</v>
      </c>
      <c r="DT1638" t="s">
        <v>211</v>
      </c>
      <c r="DU1638" t="s">
        <v>298</v>
      </c>
      <c r="DW1638" t="s">
        <v>462</v>
      </c>
      <c r="DX1638" t="s">
        <v>20436</v>
      </c>
      <c r="DY1638" t="s">
        <v>302</v>
      </c>
      <c r="DZ1638" t="s">
        <v>303</v>
      </c>
      <c r="EA1638" t="s">
        <v>20437</v>
      </c>
      <c r="EB1638" t="s">
        <v>235</v>
      </c>
      <c r="EC1638" t="s">
        <v>183</v>
      </c>
      <c r="ED1638" t="s">
        <v>211</v>
      </c>
      <c r="EE1638" t="s">
        <v>298</v>
      </c>
      <c r="EG1638" t="s">
        <v>2359</v>
      </c>
      <c r="EH1638" t="s">
        <v>18973</v>
      </c>
      <c r="EI1638" t="s">
        <v>238</v>
      </c>
      <c r="EJ1638" t="s">
        <v>239</v>
      </c>
      <c r="EK1638" t="s">
        <v>20438</v>
      </c>
      <c r="EL1638" t="s">
        <v>440</v>
      </c>
      <c r="EM1638" t="s">
        <v>183</v>
      </c>
      <c r="EN1638" t="s">
        <v>211</v>
      </c>
      <c r="EO1638" t="s">
        <v>298</v>
      </c>
      <c r="EQ1638" t="s">
        <v>467</v>
      </c>
      <c r="ER1638" t="s">
        <v>20439</v>
      </c>
      <c r="ES1638" t="s">
        <v>346</v>
      </c>
      <c r="ET1638" t="s">
        <v>347</v>
      </c>
      <c r="EU1638" t="s">
        <v>20440</v>
      </c>
      <c r="EV1638" t="s">
        <v>278</v>
      </c>
      <c r="EW1638" t="s">
        <v>183</v>
      </c>
      <c r="EX1638" t="s">
        <v>211</v>
      </c>
      <c r="EY1638" t="s">
        <v>298</v>
      </c>
      <c r="FA1638" t="s">
        <v>878</v>
      </c>
      <c r="FB1638" t="s">
        <v>20441</v>
      </c>
      <c r="FC1638" t="s">
        <v>207</v>
      </c>
      <c r="FD1638" t="s">
        <v>208</v>
      </c>
      <c r="FE1638" t="s">
        <v>20442</v>
      </c>
      <c r="FF1638" t="s">
        <v>1966</v>
      </c>
      <c r="FG1638" t="s">
        <v>183</v>
      </c>
      <c r="FH1638" t="s">
        <v>211</v>
      </c>
      <c r="FI1638" t="s">
        <v>345</v>
      </c>
      <c r="FK1638" t="s">
        <v>2516</v>
      </c>
      <c r="FU1638" t="s">
        <v>198</v>
      </c>
    </row>
    <row r="1639" spans="1:177">
      <c r="A1639" s="1" t="str">
        <f>HYPERLINK("http://digipan.lumentumllc.com/apps/getLink/index.php?t=PropLink&amp;p=5247667","PL")</f>
        <v>PL</v>
      </c>
      <c r="B1639" s="1" t="str">
        <f>HYPERLINK("http://digipan.lumentumllc.com/apps/getLink/index.php?t=TaxLink&amp;p=5247667","TL")</f>
        <v>TL</v>
      </c>
      <c r="C1639" s="1" t="str">
        <f>HYPERLINK("http://digipan.lumentumllc.com/apps/getMap/index.php?p=5247667","Map")</f>
        <v>Map</v>
      </c>
      <c r="E1639" t="s">
        <v>177</v>
      </c>
      <c r="F1639" t="s">
        <v>178</v>
      </c>
      <c r="L1639" t="s">
        <v>20443</v>
      </c>
      <c r="N1639" t="s">
        <v>20443</v>
      </c>
      <c r="O1639" t="s">
        <v>20443</v>
      </c>
      <c r="P1639" t="s">
        <v>20444</v>
      </c>
      <c r="Q1639" t="s">
        <v>20443</v>
      </c>
      <c r="V1639">
        <v>1874</v>
      </c>
      <c r="W1639">
        <v>6</v>
      </c>
      <c r="X1639">
        <v>2017</v>
      </c>
      <c r="Y1639">
        <v>2018</v>
      </c>
      <c r="Z1639">
        <v>1660.53</v>
      </c>
      <c r="AB1639" t="s">
        <v>181</v>
      </c>
      <c r="AC1639" t="s">
        <v>182</v>
      </c>
      <c r="AD1639" t="s">
        <v>183</v>
      </c>
      <c r="AE1639">
        <v>1</v>
      </c>
      <c r="AF1639">
        <v>5</v>
      </c>
      <c r="AG1639" t="s">
        <v>322</v>
      </c>
      <c r="AH1639">
        <v>83</v>
      </c>
      <c r="AI1639">
        <v>1633.83</v>
      </c>
      <c r="AJ1639">
        <v>81.69</v>
      </c>
      <c r="AK1639">
        <v>1715.52</v>
      </c>
      <c r="AL1639">
        <v>188549</v>
      </c>
      <c r="AM1639">
        <v>60000</v>
      </c>
      <c r="AN1639">
        <v>128549</v>
      </c>
      <c r="AO1639">
        <v>1486</v>
      </c>
      <c r="AP1639">
        <v>2016</v>
      </c>
      <c r="AQ1639">
        <v>0.88</v>
      </c>
      <c r="AR1639">
        <v>0.91</v>
      </c>
      <c r="AS1639" t="s">
        <v>20445</v>
      </c>
      <c r="AT1639" t="s">
        <v>15040</v>
      </c>
      <c r="AU1639" t="s">
        <v>177</v>
      </c>
      <c r="AV1639" t="s">
        <v>371</v>
      </c>
      <c r="AW1639" t="s">
        <v>202</v>
      </c>
      <c r="AX1639">
        <v>1</v>
      </c>
      <c r="AY1639" t="s">
        <v>188</v>
      </c>
      <c r="AZ1639" t="s">
        <v>206</v>
      </c>
      <c r="BA1639" t="s">
        <v>355</v>
      </c>
      <c r="BB1639" t="s">
        <v>191</v>
      </c>
      <c r="BC1639" t="s">
        <v>182</v>
      </c>
      <c r="BD1639" t="s">
        <v>182</v>
      </c>
      <c r="BE1639" t="s">
        <v>14304</v>
      </c>
      <c r="BF1639">
        <v>1</v>
      </c>
      <c r="BG1639">
        <v>1</v>
      </c>
      <c r="BH1639">
        <v>2000</v>
      </c>
      <c r="BI1639" t="s">
        <v>20446</v>
      </c>
      <c r="BJ1639" t="s">
        <v>248</v>
      </c>
      <c r="BK1639" t="s">
        <v>195</v>
      </c>
      <c r="BL1639" t="s">
        <v>1282</v>
      </c>
      <c r="BM1639" t="s">
        <v>533</v>
      </c>
      <c r="BN1639" t="s">
        <v>182</v>
      </c>
      <c r="BO1639" t="s">
        <v>2328</v>
      </c>
      <c r="BP1639" t="s">
        <v>5899</v>
      </c>
      <c r="BS1639" t="s">
        <v>10285</v>
      </c>
      <c r="BT1639" t="s">
        <v>198</v>
      </c>
      <c r="BU1639" t="s">
        <v>182</v>
      </c>
      <c r="BV1639" t="s">
        <v>198</v>
      </c>
      <c r="BW1639" t="s">
        <v>198</v>
      </c>
      <c r="BX1639" t="s">
        <v>199</v>
      </c>
      <c r="BY1639" t="s">
        <v>198</v>
      </c>
      <c r="BZ1639" t="s">
        <v>199</v>
      </c>
      <c r="CA1639" t="s">
        <v>199</v>
      </c>
      <c r="CB1639" t="s">
        <v>20447</v>
      </c>
      <c r="CC1639" t="s">
        <v>201</v>
      </c>
      <c r="CD1639" t="s">
        <v>182</v>
      </c>
      <c r="CE1639" t="s">
        <v>20448</v>
      </c>
      <c r="CF1639" t="s">
        <v>5331</v>
      </c>
      <c r="CG1639" t="s">
        <v>177</v>
      </c>
      <c r="CH1639" t="s">
        <v>371</v>
      </c>
      <c r="CI1639" t="s">
        <v>20449</v>
      </c>
      <c r="CJ1639" t="s">
        <v>5126</v>
      </c>
      <c r="CK1639" t="s">
        <v>232</v>
      </c>
      <c r="CL1639" t="s">
        <v>233</v>
      </c>
      <c r="CM1639" t="s">
        <v>20450</v>
      </c>
      <c r="CN1639" t="s">
        <v>235</v>
      </c>
      <c r="CO1639" t="s">
        <v>183</v>
      </c>
      <c r="CP1639" t="s">
        <v>266</v>
      </c>
      <c r="CS1639" t="s">
        <v>198</v>
      </c>
      <c r="CT1639" t="s">
        <v>5316</v>
      </c>
      <c r="CU1639" t="s">
        <v>292</v>
      </c>
      <c r="CV1639" t="s">
        <v>293</v>
      </c>
      <c r="CW1639" t="s">
        <v>20451</v>
      </c>
      <c r="CX1639" t="s">
        <v>235</v>
      </c>
      <c r="CY1639" t="s">
        <v>183</v>
      </c>
      <c r="CZ1639" t="s">
        <v>211</v>
      </c>
      <c r="DA1639" t="s">
        <v>345</v>
      </c>
      <c r="DC1639" t="s">
        <v>2485</v>
      </c>
      <c r="DD1639" t="s">
        <v>18640</v>
      </c>
      <c r="DE1639" t="s">
        <v>267</v>
      </c>
      <c r="DF1639" t="s">
        <v>268</v>
      </c>
      <c r="DG1639" t="s">
        <v>20452</v>
      </c>
      <c r="DH1639" t="s">
        <v>235</v>
      </c>
      <c r="DI1639" t="s">
        <v>183</v>
      </c>
      <c r="DJ1639" t="s">
        <v>211</v>
      </c>
      <c r="DK1639" t="s">
        <v>345</v>
      </c>
      <c r="DM1639" t="s">
        <v>6162</v>
      </c>
      <c r="DN1639" t="s">
        <v>3432</v>
      </c>
      <c r="DO1639" t="s">
        <v>273</v>
      </c>
      <c r="DP1639" t="s">
        <v>274</v>
      </c>
      <c r="DQ1639" t="s">
        <v>20453</v>
      </c>
      <c r="DR1639" t="s">
        <v>235</v>
      </c>
      <c r="DS1639" t="s">
        <v>183</v>
      </c>
      <c r="DT1639" t="s">
        <v>211</v>
      </c>
      <c r="DU1639" t="s">
        <v>298</v>
      </c>
      <c r="DW1639" t="s">
        <v>2749</v>
      </c>
      <c r="DX1639" t="s">
        <v>16762</v>
      </c>
      <c r="DY1639" t="s">
        <v>238</v>
      </c>
      <c r="DZ1639" t="s">
        <v>239</v>
      </c>
      <c r="EA1639" t="s">
        <v>20454</v>
      </c>
      <c r="EB1639" t="s">
        <v>235</v>
      </c>
      <c r="EC1639" t="s">
        <v>183</v>
      </c>
      <c r="ED1639" t="s">
        <v>211</v>
      </c>
      <c r="EE1639" t="s">
        <v>329</v>
      </c>
      <c r="EG1639" t="s">
        <v>4631</v>
      </c>
      <c r="EH1639" t="s">
        <v>20455</v>
      </c>
      <c r="EI1639" t="s">
        <v>346</v>
      </c>
      <c r="EJ1639" t="s">
        <v>347</v>
      </c>
      <c r="EK1639" t="s">
        <v>20456</v>
      </c>
      <c r="EL1639" t="s">
        <v>235</v>
      </c>
      <c r="EM1639" t="s">
        <v>183</v>
      </c>
      <c r="EN1639" t="s">
        <v>211</v>
      </c>
      <c r="EO1639" t="s">
        <v>342</v>
      </c>
      <c r="EQ1639" t="s">
        <v>1419</v>
      </c>
      <c r="FA1639" t="s">
        <v>198</v>
      </c>
      <c r="FK1639" t="s">
        <v>198</v>
      </c>
      <c r="FU1639" t="s">
        <v>198</v>
      </c>
    </row>
    <row r="1640" spans="1:177">
      <c r="A1640" s="1" t="str">
        <f>HYPERLINK("http://digipan.lumentumllc.com/apps/getLink/index.php?t=PropLink&amp;p=15757992","PL")</f>
        <v>PL</v>
      </c>
      <c r="B1640" s="1" t="str">
        <f>HYPERLINK("http://digipan.lumentumllc.com/apps/getLink/index.php?t=TaxLink&amp;p=15757992","TL")</f>
        <v>TL</v>
      </c>
      <c r="C1640" s="1" t="str">
        <f>HYPERLINK("http://digipan.lumentumllc.com/apps/getMap/index.php?p=15757992","Map")</f>
        <v>Map</v>
      </c>
      <c r="E1640" t="s">
        <v>177</v>
      </c>
      <c r="F1640" t="s">
        <v>178</v>
      </c>
      <c r="L1640" t="s">
        <v>20457</v>
      </c>
      <c r="N1640" t="s">
        <v>20457</v>
      </c>
      <c r="O1640" t="s">
        <v>20457</v>
      </c>
      <c r="Q1640" t="s">
        <v>20457</v>
      </c>
      <c r="V1640">
        <v>1875</v>
      </c>
      <c r="W1640">
        <v>6</v>
      </c>
      <c r="X1640">
        <v>2017</v>
      </c>
      <c r="Y1640">
        <v>2018</v>
      </c>
      <c r="Z1640">
        <v>5052.38</v>
      </c>
      <c r="AG1640" t="s">
        <v>184</v>
      </c>
      <c r="AH1640">
        <v>0</v>
      </c>
      <c r="AK1640">
        <v>0</v>
      </c>
      <c r="AL1640">
        <v>413709</v>
      </c>
      <c r="AM1640">
        <v>210000</v>
      </c>
      <c r="AN1640">
        <v>203709</v>
      </c>
      <c r="AO1640">
        <v>4601</v>
      </c>
      <c r="AP1640">
        <v>2016</v>
      </c>
      <c r="AQ1640">
        <v>1.22</v>
      </c>
      <c r="AS1640" t="s">
        <v>20458</v>
      </c>
      <c r="AT1640" t="s">
        <v>15040</v>
      </c>
      <c r="AU1640" t="s">
        <v>177</v>
      </c>
      <c r="AV1640" t="s">
        <v>371</v>
      </c>
      <c r="AW1640" t="s">
        <v>202</v>
      </c>
      <c r="AX1640">
        <v>1</v>
      </c>
      <c r="AY1640" t="s">
        <v>188</v>
      </c>
      <c r="AZ1640" t="s">
        <v>206</v>
      </c>
      <c r="BA1640" t="s">
        <v>355</v>
      </c>
      <c r="BB1640" t="s">
        <v>191</v>
      </c>
      <c r="BC1640" t="s">
        <v>182</v>
      </c>
      <c r="BD1640" t="s">
        <v>182</v>
      </c>
      <c r="BE1640" t="s">
        <v>927</v>
      </c>
      <c r="BF1640">
        <v>1</v>
      </c>
      <c r="BG1640">
        <v>1</v>
      </c>
      <c r="BH1640">
        <v>1995</v>
      </c>
      <c r="BI1640" t="s">
        <v>20459</v>
      </c>
      <c r="BJ1640" t="s">
        <v>396</v>
      </c>
      <c r="BK1640" t="s">
        <v>195</v>
      </c>
      <c r="BL1640" t="s">
        <v>199</v>
      </c>
      <c r="BM1640" t="s">
        <v>451</v>
      </c>
      <c r="BN1640" t="s">
        <v>182</v>
      </c>
      <c r="BO1640" t="s">
        <v>198</v>
      </c>
      <c r="BP1640" t="s">
        <v>198</v>
      </c>
      <c r="BQ1640" t="s">
        <v>198</v>
      </c>
      <c r="BR1640" t="s">
        <v>198</v>
      </c>
      <c r="BS1640" t="s">
        <v>198</v>
      </c>
      <c r="BT1640" t="s">
        <v>198</v>
      </c>
      <c r="BU1640" t="s">
        <v>182</v>
      </c>
      <c r="BV1640" t="s">
        <v>198</v>
      </c>
      <c r="BW1640" t="s">
        <v>198</v>
      </c>
      <c r="BX1640" t="s">
        <v>199</v>
      </c>
      <c r="BY1640" t="s">
        <v>198</v>
      </c>
      <c r="BZ1640" t="s">
        <v>199</v>
      </c>
      <c r="CA1640" t="s">
        <v>199</v>
      </c>
      <c r="CB1640" t="s">
        <v>20460</v>
      </c>
      <c r="CC1640" t="s">
        <v>201</v>
      </c>
      <c r="CD1640" t="s">
        <v>182</v>
      </c>
      <c r="CE1640" t="s">
        <v>20461</v>
      </c>
      <c r="CF1640" t="s">
        <v>5331</v>
      </c>
      <c r="CG1640" t="s">
        <v>177</v>
      </c>
      <c r="CH1640" t="s">
        <v>371</v>
      </c>
      <c r="CI1640" t="s">
        <v>1955</v>
      </c>
      <c r="CS1640" t="s">
        <v>198</v>
      </c>
      <c r="DC1640" t="s">
        <v>198</v>
      </c>
      <c r="DM1640" t="s">
        <v>198</v>
      </c>
      <c r="DW1640" t="s">
        <v>198</v>
      </c>
      <c r="EG1640" t="s">
        <v>198</v>
      </c>
      <c r="EQ1640" t="s">
        <v>198</v>
      </c>
      <c r="FA1640" t="s">
        <v>198</v>
      </c>
      <c r="FK1640" t="s">
        <v>198</v>
      </c>
      <c r="FU1640" t="s">
        <v>198</v>
      </c>
    </row>
    <row r="1641" spans="1:177">
      <c r="A1641" s="1" t="str">
        <f>HYPERLINK("http://digipan.lumentumllc.com/apps/getLink/index.php?t=PropLink&amp;p=15758309","PL")</f>
        <v>PL</v>
      </c>
      <c r="B1641" s="1" t="str">
        <f>HYPERLINK("http://digipan.lumentumllc.com/apps/getLink/index.php?t=TaxLink&amp;p=15758309","TL")</f>
        <v>TL</v>
      </c>
      <c r="C1641" s="1" t="str">
        <f>HYPERLINK("http://digipan.lumentumllc.com/apps/getMap/index.php?p=15758309","Map")</f>
        <v>Map</v>
      </c>
      <c r="E1641" t="s">
        <v>177</v>
      </c>
      <c r="F1641" t="s">
        <v>178</v>
      </c>
      <c r="L1641" t="s">
        <v>20462</v>
      </c>
      <c r="N1641" t="s">
        <v>20462</v>
      </c>
      <c r="O1641" t="s">
        <v>20462</v>
      </c>
      <c r="Q1641" t="s">
        <v>20462</v>
      </c>
      <c r="V1641">
        <v>1876</v>
      </c>
      <c r="W1641">
        <v>6</v>
      </c>
      <c r="X1641">
        <v>2017</v>
      </c>
      <c r="Y1641">
        <v>2018</v>
      </c>
      <c r="Z1641">
        <v>545.12</v>
      </c>
      <c r="AG1641" t="s">
        <v>184</v>
      </c>
      <c r="AH1641">
        <v>0</v>
      </c>
      <c r="AK1641">
        <v>0</v>
      </c>
      <c r="AL1641">
        <v>360700</v>
      </c>
      <c r="AM1641">
        <v>31341</v>
      </c>
      <c r="AN1641">
        <v>329359</v>
      </c>
      <c r="AO1641">
        <v>473</v>
      </c>
      <c r="AP1641">
        <v>2016</v>
      </c>
      <c r="AQ1641">
        <v>0.15</v>
      </c>
      <c r="AS1641" t="s">
        <v>20463</v>
      </c>
      <c r="AT1641" t="s">
        <v>15040</v>
      </c>
      <c r="AU1641" t="s">
        <v>177</v>
      </c>
      <c r="AV1641" t="s">
        <v>371</v>
      </c>
      <c r="AW1641" t="s">
        <v>182</v>
      </c>
      <c r="AX1641">
        <v>56</v>
      </c>
      <c r="AY1641" t="s">
        <v>218</v>
      </c>
      <c r="AZ1641" t="s">
        <v>219</v>
      </c>
      <c r="BA1641" t="s">
        <v>220</v>
      </c>
      <c r="BB1641" t="s">
        <v>191</v>
      </c>
      <c r="BC1641" t="s">
        <v>182</v>
      </c>
      <c r="BD1641" t="s">
        <v>182</v>
      </c>
      <c r="BE1641" t="s">
        <v>20464</v>
      </c>
      <c r="BF1641">
        <v>0</v>
      </c>
      <c r="BG1641">
        <v>0</v>
      </c>
      <c r="BH1641">
        <v>0</v>
      </c>
      <c r="BI1641" t="s">
        <v>199</v>
      </c>
      <c r="BJ1641" t="s">
        <v>248</v>
      </c>
      <c r="BL1641" t="s">
        <v>199</v>
      </c>
      <c r="BM1641" t="s">
        <v>292</v>
      </c>
      <c r="BN1641" t="s">
        <v>182</v>
      </c>
      <c r="BO1641" t="s">
        <v>198</v>
      </c>
      <c r="BP1641" t="s">
        <v>198</v>
      </c>
      <c r="BQ1641" t="s">
        <v>198</v>
      </c>
      <c r="BR1641" t="s">
        <v>198</v>
      </c>
      <c r="BS1641" t="s">
        <v>198</v>
      </c>
      <c r="BT1641" t="s">
        <v>198</v>
      </c>
      <c r="BU1641" t="s">
        <v>182</v>
      </c>
      <c r="BV1641" t="s">
        <v>198</v>
      </c>
      <c r="BW1641" t="s">
        <v>198</v>
      </c>
      <c r="BX1641" t="s">
        <v>199</v>
      </c>
      <c r="BY1641" t="s">
        <v>198</v>
      </c>
      <c r="BZ1641" t="s">
        <v>199</v>
      </c>
      <c r="CA1641" t="s">
        <v>199</v>
      </c>
      <c r="CB1641" t="s">
        <v>20218</v>
      </c>
      <c r="CC1641" t="s">
        <v>201</v>
      </c>
      <c r="CD1641" t="s">
        <v>182</v>
      </c>
      <c r="CE1641" t="s">
        <v>20219</v>
      </c>
      <c r="CF1641" t="s">
        <v>5331</v>
      </c>
      <c r="CG1641" t="s">
        <v>177</v>
      </c>
      <c r="CH1641" t="s">
        <v>371</v>
      </c>
      <c r="CI1641" t="s">
        <v>20465</v>
      </c>
      <c r="CS1641" t="s">
        <v>198</v>
      </c>
      <c r="DC1641" t="s">
        <v>198</v>
      </c>
      <c r="DM1641" t="s">
        <v>198</v>
      </c>
      <c r="DW1641" t="s">
        <v>198</v>
      </c>
      <c r="EG1641" t="s">
        <v>198</v>
      </c>
      <c r="EQ1641" t="s">
        <v>198</v>
      </c>
      <c r="FA1641" t="s">
        <v>198</v>
      </c>
      <c r="FK1641" t="s">
        <v>198</v>
      </c>
      <c r="FU1641" t="s">
        <v>198</v>
      </c>
    </row>
    <row r="1642" spans="1:177">
      <c r="A1642" s="1" t="str">
        <f>HYPERLINK("http://digipan.lumentumllc.com/apps/getLink/index.php?t=PropLink&amp;p=5247681","PL")</f>
        <v>PL</v>
      </c>
      <c r="B1642" s="1" t="str">
        <f>HYPERLINK("http://digipan.lumentumllc.com/apps/getLink/index.php?t=TaxLink&amp;p=5247681","TL")</f>
        <v>TL</v>
      </c>
      <c r="C1642" s="1" t="str">
        <f>HYPERLINK("http://digipan.lumentumllc.com/apps/getMap/index.php?p=5247681","Map")</f>
        <v>Map</v>
      </c>
      <c r="E1642" t="s">
        <v>177</v>
      </c>
      <c r="F1642" t="s">
        <v>178</v>
      </c>
      <c r="L1642" t="s">
        <v>20466</v>
      </c>
      <c r="N1642" t="s">
        <v>20466</v>
      </c>
      <c r="O1642" t="s">
        <v>20466</v>
      </c>
      <c r="P1642" t="s">
        <v>20467</v>
      </c>
      <c r="Q1642" t="s">
        <v>20466</v>
      </c>
      <c r="V1642">
        <v>1877</v>
      </c>
      <c r="W1642">
        <v>6</v>
      </c>
      <c r="X1642">
        <v>2017</v>
      </c>
      <c r="Y1642">
        <v>2018</v>
      </c>
      <c r="Z1642">
        <v>565.74</v>
      </c>
      <c r="AB1642" t="s">
        <v>181</v>
      </c>
      <c r="AC1642" t="s">
        <v>182</v>
      </c>
      <c r="AD1642" t="s">
        <v>183</v>
      </c>
      <c r="AE1642">
        <v>1</v>
      </c>
      <c r="AF1642">
        <v>4</v>
      </c>
      <c r="AG1642" t="s">
        <v>257</v>
      </c>
      <c r="AH1642">
        <v>75</v>
      </c>
      <c r="AI1642">
        <v>618.52</v>
      </c>
      <c r="AJ1642">
        <v>30.93</v>
      </c>
      <c r="AK1642">
        <v>649.45000000000005</v>
      </c>
      <c r="AL1642">
        <v>32599</v>
      </c>
      <c r="AM1642">
        <v>25000</v>
      </c>
      <c r="AN1642">
        <v>7599</v>
      </c>
      <c r="AO1642">
        <v>547</v>
      </c>
      <c r="AP1642">
        <v>2016</v>
      </c>
      <c r="AQ1642">
        <v>1.74</v>
      </c>
      <c r="AR1642">
        <v>1.99</v>
      </c>
      <c r="AS1642" t="s">
        <v>20468</v>
      </c>
      <c r="AT1642" t="s">
        <v>15040</v>
      </c>
      <c r="AU1642" t="s">
        <v>177</v>
      </c>
      <c r="AV1642" t="s">
        <v>371</v>
      </c>
      <c r="AW1642" t="s">
        <v>182</v>
      </c>
      <c r="AX1642">
        <v>2</v>
      </c>
      <c r="AY1642" t="s">
        <v>188</v>
      </c>
      <c r="AZ1642" t="s">
        <v>189</v>
      </c>
      <c r="BA1642" t="s">
        <v>190</v>
      </c>
      <c r="BB1642" t="s">
        <v>191</v>
      </c>
      <c r="BC1642" t="s">
        <v>182</v>
      </c>
      <c r="BD1642" t="s">
        <v>182</v>
      </c>
      <c r="BE1642" t="s">
        <v>18374</v>
      </c>
      <c r="BF1642">
        <v>1</v>
      </c>
      <c r="BG1642">
        <v>1</v>
      </c>
      <c r="BH1642">
        <v>1984</v>
      </c>
      <c r="BI1642" t="s">
        <v>2209</v>
      </c>
      <c r="BJ1642" t="s">
        <v>285</v>
      </c>
      <c r="BK1642" t="s">
        <v>195</v>
      </c>
      <c r="BL1642" t="s">
        <v>199</v>
      </c>
      <c r="BM1642" t="s">
        <v>292</v>
      </c>
      <c r="BN1642" t="s">
        <v>182</v>
      </c>
      <c r="BO1642" t="s">
        <v>20469</v>
      </c>
      <c r="BP1642" t="s">
        <v>20470</v>
      </c>
      <c r="BQ1642" t="s">
        <v>1896</v>
      </c>
      <c r="BR1642" t="s">
        <v>582</v>
      </c>
      <c r="BS1642" t="s">
        <v>198</v>
      </c>
      <c r="BT1642" t="s">
        <v>20471</v>
      </c>
      <c r="BU1642" t="s">
        <v>182</v>
      </c>
      <c r="BV1642" t="s">
        <v>198</v>
      </c>
      <c r="BW1642" t="s">
        <v>198</v>
      </c>
      <c r="BX1642" t="s">
        <v>199</v>
      </c>
      <c r="BY1642" t="s">
        <v>198</v>
      </c>
      <c r="BZ1642" t="s">
        <v>199</v>
      </c>
      <c r="CA1642" t="s">
        <v>199</v>
      </c>
      <c r="CB1642" t="s">
        <v>20472</v>
      </c>
      <c r="CC1642" t="s">
        <v>201</v>
      </c>
      <c r="CD1642" t="s">
        <v>202</v>
      </c>
      <c r="CE1642" t="s">
        <v>20473</v>
      </c>
      <c r="CF1642" t="s">
        <v>5331</v>
      </c>
      <c r="CG1642" t="s">
        <v>177</v>
      </c>
      <c r="CH1642" t="s">
        <v>371</v>
      </c>
      <c r="CI1642" t="s">
        <v>20474</v>
      </c>
      <c r="CJ1642" t="s">
        <v>2028</v>
      </c>
      <c r="CK1642" t="s">
        <v>232</v>
      </c>
      <c r="CL1642" t="s">
        <v>233</v>
      </c>
      <c r="CM1642" t="s">
        <v>20475</v>
      </c>
      <c r="CN1642" t="s">
        <v>235</v>
      </c>
      <c r="CO1642" t="s">
        <v>183</v>
      </c>
      <c r="CP1642" t="s">
        <v>266</v>
      </c>
      <c r="CS1642" t="s">
        <v>198</v>
      </c>
      <c r="CT1642" t="s">
        <v>19036</v>
      </c>
      <c r="CU1642" t="s">
        <v>292</v>
      </c>
      <c r="CV1642" t="s">
        <v>293</v>
      </c>
      <c r="CW1642" t="s">
        <v>20476</v>
      </c>
      <c r="CX1642" t="s">
        <v>235</v>
      </c>
      <c r="CY1642" t="s">
        <v>183</v>
      </c>
      <c r="CZ1642" t="s">
        <v>211</v>
      </c>
      <c r="DA1642" t="s">
        <v>523</v>
      </c>
      <c r="DC1642" t="s">
        <v>8411</v>
      </c>
      <c r="DD1642" t="s">
        <v>20477</v>
      </c>
      <c r="DE1642" t="s">
        <v>238</v>
      </c>
      <c r="DF1642" t="s">
        <v>239</v>
      </c>
      <c r="DG1642" t="s">
        <v>20478</v>
      </c>
      <c r="DH1642" t="s">
        <v>440</v>
      </c>
      <c r="DI1642" t="s">
        <v>183</v>
      </c>
      <c r="DJ1642" t="s">
        <v>211</v>
      </c>
      <c r="DK1642" t="s">
        <v>270</v>
      </c>
      <c r="DM1642" t="s">
        <v>15031</v>
      </c>
      <c r="DN1642" t="s">
        <v>17132</v>
      </c>
      <c r="DO1642" t="s">
        <v>346</v>
      </c>
      <c r="DP1642" t="s">
        <v>347</v>
      </c>
      <c r="DQ1642" t="s">
        <v>20479</v>
      </c>
      <c r="DR1642" t="s">
        <v>278</v>
      </c>
      <c r="DS1642" t="s">
        <v>183</v>
      </c>
      <c r="DT1642" t="s">
        <v>211</v>
      </c>
      <c r="DU1642" t="s">
        <v>199</v>
      </c>
      <c r="DW1642" t="s">
        <v>20480</v>
      </c>
      <c r="DX1642" t="s">
        <v>20481</v>
      </c>
      <c r="DY1642" t="s">
        <v>207</v>
      </c>
      <c r="DZ1642" t="s">
        <v>208</v>
      </c>
      <c r="EA1642" t="s">
        <v>20482</v>
      </c>
      <c r="EB1642" t="s">
        <v>341</v>
      </c>
      <c r="EC1642" t="s">
        <v>183</v>
      </c>
      <c r="ED1642" t="s">
        <v>211</v>
      </c>
      <c r="EE1642" t="s">
        <v>250</v>
      </c>
      <c r="EG1642" t="s">
        <v>20483</v>
      </c>
      <c r="EQ1642" t="s">
        <v>198</v>
      </c>
      <c r="FA1642" t="s">
        <v>198</v>
      </c>
      <c r="FK1642" t="s">
        <v>198</v>
      </c>
      <c r="FU1642" t="s">
        <v>198</v>
      </c>
    </row>
    <row r="1643" spans="1:177">
      <c r="A1643" s="1" t="str">
        <f>HYPERLINK("http://digipan.lumentumllc.com/apps/getLink/index.php?t=PropLink&amp;p=6594379","PL")</f>
        <v>PL</v>
      </c>
      <c r="B1643" s="1" t="str">
        <f>HYPERLINK("http://digipan.lumentumllc.com/apps/getLink/index.php?t=TaxLink&amp;p=6594379","TL")</f>
        <v>TL</v>
      </c>
      <c r="C1643" s="1" t="str">
        <f>HYPERLINK("http://digipan.lumentumllc.com/apps/getMap/index.php?p=6594379","Map")</f>
        <v>Map</v>
      </c>
      <c r="E1643" t="s">
        <v>177</v>
      </c>
      <c r="F1643" t="s">
        <v>178</v>
      </c>
      <c r="L1643" t="s">
        <v>20484</v>
      </c>
      <c r="N1643" t="s">
        <v>20484</v>
      </c>
      <c r="O1643" t="s">
        <v>20484</v>
      </c>
      <c r="P1643" t="s">
        <v>20485</v>
      </c>
      <c r="Q1643" t="s">
        <v>20484</v>
      </c>
      <c r="V1643">
        <v>1878</v>
      </c>
      <c r="W1643">
        <v>6</v>
      </c>
      <c r="X1643">
        <v>2017</v>
      </c>
      <c r="Y1643">
        <v>2018</v>
      </c>
      <c r="Z1643">
        <v>560.02</v>
      </c>
      <c r="AB1643" t="s">
        <v>181</v>
      </c>
      <c r="AC1643" t="s">
        <v>182</v>
      </c>
      <c r="AD1643" t="s">
        <v>183</v>
      </c>
      <c r="AE1643">
        <v>0</v>
      </c>
      <c r="AF1643">
        <v>3</v>
      </c>
      <c r="AG1643" t="s">
        <v>381</v>
      </c>
      <c r="AH1643">
        <v>100</v>
      </c>
      <c r="AK1643">
        <v>0</v>
      </c>
      <c r="AL1643">
        <v>32250</v>
      </c>
      <c r="AM1643">
        <v>32250</v>
      </c>
      <c r="AN1643">
        <v>0</v>
      </c>
      <c r="AO1643">
        <v>7</v>
      </c>
      <c r="AP1643">
        <v>2016</v>
      </c>
      <c r="AQ1643">
        <v>1.74</v>
      </c>
      <c r="AS1643" t="s">
        <v>20486</v>
      </c>
      <c r="AT1643" t="s">
        <v>15040</v>
      </c>
      <c r="AU1643" t="s">
        <v>177</v>
      </c>
      <c r="AV1643" t="s">
        <v>371</v>
      </c>
      <c r="AW1643" t="s">
        <v>182</v>
      </c>
      <c r="AX1643">
        <v>0</v>
      </c>
      <c r="AY1643" t="s">
        <v>312</v>
      </c>
      <c r="AZ1643" t="s">
        <v>199</v>
      </c>
      <c r="BA1643" t="s">
        <v>313</v>
      </c>
      <c r="BB1643" t="s">
        <v>191</v>
      </c>
      <c r="BC1643" t="s">
        <v>182</v>
      </c>
      <c r="BD1643" t="s">
        <v>182</v>
      </c>
      <c r="BE1643" t="s">
        <v>4221</v>
      </c>
      <c r="BF1643">
        <v>0</v>
      </c>
      <c r="BG1643">
        <v>0</v>
      </c>
      <c r="BH1643">
        <v>0</v>
      </c>
      <c r="BI1643" t="s">
        <v>199</v>
      </c>
      <c r="BJ1643" t="s">
        <v>248</v>
      </c>
      <c r="BL1643" t="s">
        <v>199</v>
      </c>
      <c r="BM1643" t="s">
        <v>1825</v>
      </c>
      <c r="BN1643" t="s">
        <v>182</v>
      </c>
      <c r="BO1643" t="s">
        <v>198</v>
      </c>
      <c r="BP1643" t="s">
        <v>198</v>
      </c>
      <c r="BQ1643" t="s">
        <v>198</v>
      </c>
      <c r="BR1643" t="s">
        <v>198</v>
      </c>
      <c r="BS1643" t="s">
        <v>198</v>
      </c>
      <c r="BT1643" t="s">
        <v>198</v>
      </c>
      <c r="BU1643" t="s">
        <v>182</v>
      </c>
      <c r="BV1643" t="s">
        <v>198</v>
      </c>
      <c r="BW1643" t="s">
        <v>198</v>
      </c>
      <c r="BX1643" t="s">
        <v>199</v>
      </c>
      <c r="BY1643" t="s">
        <v>198</v>
      </c>
      <c r="BZ1643" t="s">
        <v>199</v>
      </c>
      <c r="CA1643" t="s">
        <v>199</v>
      </c>
      <c r="CB1643" t="s">
        <v>20487</v>
      </c>
      <c r="CC1643" t="s">
        <v>201</v>
      </c>
      <c r="CD1643" t="s">
        <v>182</v>
      </c>
      <c r="CE1643" t="s">
        <v>20488</v>
      </c>
      <c r="CF1643" t="s">
        <v>5331</v>
      </c>
      <c r="CG1643" t="s">
        <v>177</v>
      </c>
      <c r="CH1643" t="s">
        <v>371</v>
      </c>
      <c r="CI1643" t="s">
        <v>20489</v>
      </c>
      <c r="CJ1643" t="s">
        <v>19662</v>
      </c>
      <c r="CK1643" t="s">
        <v>292</v>
      </c>
      <c r="CL1643" t="s">
        <v>293</v>
      </c>
      <c r="CM1643" t="s">
        <v>20490</v>
      </c>
      <c r="CN1643" t="s">
        <v>235</v>
      </c>
      <c r="CO1643" t="s">
        <v>183</v>
      </c>
      <c r="CP1643" t="s">
        <v>211</v>
      </c>
      <c r="CQ1643" t="s">
        <v>329</v>
      </c>
      <c r="CS1643" t="s">
        <v>459</v>
      </c>
      <c r="CT1643" t="s">
        <v>17548</v>
      </c>
      <c r="CU1643" t="s">
        <v>267</v>
      </c>
      <c r="CV1643" t="s">
        <v>268</v>
      </c>
      <c r="CW1643" t="s">
        <v>20491</v>
      </c>
      <c r="CX1643" t="s">
        <v>482</v>
      </c>
      <c r="CY1643" t="s">
        <v>183</v>
      </c>
      <c r="CZ1643" t="s">
        <v>211</v>
      </c>
      <c r="DA1643" t="s">
        <v>298</v>
      </c>
      <c r="DC1643" t="s">
        <v>459</v>
      </c>
      <c r="DD1643" t="s">
        <v>18553</v>
      </c>
      <c r="DE1643" t="s">
        <v>273</v>
      </c>
      <c r="DF1643" t="s">
        <v>268</v>
      </c>
      <c r="DG1643" t="s">
        <v>20492</v>
      </c>
      <c r="DH1643" t="s">
        <v>1491</v>
      </c>
      <c r="DI1643" t="s">
        <v>183</v>
      </c>
      <c r="DJ1643" t="s">
        <v>211</v>
      </c>
      <c r="DK1643" t="s">
        <v>298</v>
      </c>
      <c r="DM1643" t="s">
        <v>459</v>
      </c>
      <c r="DW1643" t="s">
        <v>198</v>
      </c>
      <c r="EG1643" t="s">
        <v>198</v>
      </c>
      <c r="EQ1643" t="s">
        <v>198</v>
      </c>
      <c r="FA1643" t="s">
        <v>198</v>
      </c>
      <c r="FK1643" t="s">
        <v>198</v>
      </c>
      <c r="FU1643" t="s">
        <v>198</v>
      </c>
    </row>
    <row r="1644" spans="1:177">
      <c r="A1644" s="1" t="str">
        <f>HYPERLINK("http://digipan.lumentumllc.com/apps/getLink/index.php?t=PropLink&amp;p=6129539","PL")</f>
        <v>PL</v>
      </c>
      <c r="B1644" s="1" t="str">
        <f>HYPERLINK("http://digipan.lumentumllc.com/apps/getLink/index.php?t=TaxLink&amp;p=6129539","TL")</f>
        <v>TL</v>
      </c>
      <c r="C1644" s="1" t="str">
        <f>HYPERLINK("http://digipan.lumentumllc.com/apps/getMap/index.php?p=6129539","Map")</f>
        <v>Map</v>
      </c>
      <c r="E1644" t="s">
        <v>177</v>
      </c>
      <c r="F1644" t="s">
        <v>178</v>
      </c>
      <c r="L1644" t="s">
        <v>20493</v>
      </c>
      <c r="N1644" t="s">
        <v>20493</v>
      </c>
      <c r="O1644" t="s">
        <v>20493</v>
      </c>
      <c r="P1644" t="s">
        <v>20494</v>
      </c>
      <c r="Q1644" t="s">
        <v>20493</v>
      </c>
      <c r="V1644">
        <v>1879</v>
      </c>
      <c r="W1644">
        <v>6</v>
      </c>
      <c r="X1644">
        <v>2017</v>
      </c>
      <c r="Y1644">
        <v>2018</v>
      </c>
      <c r="Z1644">
        <v>623.94000000000005</v>
      </c>
      <c r="AB1644" t="s">
        <v>181</v>
      </c>
      <c r="AC1644" t="s">
        <v>182</v>
      </c>
      <c r="AD1644" t="s">
        <v>183</v>
      </c>
      <c r="AE1644">
        <v>1</v>
      </c>
      <c r="AF1644">
        <v>5</v>
      </c>
      <c r="AG1644" t="s">
        <v>322</v>
      </c>
      <c r="AH1644">
        <v>83</v>
      </c>
      <c r="AI1644">
        <v>530.13</v>
      </c>
      <c r="AJ1644">
        <v>26.51</v>
      </c>
      <c r="AK1644">
        <v>556.64</v>
      </c>
      <c r="AL1644">
        <v>39942</v>
      </c>
      <c r="AM1644">
        <v>32250</v>
      </c>
      <c r="AN1644">
        <v>7692</v>
      </c>
      <c r="AO1644">
        <v>465</v>
      </c>
      <c r="AP1644">
        <v>2016</v>
      </c>
      <c r="AQ1644">
        <v>1.56</v>
      </c>
      <c r="AR1644">
        <v>1.39</v>
      </c>
      <c r="AS1644" t="s">
        <v>20495</v>
      </c>
      <c r="AT1644" t="s">
        <v>15040</v>
      </c>
      <c r="AU1644" t="s">
        <v>177</v>
      </c>
      <c r="AV1644" t="s">
        <v>371</v>
      </c>
      <c r="AW1644" t="s">
        <v>182</v>
      </c>
      <c r="AX1644">
        <v>0</v>
      </c>
      <c r="AY1644" t="s">
        <v>312</v>
      </c>
      <c r="AZ1644" t="s">
        <v>199</v>
      </c>
      <c r="BA1644" t="s">
        <v>313</v>
      </c>
      <c r="BB1644" t="s">
        <v>191</v>
      </c>
      <c r="BC1644" t="s">
        <v>182</v>
      </c>
      <c r="BD1644" t="s">
        <v>182</v>
      </c>
      <c r="BE1644" t="s">
        <v>4221</v>
      </c>
      <c r="BF1644">
        <v>0</v>
      </c>
      <c r="BG1644">
        <v>0</v>
      </c>
      <c r="BH1644">
        <v>0</v>
      </c>
      <c r="BI1644" t="s">
        <v>199</v>
      </c>
      <c r="BJ1644" t="s">
        <v>248</v>
      </c>
      <c r="BL1644" t="s">
        <v>199</v>
      </c>
      <c r="BM1644" t="s">
        <v>1825</v>
      </c>
      <c r="BN1644" t="s">
        <v>182</v>
      </c>
      <c r="BO1644" t="s">
        <v>198</v>
      </c>
      <c r="BP1644" t="s">
        <v>198</v>
      </c>
      <c r="BQ1644" t="s">
        <v>198</v>
      </c>
      <c r="BR1644" t="s">
        <v>198</v>
      </c>
      <c r="BS1644" t="s">
        <v>198</v>
      </c>
      <c r="BT1644" t="s">
        <v>198</v>
      </c>
      <c r="BU1644" t="s">
        <v>182</v>
      </c>
      <c r="BV1644" t="s">
        <v>198</v>
      </c>
      <c r="BW1644" t="s">
        <v>198</v>
      </c>
      <c r="BX1644" t="s">
        <v>199</v>
      </c>
      <c r="BY1644" t="s">
        <v>198</v>
      </c>
      <c r="BZ1644" t="s">
        <v>199</v>
      </c>
      <c r="CA1644" t="s">
        <v>199</v>
      </c>
      <c r="CB1644" t="s">
        <v>20487</v>
      </c>
      <c r="CC1644" t="s">
        <v>201</v>
      </c>
      <c r="CD1644" t="s">
        <v>182</v>
      </c>
      <c r="CE1644" t="s">
        <v>20488</v>
      </c>
      <c r="CF1644" t="s">
        <v>5331</v>
      </c>
      <c r="CG1644" t="s">
        <v>177</v>
      </c>
      <c r="CH1644" t="s">
        <v>371</v>
      </c>
      <c r="CI1644" t="s">
        <v>20496</v>
      </c>
      <c r="CJ1644" t="s">
        <v>4354</v>
      </c>
      <c r="CK1644" t="s">
        <v>232</v>
      </c>
      <c r="CL1644" t="s">
        <v>233</v>
      </c>
      <c r="CM1644" t="s">
        <v>20497</v>
      </c>
      <c r="CN1644" t="s">
        <v>235</v>
      </c>
      <c r="CO1644" t="s">
        <v>183</v>
      </c>
      <c r="CP1644" t="s">
        <v>266</v>
      </c>
      <c r="CS1644" t="s">
        <v>198</v>
      </c>
      <c r="CT1644" t="s">
        <v>10437</v>
      </c>
      <c r="CU1644" t="s">
        <v>292</v>
      </c>
      <c r="CV1644" t="s">
        <v>293</v>
      </c>
      <c r="CW1644" t="s">
        <v>20498</v>
      </c>
      <c r="CX1644" t="s">
        <v>235</v>
      </c>
      <c r="CY1644" t="s">
        <v>183</v>
      </c>
      <c r="CZ1644" t="s">
        <v>211</v>
      </c>
      <c r="DA1644" t="s">
        <v>298</v>
      </c>
      <c r="DC1644" t="s">
        <v>457</v>
      </c>
      <c r="DD1644" t="s">
        <v>5424</v>
      </c>
      <c r="DE1644" t="s">
        <v>267</v>
      </c>
      <c r="DF1644" t="s">
        <v>268</v>
      </c>
      <c r="DG1644" t="s">
        <v>20499</v>
      </c>
      <c r="DH1644" t="s">
        <v>331</v>
      </c>
      <c r="DI1644" t="s">
        <v>183</v>
      </c>
      <c r="DJ1644" t="s">
        <v>211</v>
      </c>
      <c r="DK1644" t="s">
        <v>298</v>
      </c>
      <c r="DM1644" t="s">
        <v>459</v>
      </c>
      <c r="DN1644" t="s">
        <v>2246</v>
      </c>
      <c r="DO1644" t="s">
        <v>273</v>
      </c>
      <c r="DP1644" t="s">
        <v>274</v>
      </c>
      <c r="DQ1644" t="s">
        <v>20500</v>
      </c>
      <c r="DR1644" t="s">
        <v>235</v>
      </c>
      <c r="DS1644" t="s">
        <v>183</v>
      </c>
      <c r="DT1644" t="s">
        <v>211</v>
      </c>
      <c r="DU1644" t="s">
        <v>298</v>
      </c>
      <c r="DW1644" t="s">
        <v>462</v>
      </c>
      <c r="DX1644" t="s">
        <v>20501</v>
      </c>
      <c r="DY1644" t="s">
        <v>302</v>
      </c>
      <c r="DZ1644" t="s">
        <v>303</v>
      </c>
      <c r="EA1644" t="s">
        <v>20502</v>
      </c>
      <c r="EB1644" t="s">
        <v>235</v>
      </c>
      <c r="EC1644" t="s">
        <v>183</v>
      </c>
      <c r="ED1644" t="s">
        <v>211</v>
      </c>
      <c r="EE1644" t="s">
        <v>298</v>
      </c>
      <c r="EG1644" t="s">
        <v>437</v>
      </c>
      <c r="EH1644" t="s">
        <v>20503</v>
      </c>
      <c r="EI1644" t="s">
        <v>238</v>
      </c>
      <c r="EJ1644" t="s">
        <v>239</v>
      </c>
      <c r="EK1644" t="s">
        <v>20504</v>
      </c>
      <c r="EL1644" t="s">
        <v>440</v>
      </c>
      <c r="EM1644" t="s">
        <v>183</v>
      </c>
      <c r="EN1644" t="s">
        <v>211</v>
      </c>
      <c r="EO1644" t="s">
        <v>270</v>
      </c>
      <c r="EQ1644" t="s">
        <v>9026</v>
      </c>
      <c r="FA1644" t="s">
        <v>198</v>
      </c>
      <c r="FK1644" t="s">
        <v>198</v>
      </c>
      <c r="FU1644" t="s">
        <v>198</v>
      </c>
    </row>
    <row r="1645" spans="1:177">
      <c r="A1645" s="1" t="str">
        <f>HYPERLINK("http://digipan.lumentumllc.com/apps/getLink/index.php?t=PropLink&amp;p=4638666","PL")</f>
        <v>PL</v>
      </c>
      <c r="B1645" s="1" t="str">
        <f>HYPERLINK("http://digipan.lumentumllc.com/apps/getLink/index.php?t=TaxLink&amp;p=4638666","TL")</f>
        <v>TL</v>
      </c>
      <c r="C1645" s="1" t="str">
        <f>HYPERLINK("http://digipan.lumentumllc.com/apps/getMap/index.php?p=4638666","Map")</f>
        <v>Map</v>
      </c>
      <c r="E1645" t="s">
        <v>177</v>
      </c>
      <c r="F1645" t="s">
        <v>178</v>
      </c>
      <c r="L1645" t="s">
        <v>20505</v>
      </c>
      <c r="N1645" t="s">
        <v>20505</v>
      </c>
      <c r="O1645" t="s">
        <v>20505</v>
      </c>
      <c r="P1645" t="s">
        <v>20506</v>
      </c>
      <c r="Q1645" t="s">
        <v>20505</v>
      </c>
      <c r="V1645">
        <v>1880</v>
      </c>
      <c r="W1645">
        <v>6</v>
      </c>
      <c r="X1645">
        <v>2017</v>
      </c>
      <c r="Y1645">
        <v>2018</v>
      </c>
      <c r="Z1645">
        <v>79.069999999999993</v>
      </c>
      <c r="AG1645" t="s">
        <v>184</v>
      </c>
      <c r="AH1645">
        <v>0</v>
      </c>
      <c r="AK1645">
        <v>0</v>
      </c>
      <c r="AL1645">
        <v>2875</v>
      </c>
      <c r="AM1645">
        <v>2875</v>
      </c>
      <c r="AN1645">
        <v>0</v>
      </c>
      <c r="AO1645">
        <v>44</v>
      </c>
      <c r="AP1645">
        <v>2016</v>
      </c>
      <c r="AQ1645">
        <v>2.75</v>
      </c>
      <c r="AS1645" t="s">
        <v>20507</v>
      </c>
      <c r="AT1645" t="s">
        <v>15040</v>
      </c>
      <c r="AU1645" t="s">
        <v>177</v>
      </c>
      <c r="AV1645" t="s">
        <v>371</v>
      </c>
      <c r="AW1645" t="s">
        <v>182</v>
      </c>
      <c r="AX1645">
        <v>0</v>
      </c>
      <c r="AY1645" t="s">
        <v>312</v>
      </c>
      <c r="AZ1645" t="s">
        <v>199</v>
      </c>
      <c r="BA1645" t="s">
        <v>313</v>
      </c>
      <c r="BB1645" t="s">
        <v>191</v>
      </c>
      <c r="BC1645" t="s">
        <v>182</v>
      </c>
      <c r="BD1645" t="s">
        <v>182</v>
      </c>
      <c r="BE1645" t="s">
        <v>3956</v>
      </c>
      <c r="BF1645">
        <v>0</v>
      </c>
      <c r="BG1645">
        <v>0</v>
      </c>
      <c r="BH1645">
        <v>0</v>
      </c>
      <c r="BI1645" t="s">
        <v>199</v>
      </c>
      <c r="BJ1645" t="s">
        <v>315</v>
      </c>
      <c r="BL1645" t="s">
        <v>199</v>
      </c>
      <c r="BM1645" t="s">
        <v>501</v>
      </c>
      <c r="BN1645" t="s">
        <v>182</v>
      </c>
      <c r="BO1645" t="s">
        <v>198</v>
      </c>
      <c r="BP1645" t="s">
        <v>198</v>
      </c>
      <c r="BQ1645" t="s">
        <v>198</v>
      </c>
      <c r="BR1645" t="s">
        <v>198</v>
      </c>
      <c r="BS1645" t="s">
        <v>198</v>
      </c>
      <c r="BT1645" t="s">
        <v>198</v>
      </c>
      <c r="BU1645" t="s">
        <v>182</v>
      </c>
      <c r="BV1645" t="s">
        <v>198</v>
      </c>
      <c r="BW1645" t="s">
        <v>198</v>
      </c>
      <c r="BX1645" t="s">
        <v>199</v>
      </c>
      <c r="BY1645" t="s">
        <v>198</v>
      </c>
      <c r="BZ1645" t="s">
        <v>199</v>
      </c>
      <c r="CA1645" t="s">
        <v>199</v>
      </c>
      <c r="CB1645" t="s">
        <v>20508</v>
      </c>
      <c r="CC1645" t="s">
        <v>201</v>
      </c>
      <c r="CD1645" t="s">
        <v>202</v>
      </c>
      <c r="CE1645" t="s">
        <v>20509</v>
      </c>
      <c r="CF1645" t="s">
        <v>5331</v>
      </c>
      <c r="CG1645" t="s">
        <v>177</v>
      </c>
      <c r="CH1645" t="s">
        <v>371</v>
      </c>
      <c r="CI1645" t="s">
        <v>20510</v>
      </c>
      <c r="CS1645" t="s">
        <v>198</v>
      </c>
      <c r="DC1645" t="s">
        <v>198</v>
      </c>
      <c r="DM1645" t="s">
        <v>198</v>
      </c>
      <c r="DW1645" t="s">
        <v>198</v>
      </c>
      <c r="EG1645" t="s">
        <v>198</v>
      </c>
      <c r="EQ1645" t="s">
        <v>198</v>
      </c>
      <c r="FA1645" t="s">
        <v>198</v>
      </c>
      <c r="FK1645" t="s">
        <v>198</v>
      </c>
      <c r="FU1645" t="s">
        <v>198</v>
      </c>
    </row>
    <row r="1646" spans="1:177">
      <c r="A1646" s="1" t="str">
        <f>HYPERLINK("http://digipan.lumentumllc.com/apps/getLink/index.php?t=PropLink&amp;p=6462089","PL")</f>
        <v>PL</v>
      </c>
      <c r="B1646" s="1" t="str">
        <f>HYPERLINK("http://digipan.lumentumllc.com/apps/getLink/index.php?t=TaxLink&amp;p=6462089","TL")</f>
        <v>TL</v>
      </c>
      <c r="C1646" s="1" t="str">
        <f>HYPERLINK("http://digipan.lumentumllc.com/apps/getMap/index.php?p=6462089","Map")</f>
        <v>Map</v>
      </c>
      <c r="E1646" t="s">
        <v>177</v>
      </c>
      <c r="F1646" t="s">
        <v>178</v>
      </c>
      <c r="L1646" t="s">
        <v>20511</v>
      </c>
      <c r="N1646" t="s">
        <v>20511</v>
      </c>
      <c r="O1646" t="s">
        <v>20511</v>
      </c>
      <c r="P1646" t="s">
        <v>20512</v>
      </c>
      <c r="Q1646" t="s">
        <v>20511</v>
      </c>
      <c r="V1646">
        <v>1881</v>
      </c>
      <c r="W1646">
        <v>6</v>
      </c>
      <c r="X1646">
        <v>2017</v>
      </c>
      <c r="Y1646">
        <v>2018</v>
      </c>
      <c r="Z1646">
        <v>2539.44</v>
      </c>
      <c r="AB1646" t="s">
        <v>181</v>
      </c>
      <c r="AC1646" t="s">
        <v>182</v>
      </c>
      <c r="AD1646" t="s">
        <v>183</v>
      </c>
      <c r="AE1646">
        <v>1</v>
      </c>
      <c r="AF1646">
        <v>4</v>
      </c>
      <c r="AG1646" t="s">
        <v>951</v>
      </c>
      <c r="AH1646">
        <v>80</v>
      </c>
      <c r="AI1646">
        <v>2505.1999999999998</v>
      </c>
      <c r="AJ1646">
        <v>125.26</v>
      </c>
      <c r="AK1646">
        <v>2630.46</v>
      </c>
      <c r="AL1646">
        <v>210559</v>
      </c>
      <c r="AM1646">
        <v>106400</v>
      </c>
      <c r="AN1646">
        <v>104159</v>
      </c>
      <c r="AO1646">
        <v>2291</v>
      </c>
      <c r="AP1646">
        <v>2016</v>
      </c>
      <c r="AQ1646">
        <v>1.21</v>
      </c>
      <c r="AR1646">
        <v>1.25</v>
      </c>
      <c r="AS1646" t="s">
        <v>20513</v>
      </c>
      <c r="AT1646" t="s">
        <v>15040</v>
      </c>
      <c r="AU1646" t="s">
        <v>177</v>
      </c>
      <c r="AV1646" t="s">
        <v>371</v>
      </c>
      <c r="AW1646" t="s">
        <v>202</v>
      </c>
      <c r="AX1646">
        <v>1</v>
      </c>
      <c r="AY1646" t="s">
        <v>188</v>
      </c>
      <c r="AZ1646" t="s">
        <v>206</v>
      </c>
      <c r="BA1646" t="s">
        <v>355</v>
      </c>
      <c r="BB1646" t="s">
        <v>191</v>
      </c>
      <c r="BC1646" t="s">
        <v>182</v>
      </c>
      <c r="BD1646" t="s">
        <v>182</v>
      </c>
      <c r="BE1646" t="s">
        <v>20514</v>
      </c>
      <c r="BF1646">
        <v>1</v>
      </c>
      <c r="BG1646">
        <v>1</v>
      </c>
      <c r="BH1646">
        <v>1976</v>
      </c>
      <c r="BI1646" t="s">
        <v>20515</v>
      </c>
      <c r="BJ1646" t="s">
        <v>194</v>
      </c>
      <c r="BK1646" t="s">
        <v>195</v>
      </c>
      <c r="BL1646" t="s">
        <v>20516</v>
      </c>
      <c r="BM1646" t="s">
        <v>238</v>
      </c>
      <c r="BN1646" t="s">
        <v>182</v>
      </c>
      <c r="BO1646" t="s">
        <v>20517</v>
      </c>
      <c r="BP1646" t="s">
        <v>20518</v>
      </c>
      <c r="BQ1646" t="s">
        <v>904</v>
      </c>
      <c r="BR1646" t="s">
        <v>643</v>
      </c>
      <c r="BS1646" t="s">
        <v>198</v>
      </c>
      <c r="BT1646" t="s">
        <v>8803</v>
      </c>
      <c r="BU1646" t="s">
        <v>182</v>
      </c>
      <c r="BV1646" t="s">
        <v>198</v>
      </c>
      <c r="BW1646" t="s">
        <v>198</v>
      </c>
      <c r="BX1646" t="s">
        <v>199</v>
      </c>
      <c r="BY1646" t="s">
        <v>198</v>
      </c>
      <c r="BZ1646" t="s">
        <v>199</v>
      </c>
      <c r="CA1646" t="s">
        <v>199</v>
      </c>
      <c r="CB1646" t="s">
        <v>20487</v>
      </c>
      <c r="CC1646" t="s">
        <v>201</v>
      </c>
      <c r="CD1646" t="s">
        <v>182</v>
      </c>
      <c r="CE1646" t="s">
        <v>20488</v>
      </c>
      <c r="CF1646" t="s">
        <v>5331</v>
      </c>
      <c r="CG1646" t="s">
        <v>177</v>
      </c>
      <c r="CH1646" t="s">
        <v>371</v>
      </c>
      <c r="CI1646" t="s">
        <v>20519</v>
      </c>
      <c r="CJ1646" t="s">
        <v>19552</v>
      </c>
      <c r="CK1646" t="s">
        <v>232</v>
      </c>
      <c r="CL1646" t="s">
        <v>233</v>
      </c>
      <c r="CM1646" t="s">
        <v>20520</v>
      </c>
      <c r="CN1646" t="s">
        <v>235</v>
      </c>
      <c r="CO1646" t="s">
        <v>183</v>
      </c>
      <c r="CP1646" t="s">
        <v>266</v>
      </c>
      <c r="CS1646" t="s">
        <v>198</v>
      </c>
      <c r="CT1646" t="s">
        <v>19059</v>
      </c>
      <c r="CU1646" t="s">
        <v>292</v>
      </c>
      <c r="CV1646" t="s">
        <v>293</v>
      </c>
      <c r="CW1646" t="s">
        <v>20521</v>
      </c>
      <c r="CX1646" t="s">
        <v>235</v>
      </c>
      <c r="CY1646" t="s">
        <v>183</v>
      </c>
      <c r="CZ1646" t="s">
        <v>211</v>
      </c>
      <c r="DA1646" t="s">
        <v>345</v>
      </c>
      <c r="DC1646" t="s">
        <v>2485</v>
      </c>
      <c r="DD1646" t="s">
        <v>20522</v>
      </c>
      <c r="DE1646" t="s">
        <v>267</v>
      </c>
      <c r="DF1646" t="s">
        <v>268</v>
      </c>
      <c r="DG1646" t="s">
        <v>20523</v>
      </c>
      <c r="DH1646" t="s">
        <v>235</v>
      </c>
      <c r="DI1646" t="s">
        <v>183</v>
      </c>
      <c r="DJ1646" t="s">
        <v>211</v>
      </c>
      <c r="DK1646" t="s">
        <v>298</v>
      </c>
      <c r="DM1646" t="s">
        <v>459</v>
      </c>
      <c r="DN1646" t="s">
        <v>5467</v>
      </c>
      <c r="DO1646" t="s">
        <v>273</v>
      </c>
      <c r="DP1646" t="s">
        <v>274</v>
      </c>
      <c r="DQ1646" t="s">
        <v>20524</v>
      </c>
      <c r="DR1646" t="s">
        <v>235</v>
      </c>
      <c r="DS1646" t="s">
        <v>183</v>
      </c>
      <c r="DT1646" t="s">
        <v>211</v>
      </c>
      <c r="DU1646" t="s">
        <v>298</v>
      </c>
      <c r="DW1646" t="s">
        <v>462</v>
      </c>
      <c r="DX1646" t="s">
        <v>8761</v>
      </c>
      <c r="DY1646" t="s">
        <v>302</v>
      </c>
      <c r="DZ1646" t="s">
        <v>303</v>
      </c>
      <c r="EA1646" t="s">
        <v>20525</v>
      </c>
      <c r="EB1646" t="s">
        <v>235</v>
      </c>
      <c r="EC1646" t="s">
        <v>183</v>
      </c>
      <c r="ED1646" t="s">
        <v>211</v>
      </c>
      <c r="EE1646" t="s">
        <v>298</v>
      </c>
      <c r="EG1646" t="s">
        <v>437</v>
      </c>
      <c r="EQ1646" t="s">
        <v>198</v>
      </c>
      <c r="FA1646" t="s">
        <v>198</v>
      </c>
      <c r="FK1646" t="s">
        <v>198</v>
      </c>
      <c r="FU1646" t="s">
        <v>198</v>
      </c>
    </row>
    <row r="1647" spans="1:177">
      <c r="A1647" s="1" t="str">
        <f>HYPERLINK("http://digipan.lumentumllc.com/apps/getLink/index.php?t=PropLink&amp;p=5248143","PL")</f>
        <v>PL</v>
      </c>
      <c r="B1647" s="1" t="str">
        <f>HYPERLINK("http://digipan.lumentumllc.com/apps/getLink/index.php?t=TaxLink&amp;p=5248143","TL")</f>
        <v>TL</v>
      </c>
      <c r="C1647" s="1" t="str">
        <f>HYPERLINK("http://digipan.lumentumllc.com/apps/getMap/index.php?p=5248143","Map")</f>
        <v>Map</v>
      </c>
      <c r="E1647" t="s">
        <v>177</v>
      </c>
      <c r="F1647" t="s">
        <v>178</v>
      </c>
      <c r="L1647" t="s">
        <v>20526</v>
      </c>
      <c r="N1647" t="s">
        <v>20526</v>
      </c>
      <c r="O1647" t="s">
        <v>20526</v>
      </c>
      <c r="P1647" t="s">
        <v>20527</v>
      </c>
      <c r="Q1647" t="s">
        <v>20526</v>
      </c>
      <c r="V1647">
        <v>1882</v>
      </c>
      <c r="W1647">
        <v>6</v>
      </c>
      <c r="X1647">
        <v>2017</v>
      </c>
      <c r="Y1647">
        <v>2018</v>
      </c>
      <c r="Z1647">
        <v>366.38</v>
      </c>
      <c r="AB1647" t="s">
        <v>181</v>
      </c>
      <c r="AC1647" t="s">
        <v>182</v>
      </c>
      <c r="AD1647" t="s">
        <v>183</v>
      </c>
      <c r="AE1647">
        <v>1</v>
      </c>
      <c r="AF1647">
        <v>4</v>
      </c>
      <c r="AG1647" t="s">
        <v>951</v>
      </c>
      <c r="AH1647">
        <v>80</v>
      </c>
      <c r="AI1647">
        <v>346.92</v>
      </c>
      <c r="AJ1647">
        <v>17.350000000000001</v>
      </c>
      <c r="AK1647">
        <v>364.27</v>
      </c>
      <c r="AL1647">
        <v>170030</v>
      </c>
      <c r="AM1647">
        <v>4394</v>
      </c>
      <c r="AN1647">
        <v>165636</v>
      </c>
      <c r="AO1647">
        <v>296</v>
      </c>
      <c r="AP1647">
        <v>2016</v>
      </c>
      <c r="AQ1647">
        <v>0.22</v>
      </c>
      <c r="AR1647">
        <v>0.21</v>
      </c>
      <c r="AS1647" t="s">
        <v>20528</v>
      </c>
      <c r="AT1647" t="s">
        <v>15040</v>
      </c>
      <c r="AU1647" t="s">
        <v>177</v>
      </c>
      <c r="AV1647" t="s">
        <v>371</v>
      </c>
      <c r="AW1647" t="s">
        <v>182</v>
      </c>
      <c r="AX1647">
        <v>56</v>
      </c>
      <c r="AY1647" t="s">
        <v>218</v>
      </c>
      <c r="AZ1647" t="s">
        <v>219</v>
      </c>
      <c r="BA1647" t="s">
        <v>220</v>
      </c>
      <c r="BB1647" t="s">
        <v>191</v>
      </c>
      <c r="BC1647" t="s">
        <v>182</v>
      </c>
      <c r="BD1647" t="s">
        <v>182</v>
      </c>
      <c r="BE1647" t="s">
        <v>20529</v>
      </c>
      <c r="BF1647">
        <v>0</v>
      </c>
      <c r="BG1647">
        <v>0</v>
      </c>
      <c r="BH1647">
        <v>0</v>
      </c>
      <c r="BI1647" t="s">
        <v>199</v>
      </c>
      <c r="BJ1647" t="s">
        <v>248</v>
      </c>
      <c r="BL1647" t="s">
        <v>199</v>
      </c>
      <c r="BM1647" t="s">
        <v>267</v>
      </c>
      <c r="BN1647" t="s">
        <v>182</v>
      </c>
      <c r="BO1647" t="s">
        <v>20530</v>
      </c>
      <c r="BP1647" t="s">
        <v>20531</v>
      </c>
      <c r="BS1647" t="s">
        <v>20532</v>
      </c>
      <c r="BT1647" t="s">
        <v>198</v>
      </c>
      <c r="BU1647" t="s">
        <v>182</v>
      </c>
      <c r="BV1647" t="s">
        <v>198</v>
      </c>
      <c r="BW1647" t="s">
        <v>198</v>
      </c>
      <c r="BX1647" t="s">
        <v>199</v>
      </c>
      <c r="BY1647" t="s">
        <v>198</v>
      </c>
      <c r="BZ1647" t="s">
        <v>199</v>
      </c>
      <c r="CA1647" t="s">
        <v>199</v>
      </c>
      <c r="CB1647" t="s">
        <v>20533</v>
      </c>
      <c r="CC1647" t="s">
        <v>201</v>
      </c>
      <c r="CD1647" t="s">
        <v>182</v>
      </c>
      <c r="CE1647" t="s">
        <v>20534</v>
      </c>
      <c r="CF1647" t="s">
        <v>5331</v>
      </c>
      <c r="CG1647" t="s">
        <v>177</v>
      </c>
      <c r="CH1647" t="s">
        <v>371</v>
      </c>
      <c r="CI1647" t="s">
        <v>20535</v>
      </c>
      <c r="CJ1647" t="s">
        <v>4406</v>
      </c>
      <c r="CK1647" t="s">
        <v>232</v>
      </c>
      <c r="CL1647" t="s">
        <v>233</v>
      </c>
      <c r="CM1647" t="s">
        <v>20536</v>
      </c>
      <c r="CN1647" t="s">
        <v>235</v>
      </c>
      <c r="CO1647" t="s">
        <v>183</v>
      </c>
      <c r="CP1647" t="s">
        <v>266</v>
      </c>
      <c r="CS1647" t="s">
        <v>198</v>
      </c>
      <c r="CT1647" t="s">
        <v>18876</v>
      </c>
      <c r="CU1647" t="s">
        <v>292</v>
      </c>
      <c r="CV1647" t="s">
        <v>293</v>
      </c>
      <c r="CW1647" t="s">
        <v>20537</v>
      </c>
      <c r="CX1647" t="s">
        <v>235</v>
      </c>
      <c r="CY1647" t="s">
        <v>183</v>
      </c>
      <c r="CZ1647" t="s">
        <v>211</v>
      </c>
      <c r="DA1647" t="s">
        <v>298</v>
      </c>
      <c r="DC1647" t="s">
        <v>1641</v>
      </c>
      <c r="DD1647" t="s">
        <v>16130</v>
      </c>
      <c r="DE1647" t="s">
        <v>302</v>
      </c>
      <c r="DF1647" t="s">
        <v>303</v>
      </c>
      <c r="DG1647" t="s">
        <v>20538</v>
      </c>
      <c r="DH1647" t="s">
        <v>511</v>
      </c>
      <c r="DI1647" t="s">
        <v>183</v>
      </c>
      <c r="DJ1647" t="s">
        <v>211</v>
      </c>
      <c r="DK1647" t="s">
        <v>329</v>
      </c>
      <c r="DM1647" t="s">
        <v>8090</v>
      </c>
      <c r="DN1647" t="s">
        <v>20539</v>
      </c>
      <c r="DO1647" t="s">
        <v>238</v>
      </c>
      <c r="DP1647" t="s">
        <v>239</v>
      </c>
      <c r="DQ1647" t="s">
        <v>20540</v>
      </c>
      <c r="DR1647" t="s">
        <v>278</v>
      </c>
      <c r="DS1647" t="s">
        <v>183</v>
      </c>
      <c r="DT1647" t="s">
        <v>211</v>
      </c>
      <c r="DU1647" t="s">
        <v>493</v>
      </c>
      <c r="DW1647" t="s">
        <v>8254</v>
      </c>
      <c r="DX1647" t="s">
        <v>17203</v>
      </c>
      <c r="DY1647" t="s">
        <v>346</v>
      </c>
      <c r="DZ1647" t="s">
        <v>347</v>
      </c>
      <c r="EA1647" t="s">
        <v>20541</v>
      </c>
      <c r="EB1647" t="s">
        <v>278</v>
      </c>
      <c r="EC1647" t="s">
        <v>183</v>
      </c>
      <c r="ED1647" t="s">
        <v>211</v>
      </c>
      <c r="EE1647" t="s">
        <v>298</v>
      </c>
      <c r="EG1647" t="s">
        <v>1622</v>
      </c>
      <c r="EQ1647" t="s">
        <v>198</v>
      </c>
      <c r="FA1647" t="s">
        <v>198</v>
      </c>
      <c r="FK1647" t="s">
        <v>198</v>
      </c>
      <c r="FU1647" t="s">
        <v>198</v>
      </c>
    </row>
    <row r="1648" spans="1:177">
      <c r="A1648" s="1" t="str">
        <f>HYPERLINK("http://digipan.lumentumllc.com/apps/getLink/index.php?t=PropLink&amp;p=5248144","PL")</f>
        <v>PL</v>
      </c>
      <c r="B1648" s="1" t="str">
        <f>HYPERLINK("http://digipan.lumentumllc.com/apps/getLink/index.php?t=TaxLink&amp;p=5248144","TL")</f>
        <v>TL</v>
      </c>
      <c r="C1648" s="1" t="str">
        <f>HYPERLINK("http://digipan.lumentumllc.com/apps/getMap/index.php?p=5248144","Map")</f>
        <v>Map</v>
      </c>
      <c r="E1648" t="s">
        <v>177</v>
      </c>
      <c r="F1648" t="s">
        <v>178</v>
      </c>
      <c r="L1648" t="s">
        <v>20542</v>
      </c>
      <c r="N1648" t="s">
        <v>20542</v>
      </c>
      <c r="O1648" t="s">
        <v>20542</v>
      </c>
      <c r="P1648" t="s">
        <v>20543</v>
      </c>
      <c r="Q1648" t="s">
        <v>20542</v>
      </c>
      <c r="V1648">
        <v>1883</v>
      </c>
      <c r="W1648">
        <v>6</v>
      </c>
      <c r="X1648">
        <v>2017</v>
      </c>
      <c r="Y1648">
        <v>2018</v>
      </c>
      <c r="Z1648">
        <v>618.79999999999995</v>
      </c>
      <c r="AB1648" t="s">
        <v>181</v>
      </c>
      <c r="AC1648" t="s">
        <v>182</v>
      </c>
      <c r="AD1648" t="s">
        <v>183</v>
      </c>
      <c r="AE1648">
        <v>1</v>
      </c>
      <c r="AF1648">
        <v>4</v>
      </c>
      <c r="AG1648" t="s">
        <v>951</v>
      </c>
      <c r="AH1648">
        <v>80</v>
      </c>
      <c r="AI1648">
        <v>613.45000000000005</v>
      </c>
      <c r="AJ1648">
        <v>30.67</v>
      </c>
      <c r="AK1648">
        <v>644.12</v>
      </c>
      <c r="AL1648">
        <v>108526</v>
      </c>
      <c r="AM1648">
        <v>25828</v>
      </c>
      <c r="AN1648">
        <v>82698</v>
      </c>
      <c r="AO1648">
        <v>542</v>
      </c>
      <c r="AP1648">
        <v>2016</v>
      </c>
      <c r="AQ1648">
        <v>0.56999999999999995</v>
      </c>
      <c r="AR1648">
        <v>0.59</v>
      </c>
      <c r="AS1648" t="s">
        <v>20544</v>
      </c>
      <c r="AT1648" t="s">
        <v>15040</v>
      </c>
      <c r="AU1648" t="s">
        <v>177</v>
      </c>
      <c r="AV1648" t="s">
        <v>371</v>
      </c>
      <c r="AW1648" t="s">
        <v>202</v>
      </c>
      <c r="AX1648">
        <v>50</v>
      </c>
      <c r="AY1648" t="s">
        <v>218</v>
      </c>
      <c r="AZ1648" t="s">
        <v>589</v>
      </c>
      <c r="BA1648" t="s">
        <v>590</v>
      </c>
      <c r="BB1648" t="s">
        <v>191</v>
      </c>
      <c r="BC1648" t="s">
        <v>182</v>
      </c>
      <c r="BD1648" t="s">
        <v>182</v>
      </c>
      <c r="BE1648" t="s">
        <v>20545</v>
      </c>
      <c r="BF1648">
        <v>1</v>
      </c>
      <c r="BG1648">
        <v>1</v>
      </c>
      <c r="BH1648">
        <v>2004</v>
      </c>
      <c r="BI1648" t="s">
        <v>2471</v>
      </c>
      <c r="BJ1648" t="s">
        <v>194</v>
      </c>
      <c r="BK1648" t="s">
        <v>195</v>
      </c>
      <c r="BL1648" t="s">
        <v>199</v>
      </c>
      <c r="BM1648" t="s">
        <v>267</v>
      </c>
      <c r="BN1648" t="s">
        <v>182</v>
      </c>
      <c r="BO1648" t="s">
        <v>3842</v>
      </c>
      <c r="BP1648" t="s">
        <v>20546</v>
      </c>
      <c r="BS1648" t="s">
        <v>20547</v>
      </c>
      <c r="BT1648" t="s">
        <v>198</v>
      </c>
      <c r="BU1648" t="s">
        <v>182</v>
      </c>
      <c r="BV1648" t="s">
        <v>198</v>
      </c>
      <c r="BW1648" t="s">
        <v>198</v>
      </c>
      <c r="BX1648" t="s">
        <v>199</v>
      </c>
      <c r="BY1648" t="s">
        <v>198</v>
      </c>
      <c r="BZ1648" t="s">
        <v>199</v>
      </c>
      <c r="CA1648" t="s">
        <v>199</v>
      </c>
      <c r="CB1648" t="s">
        <v>20533</v>
      </c>
      <c r="CC1648" t="s">
        <v>201</v>
      </c>
      <c r="CD1648" t="s">
        <v>182</v>
      </c>
      <c r="CE1648" t="s">
        <v>20534</v>
      </c>
      <c r="CF1648" t="s">
        <v>5331</v>
      </c>
      <c r="CG1648" t="s">
        <v>177</v>
      </c>
      <c r="CH1648" t="s">
        <v>371</v>
      </c>
      <c r="CI1648" t="s">
        <v>20548</v>
      </c>
      <c r="CJ1648" t="s">
        <v>4428</v>
      </c>
      <c r="CK1648" t="s">
        <v>232</v>
      </c>
      <c r="CL1648" t="s">
        <v>233</v>
      </c>
      <c r="CM1648" t="s">
        <v>20549</v>
      </c>
      <c r="CN1648" t="s">
        <v>235</v>
      </c>
      <c r="CO1648" t="s">
        <v>183</v>
      </c>
      <c r="CP1648" t="s">
        <v>266</v>
      </c>
      <c r="CS1648" t="s">
        <v>198</v>
      </c>
      <c r="CT1648" t="s">
        <v>12594</v>
      </c>
      <c r="CU1648" t="s">
        <v>292</v>
      </c>
      <c r="CV1648" t="s">
        <v>293</v>
      </c>
      <c r="CW1648" t="s">
        <v>20550</v>
      </c>
      <c r="CX1648" t="s">
        <v>235</v>
      </c>
      <c r="CY1648" t="s">
        <v>183</v>
      </c>
      <c r="CZ1648" t="s">
        <v>211</v>
      </c>
      <c r="DA1648" t="s">
        <v>298</v>
      </c>
      <c r="DC1648" t="s">
        <v>1641</v>
      </c>
      <c r="DD1648" t="s">
        <v>20551</v>
      </c>
      <c r="DE1648" t="s">
        <v>302</v>
      </c>
      <c r="DF1648" t="s">
        <v>303</v>
      </c>
      <c r="DG1648" t="s">
        <v>20552</v>
      </c>
      <c r="DH1648" t="s">
        <v>3342</v>
      </c>
      <c r="DI1648" t="s">
        <v>183</v>
      </c>
      <c r="DJ1648" t="s">
        <v>211</v>
      </c>
      <c r="DK1648" t="s">
        <v>329</v>
      </c>
      <c r="DM1648" t="s">
        <v>8090</v>
      </c>
      <c r="DN1648" t="s">
        <v>20553</v>
      </c>
      <c r="DO1648" t="s">
        <v>238</v>
      </c>
      <c r="DP1648" t="s">
        <v>239</v>
      </c>
      <c r="DQ1648" t="s">
        <v>20554</v>
      </c>
      <c r="DR1648" t="s">
        <v>278</v>
      </c>
      <c r="DS1648" t="s">
        <v>183</v>
      </c>
      <c r="DT1648" t="s">
        <v>211</v>
      </c>
      <c r="DU1648" t="s">
        <v>493</v>
      </c>
      <c r="DW1648" t="s">
        <v>8254</v>
      </c>
      <c r="DX1648" t="s">
        <v>17250</v>
      </c>
      <c r="DY1648" t="s">
        <v>346</v>
      </c>
      <c r="DZ1648" t="s">
        <v>347</v>
      </c>
      <c r="EA1648" t="s">
        <v>20555</v>
      </c>
      <c r="EB1648" t="s">
        <v>235</v>
      </c>
      <c r="EC1648" t="s">
        <v>183</v>
      </c>
      <c r="ED1648" t="s">
        <v>211</v>
      </c>
      <c r="EE1648" t="s">
        <v>298</v>
      </c>
      <c r="EG1648" t="s">
        <v>1622</v>
      </c>
      <c r="EQ1648" t="s">
        <v>198</v>
      </c>
      <c r="FA1648" t="s">
        <v>198</v>
      </c>
      <c r="FK1648" t="s">
        <v>198</v>
      </c>
      <c r="FU1648" t="s">
        <v>198</v>
      </c>
    </row>
    <row r="1649" spans="1:177">
      <c r="A1649" s="1" t="str">
        <f>HYPERLINK("http://digipan.lumentumllc.com/apps/getLink/index.php?t=PropLink&amp;p=7112585","PL")</f>
        <v>PL</v>
      </c>
      <c r="B1649" s="1" t="str">
        <f>HYPERLINK("http://digipan.lumentumllc.com/apps/getLink/index.php?t=TaxLink&amp;p=7112585","TL")</f>
        <v>TL</v>
      </c>
      <c r="C1649" s="1" t="str">
        <f>HYPERLINK("http://digipan.lumentumllc.com/apps/getMap/index.php?p=7112585","Map")</f>
        <v>Map</v>
      </c>
      <c r="E1649" t="s">
        <v>177</v>
      </c>
      <c r="F1649" t="s">
        <v>178</v>
      </c>
      <c r="L1649" t="s">
        <v>20556</v>
      </c>
      <c r="N1649" t="s">
        <v>20556</v>
      </c>
      <c r="O1649" t="s">
        <v>20556</v>
      </c>
      <c r="P1649" t="s">
        <v>20557</v>
      </c>
      <c r="Q1649" t="s">
        <v>20556</v>
      </c>
      <c r="V1649">
        <v>1884</v>
      </c>
      <c r="W1649">
        <v>6</v>
      </c>
      <c r="X1649">
        <v>2017</v>
      </c>
      <c r="Y1649">
        <v>2018</v>
      </c>
      <c r="Z1649">
        <v>62.27</v>
      </c>
      <c r="AB1649" t="s">
        <v>181</v>
      </c>
      <c r="AC1649" t="s">
        <v>182</v>
      </c>
      <c r="AD1649" t="s">
        <v>183</v>
      </c>
      <c r="AE1649">
        <v>1</v>
      </c>
      <c r="AF1649">
        <v>1</v>
      </c>
      <c r="AG1649" t="s">
        <v>2222</v>
      </c>
      <c r="AH1649">
        <v>50</v>
      </c>
      <c r="AI1649">
        <v>56.62</v>
      </c>
      <c r="AJ1649">
        <v>2.83</v>
      </c>
      <c r="AK1649">
        <v>59.45</v>
      </c>
      <c r="AL1649">
        <v>110400</v>
      </c>
      <c r="AM1649">
        <v>1849</v>
      </c>
      <c r="AN1649">
        <v>108551</v>
      </c>
      <c r="AO1649">
        <v>27</v>
      </c>
      <c r="AP1649">
        <v>2016</v>
      </c>
      <c r="AQ1649">
        <v>0.06</v>
      </c>
      <c r="AR1649">
        <v>0.05</v>
      </c>
      <c r="AS1649" t="s">
        <v>20558</v>
      </c>
      <c r="AT1649" t="s">
        <v>15040</v>
      </c>
      <c r="AU1649" t="s">
        <v>177</v>
      </c>
      <c r="AV1649" t="s">
        <v>371</v>
      </c>
      <c r="AW1649" t="s">
        <v>182</v>
      </c>
      <c r="AX1649">
        <v>60</v>
      </c>
      <c r="AY1649" t="s">
        <v>218</v>
      </c>
      <c r="AZ1649" t="s">
        <v>245</v>
      </c>
      <c r="BA1649" t="s">
        <v>246</v>
      </c>
      <c r="BB1649" t="s">
        <v>191</v>
      </c>
      <c r="BC1649" t="s">
        <v>182</v>
      </c>
      <c r="BD1649" t="s">
        <v>182</v>
      </c>
      <c r="BE1649" t="s">
        <v>20559</v>
      </c>
      <c r="BF1649">
        <v>0</v>
      </c>
      <c r="BG1649">
        <v>0</v>
      </c>
      <c r="BH1649">
        <v>0</v>
      </c>
      <c r="BI1649" t="s">
        <v>199</v>
      </c>
      <c r="BJ1649" t="s">
        <v>315</v>
      </c>
      <c r="BL1649" t="s">
        <v>199</v>
      </c>
      <c r="BM1649" t="s">
        <v>267</v>
      </c>
      <c r="BN1649" t="s">
        <v>182</v>
      </c>
      <c r="BO1649" t="s">
        <v>198</v>
      </c>
      <c r="BP1649" t="s">
        <v>198</v>
      </c>
      <c r="BQ1649" t="s">
        <v>198</v>
      </c>
      <c r="BR1649" t="s">
        <v>198</v>
      </c>
      <c r="BS1649" t="s">
        <v>198</v>
      </c>
      <c r="BT1649" t="s">
        <v>198</v>
      </c>
      <c r="BU1649" t="s">
        <v>182</v>
      </c>
      <c r="BV1649" t="s">
        <v>198</v>
      </c>
      <c r="BW1649" t="s">
        <v>198</v>
      </c>
      <c r="BX1649" t="s">
        <v>199</v>
      </c>
      <c r="BY1649" t="s">
        <v>198</v>
      </c>
      <c r="BZ1649" t="s">
        <v>199</v>
      </c>
      <c r="CA1649" t="s">
        <v>199</v>
      </c>
      <c r="CB1649" t="s">
        <v>20533</v>
      </c>
      <c r="CC1649" t="s">
        <v>201</v>
      </c>
      <c r="CD1649" t="s">
        <v>182</v>
      </c>
      <c r="CE1649" t="s">
        <v>20534</v>
      </c>
      <c r="CF1649" t="s">
        <v>5331</v>
      </c>
      <c r="CG1649" t="s">
        <v>177</v>
      </c>
      <c r="CH1649" t="s">
        <v>371</v>
      </c>
      <c r="CI1649" t="s">
        <v>20560</v>
      </c>
      <c r="CJ1649" t="s">
        <v>10973</v>
      </c>
      <c r="CK1649" t="s">
        <v>232</v>
      </c>
      <c r="CL1649" t="s">
        <v>233</v>
      </c>
      <c r="CM1649" t="s">
        <v>20561</v>
      </c>
      <c r="CN1649" t="s">
        <v>235</v>
      </c>
      <c r="CO1649" t="s">
        <v>183</v>
      </c>
      <c r="CP1649" t="s">
        <v>266</v>
      </c>
      <c r="CS1649" t="s">
        <v>198</v>
      </c>
      <c r="CT1649" t="s">
        <v>19120</v>
      </c>
      <c r="CU1649" t="s">
        <v>292</v>
      </c>
      <c r="CV1649" t="s">
        <v>293</v>
      </c>
      <c r="CW1649" t="s">
        <v>20562</v>
      </c>
      <c r="CX1649" t="s">
        <v>333</v>
      </c>
      <c r="CY1649" t="s">
        <v>183</v>
      </c>
      <c r="CZ1649" t="s">
        <v>211</v>
      </c>
      <c r="DA1649" t="s">
        <v>298</v>
      </c>
      <c r="DC1649" t="s">
        <v>1641</v>
      </c>
      <c r="DM1649" t="s">
        <v>198</v>
      </c>
      <c r="DW1649" t="s">
        <v>198</v>
      </c>
      <c r="EG1649" t="s">
        <v>198</v>
      </c>
      <c r="EQ1649" t="s">
        <v>198</v>
      </c>
      <c r="FA1649" t="s">
        <v>198</v>
      </c>
      <c r="FK1649" t="s">
        <v>198</v>
      </c>
      <c r="FU1649" t="s">
        <v>198</v>
      </c>
    </row>
    <row r="1650" spans="1:177">
      <c r="A1650" s="1" t="str">
        <f>HYPERLINK("http://digipan.lumentumllc.com/apps/getLink/index.php?t=PropLink&amp;p=5248279","PL")</f>
        <v>PL</v>
      </c>
      <c r="B1650" s="1" t="str">
        <f>HYPERLINK("http://digipan.lumentumllc.com/apps/getLink/index.php?t=TaxLink&amp;p=5248279","TL")</f>
        <v>TL</v>
      </c>
      <c r="C1650" s="1" t="str">
        <f>HYPERLINK("http://digipan.lumentumllc.com/apps/getMap/index.php?p=5248279","Map")</f>
        <v>Map</v>
      </c>
      <c r="E1650" t="s">
        <v>177</v>
      </c>
      <c r="F1650" t="s">
        <v>178</v>
      </c>
      <c r="L1650" t="s">
        <v>20563</v>
      </c>
      <c r="N1650" t="s">
        <v>20563</v>
      </c>
      <c r="O1650" t="s">
        <v>20563</v>
      </c>
      <c r="P1650" t="s">
        <v>20564</v>
      </c>
      <c r="Q1650" t="s">
        <v>20563</v>
      </c>
      <c r="V1650">
        <v>1885</v>
      </c>
      <c r="W1650">
        <v>6</v>
      </c>
      <c r="X1650">
        <v>2017</v>
      </c>
      <c r="Y1650">
        <v>2018</v>
      </c>
      <c r="Z1650">
        <v>2811.65</v>
      </c>
      <c r="AB1650" t="s">
        <v>181</v>
      </c>
      <c r="AC1650" t="s">
        <v>182</v>
      </c>
      <c r="AD1650" t="s">
        <v>183</v>
      </c>
      <c r="AE1650">
        <v>0</v>
      </c>
      <c r="AF1650">
        <v>2</v>
      </c>
      <c r="AG1650" t="s">
        <v>216</v>
      </c>
      <c r="AH1650">
        <v>100</v>
      </c>
      <c r="AK1650">
        <v>0</v>
      </c>
      <c r="AL1650">
        <v>224960</v>
      </c>
      <c r="AM1650">
        <v>25000</v>
      </c>
      <c r="AN1650">
        <v>199960</v>
      </c>
      <c r="AO1650">
        <v>2543</v>
      </c>
      <c r="AP1650">
        <v>2016</v>
      </c>
      <c r="AQ1650">
        <v>1.25</v>
      </c>
      <c r="AS1650" t="s">
        <v>20565</v>
      </c>
      <c r="AT1650" t="s">
        <v>15040</v>
      </c>
      <c r="AU1650" t="s">
        <v>177</v>
      </c>
      <c r="AV1650" t="s">
        <v>371</v>
      </c>
      <c r="AW1650" t="s">
        <v>202</v>
      </c>
      <c r="AX1650">
        <v>1</v>
      </c>
      <c r="AY1650" t="s">
        <v>188</v>
      </c>
      <c r="AZ1650" t="s">
        <v>206</v>
      </c>
      <c r="BA1650" t="s">
        <v>355</v>
      </c>
      <c r="BB1650" t="s">
        <v>191</v>
      </c>
      <c r="BC1650" t="s">
        <v>182</v>
      </c>
      <c r="BD1650" t="s">
        <v>182</v>
      </c>
      <c r="BE1650" t="s">
        <v>383</v>
      </c>
      <c r="BF1650">
        <v>1</v>
      </c>
      <c r="BG1650">
        <v>1</v>
      </c>
      <c r="BH1650">
        <v>1992</v>
      </c>
      <c r="BI1650" t="s">
        <v>20566</v>
      </c>
      <c r="BJ1650" t="s">
        <v>248</v>
      </c>
      <c r="BK1650" t="s">
        <v>195</v>
      </c>
      <c r="BL1650" t="s">
        <v>1332</v>
      </c>
      <c r="BM1650" t="s">
        <v>1414</v>
      </c>
      <c r="BN1650" t="s">
        <v>182</v>
      </c>
      <c r="BO1650" t="s">
        <v>18455</v>
      </c>
      <c r="BP1650" t="s">
        <v>12362</v>
      </c>
      <c r="BQ1650" t="s">
        <v>800</v>
      </c>
      <c r="BR1650" t="s">
        <v>563</v>
      </c>
      <c r="BS1650" t="s">
        <v>20567</v>
      </c>
      <c r="BT1650" t="s">
        <v>20568</v>
      </c>
      <c r="BU1650" t="s">
        <v>182</v>
      </c>
      <c r="BV1650" t="s">
        <v>198</v>
      </c>
      <c r="BW1650" t="s">
        <v>198</v>
      </c>
      <c r="BX1650" t="s">
        <v>199</v>
      </c>
      <c r="BY1650" t="s">
        <v>198</v>
      </c>
      <c r="BZ1650" t="s">
        <v>199</v>
      </c>
      <c r="CA1650" t="s">
        <v>199</v>
      </c>
      <c r="CB1650" t="s">
        <v>20569</v>
      </c>
      <c r="CC1650" t="s">
        <v>201</v>
      </c>
      <c r="CD1650" t="s">
        <v>182</v>
      </c>
      <c r="CE1650" t="s">
        <v>19256</v>
      </c>
      <c r="CF1650" t="s">
        <v>5331</v>
      </c>
      <c r="CG1650" t="s">
        <v>177</v>
      </c>
      <c r="CH1650" t="s">
        <v>371</v>
      </c>
      <c r="CI1650" t="s">
        <v>19706</v>
      </c>
      <c r="CJ1650" t="s">
        <v>20570</v>
      </c>
      <c r="CK1650" t="s">
        <v>238</v>
      </c>
      <c r="CL1650" t="s">
        <v>239</v>
      </c>
      <c r="CM1650" t="s">
        <v>20571</v>
      </c>
      <c r="CN1650" t="s">
        <v>235</v>
      </c>
      <c r="CO1650" t="s">
        <v>183</v>
      </c>
      <c r="CP1650" t="s">
        <v>211</v>
      </c>
      <c r="CQ1650" t="s">
        <v>189</v>
      </c>
      <c r="CS1650" t="s">
        <v>15574</v>
      </c>
      <c r="CT1650" t="s">
        <v>12189</v>
      </c>
      <c r="CU1650" t="s">
        <v>346</v>
      </c>
      <c r="CV1650" t="s">
        <v>347</v>
      </c>
      <c r="CW1650" t="s">
        <v>20572</v>
      </c>
      <c r="CX1650" t="s">
        <v>235</v>
      </c>
      <c r="CY1650" t="s">
        <v>183</v>
      </c>
      <c r="CZ1650" t="s">
        <v>211</v>
      </c>
      <c r="DA1650" t="s">
        <v>199</v>
      </c>
      <c r="DC1650" t="s">
        <v>16981</v>
      </c>
      <c r="DM1650" t="s">
        <v>198</v>
      </c>
      <c r="DW1650" t="s">
        <v>198</v>
      </c>
      <c r="EG1650" t="s">
        <v>198</v>
      </c>
      <c r="EQ1650" t="s">
        <v>198</v>
      </c>
      <c r="FA1650" t="s">
        <v>198</v>
      </c>
      <c r="FK1650" t="s">
        <v>198</v>
      </c>
      <c r="FU1650" t="s">
        <v>198</v>
      </c>
    </row>
    <row r="1651" spans="1:177">
      <c r="A1651" s="1" t="str">
        <f>HYPERLINK("http://digipan.lumentumllc.com/apps/getLink/index.php?t=PropLink&amp;p=4638685","PL")</f>
        <v>PL</v>
      </c>
      <c r="B1651" s="1" t="str">
        <f>HYPERLINK("http://digipan.lumentumllc.com/apps/getLink/index.php?t=TaxLink&amp;p=4638685","TL")</f>
        <v>TL</v>
      </c>
      <c r="C1651" s="1" t="str">
        <f>HYPERLINK("http://digipan.lumentumllc.com/apps/getMap/index.php?p=4638685","Map")</f>
        <v>Map</v>
      </c>
      <c r="E1651" t="s">
        <v>177</v>
      </c>
      <c r="F1651" t="s">
        <v>178</v>
      </c>
      <c r="L1651" t="s">
        <v>20573</v>
      </c>
      <c r="N1651" t="s">
        <v>20573</v>
      </c>
      <c r="O1651" t="s">
        <v>20573</v>
      </c>
      <c r="P1651" t="s">
        <v>20574</v>
      </c>
      <c r="Q1651" t="s">
        <v>20573</v>
      </c>
      <c r="V1651">
        <v>1886</v>
      </c>
      <c r="W1651">
        <v>6</v>
      </c>
      <c r="X1651">
        <v>2017</v>
      </c>
      <c r="Y1651">
        <v>2018</v>
      </c>
      <c r="Z1651">
        <v>1233.7</v>
      </c>
      <c r="AB1651" t="s">
        <v>181</v>
      </c>
      <c r="AC1651" t="s">
        <v>182</v>
      </c>
      <c r="AD1651" t="s">
        <v>183</v>
      </c>
      <c r="AE1651">
        <v>0</v>
      </c>
      <c r="AF1651">
        <v>3</v>
      </c>
      <c r="AG1651" t="s">
        <v>381</v>
      </c>
      <c r="AH1651">
        <v>100</v>
      </c>
      <c r="AK1651">
        <v>0</v>
      </c>
      <c r="AL1651">
        <v>75204</v>
      </c>
      <c r="AM1651">
        <v>49500</v>
      </c>
      <c r="AN1651">
        <v>25704</v>
      </c>
      <c r="AO1651">
        <v>1005</v>
      </c>
      <c r="AP1651">
        <v>2016</v>
      </c>
      <c r="AQ1651">
        <v>1.64</v>
      </c>
      <c r="AS1651" t="s">
        <v>20575</v>
      </c>
      <c r="AT1651" t="s">
        <v>15040</v>
      </c>
      <c r="AU1651" t="s">
        <v>177</v>
      </c>
      <c r="AV1651" t="s">
        <v>371</v>
      </c>
      <c r="AW1651" t="s">
        <v>182</v>
      </c>
      <c r="AX1651">
        <v>1</v>
      </c>
      <c r="AY1651" t="s">
        <v>188</v>
      </c>
      <c r="AZ1651" t="s">
        <v>206</v>
      </c>
      <c r="BA1651" t="s">
        <v>355</v>
      </c>
      <c r="BB1651" t="s">
        <v>191</v>
      </c>
      <c r="BC1651" t="s">
        <v>182</v>
      </c>
      <c r="BD1651" t="s">
        <v>182</v>
      </c>
      <c r="BE1651" t="s">
        <v>1329</v>
      </c>
      <c r="BF1651">
        <v>1</v>
      </c>
      <c r="BG1651">
        <v>1</v>
      </c>
      <c r="BH1651">
        <v>1935</v>
      </c>
      <c r="BI1651" t="s">
        <v>9627</v>
      </c>
      <c r="BJ1651" t="s">
        <v>315</v>
      </c>
      <c r="BK1651" t="s">
        <v>195</v>
      </c>
      <c r="BL1651" t="s">
        <v>2075</v>
      </c>
      <c r="BM1651" t="s">
        <v>238</v>
      </c>
      <c r="BN1651" t="s">
        <v>182</v>
      </c>
      <c r="BO1651" t="s">
        <v>2660</v>
      </c>
      <c r="BP1651" t="s">
        <v>14397</v>
      </c>
      <c r="BR1651" t="s">
        <v>1575</v>
      </c>
      <c r="BS1651" t="s">
        <v>20576</v>
      </c>
      <c r="BT1651" t="s">
        <v>198</v>
      </c>
      <c r="BU1651" t="s">
        <v>182</v>
      </c>
      <c r="BV1651" t="s">
        <v>198</v>
      </c>
      <c r="BW1651" t="s">
        <v>198</v>
      </c>
      <c r="BX1651" t="s">
        <v>199</v>
      </c>
      <c r="BY1651" t="s">
        <v>198</v>
      </c>
      <c r="BZ1651" t="s">
        <v>199</v>
      </c>
      <c r="CA1651" t="s">
        <v>199</v>
      </c>
      <c r="CB1651" t="s">
        <v>20577</v>
      </c>
      <c r="CC1651" t="s">
        <v>201</v>
      </c>
      <c r="CD1651" t="s">
        <v>182</v>
      </c>
      <c r="CE1651" t="s">
        <v>20578</v>
      </c>
      <c r="CF1651" t="s">
        <v>5331</v>
      </c>
      <c r="CG1651" t="s">
        <v>177</v>
      </c>
      <c r="CH1651" t="s">
        <v>371</v>
      </c>
      <c r="CI1651" t="s">
        <v>19706</v>
      </c>
      <c r="CJ1651" t="s">
        <v>2959</v>
      </c>
      <c r="CK1651" t="s">
        <v>273</v>
      </c>
      <c r="CL1651" t="s">
        <v>274</v>
      </c>
      <c r="CM1651" t="s">
        <v>20579</v>
      </c>
      <c r="CN1651" t="s">
        <v>235</v>
      </c>
      <c r="CO1651" t="s">
        <v>183</v>
      </c>
      <c r="CP1651" t="s">
        <v>211</v>
      </c>
      <c r="CQ1651" t="s">
        <v>339</v>
      </c>
      <c r="CS1651" t="s">
        <v>3654</v>
      </c>
      <c r="CT1651" t="s">
        <v>19680</v>
      </c>
      <c r="CU1651" t="s">
        <v>302</v>
      </c>
      <c r="CV1651" t="s">
        <v>303</v>
      </c>
      <c r="CW1651" t="s">
        <v>20580</v>
      </c>
      <c r="CX1651" t="s">
        <v>235</v>
      </c>
      <c r="CY1651" t="s">
        <v>183</v>
      </c>
      <c r="CZ1651" t="s">
        <v>211</v>
      </c>
      <c r="DA1651" t="s">
        <v>493</v>
      </c>
      <c r="DC1651" t="s">
        <v>3654</v>
      </c>
      <c r="DD1651" t="s">
        <v>20581</v>
      </c>
      <c r="DE1651" t="s">
        <v>238</v>
      </c>
      <c r="DF1651" t="s">
        <v>239</v>
      </c>
      <c r="DG1651" t="s">
        <v>20582</v>
      </c>
      <c r="DH1651" t="s">
        <v>331</v>
      </c>
      <c r="DI1651" t="s">
        <v>183</v>
      </c>
      <c r="DJ1651" t="s">
        <v>211</v>
      </c>
      <c r="DK1651" t="s">
        <v>633</v>
      </c>
      <c r="DM1651" t="s">
        <v>6857</v>
      </c>
      <c r="DW1651" t="s">
        <v>198</v>
      </c>
      <c r="EG1651" t="s">
        <v>198</v>
      </c>
      <c r="EQ1651" t="s">
        <v>198</v>
      </c>
      <c r="FA1651" t="s">
        <v>198</v>
      </c>
      <c r="FK1651" t="s">
        <v>198</v>
      </c>
      <c r="FU1651" t="s">
        <v>198</v>
      </c>
    </row>
    <row r="1652" spans="1:177">
      <c r="A1652" s="1" t="str">
        <f>HYPERLINK("http://digipan.lumentumllc.com/apps/getLink/index.php?t=PropLink&amp;p=5248285","PL")</f>
        <v>PL</v>
      </c>
      <c r="B1652" s="1" t="str">
        <f>HYPERLINK("http://digipan.lumentumllc.com/apps/getLink/index.php?t=TaxLink&amp;p=5248285","TL")</f>
        <v>TL</v>
      </c>
      <c r="C1652" s="1" t="str">
        <f>HYPERLINK("http://digipan.lumentumllc.com/apps/getMap/index.php?p=5248285","Map")</f>
        <v>Map</v>
      </c>
      <c r="E1652" t="s">
        <v>177</v>
      </c>
      <c r="F1652" t="s">
        <v>178</v>
      </c>
      <c r="L1652" t="s">
        <v>20583</v>
      </c>
      <c r="N1652" t="s">
        <v>20583</v>
      </c>
      <c r="O1652" t="s">
        <v>20583</v>
      </c>
      <c r="P1652" t="s">
        <v>20584</v>
      </c>
      <c r="Q1652" t="s">
        <v>20583</v>
      </c>
      <c r="V1652">
        <v>1887</v>
      </c>
      <c r="W1652">
        <v>6</v>
      </c>
      <c r="X1652">
        <v>2017</v>
      </c>
      <c r="Y1652">
        <v>2018</v>
      </c>
      <c r="Z1652">
        <v>3566.41</v>
      </c>
      <c r="AB1652" t="s">
        <v>181</v>
      </c>
      <c r="AC1652" t="s">
        <v>182</v>
      </c>
      <c r="AD1652" t="s">
        <v>183</v>
      </c>
      <c r="AE1652">
        <v>0</v>
      </c>
      <c r="AF1652">
        <v>1</v>
      </c>
      <c r="AG1652" t="s">
        <v>821</v>
      </c>
      <c r="AH1652">
        <v>100</v>
      </c>
      <c r="AK1652">
        <v>0</v>
      </c>
      <c r="AL1652">
        <v>215874</v>
      </c>
      <c r="AM1652">
        <v>144000</v>
      </c>
      <c r="AN1652">
        <v>71874</v>
      </c>
      <c r="AO1652">
        <v>3657</v>
      </c>
      <c r="AP1652">
        <v>2016</v>
      </c>
      <c r="AQ1652">
        <v>1.65</v>
      </c>
      <c r="AS1652" t="s">
        <v>20585</v>
      </c>
      <c r="AT1652" t="s">
        <v>15040</v>
      </c>
      <c r="AU1652" t="s">
        <v>177</v>
      </c>
      <c r="AV1652" t="s">
        <v>371</v>
      </c>
      <c r="AW1652" t="s">
        <v>182</v>
      </c>
      <c r="AX1652">
        <v>2</v>
      </c>
      <c r="AY1652" t="s">
        <v>188</v>
      </c>
      <c r="AZ1652" t="s">
        <v>189</v>
      </c>
      <c r="BA1652" t="s">
        <v>190</v>
      </c>
      <c r="BB1652" t="s">
        <v>191</v>
      </c>
      <c r="BC1652" t="s">
        <v>182</v>
      </c>
      <c r="BD1652" t="s">
        <v>182</v>
      </c>
      <c r="BE1652" t="s">
        <v>1722</v>
      </c>
      <c r="BF1652">
        <v>2</v>
      </c>
      <c r="BG1652">
        <v>2</v>
      </c>
      <c r="BH1652">
        <v>1993</v>
      </c>
      <c r="BI1652" t="s">
        <v>20586</v>
      </c>
      <c r="BJ1652" t="s">
        <v>1945</v>
      </c>
      <c r="BK1652" t="s">
        <v>195</v>
      </c>
      <c r="BL1652" t="s">
        <v>12800</v>
      </c>
      <c r="BM1652" t="s">
        <v>1332</v>
      </c>
      <c r="BN1652" t="s">
        <v>182</v>
      </c>
      <c r="BO1652" t="s">
        <v>14720</v>
      </c>
      <c r="BP1652" t="s">
        <v>20587</v>
      </c>
      <c r="BS1652" t="s">
        <v>1452</v>
      </c>
      <c r="BT1652" t="s">
        <v>198</v>
      </c>
      <c r="BU1652" t="s">
        <v>182</v>
      </c>
      <c r="BV1652" t="s">
        <v>198</v>
      </c>
      <c r="BW1652" t="s">
        <v>198</v>
      </c>
      <c r="BX1652" t="s">
        <v>199</v>
      </c>
      <c r="BY1652" t="s">
        <v>198</v>
      </c>
      <c r="BZ1652" t="s">
        <v>199</v>
      </c>
      <c r="CA1652" t="s">
        <v>199</v>
      </c>
      <c r="CB1652" t="s">
        <v>20588</v>
      </c>
      <c r="CC1652" t="s">
        <v>201</v>
      </c>
      <c r="CD1652" t="s">
        <v>182</v>
      </c>
      <c r="CE1652" t="s">
        <v>20589</v>
      </c>
      <c r="CF1652" t="s">
        <v>5331</v>
      </c>
      <c r="CG1652" t="s">
        <v>177</v>
      </c>
      <c r="CH1652" t="s">
        <v>371</v>
      </c>
      <c r="CI1652" t="s">
        <v>14817</v>
      </c>
      <c r="CJ1652" t="s">
        <v>20590</v>
      </c>
      <c r="CK1652" t="s">
        <v>292</v>
      </c>
      <c r="CL1652" t="s">
        <v>293</v>
      </c>
      <c r="CM1652" t="s">
        <v>20591</v>
      </c>
      <c r="CN1652" t="s">
        <v>235</v>
      </c>
      <c r="CO1652" t="s">
        <v>183</v>
      </c>
      <c r="CP1652" t="s">
        <v>211</v>
      </c>
      <c r="CQ1652" t="s">
        <v>199</v>
      </c>
      <c r="CS1652" t="s">
        <v>5039</v>
      </c>
      <c r="DC1652" t="s">
        <v>198</v>
      </c>
      <c r="DM1652" t="s">
        <v>198</v>
      </c>
      <c r="DW1652" t="s">
        <v>198</v>
      </c>
      <c r="EG1652" t="s">
        <v>198</v>
      </c>
      <c r="EQ1652" t="s">
        <v>198</v>
      </c>
      <c r="FA1652" t="s">
        <v>198</v>
      </c>
      <c r="FK1652" t="s">
        <v>198</v>
      </c>
      <c r="FU1652" t="s">
        <v>198</v>
      </c>
    </row>
    <row r="1653" spans="1:177">
      <c r="A1653" s="1" t="str">
        <f>HYPERLINK("http://digipan.lumentumllc.com/apps/getLink/index.php?t=PropLink&amp;p=5248287","PL")</f>
        <v>PL</v>
      </c>
      <c r="B1653" s="1" t="str">
        <f>HYPERLINK("http://digipan.lumentumllc.com/apps/getLink/index.php?t=TaxLink&amp;p=5248287","TL")</f>
        <v>TL</v>
      </c>
      <c r="C1653" s="1" t="str">
        <f>HYPERLINK("http://digipan.lumentumllc.com/apps/getMap/index.php?p=5248287","Map")</f>
        <v>Map</v>
      </c>
      <c r="E1653" t="s">
        <v>177</v>
      </c>
      <c r="F1653" t="s">
        <v>178</v>
      </c>
      <c r="L1653" t="s">
        <v>20592</v>
      </c>
      <c r="N1653" t="s">
        <v>20592</v>
      </c>
      <c r="O1653" t="s">
        <v>20592</v>
      </c>
      <c r="P1653" t="s">
        <v>20593</v>
      </c>
      <c r="Q1653" t="s">
        <v>20592</v>
      </c>
      <c r="V1653">
        <v>1888</v>
      </c>
      <c r="W1653">
        <v>6</v>
      </c>
      <c r="X1653">
        <v>2017</v>
      </c>
      <c r="Y1653">
        <v>2018</v>
      </c>
      <c r="Z1653">
        <v>511.83</v>
      </c>
      <c r="AB1653" t="s">
        <v>181</v>
      </c>
      <c r="AC1653" t="s">
        <v>182</v>
      </c>
      <c r="AD1653" t="s">
        <v>183</v>
      </c>
      <c r="AE1653">
        <v>0</v>
      </c>
      <c r="AF1653">
        <v>8</v>
      </c>
      <c r="AG1653" t="s">
        <v>1059</v>
      </c>
      <c r="AH1653">
        <v>100</v>
      </c>
      <c r="AK1653">
        <v>0</v>
      </c>
      <c r="AL1653">
        <v>82205</v>
      </c>
      <c r="AM1653">
        <v>25000</v>
      </c>
      <c r="AN1653">
        <v>57205</v>
      </c>
      <c r="AO1653">
        <v>443</v>
      </c>
      <c r="AP1653">
        <v>2016</v>
      </c>
      <c r="AQ1653">
        <v>0.62</v>
      </c>
      <c r="AS1653" t="s">
        <v>20594</v>
      </c>
      <c r="AT1653" t="s">
        <v>15040</v>
      </c>
      <c r="AU1653" t="s">
        <v>177</v>
      </c>
      <c r="AV1653" t="s">
        <v>371</v>
      </c>
      <c r="AW1653" t="s">
        <v>202</v>
      </c>
      <c r="AX1653">
        <v>1</v>
      </c>
      <c r="AY1653" t="s">
        <v>188</v>
      </c>
      <c r="AZ1653" t="s">
        <v>206</v>
      </c>
      <c r="BA1653" t="s">
        <v>355</v>
      </c>
      <c r="BB1653" t="s">
        <v>191</v>
      </c>
      <c r="BC1653" t="s">
        <v>182</v>
      </c>
      <c r="BD1653" t="s">
        <v>182</v>
      </c>
      <c r="BE1653" t="s">
        <v>14631</v>
      </c>
      <c r="BF1653">
        <v>1</v>
      </c>
      <c r="BG1653">
        <v>1</v>
      </c>
      <c r="BH1653">
        <v>1973</v>
      </c>
      <c r="BI1653" t="s">
        <v>19290</v>
      </c>
      <c r="BJ1653" t="s">
        <v>194</v>
      </c>
      <c r="BK1653" t="s">
        <v>195</v>
      </c>
      <c r="BL1653" t="s">
        <v>1155</v>
      </c>
      <c r="BM1653" t="s">
        <v>9802</v>
      </c>
      <c r="BN1653" t="s">
        <v>182</v>
      </c>
      <c r="BO1653" t="s">
        <v>198</v>
      </c>
      <c r="BP1653" t="s">
        <v>198</v>
      </c>
      <c r="BQ1653" t="s">
        <v>198</v>
      </c>
      <c r="BR1653" t="s">
        <v>198</v>
      </c>
      <c r="BS1653" t="s">
        <v>198</v>
      </c>
      <c r="BT1653" t="s">
        <v>198</v>
      </c>
      <c r="BU1653" t="s">
        <v>182</v>
      </c>
      <c r="BV1653" t="s">
        <v>198</v>
      </c>
      <c r="BW1653" t="s">
        <v>198</v>
      </c>
      <c r="BX1653" t="s">
        <v>199</v>
      </c>
      <c r="BY1653" t="s">
        <v>198</v>
      </c>
      <c r="BZ1653" t="s">
        <v>199</v>
      </c>
      <c r="CA1653" t="s">
        <v>199</v>
      </c>
      <c r="CB1653" t="s">
        <v>20595</v>
      </c>
      <c r="CC1653" t="s">
        <v>201</v>
      </c>
      <c r="CD1653" t="s">
        <v>182</v>
      </c>
      <c r="CE1653" t="s">
        <v>20596</v>
      </c>
      <c r="CF1653" t="s">
        <v>5331</v>
      </c>
      <c r="CG1653" t="s">
        <v>177</v>
      </c>
      <c r="CH1653" t="s">
        <v>371</v>
      </c>
      <c r="CI1653" t="s">
        <v>20597</v>
      </c>
      <c r="CJ1653" t="s">
        <v>13338</v>
      </c>
      <c r="CK1653" t="s">
        <v>232</v>
      </c>
      <c r="CL1653" t="s">
        <v>233</v>
      </c>
      <c r="CM1653" t="s">
        <v>20598</v>
      </c>
      <c r="CN1653" t="s">
        <v>235</v>
      </c>
      <c r="CO1653" t="s">
        <v>183</v>
      </c>
      <c r="CP1653" t="s">
        <v>211</v>
      </c>
      <c r="CQ1653" t="s">
        <v>199</v>
      </c>
      <c r="CS1653" t="s">
        <v>20599</v>
      </c>
      <c r="CT1653" t="s">
        <v>20600</v>
      </c>
      <c r="CU1653" t="s">
        <v>292</v>
      </c>
      <c r="CV1653" t="s">
        <v>293</v>
      </c>
      <c r="CW1653" t="s">
        <v>20601</v>
      </c>
      <c r="CX1653" t="s">
        <v>235</v>
      </c>
      <c r="CY1653" t="s">
        <v>183</v>
      </c>
      <c r="CZ1653" t="s">
        <v>211</v>
      </c>
      <c r="DA1653" t="s">
        <v>427</v>
      </c>
      <c r="DC1653" t="s">
        <v>20599</v>
      </c>
      <c r="DD1653" t="s">
        <v>20602</v>
      </c>
      <c r="DE1653" t="s">
        <v>267</v>
      </c>
      <c r="DF1653" t="s">
        <v>268</v>
      </c>
      <c r="DG1653" t="s">
        <v>20603</v>
      </c>
      <c r="DH1653" t="s">
        <v>235</v>
      </c>
      <c r="DI1653" t="s">
        <v>183</v>
      </c>
      <c r="DJ1653" t="s">
        <v>211</v>
      </c>
      <c r="DK1653" t="s">
        <v>199</v>
      </c>
      <c r="DM1653" t="s">
        <v>3445</v>
      </c>
      <c r="DN1653" t="s">
        <v>10159</v>
      </c>
      <c r="DO1653" t="s">
        <v>273</v>
      </c>
      <c r="DP1653" t="s">
        <v>274</v>
      </c>
      <c r="DQ1653" t="s">
        <v>20604</v>
      </c>
      <c r="DR1653" t="s">
        <v>235</v>
      </c>
      <c r="DS1653" t="s">
        <v>183</v>
      </c>
      <c r="DT1653" t="s">
        <v>211</v>
      </c>
      <c r="DU1653" t="s">
        <v>199</v>
      </c>
      <c r="DW1653" t="s">
        <v>19283</v>
      </c>
      <c r="DX1653" t="s">
        <v>16246</v>
      </c>
      <c r="DY1653" t="s">
        <v>302</v>
      </c>
      <c r="DZ1653" t="s">
        <v>303</v>
      </c>
      <c r="EA1653" t="s">
        <v>20605</v>
      </c>
      <c r="EB1653" t="s">
        <v>235</v>
      </c>
      <c r="EC1653" t="s">
        <v>183</v>
      </c>
      <c r="ED1653" t="s">
        <v>211</v>
      </c>
      <c r="EE1653" t="s">
        <v>250</v>
      </c>
      <c r="EG1653" t="s">
        <v>16355</v>
      </c>
      <c r="EH1653" t="s">
        <v>7026</v>
      </c>
      <c r="EI1653" t="s">
        <v>238</v>
      </c>
      <c r="EJ1653" t="s">
        <v>239</v>
      </c>
      <c r="EK1653" t="s">
        <v>20606</v>
      </c>
      <c r="EL1653" t="s">
        <v>235</v>
      </c>
      <c r="EM1653" t="s">
        <v>183</v>
      </c>
      <c r="EN1653" t="s">
        <v>211</v>
      </c>
      <c r="EO1653" t="s">
        <v>487</v>
      </c>
      <c r="EQ1653" t="s">
        <v>16355</v>
      </c>
      <c r="ER1653" t="s">
        <v>20607</v>
      </c>
      <c r="ES1653" t="s">
        <v>346</v>
      </c>
      <c r="ET1653" t="s">
        <v>347</v>
      </c>
      <c r="EU1653" t="s">
        <v>20608</v>
      </c>
      <c r="EV1653" t="s">
        <v>235</v>
      </c>
      <c r="EW1653" t="s">
        <v>183</v>
      </c>
      <c r="EX1653" t="s">
        <v>211</v>
      </c>
      <c r="EY1653" t="s">
        <v>199</v>
      </c>
      <c r="FA1653" t="s">
        <v>16981</v>
      </c>
      <c r="FB1653" t="s">
        <v>20609</v>
      </c>
      <c r="FC1653" t="s">
        <v>207</v>
      </c>
      <c r="FD1653" t="s">
        <v>208</v>
      </c>
      <c r="FE1653" t="s">
        <v>20610</v>
      </c>
      <c r="FF1653" t="s">
        <v>391</v>
      </c>
      <c r="FG1653" t="s">
        <v>183</v>
      </c>
      <c r="FH1653" t="s">
        <v>211</v>
      </c>
      <c r="FI1653" t="s">
        <v>250</v>
      </c>
      <c r="FK1653" t="s">
        <v>20611</v>
      </c>
      <c r="FU1653" t="s">
        <v>198</v>
      </c>
    </row>
    <row r="1654" spans="1:177">
      <c r="A1654" s="1" t="str">
        <f>HYPERLINK("http://digipan.lumentumllc.com/apps/getLink/index.php?t=PropLink&amp;p=5248290","PL")</f>
        <v>PL</v>
      </c>
      <c r="B1654" s="1" t="str">
        <f>HYPERLINK("http://digipan.lumentumllc.com/apps/getLink/index.php?t=TaxLink&amp;p=5248290","TL")</f>
        <v>TL</v>
      </c>
      <c r="C1654" s="1" t="str">
        <f>HYPERLINK("http://digipan.lumentumllc.com/apps/getMap/index.php?p=5248290","Map")</f>
        <v>Map</v>
      </c>
      <c r="E1654" t="s">
        <v>177</v>
      </c>
      <c r="F1654" t="s">
        <v>178</v>
      </c>
      <c r="L1654" t="s">
        <v>20612</v>
      </c>
      <c r="N1654" t="s">
        <v>20612</v>
      </c>
      <c r="O1654" t="s">
        <v>20612</v>
      </c>
      <c r="P1654" t="s">
        <v>20613</v>
      </c>
      <c r="Q1654" t="s">
        <v>20612</v>
      </c>
      <c r="V1654">
        <v>1889</v>
      </c>
      <c r="W1654">
        <v>6</v>
      </c>
      <c r="X1654">
        <v>2017</v>
      </c>
      <c r="Y1654">
        <v>2018</v>
      </c>
      <c r="Z1654">
        <v>588.85</v>
      </c>
      <c r="AB1654" t="s">
        <v>181</v>
      </c>
      <c r="AC1654" t="s">
        <v>182</v>
      </c>
      <c r="AD1654" t="s">
        <v>183</v>
      </c>
      <c r="AE1654">
        <v>1</v>
      </c>
      <c r="AF1654">
        <v>2</v>
      </c>
      <c r="AG1654" t="s">
        <v>363</v>
      </c>
      <c r="AH1654">
        <v>67</v>
      </c>
      <c r="AI1654">
        <v>522.66</v>
      </c>
      <c r="AJ1654">
        <v>26.13</v>
      </c>
      <c r="AK1654">
        <v>548.79</v>
      </c>
      <c r="AL1654">
        <v>36647</v>
      </c>
      <c r="AM1654">
        <v>22500</v>
      </c>
      <c r="AN1654">
        <v>14147</v>
      </c>
      <c r="AO1654">
        <v>458</v>
      </c>
      <c r="AP1654">
        <v>2016</v>
      </c>
      <c r="AQ1654">
        <v>1.61</v>
      </c>
      <c r="AR1654">
        <v>1.5</v>
      </c>
      <c r="AS1654" t="s">
        <v>20614</v>
      </c>
      <c r="AT1654" t="s">
        <v>15040</v>
      </c>
      <c r="AU1654" t="s">
        <v>177</v>
      </c>
      <c r="AV1654" t="s">
        <v>371</v>
      </c>
      <c r="AW1654" t="s">
        <v>182</v>
      </c>
      <c r="AX1654">
        <v>2</v>
      </c>
      <c r="AY1654" t="s">
        <v>188</v>
      </c>
      <c r="AZ1654" t="s">
        <v>189</v>
      </c>
      <c r="BA1654" t="s">
        <v>190</v>
      </c>
      <c r="BB1654" t="s">
        <v>191</v>
      </c>
      <c r="BC1654" t="s">
        <v>182</v>
      </c>
      <c r="BD1654" t="s">
        <v>182</v>
      </c>
      <c r="BE1654" t="s">
        <v>10639</v>
      </c>
      <c r="BF1654">
        <v>1</v>
      </c>
      <c r="BG1654">
        <v>1</v>
      </c>
      <c r="BH1654">
        <v>1978</v>
      </c>
      <c r="BI1654" t="s">
        <v>7149</v>
      </c>
      <c r="BJ1654" t="s">
        <v>194</v>
      </c>
      <c r="BK1654" t="s">
        <v>195</v>
      </c>
      <c r="BL1654" t="s">
        <v>199</v>
      </c>
      <c r="BM1654" t="s">
        <v>267</v>
      </c>
      <c r="BN1654" t="s">
        <v>182</v>
      </c>
      <c r="BO1654" t="s">
        <v>2192</v>
      </c>
      <c r="BP1654" t="s">
        <v>20615</v>
      </c>
      <c r="BQ1654" t="s">
        <v>5784</v>
      </c>
      <c r="BS1654" t="s">
        <v>20616</v>
      </c>
      <c r="BT1654" t="s">
        <v>198</v>
      </c>
      <c r="BU1654" t="s">
        <v>182</v>
      </c>
      <c r="BV1654" t="s">
        <v>198</v>
      </c>
      <c r="BW1654" t="s">
        <v>198</v>
      </c>
      <c r="BX1654" t="s">
        <v>199</v>
      </c>
      <c r="BY1654" t="s">
        <v>198</v>
      </c>
      <c r="BZ1654" t="s">
        <v>199</v>
      </c>
      <c r="CA1654" t="s">
        <v>199</v>
      </c>
      <c r="CB1654" t="s">
        <v>20617</v>
      </c>
      <c r="CC1654" t="s">
        <v>201</v>
      </c>
      <c r="CD1654" t="s">
        <v>182</v>
      </c>
      <c r="CE1654" t="s">
        <v>20618</v>
      </c>
      <c r="CF1654" t="s">
        <v>5331</v>
      </c>
      <c r="CG1654" t="s">
        <v>177</v>
      </c>
      <c r="CH1654" t="s">
        <v>371</v>
      </c>
      <c r="CI1654" t="s">
        <v>20619</v>
      </c>
      <c r="CJ1654" t="s">
        <v>17643</v>
      </c>
      <c r="CK1654" t="s">
        <v>232</v>
      </c>
      <c r="CL1654" t="s">
        <v>233</v>
      </c>
      <c r="CM1654" t="s">
        <v>20620</v>
      </c>
      <c r="CN1654" t="s">
        <v>235</v>
      </c>
      <c r="CO1654" t="s">
        <v>183</v>
      </c>
      <c r="CP1654" t="s">
        <v>266</v>
      </c>
      <c r="CS1654" t="s">
        <v>198</v>
      </c>
      <c r="CT1654" t="s">
        <v>3358</v>
      </c>
      <c r="CU1654" t="s">
        <v>267</v>
      </c>
      <c r="CV1654" t="s">
        <v>268</v>
      </c>
      <c r="CW1654" t="s">
        <v>20621</v>
      </c>
      <c r="CX1654" t="s">
        <v>235</v>
      </c>
      <c r="CY1654" t="s">
        <v>183</v>
      </c>
      <c r="CZ1654" t="s">
        <v>211</v>
      </c>
      <c r="DA1654" t="s">
        <v>264</v>
      </c>
      <c r="DC1654" t="s">
        <v>4328</v>
      </c>
      <c r="DD1654" t="s">
        <v>20622</v>
      </c>
      <c r="DE1654" t="s">
        <v>346</v>
      </c>
      <c r="DF1654" t="s">
        <v>347</v>
      </c>
      <c r="DG1654" t="s">
        <v>20623</v>
      </c>
      <c r="DH1654" t="s">
        <v>440</v>
      </c>
      <c r="DI1654" t="s">
        <v>183</v>
      </c>
      <c r="DJ1654" t="s">
        <v>211</v>
      </c>
      <c r="DK1654" t="s">
        <v>199</v>
      </c>
      <c r="DM1654" t="s">
        <v>5839</v>
      </c>
      <c r="DW1654" t="s">
        <v>198</v>
      </c>
      <c r="EG1654" t="s">
        <v>198</v>
      </c>
      <c r="EQ1654" t="s">
        <v>198</v>
      </c>
      <c r="FA1654" t="s">
        <v>198</v>
      </c>
      <c r="FK1654" t="s">
        <v>198</v>
      </c>
      <c r="FU1654" t="s">
        <v>198</v>
      </c>
    </row>
    <row r="1655" spans="1:177">
      <c r="A1655" s="1" t="str">
        <f>HYPERLINK("http://digipan.lumentumllc.com/apps/getLink/index.php?t=PropLink&amp;p=15761242","PL")</f>
        <v>PL</v>
      </c>
      <c r="B1655" s="1" t="str">
        <f>HYPERLINK("http://digipan.lumentumllc.com/apps/getLink/index.php?t=TaxLink&amp;p=15761242","TL")</f>
        <v>TL</v>
      </c>
      <c r="C1655" s="1" t="str">
        <f>HYPERLINK("http://digipan.lumentumllc.com/apps/getMap/index.php?p=15761242","Map")</f>
        <v>Map</v>
      </c>
      <c r="E1655" t="s">
        <v>177</v>
      </c>
      <c r="F1655" t="s">
        <v>178</v>
      </c>
      <c r="L1655" t="s">
        <v>20624</v>
      </c>
      <c r="N1655" t="s">
        <v>20624</v>
      </c>
      <c r="O1655" t="s">
        <v>20624</v>
      </c>
      <c r="Q1655" t="s">
        <v>20624</v>
      </c>
      <c r="V1655">
        <v>1890</v>
      </c>
      <c r="W1655">
        <v>6</v>
      </c>
      <c r="X1655">
        <v>2017</v>
      </c>
      <c r="Y1655">
        <v>2018</v>
      </c>
      <c r="Z1655">
        <v>1095.97</v>
      </c>
      <c r="AG1655" t="s">
        <v>184</v>
      </c>
      <c r="AH1655">
        <v>0</v>
      </c>
      <c r="AK1655">
        <v>0</v>
      </c>
      <c r="AL1655">
        <v>136394</v>
      </c>
      <c r="AM1655">
        <v>50000</v>
      </c>
      <c r="AN1655">
        <v>86394</v>
      </c>
      <c r="AO1655">
        <v>967</v>
      </c>
      <c r="AP1655">
        <v>2016</v>
      </c>
      <c r="AQ1655">
        <v>0.8</v>
      </c>
      <c r="AS1655" t="s">
        <v>20625</v>
      </c>
      <c r="AT1655" t="s">
        <v>15040</v>
      </c>
      <c r="AU1655" t="s">
        <v>177</v>
      </c>
      <c r="AV1655" t="s">
        <v>371</v>
      </c>
      <c r="AW1655" t="s">
        <v>202</v>
      </c>
      <c r="AX1655">
        <v>1</v>
      </c>
      <c r="AY1655" t="s">
        <v>188</v>
      </c>
      <c r="AZ1655" t="s">
        <v>206</v>
      </c>
      <c r="BA1655" t="s">
        <v>355</v>
      </c>
      <c r="BB1655" t="s">
        <v>191</v>
      </c>
      <c r="BC1655" t="s">
        <v>182</v>
      </c>
      <c r="BD1655" t="s">
        <v>182</v>
      </c>
      <c r="BE1655" t="s">
        <v>20626</v>
      </c>
      <c r="BF1655">
        <v>1</v>
      </c>
      <c r="BG1655">
        <v>1</v>
      </c>
      <c r="BH1655">
        <v>1973</v>
      </c>
      <c r="BI1655" t="s">
        <v>20627</v>
      </c>
      <c r="BJ1655" t="s">
        <v>194</v>
      </c>
      <c r="BK1655" t="s">
        <v>195</v>
      </c>
      <c r="BL1655" t="s">
        <v>199</v>
      </c>
      <c r="BM1655" t="s">
        <v>292</v>
      </c>
      <c r="BN1655" t="s">
        <v>182</v>
      </c>
      <c r="BO1655" t="s">
        <v>198</v>
      </c>
      <c r="BP1655" t="s">
        <v>198</v>
      </c>
      <c r="BQ1655" t="s">
        <v>198</v>
      </c>
      <c r="BR1655" t="s">
        <v>198</v>
      </c>
      <c r="BS1655" t="s">
        <v>198</v>
      </c>
      <c r="BT1655" t="s">
        <v>198</v>
      </c>
      <c r="BU1655" t="s">
        <v>182</v>
      </c>
      <c r="BV1655" t="s">
        <v>198</v>
      </c>
      <c r="BW1655" t="s">
        <v>198</v>
      </c>
      <c r="BX1655" t="s">
        <v>199</v>
      </c>
      <c r="BY1655" t="s">
        <v>198</v>
      </c>
      <c r="BZ1655" t="s">
        <v>199</v>
      </c>
      <c r="CA1655" t="s">
        <v>199</v>
      </c>
      <c r="CB1655" t="s">
        <v>20628</v>
      </c>
      <c r="CC1655" t="s">
        <v>201</v>
      </c>
      <c r="CD1655" t="s">
        <v>202</v>
      </c>
      <c r="CE1655" t="s">
        <v>20629</v>
      </c>
      <c r="CF1655" t="s">
        <v>5331</v>
      </c>
      <c r="CG1655" t="s">
        <v>177</v>
      </c>
      <c r="CH1655" t="s">
        <v>371</v>
      </c>
      <c r="CI1655" t="s">
        <v>20630</v>
      </c>
      <c r="CS1655" t="s">
        <v>198</v>
      </c>
      <c r="DC1655" t="s">
        <v>198</v>
      </c>
      <c r="DM1655" t="s">
        <v>198</v>
      </c>
      <c r="DW1655" t="s">
        <v>198</v>
      </c>
      <c r="EG1655" t="s">
        <v>198</v>
      </c>
      <c r="EQ1655" t="s">
        <v>198</v>
      </c>
      <c r="FA1655" t="s">
        <v>198</v>
      </c>
      <c r="FK1655" t="s">
        <v>198</v>
      </c>
      <c r="FU1655" t="s">
        <v>198</v>
      </c>
    </row>
    <row r="1656" spans="1:177">
      <c r="A1656" s="1" t="str">
        <f>HYPERLINK("http://digipan.lumentumllc.com/apps/getLink/index.php?t=PropLink&amp;p=5248291","PL")</f>
        <v>PL</v>
      </c>
      <c r="B1656" s="1" t="str">
        <f>HYPERLINK("http://digipan.lumentumllc.com/apps/getLink/index.php?t=TaxLink&amp;p=5248291","TL")</f>
        <v>TL</v>
      </c>
      <c r="C1656" s="1" t="str">
        <f>HYPERLINK("http://digipan.lumentumllc.com/apps/getMap/index.php?p=5248291","Map")</f>
        <v>Map</v>
      </c>
      <c r="E1656" t="s">
        <v>177</v>
      </c>
      <c r="F1656" t="s">
        <v>178</v>
      </c>
      <c r="L1656" t="s">
        <v>20631</v>
      </c>
      <c r="N1656" t="s">
        <v>20631</v>
      </c>
      <c r="O1656" t="s">
        <v>20631</v>
      </c>
      <c r="P1656" t="s">
        <v>20632</v>
      </c>
      <c r="Q1656" t="s">
        <v>20631</v>
      </c>
      <c r="V1656">
        <v>1891</v>
      </c>
      <c r="W1656">
        <v>6</v>
      </c>
      <c r="X1656">
        <v>2017</v>
      </c>
      <c r="Y1656">
        <v>2018</v>
      </c>
      <c r="Z1656">
        <v>287.72000000000003</v>
      </c>
      <c r="AB1656" t="s">
        <v>181</v>
      </c>
      <c r="AC1656" t="s">
        <v>182</v>
      </c>
      <c r="AD1656" t="s">
        <v>183</v>
      </c>
      <c r="AE1656">
        <v>0</v>
      </c>
      <c r="AF1656">
        <v>7</v>
      </c>
      <c r="AG1656" t="s">
        <v>528</v>
      </c>
      <c r="AH1656">
        <v>100</v>
      </c>
      <c r="AK1656">
        <v>0</v>
      </c>
      <c r="AL1656">
        <v>18750</v>
      </c>
      <c r="AM1656">
        <v>18750</v>
      </c>
      <c r="AN1656">
        <v>0</v>
      </c>
      <c r="AO1656">
        <v>184</v>
      </c>
      <c r="AP1656">
        <v>2016</v>
      </c>
      <c r="AQ1656">
        <v>1.53</v>
      </c>
      <c r="AS1656" t="s">
        <v>20633</v>
      </c>
      <c r="AT1656" t="s">
        <v>15040</v>
      </c>
      <c r="AU1656" t="s">
        <v>177</v>
      </c>
      <c r="AV1656" t="s">
        <v>371</v>
      </c>
      <c r="AW1656" t="s">
        <v>182</v>
      </c>
      <c r="AX1656">
        <v>0</v>
      </c>
      <c r="AY1656" t="s">
        <v>312</v>
      </c>
      <c r="AZ1656" t="s">
        <v>199</v>
      </c>
      <c r="BA1656" t="s">
        <v>313</v>
      </c>
      <c r="BB1656" t="s">
        <v>191</v>
      </c>
      <c r="BC1656" t="s">
        <v>182</v>
      </c>
      <c r="BD1656" t="s">
        <v>182</v>
      </c>
      <c r="BE1656" t="s">
        <v>16543</v>
      </c>
      <c r="BF1656">
        <v>0</v>
      </c>
      <c r="BG1656">
        <v>0</v>
      </c>
      <c r="BH1656">
        <v>0</v>
      </c>
      <c r="BI1656" t="s">
        <v>199</v>
      </c>
      <c r="BJ1656" t="s">
        <v>248</v>
      </c>
      <c r="BL1656" t="s">
        <v>1439</v>
      </c>
      <c r="BM1656" t="s">
        <v>368</v>
      </c>
      <c r="BN1656" t="s">
        <v>182</v>
      </c>
      <c r="BO1656" t="s">
        <v>198</v>
      </c>
      <c r="BP1656" t="s">
        <v>198</v>
      </c>
      <c r="BQ1656" t="s">
        <v>198</v>
      </c>
      <c r="BR1656" t="s">
        <v>198</v>
      </c>
      <c r="BS1656" t="s">
        <v>198</v>
      </c>
      <c r="BT1656" t="s">
        <v>198</v>
      </c>
      <c r="BU1656" t="s">
        <v>182</v>
      </c>
      <c r="BV1656" t="s">
        <v>198</v>
      </c>
      <c r="BW1656" t="s">
        <v>198</v>
      </c>
      <c r="BX1656" t="s">
        <v>199</v>
      </c>
      <c r="BY1656" t="s">
        <v>198</v>
      </c>
      <c r="BZ1656" t="s">
        <v>199</v>
      </c>
      <c r="CA1656" t="s">
        <v>199</v>
      </c>
      <c r="CB1656" t="s">
        <v>20634</v>
      </c>
      <c r="CC1656" t="s">
        <v>201</v>
      </c>
      <c r="CD1656" t="s">
        <v>182</v>
      </c>
      <c r="CE1656" t="s">
        <v>20635</v>
      </c>
      <c r="CF1656" t="s">
        <v>5331</v>
      </c>
      <c r="CG1656" t="s">
        <v>177</v>
      </c>
      <c r="CH1656" t="s">
        <v>371</v>
      </c>
      <c r="CI1656" t="s">
        <v>20636</v>
      </c>
      <c r="CJ1656" t="s">
        <v>18935</v>
      </c>
      <c r="CK1656" t="s">
        <v>292</v>
      </c>
      <c r="CL1656" t="s">
        <v>293</v>
      </c>
      <c r="CM1656" t="s">
        <v>9490</v>
      </c>
      <c r="CN1656" t="s">
        <v>389</v>
      </c>
      <c r="CO1656" t="s">
        <v>183</v>
      </c>
      <c r="CP1656" t="s">
        <v>211</v>
      </c>
      <c r="CQ1656" t="s">
        <v>329</v>
      </c>
      <c r="CS1656" t="s">
        <v>2096</v>
      </c>
      <c r="CT1656" t="s">
        <v>5083</v>
      </c>
      <c r="CU1656" t="s">
        <v>267</v>
      </c>
      <c r="CV1656" t="s">
        <v>268</v>
      </c>
      <c r="CW1656" t="s">
        <v>9491</v>
      </c>
      <c r="CX1656" t="s">
        <v>254</v>
      </c>
      <c r="CY1656" t="s">
        <v>183</v>
      </c>
      <c r="CZ1656" t="s">
        <v>211</v>
      </c>
      <c r="DA1656" t="s">
        <v>298</v>
      </c>
      <c r="DC1656" t="s">
        <v>2096</v>
      </c>
      <c r="DD1656" t="s">
        <v>11647</v>
      </c>
      <c r="DE1656" t="s">
        <v>273</v>
      </c>
      <c r="DF1656" t="s">
        <v>274</v>
      </c>
      <c r="DG1656" t="s">
        <v>15998</v>
      </c>
      <c r="DH1656" t="s">
        <v>235</v>
      </c>
      <c r="DI1656" t="s">
        <v>183</v>
      </c>
      <c r="DJ1656" t="s">
        <v>211</v>
      </c>
      <c r="DK1656" t="s">
        <v>345</v>
      </c>
      <c r="DM1656" t="s">
        <v>10135</v>
      </c>
      <c r="DN1656" t="s">
        <v>20637</v>
      </c>
      <c r="DO1656" t="s">
        <v>302</v>
      </c>
      <c r="DP1656" t="s">
        <v>303</v>
      </c>
      <c r="DQ1656" t="s">
        <v>15999</v>
      </c>
      <c r="DR1656" t="s">
        <v>440</v>
      </c>
      <c r="DS1656" t="s">
        <v>183</v>
      </c>
      <c r="DT1656" t="s">
        <v>211</v>
      </c>
      <c r="DU1656" t="s">
        <v>298</v>
      </c>
      <c r="DW1656" t="s">
        <v>437</v>
      </c>
      <c r="DX1656" t="s">
        <v>20638</v>
      </c>
      <c r="DY1656" t="s">
        <v>238</v>
      </c>
      <c r="DZ1656" t="s">
        <v>239</v>
      </c>
      <c r="EA1656" t="s">
        <v>20639</v>
      </c>
      <c r="EB1656" t="s">
        <v>408</v>
      </c>
      <c r="EC1656" t="s">
        <v>183</v>
      </c>
      <c r="ED1656" t="s">
        <v>211</v>
      </c>
      <c r="EE1656" t="s">
        <v>298</v>
      </c>
      <c r="EG1656" t="s">
        <v>2904</v>
      </c>
      <c r="EH1656" t="s">
        <v>20640</v>
      </c>
      <c r="EI1656" t="s">
        <v>346</v>
      </c>
      <c r="EJ1656" t="s">
        <v>347</v>
      </c>
      <c r="EK1656" t="s">
        <v>20641</v>
      </c>
      <c r="EL1656" t="s">
        <v>278</v>
      </c>
      <c r="EM1656" t="s">
        <v>183</v>
      </c>
      <c r="EN1656" t="s">
        <v>211</v>
      </c>
      <c r="EO1656" t="s">
        <v>345</v>
      </c>
      <c r="EQ1656" t="s">
        <v>5179</v>
      </c>
      <c r="ER1656" t="s">
        <v>19250</v>
      </c>
      <c r="ES1656" t="s">
        <v>207</v>
      </c>
      <c r="ET1656" t="s">
        <v>208</v>
      </c>
      <c r="EU1656" t="s">
        <v>20642</v>
      </c>
      <c r="EV1656" t="s">
        <v>618</v>
      </c>
      <c r="EW1656" t="s">
        <v>183</v>
      </c>
      <c r="EX1656" t="s">
        <v>211</v>
      </c>
      <c r="EY1656" t="s">
        <v>345</v>
      </c>
      <c r="FA1656" t="s">
        <v>7557</v>
      </c>
      <c r="FK1656" t="s">
        <v>198</v>
      </c>
      <c r="FU1656" t="s">
        <v>198</v>
      </c>
    </row>
    <row r="1657" spans="1:177">
      <c r="A1657" s="1" t="str">
        <f>HYPERLINK("http://digipan.lumentumllc.com/apps/getLink/index.php?t=PropLink&amp;p=4638690","PL")</f>
        <v>PL</v>
      </c>
      <c r="B1657" s="1" t="str">
        <f>HYPERLINK("http://digipan.lumentumllc.com/apps/getLink/index.php?t=TaxLink&amp;p=4638690","TL")</f>
        <v>TL</v>
      </c>
      <c r="C1657" s="1" t="str">
        <f>HYPERLINK("http://digipan.lumentumllc.com/apps/getMap/index.php?p=4638690","Map")</f>
        <v>Map</v>
      </c>
      <c r="E1657" t="s">
        <v>177</v>
      </c>
      <c r="F1657" t="s">
        <v>178</v>
      </c>
      <c r="L1657" t="s">
        <v>20643</v>
      </c>
      <c r="N1657" t="s">
        <v>20643</v>
      </c>
      <c r="O1657" t="s">
        <v>20643</v>
      </c>
      <c r="P1657" t="s">
        <v>20644</v>
      </c>
      <c r="Q1657" t="s">
        <v>20643</v>
      </c>
      <c r="V1657">
        <v>1893</v>
      </c>
      <c r="W1657">
        <v>6</v>
      </c>
      <c r="X1657">
        <v>2017</v>
      </c>
      <c r="Y1657">
        <v>2018</v>
      </c>
      <c r="Z1657">
        <v>1352.54</v>
      </c>
      <c r="AB1657" t="s">
        <v>181</v>
      </c>
      <c r="AC1657" t="s">
        <v>182</v>
      </c>
      <c r="AD1657" t="s">
        <v>183</v>
      </c>
      <c r="AE1657">
        <v>0</v>
      </c>
      <c r="AF1657">
        <v>1</v>
      </c>
      <c r="AG1657" t="s">
        <v>184</v>
      </c>
      <c r="AH1657">
        <v>0</v>
      </c>
      <c r="AK1657">
        <v>0</v>
      </c>
      <c r="AL1657">
        <v>80656</v>
      </c>
      <c r="AM1657">
        <v>34750</v>
      </c>
      <c r="AN1657">
        <v>45906</v>
      </c>
      <c r="AO1657">
        <v>1032</v>
      </c>
      <c r="AP1657">
        <v>2016</v>
      </c>
      <c r="AQ1657">
        <v>1.68</v>
      </c>
      <c r="AS1657" t="s">
        <v>20645</v>
      </c>
      <c r="AT1657" t="s">
        <v>15040</v>
      </c>
      <c r="AU1657" t="s">
        <v>177</v>
      </c>
      <c r="AV1657" t="s">
        <v>371</v>
      </c>
      <c r="AW1657" t="s">
        <v>182</v>
      </c>
      <c r="AX1657">
        <v>2</v>
      </c>
      <c r="AY1657" t="s">
        <v>188</v>
      </c>
      <c r="AZ1657" t="s">
        <v>189</v>
      </c>
      <c r="BA1657" t="s">
        <v>190</v>
      </c>
      <c r="BB1657" t="s">
        <v>191</v>
      </c>
      <c r="BC1657" t="s">
        <v>182</v>
      </c>
      <c r="BD1657" t="s">
        <v>182</v>
      </c>
      <c r="BE1657" t="s">
        <v>8807</v>
      </c>
      <c r="BF1657">
        <v>1</v>
      </c>
      <c r="BG1657">
        <v>1</v>
      </c>
      <c r="BH1657">
        <v>2004</v>
      </c>
      <c r="BI1657" t="s">
        <v>14204</v>
      </c>
      <c r="BJ1657" t="s">
        <v>396</v>
      </c>
      <c r="BK1657" t="s">
        <v>195</v>
      </c>
      <c r="BL1657" t="s">
        <v>1720</v>
      </c>
      <c r="BM1657" t="s">
        <v>325</v>
      </c>
      <c r="BN1657" t="s">
        <v>182</v>
      </c>
      <c r="BO1657" t="s">
        <v>20646</v>
      </c>
      <c r="BP1657" t="s">
        <v>20647</v>
      </c>
      <c r="BQ1657" t="s">
        <v>800</v>
      </c>
      <c r="BR1657" t="s">
        <v>643</v>
      </c>
      <c r="BS1657" t="s">
        <v>198</v>
      </c>
      <c r="BT1657" t="s">
        <v>20648</v>
      </c>
      <c r="BU1657" t="s">
        <v>182</v>
      </c>
      <c r="BV1657" t="s">
        <v>198</v>
      </c>
      <c r="BW1657" t="s">
        <v>198</v>
      </c>
      <c r="BX1657" t="s">
        <v>199</v>
      </c>
      <c r="BY1657" t="s">
        <v>198</v>
      </c>
      <c r="BZ1657" t="s">
        <v>199</v>
      </c>
      <c r="CA1657" t="s">
        <v>199</v>
      </c>
      <c r="CB1657" t="s">
        <v>20649</v>
      </c>
      <c r="CC1657" t="s">
        <v>201</v>
      </c>
      <c r="CD1657" t="s">
        <v>202</v>
      </c>
      <c r="CE1657" t="s">
        <v>20650</v>
      </c>
      <c r="CF1657" t="s">
        <v>5331</v>
      </c>
      <c r="CG1657" t="s">
        <v>177</v>
      </c>
      <c r="CH1657" t="s">
        <v>371</v>
      </c>
      <c r="CI1657" t="s">
        <v>20651</v>
      </c>
      <c r="CJ1657" t="s">
        <v>20652</v>
      </c>
      <c r="CK1657" t="s">
        <v>207</v>
      </c>
      <c r="CL1657" t="s">
        <v>208</v>
      </c>
      <c r="CM1657" t="s">
        <v>20653</v>
      </c>
      <c r="CN1657" t="s">
        <v>1966</v>
      </c>
      <c r="CO1657" t="s">
        <v>183</v>
      </c>
      <c r="CP1657" t="s">
        <v>211</v>
      </c>
      <c r="CQ1657" t="s">
        <v>298</v>
      </c>
      <c r="CS1657" t="s">
        <v>1770</v>
      </c>
      <c r="DC1657" t="s">
        <v>198</v>
      </c>
      <c r="DM1657" t="s">
        <v>198</v>
      </c>
      <c r="DW1657" t="s">
        <v>198</v>
      </c>
      <c r="EG1657" t="s">
        <v>198</v>
      </c>
      <c r="EQ1657" t="s">
        <v>198</v>
      </c>
      <c r="FA1657" t="s">
        <v>198</v>
      </c>
      <c r="FK1657" t="s">
        <v>198</v>
      </c>
      <c r="FU1657" t="s">
        <v>198</v>
      </c>
    </row>
    <row r="1658" spans="1:177">
      <c r="A1658" s="1" t="str">
        <f>HYPERLINK("http://digipan.lumentumllc.com/apps/getLink/index.php?t=PropLink&amp;p=5248294","PL")</f>
        <v>PL</v>
      </c>
      <c r="B1658" s="1" t="str">
        <f>HYPERLINK("http://digipan.lumentumllc.com/apps/getLink/index.php?t=TaxLink&amp;p=5248294","TL")</f>
        <v>TL</v>
      </c>
      <c r="C1658" s="1" t="str">
        <f>HYPERLINK("http://digipan.lumentumllc.com/apps/getMap/index.php?p=5248294","Map")</f>
        <v>Map</v>
      </c>
      <c r="E1658" t="s">
        <v>177</v>
      </c>
      <c r="F1658" t="s">
        <v>178</v>
      </c>
      <c r="L1658" t="s">
        <v>20654</v>
      </c>
      <c r="N1658" t="s">
        <v>20654</v>
      </c>
      <c r="O1658" t="s">
        <v>20654</v>
      </c>
      <c r="P1658" t="s">
        <v>20655</v>
      </c>
      <c r="Q1658" t="s">
        <v>20654</v>
      </c>
      <c r="V1658">
        <v>1894</v>
      </c>
      <c r="W1658">
        <v>6</v>
      </c>
      <c r="X1658">
        <v>2017</v>
      </c>
      <c r="Y1658">
        <v>2018</v>
      </c>
      <c r="Z1658">
        <v>778.92</v>
      </c>
      <c r="AB1658" t="s">
        <v>181</v>
      </c>
      <c r="AC1658" t="s">
        <v>182</v>
      </c>
      <c r="AD1658" t="s">
        <v>183</v>
      </c>
      <c r="AE1658">
        <v>0</v>
      </c>
      <c r="AF1658">
        <v>7</v>
      </c>
      <c r="AG1658" t="s">
        <v>1059</v>
      </c>
      <c r="AH1658">
        <v>100</v>
      </c>
      <c r="AK1658">
        <v>0</v>
      </c>
      <c r="AL1658">
        <v>101748</v>
      </c>
      <c r="AM1658">
        <v>25000</v>
      </c>
      <c r="AN1658">
        <v>76748</v>
      </c>
      <c r="AO1658">
        <v>676</v>
      </c>
      <c r="AP1658">
        <v>2016</v>
      </c>
      <c r="AQ1658">
        <v>0.77</v>
      </c>
      <c r="AS1658" t="s">
        <v>20656</v>
      </c>
      <c r="AT1658" t="s">
        <v>15040</v>
      </c>
      <c r="AU1658" t="s">
        <v>177</v>
      </c>
      <c r="AV1658" t="s">
        <v>371</v>
      </c>
      <c r="AW1658" t="s">
        <v>202</v>
      </c>
      <c r="AX1658">
        <v>1</v>
      </c>
      <c r="AY1658" t="s">
        <v>188</v>
      </c>
      <c r="AZ1658" t="s">
        <v>206</v>
      </c>
      <c r="BA1658" t="s">
        <v>355</v>
      </c>
      <c r="BB1658" t="s">
        <v>191</v>
      </c>
      <c r="BC1658" t="s">
        <v>182</v>
      </c>
      <c r="BD1658" t="s">
        <v>182</v>
      </c>
      <c r="BE1658" t="s">
        <v>498</v>
      </c>
      <c r="BF1658">
        <v>1</v>
      </c>
      <c r="BG1658">
        <v>1</v>
      </c>
      <c r="BH1658">
        <v>1994</v>
      </c>
      <c r="BI1658" t="s">
        <v>3043</v>
      </c>
      <c r="BJ1658" t="s">
        <v>194</v>
      </c>
      <c r="BK1658" t="s">
        <v>195</v>
      </c>
      <c r="BL1658" t="s">
        <v>2419</v>
      </c>
      <c r="BM1658" t="s">
        <v>2269</v>
      </c>
      <c r="BN1658" t="s">
        <v>182</v>
      </c>
      <c r="BO1658" t="s">
        <v>198</v>
      </c>
      <c r="BP1658" t="s">
        <v>198</v>
      </c>
      <c r="BQ1658" t="s">
        <v>198</v>
      </c>
      <c r="BR1658" t="s">
        <v>198</v>
      </c>
      <c r="BS1658" t="s">
        <v>198</v>
      </c>
      <c r="BT1658" t="s">
        <v>198</v>
      </c>
      <c r="BU1658" t="s">
        <v>182</v>
      </c>
      <c r="BV1658" t="s">
        <v>198</v>
      </c>
      <c r="BW1658" t="s">
        <v>198</v>
      </c>
      <c r="BX1658" t="s">
        <v>199</v>
      </c>
      <c r="BY1658" t="s">
        <v>198</v>
      </c>
      <c r="BZ1658" t="s">
        <v>199</v>
      </c>
      <c r="CA1658" t="s">
        <v>199</v>
      </c>
      <c r="CB1658" t="s">
        <v>20657</v>
      </c>
      <c r="CC1658" t="s">
        <v>201</v>
      </c>
      <c r="CD1658" t="s">
        <v>182</v>
      </c>
      <c r="CE1658" t="s">
        <v>20658</v>
      </c>
      <c r="CF1658" t="s">
        <v>5331</v>
      </c>
      <c r="CG1658" t="s">
        <v>177</v>
      </c>
      <c r="CH1658" t="s">
        <v>371</v>
      </c>
      <c r="CI1658" t="s">
        <v>20659</v>
      </c>
      <c r="CJ1658" t="s">
        <v>2237</v>
      </c>
      <c r="CK1658" t="s">
        <v>232</v>
      </c>
      <c r="CL1658" t="s">
        <v>233</v>
      </c>
      <c r="CM1658" t="s">
        <v>20660</v>
      </c>
      <c r="CN1658" t="s">
        <v>235</v>
      </c>
      <c r="CO1658" t="s">
        <v>183</v>
      </c>
      <c r="CP1658" t="s">
        <v>211</v>
      </c>
      <c r="CQ1658" t="s">
        <v>189</v>
      </c>
      <c r="CS1658" t="s">
        <v>20661</v>
      </c>
      <c r="CT1658" t="s">
        <v>19822</v>
      </c>
      <c r="CU1658" t="s">
        <v>292</v>
      </c>
      <c r="CV1658" t="s">
        <v>293</v>
      </c>
      <c r="CW1658" t="s">
        <v>20662</v>
      </c>
      <c r="CX1658" t="s">
        <v>235</v>
      </c>
      <c r="CY1658" t="s">
        <v>183</v>
      </c>
      <c r="CZ1658" t="s">
        <v>211</v>
      </c>
      <c r="DA1658" t="s">
        <v>189</v>
      </c>
      <c r="DC1658" t="s">
        <v>4264</v>
      </c>
      <c r="DD1658" t="s">
        <v>19643</v>
      </c>
      <c r="DE1658" t="s">
        <v>267</v>
      </c>
      <c r="DF1658" t="s">
        <v>268</v>
      </c>
      <c r="DG1658" t="s">
        <v>20663</v>
      </c>
      <c r="DH1658" t="s">
        <v>235</v>
      </c>
      <c r="DI1658" t="s">
        <v>183</v>
      </c>
      <c r="DJ1658" t="s">
        <v>211</v>
      </c>
      <c r="DK1658" t="s">
        <v>206</v>
      </c>
      <c r="DM1658" t="s">
        <v>12160</v>
      </c>
      <c r="DN1658" t="s">
        <v>20664</v>
      </c>
      <c r="DO1658" t="s">
        <v>273</v>
      </c>
      <c r="DP1658" t="s">
        <v>274</v>
      </c>
      <c r="DQ1658" t="s">
        <v>20665</v>
      </c>
      <c r="DR1658" t="s">
        <v>235</v>
      </c>
      <c r="DS1658" t="s">
        <v>183</v>
      </c>
      <c r="DT1658" t="s">
        <v>211</v>
      </c>
      <c r="DU1658" t="s">
        <v>189</v>
      </c>
      <c r="DW1658" t="s">
        <v>20666</v>
      </c>
      <c r="DX1658" t="s">
        <v>16314</v>
      </c>
      <c r="DY1658" t="s">
        <v>302</v>
      </c>
      <c r="DZ1658" t="s">
        <v>303</v>
      </c>
      <c r="EA1658" t="s">
        <v>20667</v>
      </c>
      <c r="EB1658" t="s">
        <v>235</v>
      </c>
      <c r="EC1658" t="s">
        <v>183</v>
      </c>
      <c r="ED1658" t="s">
        <v>211</v>
      </c>
      <c r="EE1658" t="s">
        <v>460</v>
      </c>
      <c r="EG1658" t="s">
        <v>20666</v>
      </c>
      <c r="EH1658" t="s">
        <v>14020</v>
      </c>
      <c r="EI1658" t="s">
        <v>238</v>
      </c>
      <c r="EJ1658" t="s">
        <v>239</v>
      </c>
      <c r="EK1658" t="s">
        <v>20668</v>
      </c>
      <c r="EL1658" t="s">
        <v>235</v>
      </c>
      <c r="EM1658" t="s">
        <v>183</v>
      </c>
      <c r="EN1658" t="s">
        <v>211</v>
      </c>
      <c r="EO1658" t="s">
        <v>199</v>
      </c>
      <c r="EQ1658" t="s">
        <v>3572</v>
      </c>
      <c r="ER1658" t="s">
        <v>20669</v>
      </c>
      <c r="ES1658" t="s">
        <v>346</v>
      </c>
      <c r="ET1658" t="s">
        <v>347</v>
      </c>
      <c r="EU1658" t="s">
        <v>20670</v>
      </c>
      <c r="EV1658" t="s">
        <v>235</v>
      </c>
      <c r="EW1658" t="s">
        <v>183</v>
      </c>
      <c r="EX1658" t="s">
        <v>211</v>
      </c>
      <c r="EY1658" t="s">
        <v>199</v>
      </c>
      <c r="FA1658" t="s">
        <v>8855</v>
      </c>
      <c r="FK1658" t="s">
        <v>198</v>
      </c>
      <c r="FU1658" t="s">
        <v>198</v>
      </c>
    </row>
    <row r="1659" spans="1:177">
      <c r="A1659" s="1" t="str">
        <f>HYPERLINK("http://digipan.lumentumllc.com/apps/getLink/index.php?t=PropLink&amp;p=6129559","PL")</f>
        <v>PL</v>
      </c>
      <c r="B1659" s="1" t="str">
        <f>HYPERLINK("http://digipan.lumentumllc.com/apps/getLink/index.php?t=TaxLink&amp;p=6129559","TL")</f>
        <v>TL</v>
      </c>
      <c r="C1659" s="1" t="str">
        <f>HYPERLINK("http://digipan.lumentumllc.com/apps/getMap/index.php?p=6129559","Map")</f>
        <v>Map</v>
      </c>
      <c r="E1659" t="s">
        <v>177</v>
      </c>
      <c r="F1659" t="s">
        <v>178</v>
      </c>
      <c r="L1659" t="s">
        <v>20671</v>
      </c>
      <c r="N1659" t="s">
        <v>20671</v>
      </c>
      <c r="O1659" t="s">
        <v>20671</v>
      </c>
      <c r="P1659" t="s">
        <v>20672</v>
      </c>
      <c r="Q1659" t="s">
        <v>20671</v>
      </c>
      <c r="V1659">
        <v>1895</v>
      </c>
      <c r="W1659">
        <v>6</v>
      </c>
      <c r="X1659">
        <v>2017</v>
      </c>
      <c r="Y1659">
        <v>2018</v>
      </c>
      <c r="Z1659">
        <v>869.09</v>
      </c>
      <c r="AB1659" t="s">
        <v>181</v>
      </c>
      <c r="AC1659" t="s">
        <v>182</v>
      </c>
      <c r="AD1659" t="s">
        <v>183</v>
      </c>
      <c r="AE1659">
        <v>1</v>
      </c>
      <c r="AF1659">
        <v>4</v>
      </c>
      <c r="AG1659" t="s">
        <v>951</v>
      </c>
      <c r="AH1659">
        <v>80</v>
      </c>
      <c r="AI1659">
        <v>847.81</v>
      </c>
      <c r="AJ1659">
        <v>42.39</v>
      </c>
      <c r="AK1659">
        <v>890.2</v>
      </c>
      <c r="AL1659">
        <v>90597</v>
      </c>
      <c r="AM1659">
        <v>40500</v>
      </c>
      <c r="AN1659">
        <v>50097</v>
      </c>
      <c r="AO1659">
        <v>759</v>
      </c>
      <c r="AP1659">
        <v>2016</v>
      </c>
      <c r="AQ1659">
        <v>0.96</v>
      </c>
      <c r="AR1659">
        <v>0.98</v>
      </c>
      <c r="AS1659" t="s">
        <v>20673</v>
      </c>
      <c r="AT1659" t="s">
        <v>15040</v>
      </c>
      <c r="AU1659" t="s">
        <v>177</v>
      </c>
      <c r="AV1659" t="s">
        <v>371</v>
      </c>
      <c r="AW1659" t="s">
        <v>202</v>
      </c>
      <c r="AX1659">
        <v>1</v>
      </c>
      <c r="AY1659" t="s">
        <v>188</v>
      </c>
      <c r="AZ1659" t="s">
        <v>206</v>
      </c>
      <c r="BA1659" t="s">
        <v>355</v>
      </c>
      <c r="BB1659" t="s">
        <v>191</v>
      </c>
      <c r="BC1659" t="s">
        <v>182</v>
      </c>
      <c r="BD1659" t="s">
        <v>182</v>
      </c>
      <c r="BE1659" t="s">
        <v>6523</v>
      </c>
      <c r="BF1659">
        <v>1</v>
      </c>
      <c r="BG1659">
        <v>1</v>
      </c>
      <c r="BH1659">
        <v>1957</v>
      </c>
      <c r="BI1659" t="s">
        <v>14425</v>
      </c>
      <c r="BJ1659" t="s">
        <v>194</v>
      </c>
      <c r="BK1659" t="s">
        <v>195</v>
      </c>
      <c r="BL1659" t="s">
        <v>884</v>
      </c>
      <c r="BM1659" t="s">
        <v>238</v>
      </c>
      <c r="BN1659" t="s">
        <v>182</v>
      </c>
      <c r="BO1659" t="s">
        <v>15599</v>
      </c>
      <c r="BP1659" t="s">
        <v>4714</v>
      </c>
      <c r="BS1659" t="s">
        <v>20674</v>
      </c>
      <c r="BT1659" t="s">
        <v>198</v>
      </c>
      <c r="BU1659" t="s">
        <v>182</v>
      </c>
      <c r="BV1659" t="s">
        <v>198</v>
      </c>
      <c r="BW1659" t="s">
        <v>198</v>
      </c>
      <c r="BX1659" t="s">
        <v>199</v>
      </c>
      <c r="BY1659" t="s">
        <v>198</v>
      </c>
      <c r="BZ1659" t="s">
        <v>199</v>
      </c>
      <c r="CA1659" t="s">
        <v>199</v>
      </c>
      <c r="CB1659" t="s">
        <v>20675</v>
      </c>
      <c r="CC1659" t="s">
        <v>201</v>
      </c>
      <c r="CD1659" t="s">
        <v>182</v>
      </c>
      <c r="CE1659" t="s">
        <v>20676</v>
      </c>
      <c r="CF1659" t="s">
        <v>5331</v>
      </c>
      <c r="CG1659" t="s">
        <v>177</v>
      </c>
      <c r="CH1659" t="s">
        <v>371</v>
      </c>
      <c r="CI1659" t="s">
        <v>20677</v>
      </c>
      <c r="CJ1659" t="s">
        <v>20678</v>
      </c>
      <c r="CK1659" t="s">
        <v>232</v>
      </c>
      <c r="CL1659" t="s">
        <v>233</v>
      </c>
      <c r="CM1659" t="s">
        <v>20679</v>
      </c>
      <c r="CN1659" t="s">
        <v>235</v>
      </c>
      <c r="CO1659" t="s">
        <v>183</v>
      </c>
      <c r="CP1659" t="s">
        <v>266</v>
      </c>
      <c r="CS1659" t="s">
        <v>198</v>
      </c>
      <c r="CT1659" t="s">
        <v>3285</v>
      </c>
      <c r="CU1659" t="s">
        <v>292</v>
      </c>
      <c r="CV1659" t="s">
        <v>293</v>
      </c>
      <c r="CW1659" t="s">
        <v>20680</v>
      </c>
      <c r="CX1659" t="s">
        <v>235</v>
      </c>
      <c r="CY1659" t="s">
        <v>183</v>
      </c>
      <c r="CZ1659" t="s">
        <v>211</v>
      </c>
      <c r="DA1659" t="s">
        <v>298</v>
      </c>
      <c r="DC1659" t="s">
        <v>20681</v>
      </c>
      <c r="DD1659" t="s">
        <v>937</v>
      </c>
      <c r="DE1659" t="s">
        <v>267</v>
      </c>
      <c r="DF1659" t="s">
        <v>268</v>
      </c>
      <c r="DG1659" t="s">
        <v>20682</v>
      </c>
      <c r="DH1659" t="s">
        <v>235</v>
      </c>
      <c r="DI1659" t="s">
        <v>183</v>
      </c>
      <c r="DJ1659" t="s">
        <v>211</v>
      </c>
      <c r="DK1659" t="s">
        <v>523</v>
      </c>
      <c r="DM1659" t="s">
        <v>14052</v>
      </c>
      <c r="DN1659" t="s">
        <v>20683</v>
      </c>
      <c r="DO1659" t="s">
        <v>302</v>
      </c>
      <c r="DP1659" t="s">
        <v>303</v>
      </c>
      <c r="DQ1659" t="s">
        <v>20684</v>
      </c>
      <c r="DR1659" t="s">
        <v>235</v>
      </c>
      <c r="DS1659" t="s">
        <v>183</v>
      </c>
      <c r="DT1659" t="s">
        <v>211</v>
      </c>
      <c r="DU1659" t="s">
        <v>329</v>
      </c>
      <c r="DW1659" t="s">
        <v>3501</v>
      </c>
      <c r="DX1659" t="s">
        <v>20685</v>
      </c>
      <c r="DY1659" t="s">
        <v>238</v>
      </c>
      <c r="DZ1659" t="s">
        <v>239</v>
      </c>
      <c r="EA1659" t="s">
        <v>20686</v>
      </c>
      <c r="EB1659" t="s">
        <v>235</v>
      </c>
      <c r="EC1659" t="s">
        <v>183</v>
      </c>
      <c r="ED1659" t="s">
        <v>211</v>
      </c>
      <c r="EE1659" t="s">
        <v>298</v>
      </c>
      <c r="EG1659" t="s">
        <v>3501</v>
      </c>
      <c r="EQ1659" t="s">
        <v>198</v>
      </c>
      <c r="FA1659" t="s">
        <v>198</v>
      </c>
      <c r="FK1659" t="s">
        <v>198</v>
      </c>
      <c r="FU1659" t="s">
        <v>198</v>
      </c>
    </row>
    <row r="1660" spans="1:177">
      <c r="A1660" s="1" t="str">
        <f>HYPERLINK("http://digipan.lumentumllc.com/apps/getLink/index.php?t=PropLink&amp;p=5248296","PL")</f>
        <v>PL</v>
      </c>
      <c r="B1660" s="1" t="str">
        <f>HYPERLINK("http://digipan.lumentumllc.com/apps/getLink/index.php?t=TaxLink&amp;p=5248296","TL")</f>
        <v>TL</v>
      </c>
      <c r="C1660" s="1" t="str">
        <f>HYPERLINK("http://digipan.lumentumllc.com/apps/getMap/index.php?p=5248296","Map")</f>
        <v>Map</v>
      </c>
      <c r="E1660" t="s">
        <v>177</v>
      </c>
      <c r="F1660" t="s">
        <v>178</v>
      </c>
      <c r="L1660" t="s">
        <v>20687</v>
      </c>
      <c r="N1660" t="s">
        <v>20687</v>
      </c>
      <c r="O1660" t="s">
        <v>20687</v>
      </c>
      <c r="P1660" t="s">
        <v>20688</v>
      </c>
      <c r="Q1660" t="s">
        <v>20687</v>
      </c>
      <c r="V1660">
        <v>1896</v>
      </c>
      <c r="W1660">
        <v>6</v>
      </c>
      <c r="X1660">
        <v>2017</v>
      </c>
      <c r="Y1660">
        <v>2018</v>
      </c>
      <c r="Z1660">
        <v>1090.3399999999999</v>
      </c>
      <c r="AB1660" t="s">
        <v>181</v>
      </c>
      <c r="AC1660" t="s">
        <v>182</v>
      </c>
      <c r="AD1660" t="s">
        <v>183</v>
      </c>
      <c r="AE1660">
        <v>1</v>
      </c>
      <c r="AF1660">
        <v>6</v>
      </c>
      <c r="AG1660" t="s">
        <v>418</v>
      </c>
      <c r="AH1660">
        <v>86</v>
      </c>
      <c r="AI1660">
        <v>940.12</v>
      </c>
      <c r="AJ1660">
        <v>47.01</v>
      </c>
      <c r="AK1660">
        <v>987.13</v>
      </c>
      <c r="AL1660">
        <v>70000</v>
      </c>
      <c r="AM1660">
        <v>62500</v>
      </c>
      <c r="AN1660">
        <v>7500</v>
      </c>
      <c r="AO1660">
        <v>844</v>
      </c>
      <c r="AP1660">
        <v>2016</v>
      </c>
      <c r="AQ1660">
        <v>1.56</v>
      </c>
      <c r="AR1660">
        <v>1.41</v>
      </c>
      <c r="AS1660" t="s">
        <v>20689</v>
      </c>
      <c r="AT1660" t="s">
        <v>15040</v>
      </c>
      <c r="AU1660" t="s">
        <v>177</v>
      </c>
      <c r="AV1660" t="s">
        <v>371</v>
      </c>
      <c r="AW1660" t="s">
        <v>182</v>
      </c>
      <c r="AX1660">
        <v>0</v>
      </c>
      <c r="AY1660" t="s">
        <v>312</v>
      </c>
      <c r="AZ1660" t="s">
        <v>199</v>
      </c>
      <c r="BA1660" t="s">
        <v>313</v>
      </c>
      <c r="BB1660" t="s">
        <v>191</v>
      </c>
      <c r="BC1660" t="s">
        <v>182</v>
      </c>
      <c r="BD1660" t="s">
        <v>182</v>
      </c>
      <c r="BE1660" t="s">
        <v>838</v>
      </c>
      <c r="BF1660">
        <v>0</v>
      </c>
      <c r="BG1660">
        <v>0</v>
      </c>
      <c r="BH1660">
        <v>0</v>
      </c>
      <c r="BI1660" t="s">
        <v>199</v>
      </c>
      <c r="BJ1660" t="s">
        <v>396</v>
      </c>
      <c r="BL1660" t="s">
        <v>9813</v>
      </c>
      <c r="BM1660" t="s">
        <v>20690</v>
      </c>
      <c r="BN1660" t="s">
        <v>182</v>
      </c>
      <c r="BO1660" t="s">
        <v>198</v>
      </c>
      <c r="BP1660" t="s">
        <v>198</v>
      </c>
      <c r="BQ1660" t="s">
        <v>198</v>
      </c>
      <c r="BR1660" t="s">
        <v>198</v>
      </c>
      <c r="BS1660" t="s">
        <v>198</v>
      </c>
      <c r="BT1660" t="s">
        <v>198</v>
      </c>
      <c r="BU1660" t="s">
        <v>182</v>
      </c>
      <c r="BV1660" t="s">
        <v>198</v>
      </c>
      <c r="BW1660" t="s">
        <v>198</v>
      </c>
      <c r="BX1660" t="s">
        <v>199</v>
      </c>
      <c r="BY1660" t="s">
        <v>198</v>
      </c>
      <c r="BZ1660" t="s">
        <v>199</v>
      </c>
      <c r="CA1660" t="s">
        <v>199</v>
      </c>
      <c r="CB1660" t="s">
        <v>20691</v>
      </c>
      <c r="CC1660" t="s">
        <v>201</v>
      </c>
      <c r="CD1660" t="s">
        <v>182</v>
      </c>
      <c r="CE1660" t="s">
        <v>20692</v>
      </c>
      <c r="CF1660" t="s">
        <v>14096</v>
      </c>
      <c r="CG1660" t="s">
        <v>5598</v>
      </c>
      <c r="CH1660" t="s">
        <v>14097</v>
      </c>
      <c r="CI1660" t="s">
        <v>4622</v>
      </c>
      <c r="CJ1660" t="s">
        <v>9360</v>
      </c>
      <c r="CK1660" t="s">
        <v>232</v>
      </c>
      <c r="CL1660" t="s">
        <v>233</v>
      </c>
      <c r="CM1660" t="s">
        <v>20693</v>
      </c>
      <c r="CN1660" t="s">
        <v>235</v>
      </c>
      <c r="CO1660" t="s">
        <v>183</v>
      </c>
      <c r="CP1660" t="s">
        <v>266</v>
      </c>
      <c r="CS1660" t="s">
        <v>198</v>
      </c>
      <c r="CT1660" t="s">
        <v>450</v>
      </c>
      <c r="CU1660" t="s">
        <v>292</v>
      </c>
      <c r="CV1660" t="s">
        <v>293</v>
      </c>
      <c r="CW1660" t="s">
        <v>20694</v>
      </c>
      <c r="CX1660" t="s">
        <v>235</v>
      </c>
      <c r="CY1660" t="s">
        <v>183</v>
      </c>
      <c r="CZ1660" t="s">
        <v>211</v>
      </c>
      <c r="DA1660" t="s">
        <v>298</v>
      </c>
      <c r="DC1660" t="s">
        <v>4023</v>
      </c>
      <c r="DD1660" t="s">
        <v>2155</v>
      </c>
      <c r="DE1660" t="s">
        <v>267</v>
      </c>
      <c r="DF1660" t="s">
        <v>268</v>
      </c>
      <c r="DG1660" t="s">
        <v>20695</v>
      </c>
      <c r="DH1660" t="s">
        <v>254</v>
      </c>
      <c r="DI1660" t="s">
        <v>183</v>
      </c>
      <c r="DJ1660" t="s">
        <v>211</v>
      </c>
      <c r="DK1660" t="s">
        <v>345</v>
      </c>
      <c r="DM1660" t="s">
        <v>8487</v>
      </c>
      <c r="DN1660" t="s">
        <v>7202</v>
      </c>
      <c r="DO1660" t="s">
        <v>273</v>
      </c>
      <c r="DP1660" t="s">
        <v>274</v>
      </c>
      <c r="DQ1660" t="s">
        <v>20696</v>
      </c>
      <c r="DR1660" t="s">
        <v>235</v>
      </c>
      <c r="DS1660" t="s">
        <v>183</v>
      </c>
      <c r="DT1660" t="s">
        <v>211</v>
      </c>
      <c r="DU1660" t="s">
        <v>345</v>
      </c>
      <c r="DW1660" t="s">
        <v>1613</v>
      </c>
      <c r="DX1660" t="s">
        <v>20697</v>
      </c>
      <c r="DY1660" t="s">
        <v>302</v>
      </c>
      <c r="DZ1660" t="s">
        <v>303</v>
      </c>
      <c r="EA1660" t="s">
        <v>20698</v>
      </c>
      <c r="EB1660" t="s">
        <v>511</v>
      </c>
      <c r="EC1660" t="s">
        <v>183</v>
      </c>
      <c r="ED1660" t="s">
        <v>211</v>
      </c>
      <c r="EE1660" t="s">
        <v>298</v>
      </c>
      <c r="EG1660" t="s">
        <v>437</v>
      </c>
      <c r="EH1660" t="s">
        <v>20699</v>
      </c>
      <c r="EI1660" t="s">
        <v>238</v>
      </c>
      <c r="EJ1660" t="s">
        <v>239</v>
      </c>
      <c r="EK1660" t="s">
        <v>2355</v>
      </c>
      <c r="EL1660" t="s">
        <v>278</v>
      </c>
      <c r="EM1660" t="s">
        <v>183</v>
      </c>
      <c r="EN1660" t="s">
        <v>211</v>
      </c>
      <c r="EO1660" t="s">
        <v>298</v>
      </c>
      <c r="EQ1660" t="s">
        <v>9167</v>
      </c>
      <c r="ER1660" t="s">
        <v>20700</v>
      </c>
      <c r="ES1660" t="s">
        <v>346</v>
      </c>
      <c r="ET1660" t="s">
        <v>347</v>
      </c>
      <c r="EU1660" t="s">
        <v>20701</v>
      </c>
      <c r="EV1660" t="s">
        <v>278</v>
      </c>
      <c r="EW1660" t="s">
        <v>183</v>
      </c>
      <c r="EX1660" t="s">
        <v>211</v>
      </c>
      <c r="EY1660" t="s">
        <v>298</v>
      </c>
      <c r="FA1660" t="s">
        <v>470</v>
      </c>
      <c r="FK1660" t="s">
        <v>198</v>
      </c>
      <c r="FU1660" t="s">
        <v>198</v>
      </c>
    </row>
    <row r="1661" spans="1:177">
      <c r="A1661" s="1" t="str">
        <f>HYPERLINK("http://digipan.lumentumllc.com/apps/getLink/index.php?t=PropLink&amp;p=5248297","PL")</f>
        <v>PL</v>
      </c>
      <c r="B1661" s="1" t="str">
        <f>HYPERLINK("http://digipan.lumentumllc.com/apps/getLink/index.php?t=TaxLink&amp;p=5248297","TL")</f>
        <v>TL</v>
      </c>
      <c r="C1661" s="1" t="str">
        <f>HYPERLINK("http://digipan.lumentumllc.com/apps/getMap/index.php?p=5248297","Map")</f>
        <v>Map</v>
      </c>
      <c r="E1661" t="s">
        <v>177</v>
      </c>
      <c r="F1661" t="s">
        <v>178</v>
      </c>
      <c r="L1661" t="s">
        <v>20702</v>
      </c>
      <c r="N1661" t="s">
        <v>20702</v>
      </c>
      <c r="O1661" t="s">
        <v>20702</v>
      </c>
      <c r="P1661" t="s">
        <v>20703</v>
      </c>
      <c r="Q1661" t="s">
        <v>20702</v>
      </c>
      <c r="V1661">
        <v>1897</v>
      </c>
      <c r="W1661">
        <v>6</v>
      </c>
      <c r="X1661">
        <v>2017</v>
      </c>
      <c r="Y1661">
        <v>2018</v>
      </c>
      <c r="Z1661">
        <v>2135.2399999999998</v>
      </c>
      <c r="AB1661" t="s">
        <v>181</v>
      </c>
      <c r="AC1661" t="s">
        <v>182</v>
      </c>
      <c r="AD1661" t="s">
        <v>183</v>
      </c>
      <c r="AE1661">
        <v>1</v>
      </c>
      <c r="AF1661">
        <v>5</v>
      </c>
      <c r="AG1661" t="s">
        <v>322</v>
      </c>
      <c r="AH1661">
        <v>83</v>
      </c>
      <c r="AI1661">
        <v>1891.24</v>
      </c>
      <c r="AJ1661">
        <v>94.56</v>
      </c>
      <c r="AK1661">
        <v>1985.8</v>
      </c>
      <c r="AL1661">
        <v>134857</v>
      </c>
      <c r="AM1661">
        <v>90525</v>
      </c>
      <c r="AN1661">
        <v>44332</v>
      </c>
      <c r="AO1661">
        <v>1724</v>
      </c>
      <c r="AP1661">
        <v>2016</v>
      </c>
      <c r="AQ1661">
        <v>1.58</v>
      </c>
      <c r="AR1661">
        <v>1.47</v>
      </c>
      <c r="AS1661" t="s">
        <v>20704</v>
      </c>
      <c r="AT1661" t="s">
        <v>15040</v>
      </c>
      <c r="AU1661" t="s">
        <v>177</v>
      </c>
      <c r="AV1661" t="s">
        <v>371</v>
      </c>
      <c r="AW1661" t="s">
        <v>182</v>
      </c>
      <c r="AX1661">
        <v>2</v>
      </c>
      <c r="AY1661" t="s">
        <v>188</v>
      </c>
      <c r="AZ1661" t="s">
        <v>189</v>
      </c>
      <c r="BA1661" t="s">
        <v>190</v>
      </c>
      <c r="BB1661" t="s">
        <v>191</v>
      </c>
      <c r="BC1661" t="s">
        <v>182</v>
      </c>
      <c r="BD1661" t="s">
        <v>182</v>
      </c>
      <c r="BE1661" t="s">
        <v>8576</v>
      </c>
      <c r="BF1661">
        <v>3</v>
      </c>
      <c r="BG1661">
        <v>3</v>
      </c>
      <c r="BH1661">
        <v>1999</v>
      </c>
      <c r="BI1661" t="s">
        <v>20705</v>
      </c>
      <c r="BJ1661" t="s">
        <v>194</v>
      </c>
      <c r="BK1661" t="s">
        <v>195</v>
      </c>
      <c r="BL1661" t="s">
        <v>199</v>
      </c>
      <c r="BM1661" t="s">
        <v>302</v>
      </c>
      <c r="BN1661" t="s">
        <v>182</v>
      </c>
      <c r="BO1661" t="s">
        <v>10354</v>
      </c>
      <c r="BP1661" t="s">
        <v>20706</v>
      </c>
      <c r="BS1661" t="s">
        <v>20707</v>
      </c>
      <c r="BT1661" t="s">
        <v>198</v>
      </c>
      <c r="BU1661" t="s">
        <v>182</v>
      </c>
      <c r="BV1661" t="s">
        <v>198</v>
      </c>
      <c r="BW1661" t="s">
        <v>198</v>
      </c>
      <c r="BX1661" t="s">
        <v>199</v>
      </c>
      <c r="BY1661" t="s">
        <v>198</v>
      </c>
      <c r="BZ1661" t="s">
        <v>199</v>
      </c>
      <c r="CA1661" t="s">
        <v>199</v>
      </c>
      <c r="CB1661" t="s">
        <v>20708</v>
      </c>
      <c r="CC1661" t="s">
        <v>201</v>
      </c>
      <c r="CD1661" t="s">
        <v>202</v>
      </c>
      <c r="CE1661" t="s">
        <v>20709</v>
      </c>
      <c r="CF1661" t="s">
        <v>5331</v>
      </c>
      <c r="CG1661" t="s">
        <v>177</v>
      </c>
      <c r="CH1661" t="s">
        <v>371</v>
      </c>
      <c r="CI1661" t="s">
        <v>20710</v>
      </c>
      <c r="CJ1661" t="s">
        <v>17851</v>
      </c>
      <c r="CK1661" t="s">
        <v>232</v>
      </c>
      <c r="CL1661" t="s">
        <v>233</v>
      </c>
      <c r="CM1661" t="s">
        <v>20711</v>
      </c>
      <c r="CN1661" t="s">
        <v>235</v>
      </c>
      <c r="CO1661" t="s">
        <v>183</v>
      </c>
      <c r="CP1661" t="s">
        <v>266</v>
      </c>
      <c r="CS1661" t="s">
        <v>198</v>
      </c>
      <c r="CT1661" t="s">
        <v>20712</v>
      </c>
      <c r="CU1661" t="s">
        <v>292</v>
      </c>
      <c r="CV1661" t="s">
        <v>293</v>
      </c>
      <c r="CW1661" t="s">
        <v>20713</v>
      </c>
      <c r="CX1661" t="s">
        <v>235</v>
      </c>
      <c r="CY1661" t="s">
        <v>183</v>
      </c>
      <c r="CZ1661" t="s">
        <v>211</v>
      </c>
      <c r="DA1661" t="s">
        <v>345</v>
      </c>
      <c r="DC1661" t="s">
        <v>1609</v>
      </c>
      <c r="DD1661" t="s">
        <v>2185</v>
      </c>
      <c r="DE1661" t="s">
        <v>267</v>
      </c>
      <c r="DF1661" t="s">
        <v>268</v>
      </c>
      <c r="DG1661" t="s">
        <v>20714</v>
      </c>
      <c r="DH1661" t="s">
        <v>235</v>
      </c>
      <c r="DI1661" t="s">
        <v>183</v>
      </c>
      <c r="DJ1661" t="s">
        <v>211</v>
      </c>
      <c r="DK1661" t="s">
        <v>298</v>
      </c>
      <c r="DM1661" t="s">
        <v>5919</v>
      </c>
      <c r="DN1661" t="s">
        <v>19377</v>
      </c>
      <c r="DO1661" t="s">
        <v>273</v>
      </c>
      <c r="DP1661" t="s">
        <v>274</v>
      </c>
      <c r="DQ1661" t="s">
        <v>20715</v>
      </c>
      <c r="DR1661" t="s">
        <v>235</v>
      </c>
      <c r="DS1661" t="s">
        <v>183</v>
      </c>
      <c r="DT1661" t="s">
        <v>211</v>
      </c>
      <c r="DU1661" t="s">
        <v>298</v>
      </c>
      <c r="DW1661" t="s">
        <v>3408</v>
      </c>
      <c r="DX1661" t="s">
        <v>16348</v>
      </c>
      <c r="DY1661" t="s">
        <v>302</v>
      </c>
      <c r="DZ1661" t="s">
        <v>303</v>
      </c>
      <c r="EA1661" t="s">
        <v>20716</v>
      </c>
      <c r="EB1661" t="s">
        <v>235</v>
      </c>
      <c r="EC1661" t="s">
        <v>183</v>
      </c>
      <c r="ED1661" t="s">
        <v>211</v>
      </c>
      <c r="EE1661" t="s">
        <v>298</v>
      </c>
      <c r="EG1661" t="s">
        <v>437</v>
      </c>
      <c r="EH1661" t="s">
        <v>20717</v>
      </c>
      <c r="EI1661" t="s">
        <v>346</v>
      </c>
      <c r="EJ1661" t="s">
        <v>347</v>
      </c>
      <c r="EK1661" t="s">
        <v>277</v>
      </c>
      <c r="EL1661" t="s">
        <v>440</v>
      </c>
      <c r="EM1661" t="s">
        <v>183</v>
      </c>
      <c r="EN1661" t="s">
        <v>211</v>
      </c>
      <c r="EO1661" t="s">
        <v>270</v>
      </c>
      <c r="EQ1661" t="s">
        <v>20242</v>
      </c>
      <c r="FA1661" t="s">
        <v>198</v>
      </c>
      <c r="FK1661" t="s">
        <v>198</v>
      </c>
      <c r="FU1661" t="s">
        <v>198</v>
      </c>
    </row>
    <row r="1662" spans="1:177">
      <c r="A1662" s="1" t="str">
        <f>HYPERLINK("http://digipan.lumentumllc.com/apps/getLink/index.php?t=PropLink&amp;p=6129560","PL")</f>
        <v>PL</v>
      </c>
      <c r="B1662" s="1" t="str">
        <f>HYPERLINK("http://digipan.lumentumllc.com/apps/getLink/index.php?t=TaxLink&amp;p=6129560","TL")</f>
        <v>TL</v>
      </c>
      <c r="C1662" s="1" t="str">
        <f>HYPERLINK("http://digipan.lumentumllc.com/apps/getMap/index.php?p=6129560","Map")</f>
        <v>Map</v>
      </c>
      <c r="E1662" t="s">
        <v>177</v>
      </c>
      <c r="F1662" t="s">
        <v>178</v>
      </c>
      <c r="L1662" t="s">
        <v>20718</v>
      </c>
      <c r="N1662" t="s">
        <v>20718</v>
      </c>
      <c r="O1662" t="s">
        <v>20718</v>
      </c>
      <c r="P1662" t="s">
        <v>20719</v>
      </c>
      <c r="Q1662" t="s">
        <v>20718</v>
      </c>
      <c r="V1662">
        <v>1898</v>
      </c>
      <c r="W1662">
        <v>6</v>
      </c>
      <c r="X1662">
        <v>2017</v>
      </c>
      <c r="Y1662">
        <v>2018</v>
      </c>
      <c r="Z1662">
        <v>460.91</v>
      </c>
      <c r="AB1662" t="s">
        <v>181</v>
      </c>
      <c r="AC1662" t="s">
        <v>202</v>
      </c>
      <c r="AD1662" t="s">
        <v>1037</v>
      </c>
      <c r="AE1662">
        <v>0</v>
      </c>
      <c r="AF1662">
        <v>5</v>
      </c>
      <c r="AG1662" t="s">
        <v>3266</v>
      </c>
      <c r="AH1662">
        <v>100</v>
      </c>
      <c r="AK1662">
        <v>0</v>
      </c>
      <c r="AL1662">
        <v>59278</v>
      </c>
      <c r="AM1662">
        <v>17500</v>
      </c>
      <c r="AN1662">
        <v>41778</v>
      </c>
      <c r="AO1662">
        <v>396</v>
      </c>
      <c r="AP1662">
        <v>2016</v>
      </c>
      <c r="AQ1662">
        <v>0.78</v>
      </c>
      <c r="AS1662" t="s">
        <v>20720</v>
      </c>
      <c r="AT1662" t="s">
        <v>15040</v>
      </c>
      <c r="AU1662" t="s">
        <v>177</v>
      </c>
      <c r="AV1662" t="s">
        <v>371</v>
      </c>
      <c r="AW1662" t="s">
        <v>202</v>
      </c>
      <c r="AX1662">
        <v>2</v>
      </c>
      <c r="AY1662" t="s">
        <v>188</v>
      </c>
      <c r="AZ1662" t="s">
        <v>189</v>
      </c>
      <c r="BA1662" t="s">
        <v>190</v>
      </c>
      <c r="BB1662" t="s">
        <v>191</v>
      </c>
      <c r="BC1662" t="s">
        <v>182</v>
      </c>
      <c r="BD1662" t="s">
        <v>182</v>
      </c>
      <c r="BE1662" t="s">
        <v>383</v>
      </c>
      <c r="BF1662">
        <v>1</v>
      </c>
      <c r="BG1662">
        <v>1</v>
      </c>
      <c r="BH1662">
        <v>1998</v>
      </c>
      <c r="BI1662" t="s">
        <v>450</v>
      </c>
      <c r="BJ1662" t="s">
        <v>194</v>
      </c>
      <c r="BK1662" t="s">
        <v>195</v>
      </c>
      <c r="BL1662" t="s">
        <v>2960</v>
      </c>
      <c r="BM1662" t="s">
        <v>1311</v>
      </c>
      <c r="BN1662" t="s">
        <v>182</v>
      </c>
      <c r="BO1662" t="s">
        <v>198</v>
      </c>
      <c r="BP1662" t="s">
        <v>198</v>
      </c>
      <c r="BQ1662" t="s">
        <v>198</v>
      </c>
      <c r="BR1662" t="s">
        <v>198</v>
      </c>
      <c r="BS1662" t="s">
        <v>198</v>
      </c>
      <c r="BT1662" t="s">
        <v>198</v>
      </c>
      <c r="BU1662" t="s">
        <v>182</v>
      </c>
      <c r="BV1662" t="s">
        <v>198</v>
      </c>
      <c r="BW1662" t="s">
        <v>198</v>
      </c>
      <c r="BX1662" t="s">
        <v>199</v>
      </c>
      <c r="BY1662" t="s">
        <v>198</v>
      </c>
      <c r="BZ1662" t="s">
        <v>199</v>
      </c>
      <c r="CA1662" t="s">
        <v>199</v>
      </c>
      <c r="CB1662" t="s">
        <v>20721</v>
      </c>
      <c r="CC1662" t="s">
        <v>201</v>
      </c>
      <c r="CD1662" t="s">
        <v>182</v>
      </c>
      <c r="CE1662" t="s">
        <v>20722</v>
      </c>
      <c r="CF1662" t="s">
        <v>5331</v>
      </c>
      <c r="CG1662" t="s">
        <v>177</v>
      </c>
      <c r="CH1662" t="s">
        <v>371</v>
      </c>
      <c r="CI1662" t="s">
        <v>5867</v>
      </c>
      <c r="CJ1662" t="s">
        <v>1215</v>
      </c>
      <c r="CK1662" t="s">
        <v>292</v>
      </c>
      <c r="CL1662" t="s">
        <v>293</v>
      </c>
      <c r="CM1662" t="s">
        <v>20723</v>
      </c>
      <c r="CN1662" t="s">
        <v>235</v>
      </c>
      <c r="CO1662" t="s">
        <v>183</v>
      </c>
      <c r="CP1662" t="s">
        <v>211</v>
      </c>
      <c r="CQ1662" t="s">
        <v>212</v>
      </c>
      <c r="CS1662" t="s">
        <v>20724</v>
      </c>
      <c r="CT1662" t="s">
        <v>2199</v>
      </c>
      <c r="CU1662" t="s">
        <v>267</v>
      </c>
      <c r="CV1662" t="s">
        <v>268</v>
      </c>
      <c r="CW1662" t="s">
        <v>20725</v>
      </c>
      <c r="CX1662" t="s">
        <v>838</v>
      </c>
      <c r="CY1662" t="s">
        <v>183</v>
      </c>
      <c r="CZ1662" t="s">
        <v>211</v>
      </c>
      <c r="DA1662" t="s">
        <v>206</v>
      </c>
      <c r="DB1662" t="s">
        <v>271</v>
      </c>
      <c r="DC1662" t="s">
        <v>19227</v>
      </c>
      <c r="DD1662" t="s">
        <v>19391</v>
      </c>
      <c r="DE1662" t="s">
        <v>273</v>
      </c>
      <c r="DF1662" t="s">
        <v>274</v>
      </c>
      <c r="DG1662" t="s">
        <v>4296</v>
      </c>
      <c r="DH1662" t="s">
        <v>235</v>
      </c>
      <c r="DI1662" t="s">
        <v>183</v>
      </c>
      <c r="DJ1662" t="s">
        <v>211</v>
      </c>
      <c r="DK1662" t="s">
        <v>306</v>
      </c>
      <c r="DL1662" t="s">
        <v>271</v>
      </c>
      <c r="DM1662" t="s">
        <v>19227</v>
      </c>
      <c r="DN1662" t="s">
        <v>16356</v>
      </c>
      <c r="DO1662" t="s">
        <v>302</v>
      </c>
      <c r="DP1662" t="s">
        <v>303</v>
      </c>
      <c r="DQ1662" t="s">
        <v>20726</v>
      </c>
      <c r="DR1662" t="s">
        <v>511</v>
      </c>
      <c r="DS1662" t="s">
        <v>183</v>
      </c>
      <c r="DT1662" t="s">
        <v>211</v>
      </c>
      <c r="DV1662" t="s">
        <v>271</v>
      </c>
      <c r="DW1662" t="s">
        <v>198</v>
      </c>
      <c r="DX1662" t="s">
        <v>20727</v>
      </c>
      <c r="DY1662" t="s">
        <v>238</v>
      </c>
      <c r="DZ1662" t="s">
        <v>239</v>
      </c>
      <c r="EA1662" t="s">
        <v>20728</v>
      </c>
      <c r="EB1662" t="s">
        <v>482</v>
      </c>
      <c r="EC1662" t="s">
        <v>5</v>
      </c>
      <c r="ED1662" t="s">
        <v>211</v>
      </c>
      <c r="EE1662" t="s">
        <v>1089</v>
      </c>
      <c r="EF1662" t="s">
        <v>271</v>
      </c>
      <c r="EG1662" t="s">
        <v>19227</v>
      </c>
      <c r="EQ1662" t="s">
        <v>198</v>
      </c>
      <c r="FA1662" t="s">
        <v>198</v>
      </c>
      <c r="FK1662" t="s">
        <v>198</v>
      </c>
      <c r="FU1662" t="s">
        <v>198</v>
      </c>
    </row>
    <row r="1663" spans="1:177">
      <c r="A1663" s="1" t="str">
        <f>HYPERLINK("http://digipan.lumentumllc.com/apps/getLink/index.php?t=PropLink&amp;p=15761361","PL")</f>
        <v>PL</v>
      </c>
      <c r="B1663" s="1" t="str">
        <f>HYPERLINK("http://digipan.lumentumllc.com/apps/getLink/index.php?t=TaxLink&amp;p=15761361","TL")</f>
        <v>TL</v>
      </c>
      <c r="C1663" s="1" t="str">
        <f>HYPERLINK("http://digipan.lumentumllc.com/apps/getMap/index.php?p=15761361","Map")</f>
        <v>Map</v>
      </c>
      <c r="E1663" t="s">
        <v>177</v>
      </c>
      <c r="F1663" t="s">
        <v>178</v>
      </c>
      <c r="L1663" t="s">
        <v>20729</v>
      </c>
      <c r="N1663" t="s">
        <v>20729</v>
      </c>
      <c r="O1663" t="s">
        <v>20729</v>
      </c>
      <c r="Q1663" t="s">
        <v>20729</v>
      </c>
      <c r="V1663">
        <v>1899</v>
      </c>
      <c r="W1663">
        <v>6</v>
      </c>
      <c r="X1663">
        <v>2017</v>
      </c>
      <c r="Y1663">
        <v>2018</v>
      </c>
      <c r="Z1663">
        <v>1036.99</v>
      </c>
      <c r="AB1663" t="s">
        <v>181</v>
      </c>
      <c r="AC1663" t="s">
        <v>182</v>
      </c>
      <c r="AD1663" t="s">
        <v>183</v>
      </c>
      <c r="AE1663">
        <v>1</v>
      </c>
      <c r="AF1663">
        <v>0</v>
      </c>
      <c r="AG1663" t="s">
        <v>1200</v>
      </c>
      <c r="AH1663">
        <v>0</v>
      </c>
      <c r="AI1663">
        <v>1243.98</v>
      </c>
      <c r="AJ1663">
        <v>62.2</v>
      </c>
      <c r="AK1663">
        <v>1306.18</v>
      </c>
      <c r="AL1663">
        <v>61382</v>
      </c>
      <c r="AM1663">
        <v>45000</v>
      </c>
      <c r="AN1663">
        <v>16382</v>
      </c>
      <c r="AO1663">
        <v>1125</v>
      </c>
      <c r="AP1663">
        <v>2016</v>
      </c>
      <c r="AQ1663">
        <v>1.69</v>
      </c>
      <c r="AR1663">
        <v>2.13</v>
      </c>
      <c r="AS1663" t="s">
        <v>20730</v>
      </c>
      <c r="AT1663" t="s">
        <v>15040</v>
      </c>
      <c r="AU1663" t="s">
        <v>177</v>
      </c>
      <c r="AV1663" t="s">
        <v>371</v>
      </c>
      <c r="AW1663" t="s">
        <v>182</v>
      </c>
      <c r="AX1663">
        <v>2</v>
      </c>
      <c r="AY1663" t="s">
        <v>188</v>
      </c>
      <c r="AZ1663" t="s">
        <v>189</v>
      </c>
      <c r="BA1663" t="s">
        <v>190</v>
      </c>
      <c r="BB1663" t="s">
        <v>191</v>
      </c>
      <c r="BC1663" t="s">
        <v>182</v>
      </c>
      <c r="BD1663" t="s">
        <v>2072</v>
      </c>
      <c r="BE1663" t="s">
        <v>365</v>
      </c>
      <c r="BF1663">
        <v>1</v>
      </c>
      <c r="BG1663">
        <v>1</v>
      </c>
      <c r="BH1663">
        <v>1988</v>
      </c>
      <c r="BI1663" t="s">
        <v>14305</v>
      </c>
      <c r="BJ1663" t="s">
        <v>194</v>
      </c>
      <c r="BK1663" t="s">
        <v>195</v>
      </c>
      <c r="BL1663" t="s">
        <v>9978</v>
      </c>
      <c r="BM1663" t="s">
        <v>232</v>
      </c>
      <c r="BN1663" t="s">
        <v>182</v>
      </c>
      <c r="BO1663" t="s">
        <v>15841</v>
      </c>
      <c r="BP1663" t="s">
        <v>20731</v>
      </c>
      <c r="BQ1663" t="s">
        <v>562</v>
      </c>
      <c r="BR1663" t="s">
        <v>563</v>
      </c>
      <c r="BS1663" t="s">
        <v>198</v>
      </c>
      <c r="BT1663" t="s">
        <v>2978</v>
      </c>
      <c r="BU1663" t="s">
        <v>182</v>
      </c>
      <c r="BV1663" t="s">
        <v>198</v>
      </c>
      <c r="BW1663" t="s">
        <v>198</v>
      </c>
      <c r="BX1663" t="s">
        <v>199</v>
      </c>
      <c r="BY1663" t="s">
        <v>198</v>
      </c>
      <c r="BZ1663" t="s">
        <v>199</v>
      </c>
      <c r="CA1663" t="s">
        <v>199</v>
      </c>
      <c r="CB1663" t="s">
        <v>20732</v>
      </c>
      <c r="CC1663" t="s">
        <v>201</v>
      </c>
      <c r="CD1663" t="s">
        <v>202</v>
      </c>
      <c r="CE1663" t="s">
        <v>20733</v>
      </c>
      <c r="CF1663" t="s">
        <v>5331</v>
      </c>
      <c r="CG1663" t="s">
        <v>177</v>
      </c>
      <c r="CH1663" t="s">
        <v>371</v>
      </c>
      <c r="CI1663" t="s">
        <v>20734</v>
      </c>
      <c r="CJ1663" t="s">
        <v>5258</v>
      </c>
      <c r="CK1663" t="s">
        <v>232</v>
      </c>
      <c r="CL1663" t="s">
        <v>233</v>
      </c>
      <c r="CM1663" t="s">
        <v>20735</v>
      </c>
      <c r="CN1663" t="s">
        <v>235</v>
      </c>
      <c r="CO1663" t="s">
        <v>183</v>
      </c>
      <c r="CP1663" t="s">
        <v>266</v>
      </c>
      <c r="CS1663" t="s">
        <v>198</v>
      </c>
      <c r="DC1663" t="s">
        <v>198</v>
      </c>
      <c r="DM1663" t="s">
        <v>198</v>
      </c>
      <c r="DW1663" t="s">
        <v>198</v>
      </c>
      <c r="EG1663" t="s">
        <v>198</v>
      </c>
      <c r="EQ1663" t="s">
        <v>198</v>
      </c>
      <c r="FA1663" t="s">
        <v>198</v>
      </c>
      <c r="FK1663" t="s">
        <v>198</v>
      </c>
      <c r="FU1663" t="s">
        <v>198</v>
      </c>
    </row>
    <row r="1664" spans="1:177">
      <c r="A1664" s="1" t="str">
        <f>HYPERLINK("http://digipan.lumentumllc.com/apps/getLink/index.php?t=PropLink&amp;p=7112596","PL")</f>
        <v>PL</v>
      </c>
      <c r="B1664" s="1" t="str">
        <f>HYPERLINK("http://digipan.lumentumllc.com/apps/getLink/index.php?t=TaxLink&amp;p=7112596","TL")</f>
        <v>TL</v>
      </c>
      <c r="C1664" s="1" t="str">
        <f>HYPERLINK("http://digipan.lumentumllc.com/apps/getMap/index.php?p=7112596","Map")</f>
        <v>Map</v>
      </c>
      <c r="E1664" t="s">
        <v>177</v>
      </c>
      <c r="F1664" t="s">
        <v>178</v>
      </c>
      <c r="L1664" t="s">
        <v>20736</v>
      </c>
      <c r="N1664" t="s">
        <v>20736</v>
      </c>
      <c r="O1664" t="s">
        <v>20736</v>
      </c>
      <c r="P1664" t="s">
        <v>20737</v>
      </c>
      <c r="Q1664" t="s">
        <v>20736</v>
      </c>
      <c r="V1664">
        <v>1900</v>
      </c>
      <c r="W1664">
        <v>6</v>
      </c>
      <c r="X1664">
        <v>2017</v>
      </c>
      <c r="Y1664">
        <v>2018</v>
      </c>
      <c r="Z1664">
        <v>804.64</v>
      </c>
      <c r="AB1664" t="s">
        <v>181</v>
      </c>
      <c r="AC1664" t="s">
        <v>182</v>
      </c>
      <c r="AD1664" t="s">
        <v>183</v>
      </c>
      <c r="AE1664">
        <v>0</v>
      </c>
      <c r="AF1664">
        <v>2</v>
      </c>
      <c r="AG1664" t="s">
        <v>216</v>
      </c>
      <c r="AH1664">
        <v>100</v>
      </c>
      <c r="AK1664">
        <v>0</v>
      </c>
      <c r="AL1664">
        <v>54069</v>
      </c>
      <c r="AM1664">
        <v>31250</v>
      </c>
      <c r="AN1664">
        <v>22819</v>
      </c>
      <c r="AO1664">
        <v>584</v>
      </c>
      <c r="AP1664">
        <v>2016</v>
      </c>
      <c r="AQ1664">
        <v>1.49</v>
      </c>
      <c r="AS1664" t="s">
        <v>20738</v>
      </c>
      <c r="AT1664" t="s">
        <v>15040</v>
      </c>
      <c r="AU1664" t="s">
        <v>177</v>
      </c>
      <c r="AV1664" t="s">
        <v>20739</v>
      </c>
      <c r="AW1664" t="s">
        <v>182</v>
      </c>
      <c r="AX1664">
        <v>2</v>
      </c>
      <c r="AY1664" t="s">
        <v>188</v>
      </c>
      <c r="AZ1664" t="s">
        <v>189</v>
      </c>
      <c r="BA1664" t="s">
        <v>190</v>
      </c>
      <c r="BB1664" t="s">
        <v>191</v>
      </c>
      <c r="BC1664" t="s">
        <v>182</v>
      </c>
      <c r="BD1664" t="s">
        <v>182</v>
      </c>
      <c r="BE1664" t="s">
        <v>3878</v>
      </c>
      <c r="BF1664">
        <v>1</v>
      </c>
      <c r="BG1664">
        <v>1</v>
      </c>
      <c r="BH1664">
        <v>1993</v>
      </c>
      <c r="BI1664" t="s">
        <v>1530</v>
      </c>
      <c r="BJ1664" t="s">
        <v>194</v>
      </c>
      <c r="BK1664" t="s">
        <v>195</v>
      </c>
      <c r="BL1664" t="s">
        <v>199</v>
      </c>
      <c r="BM1664" t="s">
        <v>292</v>
      </c>
      <c r="BN1664" t="s">
        <v>182</v>
      </c>
      <c r="BO1664" t="s">
        <v>198</v>
      </c>
      <c r="BP1664" t="s">
        <v>198</v>
      </c>
      <c r="BQ1664" t="s">
        <v>198</v>
      </c>
      <c r="BR1664" t="s">
        <v>198</v>
      </c>
      <c r="BS1664" t="s">
        <v>198</v>
      </c>
      <c r="BT1664" t="s">
        <v>198</v>
      </c>
      <c r="BU1664" t="s">
        <v>182</v>
      </c>
      <c r="BV1664" t="s">
        <v>198</v>
      </c>
      <c r="BW1664" t="s">
        <v>198</v>
      </c>
      <c r="BX1664" t="s">
        <v>199</v>
      </c>
      <c r="BY1664" t="s">
        <v>198</v>
      </c>
      <c r="BZ1664" t="s">
        <v>199</v>
      </c>
      <c r="CA1664" t="s">
        <v>199</v>
      </c>
      <c r="CB1664" t="s">
        <v>20740</v>
      </c>
      <c r="CC1664" t="s">
        <v>201</v>
      </c>
      <c r="CD1664" t="s">
        <v>182</v>
      </c>
      <c r="CE1664" t="s">
        <v>20741</v>
      </c>
      <c r="CF1664" t="s">
        <v>5331</v>
      </c>
      <c r="CG1664" t="s">
        <v>177</v>
      </c>
      <c r="CH1664" t="s">
        <v>371</v>
      </c>
      <c r="CI1664" t="s">
        <v>20742</v>
      </c>
      <c r="CJ1664" t="s">
        <v>20743</v>
      </c>
      <c r="CK1664" t="s">
        <v>232</v>
      </c>
      <c r="CL1664" t="s">
        <v>233</v>
      </c>
      <c r="CM1664" t="s">
        <v>20744</v>
      </c>
      <c r="CN1664" t="s">
        <v>235</v>
      </c>
      <c r="CO1664" t="s">
        <v>183</v>
      </c>
      <c r="CP1664" t="s">
        <v>211</v>
      </c>
      <c r="CQ1664" t="s">
        <v>270</v>
      </c>
      <c r="CS1664" t="s">
        <v>13580</v>
      </c>
      <c r="CT1664" t="s">
        <v>10071</v>
      </c>
      <c r="CU1664" t="s">
        <v>292</v>
      </c>
      <c r="CV1664" t="s">
        <v>293</v>
      </c>
      <c r="CW1664" t="s">
        <v>12408</v>
      </c>
      <c r="CX1664" t="s">
        <v>235</v>
      </c>
      <c r="CY1664" t="s">
        <v>183</v>
      </c>
      <c r="CZ1664" t="s">
        <v>211</v>
      </c>
      <c r="DA1664" t="s">
        <v>329</v>
      </c>
      <c r="DC1664" t="s">
        <v>6215</v>
      </c>
      <c r="DM1664" t="s">
        <v>198</v>
      </c>
      <c r="DW1664" t="s">
        <v>198</v>
      </c>
      <c r="EG1664" t="s">
        <v>198</v>
      </c>
      <c r="EQ1664" t="s">
        <v>198</v>
      </c>
      <c r="FA1664" t="s">
        <v>198</v>
      </c>
      <c r="FK1664" t="s">
        <v>198</v>
      </c>
      <c r="FU1664" t="s">
        <v>198</v>
      </c>
    </row>
    <row r="1665" spans="1:177">
      <c r="A1665" s="1" t="str">
        <f>HYPERLINK("http://digipan.lumentumllc.com/apps/getLink/index.php?t=PropLink&amp;p=5248314","PL")</f>
        <v>PL</v>
      </c>
      <c r="B1665" s="1" t="str">
        <f>HYPERLINK("http://digipan.lumentumllc.com/apps/getLink/index.php?t=TaxLink&amp;p=5248314","TL")</f>
        <v>TL</v>
      </c>
      <c r="C1665" s="1" t="str">
        <f>HYPERLINK("http://digipan.lumentumllc.com/apps/getMap/index.php?p=5248314","Map")</f>
        <v>Map</v>
      </c>
      <c r="E1665" t="s">
        <v>177</v>
      </c>
      <c r="F1665" t="s">
        <v>178</v>
      </c>
      <c r="L1665" t="s">
        <v>20745</v>
      </c>
      <c r="N1665" t="s">
        <v>20745</v>
      </c>
      <c r="O1665" t="s">
        <v>20745</v>
      </c>
      <c r="P1665" t="s">
        <v>20746</v>
      </c>
      <c r="Q1665" t="s">
        <v>20745</v>
      </c>
      <c r="V1665">
        <v>1901</v>
      </c>
      <c r="W1665">
        <v>6</v>
      </c>
      <c r="X1665">
        <v>2017</v>
      </c>
      <c r="Y1665">
        <v>2018</v>
      </c>
      <c r="Z1665">
        <v>72.94</v>
      </c>
      <c r="AB1665" t="s">
        <v>181</v>
      </c>
      <c r="AC1665" t="s">
        <v>182</v>
      </c>
      <c r="AD1665" t="s">
        <v>183</v>
      </c>
      <c r="AE1665">
        <v>0</v>
      </c>
      <c r="AF1665">
        <v>4</v>
      </c>
      <c r="AG1665" t="s">
        <v>381</v>
      </c>
      <c r="AH1665">
        <v>100</v>
      </c>
      <c r="AK1665">
        <v>0</v>
      </c>
      <c r="AL1665">
        <v>2500</v>
      </c>
      <c r="AM1665">
        <v>2500</v>
      </c>
      <c r="AN1665">
        <v>0</v>
      </c>
      <c r="AO1665">
        <v>38</v>
      </c>
      <c r="AP1665">
        <v>2016</v>
      </c>
      <c r="AQ1665">
        <v>2.92</v>
      </c>
      <c r="AS1665" t="s">
        <v>20747</v>
      </c>
      <c r="AT1665" t="s">
        <v>15040</v>
      </c>
      <c r="AU1665" t="s">
        <v>177</v>
      </c>
      <c r="AV1665" t="s">
        <v>371</v>
      </c>
      <c r="AW1665" t="s">
        <v>182</v>
      </c>
      <c r="AX1665">
        <v>70</v>
      </c>
      <c r="AY1665" t="s">
        <v>19592</v>
      </c>
      <c r="AZ1665" t="s">
        <v>1443</v>
      </c>
      <c r="BA1665" t="s">
        <v>19593</v>
      </c>
      <c r="BB1665" t="s">
        <v>191</v>
      </c>
      <c r="BC1665" t="s">
        <v>182</v>
      </c>
      <c r="BD1665" t="s">
        <v>182</v>
      </c>
      <c r="BE1665" t="s">
        <v>5737</v>
      </c>
      <c r="BF1665">
        <v>0</v>
      </c>
      <c r="BG1665">
        <v>0</v>
      </c>
      <c r="BH1665">
        <v>0</v>
      </c>
      <c r="BI1665" t="s">
        <v>199</v>
      </c>
      <c r="BJ1665" t="s">
        <v>396</v>
      </c>
      <c r="BL1665" t="s">
        <v>199</v>
      </c>
      <c r="BM1665" t="s">
        <v>358</v>
      </c>
      <c r="BN1665" t="s">
        <v>182</v>
      </c>
      <c r="BO1665" t="s">
        <v>198</v>
      </c>
      <c r="BP1665" t="s">
        <v>198</v>
      </c>
      <c r="BQ1665" t="s">
        <v>198</v>
      </c>
      <c r="BR1665" t="s">
        <v>198</v>
      </c>
      <c r="BS1665" t="s">
        <v>198</v>
      </c>
      <c r="BT1665" t="s">
        <v>198</v>
      </c>
      <c r="BU1665" t="s">
        <v>182</v>
      </c>
      <c r="BV1665" t="s">
        <v>198</v>
      </c>
      <c r="BW1665" t="s">
        <v>198</v>
      </c>
      <c r="BX1665" t="s">
        <v>199</v>
      </c>
      <c r="BY1665" t="s">
        <v>198</v>
      </c>
      <c r="BZ1665" t="s">
        <v>199</v>
      </c>
      <c r="CA1665" t="s">
        <v>199</v>
      </c>
      <c r="CB1665" t="s">
        <v>20748</v>
      </c>
      <c r="CC1665" t="s">
        <v>201</v>
      </c>
      <c r="CD1665" t="s">
        <v>202</v>
      </c>
      <c r="CE1665" t="s">
        <v>20749</v>
      </c>
      <c r="CF1665" t="s">
        <v>5331</v>
      </c>
      <c r="CG1665" t="s">
        <v>177</v>
      </c>
      <c r="CH1665" t="s">
        <v>5332</v>
      </c>
      <c r="CI1665" t="s">
        <v>20750</v>
      </c>
      <c r="CJ1665" t="s">
        <v>18066</v>
      </c>
      <c r="CK1665" t="s">
        <v>292</v>
      </c>
      <c r="CL1665" t="s">
        <v>293</v>
      </c>
      <c r="CM1665" t="s">
        <v>15092</v>
      </c>
      <c r="CN1665" t="s">
        <v>482</v>
      </c>
      <c r="CO1665" t="s">
        <v>183</v>
      </c>
      <c r="CP1665" t="s">
        <v>211</v>
      </c>
      <c r="CQ1665" t="s">
        <v>342</v>
      </c>
      <c r="CS1665" t="s">
        <v>13292</v>
      </c>
      <c r="CT1665" t="s">
        <v>13693</v>
      </c>
      <c r="CU1665" t="s">
        <v>302</v>
      </c>
      <c r="CV1665" t="s">
        <v>303</v>
      </c>
      <c r="CW1665" t="s">
        <v>15095</v>
      </c>
      <c r="CX1665" t="s">
        <v>341</v>
      </c>
      <c r="CY1665" t="s">
        <v>183</v>
      </c>
      <c r="CZ1665" t="s">
        <v>211</v>
      </c>
      <c r="DA1665" t="s">
        <v>206</v>
      </c>
      <c r="DC1665" t="s">
        <v>3280</v>
      </c>
      <c r="DD1665" t="s">
        <v>20751</v>
      </c>
      <c r="DE1665" t="s">
        <v>346</v>
      </c>
      <c r="DF1665" t="s">
        <v>347</v>
      </c>
      <c r="DG1665" t="s">
        <v>20752</v>
      </c>
      <c r="DH1665" t="s">
        <v>482</v>
      </c>
      <c r="DI1665" t="s">
        <v>183</v>
      </c>
      <c r="DJ1665" t="s">
        <v>211</v>
      </c>
      <c r="DK1665" t="s">
        <v>270</v>
      </c>
      <c r="DM1665" t="s">
        <v>9603</v>
      </c>
      <c r="DN1665" t="s">
        <v>20753</v>
      </c>
      <c r="DO1665" t="s">
        <v>207</v>
      </c>
      <c r="DP1665" t="s">
        <v>208</v>
      </c>
      <c r="DQ1665" t="s">
        <v>20754</v>
      </c>
      <c r="DR1665" t="s">
        <v>351</v>
      </c>
      <c r="DS1665" t="s">
        <v>183</v>
      </c>
      <c r="DT1665" t="s">
        <v>211</v>
      </c>
      <c r="DU1665" t="s">
        <v>337</v>
      </c>
      <c r="DW1665" t="s">
        <v>9603</v>
      </c>
      <c r="EG1665" t="s">
        <v>198</v>
      </c>
      <c r="EQ1665" t="s">
        <v>198</v>
      </c>
      <c r="FA1665" t="s">
        <v>198</v>
      </c>
      <c r="FK1665" t="s">
        <v>198</v>
      </c>
      <c r="FU1665" t="s">
        <v>198</v>
      </c>
    </row>
    <row r="1666" spans="1:177">
      <c r="A1666" s="1" t="str">
        <f>HYPERLINK("http://digipan.lumentumllc.com/apps/getLink/index.php?t=PropLink&amp;p=5248315","PL")</f>
        <v>PL</v>
      </c>
      <c r="B1666" s="1" t="str">
        <f>HYPERLINK("http://digipan.lumentumllc.com/apps/getLink/index.php?t=TaxLink&amp;p=5248315","TL")</f>
        <v>TL</v>
      </c>
      <c r="C1666" s="1" t="str">
        <f>HYPERLINK("http://digipan.lumentumllc.com/apps/getMap/index.php?p=5248315","Map")</f>
        <v>Map</v>
      </c>
      <c r="E1666" t="s">
        <v>177</v>
      </c>
      <c r="F1666" t="s">
        <v>178</v>
      </c>
      <c r="L1666" t="s">
        <v>20755</v>
      </c>
      <c r="N1666" t="s">
        <v>20755</v>
      </c>
      <c r="O1666" t="s">
        <v>20755</v>
      </c>
      <c r="P1666" t="s">
        <v>20756</v>
      </c>
      <c r="Q1666" t="s">
        <v>20755</v>
      </c>
      <c r="V1666">
        <v>1902</v>
      </c>
      <c r="W1666">
        <v>6</v>
      </c>
      <c r="X1666">
        <v>2017</v>
      </c>
      <c r="Y1666">
        <v>2018</v>
      </c>
      <c r="Z1666">
        <v>4267.2299999999996</v>
      </c>
      <c r="AB1666" t="s">
        <v>181</v>
      </c>
      <c r="AC1666" t="s">
        <v>182</v>
      </c>
      <c r="AD1666" t="s">
        <v>183</v>
      </c>
      <c r="AE1666">
        <v>1</v>
      </c>
      <c r="AF1666">
        <v>7</v>
      </c>
      <c r="AG1666" t="s">
        <v>418</v>
      </c>
      <c r="AH1666">
        <v>86</v>
      </c>
      <c r="AI1666">
        <v>4222.6499999999996</v>
      </c>
      <c r="AJ1666">
        <v>211.13</v>
      </c>
      <c r="AK1666">
        <v>4433.78</v>
      </c>
      <c r="AL1666">
        <v>366060</v>
      </c>
      <c r="AM1666">
        <v>71750</v>
      </c>
      <c r="AN1666">
        <v>294310</v>
      </c>
      <c r="AO1666">
        <v>3879</v>
      </c>
      <c r="AP1666">
        <v>2016</v>
      </c>
      <c r="AQ1666">
        <v>1.17</v>
      </c>
      <c r="AR1666">
        <v>1.21</v>
      </c>
      <c r="AS1666" t="s">
        <v>20757</v>
      </c>
      <c r="AT1666" t="s">
        <v>15040</v>
      </c>
      <c r="AU1666" t="s">
        <v>177</v>
      </c>
      <c r="AV1666" t="s">
        <v>371</v>
      </c>
      <c r="AW1666" t="s">
        <v>202</v>
      </c>
      <c r="AX1666">
        <v>1</v>
      </c>
      <c r="AY1666" t="s">
        <v>188</v>
      </c>
      <c r="AZ1666" t="s">
        <v>206</v>
      </c>
      <c r="BA1666" t="s">
        <v>355</v>
      </c>
      <c r="BB1666" t="s">
        <v>191</v>
      </c>
      <c r="BC1666" t="s">
        <v>182</v>
      </c>
      <c r="BD1666" t="s">
        <v>182</v>
      </c>
      <c r="BE1666" t="s">
        <v>5249</v>
      </c>
      <c r="BF1666">
        <v>1</v>
      </c>
      <c r="BG1666">
        <v>1</v>
      </c>
      <c r="BH1666">
        <v>2011</v>
      </c>
      <c r="BI1666" t="s">
        <v>20758</v>
      </c>
      <c r="BJ1666" t="s">
        <v>396</v>
      </c>
      <c r="BK1666" t="s">
        <v>195</v>
      </c>
      <c r="BL1666" t="s">
        <v>199</v>
      </c>
      <c r="BM1666" t="s">
        <v>207</v>
      </c>
      <c r="BN1666" t="s">
        <v>182</v>
      </c>
      <c r="BO1666" t="s">
        <v>3842</v>
      </c>
      <c r="BP1666" t="s">
        <v>20759</v>
      </c>
      <c r="BS1666" t="s">
        <v>20760</v>
      </c>
      <c r="BT1666" t="s">
        <v>198</v>
      </c>
      <c r="BU1666" t="s">
        <v>182</v>
      </c>
      <c r="BV1666" t="s">
        <v>198</v>
      </c>
      <c r="BW1666" t="s">
        <v>198</v>
      </c>
      <c r="BX1666" t="s">
        <v>199</v>
      </c>
      <c r="BY1666" t="s">
        <v>198</v>
      </c>
      <c r="BZ1666" t="s">
        <v>199</v>
      </c>
      <c r="CA1666" t="s">
        <v>199</v>
      </c>
      <c r="CB1666" t="s">
        <v>20761</v>
      </c>
      <c r="CC1666" t="s">
        <v>201</v>
      </c>
      <c r="CD1666" t="s">
        <v>182</v>
      </c>
      <c r="CE1666" t="s">
        <v>20762</v>
      </c>
      <c r="CF1666" t="s">
        <v>5331</v>
      </c>
      <c r="CG1666" t="s">
        <v>177</v>
      </c>
      <c r="CH1666" t="s">
        <v>371</v>
      </c>
      <c r="CI1666" t="s">
        <v>20763</v>
      </c>
      <c r="CJ1666" t="s">
        <v>6558</v>
      </c>
      <c r="CK1666" t="s">
        <v>232</v>
      </c>
      <c r="CL1666" t="s">
        <v>233</v>
      </c>
      <c r="CM1666" t="s">
        <v>20764</v>
      </c>
      <c r="CN1666" t="s">
        <v>235</v>
      </c>
      <c r="CO1666" t="s">
        <v>183</v>
      </c>
      <c r="CP1666" t="s">
        <v>266</v>
      </c>
      <c r="CS1666" t="s">
        <v>198</v>
      </c>
      <c r="CT1666" t="s">
        <v>11980</v>
      </c>
      <c r="CU1666" t="s">
        <v>292</v>
      </c>
      <c r="CV1666" t="s">
        <v>293</v>
      </c>
      <c r="CW1666" t="s">
        <v>20765</v>
      </c>
      <c r="CX1666" t="s">
        <v>235</v>
      </c>
      <c r="CY1666" t="s">
        <v>183</v>
      </c>
      <c r="CZ1666" t="s">
        <v>211</v>
      </c>
      <c r="DA1666" t="s">
        <v>199</v>
      </c>
      <c r="DC1666" t="s">
        <v>20099</v>
      </c>
      <c r="DD1666" t="s">
        <v>10222</v>
      </c>
      <c r="DE1666" t="s">
        <v>267</v>
      </c>
      <c r="DF1666" t="s">
        <v>268</v>
      </c>
      <c r="DG1666" t="s">
        <v>20766</v>
      </c>
      <c r="DH1666" t="s">
        <v>235</v>
      </c>
      <c r="DI1666" t="s">
        <v>183</v>
      </c>
      <c r="DJ1666" t="s">
        <v>211</v>
      </c>
      <c r="DK1666" t="s">
        <v>427</v>
      </c>
      <c r="DM1666" t="s">
        <v>20099</v>
      </c>
      <c r="DN1666" t="s">
        <v>9651</v>
      </c>
      <c r="DO1666" t="s">
        <v>273</v>
      </c>
      <c r="DP1666" t="s">
        <v>274</v>
      </c>
      <c r="DQ1666" t="s">
        <v>20767</v>
      </c>
      <c r="DR1666" t="s">
        <v>235</v>
      </c>
      <c r="DS1666" t="s">
        <v>183</v>
      </c>
      <c r="DT1666" t="s">
        <v>211</v>
      </c>
      <c r="DU1666" t="s">
        <v>298</v>
      </c>
      <c r="DW1666" t="s">
        <v>3727</v>
      </c>
      <c r="DX1666" t="s">
        <v>20768</v>
      </c>
      <c r="DY1666" t="s">
        <v>302</v>
      </c>
      <c r="DZ1666" t="s">
        <v>303</v>
      </c>
      <c r="EA1666" t="s">
        <v>20769</v>
      </c>
      <c r="EB1666" t="s">
        <v>235</v>
      </c>
      <c r="EC1666" t="s">
        <v>183</v>
      </c>
      <c r="ED1666" t="s">
        <v>211</v>
      </c>
      <c r="EE1666" t="s">
        <v>345</v>
      </c>
      <c r="EG1666" t="s">
        <v>20770</v>
      </c>
      <c r="EH1666" t="s">
        <v>20771</v>
      </c>
      <c r="EI1666" t="s">
        <v>238</v>
      </c>
      <c r="EJ1666" t="s">
        <v>239</v>
      </c>
      <c r="EK1666" t="s">
        <v>20772</v>
      </c>
      <c r="EL1666" t="s">
        <v>331</v>
      </c>
      <c r="EM1666" t="s">
        <v>183</v>
      </c>
      <c r="EN1666" t="s">
        <v>211</v>
      </c>
      <c r="EO1666" t="s">
        <v>337</v>
      </c>
      <c r="EQ1666" t="s">
        <v>4894</v>
      </c>
      <c r="ER1666" t="s">
        <v>20773</v>
      </c>
      <c r="ES1666" t="s">
        <v>346</v>
      </c>
      <c r="ET1666" t="s">
        <v>347</v>
      </c>
      <c r="EU1666" t="s">
        <v>20774</v>
      </c>
      <c r="EV1666" t="s">
        <v>278</v>
      </c>
      <c r="EW1666" t="s">
        <v>183</v>
      </c>
      <c r="EX1666" t="s">
        <v>211</v>
      </c>
      <c r="EY1666" t="s">
        <v>345</v>
      </c>
      <c r="FA1666" t="s">
        <v>2496</v>
      </c>
      <c r="FB1666" t="s">
        <v>20775</v>
      </c>
      <c r="FC1666" t="s">
        <v>207</v>
      </c>
      <c r="FD1666" t="s">
        <v>208</v>
      </c>
      <c r="FE1666" t="s">
        <v>20776</v>
      </c>
      <c r="FF1666" t="s">
        <v>1966</v>
      </c>
      <c r="FG1666" t="s">
        <v>183</v>
      </c>
      <c r="FH1666" t="s">
        <v>211</v>
      </c>
      <c r="FI1666" t="s">
        <v>298</v>
      </c>
      <c r="FK1666" t="s">
        <v>4772</v>
      </c>
      <c r="FU1666" t="s">
        <v>198</v>
      </c>
    </row>
    <row r="1667" spans="1:177">
      <c r="A1667" s="1" t="str">
        <f>HYPERLINK("http://digipan.lumentumllc.com/apps/getLink/index.php?t=PropLink&amp;p=5248316","PL")</f>
        <v>PL</v>
      </c>
      <c r="B1667" s="1" t="str">
        <f>HYPERLINK("http://digipan.lumentumllc.com/apps/getLink/index.php?t=TaxLink&amp;p=5248316","TL")</f>
        <v>TL</v>
      </c>
      <c r="C1667" s="1" t="str">
        <f>HYPERLINK("http://digipan.lumentumllc.com/apps/getMap/index.php?p=5248316","Map")</f>
        <v>Map</v>
      </c>
      <c r="E1667" t="s">
        <v>177</v>
      </c>
      <c r="F1667" t="s">
        <v>178</v>
      </c>
      <c r="L1667" t="s">
        <v>20777</v>
      </c>
      <c r="N1667" t="s">
        <v>20777</v>
      </c>
      <c r="O1667" t="s">
        <v>20777</v>
      </c>
      <c r="P1667" t="s">
        <v>20778</v>
      </c>
      <c r="Q1667" t="s">
        <v>20777</v>
      </c>
      <c r="V1667">
        <v>1903</v>
      </c>
      <c r="W1667">
        <v>6</v>
      </c>
      <c r="X1667">
        <v>2017</v>
      </c>
      <c r="Y1667">
        <v>2018</v>
      </c>
      <c r="Z1667">
        <v>8558.2199999999993</v>
      </c>
      <c r="AB1667" t="s">
        <v>181</v>
      </c>
      <c r="AC1667" t="s">
        <v>182</v>
      </c>
      <c r="AD1667" t="s">
        <v>183</v>
      </c>
      <c r="AE1667">
        <v>1</v>
      </c>
      <c r="AF1667">
        <v>6</v>
      </c>
      <c r="AG1667" t="s">
        <v>418</v>
      </c>
      <c r="AH1667">
        <v>86</v>
      </c>
      <c r="AI1667">
        <v>8049.82</v>
      </c>
      <c r="AJ1667">
        <v>402.49</v>
      </c>
      <c r="AK1667">
        <v>8452.31</v>
      </c>
      <c r="AL1667">
        <v>536427</v>
      </c>
      <c r="AM1667">
        <v>455000</v>
      </c>
      <c r="AN1667">
        <v>81427</v>
      </c>
      <c r="AO1667">
        <v>7418</v>
      </c>
      <c r="AP1667">
        <v>2016</v>
      </c>
      <c r="AQ1667">
        <v>1.6</v>
      </c>
      <c r="AR1667">
        <v>1.58</v>
      </c>
      <c r="AS1667" t="s">
        <v>20779</v>
      </c>
      <c r="AT1667" t="s">
        <v>15040</v>
      </c>
      <c r="AU1667" t="s">
        <v>177</v>
      </c>
      <c r="AV1667" t="s">
        <v>371</v>
      </c>
      <c r="AW1667" t="s">
        <v>182</v>
      </c>
      <c r="AX1667">
        <v>1</v>
      </c>
      <c r="AY1667" t="s">
        <v>188</v>
      </c>
      <c r="AZ1667" t="s">
        <v>206</v>
      </c>
      <c r="BA1667" t="s">
        <v>355</v>
      </c>
      <c r="BB1667" t="s">
        <v>191</v>
      </c>
      <c r="BC1667" t="s">
        <v>182</v>
      </c>
      <c r="BD1667" t="s">
        <v>182</v>
      </c>
      <c r="BE1667" t="s">
        <v>247</v>
      </c>
      <c r="BF1667">
        <v>1</v>
      </c>
      <c r="BG1667">
        <v>1</v>
      </c>
      <c r="BH1667">
        <v>1969</v>
      </c>
      <c r="BI1667" t="s">
        <v>814</v>
      </c>
      <c r="BJ1667" t="s">
        <v>194</v>
      </c>
      <c r="BK1667" t="s">
        <v>195</v>
      </c>
      <c r="BL1667" t="s">
        <v>199</v>
      </c>
      <c r="BM1667" t="s">
        <v>325</v>
      </c>
      <c r="BN1667" t="s">
        <v>182</v>
      </c>
      <c r="BO1667" t="s">
        <v>198</v>
      </c>
      <c r="BP1667" t="s">
        <v>198</v>
      </c>
      <c r="BQ1667" t="s">
        <v>198</v>
      </c>
      <c r="BR1667" t="s">
        <v>198</v>
      </c>
      <c r="BS1667" t="s">
        <v>198</v>
      </c>
      <c r="BT1667" t="s">
        <v>198</v>
      </c>
      <c r="BU1667" t="s">
        <v>182</v>
      </c>
      <c r="BV1667" t="s">
        <v>198</v>
      </c>
      <c r="BW1667" t="s">
        <v>198</v>
      </c>
      <c r="BX1667" t="s">
        <v>199</v>
      </c>
      <c r="BY1667" t="s">
        <v>198</v>
      </c>
      <c r="BZ1667" t="s">
        <v>199</v>
      </c>
      <c r="CA1667" t="s">
        <v>199</v>
      </c>
      <c r="CB1667" t="s">
        <v>20780</v>
      </c>
      <c r="CC1667" t="s">
        <v>1407</v>
      </c>
      <c r="CD1667" t="s">
        <v>202</v>
      </c>
      <c r="CE1667" t="s">
        <v>20781</v>
      </c>
      <c r="CF1667" t="s">
        <v>20782</v>
      </c>
      <c r="CG1667" t="s">
        <v>1902</v>
      </c>
      <c r="CH1667" t="s">
        <v>20783</v>
      </c>
      <c r="CI1667" t="s">
        <v>20784</v>
      </c>
      <c r="CJ1667" t="s">
        <v>5292</v>
      </c>
      <c r="CK1667" t="s">
        <v>232</v>
      </c>
      <c r="CL1667" t="s">
        <v>233</v>
      </c>
      <c r="CM1667" t="s">
        <v>20785</v>
      </c>
      <c r="CN1667" t="s">
        <v>235</v>
      </c>
      <c r="CO1667" t="s">
        <v>183</v>
      </c>
      <c r="CP1667" t="s">
        <v>266</v>
      </c>
      <c r="CS1667" t="s">
        <v>198</v>
      </c>
      <c r="CT1667" t="s">
        <v>18099</v>
      </c>
      <c r="CU1667" t="s">
        <v>292</v>
      </c>
      <c r="CV1667" t="s">
        <v>293</v>
      </c>
      <c r="CW1667" t="s">
        <v>20786</v>
      </c>
      <c r="CX1667" t="s">
        <v>235</v>
      </c>
      <c r="CY1667" t="s">
        <v>183</v>
      </c>
      <c r="CZ1667" t="s">
        <v>211</v>
      </c>
      <c r="DA1667" t="s">
        <v>345</v>
      </c>
      <c r="DC1667" t="s">
        <v>7255</v>
      </c>
      <c r="DD1667" t="s">
        <v>19229</v>
      </c>
      <c r="DE1667" t="s">
        <v>267</v>
      </c>
      <c r="DF1667" t="s">
        <v>268</v>
      </c>
      <c r="DG1667" t="s">
        <v>20787</v>
      </c>
      <c r="DH1667" t="s">
        <v>235</v>
      </c>
      <c r="DI1667" t="s">
        <v>183</v>
      </c>
      <c r="DJ1667" t="s">
        <v>211</v>
      </c>
      <c r="DK1667" t="s">
        <v>345</v>
      </c>
      <c r="DM1667" t="s">
        <v>3125</v>
      </c>
      <c r="DN1667" t="s">
        <v>14674</v>
      </c>
      <c r="DO1667" t="s">
        <v>273</v>
      </c>
      <c r="DP1667" t="s">
        <v>274</v>
      </c>
      <c r="DQ1667" t="s">
        <v>20788</v>
      </c>
      <c r="DR1667" t="s">
        <v>235</v>
      </c>
      <c r="DS1667" t="s">
        <v>183</v>
      </c>
      <c r="DT1667" t="s">
        <v>211</v>
      </c>
      <c r="DU1667" t="s">
        <v>345</v>
      </c>
      <c r="DW1667" t="s">
        <v>4483</v>
      </c>
      <c r="DX1667" t="s">
        <v>20789</v>
      </c>
      <c r="DY1667" t="s">
        <v>302</v>
      </c>
      <c r="DZ1667" t="s">
        <v>303</v>
      </c>
      <c r="EA1667" t="s">
        <v>20790</v>
      </c>
      <c r="EB1667" t="s">
        <v>235</v>
      </c>
      <c r="EC1667" t="s">
        <v>183</v>
      </c>
      <c r="ED1667" t="s">
        <v>211</v>
      </c>
      <c r="EE1667" t="s">
        <v>345</v>
      </c>
      <c r="EG1667" t="s">
        <v>343</v>
      </c>
      <c r="EH1667" t="s">
        <v>20791</v>
      </c>
      <c r="EI1667" t="s">
        <v>238</v>
      </c>
      <c r="EJ1667" t="s">
        <v>239</v>
      </c>
      <c r="EK1667" t="s">
        <v>20792</v>
      </c>
      <c r="EL1667" t="s">
        <v>235</v>
      </c>
      <c r="EM1667" t="s">
        <v>183</v>
      </c>
      <c r="EN1667" t="s">
        <v>211</v>
      </c>
      <c r="EO1667" t="s">
        <v>337</v>
      </c>
      <c r="EQ1667" t="s">
        <v>4894</v>
      </c>
      <c r="ER1667" t="s">
        <v>20793</v>
      </c>
      <c r="ES1667" t="s">
        <v>346</v>
      </c>
      <c r="ET1667" t="s">
        <v>347</v>
      </c>
      <c r="EU1667" t="s">
        <v>20794</v>
      </c>
      <c r="EV1667" t="s">
        <v>235</v>
      </c>
      <c r="EW1667" t="s">
        <v>183</v>
      </c>
      <c r="EX1667" t="s">
        <v>211</v>
      </c>
      <c r="EY1667" t="s">
        <v>298</v>
      </c>
      <c r="FA1667" t="s">
        <v>3166</v>
      </c>
      <c r="FK1667" t="s">
        <v>198</v>
      </c>
      <c r="FU1667" t="s">
        <v>198</v>
      </c>
    </row>
    <row r="1668" spans="1:177">
      <c r="A1668" s="1" t="str">
        <f>HYPERLINK("http://digipan.lumentumllc.com/apps/getLink/index.php?t=PropLink&amp;p=15761593","PL")</f>
        <v>PL</v>
      </c>
      <c r="B1668" s="1" t="str">
        <f>HYPERLINK("http://digipan.lumentumllc.com/apps/getLink/index.php?t=TaxLink&amp;p=15761593","TL")</f>
        <v>TL</v>
      </c>
      <c r="C1668" s="1" t="str">
        <f>HYPERLINK("http://digipan.lumentumllc.com/apps/getMap/index.php?p=15761593","Map")</f>
        <v>Map</v>
      </c>
      <c r="E1668" t="s">
        <v>177</v>
      </c>
      <c r="F1668" t="s">
        <v>178</v>
      </c>
      <c r="L1668" t="s">
        <v>20795</v>
      </c>
      <c r="N1668" t="s">
        <v>20795</v>
      </c>
      <c r="O1668" t="s">
        <v>20795</v>
      </c>
      <c r="Q1668" t="s">
        <v>20795</v>
      </c>
      <c r="V1668">
        <v>1904</v>
      </c>
      <c r="W1668">
        <v>6</v>
      </c>
      <c r="X1668">
        <v>2017</v>
      </c>
      <c r="Y1668">
        <v>2018</v>
      </c>
      <c r="Z1668">
        <v>13114.51</v>
      </c>
      <c r="AB1668" t="s">
        <v>181</v>
      </c>
      <c r="AC1668" t="s">
        <v>182</v>
      </c>
      <c r="AD1668" t="s">
        <v>183</v>
      </c>
      <c r="AE1668">
        <v>1</v>
      </c>
      <c r="AF1668">
        <v>0</v>
      </c>
      <c r="AG1668" t="s">
        <v>1200</v>
      </c>
      <c r="AH1668">
        <v>0</v>
      </c>
      <c r="AI1668">
        <v>3308.08</v>
      </c>
      <c r="AJ1668">
        <v>165.4</v>
      </c>
      <c r="AK1668">
        <v>3473.48</v>
      </c>
      <c r="AL1668">
        <v>799048</v>
      </c>
      <c r="AM1668">
        <v>680000</v>
      </c>
      <c r="AN1668">
        <v>119048</v>
      </c>
      <c r="AO1668">
        <v>3034</v>
      </c>
      <c r="AP1668">
        <v>2016</v>
      </c>
      <c r="AQ1668">
        <v>1.64</v>
      </c>
      <c r="AR1668">
        <v>0.43</v>
      </c>
      <c r="AS1668" t="s">
        <v>20796</v>
      </c>
      <c r="AT1668" t="s">
        <v>15040</v>
      </c>
      <c r="AU1668" t="s">
        <v>177</v>
      </c>
      <c r="AV1668" t="s">
        <v>371</v>
      </c>
      <c r="AW1668" t="s">
        <v>182</v>
      </c>
      <c r="AX1668">
        <v>1</v>
      </c>
      <c r="AY1668" t="s">
        <v>188</v>
      </c>
      <c r="AZ1668" t="s">
        <v>206</v>
      </c>
      <c r="BA1668" t="s">
        <v>355</v>
      </c>
      <c r="BB1668" t="s">
        <v>191</v>
      </c>
      <c r="BC1668" t="s">
        <v>182</v>
      </c>
      <c r="BD1668" t="s">
        <v>182</v>
      </c>
      <c r="BE1668" t="s">
        <v>469</v>
      </c>
      <c r="BF1668">
        <v>1</v>
      </c>
      <c r="BG1668">
        <v>1</v>
      </c>
      <c r="BH1668">
        <v>1986</v>
      </c>
      <c r="BI1668" t="s">
        <v>20797</v>
      </c>
      <c r="BJ1668" t="s">
        <v>194</v>
      </c>
      <c r="BK1668" t="s">
        <v>195</v>
      </c>
      <c r="BL1668" t="s">
        <v>199</v>
      </c>
      <c r="BM1668" t="s">
        <v>267</v>
      </c>
      <c r="BN1668" t="s">
        <v>182</v>
      </c>
      <c r="BO1668" t="s">
        <v>20798</v>
      </c>
      <c r="BP1668" t="s">
        <v>12362</v>
      </c>
      <c r="BQ1668" t="s">
        <v>800</v>
      </c>
      <c r="BS1668" t="s">
        <v>198</v>
      </c>
      <c r="BT1668" t="s">
        <v>20799</v>
      </c>
      <c r="BU1668" t="s">
        <v>182</v>
      </c>
      <c r="BV1668" t="s">
        <v>198</v>
      </c>
      <c r="BW1668" t="s">
        <v>198</v>
      </c>
      <c r="BX1668" t="s">
        <v>199</v>
      </c>
      <c r="BY1668" t="s">
        <v>198</v>
      </c>
      <c r="BZ1668" t="s">
        <v>199</v>
      </c>
      <c r="CA1668" t="s">
        <v>199</v>
      </c>
      <c r="CB1668" t="s">
        <v>11983</v>
      </c>
      <c r="CC1668" t="s">
        <v>201</v>
      </c>
      <c r="CD1668" t="s">
        <v>182</v>
      </c>
      <c r="CE1668" t="s">
        <v>11984</v>
      </c>
      <c r="CF1668" t="s">
        <v>5331</v>
      </c>
      <c r="CG1668" t="s">
        <v>177</v>
      </c>
      <c r="CH1668" t="s">
        <v>371</v>
      </c>
      <c r="CI1668" t="s">
        <v>20800</v>
      </c>
      <c r="CJ1668" t="s">
        <v>5316</v>
      </c>
      <c r="CK1668" t="s">
        <v>232</v>
      </c>
      <c r="CL1668" t="s">
        <v>233</v>
      </c>
      <c r="CM1668" t="s">
        <v>20801</v>
      </c>
      <c r="CN1668" t="s">
        <v>235</v>
      </c>
      <c r="CO1668" t="s">
        <v>183</v>
      </c>
      <c r="CP1668" t="s">
        <v>266</v>
      </c>
      <c r="CS1668" t="s">
        <v>198</v>
      </c>
      <c r="DC1668" t="s">
        <v>198</v>
      </c>
      <c r="DM1668" t="s">
        <v>198</v>
      </c>
      <c r="DW1668" t="s">
        <v>198</v>
      </c>
      <c r="EG1668" t="s">
        <v>198</v>
      </c>
      <c r="EQ1668" t="s">
        <v>198</v>
      </c>
      <c r="FA1668" t="s">
        <v>198</v>
      </c>
      <c r="FK1668" t="s">
        <v>198</v>
      </c>
      <c r="FU1668" t="s">
        <v>198</v>
      </c>
    </row>
    <row r="1669" spans="1:177">
      <c r="A1669" s="1" t="str">
        <f>HYPERLINK("http://digipan.lumentumllc.com/apps/getLink/index.php?t=PropLink&amp;p=6129571","PL")</f>
        <v>PL</v>
      </c>
      <c r="B1669" s="1" t="str">
        <f>HYPERLINK("http://digipan.lumentumllc.com/apps/getLink/index.php?t=TaxLink&amp;p=6129571","TL")</f>
        <v>TL</v>
      </c>
      <c r="C1669" s="1" t="str">
        <f>HYPERLINK("http://digipan.lumentumllc.com/apps/getMap/index.php?p=6129571","Map")</f>
        <v>Map</v>
      </c>
      <c r="E1669" t="s">
        <v>177</v>
      </c>
      <c r="F1669" t="s">
        <v>178</v>
      </c>
      <c r="L1669" t="s">
        <v>20802</v>
      </c>
      <c r="N1669" t="s">
        <v>20802</v>
      </c>
      <c r="O1669" t="s">
        <v>20802</v>
      </c>
      <c r="P1669" t="s">
        <v>20803</v>
      </c>
      <c r="Q1669" t="s">
        <v>20802</v>
      </c>
      <c r="V1669">
        <v>1905</v>
      </c>
      <c r="W1669">
        <v>6</v>
      </c>
      <c r="X1669">
        <v>2017</v>
      </c>
      <c r="Y1669">
        <v>2018</v>
      </c>
      <c r="Z1669">
        <v>2689.24</v>
      </c>
      <c r="AB1669" t="s">
        <v>181</v>
      </c>
      <c r="AC1669" t="s">
        <v>182</v>
      </c>
      <c r="AD1669" t="s">
        <v>183</v>
      </c>
      <c r="AE1669">
        <v>1</v>
      </c>
      <c r="AF1669">
        <v>6</v>
      </c>
      <c r="AG1669" t="s">
        <v>322</v>
      </c>
      <c r="AH1669">
        <v>83</v>
      </c>
      <c r="AI1669">
        <v>2611.88</v>
      </c>
      <c r="AJ1669">
        <v>130.59</v>
      </c>
      <c r="AK1669">
        <v>2742.47</v>
      </c>
      <c r="AL1669">
        <v>194062</v>
      </c>
      <c r="AM1669">
        <v>194062</v>
      </c>
      <c r="AN1669">
        <v>0</v>
      </c>
      <c r="AO1669">
        <v>2390</v>
      </c>
      <c r="AP1669">
        <v>2016</v>
      </c>
      <c r="AQ1669">
        <v>1.39</v>
      </c>
      <c r="AR1669">
        <v>1.41</v>
      </c>
      <c r="AS1669" t="s">
        <v>20804</v>
      </c>
      <c r="AT1669" t="s">
        <v>15040</v>
      </c>
      <c r="AU1669" t="s">
        <v>177</v>
      </c>
      <c r="AV1669" t="s">
        <v>371</v>
      </c>
      <c r="AW1669" t="s">
        <v>182</v>
      </c>
      <c r="AX1669">
        <v>0</v>
      </c>
      <c r="AY1669" t="s">
        <v>312</v>
      </c>
      <c r="AZ1669" t="s">
        <v>199</v>
      </c>
      <c r="BA1669" t="s">
        <v>313</v>
      </c>
      <c r="BB1669" t="s">
        <v>191</v>
      </c>
      <c r="BC1669" t="s">
        <v>182</v>
      </c>
      <c r="BD1669" t="s">
        <v>182</v>
      </c>
      <c r="BE1669" t="s">
        <v>1722</v>
      </c>
      <c r="BF1669">
        <v>0</v>
      </c>
      <c r="BG1669">
        <v>0</v>
      </c>
      <c r="BH1669">
        <v>0</v>
      </c>
      <c r="BI1669" t="s">
        <v>199</v>
      </c>
      <c r="BJ1669" t="s">
        <v>315</v>
      </c>
      <c r="BL1669" t="s">
        <v>199</v>
      </c>
      <c r="BM1669" t="s">
        <v>358</v>
      </c>
      <c r="BN1669" t="s">
        <v>182</v>
      </c>
      <c r="BO1669" t="s">
        <v>198</v>
      </c>
      <c r="BP1669" t="s">
        <v>198</v>
      </c>
      <c r="BQ1669" t="s">
        <v>198</v>
      </c>
      <c r="BR1669" t="s">
        <v>198</v>
      </c>
      <c r="BS1669" t="s">
        <v>198</v>
      </c>
      <c r="BT1669" t="s">
        <v>198</v>
      </c>
      <c r="BU1669" t="s">
        <v>182</v>
      </c>
      <c r="BV1669" t="s">
        <v>198</v>
      </c>
      <c r="BW1669" t="s">
        <v>198</v>
      </c>
      <c r="BX1669" t="s">
        <v>199</v>
      </c>
      <c r="BY1669" t="s">
        <v>198</v>
      </c>
      <c r="BZ1669" t="s">
        <v>199</v>
      </c>
      <c r="CA1669" t="s">
        <v>199</v>
      </c>
      <c r="CB1669" t="s">
        <v>20805</v>
      </c>
      <c r="CC1669" t="s">
        <v>201</v>
      </c>
      <c r="CD1669" t="s">
        <v>182</v>
      </c>
      <c r="CE1669" t="s">
        <v>20806</v>
      </c>
      <c r="CF1669" t="s">
        <v>413</v>
      </c>
      <c r="CG1669" t="s">
        <v>177</v>
      </c>
      <c r="CH1669" t="s">
        <v>1044</v>
      </c>
      <c r="CI1669" t="s">
        <v>20807</v>
      </c>
      <c r="CJ1669" t="s">
        <v>13361</v>
      </c>
      <c r="CK1669" t="s">
        <v>232</v>
      </c>
      <c r="CL1669" t="s">
        <v>233</v>
      </c>
      <c r="CM1669" t="s">
        <v>20808</v>
      </c>
      <c r="CN1669" t="s">
        <v>235</v>
      </c>
      <c r="CO1669" t="s">
        <v>183</v>
      </c>
      <c r="CP1669" t="s">
        <v>266</v>
      </c>
      <c r="CS1669" t="s">
        <v>198</v>
      </c>
      <c r="CT1669" t="s">
        <v>3776</v>
      </c>
      <c r="CU1669" t="s">
        <v>292</v>
      </c>
      <c r="CV1669" t="s">
        <v>293</v>
      </c>
      <c r="CW1669" t="s">
        <v>20809</v>
      </c>
      <c r="CX1669" t="s">
        <v>235</v>
      </c>
      <c r="CY1669" t="s">
        <v>183</v>
      </c>
      <c r="CZ1669" t="s">
        <v>211</v>
      </c>
      <c r="DA1669" t="s">
        <v>212</v>
      </c>
      <c r="DC1669" t="s">
        <v>2337</v>
      </c>
      <c r="DD1669" t="s">
        <v>20810</v>
      </c>
      <c r="DE1669" t="s">
        <v>267</v>
      </c>
      <c r="DF1669" t="s">
        <v>268</v>
      </c>
      <c r="DG1669" t="s">
        <v>20811</v>
      </c>
      <c r="DH1669" t="s">
        <v>331</v>
      </c>
      <c r="DI1669" t="s">
        <v>183</v>
      </c>
      <c r="DJ1669" t="s">
        <v>211</v>
      </c>
      <c r="DK1669" t="s">
        <v>487</v>
      </c>
      <c r="DM1669" t="s">
        <v>4782</v>
      </c>
      <c r="DN1669" t="s">
        <v>4895</v>
      </c>
      <c r="DO1669" t="s">
        <v>273</v>
      </c>
      <c r="DP1669" t="s">
        <v>274</v>
      </c>
      <c r="DQ1669" t="s">
        <v>20812</v>
      </c>
      <c r="DR1669" t="s">
        <v>235</v>
      </c>
      <c r="DS1669" t="s">
        <v>183</v>
      </c>
      <c r="DT1669" t="s">
        <v>211</v>
      </c>
      <c r="DU1669" t="s">
        <v>298</v>
      </c>
      <c r="DW1669" t="s">
        <v>12212</v>
      </c>
      <c r="DX1669" t="s">
        <v>20813</v>
      </c>
      <c r="DY1669" t="s">
        <v>302</v>
      </c>
      <c r="DZ1669" t="s">
        <v>303</v>
      </c>
      <c r="EA1669" t="s">
        <v>20814</v>
      </c>
      <c r="EB1669" t="s">
        <v>3342</v>
      </c>
      <c r="EC1669" t="s">
        <v>183</v>
      </c>
      <c r="ED1669" t="s">
        <v>211</v>
      </c>
      <c r="EE1669" t="s">
        <v>460</v>
      </c>
      <c r="EG1669" t="s">
        <v>1787</v>
      </c>
      <c r="EH1669" t="s">
        <v>20815</v>
      </c>
      <c r="EI1669" t="s">
        <v>238</v>
      </c>
      <c r="EJ1669" t="s">
        <v>239</v>
      </c>
      <c r="EK1669" t="s">
        <v>20816</v>
      </c>
      <c r="EL1669" t="s">
        <v>440</v>
      </c>
      <c r="EM1669" t="s">
        <v>183</v>
      </c>
      <c r="EN1669" t="s">
        <v>211</v>
      </c>
      <c r="EO1669" t="s">
        <v>460</v>
      </c>
      <c r="EQ1669" t="s">
        <v>20817</v>
      </c>
      <c r="ER1669" t="s">
        <v>20818</v>
      </c>
      <c r="ES1669" t="s">
        <v>207</v>
      </c>
      <c r="ET1669" t="s">
        <v>208</v>
      </c>
      <c r="EU1669" t="s">
        <v>20819</v>
      </c>
      <c r="EV1669" t="s">
        <v>391</v>
      </c>
      <c r="EW1669" t="s">
        <v>183</v>
      </c>
      <c r="EX1669" t="s">
        <v>211</v>
      </c>
      <c r="EY1669" t="s">
        <v>250</v>
      </c>
      <c r="FA1669" t="s">
        <v>7534</v>
      </c>
      <c r="FK1669" t="s">
        <v>198</v>
      </c>
      <c r="FU1669" t="s">
        <v>198</v>
      </c>
    </row>
    <row r="1670" spans="1:177">
      <c r="A1670" s="1" t="str">
        <f>HYPERLINK("http://digipan.lumentumllc.com/apps/getLink/index.php?t=PropLink&amp;p=6462099","PL")</f>
        <v>PL</v>
      </c>
      <c r="B1670" s="1" t="str">
        <f>HYPERLINK("http://digipan.lumentumllc.com/apps/getLink/index.php?t=TaxLink&amp;p=6462099","TL")</f>
        <v>TL</v>
      </c>
      <c r="C1670" s="1" t="str">
        <f>HYPERLINK("http://digipan.lumentumllc.com/apps/getMap/index.php?p=6462099","Map")</f>
        <v>Map</v>
      </c>
      <c r="E1670" t="s">
        <v>177</v>
      </c>
      <c r="F1670" t="s">
        <v>178</v>
      </c>
      <c r="L1670" t="s">
        <v>20820</v>
      </c>
      <c r="N1670" t="s">
        <v>20820</v>
      </c>
      <c r="O1670" t="s">
        <v>20820</v>
      </c>
      <c r="P1670" t="s">
        <v>20821</v>
      </c>
      <c r="Q1670" t="s">
        <v>20820</v>
      </c>
      <c r="V1670">
        <v>1908</v>
      </c>
      <c r="W1670">
        <v>6</v>
      </c>
      <c r="X1670">
        <v>2017</v>
      </c>
      <c r="Y1670">
        <v>2018</v>
      </c>
      <c r="Z1670">
        <v>4760.95</v>
      </c>
      <c r="AB1670" t="s">
        <v>181</v>
      </c>
      <c r="AC1670" t="s">
        <v>202</v>
      </c>
      <c r="AD1670" t="s">
        <v>183</v>
      </c>
      <c r="AE1670">
        <v>0</v>
      </c>
      <c r="AF1670">
        <v>5</v>
      </c>
      <c r="AG1670" t="s">
        <v>3266</v>
      </c>
      <c r="AH1670">
        <v>100</v>
      </c>
      <c r="AK1670">
        <v>0</v>
      </c>
      <c r="AL1670">
        <v>408596</v>
      </c>
      <c r="AM1670">
        <v>210000</v>
      </c>
      <c r="AN1670">
        <v>198596</v>
      </c>
      <c r="AO1670">
        <v>4333</v>
      </c>
      <c r="AP1670">
        <v>2016</v>
      </c>
      <c r="AQ1670">
        <v>1.17</v>
      </c>
      <c r="AS1670" t="s">
        <v>20822</v>
      </c>
      <c r="AT1670" t="s">
        <v>15040</v>
      </c>
      <c r="AU1670" t="s">
        <v>177</v>
      </c>
      <c r="AV1670" t="s">
        <v>371</v>
      </c>
      <c r="AW1670" t="s">
        <v>202</v>
      </c>
      <c r="AX1670">
        <v>1</v>
      </c>
      <c r="AY1670" t="s">
        <v>188</v>
      </c>
      <c r="AZ1670" t="s">
        <v>206</v>
      </c>
      <c r="BA1670" t="s">
        <v>355</v>
      </c>
      <c r="BB1670" t="s">
        <v>191</v>
      </c>
      <c r="BC1670" t="s">
        <v>182</v>
      </c>
      <c r="BD1670" t="s">
        <v>182</v>
      </c>
      <c r="BE1670" t="s">
        <v>1385</v>
      </c>
      <c r="BF1670">
        <v>1</v>
      </c>
      <c r="BG1670">
        <v>1</v>
      </c>
      <c r="BH1670">
        <v>1995</v>
      </c>
      <c r="BI1670" t="s">
        <v>18758</v>
      </c>
      <c r="BJ1670" t="s">
        <v>396</v>
      </c>
      <c r="BK1670" t="s">
        <v>195</v>
      </c>
      <c r="BL1670" t="s">
        <v>18331</v>
      </c>
      <c r="BM1670" t="s">
        <v>2351</v>
      </c>
      <c r="BN1670" t="s">
        <v>182</v>
      </c>
      <c r="BO1670" t="s">
        <v>3184</v>
      </c>
      <c r="BP1670" t="s">
        <v>9161</v>
      </c>
      <c r="BR1670" t="s">
        <v>1461</v>
      </c>
      <c r="BS1670" t="s">
        <v>20823</v>
      </c>
      <c r="BT1670" t="s">
        <v>198</v>
      </c>
      <c r="BU1670" t="s">
        <v>182</v>
      </c>
      <c r="BV1670" t="s">
        <v>198</v>
      </c>
      <c r="BW1670" t="s">
        <v>198</v>
      </c>
      <c r="BX1670" t="s">
        <v>199</v>
      </c>
      <c r="BY1670" t="s">
        <v>198</v>
      </c>
      <c r="BZ1670" t="s">
        <v>199</v>
      </c>
      <c r="CA1670" t="s">
        <v>199</v>
      </c>
      <c r="CB1670" t="s">
        <v>20824</v>
      </c>
      <c r="CC1670" t="s">
        <v>201</v>
      </c>
      <c r="CD1670" t="s">
        <v>182</v>
      </c>
      <c r="CE1670" t="s">
        <v>20825</v>
      </c>
      <c r="CF1670" t="s">
        <v>5331</v>
      </c>
      <c r="CG1670" t="s">
        <v>177</v>
      </c>
      <c r="CH1670" t="s">
        <v>371</v>
      </c>
      <c r="CI1670" t="s">
        <v>20826</v>
      </c>
      <c r="CJ1670" t="s">
        <v>19662</v>
      </c>
      <c r="CK1670" t="s">
        <v>232</v>
      </c>
      <c r="CL1670" t="s">
        <v>233</v>
      </c>
      <c r="CM1670" t="s">
        <v>20827</v>
      </c>
      <c r="CN1670" t="s">
        <v>235</v>
      </c>
      <c r="CO1670" t="s">
        <v>183</v>
      </c>
      <c r="CP1670" t="s">
        <v>211</v>
      </c>
      <c r="CQ1670" t="s">
        <v>270</v>
      </c>
      <c r="CS1670" t="s">
        <v>10862</v>
      </c>
      <c r="CT1670" t="s">
        <v>2061</v>
      </c>
      <c r="CU1670" t="s">
        <v>292</v>
      </c>
      <c r="CV1670" t="s">
        <v>293</v>
      </c>
      <c r="CW1670" t="s">
        <v>20828</v>
      </c>
      <c r="CX1670" t="s">
        <v>235</v>
      </c>
      <c r="CY1670" t="s">
        <v>183</v>
      </c>
      <c r="CZ1670" t="s">
        <v>211</v>
      </c>
      <c r="DA1670" t="s">
        <v>250</v>
      </c>
      <c r="DB1670" t="s">
        <v>271</v>
      </c>
      <c r="DC1670" t="s">
        <v>20829</v>
      </c>
      <c r="DD1670" t="s">
        <v>19722</v>
      </c>
      <c r="DE1670" t="s">
        <v>267</v>
      </c>
      <c r="DF1670" t="s">
        <v>268</v>
      </c>
      <c r="DG1670" t="s">
        <v>20830</v>
      </c>
      <c r="DH1670" t="s">
        <v>235</v>
      </c>
      <c r="DI1670" t="s">
        <v>183</v>
      </c>
      <c r="DJ1670" t="s">
        <v>211</v>
      </c>
      <c r="DL1670" t="s">
        <v>271</v>
      </c>
      <c r="DM1670" t="s">
        <v>198</v>
      </c>
      <c r="DN1670" t="s">
        <v>20831</v>
      </c>
      <c r="DO1670" t="s">
        <v>273</v>
      </c>
      <c r="DP1670" t="s">
        <v>274</v>
      </c>
      <c r="DQ1670" t="s">
        <v>20832</v>
      </c>
      <c r="DR1670" t="s">
        <v>235</v>
      </c>
      <c r="DS1670" t="s">
        <v>183</v>
      </c>
      <c r="DT1670" t="s">
        <v>211</v>
      </c>
      <c r="DV1670" t="s">
        <v>271</v>
      </c>
      <c r="DW1670" t="s">
        <v>198</v>
      </c>
      <c r="DX1670" t="s">
        <v>20833</v>
      </c>
      <c r="DY1670" t="s">
        <v>302</v>
      </c>
      <c r="DZ1670" t="s">
        <v>303</v>
      </c>
      <c r="EA1670" t="s">
        <v>20834</v>
      </c>
      <c r="EB1670" t="s">
        <v>235</v>
      </c>
      <c r="EC1670" t="s">
        <v>183</v>
      </c>
      <c r="ED1670" t="s">
        <v>211</v>
      </c>
      <c r="EE1670" t="s">
        <v>337</v>
      </c>
      <c r="EG1670" t="s">
        <v>20835</v>
      </c>
      <c r="EQ1670" t="s">
        <v>198</v>
      </c>
      <c r="FA1670" t="s">
        <v>198</v>
      </c>
      <c r="FK1670" t="s">
        <v>198</v>
      </c>
      <c r="FU1670" t="s">
        <v>198</v>
      </c>
    </row>
    <row r="1671" spans="1:177">
      <c r="A1671" s="1" t="str">
        <f>HYPERLINK("http://digipan.lumentumllc.com/apps/getLink/index.php?t=PropLink&amp;p=15761682","PL")</f>
        <v>PL</v>
      </c>
      <c r="B1671" s="1" t="str">
        <f>HYPERLINK("http://digipan.lumentumllc.com/apps/getLink/index.php?t=TaxLink&amp;p=15761682","TL")</f>
        <v>TL</v>
      </c>
      <c r="C1671" s="1" t="str">
        <f>HYPERLINK("http://digipan.lumentumllc.com/apps/getMap/index.php?p=15761682","Map")</f>
        <v>Map</v>
      </c>
      <c r="E1671" t="s">
        <v>177</v>
      </c>
      <c r="F1671" t="s">
        <v>178</v>
      </c>
      <c r="L1671" t="s">
        <v>20836</v>
      </c>
      <c r="N1671" t="s">
        <v>20836</v>
      </c>
      <c r="O1671" t="s">
        <v>20836</v>
      </c>
      <c r="Q1671" t="s">
        <v>20836</v>
      </c>
      <c r="V1671">
        <v>1910</v>
      </c>
      <c r="W1671">
        <v>6</v>
      </c>
      <c r="X1671">
        <v>2017</v>
      </c>
      <c r="Y1671">
        <v>2018</v>
      </c>
      <c r="Z1671">
        <v>678.47</v>
      </c>
      <c r="AB1671" t="s">
        <v>181</v>
      </c>
      <c r="AC1671" t="s">
        <v>182</v>
      </c>
      <c r="AD1671" t="s">
        <v>183</v>
      </c>
      <c r="AE1671">
        <v>0</v>
      </c>
      <c r="AF1671">
        <v>1</v>
      </c>
      <c r="AG1671" t="s">
        <v>821</v>
      </c>
      <c r="AH1671">
        <v>100</v>
      </c>
      <c r="AK1671">
        <v>0</v>
      </c>
      <c r="AL1671">
        <v>39486</v>
      </c>
      <c r="AM1671">
        <v>30000</v>
      </c>
      <c r="AN1671">
        <v>9486</v>
      </c>
      <c r="AO1671">
        <v>630</v>
      </c>
      <c r="AP1671">
        <v>2016</v>
      </c>
      <c r="AQ1671">
        <v>1.72</v>
      </c>
      <c r="AS1671" t="s">
        <v>20837</v>
      </c>
      <c r="AT1671" t="s">
        <v>15040</v>
      </c>
      <c r="AU1671" t="s">
        <v>177</v>
      </c>
      <c r="AV1671" t="s">
        <v>371</v>
      </c>
      <c r="AW1671" t="s">
        <v>182</v>
      </c>
      <c r="AX1671">
        <v>2</v>
      </c>
      <c r="AY1671" t="s">
        <v>188</v>
      </c>
      <c r="AZ1671" t="s">
        <v>189</v>
      </c>
      <c r="BA1671" t="s">
        <v>190</v>
      </c>
      <c r="BB1671" t="s">
        <v>191</v>
      </c>
      <c r="BC1671" t="s">
        <v>182</v>
      </c>
      <c r="BD1671" t="s">
        <v>182</v>
      </c>
      <c r="BE1671" t="s">
        <v>20626</v>
      </c>
      <c r="BF1671">
        <v>1</v>
      </c>
      <c r="BG1671">
        <v>1</v>
      </c>
      <c r="BH1671">
        <v>1975</v>
      </c>
      <c r="BI1671" t="s">
        <v>11126</v>
      </c>
      <c r="BJ1671" t="s">
        <v>315</v>
      </c>
      <c r="BK1671" t="s">
        <v>195</v>
      </c>
      <c r="BL1671" t="s">
        <v>196</v>
      </c>
      <c r="BM1671" t="s">
        <v>232</v>
      </c>
      <c r="BN1671" t="s">
        <v>182</v>
      </c>
      <c r="BO1671" t="s">
        <v>198</v>
      </c>
      <c r="BP1671" t="s">
        <v>198</v>
      </c>
      <c r="BQ1671" t="s">
        <v>198</v>
      </c>
      <c r="BR1671" t="s">
        <v>198</v>
      </c>
      <c r="BS1671" t="s">
        <v>198</v>
      </c>
      <c r="BT1671" t="s">
        <v>198</v>
      </c>
      <c r="BU1671" t="s">
        <v>182</v>
      </c>
      <c r="BV1671" t="s">
        <v>198</v>
      </c>
      <c r="BW1671" t="s">
        <v>198</v>
      </c>
      <c r="BX1671" t="s">
        <v>199</v>
      </c>
      <c r="BY1671" t="s">
        <v>198</v>
      </c>
      <c r="BZ1671" t="s">
        <v>199</v>
      </c>
      <c r="CA1671" t="s">
        <v>199</v>
      </c>
      <c r="CB1671" t="s">
        <v>20838</v>
      </c>
      <c r="CC1671" t="s">
        <v>201</v>
      </c>
      <c r="CD1671" t="s">
        <v>182</v>
      </c>
      <c r="CE1671" t="s">
        <v>20839</v>
      </c>
      <c r="CF1671" t="s">
        <v>5331</v>
      </c>
      <c r="CG1671" t="s">
        <v>177</v>
      </c>
      <c r="CH1671" t="s">
        <v>371</v>
      </c>
      <c r="CI1671" t="s">
        <v>20840</v>
      </c>
      <c r="CJ1671" t="s">
        <v>19120</v>
      </c>
      <c r="CK1671" t="s">
        <v>232</v>
      </c>
      <c r="CL1671" t="s">
        <v>233</v>
      </c>
      <c r="CM1671" t="s">
        <v>20841</v>
      </c>
      <c r="CN1671" t="s">
        <v>235</v>
      </c>
      <c r="CO1671" t="s">
        <v>183</v>
      </c>
      <c r="CP1671" t="s">
        <v>211</v>
      </c>
      <c r="CQ1671" t="s">
        <v>342</v>
      </c>
      <c r="CS1671" t="s">
        <v>2177</v>
      </c>
      <c r="DC1671" t="s">
        <v>198</v>
      </c>
      <c r="DM1671" t="s">
        <v>198</v>
      </c>
      <c r="DW1671" t="s">
        <v>198</v>
      </c>
      <c r="EG1671" t="s">
        <v>198</v>
      </c>
      <c r="EQ1671" t="s">
        <v>198</v>
      </c>
      <c r="FA1671" t="s">
        <v>198</v>
      </c>
      <c r="FK1671" t="s">
        <v>198</v>
      </c>
      <c r="FU1671" t="s">
        <v>198</v>
      </c>
    </row>
    <row r="1672" spans="1:177">
      <c r="A1672" s="1" t="str">
        <f>HYPERLINK("http://digipan.lumentumllc.com/apps/getLink/index.php?t=PropLink&amp;p=6462100","PL")</f>
        <v>PL</v>
      </c>
      <c r="B1672" s="1" t="str">
        <f>HYPERLINK("http://digipan.lumentumllc.com/apps/getLink/index.php?t=TaxLink&amp;p=6462100","TL")</f>
        <v>TL</v>
      </c>
      <c r="C1672" s="1" t="str">
        <f>HYPERLINK("http://digipan.lumentumllc.com/apps/getMap/index.php?p=6462100","Map")</f>
        <v>Map</v>
      </c>
      <c r="E1672" t="s">
        <v>177</v>
      </c>
      <c r="F1672" t="s">
        <v>178</v>
      </c>
      <c r="L1672" t="s">
        <v>20842</v>
      </c>
      <c r="N1672" t="s">
        <v>20842</v>
      </c>
      <c r="O1672" t="s">
        <v>20842</v>
      </c>
      <c r="P1672" t="s">
        <v>20843</v>
      </c>
      <c r="Q1672" t="s">
        <v>20842</v>
      </c>
      <c r="V1672">
        <v>1911</v>
      </c>
      <c r="W1672">
        <v>6</v>
      </c>
      <c r="X1672">
        <v>2017</v>
      </c>
      <c r="Y1672">
        <v>2018</v>
      </c>
      <c r="Z1672">
        <v>1114.1199999999999</v>
      </c>
      <c r="AB1672" t="s">
        <v>181</v>
      </c>
      <c r="AC1672" t="s">
        <v>182</v>
      </c>
      <c r="AD1672" t="s">
        <v>183</v>
      </c>
      <c r="AE1672">
        <v>1</v>
      </c>
      <c r="AF1672">
        <v>4</v>
      </c>
      <c r="AG1672" t="s">
        <v>951</v>
      </c>
      <c r="AH1672">
        <v>80</v>
      </c>
      <c r="AI1672">
        <v>927.21</v>
      </c>
      <c r="AJ1672">
        <v>46.36</v>
      </c>
      <c r="AK1672">
        <v>973.57</v>
      </c>
      <c r="AL1672">
        <v>74439</v>
      </c>
      <c r="AM1672">
        <v>35400</v>
      </c>
      <c r="AN1672">
        <v>39039</v>
      </c>
      <c r="AO1672">
        <v>832</v>
      </c>
      <c r="AP1672">
        <v>2016</v>
      </c>
      <c r="AQ1672">
        <v>1.5</v>
      </c>
      <c r="AR1672">
        <v>1.31</v>
      </c>
      <c r="AS1672" t="s">
        <v>20844</v>
      </c>
      <c r="AT1672" t="s">
        <v>15040</v>
      </c>
      <c r="AU1672" t="s">
        <v>177</v>
      </c>
      <c r="AV1672" t="s">
        <v>371</v>
      </c>
      <c r="AW1672" t="s">
        <v>182</v>
      </c>
      <c r="AX1672">
        <v>2</v>
      </c>
      <c r="AY1672" t="s">
        <v>188</v>
      </c>
      <c r="AZ1672" t="s">
        <v>189</v>
      </c>
      <c r="BA1672" t="s">
        <v>190</v>
      </c>
      <c r="BB1672" t="s">
        <v>191</v>
      </c>
      <c r="BC1672" t="s">
        <v>182</v>
      </c>
      <c r="BD1672" t="s">
        <v>182</v>
      </c>
      <c r="BE1672" t="s">
        <v>14631</v>
      </c>
      <c r="BF1672">
        <v>1</v>
      </c>
      <c r="BG1672">
        <v>1</v>
      </c>
      <c r="BH1672">
        <v>1993</v>
      </c>
      <c r="BI1672" t="s">
        <v>20845</v>
      </c>
      <c r="BJ1672" t="s">
        <v>194</v>
      </c>
      <c r="BL1672" t="s">
        <v>7796</v>
      </c>
      <c r="BM1672" t="s">
        <v>302</v>
      </c>
      <c r="BN1672" t="s">
        <v>182</v>
      </c>
      <c r="BO1672" t="s">
        <v>15662</v>
      </c>
      <c r="BP1672" t="s">
        <v>9234</v>
      </c>
      <c r="BS1672" t="s">
        <v>15663</v>
      </c>
      <c r="BT1672" t="s">
        <v>198</v>
      </c>
      <c r="BU1672" t="s">
        <v>182</v>
      </c>
      <c r="BV1672" t="s">
        <v>198</v>
      </c>
      <c r="BW1672" t="s">
        <v>198</v>
      </c>
      <c r="BX1672" t="s">
        <v>199</v>
      </c>
      <c r="BY1672" t="s">
        <v>198</v>
      </c>
      <c r="BZ1672" t="s">
        <v>199</v>
      </c>
      <c r="CA1672" t="s">
        <v>199</v>
      </c>
      <c r="CB1672" t="s">
        <v>15664</v>
      </c>
      <c r="CC1672" t="s">
        <v>201</v>
      </c>
      <c r="CD1672" t="s">
        <v>182</v>
      </c>
      <c r="CE1672" t="s">
        <v>15665</v>
      </c>
      <c r="CF1672" t="s">
        <v>5331</v>
      </c>
      <c r="CG1672" t="s">
        <v>177</v>
      </c>
      <c r="CH1672" t="s">
        <v>371</v>
      </c>
      <c r="CI1672" t="s">
        <v>20846</v>
      </c>
      <c r="CJ1672" t="s">
        <v>19127</v>
      </c>
      <c r="CK1672" t="s">
        <v>232</v>
      </c>
      <c r="CL1672" t="s">
        <v>233</v>
      </c>
      <c r="CM1672" t="s">
        <v>20847</v>
      </c>
      <c r="CN1672" t="s">
        <v>235</v>
      </c>
      <c r="CO1672" t="s">
        <v>183</v>
      </c>
      <c r="CP1672" t="s">
        <v>266</v>
      </c>
      <c r="CS1672" t="s">
        <v>198</v>
      </c>
      <c r="CT1672" t="s">
        <v>20848</v>
      </c>
      <c r="CU1672" t="s">
        <v>292</v>
      </c>
      <c r="CV1672" t="s">
        <v>293</v>
      </c>
      <c r="CW1672" t="s">
        <v>13408</v>
      </c>
      <c r="CX1672" t="s">
        <v>235</v>
      </c>
      <c r="CY1672" t="s">
        <v>183</v>
      </c>
      <c r="CZ1672" t="s">
        <v>211</v>
      </c>
      <c r="DA1672" t="s">
        <v>298</v>
      </c>
      <c r="DC1672" t="s">
        <v>4914</v>
      </c>
      <c r="DD1672" t="s">
        <v>1224</v>
      </c>
      <c r="DE1672" t="s">
        <v>267</v>
      </c>
      <c r="DF1672" t="s">
        <v>268</v>
      </c>
      <c r="DG1672" t="s">
        <v>20849</v>
      </c>
      <c r="DH1672" t="s">
        <v>235</v>
      </c>
      <c r="DI1672" t="s">
        <v>183</v>
      </c>
      <c r="DJ1672" t="s">
        <v>211</v>
      </c>
      <c r="DK1672" t="s">
        <v>298</v>
      </c>
      <c r="DM1672" t="s">
        <v>1611</v>
      </c>
      <c r="DN1672" t="s">
        <v>20850</v>
      </c>
      <c r="DO1672" t="s">
        <v>273</v>
      </c>
      <c r="DP1672" t="s">
        <v>274</v>
      </c>
      <c r="DQ1672" t="s">
        <v>20851</v>
      </c>
      <c r="DR1672" t="s">
        <v>235</v>
      </c>
      <c r="DS1672" t="s">
        <v>183</v>
      </c>
      <c r="DT1672" t="s">
        <v>211</v>
      </c>
      <c r="DU1672" t="s">
        <v>250</v>
      </c>
      <c r="DW1672" t="s">
        <v>15670</v>
      </c>
      <c r="DX1672" t="s">
        <v>20852</v>
      </c>
      <c r="DY1672" t="s">
        <v>302</v>
      </c>
      <c r="DZ1672" t="s">
        <v>303</v>
      </c>
      <c r="EA1672" t="s">
        <v>20853</v>
      </c>
      <c r="EB1672" t="s">
        <v>235</v>
      </c>
      <c r="EC1672" t="s">
        <v>183</v>
      </c>
      <c r="ED1672" t="s">
        <v>211</v>
      </c>
      <c r="EE1672" t="s">
        <v>487</v>
      </c>
      <c r="EG1672" t="s">
        <v>15670</v>
      </c>
      <c r="EQ1672" t="s">
        <v>198</v>
      </c>
      <c r="FA1672" t="s">
        <v>198</v>
      </c>
      <c r="FK1672" t="s">
        <v>198</v>
      </c>
      <c r="FU1672" t="s">
        <v>198</v>
      </c>
    </row>
    <row r="1673" spans="1:177">
      <c r="A1673" s="1" t="str">
        <f>HYPERLINK("http://digipan.lumentumllc.com/apps/getLink/index.php?t=PropLink&amp;p=5248322","PL")</f>
        <v>PL</v>
      </c>
      <c r="B1673" s="1" t="str">
        <f>HYPERLINK("http://digipan.lumentumllc.com/apps/getLink/index.php?t=TaxLink&amp;p=5248322","TL")</f>
        <v>TL</v>
      </c>
      <c r="C1673" s="1" t="str">
        <f>HYPERLINK("http://digipan.lumentumllc.com/apps/getMap/index.php?p=5248322","Map")</f>
        <v>Map</v>
      </c>
      <c r="E1673" t="s">
        <v>177</v>
      </c>
      <c r="F1673" t="s">
        <v>178</v>
      </c>
      <c r="L1673" t="s">
        <v>20854</v>
      </c>
      <c r="N1673" t="s">
        <v>20854</v>
      </c>
      <c r="O1673" t="s">
        <v>20854</v>
      </c>
      <c r="P1673" t="s">
        <v>20855</v>
      </c>
      <c r="Q1673" t="s">
        <v>20854</v>
      </c>
      <c r="V1673">
        <v>1912</v>
      </c>
      <c r="W1673">
        <v>6</v>
      </c>
      <c r="X1673">
        <v>2017</v>
      </c>
      <c r="Y1673">
        <v>2018</v>
      </c>
      <c r="Z1673">
        <v>611.24</v>
      </c>
      <c r="AB1673" t="s">
        <v>181</v>
      </c>
      <c r="AC1673" t="s">
        <v>202</v>
      </c>
      <c r="AD1673" t="s">
        <v>183</v>
      </c>
      <c r="AE1673">
        <v>0</v>
      </c>
      <c r="AF1673">
        <v>6</v>
      </c>
      <c r="AG1673" t="s">
        <v>3266</v>
      </c>
      <c r="AH1673">
        <v>100</v>
      </c>
      <c r="AK1673">
        <v>0</v>
      </c>
      <c r="AL1673">
        <v>39902</v>
      </c>
      <c r="AM1673">
        <v>23400</v>
      </c>
      <c r="AN1673">
        <v>16502</v>
      </c>
      <c r="AO1673">
        <v>445</v>
      </c>
      <c r="AP1673">
        <v>2016</v>
      </c>
      <c r="AQ1673">
        <v>1.53</v>
      </c>
      <c r="AS1673" t="s">
        <v>20856</v>
      </c>
      <c r="AT1673" t="s">
        <v>15040</v>
      </c>
      <c r="AU1673" t="s">
        <v>177</v>
      </c>
      <c r="AV1673" t="s">
        <v>371</v>
      </c>
      <c r="AW1673" t="s">
        <v>182</v>
      </c>
      <c r="AX1673">
        <v>2</v>
      </c>
      <c r="AY1673" t="s">
        <v>188</v>
      </c>
      <c r="AZ1673" t="s">
        <v>189</v>
      </c>
      <c r="BA1673" t="s">
        <v>190</v>
      </c>
      <c r="BB1673" t="s">
        <v>191</v>
      </c>
      <c r="BC1673" t="s">
        <v>182</v>
      </c>
      <c r="BD1673" t="s">
        <v>182</v>
      </c>
      <c r="BE1673" t="s">
        <v>16543</v>
      </c>
      <c r="BF1673">
        <v>1</v>
      </c>
      <c r="BG1673">
        <v>1</v>
      </c>
      <c r="BH1673">
        <v>1991</v>
      </c>
      <c r="BI1673" t="s">
        <v>2209</v>
      </c>
      <c r="BJ1673" t="s">
        <v>194</v>
      </c>
      <c r="BK1673" t="s">
        <v>195</v>
      </c>
      <c r="BL1673" t="s">
        <v>199</v>
      </c>
      <c r="BM1673" t="s">
        <v>302</v>
      </c>
      <c r="BN1673" t="s">
        <v>182</v>
      </c>
      <c r="BO1673" t="s">
        <v>4339</v>
      </c>
      <c r="BP1673" t="s">
        <v>20857</v>
      </c>
      <c r="BS1673" t="s">
        <v>20858</v>
      </c>
      <c r="BT1673" t="s">
        <v>198</v>
      </c>
      <c r="BU1673" t="s">
        <v>182</v>
      </c>
      <c r="BV1673" t="s">
        <v>198</v>
      </c>
      <c r="BW1673" t="s">
        <v>198</v>
      </c>
      <c r="BX1673" t="s">
        <v>199</v>
      </c>
      <c r="BY1673" t="s">
        <v>198</v>
      </c>
      <c r="BZ1673" t="s">
        <v>199</v>
      </c>
      <c r="CA1673" t="s">
        <v>199</v>
      </c>
      <c r="CB1673" t="s">
        <v>20859</v>
      </c>
      <c r="CC1673" t="s">
        <v>201</v>
      </c>
      <c r="CD1673" t="s">
        <v>182</v>
      </c>
      <c r="CE1673" t="s">
        <v>20860</v>
      </c>
      <c r="CF1673" t="s">
        <v>2333</v>
      </c>
      <c r="CG1673" t="s">
        <v>177</v>
      </c>
      <c r="CH1673" t="s">
        <v>2334</v>
      </c>
      <c r="CI1673" t="s">
        <v>20861</v>
      </c>
      <c r="CJ1673" t="s">
        <v>18269</v>
      </c>
      <c r="CK1673" t="s">
        <v>292</v>
      </c>
      <c r="CL1673" t="s">
        <v>293</v>
      </c>
      <c r="CM1673" t="s">
        <v>20862</v>
      </c>
      <c r="CN1673" t="s">
        <v>235</v>
      </c>
      <c r="CO1673" t="s">
        <v>183</v>
      </c>
      <c r="CP1673" t="s">
        <v>211</v>
      </c>
      <c r="CQ1673" t="s">
        <v>270</v>
      </c>
      <c r="CR1673" t="s">
        <v>271</v>
      </c>
      <c r="CS1673" t="s">
        <v>2808</v>
      </c>
      <c r="CT1673" t="s">
        <v>8738</v>
      </c>
      <c r="CU1673" t="s">
        <v>267</v>
      </c>
      <c r="CV1673" t="s">
        <v>268</v>
      </c>
      <c r="CW1673" t="s">
        <v>20863</v>
      </c>
      <c r="CX1673" t="s">
        <v>927</v>
      </c>
      <c r="CY1673" t="s">
        <v>183</v>
      </c>
      <c r="CZ1673" t="s">
        <v>211</v>
      </c>
      <c r="DB1673" t="s">
        <v>271</v>
      </c>
      <c r="DC1673" t="s">
        <v>198</v>
      </c>
      <c r="DD1673" t="s">
        <v>12004</v>
      </c>
      <c r="DE1673" t="s">
        <v>273</v>
      </c>
      <c r="DF1673" t="s">
        <v>274</v>
      </c>
      <c r="DG1673" t="s">
        <v>20864</v>
      </c>
      <c r="DH1673" t="s">
        <v>235</v>
      </c>
      <c r="DI1673" t="s">
        <v>183</v>
      </c>
      <c r="DJ1673" t="s">
        <v>211</v>
      </c>
      <c r="DK1673" t="s">
        <v>329</v>
      </c>
      <c r="DM1673" t="s">
        <v>3499</v>
      </c>
      <c r="DN1673" t="s">
        <v>16561</v>
      </c>
      <c r="DO1673" t="s">
        <v>302</v>
      </c>
      <c r="DP1673" t="s">
        <v>303</v>
      </c>
      <c r="DQ1673" t="s">
        <v>20865</v>
      </c>
      <c r="DR1673" t="s">
        <v>235</v>
      </c>
      <c r="DS1673" t="s">
        <v>183</v>
      </c>
      <c r="DT1673" t="s">
        <v>211</v>
      </c>
      <c r="DU1673" t="s">
        <v>298</v>
      </c>
      <c r="DW1673" t="s">
        <v>3499</v>
      </c>
      <c r="DX1673" t="s">
        <v>20866</v>
      </c>
      <c r="DY1673" t="s">
        <v>346</v>
      </c>
      <c r="DZ1673" t="s">
        <v>347</v>
      </c>
      <c r="EA1673" t="s">
        <v>20867</v>
      </c>
      <c r="EB1673" t="s">
        <v>278</v>
      </c>
      <c r="EC1673" t="s">
        <v>183</v>
      </c>
      <c r="ED1673" t="s">
        <v>211</v>
      </c>
      <c r="EE1673" t="s">
        <v>329</v>
      </c>
      <c r="EG1673" t="s">
        <v>5101</v>
      </c>
      <c r="EH1673" t="s">
        <v>1024</v>
      </c>
      <c r="EI1673" t="s">
        <v>207</v>
      </c>
      <c r="EJ1673" t="s">
        <v>208</v>
      </c>
      <c r="EK1673" t="s">
        <v>20868</v>
      </c>
      <c r="EL1673" t="s">
        <v>618</v>
      </c>
      <c r="EM1673" t="s">
        <v>183</v>
      </c>
      <c r="EN1673" t="s">
        <v>211</v>
      </c>
      <c r="EO1673" t="s">
        <v>296</v>
      </c>
      <c r="EQ1673" t="s">
        <v>9836</v>
      </c>
      <c r="FA1673" t="s">
        <v>198</v>
      </c>
      <c r="FK1673" t="s">
        <v>198</v>
      </c>
      <c r="FU1673" t="s">
        <v>198</v>
      </c>
    </row>
    <row r="1674" spans="1:177">
      <c r="A1674" s="1" t="str">
        <f>HYPERLINK("http://digipan.lumentumllc.com/apps/getLink/index.php?t=PropLink&amp;p=5248325","PL")</f>
        <v>PL</v>
      </c>
      <c r="B1674" s="1" t="str">
        <f>HYPERLINK("http://digipan.lumentumllc.com/apps/getLink/index.php?t=TaxLink&amp;p=5248325","TL")</f>
        <v>TL</v>
      </c>
      <c r="C1674" s="1" t="str">
        <f>HYPERLINK("http://digipan.lumentumllc.com/apps/getMap/index.php?p=5248325","Map")</f>
        <v>Map</v>
      </c>
      <c r="E1674" t="s">
        <v>177</v>
      </c>
      <c r="F1674" t="s">
        <v>178</v>
      </c>
      <c r="L1674" t="s">
        <v>20869</v>
      </c>
      <c r="N1674" t="s">
        <v>20869</v>
      </c>
      <c r="O1674" t="s">
        <v>20869</v>
      </c>
      <c r="P1674" t="s">
        <v>20870</v>
      </c>
      <c r="Q1674" t="s">
        <v>20869</v>
      </c>
      <c r="V1674">
        <v>1913</v>
      </c>
      <c r="W1674">
        <v>6</v>
      </c>
      <c r="X1674">
        <v>2017</v>
      </c>
      <c r="Y1674">
        <v>2018</v>
      </c>
      <c r="Z1674">
        <v>1149.25</v>
      </c>
      <c r="AB1674" t="s">
        <v>181</v>
      </c>
      <c r="AC1674" t="s">
        <v>182</v>
      </c>
      <c r="AD1674" t="s">
        <v>183</v>
      </c>
      <c r="AE1674">
        <v>0</v>
      </c>
      <c r="AF1674">
        <v>8</v>
      </c>
      <c r="AG1674" t="s">
        <v>1059</v>
      </c>
      <c r="AH1674">
        <v>100</v>
      </c>
      <c r="AK1674">
        <v>0</v>
      </c>
      <c r="AL1674">
        <v>68239</v>
      </c>
      <c r="AM1674">
        <v>30000</v>
      </c>
      <c r="AN1674">
        <v>38239</v>
      </c>
      <c r="AO1674">
        <v>1032</v>
      </c>
      <c r="AP1674">
        <v>2016</v>
      </c>
      <c r="AQ1674">
        <v>1.68</v>
      </c>
      <c r="AS1674" t="s">
        <v>20871</v>
      </c>
      <c r="AT1674" t="s">
        <v>15040</v>
      </c>
      <c r="AU1674" t="s">
        <v>177</v>
      </c>
      <c r="AV1674" t="s">
        <v>371</v>
      </c>
      <c r="AW1674" t="s">
        <v>182</v>
      </c>
      <c r="AX1674">
        <v>2</v>
      </c>
      <c r="AY1674" t="s">
        <v>188</v>
      </c>
      <c r="AZ1674" t="s">
        <v>189</v>
      </c>
      <c r="BA1674" t="s">
        <v>190</v>
      </c>
      <c r="BB1674" t="s">
        <v>191</v>
      </c>
      <c r="BC1674" t="s">
        <v>182</v>
      </c>
      <c r="BD1674" t="s">
        <v>182</v>
      </c>
      <c r="BE1674" t="s">
        <v>20626</v>
      </c>
      <c r="BF1674">
        <v>2</v>
      </c>
      <c r="BG1674">
        <v>2</v>
      </c>
      <c r="BH1674">
        <v>1969</v>
      </c>
      <c r="BI1674" t="s">
        <v>17104</v>
      </c>
      <c r="BJ1674" t="s">
        <v>194</v>
      </c>
      <c r="BK1674" t="s">
        <v>195</v>
      </c>
      <c r="BL1674" t="s">
        <v>199</v>
      </c>
      <c r="BM1674" t="s">
        <v>292</v>
      </c>
      <c r="BN1674" t="s">
        <v>182</v>
      </c>
      <c r="BO1674" t="s">
        <v>3184</v>
      </c>
      <c r="BP1674" t="s">
        <v>20872</v>
      </c>
      <c r="BR1674" t="s">
        <v>1461</v>
      </c>
      <c r="BS1674" t="s">
        <v>20873</v>
      </c>
      <c r="BT1674" t="s">
        <v>198</v>
      </c>
      <c r="BU1674" t="s">
        <v>182</v>
      </c>
      <c r="BV1674" t="s">
        <v>198</v>
      </c>
      <c r="BW1674" t="s">
        <v>198</v>
      </c>
      <c r="BX1674" t="s">
        <v>199</v>
      </c>
      <c r="BY1674" t="s">
        <v>198</v>
      </c>
      <c r="BZ1674" t="s">
        <v>199</v>
      </c>
      <c r="CA1674" t="s">
        <v>199</v>
      </c>
      <c r="CB1674" t="s">
        <v>20838</v>
      </c>
      <c r="CC1674" t="s">
        <v>201</v>
      </c>
      <c r="CD1674" t="s">
        <v>182</v>
      </c>
      <c r="CE1674" t="s">
        <v>20839</v>
      </c>
      <c r="CF1674" t="s">
        <v>5331</v>
      </c>
      <c r="CG1674" t="s">
        <v>177</v>
      </c>
      <c r="CH1674" t="s">
        <v>371</v>
      </c>
      <c r="CI1674" t="s">
        <v>20874</v>
      </c>
      <c r="CJ1674" t="s">
        <v>20590</v>
      </c>
      <c r="CK1674" t="s">
        <v>232</v>
      </c>
      <c r="CL1674" t="s">
        <v>233</v>
      </c>
      <c r="CM1674" t="s">
        <v>20875</v>
      </c>
      <c r="CN1674" t="s">
        <v>235</v>
      </c>
      <c r="CO1674" t="s">
        <v>183</v>
      </c>
      <c r="CP1674" t="s">
        <v>211</v>
      </c>
      <c r="CQ1674" t="s">
        <v>342</v>
      </c>
      <c r="CS1674" t="s">
        <v>2177</v>
      </c>
      <c r="CT1674" t="s">
        <v>20183</v>
      </c>
      <c r="CU1674" t="s">
        <v>292</v>
      </c>
      <c r="CV1674" t="s">
        <v>293</v>
      </c>
      <c r="CW1674" t="s">
        <v>20876</v>
      </c>
      <c r="CX1674" t="s">
        <v>235</v>
      </c>
      <c r="CY1674" t="s">
        <v>183</v>
      </c>
      <c r="CZ1674" t="s">
        <v>211</v>
      </c>
      <c r="DA1674" t="s">
        <v>444</v>
      </c>
      <c r="DC1674" t="s">
        <v>8443</v>
      </c>
      <c r="DD1674" t="s">
        <v>19824</v>
      </c>
      <c r="DE1674" t="s">
        <v>267</v>
      </c>
      <c r="DF1674" t="s">
        <v>268</v>
      </c>
      <c r="DG1674" t="s">
        <v>20877</v>
      </c>
      <c r="DH1674" t="s">
        <v>235</v>
      </c>
      <c r="DI1674" t="s">
        <v>183</v>
      </c>
      <c r="DJ1674" t="s">
        <v>211</v>
      </c>
      <c r="DK1674" t="s">
        <v>250</v>
      </c>
      <c r="DM1674" t="s">
        <v>12595</v>
      </c>
      <c r="DN1674" t="s">
        <v>7189</v>
      </c>
      <c r="DO1674" t="s">
        <v>273</v>
      </c>
      <c r="DP1674" t="s">
        <v>274</v>
      </c>
      <c r="DQ1674" t="s">
        <v>20878</v>
      </c>
      <c r="DR1674" t="s">
        <v>235</v>
      </c>
      <c r="DS1674" t="s">
        <v>183</v>
      </c>
      <c r="DT1674" t="s">
        <v>211</v>
      </c>
      <c r="DU1674" t="s">
        <v>487</v>
      </c>
      <c r="DW1674" t="s">
        <v>12595</v>
      </c>
      <c r="DX1674" t="s">
        <v>20879</v>
      </c>
      <c r="DY1674" t="s">
        <v>302</v>
      </c>
      <c r="DZ1674" t="s">
        <v>303</v>
      </c>
      <c r="EA1674" t="s">
        <v>20880</v>
      </c>
      <c r="EB1674" t="s">
        <v>235</v>
      </c>
      <c r="EC1674" t="s">
        <v>183</v>
      </c>
      <c r="ED1674" t="s">
        <v>211</v>
      </c>
      <c r="EE1674" t="s">
        <v>345</v>
      </c>
      <c r="EG1674" t="s">
        <v>343</v>
      </c>
      <c r="EH1674" t="s">
        <v>20881</v>
      </c>
      <c r="EI1674" t="s">
        <v>238</v>
      </c>
      <c r="EJ1674" t="s">
        <v>239</v>
      </c>
      <c r="EK1674" t="s">
        <v>20882</v>
      </c>
      <c r="EL1674" t="s">
        <v>440</v>
      </c>
      <c r="EM1674" t="s">
        <v>183</v>
      </c>
      <c r="EN1674" t="s">
        <v>211</v>
      </c>
      <c r="EO1674" t="s">
        <v>345</v>
      </c>
      <c r="EQ1674" t="s">
        <v>10576</v>
      </c>
      <c r="ER1674" t="s">
        <v>20883</v>
      </c>
      <c r="ES1674" t="s">
        <v>346</v>
      </c>
      <c r="ET1674" t="s">
        <v>347</v>
      </c>
      <c r="EU1674" t="s">
        <v>20884</v>
      </c>
      <c r="EV1674" t="s">
        <v>278</v>
      </c>
      <c r="EW1674" t="s">
        <v>183</v>
      </c>
      <c r="EX1674" t="s">
        <v>211</v>
      </c>
      <c r="EY1674" t="s">
        <v>345</v>
      </c>
      <c r="FA1674" t="s">
        <v>8609</v>
      </c>
      <c r="FB1674" t="s">
        <v>19448</v>
      </c>
      <c r="FC1674" t="s">
        <v>207</v>
      </c>
      <c r="FD1674" t="s">
        <v>208</v>
      </c>
      <c r="FE1674" t="s">
        <v>20885</v>
      </c>
      <c r="FF1674" t="s">
        <v>1966</v>
      </c>
      <c r="FG1674" t="s">
        <v>183</v>
      </c>
      <c r="FH1674" t="s">
        <v>211</v>
      </c>
      <c r="FI1674" t="s">
        <v>329</v>
      </c>
      <c r="FK1674" t="s">
        <v>20886</v>
      </c>
      <c r="FU1674" t="s">
        <v>198</v>
      </c>
    </row>
    <row r="1675" spans="1:177">
      <c r="A1675" s="1" t="str">
        <f>HYPERLINK("http://digipan.lumentumllc.com/apps/getLink/index.php?t=PropLink&amp;p=41030430","PL")</f>
        <v>PL</v>
      </c>
      <c r="B1675" s="1" t="str">
        <f>HYPERLINK("http://digipan.lumentumllc.com/apps/getLink/index.php?t=TaxLink&amp;p=41030430","TL")</f>
        <v>TL</v>
      </c>
      <c r="C1675" s="1" t="str">
        <f>HYPERLINK("","")</f>
        <v/>
      </c>
      <c r="E1675" t="s">
        <v>177</v>
      </c>
      <c r="F1675" t="s">
        <v>178</v>
      </c>
      <c r="L1675" t="s">
        <v>20887</v>
      </c>
      <c r="N1675" t="s">
        <v>20887</v>
      </c>
      <c r="O1675" t="s">
        <v>20887</v>
      </c>
      <c r="Q1675" t="s">
        <v>20887</v>
      </c>
      <c r="V1675">
        <v>1914</v>
      </c>
      <c r="W1675">
        <v>6</v>
      </c>
      <c r="X1675">
        <v>2017</v>
      </c>
      <c r="Y1675">
        <v>2018</v>
      </c>
      <c r="Z1675">
        <v>277.60000000000002</v>
      </c>
      <c r="AG1675" t="s">
        <v>184</v>
      </c>
      <c r="AH1675">
        <v>0</v>
      </c>
      <c r="AK1675">
        <v>0</v>
      </c>
      <c r="AL1675">
        <v>15000</v>
      </c>
      <c r="AM1675">
        <v>15000</v>
      </c>
      <c r="AN1675">
        <v>0</v>
      </c>
      <c r="AQ1675">
        <v>1.85</v>
      </c>
      <c r="AS1675" t="s">
        <v>20888</v>
      </c>
      <c r="AT1675" t="s">
        <v>15040</v>
      </c>
      <c r="AU1675" t="s">
        <v>177</v>
      </c>
      <c r="AV1675" t="s">
        <v>371</v>
      </c>
      <c r="AW1675" t="s">
        <v>182</v>
      </c>
      <c r="AX1675">
        <v>0</v>
      </c>
      <c r="AY1675" t="s">
        <v>312</v>
      </c>
      <c r="AZ1675" t="s">
        <v>199</v>
      </c>
      <c r="BA1675" t="s">
        <v>313</v>
      </c>
      <c r="BB1675" t="s">
        <v>191</v>
      </c>
      <c r="BC1675" t="s">
        <v>202</v>
      </c>
      <c r="BD1675" t="s">
        <v>182</v>
      </c>
      <c r="BE1675" t="s">
        <v>5948</v>
      </c>
      <c r="BI1675" t="s">
        <v>199</v>
      </c>
      <c r="BN1675" t="s">
        <v>182</v>
      </c>
      <c r="BO1675" t="s">
        <v>198</v>
      </c>
      <c r="BP1675" t="s">
        <v>198</v>
      </c>
      <c r="BQ1675" t="s">
        <v>198</v>
      </c>
      <c r="BR1675" t="s">
        <v>198</v>
      </c>
      <c r="BS1675" t="s">
        <v>198</v>
      </c>
      <c r="BT1675" t="s">
        <v>198</v>
      </c>
      <c r="BU1675" t="s">
        <v>182</v>
      </c>
      <c r="BV1675" t="s">
        <v>198</v>
      </c>
      <c r="BW1675" t="s">
        <v>198</v>
      </c>
      <c r="BX1675" t="s">
        <v>199</v>
      </c>
      <c r="BY1675" t="s">
        <v>198</v>
      </c>
      <c r="CB1675" t="s">
        <v>20889</v>
      </c>
      <c r="CC1675" t="s">
        <v>201</v>
      </c>
      <c r="CD1675" t="s">
        <v>182</v>
      </c>
      <c r="CE1675" t="s">
        <v>20890</v>
      </c>
      <c r="CF1675" t="s">
        <v>5331</v>
      </c>
      <c r="CG1675" t="s">
        <v>177</v>
      </c>
      <c r="CH1675" t="s">
        <v>371</v>
      </c>
      <c r="CI1675" t="s">
        <v>20891</v>
      </c>
      <c r="CS1675" t="s">
        <v>198</v>
      </c>
      <c r="DC1675" t="s">
        <v>198</v>
      </c>
      <c r="DM1675" t="s">
        <v>198</v>
      </c>
      <c r="DW1675" t="s">
        <v>198</v>
      </c>
      <c r="EG1675" t="s">
        <v>198</v>
      </c>
      <c r="EQ1675" t="s">
        <v>198</v>
      </c>
      <c r="FA1675" t="s">
        <v>198</v>
      </c>
      <c r="FK1675" t="s">
        <v>198</v>
      </c>
      <c r="FU1675" t="s">
        <v>198</v>
      </c>
    </row>
    <row r="1676" spans="1:177">
      <c r="A1676" s="1" t="str">
        <f>HYPERLINK("http://digipan.lumentumllc.com/apps/getLink/index.php?t=PropLink&amp;p=4638738","PL")</f>
        <v>PL</v>
      </c>
      <c r="B1676" s="1" t="str">
        <f>HYPERLINK("http://digipan.lumentumllc.com/apps/getLink/index.php?t=TaxLink&amp;p=4638738","TL")</f>
        <v>TL</v>
      </c>
      <c r="C1676" s="1" t="str">
        <f>HYPERLINK("http://digipan.lumentumllc.com/apps/getMap/index.php?p=4638738","Map")</f>
        <v>Map</v>
      </c>
      <c r="E1676" t="s">
        <v>177</v>
      </c>
      <c r="F1676" t="s">
        <v>178</v>
      </c>
      <c r="L1676" t="s">
        <v>20892</v>
      </c>
      <c r="N1676" t="s">
        <v>20892</v>
      </c>
      <c r="O1676" t="s">
        <v>20892</v>
      </c>
      <c r="P1676" t="s">
        <v>20893</v>
      </c>
      <c r="Q1676" t="s">
        <v>20892</v>
      </c>
      <c r="V1676">
        <v>1915</v>
      </c>
      <c r="W1676">
        <v>6</v>
      </c>
      <c r="X1676">
        <v>2017</v>
      </c>
      <c r="Y1676">
        <v>2018</v>
      </c>
      <c r="Z1676">
        <v>277.60000000000002</v>
      </c>
      <c r="AG1676" t="s">
        <v>184</v>
      </c>
      <c r="AH1676">
        <v>0</v>
      </c>
      <c r="AK1676">
        <v>0</v>
      </c>
      <c r="AL1676">
        <v>15000</v>
      </c>
      <c r="AM1676">
        <v>15000</v>
      </c>
      <c r="AN1676">
        <v>0</v>
      </c>
      <c r="AO1676">
        <v>230</v>
      </c>
      <c r="AP1676">
        <v>2016</v>
      </c>
      <c r="AQ1676">
        <v>1.85</v>
      </c>
      <c r="AS1676" t="s">
        <v>20804</v>
      </c>
      <c r="AT1676" t="s">
        <v>15040</v>
      </c>
      <c r="AU1676" t="s">
        <v>177</v>
      </c>
      <c r="AV1676" t="s">
        <v>371</v>
      </c>
      <c r="AW1676" t="s">
        <v>182</v>
      </c>
      <c r="AX1676">
        <v>0</v>
      </c>
      <c r="AY1676" t="s">
        <v>312</v>
      </c>
      <c r="AZ1676" t="s">
        <v>199</v>
      </c>
      <c r="BA1676" t="s">
        <v>313</v>
      </c>
      <c r="BB1676" t="s">
        <v>191</v>
      </c>
      <c r="BC1676" t="s">
        <v>182</v>
      </c>
      <c r="BD1676" t="s">
        <v>182</v>
      </c>
      <c r="BE1676" t="s">
        <v>11268</v>
      </c>
      <c r="BF1676">
        <v>0</v>
      </c>
      <c r="BG1676">
        <v>0</v>
      </c>
      <c r="BH1676">
        <v>0</v>
      </c>
      <c r="BI1676" t="s">
        <v>199</v>
      </c>
      <c r="BJ1676" t="s">
        <v>194</v>
      </c>
      <c r="BL1676" t="s">
        <v>199</v>
      </c>
      <c r="BM1676" t="s">
        <v>286</v>
      </c>
      <c r="BN1676" t="s">
        <v>182</v>
      </c>
      <c r="BO1676" t="s">
        <v>198</v>
      </c>
      <c r="BP1676" t="s">
        <v>198</v>
      </c>
      <c r="BQ1676" t="s">
        <v>198</v>
      </c>
      <c r="BR1676" t="s">
        <v>198</v>
      </c>
      <c r="BS1676" t="s">
        <v>198</v>
      </c>
      <c r="BT1676" t="s">
        <v>198</v>
      </c>
      <c r="BU1676" t="s">
        <v>182</v>
      </c>
      <c r="BV1676" t="s">
        <v>198</v>
      </c>
      <c r="BW1676" t="s">
        <v>198</v>
      </c>
      <c r="BX1676" t="s">
        <v>199</v>
      </c>
      <c r="BY1676" t="s">
        <v>198</v>
      </c>
      <c r="BZ1676" t="s">
        <v>199</v>
      </c>
      <c r="CA1676" t="s">
        <v>199</v>
      </c>
      <c r="CB1676" t="s">
        <v>20894</v>
      </c>
      <c r="CC1676" t="s">
        <v>201</v>
      </c>
      <c r="CD1676" t="s">
        <v>202</v>
      </c>
      <c r="CE1676" t="s">
        <v>20895</v>
      </c>
      <c r="CF1676" t="s">
        <v>20896</v>
      </c>
      <c r="CG1676" t="s">
        <v>3911</v>
      </c>
      <c r="CH1676" t="s">
        <v>20897</v>
      </c>
      <c r="CI1676" t="s">
        <v>20898</v>
      </c>
      <c r="CS1676" t="s">
        <v>198</v>
      </c>
      <c r="DC1676" t="s">
        <v>198</v>
      </c>
      <c r="DM1676" t="s">
        <v>198</v>
      </c>
      <c r="DW1676" t="s">
        <v>198</v>
      </c>
      <c r="EG1676" t="s">
        <v>198</v>
      </c>
      <c r="EQ1676" t="s">
        <v>198</v>
      </c>
      <c r="FA1676" t="s">
        <v>198</v>
      </c>
      <c r="FK1676" t="s">
        <v>198</v>
      </c>
      <c r="FU1676" t="s">
        <v>198</v>
      </c>
    </row>
    <row r="1677" spans="1:177">
      <c r="A1677" s="1" t="str">
        <f>HYPERLINK("http://digipan.lumentumllc.com/apps/getLink/index.php?t=PropLink&amp;p=6594390","PL")</f>
        <v>PL</v>
      </c>
      <c r="B1677" s="1" t="str">
        <f>HYPERLINK("http://digipan.lumentumllc.com/apps/getLink/index.php?t=TaxLink&amp;p=6594390","TL")</f>
        <v>TL</v>
      </c>
      <c r="C1677" s="1" t="str">
        <f>HYPERLINK("http://digipan.lumentumllc.com/apps/getMap/index.php?p=6594390","Map")</f>
        <v>Map</v>
      </c>
      <c r="E1677" t="s">
        <v>177</v>
      </c>
      <c r="F1677" t="s">
        <v>178</v>
      </c>
      <c r="L1677" t="s">
        <v>20899</v>
      </c>
      <c r="N1677" t="s">
        <v>20899</v>
      </c>
      <c r="O1677" t="s">
        <v>20899</v>
      </c>
      <c r="P1677" t="s">
        <v>20900</v>
      </c>
      <c r="Q1677" t="s">
        <v>20899</v>
      </c>
      <c r="V1677">
        <v>1916</v>
      </c>
      <c r="W1677">
        <v>6</v>
      </c>
      <c r="X1677">
        <v>2017</v>
      </c>
      <c r="Y1677">
        <v>2018</v>
      </c>
      <c r="Z1677">
        <v>966.38</v>
      </c>
      <c r="AB1677" t="s">
        <v>181</v>
      </c>
      <c r="AC1677" t="s">
        <v>182</v>
      </c>
      <c r="AD1677" t="s">
        <v>183</v>
      </c>
      <c r="AE1677">
        <v>0</v>
      </c>
      <c r="AF1677">
        <v>4</v>
      </c>
      <c r="AG1677" t="s">
        <v>744</v>
      </c>
      <c r="AH1677">
        <v>100</v>
      </c>
      <c r="AK1677">
        <v>0</v>
      </c>
      <c r="AL1677">
        <v>117278</v>
      </c>
      <c r="AM1677">
        <v>36000</v>
      </c>
      <c r="AN1677">
        <v>81278</v>
      </c>
      <c r="AO1677">
        <v>1161</v>
      </c>
      <c r="AP1677">
        <v>2016</v>
      </c>
      <c r="AQ1677">
        <v>0.82</v>
      </c>
      <c r="AS1677" t="s">
        <v>20901</v>
      </c>
      <c r="AT1677" t="s">
        <v>15040</v>
      </c>
      <c r="AU1677" t="s">
        <v>177</v>
      </c>
      <c r="AV1677" t="s">
        <v>371</v>
      </c>
      <c r="AW1677" t="s">
        <v>202</v>
      </c>
      <c r="AX1677">
        <v>2</v>
      </c>
      <c r="AY1677" t="s">
        <v>188</v>
      </c>
      <c r="AZ1677" t="s">
        <v>189</v>
      </c>
      <c r="BA1677" t="s">
        <v>190</v>
      </c>
      <c r="BB1677" t="s">
        <v>191</v>
      </c>
      <c r="BC1677" t="s">
        <v>182</v>
      </c>
      <c r="BD1677" t="s">
        <v>2072</v>
      </c>
      <c r="BE1677" t="s">
        <v>10206</v>
      </c>
      <c r="BF1677">
        <v>2</v>
      </c>
      <c r="BG1677">
        <v>2</v>
      </c>
      <c r="BH1677">
        <v>1995</v>
      </c>
      <c r="BI1677" t="s">
        <v>20902</v>
      </c>
      <c r="BJ1677" t="s">
        <v>194</v>
      </c>
      <c r="BK1677" t="s">
        <v>195</v>
      </c>
      <c r="BL1677" t="s">
        <v>8387</v>
      </c>
      <c r="BM1677" t="s">
        <v>302</v>
      </c>
      <c r="BN1677" t="s">
        <v>182</v>
      </c>
      <c r="BO1677" t="s">
        <v>20903</v>
      </c>
      <c r="BP1677" t="s">
        <v>3557</v>
      </c>
      <c r="BS1677" t="s">
        <v>20904</v>
      </c>
      <c r="BT1677" t="s">
        <v>198</v>
      </c>
      <c r="BU1677" t="s">
        <v>182</v>
      </c>
      <c r="BV1677" t="s">
        <v>198</v>
      </c>
      <c r="BW1677" t="s">
        <v>198</v>
      </c>
      <c r="BX1677" t="s">
        <v>199</v>
      </c>
      <c r="BY1677" t="s">
        <v>198</v>
      </c>
      <c r="BZ1677" t="s">
        <v>199</v>
      </c>
      <c r="CA1677" t="s">
        <v>199</v>
      </c>
      <c r="CB1677" t="s">
        <v>20905</v>
      </c>
      <c r="CC1677" t="s">
        <v>201</v>
      </c>
      <c r="CD1677" t="s">
        <v>202</v>
      </c>
      <c r="CE1677" t="s">
        <v>20906</v>
      </c>
      <c r="CF1677" t="s">
        <v>5331</v>
      </c>
      <c r="CG1677" t="s">
        <v>177</v>
      </c>
      <c r="CH1677" t="s">
        <v>371</v>
      </c>
      <c r="CI1677" t="s">
        <v>20907</v>
      </c>
      <c r="CJ1677" t="s">
        <v>18921</v>
      </c>
      <c r="CK1677" t="s">
        <v>232</v>
      </c>
      <c r="CL1677" t="s">
        <v>233</v>
      </c>
      <c r="CM1677" t="s">
        <v>20908</v>
      </c>
      <c r="CN1677" t="s">
        <v>235</v>
      </c>
      <c r="CO1677" t="s">
        <v>183</v>
      </c>
      <c r="CP1677" t="s">
        <v>211</v>
      </c>
      <c r="CQ1677" t="s">
        <v>290</v>
      </c>
      <c r="CS1677" t="s">
        <v>5154</v>
      </c>
      <c r="CT1677" t="s">
        <v>7247</v>
      </c>
      <c r="CU1677" t="s">
        <v>292</v>
      </c>
      <c r="CV1677" t="s">
        <v>293</v>
      </c>
      <c r="CW1677" t="s">
        <v>20909</v>
      </c>
      <c r="CX1677" t="s">
        <v>235</v>
      </c>
      <c r="CY1677" t="s">
        <v>183</v>
      </c>
      <c r="CZ1677" t="s">
        <v>211</v>
      </c>
      <c r="DA1677" t="s">
        <v>329</v>
      </c>
      <c r="DC1677" t="s">
        <v>868</v>
      </c>
      <c r="DD1677" t="s">
        <v>20910</v>
      </c>
      <c r="DE1677" t="s">
        <v>267</v>
      </c>
      <c r="DF1677" t="s">
        <v>268</v>
      </c>
      <c r="DG1677" t="s">
        <v>20911</v>
      </c>
      <c r="DH1677" t="s">
        <v>235</v>
      </c>
      <c r="DI1677" t="s">
        <v>183</v>
      </c>
      <c r="DJ1677" t="s">
        <v>211</v>
      </c>
      <c r="DK1677" t="s">
        <v>329</v>
      </c>
      <c r="DM1677" t="s">
        <v>8601</v>
      </c>
      <c r="DN1677" t="s">
        <v>15010</v>
      </c>
      <c r="DO1677" t="s">
        <v>273</v>
      </c>
      <c r="DP1677" t="s">
        <v>274</v>
      </c>
      <c r="DQ1677" t="s">
        <v>20912</v>
      </c>
      <c r="DR1677" t="s">
        <v>235</v>
      </c>
      <c r="DS1677" t="s">
        <v>183</v>
      </c>
      <c r="DT1677" t="s">
        <v>211</v>
      </c>
      <c r="DU1677" t="s">
        <v>329</v>
      </c>
      <c r="DW1677" t="s">
        <v>3499</v>
      </c>
      <c r="EG1677" t="s">
        <v>198</v>
      </c>
      <c r="EQ1677" t="s">
        <v>198</v>
      </c>
      <c r="FA1677" t="s">
        <v>198</v>
      </c>
      <c r="FK1677" t="s">
        <v>198</v>
      </c>
      <c r="FU1677" t="s">
        <v>198</v>
      </c>
    </row>
    <row r="1678" spans="1:177">
      <c r="A1678" s="1" t="str">
        <f>HYPERLINK("http://digipan.lumentumllc.com/apps/getLink/index.php?t=PropLink&amp;p=6462102","PL")</f>
        <v>PL</v>
      </c>
      <c r="B1678" s="1" t="str">
        <f>HYPERLINK("http://digipan.lumentumllc.com/apps/getLink/index.php?t=TaxLink&amp;p=6462102","TL")</f>
        <v>TL</v>
      </c>
      <c r="C1678" s="1" t="str">
        <f>HYPERLINK("http://digipan.lumentumllc.com/apps/getMap/index.php?p=6462102","Map")</f>
        <v>Map</v>
      </c>
      <c r="E1678" t="s">
        <v>177</v>
      </c>
      <c r="F1678" t="s">
        <v>178</v>
      </c>
      <c r="L1678" t="s">
        <v>20913</v>
      </c>
      <c r="N1678" t="s">
        <v>20913</v>
      </c>
      <c r="O1678" t="s">
        <v>20913</v>
      </c>
      <c r="P1678" t="s">
        <v>20914</v>
      </c>
      <c r="Q1678" t="s">
        <v>20913</v>
      </c>
      <c r="V1678">
        <v>1919</v>
      </c>
      <c r="W1678">
        <v>6</v>
      </c>
      <c r="X1678">
        <v>2017</v>
      </c>
      <c r="Y1678">
        <v>2018</v>
      </c>
      <c r="Z1678">
        <v>850.63</v>
      </c>
      <c r="AB1678" t="s">
        <v>181</v>
      </c>
      <c r="AC1678" t="s">
        <v>202</v>
      </c>
      <c r="AD1678" t="s">
        <v>183</v>
      </c>
      <c r="AE1678">
        <v>1</v>
      </c>
      <c r="AF1678">
        <v>3</v>
      </c>
      <c r="AG1678" t="s">
        <v>257</v>
      </c>
      <c r="AH1678">
        <v>75</v>
      </c>
      <c r="AI1678">
        <v>857.11</v>
      </c>
      <c r="AJ1678">
        <v>42.86</v>
      </c>
      <c r="AK1678">
        <v>899.97</v>
      </c>
      <c r="AL1678">
        <v>50000</v>
      </c>
      <c r="AM1678">
        <v>50000</v>
      </c>
      <c r="AN1678">
        <v>0</v>
      </c>
      <c r="AO1678">
        <v>768</v>
      </c>
      <c r="AP1678">
        <v>2016</v>
      </c>
      <c r="AQ1678">
        <v>1.7</v>
      </c>
      <c r="AR1678">
        <v>1.8</v>
      </c>
      <c r="AS1678" t="s">
        <v>20915</v>
      </c>
      <c r="AT1678" t="s">
        <v>15040</v>
      </c>
      <c r="AU1678" t="s">
        <v>177</v>
      </c>
      <c r="AV1678" t="s">
        <v>371</v>
      </c>
      <c r="AW1678" t="s">
        <v>182</v>
      </c>
      <c r="AX1678">
        <v>0</v>
      </c>
      <c r="AY1678" t="s">
        <v>312</v>
      </c>
      <c r="AZ1678" t="s">
        <v>199</v>
      </c>
      <c r="BA1678" t="s">
        <v>313</v>
      </c>
      <c r="BB1678" t="s">
        <v>191</v>
      </c>
      <c r="BC1678" t="s">
        <v>182</v>
      </c>
      <c r="BD1678" t="s">
        <v>182</v>
      </c>
      <c r="BE1678" t="s">
        <v>1869</v>
      </c>
      <c r="BF1678">
        <v>0</v>
      </c>
      <c r="BG1678">
        <v>0</v>
      </c>
      <c r="BH1678">
        <v>0</v>
      </c>
      <c r="BI1678" t="s">
        <v>199</v>
      </c>
      <c r="BJ1678" t="s">
        <v>315</v>
      </c>
      <c r="BL1678" t="s">
        <v>1801</v>
      </c>
      <c r="BM1678" t="s">
        <v>232</v>
      </c>
      <c r="BN1678" t="s">
        <v>182</v>
      </c>
      <c r="BO1678" t="s">
        <v>198</v>
      </c>
      <c r="BP1678" t="s">
        <v>198</v>
      </c>
      <c r="BQ1678" t="s">
        <v>198</v>
      </c>
      <c r="BR1678" t="s">
        <v>198</v>
      </c>
      <c r="BS1678" t="s">
        <v>198</v>
      </c>
      <c r="BT1678" t="s">
        <v>198</v>
      </c>
      <c r="BU1678" t="s">
        <v>182</v>
      </c>
      <c r="BV1678" t="s">
        <v>198</v>
      </c>
      <c r="BW1678" t="s">
        <v>198</v>
      </c>
      <c r="BX1678" t="s">
        <v>199</v>
      </c>
      <c r="BY1678" t="s">
        <v>198</v>
      </c>
      <c r="BZ1678" t="s">
        <v>199</v>
      </c>
      <c r="CA1678" t="s">
        <v>199</v>
      </c>
      <c r="CB1678" t="s">
        <v>20916</v>
      </c>
      <c r="CC1678" t="s">
        <v>201</v>
      </c>
      <c r="CD1678" t="s">
        <v>202</v>
      </c>
      <c r="CE1678" t="s">
        <v>20917</v>
      </c>
      <c r="CF1678" t="s">
        <v>20918</v>
      </c>
      <c r="CG1678" t="s">
        <v>177</v>
      </c>
      <c r="CH1678" t="s">
        <v>20919</v>
      </c>
      <c r="CI1678" t="s">
        <v>20920</v>
      </c>
      <c r="CJ1678" t="s">
        <v>9977</v>
      </c>
      <c r="CK1678" t="s">
        <v>232</v>
      </c>
      <c r="CL1678" t="s">
        <v>233</v>
      </c>
      <c r="CM1678" t="s">
        <v>15066</v>
      </c>
      <c r="CN1678" t="s">
        <v>235</v>
      </c>
      <c r="CO1678" t="s">
        <v>183</v>
      </c>
      <c r="CP1678" t="s">
        <v>266</v>
      </c>
      <c r="CS1678" t="s">
        <v>198</v>
      </c>
      <c r="CT1678" t="s">
        <v>18300</v>
      </c>
      <c r="CU1678" t="s">
        <v>292</v>
      </c>
      <c r="CV1678" t="s">
        <v>293</v>
      </c>
      <c r="CW1678" t="s">
        <v>20921</v>
      </c>
      <c r="CX1678" t="s">
        <v>333</v>
      </c>
      <c r="CY1678" t="s">
        <v>183</v>
      </c>
      <c r="CZ1678" t="s">
        <v>211</v>
      </c>
      <c r="DA1678" t="s">
        <v>189</v>
      </c>
      <c r="DB1678" t="s">
        <v>271</v>
      </c>
      <c r="DC1678" t="s">
        <v>18874</v>
      </c>
      <c r="DD1678" t="s">
        <v>20922</v>
      </c>
      <c r="DE1678" t="s">
        <v>267</v>
      </c>
      <c r="DF1678" t="s">
        <v>268</v>
      </c>
      <c r="DG1678" t="s">
        <v>4160</v>
      </c>
      <c r="DH1678" t="s">
        <v>331</v>
      </c>
      <c r="DI1678" t="s">
        <v>183</v>
      </c>
      <c r="DJ1678" t="s">
        <v>211</v>
      </c>
      <c r="DK1678" t="s">
        <v>460</v>
      </c>
      <c r="DL1678" t="s">
        <v>271</v>
      </c>
      <c r="DM1678" t="s">
        <v>18874</v>
      </c>
      <c r="DN1678" t="s">
        <v>14344</v>
      </c>
      <c r="DO1678" t="s">
        <v>273</v>
      </c>
      <c r="DP1678" t="s">
        <v>274</v>
      </c>
      <c r="DQ1678" t="s">
        <v>20923</v>
      </c>
      <c r="DR1678" t="s">
        <v>235</v>
      </c>
      <c r="DS1678" t="s">
        <v>183</v>
      </c>
      <c r="DT1678" t="s">
        <v>211</v>
      </c>
      <c r="DV1678" t="s">
        <v>271</v>
      </c>
      <c r="DW1678" t="s">
        <v>198</v>
      </c>
      <c r="EG1678" t="s">
        <v>198</v>
      </c>
      <c r="EQ1678" t="s">
        <v>198</v>
      </c>
      <c r="FA1678" t="s">
        <v>198</v>
      </c>
      <c r="FK1678" t="s">
        <v>198</v>
      </c>
      <c r="FU1678" t="s">
        <v>198</v>
      </c>
    </row>
    <row r="1679" spans="1:177">
      <c r="A1679" s="1" t="str">
        <f>HYPERLINK("http://digipan.lumentumllc.com/apps/getLink/index.php?t=PropLink&amp;p=4638742","PL")</f>
        <v>PL</v>
      </c>
      <c r="B1679" s="1" t="str">
        <f>HYPERLINK("http://digipan.lumentumllc.com/apps/getLink/index.php?t=TaxLink&amp;p=4638742","TL")</f>
        <v>TL</v>
      </c>
      <c r="C1679" s="1" t="str">
        <f>HYPERLINK("http://digipan.lumentumllc.com/apps/getMap/index.php?p=4638742","Map")</f>
        <v>Map</v>
      </c>
      <c r="E1679" t="s">
        <v>177</v>
      </c>
      <c r="F1679" t="s">
        <v>178</v>
      </c>
      <c r="L1679" t="s">
        <v>20924</v>
      </c>
      <c r="N1679" t="s">
        <v>20924</v>
      </c>
      <c r="O1679" t="s">
        <v>20924</v>
      </c>
      <c r="P1679" t="s">
        <v>20925</v>
      </c>
      <c r="Q1679" t="s">
        <v>20924</v>
      </c>
      <c r="V1679">
        <v>1922</v>
      </c>
      <c r="W1679">
        <v>6</v>
      </c>
      <c r="X1679">
        <v>2017</v>
      </c>
      <c r="Y1679">
        <v>2018</v>
      </c>
      <c r="Z1679">
        <v>530.62</v>
      </c>
      <c r="AB1679" t="s">
        <v>181</v>
      </c>
      <c r="AC1679" t="s">
        <v>182</v>
      </c>
      <c r="AD1679" t="s">
        <v>183</v>
      </c>
      <c r="AE1679">
        <v>1</v>
      </c>
      <c r="AF1679">
        <v>6</v>
      </c>
      <c r="AG1679" t="s">
        <v>322</v>
      </c>
      <c r="AH1679">
        <v>83</v>
      </c>
      <c r="AI1679">
        <v>462.8</v>
      </c>
      <c r="AJ1679">
        <v>23.14</v>
      </c>
      <c r="AK1679">
        <v>485.94</v>
      </c>
      <c r="AL1679">
        <v>32500</v>
      </c>
      <c r="AM1679">
        <v>25000</v>
      </c>
      <c r="AN1679">
        <v>7500</v>
      </c>
      <c r="AO1679">
        <v>403</v>
      </c>
      <c r="AP1679">
        <v>2016</v>
      </c>
      <c r="AQ1679">
        <v>1.63</v>
      </c>
      <c r="AR1679">
        <v>1.5</v>
      </c>
      <c r="AS1679" t="s">
        <v>20926</v>
      </c>
      <c r="AT1679" t="s">
        <v>15040</v>
      </c>
      <c r="AU1679" t="s">
        <v>177</v>
      </c>
      <c r="AV1679" t="s">
        <v>371</v>
      </c>
      <c r="AW1679" t="s">
        <v>182</v>
      </c>
      <c r="AX1679">
        <v>0</v>
      </c>
      <c r="AY1679" t="s">
        <v>312</v>
      </c>
      <c r="AZ1679" t="s">
        <v>199</v>
      </c>
      <c r="BA1679" t="s">
        <v>313</v>
      </c>
      <c r="BB1679" t="s">
        <v>191</v>
      </c>
      <c r="BC1679" t="s">
        <v>182</v>
      </c>
      <c r="BD1679" t="s">
        <v>182</v>
      </c>
      <c r="BE1679" t="s">
        <v>11809</v>
      </c>
      <c r="BF1679">
        <v>1</v>
      </c>
      <c r="BG1679">
        <v>0</v>
      </c>
      <c r="BH1679">
        <v>0</v>
      </c>
      <c r="BI1679" t="s">
        <v>199</v>
      </c>
      <c r="BJ1679" t="s">
        <v>248</v>
      </c>
      <c r="BL1679" t="s">
        <v>980</v>
      </c>
      <c r="BM1679" t="s">
        <v>1041</v>
      </c>
      <c r="BN1679" t="s">
        <v>182</v>
      </c>
      <c r="BO1679" t="s">
        <v>20927</v>
      </c>
      <c r="BP1679" t="s">
        <v>4124</v>
      </c>
      <c r="BQ1679" t="s">
        <v>226</v>
      </c>
      <c r="BR1679" t="s">
        <v>227</v>
      </c>
      <c r="BS1679" t="s">
        <v>198</v>
      </c>
      <c r="BT1679" t="s">
        <v>20928</v>
      </c>
      <c r="BU1679" t="s">
        <v>182</v>
      </c>
      <c r="BV1679" t="s">
        <v>198</v>
      </c>
      <c r="BW1679" t="s">
        <v>198</v>
      </c>
      <c r="BX1679" t="s">
        <v>199</v>
      </c>
      <c r="BY1679" t="s">
        <v>198</v>
      </c>
      <c r="BZ1679" t="s">
        <v>199</v>
      </c>
      <c r="CA1679" t="s">
        <v>199</v>
      </c>
      <c r="CB1679" t="s">
        <v>20929</v>
      </c>
      <c r="CC1679" t="s">
        <v>201</v>
      </c>
      <c r="CD1679" t="s">
        <v>182</v>
      </c>
      <c r="CE1679" t="s">
        <v>20930</v>
      </c>
      <c r="CF1679" t="s">
        <v>5331</v>
      </c>
      <c r="CG1679" t="s">
        <v>177</v>
      </c>
      <c r="CH1679" t="s">
        <v>5332</v>
      </c>
      <c r="CI1679" t="s">
        <v>20931</v>
      </c>
      <c r="CJ1679" t="s">
        <v>18935</v>
      </c>
      <c r="CK1679" t="s">
        <v>232</v>
      </c>
      <c r="CL1679" t="s">
        <v>233</v>
      </c>
      <c r="CM1679" t="s">
        <v>20932</v>
      </c>
      <c r="CN1679" t="s">
        <v>235</v>
      </c>
      <c r="CO1679" t="s">
        <v>183</v>
      </c>
      <c r="CP1679" t="s">
        <v>266</v>
      </c>
      <c r="CS1679" t="s">
        <v>198</v>
      </c>
      <c r="CT1679" t="s">
        <v>20267</v>
      </c>
      <c r="CU1679" t="s">
        <v>292</v>
      </c>
      <c r="CV1679" t="s">
        <v>293</v>
      </c>
      <c r="CW1679" t="s">
        <v>20933</v>
      </c>
      <c r="CX1679" t="s">
        <v>278</v>
      </c>
      <c r="CY1679" t="s">
        <v>183</v>
      </c>
      <c r="CZ1679" t="s">
        <v>211</v>
      </c>
      <c r="DA1679" t="s">
        <v>345</v>
      </c>
      <c r="DC1679" t="s">
        <v>20934</v>
      </c>
      <c r="DD1679" t="s">
        <v>14534</v>
      </c>
      <c r="DE1679" t="s">
        <v>267</v>
      </c>
      <c r="DF1679" t="s">
        <v>268</v>
      </c>
      <c r="DG1679" t="s">
        <v>20935</v>
      </c>
      <c r="DH1679" t="s">
        <v>247</v>
      </c>
      <c r="DI1679" t="s">
        <v>183</v>
      </c>
      <c r="DJ1679" t="s">
        <v>211</v>
      </c>
      <c r="DK1679" t="s">
        <v>865</v>
      </c>
      <c r="DM1679" t="s">
        <v>20934</v>
      </c>
      <c r="DN1679" t="s">
        <v>14356</v>
      </c>
      <c r="DO1679" t="s">
        <v>273</v>
      </c>
      <c r="DP1679" t="s">
        <v>274</v>
      </c>
      <c r="DQ1679" t="s">
        <v>20936</v>
      </c>
      <c r="DR1679" t="s">
        <v>235</v>
      </c>
      <c r="DS1679" t="s">
        <v>183</v>
      </c>
      <c r="DT1679" t="s">
        <v>211</v>
      </c>
      <c r="DU1679" t="s">
        <v>298</v>
      </c>
      <c r="DW1679" t="s">
        <v>1069</v>
      </c>
      <c r="DX1679" t="s">
        <v>20937</v>
      </c>
      <c r="DY1679" t="s">
        <v>302</v>
      </c>
      <c r="DZ1679" t="s">
        <v>303</v>
      </c>
      <c r="EA1679" t="s">
        <v>14543</v>
      </c>
      <c r="EB1679" t="s">
        <v>511</v>
      </c>
      <c r="EC1679" t="s">
        <v>183</v>
      </c>
      <c r="ED1679" t="s">
        <v>211</v>
      </c>
      <c r="EE1679" t="s">
        <v>298</v>
      </c>
      <c r="EG1679" t="s">
        <v>2359</v>
      </c>
      <c r="EH1679" t="s">
        <v>20938</v>
      </c>
      <c r="EI1679" t="s">
        <v>238</v>
      </c>
      <c r="EJ1679" t="s">
        <v>239</v>
      </c>
      <c r="EK1679" t="s">
        <v>20939</v>
      </c>
      <c r="EL1679" t="s">
        <v>278</v>
      </c>
      <c r="EM1679" t="s">
        <v>183</v>
      </c>
      <c r="EN1679" t="s">
        <v>211</v>
      </c>
      <c r="EO1679" t="s">
        <v>298</v>
      </c>
      <c r="EQ1679" t="s">
        <v>467</v>
      </c>
      <c r="ER1679" t="s">
        <v>6219</v>
      </c>
      <c r="ES1679" t="s">
        <v>207</v>
      </c>
      <c r="ET1679" t="s">
        <v>208</v>
      </c>
      <c r="EU1679" t="s">
        <v>20940</v>
      </c>
      <c r="EV1679" t="s">
        <v>1676</v>
      </c>
      <c r="EW1679" t="s">
        <v>183</v>
      </c>
      <c r="EX1679" t="s">
        <v>211</v>
      </c>
      <c r="EY1679" t="s">
        <v>345</v>
      </c>
      <c r="FA1679" t="s">
        <v>1355</v>
      </c>
      <c r="FK1679" t="s">
        <v>198</v>
      </c>
      <c r="FU1679" t="s">
        <v>198</v>
      </c>
    </row>
    <row r="1680" spans="1:177">
      <c r="A1680" s="1" t="str">
        <f>HYPERLINK("http://digipan.lumentumllc.com/apps/getLink/index.php?t=PropLink&amp;p=5248331","PL")</f>
        <v>PL</v>
      </c>
      <c r="B1680" s="1" t="str">
        <f>HYPERLINK("http://digipan.lumentumllc.com/apps/getLink/index.php?t=TaxLink&amp;p=5248331","TL")</f>
        <v>TL</v>
      </c>
      <c r="C1680" s="1" t="str">
        <f>HYPERLINK("http://digipan.lumentumllc.com/apps/getMap/index.php?p=5248331","Map")</f>
        <v>Map</v>
      </c>
      <c r="E1680" t="s">
        <v>177</v>
      </c>
      <c r="F1680" t="s">
        <v>178</v>
      </c>
      <c r="L1680" t="s">
        <v>20941</v>
      </c>
      <c r="N1680" t="s">
        <v>20941</v>
      </c>
      <c r="O1680" t="s">
        <v>20941</v>
      </c>
      <c r="P1680" t="s">
        <v>20942</v>
      </c>
      <c r="Q1680" t="s">
        <v>20941</v>
      </c>
      <c r="V1680">
        <v>1925</v>
      </c>
      <c r="W1680">
        <v>6</v>
      </c>
      <c r="X1680">
        <v>2017</v>
      </c>
      <c r="Y1680">
        <v>2018</v>
      </c>
      <c r="Z1680">
        <v>970.45</v>
      </c>
      <c r="AB1680" t="s">
        <v>181</v>
      </c>
      <c r="AC1680" t="s">
        <v>182</v>
      </c>
      <c r="AD1680" t="s">
        <v>183</v>
      </c>
      <c r="AE1680">
        <v>0</v>
      </c>
      <c r="AF1680">
        <v>6</v>
      </c>
      <c r="AG1680" t="s">
        <v>3266</v>
      </c>
      <c r="AH1680">
        <v>100</v>
      </c>
      <c r="AK1680">
        <v>0</v>
      </c>
      <c r="AL1680">
        <v>59500</v>
      </c>
      <c r="AM1680">
        <v>59500</v>
      </c>
      <c r="AN1680">
        <v>0</v>
      </c>
      <c r="AO1680">
        <v>776</v>
      </c>
      <c r="AP1680">
        <v>2016</v>
      </c>
      <c r="AQ1680">
        <v>1.63</v>
      </c>
      <c r="AS1680" t="s">
        <v>20943</v>
      </c>
      <c r="AT1680" t="s">
        <v>15040</v>
      </c>
      <c r="AU1680" t="s">
        <v>177</v>
      </c>
      <c r="AV1680" t="s">
        <v>371</v>
      </c>
      <c r="AW1680" t="s">
        <v>182</v>
      </c>
      <c r="AX1680">
        <v>0</v>
      </c>
      <c r="AY1680" t="s">
        <v>312</v>
      </c>
      <c r="AZ1680" t="s">
        <v>199</v>
      </c>
      <c r="BA1680" t="s">
        <v>313</v>
      </c>
      <c r="BB1680" t="s">
        <v>191</v>
      </c>
      <c r="BC1680" t="s">
        <v>182</v>
      </c>
      <c r="BD1680" t="s">
        <v>182</v>
      </c>
      <c r="BE1680" t="s">
        <v>8386</v>
      </c>
      <c r="BF1680">
        <v>0</v>
      </c>
      <c r="BG1680">
        <v>0</v>
      </c>
      <c r="BH1680">
        <v>0</v>
      </c>
      <c r="BI1680" t="s">
        <v>199</v>
      </c>
      <c r="BJ1680" t="s">
        <v>194</v>
      </c>
      <c r="BL1680" t="s">
        <v>2050</v>
      </c>
      <c r="BM1680" t="s">
        <v>267</v>
      </c>
      <c r="BN1680" t="s">
        <v>182</v>
      </c>
      <c r="BO1680" t="s">
        <v>198</v>
      </c>
      <c r="BP1680" t="s">
        <v>198</v>
      </c>
      <c r="BQ1680" t="s">
        <v>198</v>
      </c>
      <c r="BR1680" t="s">
        <v>198</v>
      </c>
      <c r="BS1680" t="s">
        <v>198</v>
      </c>
      <c r="BT1680" t="s">
        <v>198</v>
      </c>
      <c r="BU1680" t="s">
        <v>182</v>
      </c>
      <c r="BV1680" t="s">
        <v>198</v>
      </c>
      <c r="BW1680" t="s">
        <v>198</v>
      </c>
      <c r="BX1680" t="s">
        <v>199</v>
      </c>
      <c r="BY1680" t="s">
        <v>198</v>
      </c>
      <c r="BZ1680" t="s">
        <v>199</v>
      </c>
      <c r="CA1680" t="s">
        <v>199</v>
      </c>
      <c r="CB1680" t="s">
        <v>20944</v>
      </c>
      <c r="CC1680" t="s">
        <v>201</v>
      </c>
      <c r="CD1680" t="s">
        <v>182</v>
      </c>
      <c r="CE1680" t="s">
        <v>20945</v>
      </c>
      <c r="CF1680" t="s">
        <v>413</v>
      </c>
      <c r="CG1680" t="s">
        <v>177</v>
      </c>
      <c r="CH1680" t="s">
        <v>804</v>
      </c>
      <c r="CI1680" t="s">
        <v>610</v>
      </c>
      <c r="CJ1680" t="s">
        <v>591</v>
      </c>
      <c r="CK1680" t="s">
        <v>292</v>
      </c>
      <c r="CL1680" t="s">
        <v>293</v>
      </c>
      <c r="CM1680" t="s">
        <v>20946</v>
      </c>
      <c r="CN1680" t="s">
        <v>333</v>
      </c>
      <c r="CO1680" t="s">
        <v>183</v>
      </c>
      <c r="CP1680" t="s">
        <v>211</v>
      </c>
      <c r="CQ1680" t="s">
        <v>329</v>
      </c>
      <c r="CS1680" t="s">
        <v>2428</v>
      </c>
      <c r="CT1680" t="s">
        <v>14358</v>
      </c>
      <c r="CU1680" t="s">
        <v>267</v>
      </c>
      <c r="CV1680" t="s">
        <v>268</v>
      </c>
      <c r="CW1680" t="s">
        <v>20947</v>
      </c>
      <c r="CX1680" t="s">
        <v>235</v>
      </c>
      <c r="CY1680" t="s">
        <v>183</v>
      </c>
      <c r="CZ1680" t="s">
        <v>211</v>
      </c>
      <c r="DA1680" t="s">
        <v>298</v>
      </c>
      <c r="DC1680" t="s">
        <v>2428</v>
      </c>
      <c r="DD1680" t="s">
        <v>20948</v>
      </c>
      <c r="DE1680" t="s">
        <v>302</v>
      </c>
      <c r="DF1680" t="s">
        <v>303</v>
      </c>
      <c r="DG1680" t="s">
        <v>20949</v>
      </c>
      <c r="DH1680" t="s">
        <v>3342</v>
      </c>
      <c r="DI1680" t="s">
        <v>183</v>
      </c>
      <c r="DJ1680" t="s">
        <v>211</v>
      </c>
      <c r="DK1680" t="s">
        <v>270</v>
      </c>
      <c r="DM1680" t="s">
        <v>5026</v>
      </c>
      <c r="DN1680" t="s">
        <v>20950</v>
      </c>
      <c r="DO1680" t="s">
        <v>238</v>
      </c>
      <c r="DP1680" t="s">
        <v>239</v>
      </c>
      <c r="DQ1680" t="s">
        <v>20951</v>
      </c>
      <c r="DR1680" t="s">
        <v>440</v>
      </c>
      <c r="DS1680" t="s">
        <v>183</v>
      </c>
      <c r="DT1680" t="s">
        <v>211</v>
      </c>
      <c r="DU1680" t="s">
        <v>427</v>
      </c>
      <c r="DW1680" t="s">
        <v>17544</v>
      </c>
      <c r="DX1680" t="s">
        <v>20952</v>
      </c>
      <c r="DY1680" t="s">
        <v>346</v>
      </c>
      <c r="DZ1680" t="s">
        <v>347</v>
      </c>
      <c r="EA1680" t="s">
        <v>20953</v>
      </c>
      <c r="EB1680" t="s">
        <v>278</v>
      </c>
      <c r="EC1680" t="s">
        <v>183</v>
      </c>
      <c r="ED1680" t="s">
        <v>211</v>
      </c>
      <c r="EE1680" t="s">
        <v>460</v>
      </c>
      <c r="EG1680" t="s">
        <v>10233</v>
      </c>
      <c r="EH1680" t="s">
        <v>20954</v>
      </c>
      <c r="EI1680" t="s">
        <v>207</v>
      </c>
      <c r="EJ1680" t="s">
        <v>208</v>
      </c>
      <c r="EK1680" t="s">
        <v>20955</v>
      </c>
      <c r="EL1680" t="s">
        <v>1966</v>
      </c>
      <c r="EM1680" t="s">
        <v>183</v>
      </c>
      <c r="EN1680" t="s">
        <v>211</v>
      </c>
      <c r="EO1680" t="s">
        <v>329</v>
      </c>
      <c r="EQ1680" t="s">
        <v>10202</v>
      </c>
      <c r="FA1680" t="s">
        <v>198</v>
      </c>
      <c r="FK1680" t="s">
        <v>198</v>
      </c>
      <c r="FU1680" t="s">
        <v>198</v>
      </c>
    </row>
    <row r="1681" spans="1:177">
      <c r="A1681" s="1" t="str">
        <f>HYPERLINK("http://digipan.lumentumllc.com/apps/getLink/index.php?t=PropLink&amp;p=41030431","PL")</f>
        <v>PL</v>
      </c>
      <c r="B1681" s="1" t="str">
        <f>HYPERLINK("http://digipan.lumentumllc.com/apps/getLink/index.php?t=TaxLink&amp;p=41030431","TL")</f>
        <v>TL</v>
      </c>
      <c r="C1681" s="1" t="str">
        <f>HYPERLINK("","")</f>
        <v/>
      </c>
      <c r="E1681" t="s">
        <v>177</v>
      </c>
      <c r="F1681" t="s">
        <v>178</v>
      </c>
      <c r="L1681" t="s">
        <v>20956</v>
      </c>
      <c r="N1681" t="s">
        <v>20956</v>
      </c>
      <c r="O1681" t="s">
        <v>20956</v>
      </c>
      <c r="Q1681" t="s">
        <v>20956</v>
      </c>
      <c r="V1681">
        <v>1926</v>
      </c>
      <c r="W1681">
        <v>6</v>
      </c>
      <c r="X1681">
        <v>2017</v>
      </c>
      <c r="Y1681">
        <v>2018</v>
      </c>
      <c r="Z1681">
        <v>1255.43</v>
      </c>
      <c r="AG1681" t="s">
        <v>184</v>
      </c>
      <c r="AH1681">
        <v>0</v>
      </c>
      <c r="AK1681">
        <v>0</v>
      </c>
      <c r="AL1681">
        <v>113828</v>
      </c>
      <c r="AM1681">
        <v>27625</v>
      </c>
      <c r="AN1681">
        <v>86203</v>
      </c>
      <c r="AQ1681">
        <v>1.1000000000000001</v>
      </c>
      <c r="AS1681" t="s">
        <v>20957</v>
      </c>
      <c r="AT1681" t="s">
        <v>15040</v>
      </c>
      <c r="AU1681" t="s">
        <v>177</v>
      </c>
      <c r="AV1681" t="s">
        <v>371</v>
      </c>
      <c r="AW1681" t="s">
        <v>202</v>
      </c>
      <c r="AX1681">
        <v>1</v>
      </c>
      <c r="AY1681" t="s">
        <v>188</v>
      </c>
      <c r="AZ1681" t="s">
        <v>206</v>
      </c>
      <c r="BA1681" t="s">
        <v>355</v>
      </c>
      <c r="BB1681" t="s">
        <v>191</v>
      </c>
      <c r="BC1681" t="s">
        <v>202</v>
      </c>
      <c r="BD1681" t="s">
        <v>182</v>
      </c>
      <c r="BE1681" t="s">
        <v>6085</v>
      </c>
      <c r="BF1681">
        <v>1</v>
      </c>
      <c r="BG1681">
        <v>1</v>
      </c>
      <c r="BH1681">
        <v>2016</v>
      </c>
      <c r="BI1681" t="s">
        <v>16346</v>
      </c>
      <c r="BJ1681" t="s">
        <v>396</v>
      </c>
      <c r="BK1681" t="s">
        <v>195</v>
      </c>
      <c r="BN1681" t="s">
        <v>182</v>
      </c>
      <c r="BO1681" t="s">
        <v>198</v>
      </c>
      <c r="BP1681" t="s">
        <v>198</v>
      </c>
      <c r="BQ1681" t="s">
        <v>198</v>
      </c>
      <c r="BR1681" t="s">
        <v>198</v>
      </c>
      <c r="BS1681" t="s">
        <v>198</v>
      </c>
      <c r="BT1681" t="s">
        <v>198</v>
      </c>
      <c r="BU1681" t="s">
        <v>182</v>
      </c>
      <c r="BV1681" t="s">
        <v>198</v>
      </c>
      <c r="BW1681" t="s">
        <v>198</v>
      </c>
      <c r="BX1681" t="s">
        <v>199</v>
      </c>
      <c r="BY1681" t="s">
        <v>198</v>
      </c>
      <c r="CB1681" t="s">
        <v>20958</v>
      </c>
      <c r="CC1681" t="s">
        <v>201</v>
      </c>
      <c r="CD1681" t="s">
        <v>182</v>
      </c>
      <c r="CE1681" t="s">
        <v>20959</v>
      </c>
      <c r="CF1681" t="s">
        <v>5331</v>
      </c>
      <c r="CG1681" t="s">
        <v>177</v>
      </c>
      <c r="CH1681" t="s">
        <v>371</v>
      </c>
      <c r="CI1681" t="s">
        <v>16352</v>
      </c>
      <c r="CS1681" t="s">
        <v>198</v>
      </c>
      <c r="DC1681" t="s">
        <v>198</v>
      </c>
      <c r="DM1681" t="s">
        <v>198</v>
      </c>
      <c r="DW1681" t="s">
        <v>198</v>
      </c>
      <c r="EG1681" t="s">
        <v>198</v>
      </c>
      <c r="EQ1681" t="s">
        <v>198</v>
      </c>
      <c r="FA1681" t="s">
        <v>198</v>
      </c>
      <c r="FK1681" t="s">
        <v>198</v>
      </c>
      <c r="FU1681" t="s">
        <v>198</v>
      </c>
    </row>
    <row r="1682" spans="1:177">
      <c r="A1682" s="1" t="str">
        <f>HYPERLINK("http://digipan.lumentumllc.com/apps/getLink/index.php?t=PropLink&amp;p=15761775","PL")</f>
        <v>PL</v>
      </c>
      <c r="B1682" s="1" t="str">
        <f>HYPERLINK("http://digipan.lumentumllc.com/apps/getLink/index.php?t=TaxLink&amp;p=15761775","TL")</f>
        <v>TL</v>
      </c>
      <c r="C1682" s="1" t="str">
        <f>HYPERLINK("http://digipan.lumentumllc.com/apps/getMap/index.php?p=15761775","Map")</f>
        <v>Map</v>
      </c>
      <c r="E1682" t="s">
        <v>177</v>
      </c>
      <c r="F1682" t="s">
        <v>178</v>
      </c>
      <c r="L1682" t="s">
        <v>20960</v>
      </c>
      <c r="N1682" t="s">
        <v>20960</v>
      </c>
      <c r="O1682" t="s">
        <v>20960</v>
      </c>
      <c r="Q1682" t="s">
        <v>20960</v>
      </c>
      <c r="V1682">
        <v>1927</v>
      </c>
      <c r="W1682">
        <v>6</v>
      </c>
      <c r="X1682">
        <v>2017</v>
      </c>
      <c r="Y1682">
        <v>2018</v>
      </c>
      <c r="Z1682">
        <v>494.57</v>
      </c>
      <c r="AB1682" t="s">
        <v>181</v>
      </c>
      <c r="AC1682" t="s">
        <v>182</v>
      </c>
      <c r="AD1682" t="s">
        <v>183</v>
      </c>
      <c r="AE1682">
        <v>0</v>
      </c>
      <c r="AF1682">
        <v>1</v>
      </c>
      <c r="AG1682" t="s">
        <v>821</v>
      </c>
      <c r="AH1682">
        <v>100</v>
      </c>
      <c r="AK1682">
        <v>0</v>
      </c>
      <c r="AL1682">
        <v>29681</v>
      </c>
      <c r="AM1682">
        <v>25000</v>
      </c>
      <c r="AN1682">
        <v>4681</v>
      </c>
      <c r="AO1682">
        <v>379</v>
      </c>
      <c r="AP1682">
        <v>2016</v>
      </c>
      <c r="AQ1682">
        <v>1.67</v>
      </c>
      <c r="AS1682" t="s">
        <v>20961</v>
      </c>
      <c r="AT1682" t="s">
        <v>15040</v>
      </c>
      <c r="AU1682" t="s">
        <v>177</v>
      </c>
      <c r="AV1682" t="s">
        <v>371</v>
      </c>
      <c r="AW1682" t="s">
        <v>182</v>
      </c>
      <c r="AX1682">
        <v>2</v>
      </c>
      <c r="AY1682" t="s">
        <v>188</v>
      </c>
      <c r="AZ1682" t="s">
        <v>189</v>
      </c>
      <c r="BA1682" t="s">
        <v>190</v>
      </c>
      <c r="BB1682" t="s">
        <v>191</v>
      </c>
      <c r="BC1682" t="s">
        <v>182</v>
      </c>
      <c r="BD1682" t="s">
        <v>182</v>
      </c>
      <c r="BE1682" t="s">
        <v>383</v>
      </c>
      <c r="BF1682">
        <v>1</v>
      </c>
      <c r="BG1682">
        <v>1</v>
      </c>
      <c r="BH1682">
        <v>1984</v>
      </c>
      <c r="BI1682" t="s">
        <v>193</v>
      </c>
      <c r="BJ1682" t="s">
        <v>194</v>
      </c>
      <c r="BK1682" t="s">
        <v>195</v>
      </c>
      <c r="BL1682" t="s">
        <v>1081</v>
      </c>
      <c r="BM1682" t="s">
        <v>267</v>
      </c>
      <c r="BN1682" t="s">
        <v>182</v>
      </c>
      <c r="BO1682" t="s">
        <v>198</v>
      </c>
      <c r="BP1682" t="s">
        <v>198</v>
      </c>
      <c r="BQ1682" t="s">
        <v>198</v>
      </c>
      <c r="BR1682" t="s">
        <v>198</v>
      </c>
      <c r="BS1682" t="s">
        <v>198</v>
      </c>
      <c r="BT1682" t="s">
        <v>198</v>
      </c>
      <c r="BU1682" t="s">
        <v>182</v>
      </c>
      <c r="BV1682" t="s">
        <v>198</v>
      </c>
      <c r="BW1682" t="s">
        <v>198</v>
      </c>
      <c r="BX1682" t="s">
        <v>199</v>
      </c>
      <c r="BY1682" t="s">
        <v>198</v>
      </c>
      <c r="BZ1682" t="s">
        <v>199</v>
      </c>
      <c r="CA1682" t="s">
        <v>199</v>
      </c>
      <c r="CB1682" t="s">
        <v>20962</v>
      </c>
      <c r="CC1682" t="s">
        <v>201</v>
      </c>
      <c r="CD1682" t="s">
        <v>202</v>
      </c>
      <c r="CE1682" t="s">
        <v>19907</v>
      </c>
      <c r="CF1682" t="s">
        <v>5331</v>
      </c>
      <c r="CG1682" t="s">
        <v>177</v>
      </c>
      <c r="CH1682" t="s">
        <v>371</v>
      </c>
      <c r="CI1682" t="s">
        <v>4045</v>
      </c>
      <c r="CJ1682" t="s">
        <v>3285</v>
      </c>
      <c r="CK1682" t="s">
        <v>232</v>
      </c>
      <c r="CL1682" t="s">
        <v>233</v>
      </c>
      <c r="CM1682" t="s">
        <v>20963</v>
      </c>
      <c r="CN1682" t="s">
        <v>235</v>
      </c>
      <c r="CO1682" t="s">
        <v>183</v>
      </c>
      <c r="CP1682" t="s">
        <v>211</v>
      </c>
      <c r="CQ1682" t="s">
        <v>199</v>
      </c>
      <c r="CS1682" t="s">
        <v>20964</v>
      </c>
      <c r="DC1682" t="s">
        <v>198</v>
      </c>
      <c r="DM1682" t="s">
        <v>198</v>
      </c>
      <c r="DW1682" t="s">
        <v>198</v>
      </c>
      <c r="EG1682" t="s">
        <v>198</v>
      </c>
      <c r="EQ1682" t="s">
        <v>198</v>
      </c>
      <c r="FA1682" t="s">
        <v>198</v>
      </c>
      <c r="FK1682" t="s">
        <v>198</v>
      </c>
      <c r="FU1682" t="s">
        <v>198</v>
      </c>
    </row>
    <row r="1683" spans="1:177">
      <c r="A1683" s="1" t="str">
        <f>HYPERLINK("http://digipan.lumentumllc.com/apps/getLink/index.php?t=PropLink&amp;p=4638745","PL")</f>
        <v>PL</v>
      </c>
      <c r="B1683" s="1" t="str">
        <f>HYPERLINK("http://digipan.lumentumllc.com/apps/getLink/index.php?t=TaxLink&amp;p=4638745","TL")</f>
        <v>TL</v>
      </c>
      <c r="C1683" s="1" t="str">
        <f>HYPERLINK("http://digipan.lumentumllc.com/apps/getMap/index.php?p=4638745","Map")</f>
        <v>Map</v>
      </c>
      <c r="E1683" t="s">
        <v>177</v>
      </c>
      <c r="F1683" t="s">
        <v>178</v>
      </c>
      <c r="L1683" t="s">
        <v>20965</v>
      </c>
      <c r="N1683" t="s">
        <v>20965</v>
      </c>
      <c r="O1683" t="s">
        <v>20965</v>
      </c>
      <c r="P1683" t="s">
        <v>20966</v>
      </c>
      <c r="Q1683" t="s">
        <v>20965</v>
      </c>
      <c r="V1683">
        <v>1928</v>
      </c>
      <c r="W1683">
        <v>6</v>
      </c>
      <c r="X1683">
        <v>2017</v>
      </c>
      <c r="Y1683">
        <v>2018</v>
      </c>
      <c r="Z1683">
        <v>1045.69</v>
      </c>
      <c r="AB1683" t="s">
        <v>181</v>
      </c>
      <c r="AC1683" t="s">
        <v>182</v>
      </c>
      <c r="AD1683" t="s">
        <v>183</v>
      </c>
      <c r="AE1683">
        <v>1</v>
      </c>
      <c r="AF1683">
        <v>3</v>
      </c>
      <c r="AG1683" t="s">
        <v>257</v>
      </c>
      <c r="AH1683">
        <v>75</v>
      </c>
      <c r="AI1683">
        <v>947.09</v>
      </c>
      <c r="AJ1683">
        <v>47.35</v>
      </c>
      <c r="AK1683">
        <v>994.44</v>
      </c>
      <c r="AL1683">
        <v>63145</v>
      </c>
      <c r="AM1683">
        <v>25000</v>
      </c>
      <c r="AN1683">
        <v>38145</v>
      </c>
      <c r="AO1683">
        <v>851</v>
      </c>
      <c r="AP1683">
        <v>2016</v>
      </c>
      <c r="AQ1683">
        <v>1.66</v>
      </c>
      <c r="AR1683">
        <v>1.57</v>
      </c>
      <c r="AS1683" t="s">
        <v>20967</v>
      </c>
      <c r="AT1683" t="s">
        <v>15040</v>
      </c>
      <c r="AU1683" t="s">
        <v>177</v>
      </c>
      <c r="AV1683" t="s">
        <v>371</v>
      </c>
      <c r="AW1683" t="s">
        <v>182</v>
      </c>
      <c r="AX1683">
        <v>2</v>
      </c>
      <c r="AY1683" t="s">
        <v>188</v>
      </c>
      <c r="AZ1683" t="s">
        <v>189</v>
      </c>
      <c r="BA1683" t="s">
        <v>190</v>
      </c>
      <c r="BB1683" t="s">
        <v>191</v>
      </c>
      <c r="BC1683" t="s">
        <v>182</v>
      </c>
      <c r="BD1683" t="s">
        <v>182</v>
      </c>
      <c r="BE1683" t="s">
        <v>5145</v>
      </c>
      <c r="BF1683">
        <v>1</v>
      </c>
      <c r="BG1683">
        <v>1</v>
      </c>
      <c r="BH1683">
        <v>2005</v>
      </c>
      <c r="BI1683" t="s">
        <v>1291</v>
      </c>
      <c r="BJ1683" t="s">
        <v>194</v>
      </c>
      <c r="BK1683" t="s">
        <v>195</v>
      </c>
      <c r="BL1683" t="s">
        <v>20968</v>
      </c>
      <c r="BM1683" t="s">
        <v>533</v>
      </c>
      <c r="BN1683" t="s">
        <v>182</v>
      </c>
      <c r="BO1683" t="s">
        <v>20969</v>
      </c>
      <c r="BP1683" t="s">
        <v>9234</v>
      </c>
      <c r="BS1683" t="s">
        <v>20970</v>
      </c>
      <c r="BT1683" t="s">
        <v>198</v>
      </c>
      <c r="BU1683" t="s">
        <v>182</v>
      </c>
      <c r="BV1683" t="s">
        <v>198</v>
      </c>
      <c r="BW1683" t="s">
        <v>198</v>
      </c>
      <c r="BX1683" t="s">
        <v>199</v>
      </c>
      <c r="BY1683" t="s">
        <v>198</v>
      </c>
      <c r="BZ1683" t="s">
        <v>199</v>
      </c>
      <c r="CA1683" t="s">
        <v>199</v>
      </c>
      <c r="CB1683" t="s">
        <v>18019</v>
      </c>
      <c r="CC1683" t="s">
        <v>201</v>
      </c>
      <c r="CD1683" t="s">
        <v>202</v>
      </c>
      <c r="CE1683" t="s">
        <v>18020</v>
      </c>
      <c r="CF1683" t="s">
        <v>413</v>
      </c>
      <c r="CG1683" t="s">
        <v>177</v>
      </c>
      <c r="CH1683" t="s">
        <v>1044</v>
      </c>
      <c r="CI1683" t="s">
        <v>20971</v>
      </c>
      <c r="CJ1683" t="s">
        <v>450</v>
      </c>
      <c r="CK1683" t="s">
        <v>232</v>
      </c>
      <c r="CL1683" t="s">
        <v>233</v>
      </c>
      <c r="CM1683" t="s">
        <v>20972</v>
      </c>
      <c r="CN1683" t="s">
        <v>235</v>
      </c>
      <c r="CO1683" t="s">
        <v>183</v>
      </c>
      <c r="CP1683" t="s">
        <v>266</v>
      </c>
      <c r="CS1683" t="s">
        <v>198</v>
      </c>
      <c r="CT1683" t="s">
        <v>18321</v>
      </c>
      <c r="CU1683" t="s">
        <v>292</v>
      </c>
      <c r="CV1683" t="s">
        <v>293</v>
      </c>
      <c r="CW1683" t="s">
        <v>20973</v>
      </c>
      <c r="CX1683" t="s">
        <v>235</v>
      </c>
      <c r="CY1683" t="s">
        <v>183</v>
      </c>
      <c r="CZ1683" t="s">
        <v>211</v>
      </c>
      <c r="DA1683" t="s">
        <v>298</v>
      </c>
      <c r="DC1683" t="s">
        <v>430</v>
      </c>
      <c r="DD1683" t="s">
        <v>9049</v>
      </c>
      <c r="DE1683" t="s">
        <v>267</v>
      </c>
      <c r="DF1683" t="s">
        <v>268</v>
      </c>
      <c r="DG1683" t="s">
        <v>20974</v>
      </c>
      <c r="DH1683" t="s">
        <v>235</v>
      </c>
      <c r="DI1683" t="s">
        <v>183</v>
      </c>
      <c r="DJ1683" t="s">
        <v>211</v>
      </c>
      <c r="DK1683" t="s">
        <v>298</v>
      </c>
      <c r="DM1683" t="s">
        <v>2179</v>
      </c>
      <c r="DN1683" t="s">
        <v>20975</v>
      </c>
      <c r="DO1683" t="s">
        <v>273</v>
      </c>
      <c r="DP1683" t="s">
        <v>274</v>
      </c>
      <c r="DQ1683" t="s">
        <v>20976</v>
      </c>
      <c r="DR1683" t="s">
        <v>235</v>
      </c>
      <c r="DS1683" t="s">
        <v>183</v>
      </c>
      <c r="DT1683" t="s">
        <v>211</v>
      </c>
      <c r="DU1683" t="s">
        <v>298</v>
      </c>
      <c r="DW1683" t="s">
        <v>5484</v>
      </c>
      <c r="EG1683" t="s">
        <v>198</v>
      </c>
      <c r="EQ1683" t="s">
        <v>198</v>
      </c>
      <c r="FA1683" t="s">
        <v>198</v>
      </c>
      <c r="FK1683" t="s">
        <v>198</v>
      </c>
      <c r="FU1683" t="s">
        <v>198</v>
      </c>
    </row>
    <row r="1684" spans="1:177">
      <c r="A1684" s="1" t="str">
        <f>HYPERLINK("http://digipan.lumentumllc.com/apps/getLink/index.php?t=PropLink&amp;p=15761791","PL")</f>
        <v>PL</v>
      </c>
      <c r="B1684" s="1" t="str">
        <f>HYPERLINK("http://digipan.lumentumllc.com/apps/getLink/index.php?t=TaxLink&amp;p=15761791","TL")</f>
        <v>TL</v>
      </c>
      <c r="C1684" s="1" t="str">
        <f>HYPERLINK("http://digipan.lumentumllc.com/apps/getMap/index.php?p=15761791","Map")</f>
        <v>Map</v>
      </c>
      <c r="E1684" t="s">
        <v>177</v>
      </c>
      <c r="F1684" t="s">
        <v>178</v>
      </c>
      <c r="L1684" t="s">
        <v>20977</v>
      </c>
      <c r="N1684" t="s">
        <v>20977</v>
      </c>
      <c r="O1684" t="s">
        <v>20977</v>
      </c>
      <c r="Q1684" t="s">
        <v>20977</v>
      </c>
      <c r="V1684">
        <v>1929</v>
      </c>
      <c r="W1684">
        <v>6</v>
      </c>
      <c r="X1684">
        <v>2017</v>
      </c>
      <c r="Y1684">
        <v>2018</v>
      </c>
      <c r="Z1684">
        <v>428.46</v>
      </c>
      <c r="AG1684" t="s">
        <v>184</v>
      </c>
      <c r="AH1684">
        <v>0</v>
      </c>
      <c r="AK1684">
        <v>0</v>
      </c>
      <c r="AL1684">
        <v>140315</v>
      </c>
      <c r="AM1684">
        <v>25000</v>
      </c>
      <c r="AN1684">
        <v>115315</v>
      </c>
      <c r="AO1684">
        <v>0</v>
      </c>
      <c r="AP1684">
        <v>0</v>
      </c>
      <c r="AQ1684">
        <v>0.31</v>
      </c>
      <c r="AS1684" t="s">
        <v>20978</v>
      </c>
      <c r="AT1684" t="s">
        <v>15040</v>
      </c>
      <c r="AU1684" t="s">
        <v>177</v>
      </c>
      <c r="AV1684" t="s">
        <v>371</v>
      </c>
      <c r="AW1684" t="s">
        <v>202</v>
      </c>
      <c r="AX1684">
        <v>1</v>
      </c>
      <c r="AY1684" t="s">
        <v>188</v>
      </c>
      <c r="AZ1684" t="s">
        <v>206</v>
      </c>
      <c r="BA1684" t="s">
        <v>355</v>
      </c>
      <c r="BB1684" t="s">
        <v>191</v>
      </c>
      <c r="BC1684" t="s">
        <v>182</v>
      </c>
      <c r="BD1684" t="s">
        <v>182</v>
      </c>
      <c r="BE1684" t="s">
        <v>6156</v>
      </c>
      <c r="BF1684">
        <v>2</v>
      </c>
      <c r="BG1684">
        <v>2</v>
      </c>
      <c r="BH1684">
        <v>1998</v>
      </c>
      <c r="BI1684" t="s">
        <v>20979</v>
      </c>
      <c r="BJ1684" t="s">
        <v>396</v>
      </c>
      <c r="BK1684" t="s">
        <v>195</v>
      </c>
      <c r="BL1684" t="s">
        <v>18654</v>
      </c>
      <c r="BM1684" t="s">
        <v>273</v>
      </c>
      <c r="BN1684" t="s">
        <v>182</v>
      </c>
      <c r="BO1684" t="s">
        <v>20980</v>
      </c>
      <c r="BP1684" t="s">
        <v>16831</v>
      </c>
      <c r="BQ1684" t="s">
        <v>603</v>
      </c>
      <c r="BR1684" t="s">
        <v>6200</v>
      </c>
      <c r="BS1684" t="s">
        <v>198</v>
      </c>
      <c r="BT1684" t="s">
        <v>20981</v>
      </c>
      <c r="BU1684" t="s">
        <v>182</v>
      </c>
      <c r="BV1684" t="s">
        <v>198</v>
      </c>
      <c r="BW1684" t="s">
        <v>198</v>
      </c>
      <c r="BX1684" t="s">
        <v>199</v>
      </c>
      <c r="BY1684" t="s">
        <v>198</v>
      </c>
      <c r="BZ1684" t="s">
        <v>199</v>
      </c>
      <c r="CA1684" t="s">
        <v>199</v>
      </c>
      <c r="CB1684" t="s">
        <v>20982</v>
      </c>
      <c r="CC1684" t="s">
        <v>201</v>
      </c>
      <c r="CD1684" t="s">
        <v>182</v>
      </c>
      <c r="CE1684" t="s">
        <v>20983</v>
      </c>
      <c r="CF1684" t="s">
        <v>5331</v>
      </c>
      <c r="CG1684" t="s">
        <v>177</v>
      </c>
      <c r="CH1684" t="s">
        <v>371</v>
      </c>
      <c r="CI1684" t="s">
        <v>1972</v>
      </c>
      <c r="CS1684" t="s">
        <v>198</v>
      </c>
      <c r="DC1684" t="s">
        <v>198</v>
      </c>
      <c r="DM1684" t="s">
        <v>198</v>
      </c>
      <c r="DW1684" t="s">
        <v>198</v>
      </c>
      <c r="EG1684" t="s">
        <v>198</v>
      </c>
      <c r="EQ1684" t="s">
        <v>198</v>
      </c>
      <c r="FA1684" t="s">
        <v>198</v>
      </c>
      <c r="FK1684" t="s">
        <v>198</v>
      </c>
      <c r="FU1684" t="s">
        <v>198</v>
      </c>
    </row>
    <row r="1685" spans="1:177">
      <c r="A1685" s="1" t="str">
        <f>HYPERLINK("http://digipan.lumentumllc.com/apps/getLink/index.php?t=PropLink&amp;p=5248347","PL")</f>
        <v>PL</v>
      </c>
      <c r="B1685" s="1" t="str">
        <f>HYPERLINK("http://digipan.lumentumllc.com/apps/getLink/index.php?t=TaxLink&amp;p=5248347","TL")</f>
        <v>TL</v>
      </c>
      <c r="C1685" s="1" t="str">
        <f>HYPERLINK("http://digipan.lumentumllc.com/apps/getMap/index.php?p=5248347","Map")</f>
        <v>Map</v>
      </c>
      <c r="E1685" t="s">
        <v>177</v>
      </c>
      <c r="F1685" t="s">
        <v>178</v>
      </c>
      <c r="L1685" t="s">
        <v>20984</v>
      </c>
      <c r="N1685" t="s">
        <v>20984</v>
      </c>
      <c r="O1685" t="s">
        <v>20984</v>
      </c>
      <c r="P1685" t="s">
        <v>20985</v>
      </c>
      <c r="Q1685" t="s">
        <v>20984</v>
      </c>
      <c r="V1685">
        <v>1930</v>
      </c>
      <c r="W1685">
        <v>6</v>
      </c>
      <c r="X1685">
        <v>2017</v>
      </c>
      <c r="Y1685">
        <v>2018</v>
      </c>
      <c r="Z1685">
        <v>495.95</v>
      </c>
      <c r="AB1685" t="s">
        <v>181</v>
      </c>
      <c r="AC1685" t="s">
        <v>182</v>
      </c>
      <c r="AD1685" t="s">
        <v>183</v>
      </c>
      <c r="AE1685">
        <v>0</v>
      </c>
      <c r="AF1685">
        <v>6</v>
      </c>
      <c r="AG1685" t="s">
        <v>528</v>
      </c>
      <c r="AH1685">
        <v>100</v>
      </c>
      <c r="AK1685">
        <v>0</v>
      </c>
      <c r="AL1685">
        <v>29761</v>
      </c>
      <c r="AM1685">
        <v>25000</v>
      </c>
      <c r="AN1685">
        <v>4761</v>
      </c>
      <c r="AO1685">
        <v>380</v>
      </c>
      <c r="AP1685">
        <v>2016</v>
      </c>
      <c r="AQ1685">
        <v>1.67</v>
      </c>
      <c r="AS1685" t="s">
        <v>20986</v>
      </c>
      <c r="AT1685" t="s">
        <v>15040</v>
      </c>
      <c r="AU1685" t="s">
        <v>177</v>
      </c>
      <c r="AV1685" t="s">
        <v>371</v>
      </c>
      <c r="AW1685" t="s">
        <v>182</v>
      </c>
      <c r="AX1685">
        <v>2</v>
      </c>
      <c r="AY1685" t="s">
        <v>188</v>
      </c>
      <c r="AZ1685" t="s">
        <v>189</v>
      </c>
      <c r="BA1685" t="s">
        <v>190</v>
      </c>
      <c r="BB1685" t="s">
        <v>191</v>
      </c>
      <c r="BC1685" t="s">
        <v>182</v>
      </c>
      <c r="BD1685" t="s">
        <v>182</v>
      </c>
      <c r="BE1685" t="s">
        <v>899</v>
      </c>
      <c r="BF1685">
        <v>1</v>
      </c>
      <c r="BG1685">
        <v>1</v>
      </c>
      <c r="BH1685">
        <v>1970</v>
      </c>
      <c r="BI1685" t="s">
        <v>9121</v>
      </c>
      <c r="BJ1685" t="s">
        <v>285</v>
      </c>
      <c r="BK1685" t="s">
        <v>195</v>
      </c>
      <c r="BL1685" t="s">
        <v>11407</v>
      </c>
      <c r="BM1685" t="s">
        <v>346</v>
      </c>
      <c r="BN1685" t="s">
        <v>182</v>
      </c>
      <c r="BO1685" t="s">
        <v>20987</v>
      </c>
      <c r="BP1685" t="s">
        <v>3881</v>
      </c>
      <c r="BS1685" t="s">
        <v>20988</v>
      </c>
      <c r="BT1685" t="s">
        <v>198</v>
      </c>
      <c r="BU1685" t="s">
        <v>182</v>
      </c>
      <c r="BV1685" t="s">
        <v>198</v>
      </c>
      <c r="BW1685" t="s">
        <v>198</v>
      </c>
      <c r="BX1685" t="s">
        <v>199</v>
      </c>
      <c r="BY1685" t="s">
        <v>198</v>
      </c>
      <c r="BZ1685" t="s">
        <v>199</v>
      </c>
      <c r="CA1685" t="s">
        <v>199</v>
      </c>
      <c r="CB1685" t="s">
        <v>20989</v>
      </c>
      <c r="CC1685" t="s">
        <v>201</v>
      </c>
      <c r="CD1685" t="s">
        <v>182</v>
      </c>
      <c r="CE1685" t="s">
        <v>20990</v>
      </c>
      <c r="CF1685" t="s">
        <v>5331</v>
      </c>
      <c r="CG1685" t="s">
        <v>177</v>
      </c>
      <c r="CH1685" t="s">
        <v>371</v>
      </c>
      <c r="CI1685" t="s">
        <v>20991</v>
      </c>
      <c r="CJ1685" t="s">
        <v>1215</v>
      </c>
      <c r="CK1685" t="s">
        <v>232</v>
      </c>
      <c r="CL1685" t="s">
        <v>233</v>
      </c>
      <c r="CM1685" t="s">
        <v>20992</v>
      </c>
      <c r="CN1685" t="s">
        <v>235</v>
      </c>
      <c r="CO1685" t="s">
        <v>183</v>
      </c>
      <c r="CP1685" t="s">
        <v>211</v>
      </c>
      <c r="CQ1685" t="s">
        <v>342</v>
      </c>
      <c r="CS1685" t="s">
        <v>20934</v>
      </c>
      <c r="CT1685" t="s">
        <v>13112</v>
      </c>
      <c r="CU1685" t="s">
        <v>292</v>
      </c>
      <c r="CV1685" t="s">
        <v>293</v>
      </c>
      <c r="CW1685" t="s">
        <v>20993</v>
      </c>
      <c r="CX1685" t="s">
        <v>278</v>
      </c>
      <c r="CY1685" t="s">
        <v>183</v>
      </c>
      <c r="CZ1685" t="s">
        <v>211</v>
      </c>
      <c r="DA1685" t="s">
        <v>342</v>
      </c>
      <c r="DC1685" t="s">
        <v>10007</v>
      </c>
      <c r="DD1685" t="s">
        <v>5119</v>
      </c>
      <c r="DE1685" t="s">
        <v>267</v>
      </c>
      <c r="DF1685" t="s">
        <v>268</v>
      </c>
      <c r="DG1685" t="s">
        <v>17543</v>
      </c>
      <c r="DH1685" t="s">
        <v>927</v>
      </c>
      <c r="DI1685" t="s">
        <v>183</v>
      </c>
      <c r="DJ1685" t="s">
        <v>211</v>
      </c>
      <c r="DK1685" t="s">
        <v>342</v>
      </c>
      <c r="DM1685" t="s">
        <v>5675</v>
      </c>
      <c r="DN1685" t="s">
        <v>11705</v>
      </c>
      <c r="DO1685" t="s">
        <v>273</v>
      </c>
      <c r="DP1685" t="s">
        <v>274</v>
      </c>
      <c r="DQ1685" t="s">
        <v>20994</v>
      </c>
      <c r="DR1685" t="s">
        <v>235</v>
      </c>
      <c r="DS1685" t="s">
        <v>183</v>
      </c>
      <c r="DT1685" t="s">
        <v>211</v>
      </c>
      <c r="DU1685" t="s">
        <v>342</v>
      </c>
      <c r="DW1685" t="s">
        <v>2553</v>
      </c>
      <c r="DX1685" t="s">
        <v>20995</v>
      </c>
      <c r="DY1685" t="s">
        <v>302</v>
      </c>
      <c r="DZ1685" t="s">
        <v>303</v>
      </c>
      <c r="EA1685" t="s">
        <v>20996</v>
      </c>
      <c r="EB1685" t="s">
        <v>235</v>
      </c>
      <c r="EC1685" t="s">
        <v>183</v>
      </c>
      <c r="ED1685" t="s">
        <v>211</v>
      </c>
      <c r="EE1685" t="s">
        <v>329</v>
      </c>
      <c r="EG1685" t="s">
        <v>441</v>
      </c>
      <c r="EH1685" t="s">
        <v>20997</v>
      </c>
      <c r="EI1685" t="s">
        <v>346</v>
      </c>
      <c r="EJ1685" t="s">
        <v>347</v>
      </c>
      <c r="EK1685" t="s">
        <v>20998</v>
      </c>
      <c r="EL1685" t="s">
        <v>278</v>
      </c>
      <c r="EM1685" t="s">
        <v>183</v>
      </c>
      <c r="EN1685" t="s">
        <v>211</v>
      </c>
      <c r="EO1685" t="s">
        <v>298</v>
      </c>
      <c r="EQ1685" t="s">
        <v>1100</v>
      </c>
      <c r="FA1685" t="s">
        <v>198</v>
      </c>
      <c r="FK1685" t="s">
        <v>198</v>
      </c>
      <c r="FU1685" t="s">
        <v>198</v>
      </c>
    </row>
    <row r="1686" spans="1:177">
      <c r="A1686" s="1" t="str">
        <f>HYPERLINK("http://digipan.lumentumllc.com/apps/getLink/index.php?t=PropLink&amp;p=15761809","PL")</f>
        <v>PL</v>
      </c>
      <c r="B1686" s="1" t="str">
        <f>HYPERLINK("http://digipan.lumentumllc.com/apps/getLink/index.php?t=TaxLink&amp;p=15761809","TL")</f>
        <v>TL</v>
      </c>
      <c r="C1686" s="1" t="str">
        <f>HYPERLINK("http://digipan.lumentumllc.com/apps/getMap/index.php?p=15761809","Map")</f>
        <v>Map</v>
      </c>
      <c r="E1686" t="s">
        <v>177</v>
      </c>
      <c r="F1686" t="s">
        <v>178</v>
      </c>
      <c r="L1686" t="s">
        <v>20999</v>
      </c>
      <c r="N1686" t="s">
        <v>20999</v>
      </c>
      <c r="O1686" t="s">
        <v>20999</v>
      </c>
      <c r="Q1686" t="s">
        <v>20999</v>
      </c>
      <c r="V1686">
        <v>1931</v>
      </c>
      <c r="W1686">
        <v>6</v>
      </c>
      <c r="X1686">
        <v>2017</v>
      </c>
      <c r="Y1686">
        <v>2018</v>
      </c>
      <c r="Z1686">
        <v>857.56</v>
      </c>
      <c r="AG1686" t="s">
        <v>184</v>
      </c>
      <c r="AH1686">
        <v>0</v>
      </c>
      <c r="AK1686">
        <v>0</v>
      </c>
      <c r="AL1686">
        <v>50424</v>
      </c>
      <c r="AM1686">
        <v>25000</v>
      </c>
      <c r="AN1686">
        <v>25424</v>
      </c>
      <c r="AO1686">
        <v>269</v>
      </c>
      <c r="AP1686">
        <v>2016</v>
      </c>
      <c r="AQ1686">
        <v>1.7</v>
      </c>
      <c r="AS1686" t="s">
        <v>21000</v>
      </c>
      <c r="AT1686" t="s">
        <v>15040</v>
      </c>
      <c r="AU1686" t="s">
        <v>177</v>
      </c>
      <c r="AV1686" t="s">
        <v>371</v>
      </c>
      <c r="AW1686" t="s">
        <v>182</v>
      </c>
      <c r="AX1686">
        <v>2</v>
      </c>
      <c r="AY1686" t="s">
        <v>188</v>
      </c>
      <c r="AZ1686" t="s">
        <v>189</v>
      </c>
      <c r="BA1686" t="s">
        <v>190</v>
      </c>
      <c r="BB1686" t="s">
        <v>191</v>
      </c>
      <c r="BC1686" t="s">
        <v>182</v>
      </c>
      <c r="BD1686" t="s">
        <v>182</v>
      </c>
      <c r="BE1686" t="s">
        <v>5145</v>
      </c>
      <c r="BF1686">
        <v>1</v>
      </c>
      <c r="BG1686">
        <v>1</v>
      </c>
      <c r="BH1686">
        <v>1998</v>
      </c>
      <c r="BI1686" t="s">
        <v>10940</v>
      </c>
      <c r="BJ1686" t="s">
        <v>396</v>
      </c>
      <c r="BK1686" t="s">
        <v>195</v>
      </c>
      <c r="BL1686" t="s">
        <v>14791</v>
      </c>
      <c r="BM1686" t="s">
        <v>286</v>
      </c>
      <c r="BN1686" t="s">
        <v>182</v>
      </c>
      <c r="BO1686" t="s">
        <v>10061</v>
      </c>
      <c r="BP1686" t="s">
        <v>21001</v>
      </c>
      <c r="BQ1686" t="s">
        <v>1520</v>
      </c>
      <c r="BR1686" t="s">
        <v>2318</v>
      </c>
      <c r="BS1686" t="s">
        <v>198</v>
      </c>
      <c r="BT1686" t="s">
        <v>15843</v>
      </c>
      <c r="BU1686" t="s">
        <v>182</v>
      </c>
      <c r="BV1686" t="s">
        <v>198</v>
      </c>
      <c r="BW1686" t="s">
        <v>198</v>
      </c>
      <c r="BX1686" t="s">
        <v>199</v>
      </c>
      <c r="BY1686" t="s">
        <v>198</v>
      </c>
      <c r="BZ1686" t="s">
        <v>199</v>
      </c>
      <c r="CA1686" t="s">
        <v>199</v>
      </c>
      <c r="CB1686" t="s">
        <v>21002</v>
      </c>
      <c r="CC1686" t="s">
        <v>201</v>
      </c>
      <c r="CD1686" t="s">
        <v>202</v>
      </c>
      <c r="CE1686" t="s">
        <v>21003</v>
      </c>
      <c r="CF1686" t="s">
        <v>8687</v>
      </c>
      <c r="CG1686" t="s">
        <v>177</v>
      </c>
      <c r="CH1686" t="s">
        <v>8688</v>
      </c>
      <c r="CI1686" t="s">
        <v>19638</v>
      </c>
      <c r="CS1686" t="s">
        <v>198</v>
      </c>
      <c r="DC1686" t="s">
        <v>198</v>
      </c>
      <c r="DM1686" t="s">
        <v>198</v>
      </c>
      <c r="DW1686" t="s">
        <v>198</v>
      </c>
      <c r="EG1686" t="s">
        <v>198</v>
      </c>
      <c r="EQ1686" t="s">
        <v>198</v>
      </c>
      <c r="FA1686" t="s">
        <v>198</v>
      </c>
      <c r="FK1686" t="s">
        <v>198</v>
      </c>
      <c r="FU1686" t="s">
        <v>198</v>
      </c>
    </row>
    <row r="1687" spans="1:177">
      <c r="A1687" s="1" t="str">
        <f>HYPERLINK("http://digipan.lumentumllc.com/apps/getLink/index.php?t=PropLink&amp;p=5248355","PL")</f>
        <v>PL</v>
      </c>
      <c r="B1687" s="1" t="str">
        <f>HYPERLINK("http://digipan.lumentumllc.com/apps/getLink/index.php?t=TaxLink&amp;p=5248355","TL")</f>
        <v>TL</v>
      </c>
      <c r="C1687" s="1" t="str">
        <f>HYPERLINK("http://digipan.lumentumllc.com/apps/getMap/index.php?p=5248355","Map")</f>
        <v>Map</v>
      </c>
      <c r="E1687" t="s">
        <v>177</v>
      </c>
      <c r="F1687" t="s">
        <v>178</v>
      </c>
      <c r="L1687" t="s">
        <v>21004</v>
      </c>
      <c r="N1687" t="s">
        <v>21004</v>
      </c>
      <c r="O1687" t="s">
        <v>21004</v>
      </c>
      <c r="P1687" t="s">
        <v>21005</v>
      </c>
      <c r="Q1687" t="s">
        <v>21004</v>
      </c>
      <c r="V1687">
        <v>1933</v>
      </c>
      <c r="W1687">
        <v>6</v>
      </c>
      <c r="X1687">
        <v>2017</v>
      </c>
      <c r="Y1687">
        <v>2018</v>
      </c>
      <c r="Z1687">
        <v>279.72000000000003</v>
      </c>
      <c r="AB1687" t="s">
        <v>181</v>
      </c>
      <c r="AC1687" t="s">
        <v>182</v>
      </c>
      <c r="AD1687" t="s">
        <v>183</v>
      </c>
      <c r="AE1687">
        <v>1</v>
      </c>
      <c r="AF1687">
        <v>7</v>
      </c>
      <c r="AG1687" t="s">
        <v>418</v>
      </c>
      <c r="AH1687">
        <v>86</v>
      </c>
      <c r="AI1687">
        <v>264.14</v>
      </c>
      <c r="AJ1687">
        <v>13.21</v>
      </c>
      <c r="AK1687">
        <v>277.35000000000002</v>
      </c>
      <c r="AL1687">
        <v>57522</v>
      </c>
      <c r="AM1687">
        <v>25000</v>
      </c>
      <c r="AN1687">
        <v>32522</v>
      </c>
      <c r="AO1687">
        <v>219</v>
      </c>
      <c r="AP1687">
        <v>2016</v>
      </c>
      <c r="AQ1687">
        <v>0.49</v>
      </c>
      <c r="AR1687">
        <v>0.48</v>
      </c>
      <c r="AS1687" t="s">
        <v>21006</v>
      </c>
      <c r="AT1687" t="s">
        <v>15040</v>
      </c>
      <c r="AU1687" t="s">
        <v>177</v>
      </c>
      <c r="AV1687" t="s">
        <v>371</v>
      </c>
      <c r="AW1687" t="s">
        <v>202</v>
      </c>
      <c r="AX1687">
        <v>2</v>
      </c>
      <c r="AY1687" t="s">
        <v>188</v>
      </c>
      <c r="AZ1687" t="s">
        <v>189</v>
      </c>
      <c r="BA1687" t="s">
        <v>190</v>
      </c>
      <c r="BB1687" t="s">
        <v>191</v>
      </c>
      <c r="BC1687" t="s">
        <v>182</v>
      </c>
      <c r="BD1687" t="s">
        <v>182</v>
      </c>
      <c r="BE1687" t="s">
        <v>5030</v>
      </c>
      <c r="BF1687">
        <v>1</v>
      </c>
      <c r="BG1687">
        <v>1</v>
      </c>
      <c r="BH1687">
        <v>1993</v>
      </c>
      <c r="BI1687" t="s">
        <v>6235</v>
      </c>
      <c r="BJ1687" t="s">
        <v>194</v>
      </c>
      <c r="BK1687" t="s">
        <v>195</v>
      </c>
      <c r="BL1687" t="s">
        <v>199</v>
      </c>
      <c r="BM1687" t="s">
        <v>1311</v>
      </c>
      <c r="BN1687" t="s">
        <v>182</v>
      </c>
      <c r="BO1687" t="s">
        <v>198</v>
      </c>
      <c r="BP1687" t="s">
        <v>198</v>
      </c>
      <c r="BQ1687" t="s">
        <v>198</v>
      </c>
      <c r="BR1687" t="s">
        <v>198</v>
      </c>
      <c r="BS1687" t="s">
        <v>198</v>
      </c>
      <c r="BT1687" t="s">
        <v>198</v>
      </c>
      <c r="BU1687" t="s">
        <v>182</v>
      </c>
      <c r="BV1687" t="s">
        <v>198</v>
      </c>
      <c r="BW1687" t="s">
        <v>198</v>
      </c>
      <c r="BX1687" t="s">
        <v>199</v>
      </c>
      <c r="BY1687" t="s">
        <v>198</v>
      </c>
      <c r="BZ1687" t="s">
        <v>199</v>
      </c>
      <c r="CA1687" t="s">
        <v>199</v>
      </c>
      <c r="CB1687" t="s">
        <v>21007</v>
      </c>
      <c r="CC1687" t="s">
        <v>201</v>
      </c>
      <c r="CD1687" t="s">
        <v>182</v>
      </c>
      <c r="CE1687" t="s">
        <v>21008</v>
      </c>
      <c r="CF1687" t="s">
        <v>5331</v>
      </c>
      <c r="CG1687" t="s">
        <v>177</v>
      </c>
      <c r="CH1687" t="s">
        <v>371</v>
      </c>
      <c r="CI1687" t="s">
        <v>21009</v>
      </c>
      <c r="CJ1687" t="s">
        <v>11980</v>
      </c>
      <c r="CK1687" t="s">
        <v>232</v>
      </c>
      <c r="CL1687" t="s">
        <v>233</v>
      </c>
      <c r="CM1687" t="s">
        <v>21010</v>
      </c>
      <c r="CN1687" t="s">
        <v>235</v>
      </c>
      <c r="CO1687" t="s">
        <v>183</v>
      </c>
      <c r="CP1687" t="s">
        <v>266</v>
      </c>
      <c r="CS1687" t="s">
        <v>198</v>
      </c>
      <c r="CT1687" t="s">
        <v>19040</v>
      </c>
      <c r="CU1687" t="s">
        <v>292</v>
      </c>
      <c r="CV1687" t="s">
        <v>293</v>
      </c>
      <c r="CW1687" t="s">
        <v>21011</v>
      </c>
      <c r="CX1687" t="s">
        <v>235</v>
      </c>
      <c r="CY1687" t="s">
        <v>183</v>
      </c>
      <c r="CZ1687" t="s">
        <v>211</v>
      </c>
      <c r="DA1687" t="s">
        <v>298</v>
      </c>
      <c r="DC1687" t="s">
        <v>7451</v>
      </c>
      <c r="DD1687" t="s">
        <v>5393</v>
      </c>
      <c r="DE1687" t="s">
        <v>267</v>
      </c>
      <c r="DF1687" t="s">
        <v>268</v>
      </c>
      <c r="DG1687" t="s">
        <v>21012</v>
      </c>
      <c r="DH1687" t="s">
        <v>235</v>
      </c>
      <c r="DI1687" t="s">
        <v>183</v>
      </c>
      <c r="DJ1687" t="s">
        <v>211</v>
      </c>
      <c r="DK1687" t="s">
        <v>189</v>
      </c>
      <c r="DM1687" t="s">
        <v>1833</v>
      </c>
      <c r="DN1687" t="s">
        <v>14449</v>
      </c>
      <c r="DO1687" t="s">
        <v>273</v>
      </c>
      <c r="DP1687" t="s">
        <v>274</v>
      </c>
      <c r="DQ1687" t="s">
        <v>11233</v>
      </c>
      <c r="DR1687" t="s">
        <v>235</v>
      </c>
      <c r="DS1687" t="s">
        <v>183</v>
      </c>
      <c r="DT1687" t="s">
        <v>211</v>
      </c>
      <c r="DU1687" t="s">
        <v>460</v>
      </c>
      <c r="DW1687" t="s">
        <v>1833</v>
      </c>
      <c r="DX1687" t="s">
        <v>20079</v>
      </c>
      <c r="DY1687" t="s">
        <v>302</v>
      </c>
      <c r="DZ1687" t="s">
        <v>303</v>
      </c>
      <c r="EA1687" t="s">
        <v>21013</v>
      </c>
      <c r="EB1687" t="s">
        <v>436</v>
      </c>
      <c r="EC1687" t="s">
        <v>183</v>
      </c>
      <c r="ED1687" t="s">
        <v>211</v>
      </c>
      <c r="EE1687" t="s">
        <v>345</v>
      </c>
      <c r="EG1687" t="s">
        <v>2553</v>
      </c>
      <c r="EH1687" t="s">
        <v>21014</v>
      </c>
      <c r="EI1687" t="s">
        <v>238</v>
      </c>
      <c r="EJ1687" t="s">
        <v>239</v>
      </c>
      <c r="EK1687" t="s">
        <v>21015</v>
      </c>
      <c r="EL1687" t="s">
        <v>278</v>
      </c>
      <c r="EM1687" t="s">
        <v>183</v>
      </c>
      <c r="EN1687" t="s">
        <v>211</v>
      </c>
      <c r="EO1687" t="s">
        <v>345</v>
      </c>
      <c r="EQ1687" t="s">
        <v>6842</v>
      </c>
      <c r="ER1687" t="s">
        <v>21016</v>
      </c>
      <c r="ES1687" t="s">
        <v>346</v>
      </c>
      <c r="ET1687" t="s">
        <v>347</v>
      </c>
      <c r="EU1687" t="s">
        <v>21017</v>
      </c>
      <c r="EV1687" t="s">
        <v>440</v>
      </c>
      <c r="EW1687" t="s">
        <v>183</v>
      </c>
      <c r="EX1687" t="s">
        <v>211</v>
      </c>
      <c r="EY1687" t="s">
        <v>345</v>
      </c>
      <c r="FA1687" t="s">
        <v>5179</v>
      </c>
      <c r="FB1687" t="s">
        <v>21018</v>
      </c>
      <c r="FC1687" t="s">
        <v>207</v>
      </c>
      <c r="FD1687" t="s">
        <v>208</v>
      </c>
      <c r="FE1687" t="s">
        <v>21019</v>
      </c>
      <c r="FF1687" t="s">
        <v>1966</v>
      </c>
      <c r="FG1687" t="s">
        <v>183</v>
      </c>
      <c r="FH1687" t="s">
        <v>211</v>
      </c>
      <c r="FI1687" t="s">
        <v>345</v>
      </c>
      <c r="FK1687" t="s">
        <v>3169</v>
      </c>
      <c r="FU1687" t="s">
        <v>198</v>
      </c>
    </row>
    <row r="1688" spans="1:177">
      <c r="A1688" s="1" t="str">
        <f>HYPERLINK("http://digipan.lumentumllc.com/apps/getLink/index.php?t=PropLink&amp;p=7112603","PL")</f>
        <v>PL</v>
      </c>
      <c r="B1688" s="1" t="str">
        <f>HYPERLINK("http://digipan.lumentumllc.com/apps/getLink/index.php?t=TaxLink&amp;p=7112603","TL")</f>
        <v>TL</v>
      </c>
      <c r="C1688" s="1" t="str">
        <f>HYPERLINK("http://digipan.lumentumllc.com/apps/getMap/index.php?p=7112603","Map")</f>
        <v>Map</v>
      </c>
      <c r="E1688" t="s">
        <v>177</v>
      </c>
      <c r="F1688" t="s">
        <v>178</v>
      </c>
      <c r="L1688" t="s">
        <v>21020</v>
      </c>
      <c r="N1688" t="s">
        <v>21020</v>
      </c>
      <c r="O1688" t="s">
        <v>21020</v>
      </c>
      <c r="P1688" t="s">
        <v>21021</v>
      </c>
      <c r="Q1688" t="s">
        <v>21020</v>
      </c>
      <c r="V1688">
        <v>1934</v>
      </c>
      <c r="W1688">
        <v>6</v>
      </c>
      <c r="X1688">
        <v>2017</v>
      </c>
      <c r="Y1688">
        <v>2018</v>
      </c>
      <c r="Z1688">
        <v>812.61</v>
      </c>
      <c r="AG1688" t="s">
        <v>184</v>
      </c>
      <c r="AH1688">
        <v>0</v>
      </c>
      <c r="AK1688">
        <v>0</v>
      </c>
      <c r="AL1688">
        <v>94645</v>
      </c>
      <c r="AM1688">
        <v>25000</v>
      </c>
      <c r="AN1688">
        <v>69645</v>
      </c>
      <c r="AO1688">
        <v>707</v>
      </c>
      <c r="AP1688">
        <v>2016</v>
      </c>
      <c r="AQ1688">
        <v>0.86</v>
      </c>
      <c r="AS1688" t="s">
        <v>21022</v>
      </c>
      <c r="AT1688" t="s">
        <v>15040</v>
      </c>
      <c r="AU1688" t="s">
        <v>177</v>
      </c>
      <c r="AV1688" t="s">
        <v>371</v>
      </c>
      <c r="AW1688" t="s">
        <v>202</v>
      </c>
      <c r="AX1688">
        <v>2</v>
      </c>
      <c r="AY1688" t="s">
        <v>188</v>
      </c>
      <c r="AZ1688" t="s">
        <v>189</v>
      </c>
      <c r="BA1688" t="s">
        <v>190</v>
      </c>
      <c r="BB1688" t="s">
        <v>191</v>
      </c>
      <c r="BC1688" t="s">
        <v>182</v>
      </c>
      <c r="BD1688" t="s">
        <v>182</v>
      </c>
      <c r="BE1688" t="s">
        <v>14901</v>
      </c>
      <c r="BF1688">
        <v>1</v>
      </c>
      <c r="BG1688">
        <v>1</v>
      </c>
      <c r="BH1688">
        <v>2005</v>
      </c>
      <c r="BI1688" t="s">
        <v>1709</v>
      </c>
      <c r="BJ1688" t="s">
        <v>194</v>
      </c>
      <c r="BK1688" t="s">
        <v>195</v>
      </c>
      <c r="BL1688" t="s">
        <v>21023</v>
      </c>
      <c r="BM1688" t="s">
        <v>501</v>
      </c>
      <c r="BN1688" t="s">
        <v>182</v>
      </c>
      <c r="BO1688" t="s">
        <v>2328</v>
      </c>
      <c r="BP1688" t="s">
        <v>21024</v>
      </c>
      <c r="BS1688" t="s">
        <v>21025</v>
      </c>
      <c r="BT1688" t="s">
        <v>198</v>
      </c>
      <c r="BU1688" t="s">
        <v>182</v>
      </c>
      <c r="BV1688" t="s">
        <v>198</v>
      </c>
      <c r="BW1688" t="s">
        <v>198</v>
      </c>
      <c r="BX1688" t="s">
        <v>199</v>
      </c>
      <c r="BY1688" t="s">
        <v>198</v>
      </c>
      <c r="BZ1688" t="s">
        <v>199</v>
      </c>
      <c r="CA1688" t="s">
        <v>199</v>
      </c>
      <c r="CB1688" t="s">
        <v>21026</v>
      </c>
      <c r="CC1688" t="s">
        <v>201</v>
      </c>
      <c r="CD1688" t="s">
        <v>182</v>
      </c>
      <c r="CE1688" t="s">
        <v>21027</v>
      </c>
      <c r="CF1688" t="s">
        <v>5331</v>
      </c>
      <c r="CG1688" t="s">
        <v>177</v>
      </c>
      <c r="CH1688" t="s">
        <v>371</v>
      </c>
      <c r="CI1688" t="s">
        <v>10376</v>
      </c>
      <c r="CS1688" t="s">
        <v>198</v>
      </c>
      <c r="DC1688" t="s">
        <v>198</v>
      </c>
      <c r="DM1688" t="s">
        <v>198</v>
      </c>
      <c r="DW1688" t="s">
        <v>198</v>
      </c>
      <c r="EG1688" t="s">
        <v>198</v>
      </c>
      <c r="EQ1688" t="s">
        <v>198</v>
      </c>
      <c r="FA1688" t="s">
        <v>198</v>
      </c>
      <c r="FK1688" t="s">
        <v>198</v>
      </c>
      <c r="FU1688" t="s">
        <v>198</v>
      </c>
    </row>
    <row r="1689" spans="1:177">
      <c r="A1689" s="1" t="str">
        <f>HYPERLINK("http://digipan.lumentumllc.com/apps/getLink/index.php?t=PropLink&amp;p=5248358","PL")</f>
        <v>PL</v>
      </c>
      <c r="B1689" s="1" t="str">
        <f>HYPERLINK("http://digipan.lumentumllc.com/apps/getLink/index.php?t=TaxLink&amp;p=5248358","TL")</f>
        <v>TL</v>
      </c>
      <c r="C1689" s="1" t="str">
        <f>HYPERLINK("http://digipan.lumentumllc.com/apps/getMap/index.php?p=5248358","Map")</f>
        <v>Map</v>
      </c>
      <c r="E1689" t="s">
        <v>177</v>
      </c>
      <c r="F1689" t="s">
        <v>178</v>
      </c>
      <c r="L1689" t="s">
        <v>21028</v>
      </c>
      <c r="N1689" t="s">
        <v>21028</v>
      </c>
      <c r="O1689" t="s">
        <v>21028</v>
      </c>
      <c r="P1689" t="s">
        <v>21029</v>
      </c>
      <c r="Q1689" t="s">
        <v>21028</v>
      </c>
      <c r="V1689">
        <v>1935</v>
      </c>
      <c r="W1689">
        <v>6</v>
      </c>
      <c r="X1689">
        <v>2017</v>
      </c>
      <c r="Y1689">
        <v>2018</v>
      </c>
      <c r="Z1689">
        <v>618.94000000000005</v>
      </c>
      <c r="AB1689" t="s">
        <v>181</v>
      </c>
      <c r="AC1689" t="s">
        <v>182</v>
      </c>
      <c r="AD1689" t="s">
        <v>183</v>
      </c>
      <c r="AE1689">
        <v>0</v>
      </c>
      <c r="AF1689">
        <v>8</v>
      </c>
      <c r="AG1689" t="s">
        <v>1059</v>
      </c>
      <c r="AH1689">
        <v>100</v>
      </c>
      <c r="AK1689">
        <v>0</v>
      </c>
      <c r="AL1689">
        <v>87604</v>
      </c>
      <c r="AM1689">
        <v>25000</v>
      </c>
      <c r="AN1689">
        <v>62604</v>
      </c>
      <c r="AO1689">
        <v>517</v>
      </c>
      <c r="AP1689">
        <v>2016</v>
      </c>
      <c r="AQ1689">
        <v>0.71</v>
      </c>
      <c r="AS1689" t="s">
        <v>21030</v>
      </c>
      <c r="AT1689" t="s">
        <v>15040</v>
      </c>
      <c r="AU1689" t="s">
        <v>177</v>
      </c>
      <c r="AV1689" t="s">
        <v>371</v>
      </c>
      <c r="AW1689" t="s">
        <v>202</v>
      </c>
      <c r="AX1689">
        <v>2</v>
      </c>
      <c r="AY1689" t="s">
        <v>188</v>
      </c>
      <c r="AZ1689" t="s">
        <v>189</v>
      </c>
      <c r="BA1689" t="s">
        <v>190</v>
      </c>
      <c r="BB1689" t="s">
        <v>191</v>
      </c>
      <c r="BC1689" t="s">
        <v>182</v>
      </c>
      <c r="BD1689" t="s">
        <v>182</v>
      </c>
      <c r="BE1689" t="s">
        <v>383</v>
      </c>
      <c r="BF1689">
        <v>1</v>
      </c>
      <c r="BG1689">
        <v>1</v>
      </c>
      <c r="BH1689">
        <v>1998</v>
      </c>
      <c r="BI1689" t="s">
        <v>883</v>
      </c>
      <c r="BJ1689" t="s">
        <v>194</v>
      </c>
      <c r="BK1689" t="s">
        <v>195</v>
      </c>
      <c r="BL1689" t="s">
        <v>1753</v>
      </c>
      <c r="BM1689" t="s">
        <v>302</v>
      </c>
      <c r="BN1689" t="s">
        <v>182</v>
      </c>
      <c r="BO1689" t="s">
        <v>198</v>
      </c>
      <c r="BP1689" t="s">
        <v>198</v>
      </c>
      <c r="BQ1689" t="s">
        <v>198</v>
      </c>
      <c r="BR1689" t="s">
        <v>198</v>
      </c>
      <c r="BS1689" t="s">
        <v>198</v>
      </c>
      <c r="BT1689" t="s">
        <v>198</v>
      </c>
      <c r="BU1689" t="s">
        <v>182</v>
      </c>
      <c r="BV1689" t="s">
        <v>198</v>
      </c>
      <c r="BW1689" t="s">
        <v>198</v>
      </c>
      <c r="BX1689" t="s">
        <v>199</v>
      </c>
      <c r="BY1689" t="s">
        <v>198</v>
      </c>
      <c r="BZ1689" t="s">
        <v>199</v>
      </c>
      <c r="CA1689" t="s">
        <v>199</v>
      </c>
      <c r="CB1689" t="s">
        <v>21031</v>
      </c>
      <c r="CC1689" t="s">
        <v>201</v>
      </c>
      <c r="CD1689" t="s">
        <v>202</v>
      </c>
      <c r="CE1689" t="s">
        <v>21032</v>
      </c>
      <c r="CF1689" t="s">
        <v>5331</v>
      </c>
      <c r="CG1689" t="s">
        <v>177</v>
      </c>
      <c r="CH1689" t="s">
        <v>371</v>
      </c>
      <c r="CI1689" t="s">
        <v>21033</v>
      </c>
      <c r="CJ1689" t="s">
        <v>3222</v>
      </c>
      <c r="CK1689" t="s">
        <v>232</v>
      </c>
      <c r="CL1689" t="s">
        <v>233</v>
      </c>
      <c r="CM1689" t="s">
        <v>21034</v>
      </c>
      <c r="CN1689" t="s">
        <v>235</v>
      </c>
      <c r="CO1689" t="s">
        <v>183</v>
      </c>
      <c r="CP1689" t="s">
        <v>211</v>
      </c>
      <c r="CQ1689" t="s">
        <v>329</v>
      </c>
      <c r="CS1689" t="s">
        <v>4023</v>
      </c>
      <c r="CT1689" t="s">
        <v>20372</v>
      </c>
      <c r="CU1689" t="s">
        <v>292</v>
      </c>
      <c r="CV1689" t="s">
        <v>293</v>
      </c>
      <c r="CW1689" t="s">
        <v>21035</v>
      </c>
      <c r="CX1689" t="s">
        <v>235</v>
      </c>
      <c r="CY1689" t="s">
        <v>183</v>
      </c>
      <c r="CZ1689" t="s">
        <v>211</v>
      </c>
      <c r="DA1689" t="s">
        <v>298</v>
      </c>
      <c r="DC1689" t="s">
        <v>4023</v>
      </c>
      <c r="DD1689" t="s">
        <v>14505</v>
      </c>
      <c r="DE1689" t="s">
        <v>267</v>
      </c>
      <c r="DF1689" t="s">
        <v>268</v>
      </c>
      <c r="DG1689" t="s">
        <v>21036</v>
      </c>
      <c r="DH1689" t="s">
        <v>235</v>
      </c>
      <c r="DI1689" t="s">
        <v>183</v>
      </c>
      <c r="DJ1689" t="s">
        <v>211</v>
      </c>
      <c r="DK1689" t="s">
        <v>298</v>
      </c>
      <c r="DM1689" t="s">
        <v>2096</v>
      </c>
      <c r="DN1689" t="s">
        <v>14461</v>
      </c>
      <c r="DO1689" t="s">
        <v>273</v>
      </c>
      <c r="DP1689" t="s">
        <v>274</v>
      </c>
      <c r="DQ1689" t="s">
        <v>21037</v>
      </c>
      <c r="DR1689" t="s">
        <v>235</v>
      </c>
      <c r="DS1689" t="s">
        <v>183</v>
      </c>
      <c r="DT1689" t="s">
        <v>211</v>
      </c>
      <c r="DU1689" t="s">
        <v>298</v>
      </c>
      <c r="DW1689" t="s">
        <v>462</v>
      </c>
      <c r="DX1689" t="s">
        <v>21038</v>
      </c>
      <c r="DY1689" t="s">
        <v>302</v>
      </c>
      <c r="DZ1689" t="s">
        <v>303</v>
      </c>
      <c r="EA1689" t="s">
        <v>21039</v>
      </c>
      <c r="EB1689" t="s">
        <v>235</v>
      </c>
      <c r="EC1689" t="s">
        <v>183</v>
      </c>
      <c r="ED1689" t="s">
        <v>211</v>
      </c>
      <c r="EE1689" t="s">
        <v>298</v>
      </c>
      <c r="EG1689" t="s">
        <v>437</v>
      </c>
      <c r="EH1689" t="s">
        <v>21040</v>
      </c>
      <c r="EI1689" t="s">
        <v>238</v>
      </c>
      <c r="EJ1689" t="s">
        <v>239</v>
      </c>
      <c r="EK1689" t="s">
        <v>21041</v>
      </c>
      <c r="EL1689" t="s">
        <v>278</v>
      </c>
      <c r="EM1689" t="s">
        <v>183</v>
      </c>
      <c r="EN1689" t="s">
        <v>211</v>
      </c>
      <c r="EO1689" t="s">
        <v>189</v>
      </c>
      <c r="EQ1689" t="s">
        <v>5318</v>
      </c>
      <c r="ER1689" t="s">
        <v>17531</v>
      </c>
      <c r="ES1689" t="s">
        <v>346</v>
      </c>
      <c r="ET1689" t="s">
        <v>347</v>
      </c>
      <c r="EU1689" t="s">
        <v>21042</v>
      </c>
      <c r="EV1689" t="s">
        <v>440</v>
      </c>
      <c r="EW1689" t="s">
        <v>183</v>
      </c>
      <c r="EX1689" t="s">
        <v>211</v>
      </c>
      <c r="EY1689" t="s">
        <v>460</v>
      </c>
      <c r="FA1689" t="s">
        <v>5318</v>
      </c>
      <c r="FB1689" t="s">
        <v>21043</v>
      </c>
      <c r="FC1689" t="s">
        <v>207</v>
      </c>
      <c r="FD1689" t="s">
        <v>208</v>
      </c>
      <c r="FE1689" t="s">
        <v>21044</v>
      </c>
      <c r="FF1689" t="s">
        <v>408</v>
      </c>
      <c r="FG1689" t="s">
        <v>183</v>
      </c>
      <c r="FH1689" t="s">
        <v>211</v>
      </c>
      <c r="FI1689" t="s">
        <v>444</v>
      </c>
      <c r="FK1689" t="s">
        <v>21045</v>
      </c>
      <c r="FU1689" t="s">
        <v>198</v>
      </c>
    </row>
    <row r="1690" spans="1:177">
      <c r="A1690" s="1" t="str">
        <f>HYPERLINK("http://digipan.lumentumllc.com/apps/getLink/index.php?t=PropLink&amp;p=5248363","PL")</f>
        <v>PL</v>
      </c>
      <c r="B1690" s="1" t="str">
        <f>HYPERLINK("http://digipan.lumentumllc.com/apps/getLink/index.php?t=TaxLink&amp;p=5248363","TL")</f>
        <v>TL</v>
      </c>
      <c r="C1690" s="1" t="str">
        <f>HYPERLINK("http://digipan.lumentumllc.com/apps/getMap/index.php?p=5248363","Map")</f>
        <v>Map</v>
      </c>
      <c r="E1690" t="s">
        <v>177</v>
      </c>
      <c r="F1690" t="s">
        <v>178</v>
      </c>
      <c r="L1690" t="s">
        <v>21046</v>
      </c>
      <c r="N1690" t="s">
        <v>21046</v>
      </c>
      <c r="O1690" t="s">
        <v>21046</v>
      </c>
      <c r="P1690" t="s">
        <v>21047</v>
      </c>
      <c r="Q1690" t="s">
        <v>21046</v>
      </c>
      <c r="V1690">
        <v>1936</v>
      </c>
      <c r="W1690">
        <v>6</v>
      </c>
      <c r="X1690">
        <v>2017</v>
      </c>
      <c r="Y1690">
        <v>2018</v>
      </c>
      <c r="Z1690">
        <v>662.47</v>
      </c>
      <c r="AB1690" t="s">
        <v>181</v>
      </c>
      <c r="AC1690" t="s">
        <v>182</v>
      </c>
      <c r="AD1690" t="s">
        <v>183</v>
      </c>
      <c r="AE1690">
        <v>0</v>
      </c>
      <c r="AF1690">
        <v>4</v>
      </c>
      <c r="AG1690" t="s">
        <v>744</v>
      </c>
      <c r="AH1690">
        <v>100</v>
      </c>
      <c r="AK1690">
        <v>0</v>
      </c>
      <c r="AL1690">
        <v>38629</v>
      </c>
      <c r="AM1690">
        <v>25000</v>
      </c>
      <c r="AN1690">
        <v>13629</v>
      </c>
      <c r="AO1690">
        <v>536</v>
      </c>
      <c r="AP1690">
        <v>2016</v>
      </c>
      <c r="AQ1690">
        <v>1.71</v>
      </c>
      <c r="AS1690" t="s">
        <v>21048</v>
      </c>
      <c r="AT1690" t="s">
        <v>15040</v>
      </c>
      <c r="AU1690" t="s">
        <v>177</v>
      </c>
      <c r="AV1690" t="s">
        <v>371</v>
      </c>
      <c r="AW1690" t="s">
        <v>182</v>
      </c>
      <c r="AX1690">
        <v>2</v>
      </c>
      <c r="AY1690" t="s">
        <v>188</v>
      </c>
      <c r="AZ1690" t="s">
        <v>189</v>
      </c>
      <c r="BA1690" t="s">
        <v>190</v>
      </c>
      <c r="BB1690" t="s">
        <v>191</v>
      </c>
      <c r="BC1690" t="s">
        <v>182</v>
      </c>
      <c r="BD1690" t="s">
        <v>182</v>
      </c>
      <c r="BE1690" t="s">
        <v>4906</v>
      </c>
      <c r="BF1690">
        <v>1</v>
      </c>
      <c r="BG1690">
        <v>1</v>
      </c>
      <c r="BH1690">
        <v>1985</v>
      </c>
      <c r="BI1690" t="s">
        <v>9295</v>
      </c>
      <c r="BJ1690" t="s">
        <v>194</v>
      </c>
      <c r="BK1690" t="s">
        <v>195</v>
      </c>
      <c r="BL1690" t="s">
        <v>2115</v>
      </c>
      <c r="BM1690" t="s">
        <v>1332</v>
      </c>
      <c r="BN1690" t="s">
        <v>182</v>
      </c>
      <c r="BO1690" t="s">
        <v>21049</v>
      </c>
      <c r="BP1690" t="s">
        <v>5899</v>
      </c>
      <c r="BS1690" t="s">
        <v>21050</v>
      </c>
      <c r="BT1690" t="s">
        <v>198</v>
      </c>
      <c r="BU1690" t="s">
        <v>182</v>
      </c>
      <c r="BV1690" t="s">
        <v>198</v>
      </c>
      <c r="BW1690" t="s">
        <v>198</v>
      </c>
      <c r="BX1690" t="s">
        <v>199</v>
      </c>
      <c r="BY1690" t="s">
        <v>198</v>
      </c>
      <c r="BZ1690" t="s">
        <v>199</v>
      </c>
      <c r="CA1690" t="s">
        <v>199</v>
      </c>
      <c r="CB1690" t="s">
        <v>21051</v>
      </c>
      <c r="CC1690" t="s">
        <v>201</v>
      </c>
      <c r="CD1690" t="s">
        <v>182</v>
      </c>
      <c r="CE1690" t="s">
        <v>21052</v>
      </c>
      <c r="CF1690" t="s">
        <v>5331</v>
      </c>
      <c r="CG1690" t="s">
        <v>177</v>
      </c>
      <c r="CH1690" t="s">
        <v>371</v>
      </c>
      <c r="CI1690" t="s">
        <v>21053</v>
      </c>
      <c r="CJ1690" t="s">
        <v>2418</v>
      </c>
      <c r="CK1690" t="s">
        <v>292</v>
      </c>
      <c r="CL1690" t="s">
        <v>293</v>
      </c>
      <c r="CM1690" t="s">
        <v>21054</v>
      </c>
      <c r="CN1690" t="s">
        <v>235</v>
      </c>
      <c r="CO1690" t="s">
        <v>183</v>
      </c>
      <c r="CP1690" t="s">
        <v>211</v>
      </c>
      <c r="CQ1690" t="s">
        <v>189</v>
      </c>
      <c r="CS1690" t="s">
        <v>21055</v>
      </c>
      <c r="CT1690" t="s">
        <v>9802</v>
      </c>
      <c r="CU1690" t="s">
        <v>302</v>
      </c>
      <c r="CV1690" t="s">
        <v>303</v>
      </c>
      <c r="CW1690" t="s">
        <v>21056</v>
      </c>
      <c r="CX1690" t="s">
        <v>235</v>
      </c>
      <c r="CY1690" t="s">
        <v>183</v>
      </c>
      <c r="CZ1690" t="s">
        <v>211</v>
      </c>
      <c r="DA1690" t="s">
        <v>189</v>
      </c>
      <c r="DC1690" t="s">
        <v>549</v>
      </c>
      <c r="DD1690" t="s">
        <v>21057</v>
      </c>
      <c r="DE1690" t="s">
        <v>238</v>
      </c>
      <c r="DF1690" t="s">
        <v>239</v>
      </c>
      <c r="DG1690" t="s">
        <v>21058</v>
      </c>
      <c r="DH1690" t="s">
        <v>440</v>
      </c>
      <c r="DI1690" t="s">
        <v>183</v>
      </c>
      <c r="DJ1690" t="s">
        <v>211</v>
      </c>
      <c r="DK1690" t="s">
        <v>460</v>
      </c>
      <c r="DM1690" t="s">
        <v>549</v>
      </c>
      <c r="DN1690" t="s">
        <v>17615</v>
      </c>
      <c r="DO1690" t="s">
        <v>346</v>
      </c>
      <c r="DP1690" t="s">
        <v>347</v>
      </c>
      <c r="DQ1690" t="s">
        <v>21059</v>
      </c>
      <c r="DR1690" t="s">
        <v>440</v>
      </c>
      <c r="DS1690" t="s">
        <v>183</v>
      </c>
      <c r="DT1690" t="s">
        <v>211</v>
      </c>
      <c r="DU1690" t="s">
        <v>298</v>
      </c>
      <c r="DW1690" t="s">
        <v>1622</v>
      </c>
      <c r="EG1690" t="s">
        <v>198</v>
      </c>
      <c r="EQ1690" t="s">
        <v>198</v>
      </c>
      <c r="FA1690" t="s">
        <v>198</v>
      </c>
      <c r="FK1690" t="s">
        <v>198</v>
      </c>
      <c r="FU1690" t="s">
        <v>198</v>
      </c>
    </row>
    <row r="1691" spans="1:177">
      <c r="A1691" s="1" t="str">
        <f>HYPERLINK("http://digipan.lumentumllc.com/apps/getLink/index.php?t=PropLink&amp;p=15761901","PL")</f>
        <v>PL</v>
      </c>
      <c r="B1691" s="1" t="str">
        <f>HYPERLINK("http://digipan.lumentumllc.com/apps/getLink/index.php?t=TaxLink&amp;p=15761901","TL")</f>
        <v>TL</v>
      </c>
      <c r="C1691" s="1" t="str">
        <f>HYPERLINK("http://digipan.lumentumllc.com/apps/getMap/index.php?p=15761901","Map")</f>
        <v>Map</v>
      </c>
      <c r="E1691" t="s">
        <v>177</v>
      </c>
      <c r="F1691" t="s">
        <v>178</v>
      </c>
      <c r="L1691" t="s">
        <v>21060</v>
      </c>
      <c r="N1691" t="s">
        <v>21060</v>
      </c>
      <c r="O1691" t="s">
        <v>21060</v>
      </c>
      <c r="Q1691" t="s">
        <v>21060</v>
      </c>
      <c r="V1691">
        <v>1937</v>
      </c>
      <c r="W1691">
        <v>6</v>
      </c>
      <c r="X1691">
        <v>2017</v>
      </c>
      <c r="Y1691">
        <v>2018</v>
      </c>
      <c r="Z1691">
        <v>583.49</v>
      </c>
      <c r="AB1691" t="s">
        <v>181</v>
      </c>
      <c r="AC1691" t="s">
        <v>182</v>
      </c>
      <c r="AD1691" t="s">
        <v>183</v>
      </c>
      <c r="AE1691">
        <v>1</v>
      </c>
      <c r="AF1691">
        <v>0</v>
      </c>
      <c r="AG1691" t="s">
        <v>1200</v>
      </c>
      <c r="AH1691">
        <v>0</v>
      </c>
      <c r="AI1691">
        <v>590.29</v>
      </c>
      <c r="AJ1691">
        <v>29.51</v>
      </c>
      <c r="AK1691">
        <v>619.79999999999995</v>
      </c>
      <c r="AL1691">
        <v>33683</v>
      </c>
      <c r="AM1691">
        <v>25000</v>
      </c>
      <c r="AN1691">
        <v>8683</v>
      </c>
      <c r="AO1691">
        <v>521</v>
      </c>
      <c r="AP1691">
        <v>2016</v>
      </c>
      <c r="AQ1691">
        <v>1.73</v>
      </c>
      <c r="AR1691">
        <v>1.84</v>
      </c>
      <c r="AS1691" t="s">
        <v>21061</v>
      </c>
      <c r="AT1691" t="s">
        <v>15040</v>
      </c>
      <c r="AU1691" t="s">
        <v>177</v>
      </c>
      <c r="AV1691" t="s">
        <v>371</v>
      </c>
      <c r="AW1691" t="s">
        <v>182</v>
      </c>
      <c r="AX1691">
        <v>2</v>
      </c>
      <c r="AY1691" t="s">
        <v>188</v>
      </c>
      <c r="AZ1691" t="s">
        <v>189</v>
      </c>
      <c r="BA1691" t="s">
        <v>190</v>
      </c>
      <c r="BB1691" t="s">
        <v>191</v>
      </c>
      <c r="BC1691" t="s">
        <v>182</v>
      </c>
      <c r="BD1691" t="s">
        <v>182</v>
      </c>
      <c r="BE1691" t="s">
        <v>7118</v>
      </c>
      <c r="BF1691">
        <v>1</v>
      </c>
      <c r="BG1691">
        <v>1</v>
      </c>
      <c r="BH1691">
        <v>1981</v>
      </c>
      <c r="BI1691" t="s">
        <v>10748</v>
      </c>
      <c r="BJ1691" t="s">
        <v>396</v>
      </c>
      <c r="BK1691" t="s">
        <v>195</v>
      </c>
      <c r="BL1691" t="s">
        <v>10370</v>
      </c>
      <c r="BM1691" t="s">
        <v>410</v>
      </c>
      <c r="BN1691" t="s">
        <v>182</v>
      </c>
      <c r="BO1691" t="s">
        <v>21062</v>
      </c>
      <c r="BP1691" t="s">
        <v>3234</v>
      </c>
      <c r="BQ1691" t="s">
        <v>226</v>
      </c>
      <c r="BR1691" t="s">
        <v>227</v>
      </c>
      <c r="BS1691" t="s">
        <v>198</v>
      </c>
      <c r="BT1691" t="s">
        <v>228</v>
      </c>
      <c r="BU1691" t="s">
        <v>182</v>
      </c>
      <c r="BV1691" t="s">
        <v>198</v>
      </c>
      <c r="BW1691" t="s">
        <v>198</v>
      </c>
      <c r="BX1691" t="s">
        <v>199</v>
      </c>
      <c r="BY1691" t="s">
        <v>198</v>
      </c>
      <c r="BZ1691" t="s">
        <v>199</v>
      </c>
      <c r="CA1691" t="s">
        <v>199</v>
      </c>
      <c r="CB1691" t="s">
        <v>21063</v>
      </c>
      <c r="CC1691" t="s">
        <v>201</v>
      </c>
      <c r="CD1691" t="s">
        <v>202</v>
      </c>
      <c r="CE1691" t="s">
        <v>21064</v>
      </c>
      <c r="CF1691" t="s">
        <v>5331</v>
      </c>
      <c r="CG1691" t="s">
        <v>177</v>
      </c>
      <c r="CH1691" t="s">
        <v>371</v>
      </c>
      <c r="CI1691" t="s">
        <v>21065</v>
      </c>
      <c r="CJ1691" t="s">
        <v>2061</v>
      </c>
      <c r="CK1691" t="s">
        <v>232</v>
      </c>
      <c r="CL1691" t="s">
        <v>233</v>
      </c>
      <c r="CM1691" t="s">
        <v>21066</v>
      </c>
      <c r="CN1691" t="s">
        <v>235</v>
      </c>
      <c r="CO1691" t="s">
        <v>183</v>
      </c>
      <c r="CP1691" t="s">
        <v>266</v>
      </c>
      <c r="CS1691" t="s">
        <v>198</v>
      </c>
      <c r="DC1691" t="s">
        <v>198</v>
      </c>
      <c r="DM1691" t="s">
        <v>198</v>
      </c>
      <c r="DW1691" t="s">
        <v>198</v>
      </c>
      <c r="EG1691" t="s">
        <v>198</v>
      </c>
      <c r="EQ1691" t="s">
        <v>198</v>
      </c>
      <c r="FA1691" t="s">
        <v>198</v>
      </c>
      <c r="FK1691" t="s">
        <v>198</v>
      </c>
      <c r="FU1691" t="s">
        <v>198</v>
      </c>
    </row>
    <row r="1692" spans="1:177">
      <c r="A1692" s="1" t="str">
        <f>HYPERLINK("http://digipan.lumentumllc.com/apps/getLink/index.php?t=PropLink&amp;p=6594394","PL")</f>
        <v>PL</v>
      </c>
      <c r="B1692" s="1" t="str">
        <f>HYPERLINK("http://digipan.lumentumllc.com/apps/getLink/index.php?t=TaxLink&amp;p=6594394","TL")</f>
        <v>TL</v>
      </c>
      <c r="C1692" s="1" t="str">
        <f>HYPERLINK("http://digipan.lumentumllc.com/apps/getMap/index.php?p=6594394","Map")</f>
        <v>Map</v>
      </c>
      <c r="E1692" t="s">
        <v>177</v>
      </c>
      <c r="F1692" t="s">
        <v>178</v>
      </c>
      <c r="L1692" t="s">
        <v>21067</v>
      </c>
      <c r="N1692" t="s">
        <v>21067</v>
      </c>
      <c r="O1692" t="s">
        <v>21067</v>
      </c>
      <c r="P1692" t="s">
        <v>21068</v>
      </c>
      <c r="Q1692" t="s">
        <v>21067</v>
      </c>
      <c r="V1692">
        <v>1938</v>
      </c>
      <c r="W1692">
        <v>6</v>
      </c>
      <c r="X1692">
        <v>2017</v>
      </c>
      <c r="Y1692">
        <v>2018</v>
      </c>
      <c r="Z1692">
        <v>667.62</v>
      </c>
      <c r="AB1692" t="s">
        <v>181</v>
      </c>
      <c r="AC1692" t="s">
        <v>182</v>
      </c>
      <c r="AD1692" t="s">
        <v>183</v>
      </c>
      <c r="AE1692">
        <v>0</v>
      </c>
      <c r="AF1692">
        <v>3</v>
      </c>
      <c r="AG1692" t="s">
        <v>381</v>
      </c>
      <c r="AH1692">
        <v>100</v>
      </c>
      <c r="AK1692">
        <v>0</v>
      </c>
      <c r="AL1692">
        <v>38822</v>
      </c>
      <c r="AM1692">
        <v>25000</v>
      </c>
      <c r="AN1692">
        <v>13822</v>
      </c>
      <c r="AO1692">
        <v>597</v>
      </c>
      <c r="AP1692">
        <v>2016</v>
      </c>
      <c r="AQ1692">
        <v>1.72</v>
      </c>
      <c r="AS1692" t="s">
        <v>21069</v>
      </c>
      <c r="AT1692" t="s">
        <v>15040</v>
      </c>
      <c r="AU1692" t="s">
        <v>177</v>
      </c>
      <c r="AV1692" t="s">
        <v>371</v>
      </c>
      <c r="AW1692" t="s">
        <v>182</v>
      </c>
      <c r="AX1692">
        <v>2</v>
      </c>
      <c r="AY1692" t="s">
        <v>188</v>
      </c>
      <c r="AZ1692" t="s">
        <v>189</v>
      </c>
      <c r="BA1692" t="s">
        <v>190</v>
      </c>
      <c r="BB1692" t="s">
        <v>191</v>
      </c>
      <c r="BC1692" t="s">
        <v>182</v>
      </c>
      <c r="BD1692" t="s">
        <v>182</v>
      </c>
      <c r="BE1692" t="s">
        <v>7118</v>
      </c>
      <c r="BF1692">
        <v>1</v>
      </c>
      <c r="BG1692">
        <v>1</v>
      </c>
      <c r="BH1692">
        <v>1983</v>
      </c>
      <c r="BI1692" t="s">
        <v>10471</v>
      </c>
      <c r="BJ1692" t="s">
        <v>194</v>
      </c>
      <c r="BK1692" t="s">
        <v>195</v>
      </c>
      <c r="BL1692" t="s">
        <v>199</v>
      </c>
      <c r="BM1692" t="s">
        <v>559</v>
      </c>
      <c r="BN1692" t="s">
        <v>182</v>
      </c>
      <c r="BO1692" t="s">
        <v>20969</v>
      </c>
      <c r="BP1692" t="s">
        <v>2052</v>
      </c>
      <c r="BS1692" t="s">
        <v>21070</v>
      </c>
      <c r="BT1692" t="s">
        <v>198</v>
      </c>
      <c r="BU1692" t="s">
        <v>182</v>
      </c>
      <c r="BV1692" t="s">
        <v>198</v>
      </c>
      <c r="BW1692" t="s">
        <v>198</v>
      </c>
      <c r="BX1692" t="s">
        <v>199</v>
      </c>
      <c r="BY1692" t="s">
        <v>198</v>
      </c>
      <c r="BZ1692" t="s">
        <v>199</v>
      </c>
      <c r="CA1692" t="s">
        <v>199</v>
      </c>
      <c r="CB1692" t="s">
        <v>21071</v>
      </c>
      <c r="CC1692" t="s">
        <v>201</v>
      </c>
      <c r="CD1692" t="s">
        <v>202</v>
      </c>
      <c r="CE1692" t="s">
        <v>21072</v>
      </c>
      <c r="CF1692" t="s">
        <v>2333</v>
      </c>
      <c r="CG1692" t="s">
        <v>177</v>
      </c>
      <c r="CH1692" t="s">
        <v>2334</v>
      </c>
      <c r="CI1692" t="s">
        <v>21073</v>
      </c>
      <c r="CJ1692" t="s">
        <v>17294</v>
      </c>
      <c r="CK1692" t="s">
        <v>292</v>
      </c>
      <c r="CL1692" t="s">
        <v>293</v>
      </c>
      <c r="CM1692" t="s">
        <v>21074</v>
      </c>
      <c r="CN1692" t="s">
        <v>235</v>
      </c>
      <c r="CO1692" t="s">
        <v>183</v>
      </c>
      <c r="CP1692" t="s">
        <v>211</v>
      </c>
      <c r="CQ1692" t="s">
        <v>296</v>
      </c>
      <c r="CS1692" t="s">
        <v>3055</v>
      </c>
      <c r="CT1692" t="s">
        <v>19017</v>
      </c>
      <c r="CU1692" t="s">
        <v>267</v>
      </c>
      <c r="CV1692" t="s">
        <v>268</v>
      </c>
      <c r="CW1692" t="s">
        <v>21075</v>
      </c>
      <c r="CX1692" t="s">
        <v>235</v>
      </c>
      <c r="CY1692" t="s">
        <v>183</v>
      </c>
      <c r="CZ1692" t="s">
        <v>211</v>
      </c>
      <c r="DA1692" t="s">
        <v>189</v>
      </c>
      <c r="DC1692" t="s">
        <v>18796</v>
      </c>
      <c r="DD1692" t="s">
        <v>11791</v>
      </c>
      <c r="DE1692" t="s">
        <v>273</v>
      </c>
      <c r="DF1692" t="s">
        <v>274</v>
      </c>
      <c r="DG1692" t="s">
        <v>21076</v>
      </c>
      <c r="DH1692" t="s">
        <v>235</v>
      </c>
      <c r="DI1692" t="s">
        <v>183</v>
      </c>
      <c r="DJ1692" t="s">
        <v>211</v>
      </c>
      <c r="DK1692" t="s">
        <v>206</v>
      </c>
      <c r="DM1692" t="s">
        <v>2780</v>
      </c>
      <c r="DW1692" t="s">
        <v>198</v>
      </c>
      <c r="EG1692" t="s">
        <v>198</v>
      </c>
      <c r="EQ1692" t="s">
        <v>198</v>
      </c>
      <c r="FA1692" t="s">
        <v>198</v>
      </c>
      <c r="FK1692" t="s">
        <v>198</v>
      </c>
      <c r="FU1692" t="s">
        <v>198</v>
      </c>
    </row>
    <row r="1693" spans="1:177">
      <c r="A1693" s="1" t="str">
        <f>HYPERLINK("http://digipan.lumentumllc.com/apps/getLink/index.php?t=PropLink&amp;p=5248374","PL")</f>
        <v>PL</v>
      </c>
      <c r="B1693" s="1" t="str">
        <f>HYPERLINK("http://digipan.lumentumllc.com/apps/getLink/index.php?t=TaxLink&amp;p=5248374","TL")</f>
        <v>TL</v>
      </c>
      <c r="C1693" s="1" t="str">
        <f>HYPERLINK("http://digipan.lumentumllc.com/apps/getMap/index.php?p=5248374","Map")</f>
        <v>Map</v>
      </c>
      <c r="E1693" t="s">
        <v>177</v>
      </c>
      <c r="F1693" t="s">
        <v>178</v>
      </c>
      <c r="L1693" t="s">
        <v>21077</v>
      </c>
      <c r="N1693" t="s">
        <v>21077</v>
      </c>
      <c r="O1693" t="s">
        <v>21077</v>
      </c>
      <c r="P1693" t="s">
        <v>21078</v>
      </c>
      <c r="Q1693" t="s">
        <v>21077</v>
      </c>
      <c r="V1693">
        <v>1939</v>
      </c>
      <c r="W1693">
        <v>6</v>
      </c>
      <c r="X1693">
        <v>2017</v>
      </c>
      <c r="Y1693">
        <v>2018</v>
      </c>
      <c r="Z1693">
        <v>527.25</v>
      </c>
      <c r="AB1693" t="s">
        <v>181</v>
      </c>
      <c r="AC1693" t="s">
        <v>182</v>
      </c>
      <c r="AD1693" t="s">
        <v>183</v>
      </c>
      <c r="AE1693">
        <v>0</v>
      </c>
      <c r="AF1693">
        <v>5</v>
      </c>
      <c r="AG1693" t="s">
        <v>744</v>
      </c>
      <c r="AH1693">
        <v>100</v>
      </c>
      <c r="AK1693">
        <v>0</v>
      </c>
      <c r="AL1693">
        <v>84917</v>
      </c>
      <c r="AM1693">
        <v>25000</v>
      </c>
      <c r="AN1693">
        <v>59917</v>
      </c>
      <c r="AO1693">
        <v>457</v>
      </c>
      <c r="AP1693">
        <v>2016</v>
      </c>
      <c r="AQ1693">
        <v>0.62</v>
      </c>
      <c r="AS1693" t="s">
        <v>21079</v>
      </c>
      <c r="AT1693" t="s">
        <v>15040</v>
      </c>
      <c r="AU1693" t="s">
        <v>177</v>
      </c>
      <c r="AV1693" t="s">
        <v>371</v>
      </c>
      <c r="AW1693" t="s">
        <v>202</v>
      </c>
      <c r="AX1693">
        <v>2</v>
      </c>
      <c r="AY1693" t="s">
        <v>188</v>
      </c>
      <c r="AZ1693" t="s">
        <v>189</v>
      </c>
      <c r="BA1693" t="s">
        <v>190</v>
      </c>
      <c r="BB1693" t="s">
        <v>191</v>
      </c>
      <c r="BC1693" t="s">
        <v>182</v>
      </c>
      <c r="BD1693" t="s">
        <v>182</v>
      </c>
      <c r="BE1693" t="s">
        <v>7767</v>
      </c>
      <c r="BF1693">
        <v>1</v>
      </c>
      <c r="BG1693">
        <v>1</v>
      </c>
      <c r="BH1693">
        <v>1999</v>
      </c>
      <c r="BI1693" t="s">
        <v>5282</v>
      </c>
      <c r="BJ1693" t="s">
        <v>396</v>
      </c>
      <c r="BK1693" t="s">
        <v>195</v>
      </c>
      <c r="BL1693" t="s">
        <v>824</v>
      </c>
      <c r="BM1693" t="s">
        <v>267</v>
      </c>
      <c r="BN1693" t="s">
        <v>182</v>
      </c>
      <c r="BO1693" t="s">
        <v>21080</v>
      </c>
      <c r="BP1693" t="s">
        <v>5899</v>
      </c>
      <c r="BQ1693" t="s">
        <v>226</v>
      </c>
      <c r="BR1693" t="s">
        <v>227</v>
      </c>
      <c r="BS1693" t="s">
        <v>198</v>
      </c>
      <c r="BT1693" t="s">
        <v>21081</v>
      </c>
      <c r="BU1693" t="s">
        <v>182</v>
      </c>
      <c r="BV1693" t="s">
        <v>198</v>
      </c>
      <c r="BW1693" t="s">
        <v>198</v>
      </c>
      <c r="BX1693" t="s">
        <v>199</v>
      </c>
      <c r="BY1693" t="s">
        <v>198</v>
      </c>
      <c r="BZ1693" t="s">
        <v>199</v>
      </c>
      <c r="CA1693" t="s">
        <v>199</v>
      </c>
      <c r="CB1693" t="s">
        <v>21082</v>
      </c>
      <c r="CC1693" t="s">
        <v>201</v>
      </c>
      <c r="CD1693" t="s">
        <v>182</v>
      </c>
      <c r="CE1693" t="s">
        <v>21083</v>
      </c>
      <c r="CF1693" t="s">
        <v>5331</v>
      </c>
      <c r="CG1693" t="s">
        <v>177</v>
      </c>
      <c r="CH1693" t="s">
        <v>371</v>
      </c>
      <c r="CI1693" t="s">
        <v>4622</v>
      </c>
      <c r="CJ1693" t="s">
        <v>21084</v>
      </c>
      <c r="CK1693" t="s">
        <v>273</v>
      </c>
      <c r="CL1693" t="s">
        <v>274</v>
      </c>
      <c r="CM1693" t="s">
        <v>21085</v>
      </c>
      <c r="CN1693" t="s">
        <v>235</v>
      </c>
      <c r="CO1693" t="s">
        <v>183</v>
      </c>
      <c r="CP1693" t="s">
        <v>211</v>
      </c>
      <c r="CQ1693" t="s">
        <v>199</v>
      </c>
      <c r="CS1693" t="s">
        <v>4960</v>
      </c>
      <c r="CT1693" t="s">
        <v>2604</v>
      </c>
      <c r="CU1693" t="s">
        <v>302</v>
      </c>
      <c r="CV1693" t="s">
        <v>303</v>
      </c>
      <c r="CW1693" t="s">
        <v>21086</v>
      </c>
      <c r="CX1693" t="s">
        <v>436</v>
      </c>
      <c r="CY1693" t="s">
        <v>183</v>
      </c>
      <c r="CZ1693" t="s">
        <v>211</v>
      </c>
      <c r="DA1693" t="s">
        <v>264</v>
      </c>
      <c r="DC1693" t="s">
        <v>7810</v>
      </c>
      <c r="DD1693" t="s">
        <v>21087</v>
      </c>
      <c r="DE1693" t="s">
        <v>238</v>
      </c>
      <c r="DF1693" t="s">
        <v>239</v>
      </c>
      <c r="DG1693" t="s">
        <v>21088</v>
      </c>
      <c r="DH1693" t="s">
        <v>278</v>
      </c>
      <c r="DI1693" t="s">
        <v>183</v>
      </c>
      <c r="DJ1693" t="s">
        <v>211</v>
      </c>
      <c r="DK1693" t="s">
        <v>199</v>
      </c>
      <c r="DM1693" t="s">
        <v>3572</v>
      </c>
      <c r="DN1693" t="s">
        <v>17684</v>
      </c>
      <c r="DO1693" t="s">
        <v>346</v>
      </c>
      <c r="DP1693" t="s">
        <v>347</v>
      </c>
      <c r="DQ1693" t="s">
        <v>21089</v>
      </c>
      <c r="DR1693" t="s">
        <v>440</v>
      </c>
      <c r="DS1693" t="s">
        <v>183</v>
      </c>
      <c r="DT1693" t="s">
        <v>211</v>
      </c>
      <c r="DU1693" t="s">
        <v>189</v>
      </c>
      <c r="DW1693" t="s">
        <v>21090</v>
      </c>
      <c r="DX1693" t="s">
        <v>3708</v>
      </c>
      <c r="DY1693" t="s">
        <v>207</v>
      </c>
      <c r="DZ1693" t="s">
        <v>208</v>
      </c>
      <c r="EA1693" t="s">
        <v>21091</v>
      </c>
      <c r="EB1693" t="s">
        <v>1966</v>
      </c>
      <c r="EC1693" t="s">
        <v>183</v>
      </c>
      <c r="ED1693" t="s">
        <v>211</v>
      </c>
      <c r="EE1693" t="s">
        <v>206</v>
      </c>
      <c r="EG1693" t="s">
        <v>21092</v>
      </c>
      <c r="EQ1693" t="s">
        <v>198</v>
      </c>
      <c r="FA1693" t="s">
        <v>198</v>
      </c>
      <c r="FK1693" t="s">
        <v>198</v>
      </c>
      <c r="FU1693" t="s">
        <v>198</v>
      </c>
    </row>
    <row r="1694" spans="1:177">
      <c r="A1694" s="1" t="str">
        <f>HYPERLINK("http://digipan.lumentumllc.com/apps/getLink/index.php?t=PropLink&amp;p=5248378","PL")</f>
        <v>PL</v>
      </c>
      <c r="B1694" s="1" t="str">
        <f>HYPERLINK("http://digipan.lumentumllc.com/apps/getLink/index.php?t=TaxLink&amp;p=5248378","TL")</f>
        <v>TL</v>
      </c>
      <c r="C1694" s="1" t="str">
        <f>HYPERLINK("http://digipan.lumentumllc.com/apps/getMap/index.php?p=5248378","Map")</f>
        <v>Map</v>
      </c>
      <c r="E1694" t="s">
        <v>177</v>
      </c>
      <c r="F1694" t="s">
        <v>178</v>
      </c>
      <c r="L1694" t="s">
        <v>21093</v>
      </c>
      <c r="N1694" t="s">
        <v>21093</v>
      </c>
      <c r="O1694" t="s">
        <v>21093</v>
      </c>
      <c r="P1694" t="s">
        <v>21094</v>
      </c>
      <c r="Q1694" t="s">
        <v>21093</v>
      </c>
      <c r="V1694">
        <v>1940</v>
      </c>
      <c r="W1694">
        <v>6</v>
      </c>
      <c r="X1694">
        <v>2017</v>
      </c>
      <c r="Y1694">
        <v>2018</v>
      </c>
      <c r="Z1694">
        <v>526.11</v>
      </c>
      <c r="AB1694" t="s">
        <v>181</v>
      </c>
      <c r="AC1694" t="s">
        <v>202</v>
      </c>
      <c r="AD1694" t="s">
        <v>183</v>
      </c>
      <c r="AE1694">
        <v>1</v>
      </c>
      <c r="AF1694">
        <v>6</v>
      </c>
      <c r="AG1694" t="s">
        <v>418</v>
      </c>
      <c r="AH1694">
        <v>86</v>
      </c>
      <c r="AI1694">
        <v>520</v>
      </c>
      <c r="AJ1694">
        <v>26</v>
      </c>
      <c r="AK1694">
        <v>546</v>
      </c>
      <c r="AL1694">
        <v>76482</v>
      </c>
      <c r="AM1694">
        <v>31250</v>
      </c>
      <c r="AN1694">
        <v>45232</v>
      </c>
      <c r="AO1694">
        <v>456</v>
      </c>
      <c r="AP1694">
        <v>2016</v>
      </c>
      <c r="AQ1694">
        <v>0.69</v>
      </c>
      <c r="AR1694">
        <v>0.71</v>
      </c>
      <c r="AS1694" t="s">
        <v>21095</v>
      </c>
      <c r="AT1694" t="s">
        <v>15040</v>
      </c>
      <c r="AU1694" t="s">
        <v>177</v>
      </c>
      <c r="AV1694" t="s">
        <v>371</v>
      </c>
      <c r="AW1694" t="s">
        <v>202</v>
      </c>
      <c r="AX1694">
        <v>2</v>
      </c>
      <c r="AY1694" t="s">
        <v>188</v>
      </c>
      <c r="AZ1694" t="s">
        <v>189</v>
      </c>
      <c r="BA1694" t="s">
        <v>190</v>
      </c>
      <c r="BB1694" t="s">
        <v>191</v>
      </c>
      <c r="BC1694" t="s">
        <v>182</v>
      </c>
      <c r="BD1694" t="s">
        <v>182</v>
      </c>
      <c r="BE1694" t="s">
        <v>21096</v>
      </c>
      <c r="BF1694">
        <v>1</v>
      </c>
      <c r="BG1694">
        <v>1</v>
      </c>
      <c r="BH1694">
        <v>1999</v>
      </c>
      <c r="BI1694" t="s">
        <v>17018</v>
      </c>
      <c r="BJ1694" t="s">
        <v>194</v>
      </c>
      <c r="BK1694" t="s">
        <v>195</v>
      </c>
      <c r="BL1694" t="s">
        <v>2395</v>
      </c>
      <c r="BM1694" t="s">
        <v>501</v>
      </c>
      <c r="BN1694" t="s">
        <v>182</v>
      </c>
      <c r="BO1694" t="s">
        <v>198</v>
      </c>
      <c r="BP1694" t="s">
        <v>198</v>
      </c>
      <c r="BQ1694" t="s">
        <v>198</v>
      </c>
      <c r="BR1694" t="s">
        <v>198</v>
      </c>
      <c r="BS1694" t="s">
        <v>198</v>
      </c>
      <c r="BT1694" t="s">
        <v>198</v>
      </c>
      <c r="BU1694" t="s">
        <v>182</v>
      </c>
      <c r="BV1694" t="s">
        <v>198</v>
      </c>
      <c r="BW1694" t="s">
        <v>198</v>
      </c>
      <c r="BX1694" t="s">
        <v>199</v>
      </c>
      <c r="BY1694" t="s">
        <v>198</v>
      </c>
      <c r="BZ1694" t="s">
        <v>199</v>
      </c>
      <c r="CA1694" t="s">
        <v>199</v>
      </c>
      <c r="CB1694" t="s">
        <v>21097</v>
      </c>
      <c r="CC1694" t="s">
        <v>201</v>
      </c>
      <c r="CD1694" t="s">
        <v>202</v>
      </c>
      <c r="CE1694" t="s">
        <v>21098</v>
      </c>
      <c r="CF1694" t="s">
        <v>5331</v>
      </c>
      <c r="CG1694" t="s">
        <v>177</v>
      </c>
      <c r="CH1694" t="s">
        <v>371</v>
      </c>
      <c r="CI1694" t="s">
        <v>21099</v>
      </c>
      <c r="CJ1694" t="s">
        <v>19260</v>
      </c>
      <c r="CK1694" t="s">
        <v>232</v>
      </c>
      <c r="CL1694" t="s">
        <v>233</v>
      </c>
      <c r="CM1694" t="s">
        <v>21100</v>
      </c>
      <c r="CN1694" t="s">
        <v>235</v>
      </c>
      <c r="CO1694" t="s">
        <v>183</v>
      </c>
      <c r="CP1694" t="s">
        <v>266</v>
      </c>
      <c r="CS1694" t="s">
        <v>198</v>
      </c>
      <c r="CT1694" t="s">
        <v>8497</v>
      </c>
      <c r="CU1694" t="s">
        <v>292</v>
      </c>
      <c r="CV1694" t="s">
        <v>293</v>
      </c>
      <c r="CW1694" t="s">
        <v>21101</v>
      </c>
      <c r="CX1694" t="s">
        <v>235</v>
      </c>
      <c r="CY1694" t="s">
        <v>183</v>
      </c>
      <c r="CZ1694" t="s">
        <v>211</v>
      </c>
      <c r="DA1694" t="s">
        <v>298</v>
      </c>
      <c r="DC1694" t="s">
        <v>5771</v>
      </c>
      <c r="DD1694" t="s">
        <v>9926</v>
      </c>
      <c r="DE1694" t="s">
        <v>267</v>
      </c>
      <c r="DF1694" t="s">
        <v>268</v>
      </c>
      <c r="DG1694" t="s">
        <v>21102</v>
      </c>
      <c r="DH1694" t="s">
        <v>482</v>
      </c>
      <c r="DI1694" t="s">
        <v>183</v>
      </c>
      <c r="DJ1694" t="s">
        <v>211</v>
      </c>
      <c r="DK1694" t="s">
        <v>199</v>
      </c>
      <c r="DL1694" t="s">
        <v>271</v>
      </c>
      <c r="DM1694" t="s">
        <v>10338</v>
      </c>
      <c r="DN1694" t="s">
        <v>14565</v>
      </c>
      <c r="DO1694" t="s">
        <v>273</v>
      </c>
      <c r="DP1694" t="s">
        <v>274</v>
      </c>
      <c r="DQ1694" t="s">
        <v>21103</v>
      </c>
      <c r="DR1694" t="s">
        <v>235</v>
      </c>
      <c r="DS1694" t="s">
        <v>183</v>
      </c>
      <c r="DT1694" t="s">
        <v>211</v>
      </c>
      <c r="DU1694" t="s">
        <v>427</v>
      </c>
      <c r="DV1694" t="s">
        <v>271</v>
      </c>
      <c r="DW1694" t="s">
        <v>10338</v>
      </c>
      <c r="DX1694" t="s">
        <v>2582</v>
      </c>
      <c r="DY1694" t="s">
        <v>302</v>
      </c>
      <c r="DZ1694" t="s">
        <v>303</v>
      </c>
      <c r="EA1694" t="s">
        <v>21104</v>
      </c>
      <c r="EB1694" t="s">
        <v>235</v>
      </c>
      <c r="EC1694" t="s">
        <v>183</v>
      </c>
      <c r="ED1694" t="s">
        <v>211</v>
      </c>
      <c r="EF1694" t="s">
        <v>271</v>
      </c>
      <c r="EG1694" t="s">
        <v>198</v>
      </c>
      <c r="EH1694" t="s">
        <v>4478</v>
      </c>
      <c r="EI1694" t="s">
        <v>238</v>
      </c>
      <c r="EJ1694" t="s">
        <v>239</v>
      </c>
      <c r="EK1694" t="s">
        <v>21105</v>
      </c>
      <c r="EL1694" t="s">
        <v>278</v>
      </c>
      <c r="EM1694" t="s">
        <v>183</v>
      </c>
      <c r="EN1694" t="s">
        <v>211</v>
      </c>
      <c r="EO1694" t="s">
        <v>655</v>
      </c>
      <c r="EP1694" t="s">
        <v>271</v>
      </c>
      <c r="EQ1694" t="s">
        <v>10338</v>
      </c>
      <c r="ER1694" t="s">
        <v>17718</v>
      </c>
      <c r="ES1694" t="s">
        <v>346</v>
      </c>
      <c r="ET1694" t="s">
        <v>347</v>
      </c>
      <c r="EU1694" t="s">
        <v>21106</v>
      </c>
      <c r="EV1694" t="s">
        <v>440</v>
      </c>
      <c r="EW1694" t="s">
        <v>183</v>
      </c>
      <c r="EX1694" t="s">
        <v>211</v>
      </c>
      <c r="EZ1694" t="s">
        <v>271</v>
      </c>
      <c r="FA1694" t="s">
        <v>198</v>
      </c>
      <c r="FK1694" t="s">
        <v>198</v>
      </c>
      <c r="FU1694" t="s">
        <v>198</v>
      </c>
    </row>
    <row r="1695" spans="1:177">
      <c r="A1695" s="1" t="str">
        <f>HYPERLINK("http://digipan.lumentumllc.com/apps/getLink/index.php?t=PropLink&amp;p=5248379","PL")</f>
        <v>PL</v>
      </c>
      <c r="B1695" s="1" t="str">
        <f>HYPERLINK("http://digipan.lumentumllc.com/apps/getLink/index.php?t=TaxLink&amp;p=5248379","TL")</f>
        <v>TL</v>
      </c>
      <c r="C1695" s="1" t="str">
        <f>HYPERLINK("http://digipan.lumentumllc.com/apps/getMap/index.php?p=5248379","Map")</f>
        <v>Map</v>
      </c>
      <c r="E1695" t="s">
        <v>177</v>
      </c>
      <c r="F1695" t="s">
        <v>178</v>
      </c>
      <c r="L1695" t="s">
        <v>21107</v>
      </c>
      <c r="N1695" t="s">
        <v>21107</v>
      </c>
      <c r="O1695" t="s">
        <v>21107</v>
      </c>
      <c r="P1695" t="s">
        <v>21108</v>
      </c>
      <c r="Q1695" t="s">
        <v>21107</v>
      </c>
      <c r="V1695">
        <v>1941</v>
      </c>
      <c r="W1695">
        <v>6</v>
      </c>
      <c r="X1695">
        <v>2017</v>
      </c>
      <c r="Y1695">
        <v>2018</v>
      </c>
      <c r="Z1695">
        <v>556.09</v>
      </c>
      <c r="AB1695" t="s">
        <v>181</v>
      </c>
      <c r="AC1695" t="s">
        <v>182</v>
      </c>
      <c r="AD1695" t="s">
        <v>183</v>
      </c>
      <c r="AE1695">
        <v>0</v>
      </c>
      <c r="AF1695">
        <v>8</v>
      </c>
      <c r="AG1695" t="s">
        <v>1059</v>
      </c>
      <c r="AH1695">
        <v>100</v>
      </c>
      <c r="AK1695">
        <v>0</v>
      </c>
      <c r="AL1695">
        <v>35000</v>
      </c>
      <c r="AM1695">
        <v>27500</v>
      </c>
      <c r="AN1695">
        <v>7500</v>
      </c>
      <c r="AO1695">
        <v>414</v>
      </c>
      <c r="AP1695">
        <v>2016</v>
      </c>
      <c r="AQ1695">
        <v>1.59</v>
      </c>
      <c r="AS1695" t="s">
        <v>21109</v>
      </c>
      <c r="AT1695" t="s">
        <v>15040</v>
      </c>
      <c r="AU1695" t="s">
        <v>177</v>
      </c>
      <c r="AV1695" t="s">
        <v>371</v>
      </c>
      <c r="AW1695" t="s">
        <v>182</v>
      </c>
      <c r="AX1695">
        <v>0</v>
      </c>
      <c r="AY1695" t="s">
        <v>312</v>
      </c>
      <c r="AZ1695" t="s">
        <v>199</v>
      </c>
      <c r="BA1695" t="s">
        <v>313</v>
      </c>
      <c r="BB1695" t="s">
        <v>191</v>
      </c>
      <c r="BC1695" t="s">
        <v>182</v>
      </c>
      <c r="BD1695" t="s">
        <v>182</v>
      </c>
      <c r="BE1695" t="s">
        <v>12254</v>
      </c>
      <c r="BF1695">
        <v>1</v>
      </c>
      <c r="BG1695">
        <v>0</v>
      </c>
      <c r="BH1695">
        <v>0</v>
      </c>
      <c r="BI1695" t="s">
        <v>199</v>
      </c>
      <c r="BJ1695" t="s">
        <v>396</v>
      </c>
      <c r="BL1695" t="s">
        <v>199</v>
      </c>
      <c r="BM1695" t="s">
        <v>410</v>
      </c>
      <c r="BN1695" t="s">
        <v>182</v>
      </c>
      <c r="BO1695" t="s">
        <v>198</v>
      </c>
      <c r="BP1695" t="s">
        <v>198</v>
      </c>
      <c r="BQ1695" t="s">
        <v>198</v>
      </c>
      <c r="BR1695" t="s">
        <v>198</v>
      </c>
      <c r="BS1695" t="s">
        <v>198</v>
      </c>
      <c r="BT1695" t="s">
        <v>198</v>
      </c>
      <c r="BU1695" t="s">
        <v>182</v>
      </c>
      <c r="BV1695" t="s">
        <v>198</v>
      </c>
      <c r="BW1695" t="s">
        <v>198</v>
      </c>
      <c r="BX1695" t="s">
        <v>199</v>
      </c>
      <c r="BY1695" t="s">
        <v>198</v>
      </c>
      <c r="BZ1695" t="s">
        <v>199</v>
      </c>
      <c r="CA1695" t="s">
        <v>199</v>
      </c>
      <c r="CB1695" t="s">
        <v>21110</v>
      </c>
      <c r="CC1695" t="s">
        <v>201</v>
      </c>
      <c r="CD1695" t="s">
        <v>182</v>
      </c>
      <c r="CE1695" t="s">
        <v>21111</v>
      </c>
      <c r="CF1695" t="s">
        <v>2333</v>
      </c>
      <c r="CG1695" t="s">
        <v>177</v>
      </c>
      <c r="CH1695" t="s">
        <v>2334</v>
      </c>
      <c r="CI1695" t="s">
        <v>7898</v>
      </c>
      <c r="CJ1695" t="s">
        <v>18222</v>
      </c>
      <c r="CK1695" t="s">
        <v>232</v>
      </c>
      <c r="CL1695" t="s">
        <v>233</v>
      </c>
      <c r="CM1695" t="s">
        <v>21112</v>
      </c>
      <c r="CN1695" t="s">
        <v>235</v>
      </c>
      <c r="CO1695" t="s">
        <v>183</v>
      </c>
      <c r="CP1695" t="s">
        <v>211</v>
      </c>
      <c r="CQ1695" t="s">
        <v>270</v>
      </c>
      <c r="CS1695" t="s">
        <v>2897</v>
      </c>
      <c r="CT1695" t="s">
        <v>18501</v>
      </c>
      <c r="CU1695" t="s">
        <v>292</v>
      </c>
      <c r="CV1695" t="s">
        <v>293</v>
      </c>
      <c r="CW1695" t="s">
        <v>21113</v>
      </c>
      <c r="CX1695" t="s">
        <v>235</v>
      </c>
      <c r="CY1695" t="s">
        <v>183</v>
      </c>
      <c r="CZ1695" t="s">
        <v>211</v>
      </c>
      <c r="DA1695" t="s">
        <v>212</v>
      </c>
      <c r="DC1695" t="s">
        <v>5482</v>
      </c>
      <c r="DD1695" t="s">
        <v>15598</v>
      </c>
      <c r="DE1695" t="s">
        <v>267</v>
      </c>
      <c r="DF1695" t="s">
        <v>268</v>
      </c>
      <c r="DG1695" t="s">
        <v>21114</v>
      </c>
      <c r="DH1695" t="s">
        <v>254</v>
      </c>
      <c r="DI1695" t="s">
        <v>183</v>
      </c>
      <c r="DJ1695" t="s">
        <v>211</v>
      </c>
      <c r="DK1695" t="s">
        <v>270</v>
      </c>
      <c r="DM1695" t="s">
        <v>4871</v>
      </c>
      <c r="DN1695" t="s">
        <v>900</v>
      </c>
      <c r="DO1695" t="s">
        <v>273</v>
      </c>
      <c r="DP1695" t="s">
        <v>274</v>
      </c>
      <c r="DQ1695" t="s">
        <v>21115</v>
      </c>
      <c r="DR1695" t="s">
        <v>235</v>
      </c>
      <c r="DS1695" t="s">
        <v>183</v>
      </c>
      <c r="DT1695" t="s">
        <v>211</v>
      </c>
      <c r="DU1695" t="s">
        <v>212</v>
      </c>
      <c r="DW1695" t="s">
        <v>4967</v>
      </c>
      <c r="DX1695" t="s">
        <v>1598</v>
      </c>
      <c r="DY1695" t="s">
        <v>302</v>
      </c>
      <c r="DZ1695" t="s">
        <v>303</v>
      </c>
      <c r="EA1695" t="s">
        <v>21116</v>
      </c>
      <c r="EB1695" t="s">
        <v>1586</v>
      </c>
      <c r="EC1695" t="s">
        <v>183</v>
      </c>
      <c r="ED1695" t="s">
        <v>211</v>
      </c>
      <c r="EE1695" t="s">
        <v>212</v>
      </c>
      <c r="EG1695" t="s">
        <v>15609</v>
      </c>
      <c r="EH1695" t="s">
        <v>21117</v>
      </c>
      <c r="EI1695" t="s">
        <v>238</v>
      </c>
      <c r="EJ1695" t="s">
        <v>239</v>
      </c>
      <c r="EK1695" t="s">
        <v>21118</v>
      </c>
      <c r="EL1695" t="s">
        <v>278</v>
      </c>
      <c r="EM1695" t="s">
        <v>183</v>
      </c>
      <c r="EN1695" t="s">
        <v>211</v>
      </c>
      <c r="EO1695" t="s">
        <v>290</v>
      </c>
      <c r="EQ1695" t="s">
        <v>2250</v>
      </c>
      <c r="ER1695" t="s">
        <v>21119</v>
      </c>
      <c r="ES1695" t="s">
        <v>346</v>
      </c>
      <c r="ET1695" t="s">
        <v>347</v>
      </c>
      <c r="EU1695" t="s">
        <v>21120</v>
      </c>
      <c r="EV1695" t="s">
        <v>440</v>
      </c>
      <c r="EW1695" t="s">
        <v>183</v>
      </c>
      <c r="EX1695" t="s">
        <v>211</v>
      </c>
      <c r="EY1695" t="s">
        <v>189</v>
      </c>
      <c r="FA1695" t="s">
        <v>21121</v>
      </c>
      <c r="FB1695" t="s">
        <v>21122</v>
      </c>
      <c r="FC1695" t="s">
        <v>207</v>
      </c>
      <c r="FD1695" t="s">
        <v>208</v>
      </c>
      <c r="FE1695" t="s">
        <v>21123</v>
      </c>
      <c r="FF1695" t="s">
        <v>469</v>
      </c>
      <c r="FG1695" t="s">
        <v>183</v>
      </c>
      <c r="FH1695" t="s">
        <v>211</v>
      </c>
      <c r="FI1695" t="s">
        <v>270</v>
      </c>
      <c r="FK1695" t="s">
        <v>8956</v>
      </c>
      <c r="FU1695" t="s">
        <v>198</v>
      </c>
    </row>
    <row r="1696" spans="1:177">
      <c r="A1696" s="1" t="str">
        <f>HYPERLINK("http://digipan.lumentumllc.com/apps/getLink/index.php?t=PropLink&amp;p=5248380","PL")</f>
        <v>PL</v>
      </c>
      <c r="B1696" s="1" t="str">
        <f>HYPERLINK("http://digipan.lumentumllc.com/apps/getLink/index.php?t=TaxLink&amp;p=5248380","TL")</f>
        <v>TL</v>
      </c>
      <c r="C1696" s="1" t="str">
        <f>HYPERLINK("http://digipan.lumentumllc.com/apps/getMap/index.php?p=5248380","Map")</f>
        <v>Map</v>
      </c>
      <c r="E1696" t="s">
        <v>177</v>
      </c>
      <c r="F1696" t="s">
        <v>178</v>
      </c>
      <c r="L1696" t="s">
        <v>21124</v>
      </c>
      <c r="N1696" t="s">
        <v>21124</v>
      </c>
      <c r="O1696" t="s">
        <v>21124</v>
      </c>
      <c r="P1696" t="s">
        <v>21125</v>
      </c>
      <c r="Q1696" t="s">
        <v>21124</v>
      </c>
      <c r="V1696">
        <v>1942</v>
      </c>
      <c r="W1696">
        <v>6</v>
      </c>
      <c r="X1696">
        <v>2017</v>
      </c>
      <c r="Y1696">
        <v>2018</v>
      </c>
      <c r="Z1696">
        <v>503.32</v>
      </c>
      <c r="AB1696" t="s">
        <v>181</v>
      </c>
      <c r="AC1696" t="s">
        <v>202</v>
      </c>
      <c r="AD1696" t="s">
        <v>183</v>
      </c>
      <c r="AE1696">
        <v>2</v>
      </c>
      <c r="AF1696">
        <v>6</v>
      </c>
      <c r="AG1696" t="s">
        <v>794</v>
      </c>
      <c r="AH1696">
        <v>71</v>
      </c>
      <c r="AI1696">
        <v>986.9</v>
      </c>
      <c r="AJ1696">
        <v>49.35</v>
      </c>
      <c r="AK1696">
        <v>1036.25</v>
      </c>
      <c r="AL1696">
        <v>70583</v>
      </c>
      <c r="AM1696">
        <v>27500</v>
      </c>
      <c r="AN1696">
        <v>43083</v>
      </c>
      <c r="AO1696">
        <v>435</v>
      </c>
      <c r="AP1696">
        <v>2016</v>
      </c>
      <c r="AQ1696">
        <v>0.71</v>
      </c>
      <c r="AR1696">
        <v>1.47</v>
      </c>
      <c r="AS1696" t="s">
        <v>21126</v>
      </c>
      <c r="AT1696" t="s">
        <v>15040</v>
      </c>
      <c r="AU1696" t="s">
        <v>177</v>
      </c>
      <c r="AV1696" t="s">
        <v>371</v>
      </c>
      <c r="AW1696" t="s">
        <v>202</v>
      </c>
      <c r="AX1696">
        <v>2</v>
      </c>
      <c r="AY1696" t="s">
        <v>188</v>
      </c>
      <c r="AZ1696" t="s">
        <v>189</v>
      </c>
      <c r="BA1696" t="s">
        <v>190</v>
      </c>
      <c r="BB1696" t="s">
        <v>191</v>
      </c>
      <c r="BC1696" t="s">
        <v>182</v>
      </c>
      <c r="BD1696" t="s">
        <v>182</v>
      </c>
      <c r="BE1696" t="s">
        <v>16271</v>
      </c>
      <c r="BF1696">
        <v>1</v>
      </c>
      <c r="BG1696">
        <v>1</v>
      </c>
      <c r="BH1696">
        <v>1999</v>
      </c>
      <c r="BI1696" t="s">
        <v>450</v>
      </c>
      <c r="BJ1696" t="s">
        <v>194</v>
      </c>
      <c r="BK1696" t="s">
        <v>195</v>
      </c>
      <c r="BL1696" t="s">
        <v>18441</v>
      </c>
      <c r="BM1696" t="s">
        <v>1825</v>
      </c>
      <c r="BN1696" t="s">
        <v>182</v>
      </c>
      <c r="BO1696" t="s">
        <v>198</v>
      </c>
      <c r="BP1696" t="s">
        <v>198</v>
      </c>
      <c r="BQ1696" t="s">
        <v>198</v>
      </c>
      <c r="BR1696" t="s">
        <v>198</v>
      </c>
      <c r="BS1696" t="s">
        <v>198</v>
      </c>
      <c r="BT1696" t="s">
        <v>198</v>
      </c>
      <c r="BU1696" t="s">
        <v>182</v>
      </c>
      <c r="BV1696" t="s">
        <v>198</v>
      </c>
      <c r="BW1696" t="s">
        <v>198</v>
      </c>
      <c r="BX1696" t="s">
        <v>199</v>
      </c>
      <c r="BY1696" t="s">
        <v>198</v>
      </c>
      <c r="BZ1696" t="s">
        <v>199</v>
      </c>
      <c r="CA1696" t="s">
        <v>199</v>
      </c>
      <c r="CB1696" t="s">
        <v>21127</v>
      </c>
      <c r="CC1696" t="s">
        <v>201</v>
      </c>
      <c r="CD1696" t="s">
        <v>182</v>
      </c>
      <c r="CE1696" t="s">
        <v>21128</v>
      </c>
      <c r="CF1696" t="s">
        <v>5331</v>
      </c>
      <c r="CG1696" t="s">
        <v>177</v>
      </c>
      <c r="CH1696" t="s">
        <v>371</v>
      </c>
      <c r="CI1696" t="s">
        <v>649</v>
      </c>
      <c r="CJ1696" t="s">
        <v>5362</v>
      </c>
      <c r="CK1696" t="s">
        <v>232</v>
      </c>
      <c r="CL1696" t="s">
        <v>233</v>
      </c>
      <c r="CM1696" t="s">
        <v>21129</v>
      </c>
      <c r="CN1696" t="s">
        <v>235</v>
      </c>
      <c r="CO1696" t="s">
        <v>183</v>
      </c>
      <c r="CP1696" t="s">
        <v>266</v>
      </c>
      <c r="CS1696" t="s">
        <v>198</v>
      </c>
      <c r="CT1696" t="s">
        <v>18549</v>
      </c>
      <c r="CU1696" t="s">
        <v>292</v>
      </c>
      <c r="CV1696" t="s">
        <v>293</v>
      </c>
      <c r="CW1696" t="s">
        <v>21130</v>
      </c>
      <c r="CX1696" t="s">
        <v>235</v>
      </c>
      <c r="CY1696" t="s">
        <v>183</v>
      </c>
      <c r="CZ1696" t="s">
        <v>266</v>
      </c>
      <c r="DC1696" t="s">
        <v>198</v>
      </c>
      <c r="DD1696" t="s">
        <v>19061</v>
      </c>
      <c r="DE1696" t="s">
        <v>267</v>
      </c>
      <c r="DF1696" t="s">
        <v>268</v>
      </c>
      <c r="DG1696" t="s">
        <v>21131</v>
      </c>
      <c r="DH1696" t="s">
        <v>482</v>
      </c>
      <c r="DI1696" t="s">
        <v>183</v>
      </c>
      <c r="DJ1696" t="s">
        <v>211</v>
      </c>
      <c r="DK1696" t="s">
        <v>199</v>
      </c>
      <c r="DL1696" t="s">
        <v>271</v>
      </c>
      <c r="DM1696" t="s">
        <v>2404</v>
      </c>
      <c r="DN1696" t="s">
        <v>5627</v>
      </c>
      <c r="DO1696" t="s">
        <v>273</v>
      </c>
      <c r="DP1696" t="s">
        <v>274</v>
      </c>
      <c r="DQ1696" t="s">
        <v>21132</v>
      </c>
      <c r="DR1696" t="s">
        <v>235</v>
      </c>
      <c r="DS1696" t="s">
        <v>183</v>
      </c>
      <c r="DT1696" t="s">
        <v>211</v>
      </c>
      <c r="DU1696" t="s">
        <v>427</v>
      </c>
      <c r="DV1696" t="s">
        <v>271</v>
      </c>
      <c r="DW1696" t="s">
        <v>2404</v>
      </c>
      <c r="DX1696" t="s">
        <v>3957</v>
      </c>
      <c r="DY1696" t="s">
        <v>302</v>
      </c>
      <c r="DZ1696" t="s">
        <v>303</v>
      </c>
      <c r="EA1696" t="s">
        <v>21133</v>
      </c>
      <c r="EB1696" t="s">
        <v>235</v>
      </c>
      <c r="EC1696" t="s">
        <v>183</v>
      </c>
      <c r="ED1696" t="s">
        <v>211</v>
      </c>
      <c r="EE1696" t="s">
        <v>633</v>
      </c>
      <c r="EF1696" t="s">
        <v>271</v>
      </c>
      <c r="EG1696" t="s">
        <v>2404</v>
      </c>
      <c r="EH1696" t="s">
        <v>21134</v>
      </c>
      <c r="EI1696" t="s">
        <v>238</v>
      </c>
      <c r="EJ1696" t="s">
        <v>239</v>
      </c>
      <c r="EK1696" t="s">
        <v>21135</v>
      </c>
      <c r="EL1696" t="s">
        <v>278</v>
      </c>
      <c r="EM1696" t="s">
        <v>183</v>
      </c>
      <c r="EN1696" t="s">
        <v>211</v>
      </c>
      <c r="EO1696" t="s">
        <v>655</v>
      </c>
      <c r="EP1696" t="s">
        <v>271</v>
      </c>
      <c r="EQ1696" t="s">
        <v>2404</v>
      </c>
      <c r="ER1696" t="s">
        <v>21136</v>
      </c>
      <c r="ES1696" t="s">
        <v>346</v>
      </c>
      <c r="ET1696" t="s">
        <v>347</v>
      </c>
      <c r="EU1696" t="s">
        <v>21137</v>
      </c>
      <c r="EV1696" t="s">
        <v>440</v>
      </c>
      <c r="EW1696" t="s">
        <v>183</v>
      </c>
      <c r="EX1696" t="s">
        <v>211</v>
      </c>
      <c r="EY1696" t="s">
        <v>298</v>
      </c>
      <c r="FA1696" t="s">
        <v>470</v>
      </c>
      <c r="FB1696" t="s">
        <v>21138</v>
      </c>
      <c r="FC1696" t="s">
        <v>207</v>
      </c>
      <c r="FD1696" t="s">
        <v>208</v>
      </c>
      <c r="FE1696" t="s">
        <v>21139</v>
      </c>
      <c r="FF1696" t="s">
        <v>1966</v>
      </c>
      <c r="FG1696" t="s">
        <v>183</v>
      </c>
      <c r="FH1696" t="s">
        <v>211</v>
      </c>
      <c r="FJ1696" t="s">
        <v>271</v>
      </c>
      <c r="FK1696" t="s">
        <v>198</v>
      </c>
      <c r="FU1696" t="s">
        <v>198</v>
      </c>
    </row>
    <row r="1697" spans="1:177">
      <c r="A1697" s="1" t="str">
        <f>HYPERLINK("http://digipan.lumentumllc.com/apps/getLink/index.php?t=PropLink&amp;p=4638757","PL")</f>
        <v>PL</v>
      </c>
      <c r="B1697" s="1" t="str">
        <f>HYPERLINK("http://digipan.lumentumllc.com/apps/getLink/index.php?t=TaxLink&amp;p=4638757","TL")</f>
        <v>TL</v>
      </c>
      <c r="C1697" s="1" t="str">
        <f>HYPERLINK("http://digipan.lumentumllc.com/apps/getMap/index.php?p=4638757","Map")</f>
        <v>Map</v>
      </c>
      <c r="E1697" t="s">
        <v>177</v>
      </c>
      <c r="F1697" t="s">
        <v>178</v>
      </c>
      <c r="L1697" t="s">
        <v>21140</v>
      </c>
      <c r="N1697" t="s">
        <v>21140</v>
      </c>
      <c r="O1697" t="s">
        <v>21140</v>
      </c>
      <c r="P1697" t="s">
        <v>21141</v>
      </c>
      <c r="Q1697" t="s">
        <v>21140</v>
      </c>
      <c r="V1697">
        <v>1943</v>
      </c>
      <c r="W1697">
        <v>6</v>
      </c>
      <c r="X1697">
        <v>2017</v>
      </c>
      <c r="Y1697">
        <v>2018</v>
      </c>
      <c r="Z1697">
        <v>860.86</v>
      </c>
      <c r="AB1697" t="s">
        <v>181</v>
      </c>
      <c r="AC1697" t="s">
        <v>182</v>
      </c>
      <c r="AD1697" t="s">
        <v>183</v>
      </c>
      <c r="AE1697">
        <v>0</v>
      </c>
      <c r="AF1697">
        <v>1</v>
      </c>
      <c r="AG1697" t="s">
        <v>821</v>
      </c>
      <c r="AH1697">
        <v>100</v>
      </c>
      <c r="AK1697">
        <v>0</v>
      </c>
      <c r="AL1697">
        <v>50625</v>
      </c>
      <c r="AM1697">
        <v>27500</v>
      </c>
      <c r="AN1697">
        <v>23125</v>
      </c>
      <c r="AO1697">
        <v>412</v>
      </c>
      <c r="AP1697">
        <v>2016</v>
      </c>
      <c r="AQ1697">
        <v>1.7</v>
      </c>
      <c r="AS1697" t="s">
        <v>21142</v>
      </c>
      <c r="AT1697" t="s">
        <v>15040</v>
      </c>
      <c r="AU1697" t="s">
        <v>177</v>
      </c>
      <c r="AV1697" t="s">
        <v>371</v>
      </c>
      <c r="AW1697" t="s">
        <v>182</v>
      </c>
      <c r="AX1697">
        <v>2</v>
      </c>
      <c r="AY1697" t="s">
        <v>188</v>
      </c>
      <c r="AZ1697" t="s">
        <v>189</v>
      </c>
      <c r="BA1697" t="s">
        <v>190</v>
      </c>
      <c r="BB1697" t="s">
        <v>191</v>
      </c>
      <c r="BC1697" t="s">
        <v>182</v>
      </c>
      <c r="BD1697" t="s">
        <v>182</v>
      </c>
      <c r="BE1697" t="s">
        <v>365</v>
      </c>
      <c r="BF1697">
        <v>1</v>
      </c>
      <c r="BG1697">
        <v>1</v>
      </c>
      <c r="BH1697">
        <v>1999</v>
      </c>
      <c r="BI1697" t="s">
        <v>5282</v>
      </c>
      <c r="BJ1697" t="s">
        <v>194</v>
      </c>
      <c r="BK1697" t="s">
        <v>195</v>
      </c>
      <c r="BL1697" t="s">
        <v>1155</v>
      </c>
      <c r="BM1697" t="s">
        <v>1311</v>
      </c>
      <c r="BN1697" t="s">
        <v>182</v>
      </c>
      <c r="BO1697" t="s">
        <v>198</v>
      </c>
      <c r="BP1697" t="s">
        <v>198</v>
      </c>
      <c r="BQ1697" t="s">
        <v>198</v>
      </c>
      <c r="BR1697" t="s">
        <v>198</v>
      </c>
      <c r="BS1697" t="s">
        <v>198</v>
      </c>
      <c r="BT1697" t="s">
        <v>198</v>
      </c>
      <c r="BU1697" t="s">
        <v>182</v>
      </c>
      <c r="BV1697" t="s">
        <v>198</v>
      </c>
      <c r="BW1697" t="s">
        <v>198</v>
      </c>
      <c r="BX1697" t="s">
        <v>199</v>
      </c>
      <c r="BY1697" t="s">
        <v>198</v>
      </c>
      <c r="BZ1697" t="s">
        <v>199</v>
      </c>
      <c r="CA1697" t="s">
        <v>199</v>
      </c>
      <c r="CB1697" t="s">
        <v>21143</v>
      </c>
      <c r="CC1697" t="s">
        <v>201</v>
      </c>
      <c r="CD1697" t="s">
        <v>182</v>
      </c>
      <c r="CE1697" t="s">
        <v>21144</v>
      </c>
      <c r="CF1697" t="s">
        <v>5331</v>
      </c>
      <c r="CG1697" t="s">
        <v>177</v>
      </c>
      <c r="CH1697" t="s">
        <v>371</v>
      </c>
      <c r="CI1697" t="s">
        <v>9154</v>
      </c>
      <c r="CJ1697" t="s">
        <v>15561</v>
      </c>
      <c r="CK1697" t="s">
        <v>292</v>
      </c>
      <c r="CL1697" t="s">
        <v>293</v>
      </c>
      <c r="CM1697" t="s">
        <v>21145</v>
      </c>
      <c r="CN1697" t="s">
        <v>235</v>
      </c>
      <c r="CO1697" t="s">
        <v>183</v>
      </c>
      <c r="CP1697" t="s">
        <v>211</v>
      </c>
      <c r="CQ1697" t="s">
        <v>199</v>
      </c>
      <c r="CS1697" t="s">
        <v>14036</v>
      </c>
      <c r="DC1697" t="s">
        <v>198</v>
      </c>
      <c r="DM1697" t="s">
        <v>198</v>
      </c>
      <c r="DW1697" t="s">
        <v>198</v>
      </c>
      <c r="EG1697" t="s">
        <v>198</v>
      </c>
      <c r="EQ1697" t="s">
        <v>198</v>
      </c>
      <c r="FA1697" t="s">
        <v>198</v>
      </c>
      <c r="FK1697" t="s">
        <v>198</v>
      </c>
      <c r="FU1697" t="s">
        <v>198</v>
      </c>
    </row>
    <row r="1698" spans="1:177">
      <c r="A1698" s="1" t="str">
        <f>HYPERLINK("http://digipan.lumentumllc.com/apps/getLink/index.php?t=PropLink&amp;p=5248383","PL")</f>
        <v>PL</v>
      </c>
      <c r="B1698" s="1" t="str">
        <f>HYPERLINK("http://digipan.lumentumllc.com/apps/getLink/index.php?t=TaxLink&amp;p=5248383","TL")</f>
        <v>TL</v>
      </c>
      <c r="C1698" s="1" t="str">
        <f>HYPERLINK("http://digipan.lumentumllc.com/apps/getMap/index.php?p=5248383","Map")</f>
        <v>Map</v>
      </c>
      <c r="E1698" t="s">
        <v>177</v>
      </c>
      <c r="F1698" t="s">
        <v>178</v>
      </c>
      <c r="L1698" t="s">
        <v>21146</v>
      </c>
      <c r="N1698" t="s">
        <v>21146</v>
      </c>
      <c r="O1698" t="s">
        <v>21146</v>
      </c>
      <c r="P1698" t="s">
        <v>21147</v>
      </c>
      <c r="Q1698" t="s">
        <v>21146</v>
      </c>
      <c r="V1698">
        <v>1944</v>
      </c>
      <c r="W1698">
        <v>6</v>
      </c>
      <c r="X1698">
        <v>2017</v>
      </c>
      <c r="Y1698">
        <v>2018</v>
      </c>
      <c r="Z1698">
        <v>628.97</v>
      </c>
      <c r="AB1698" t="s">
        <v>181</v>
      </c>
      <c r="AC1698" t="s">
        <v>182</v>
      </c>
      <c r="AD1698" t="s">
        <v>183</v>
      </c>
      <c r="AE1698">
        <v>0</v>
      </c>
      <c r="AF1698">
        <v>6</v>
      </c>
      <c r="AG1698" t="s">
        <v>3266</v>
      </c>
      <c r="AH1698">
        <v>100</v>
      </c>
      <c r="AK1698">
        <v>0</v>
      </c>
      <c r="AL1698">
        <v>77758</v>
      </c>
      <c r="AM1698">
        <v>32800</v>
      </c>
      <c r="AN1698">
        <v>44958</v>
      </c>
      <c r="AO1698">
        <v>552</v>
      </c>
      <c r="AP1698">
        <v>2016</v>
      </c>
      <c r="AQ1698">
        <v>0.81</v>
      </c>
      <c r="AS1698" t="s">
        <v>21148</v>
      </c>
      <c r="AT1698" t="s">
        <v>15040</v>
      </c>
      <c r="AU1698" t="s">
        <v>177</v>
      </c>
      <c r="AV1698" t="s">
        <v>371</v>
      </c>
      <c r="AW1698" t="s">
        <v>202</v>
      </c>
      <c r="AX1698">
        <v>2</v>
      </c>
      <c r="AY1698" t="s">
        <v>188</v>
      </c>
      <c r="AZ1698" t="s">
        <v>189</v>
      </c>
      <c r="BA1698" t="s">
        <v>190</v>
      </c>
      <c r="BB1698" t="s">
        <v>191</v>
      </c>
      <c r="BC1698" t="s">
        <v>182</v>
      </c>
      <c r="BD1698" t="s">
        <v>182</v>
      </c>
      <c r="BE1698" t="s">
        <v>21149</v>
      </c>
      <c r="BF1698">
        <v>1</v>
      </c>
      <c r="BG1698">
        <v>1</v>
      </c>
      <c r="BH1698">
        <v>2000</v>
      </c>
      <c r="BI1698" t="s">
        <v>6235</v>
      </c>
      <c r="BJ1698" t="s">
        <v>194</v>
      </c>
      <c r="BK1698" t="s">
        <v>195</v>
      </c>
      <c r="BL1698" t="s">
        <v>199</v>
      </c>
      <c r="BM1698" t="s">
        <v>267</v>
      </c>
      <c r="BN1698" t="s">
        <v>182</v>
      </c>
      <c r="BO1698" t="s">
        <v>21150</v>
      </c>
      <c r="BP1698" t="s">
        <v>8899</v>
      </c>
      <c r="BQ1698" t="s">
        <v>226</v>
      </c>
      <c r="BR1698" t="s">
        <v>227</v>
      </c>
      <c r="BS1698" t="s">
        <v>198</v>
      </c>
      <c r="BT1698" t="s">
        <v>228</v>
      </c>
      <c r="BU1698" t="s">
        <v>182</v>
      </c>
      <c r="BV1698" t="s">
        <v>198</v>
      </c>
      <c r="BW1698" t="s">
        <v>198</v>
      </c>
      <c r="BX1698" t="s">
        <v>199</v>
      </c>
      <c r="BY1698" t="s">
        <v>198</v>
      </c>
      <c r="BZ1698" t="s">
        <v>199</v>
      </c>
      <c r="CA1698" t="s">
        <v>199</v>
      </c>
      <c r="CB1698" t="s">
        <v>21151</v>
      </c>
      <c r="CC1698" t="s">
        <v>201</v>
      </c>
      <c r="CD1698" t="s">
        <v>182</v>
      </c>
      <c r="CE1698" t="s">
        <v>21152</v>
      </c>
      <c r="CF1698" t="s">
        <v>5331</v>
      </c>
      <c r="CG1698" t="s">
        <v>177</v>
      </c>
      <c r="CH1698" t="s">
        <v>371</v>
      </c>
      <c r="CI1698" t="s">
        <v>21153</v>
      </c>
      <c r="CJ1698" t="s">
        <v>21154</v>
      </c>
      <c r="CK1698" t="s">
        <v>292</v>
      </c>
      <c r="CL1698" t="s">
        <v>293</v>
      </c>
      <c r="CM1698" t="s">
        <v>21155</v>
      </c>
      <c r="CN1698" t="s">
        <v>235</v>
      </c>
      <c r="CO1698" t="s">
        <v>183</v>
      </c>
      <c r="CP1698" t="s">
        <v>211</v>
      </c>
      <c r="CQ1698" t="s">
        <v>199</v>
      </c>
      <c r="CS1698" t="s">
        <v>3261</v>
      </c>
      <c r="CT1698" t="s">
        <v>4822</v>
      </c>
      <c r="CU1698" t="s">
        <v>267</v>
      </c>
      <c r="CV1698" t="s">
        <v>268</v>
      </c>
      <c r="CW1698" t="s">
        <v>8031</v>
      </c>
      <c r="CX1698" t="s">
        <v>235</v>
      </c>
      <c r="CY1698" t="s">
        <v>183</v>
      </c>
      <c r="CZ1698" t="s">
        <v>211</v>
      </c>
      <c r="DA1698" t="s">
        <v>212</v>
      </c>
      <c r="DC1698" t="s">
        <v>15197</v>
      </c>
      <c r="DD1698" t="s">
        <v>1742</v>
      </c>
      <c r="DE1698" t="s">
        <v>302</v>
      </c>
      <c r="DF1698" t="s">
        <v>303</v>
      </c>
      <c r="DG1698" t="s">
        <v>21156</v>
      </c>
      <c r="DH1698" t="s">
        <v>235</v>
      </c>
      <c r="DI1698" t="s">
        <v>183</v>
      </c>
      <c r="DJ1698" t="s">
        <v>211</v>
      </c>
      <c r="DK1698" t="s">
        <v>199</v>
      </c>
      <c r="DM1698" t="s">
        <v>5970</v>
      </c>
      <c r="DN1698" t="s">
        <v>21157</v>
      </c>
      <c r="DO1698" t="s">
        <v>238</v>
      </c>
      <c r="DP1698" t="s">
        <v>239</v>
      </c>
      <c r="DQ1698" t="s">
        <v>21158</v>
      </c>
      <c r="DR1698" t="s">
        <v>440</v>
      </c>
      <c r="DS1698" t="s">
        <v>183</v>
      </c>
      <c r="DT1698" t="s">
        <v>211</v>
      </c>
      <c r="DU1698" t="s">
        <v>306</v>
      </c>
      <c r="DW1698" t="s">
        <v>11014</v>
      </c>
      <c r="DX1698" t="s">
        <v>21159</v>
      </c>
      <c r="DY1698" t="s">
        <v>346</v>
      </c>
      <c r="DZ1698" t="s">
        <v>347</v>
      </c>
      <c r="EA1698" t="s">
        <v>21160</v>
      </c>
      <c r="EB1698" t="s">
        <v>440</v>
      </c>
      <c r="EC1698" t="s">
        <v>183</v>
      </c>
      <c r="ED1698" t="s">
        <v>211</v>
      </c>
      <c r="EE1698" t="s">
        <v>298</v>
      </c>
      <c r="EG1698" t="s">
        <v>443</v>
      </c>
      <c r="EH1698" t="s">
        <v>21161</v>
      </c>
      <c r="EI1698" t="s">
        <v>207</v>
      </c>
      <c r="EJ1698" t="s">
        <v>208</v>
      </c>
      <c r="EK1698" t="s">
        <v>21162</v>
      </c>
      <c r="EL1698" t="s">
        <v>615</v>
      </c>
      <c r="EM1698" t="s">
        <v>183</v>
      </c>
      <c r="EN1698" t="s">
        <v>211</v>
      </c>
      <c r="EO1698" t="s">
        <v>298</v>
      </c>
      <c r="EQ1698" t="s">
        <v>11169</v>
      </c>
      <c r="FA1698" t="s">
        <v>198</v>
      </c>
      <c r="FK1698" t="s">
        <v>198</v>
      </c>
      <c r="FU1698" t="s">
        <v>198</v>
      </c>
    </row>
    <row r="1699" spans="1:177">
      <c r="A1699" s="1" t="str">
        <f>HYPERLINK("http://digipan.lumentumllc.com/apps/getLink/index.php?t=PropLink&amp;p=4638759","PL")</f>
        <v>PL</v>
      </c>
      <c r="B1699" s="1" t="str">
        <f>HYPERLINK("http://digipan.lumentumllc.com/apps/getLink/index.php?t=TaxLink&amp;p=4638759","TL")</f>
        <v>TL</v>
      </c>
      <c r="C1699" s="1" t="str">
        <f>HYPERLINK("http://digipan.lumentumllc.com/apps/getMap/index.php?p=4638759","Map")</f>
        <v>Map</v>
      </c>
      <c r="E1699" t="s">
        <v>177</v>
      </c>
      <c r="F1699" t="s">
        <v>178</v>
      </c>
      <c r="L1699" t="s">
        <v>21163</v>
      </c>
      <c r="N1699" t="s">
        <v>21163</v>
      </c>
      <c r="O1699" t="s">
        <v>21163</v>
      </c>
      <c r="P1699" t="s">
        <v>21164</v>
      </c>
      <c r="Q1699" t="s">
        <v>21163</v>
      </c>
      <c r="V1699">
        <v>1945</v>
      </c>
      <c r="W1699">
        <v>6</v>
      </c>
      <c r="X1699">
        <v>2017</v>
      </c>
      <c r="Y1699">
        <v>2018</v>
      </c>
      <c r="Z1699">
        <v>1162.49</v>
      </c>
      <c r="AG1699" t="s">
        <v>184</v>
      </c>
      <c r="AH1699">
        <v>0</v>
      </c>
      <c r="AK1699">
        <v>0</v>
      </c>
      <c r="AL1699">
        <v>93729</v>
      </c>
      <c r="AM1699">
        <v>62250</v>
      </c>
      <c r="AN1699">
        <v>31479</v>
      </c>
      <c r="AO1699">
        <v>859</v>
      </c>
      <c r="AP1699">
        <v>2016</v>
      </c>
      <c r="AQ1699">
        <v>1.24</v>
      </c>
      <c r="AS1699" t="s">
        <v>21165</v>
      </c>
      <c r="AT1699" t="s">
        <v>15040</v>
      </c>
      <c r="AU1699" t="s">
        <v>177</v>
      </c>
      <c r="AV1699" t="s">
        <v>371</v>
      </c>
      <c r="AW1699" t="s">
        <v>182</v>
      </c>
      <c r="AX1699">
        <v>2</v>
      </c>
      <c r="AY1699" t="s">
        <v>188</v>
      </c>
      <c r="AZ1699" t="s">
        <v>189</v>
      </c>
      <c r="BA1699" t="s">
        <v>190</v>
      </c>
      <c r="BB1699" t="s">
        <v>191</v>
      </c>
      <c r="BC1699" t="s">
        <v>182</v>
      </c>
      <c r="BD1699" t="s">
        <v>182</v>
      </c>
      <c r="BE1699" t="s">
        <v>21166</v>
      </c>
      <c r="BF1699">
        <v>1</v>
      </c>
      <c r="BG1699">
        <v>1</v>
      </c>
      <c r="BH1699">
        <v>1989</v>
      </c>
      <c r="BI1699" t="s">
        <v>14826</v>
      </c>
      <c r="BJ1699" t="s">
        <v>194</v>
      </c>
      <c r="BK1699" t="s">
        <v>195</v>
      </c>
      <c r="BL1699" t="s">
        <v>884</v>
      </c>
      <c r="BM1699" t="s">
        <v>346</v>
      </c>
      <c r="BN1699" t="s">
        <v>182</v>
      </c>
      <c r="BO1699" t="s">
        <v>21167</v>
      </c>
      <c r="BP1699" t="s">
        <v>9962</v>
      </c>
      <c r="BQ1699" t="s">
        <v>226</v>
      </c>
      <c r="BR1699" t="s">
        <v>227</v>
      </c>
      <c r="BS1699" t="s">
        <v>198</v>
      </c>
      <c r="BT1699" t="s">
        <v>21168</v>
      </c>
      <c r="BU1699" t="s">
        <v>182</v>
      </c>
      <c r="BV1699" t="s">
        <v>198</v>
      </c>
      <c r="BW1699" t="s">
        <v>198</v>
      </c>
      <c r="BX1699" t="s">
        <v>199</v>
      </c>
      <c r="BY1699" t="s">
        <v>198</v>
      </c>
      <c r="BZ1699" t="s">
        <v>199</v>
      </c>
      <c r="CA1699" t="s">
        <v>199</v>
      </c>
      <c r="CB1699" t="s">
        <v>21169</v>
      </c>
      <c r="CC1699" t="s">
        <v>201</v>
      </c>
      <c r="CD1699" t="s">
        <v>182</v>
      </c>
      <c r="CE1699" t="s">
        <v>21170</v>
      </c>
      <c r="CF1699" t="s">
        <v>2620</v>
      </c>
      <c r="CG1699" t="s">
        <v>177</v>
      </c>
      <c r="CH1699" t="s">
        <v>19837</v>
      </c>
      <c r="CI1699" t="s">
        <v>21171</v>
      </c>
      <c r="CS1699" t="s">
        <v>198</v>
      </c>
      <c r="DC1699" t="s">
        <v>198</v>
      </c>
      <c r="DM1699" t="s">
        <v>198</v>
      </c>
      <c r="DW1699" t="s">
        <v>198</v>
      </c>
      <c r="EG1699" t="s">
        <v>198</v>
      </c>
      <c r="EQ1699" t="s">
        <v>198</v>
      </c>
      <c r="FA1699" t="s">
        <v>198</v>
      </c>
      <c r="FK1699" t="s">
        <v>198</v>
      </c>
      <c r="FU1699" t="s">
        <v>198</v>
      </c>
    </row>
    <row r="1700" spans="1:177">
      <c r="A1700" s="1" t="str">
        <f>HYPERLINK("http://digipan.lumentumllc.com/apps/getLink/index.php?t=PropLink&amp;p=5248385","PL")</f>
        <v>PL</v>
      </c>
      <c r="B1700" s="1" t="str">
        <f>HYPERLINK("http://digipan.lumentumllc.com/apps/getLink/index.php?t=TaxLink&amp;p=5248385","TL")</f>
        <v>TL</v>
      </c>
      <c r="C1700" s="1" t="str">
        <f>HYPERLINK("http://digipan.lumentumllc.com/apps/getMap/index.php?p=5248385","Map")</f>
        <v>Map</v>
      </c>
      <c r="E1700" t="s">
        <v>177</v>
      </c>
      <c r="F1700" t="s">
        <v>178</v>
      </c>
      <c r="L1700" t="s">
        <v>21172</v>
      </c>
      <c r="N1700" t="s">
        <v>21172</v>
      </c>
      <c r="O1700" t="s">
        <v>21172</v>
      </c>
      <c r="P1700" t="s">
        <v>21173</v>
      </c>
      <c r="Q1700" t="s">
        <v>21172</v>
      </c>
      <c r="V1700">
        <v>1946</v>
      </c>
      <c r="W1700">
        <v>6</v>
      </c>
      <c r="X1700">
        <v>2017</v>
      </c>
      <c r="Y1700">
        <v>2018</v>
      </c>
      <c r="Z1700">
        <v>572.66</v>
      </c>
      <c r="AB1700" t="s">
        <v>181</v>
      </c>
      <c r="AC1700" t="s">
        <v>202</v>
      </c>
      <c r="AD1700" t="s">
        <v>183</v>
      </c>
      <c r="AE1700">
        <v>0</v>
      </c>
      <c r="AF1700">
        <v>6</v>
      </c>
      <c r="AG1700" t="s">
        <v>528</v>
      </c>
      <c r="AH1700">
        <v>100</v>
      </c>
      <c r="AK1700">
        <v>0</v>
      </c>
      <c r="AL1700">
        <v>120829</v>
      </c>
      <c r="AM1700">
        <v>59500</v>
      </c>
      <c r="AN1700">
        <v>61329</v>
      </c>
      <c r="AO1700">
        <v>1141</v>
      </c>
      <c r="AP1700">
        <v>2016</v>
      </c>
      <c r="AQ1700">
        <v>0.47</v>
      </c>
      <c r="AS1700" t="s">
        <v>21174</v>
      </c>
      <c r="AT1700" t="s">
        <v>15040</v>
      </c>
      <c r="AU1700" t="s">
        <v>177</v>
      </c>
      <c r="AV1700" t="s">
        <v>371</v>
      </c>
      <c r="AW1700" t="s">
        <v>202</v>
      </c>
      <c r="AX1700">
        <v>2</v>
      </c>
      <c r="AY1700" t="s">
        <v>188</v>
      </c>
      <c r="AZ1700" t="s">
        <v>189</v>
      </c>
      <c r="BA1700" t="s">
        <v>190</v>
      </c>
      <c r="BB1700" t="s">
        <v>191</v>
      </c>
      <c r="BC1700" t="s">
        <v>182</v>
      </c>
      <c r="BD1700" t="s">
        <v>182</v>
      </c>
      <c r="BE1700" t="s">
        <v>21175</v>
      </c>
      <c r="BF1700">
        <v>1</v>
      </c>
      <c r="BG1700">
        <v>1</v>
      </c>
      <c r="BH1700">
        <v>1998</v>
      </c>
      <c r="BI1700" t="s">
        <v>4941</v>
      </c>
      <c r="BJ1700" t="s">
        <v>194</v>
      </c>
      <c r="BK1700" t="s">
        <v>195</v>
      </c>
      <c r="BL1700" t="s">
        <v>199</v>
      </c>
      <c r="BM1700" t="s">
        <v>292</v>
      </c>
      <c r="BN1700" t="s">
        <v>182</v>
      </c>
      <c r="BO1700" t="s">
        <v>198</v>
      </c>
      <c r="BP1700" t="s">
        <v>198</v>
      </c>
      <c r="BQ1700" t="s">
        <v>198</v>
      </c>
      <c r="BR1700" t="s">
        <v>198</v>
      </c>
      <c r="BS1700" t="s">
        <v>198</v>
      </c>
      <c r="BT1700" t="s">
        <v>198</v>
      </c>
      <c r="BU1700" t="s">
        <v>182</v>
      </c>
      <c r="BV1700" t="s">
        <v>198</v>
      </c>
      <c r="BW1700" t="s">
        <v>198</v>
      </c>
      <c r="BX1700" t="s">
        <v>199</v>
      </c>
      <c r="BY1700" t="s">
        <v>198</v>
      </c>
      <c r="BZ1700" t="s">
        <v>199</v>
      </c>
      <c r="CA1700" t="s">
        <v>199</v>
      </c>
      <c r="CB1700" t="s">
        <v>21176</v>
      </c>
      <c r="CC1700" t="s">
        <v>201</v>
      </c>
      <c r="CD1700" t="s">
        <v>182</v>
      </c>
      <c r="CE1700" t="s">
        <v>21177</v>
      </c>
      <c r="CF1700" t="s">
        <v>5331</v>
      </c>
      <c r="CG1700" t="s">
        <v>177</v>
      </c>
      <c r="CH1700" t="s">
        <v>371</v>
      </c>
      <c r="CI1700" t="s">
        <v>21178</v>
      </c>
      <c r="CJ1700" t="s">
        <v>20848</v>
      </c>
      <c r="CK1700" t="s">
        <v>232</v>
      </c>
      <c r="CL1700" t="s">
        <v>233</v>
      </c>
      <c r="CM1700" t="s">
        <v>21179</v>
      </c>
      <c r="CN1700" t="s">
        <v>235</v>
      </c>
      <c r="CO1700" t="s">
        <v>183</v>
      </c>
      <c r="CP1700" t="s">
        <v>211</v>
      </c>
      <c r="CQ1700" t="s">
        <v>270</v>
      </c>
      <c r="CS1700" t="s">
        <v>540</v>
      </c>
      <c r="CT1700" t="s">
        <v>21180</v>
      </c>
      <c r="CU1700" t="s">
        <v>267</v>
      </c>
      <c r="CV1700" t="s">
        <v>268</v>
      </c>
      <c r="CW1700" t="s">
        <v>21181</v>
      </c>
      <c r="CX1700" t="s">
        <v>235</v>
      </c>
      <c r="CY1700" t="s">
        <v>183</v>
      </c>
      <c r="CZ1700" t="s">
        <v>211</v>
      </c>
      <c r="DA1700" t="s">
        <v>264</v>
      </c>
      <c r="DC1700" t="s">
        <v>21182</v>
      </c>
      <c r="DD1700" t="s">
        <v>1080</v>
      </c>
      <c r="DE1700" t="s">
        <v>273</v>
      </c>
      <c r="DF1700" t="s">
        <v>274</v>
      </c>
      <c r="DG1700" t="s">
        <v>21183</v>
      </c>
      <c r="DH1700" t="s">
        <v>235</v>
      </c>
      <c r="DI1700" t="s">
        <v>183</v>
      </c>
      <c r="DJ1700" t="s">
        <v>211</v>
      </c>
      <c r="DK1700" t="s">
        <v>206</v>
      </c>
      <c r="DL1700" t="s">
        <v>271</v>
      </c>
      <c r="DM1700" t="s">
        <v>301</v>
      </c>
      <c r="DN1700" t="s">
        <v>930</v>
      </c>
      <c r="DO1700" t="s">
        <v>302</v>
      </c>
      <c r="DP1700" t="s">
        <v>303</v>
      </c>
      <c r="DQ1700" t="s">
        <v>21184</v>
      </c>
      <c r="DR1700" t="s">
        <v>235</v>
      </c>
      <c r="DS1700" t="s">
        <v>183</v>
      </c>
      <c r="DT1700" t="s">
        <v>211</v>
      </c>
      <c r="DV1700" t="s">
        <v>271</v>
      </c>
      <c r="DW1700" t="s">
        <v>198</v>
      </c>
      <c r="DX1700" t="s">
        <v>21185</v>
      </c>
      <c r="DY1700" t="s">
        <v>238</v>
      </c>
      <c r="DZ1700" t="s">
        <v>239</v>
      </c>
      <c r="EA1700" t="s">
        <v>21186</v>
      </c>
      <c r="EB1700" t="s">
        <v>440</v>
      </c>
      <c r="EC1700" t="s">
        <v>183</v>
      </c>
      <c r="ED1700" t="s">
        <v>211</v>
      </c>
      <c r="EF1700" t="s">
        <v>271</v>
      </c>
      <c r="EG1700" t="s">
        <v>198</v>
      </c>
      <c r="EH1700" t="s">
        <v>21187</v>
      </c>
      <c r="EI1700" t="s">
        <v>346</v>
      </c>
      <c r="EJ1700" t="s">
        <v>347</v>
      </c>
      <c r="EK1700" t="s">
        <v>21188</v>
      </c>
      <c r="EL1700" t="s">
        <v>440</v>
      </c>
      <c r="EM1700" t="s">
        <v>183</v>
      </c>
      <c r="EN1700" t="s">
        <v>211</v>
      </c>
      <c r="EO1700" t="s">
        <v>1089</v>
      </c>
      <c r="EP1700" t="s">
        <v>271</v>
      </c>
      <c r="EQ1700" t="s">
        <v>301</v>
      </c>
      <c r="FA1700" t="s">
        <v>198</v>
      </c>
      <c r="FK1700" t="s">
        <v>198</v>
      </c>
      <c r="FU1700" t="s">
        <v>198</v>
      </c>
    </row>
    <row r="1701" spans="1:177">
      <c r="A1701" s="1" t="str">
        <f>HYPERLINK("http://digipan.lumentumllc.com/apps/getLink/index.php?t=PropLink&amp;p=15762415","PL")</f>
        <v>PL</v>
      </c>
      <c r="B1701" s="1" t="str">
        <f>HYPERLINK("http://digipan.lumentumllc.com/apps/getLink/index.php?t=TaxLink&amp;p=15762415","TL")</f>
        <v>TL</v>
      </c>
      <c r="C1701" s="1" t="str">
        <f>HYPERLINK("http://digipan.lumentumllc.com/apps/getMap/index.php?p=15762415","Map")</f>
        <v>Map</v>
      </c>
      <c r="E1701" t="s">
        <v>177</v>
      </c>
      <c r="F1701" t="s">
        <v>178</v>
      </c>
      <c r="L1701" t="s">
        <v>21189</v>
      </c>
      <c r="N1701" t="s">
        <v>21189</v>
      </c>
      <c r="O1701" t="s">
        <v>21189</v>
      </c>
      <c r="Q1701" t="s">
        <v>21189</v>
      </c>
      <c r="V1701">
        <v>1947</v>
      </c>
      <c r="W1701">
        <v>6</v>
      </c>
      <c r="X1701">
        <v>2017</v>
      </c>
      <c r="Y1701">
        <v>2018</v>
      </c>
      <c r="Z1701">
        <v>7195.87</v>
      </c>
      <c r="AG1701" t="s">
        <v>184</v>
      </c>
      <c r="AH1701">
        <v>0</v>
      </c>
      <c r="AK1701">
        <v>0</v>
      </c>
      <c r="AL1701">
        <v>433274</v>
      </c>
      <c r="AM1701">
        <v>188219</v>
      </c>
      <c r="AN1701">
        <v>245055</v>
      </c>
      <c r="AO1701">
        <v>7812</v>
      </c>
      <c r="AP1701">
        <v>2016</v>
      </c>
      <c r="AQ1701">
        <v>1.66</v>
      </c>
      <c r="AS1701" t="s">
        <v>21190</v>
      </c>
      <c r="AT1701" t="s">
        <v>15040</v>
      </c>
      <c r="AU1701" t="s">
        <v>177</v>
      </c>
      <c r="AV1701" t="s">
        <v>371</v>
      </c>
      <c r="AW1701" t="s">
        <v>182</v>
      </c>
      <c r="AX1701">
        <v>33</v>
      </c>
      <c r="AY1701" t="s">
        <v>3641</v>
      </c>
      <c r="AZ1701" t="s">
        <v>865</v>
      </c>
      <c r="BA1701" t="s">
        <v>7406</v>
      </c>
      <c r="BB1701" t="s">
        <v>191</v>
      </c>
      <c r="BC1701" t="s">
        <v>182</v>
      </c>
      <c r="BD1701" t="s">
        <v>182</v>
      </c>
      <c r="BE1701" t="s">
        <v>12682</v>
      </c>
      <c r="BF1701">
        <v>3</v>
      </c>
      <c r="BG1701">
        <v>0</v>
      </c>
      <c r="BH1701">
        <v>1995</v>
      </c>
      <c r="BI1701" t="s">
        <v>21191</v>
      </c>
      <c r="BJ1701" t="s">
        <v>194</v>
      </c>
      <c r="BK1701" t="s">
        <v>840</v>
      </c>
      <c r="BL1701" t="s">
        <v>21192</v>
      </c>
      <c r="BM1701" t="s">
        <v>197</v>
      </c>
      <c r="BN1701" t="s">
        <v>182</v>
      </c>
      <c r="BO1701" t="s">
        <v>13450</v>
      </c>
      <c r="BP1701" t="s">
        <v>9161</v>
      </c>
      <c r="BQ1701" t="s">
        <v>800</v>
      </c>
      <c r="BR1701" t="s">
        <v>4041</v>
      </c>
      <c r="BS1701" t="s">
        <v>198</v>
      </c>
      <c r="BT1701" t="s">
        <v>21193</v>
      </c>
      <c r="BU1701" t="s">
        <v>182</v>
      </c>
      <c r="BV1701" t="s">
        <v>198</v>
      </c>
      <c r="BW1701" t="s">
        <v>198</v>
      </c>
      <c r="BX1701" t="s">
        <v>199</v>
      </c>
      <c r="BY1701" t="s">
        <v>198</v>
      </c>
      <c r="BZ1701" t="s">
        <v>199</v>
      </c>
      <c r="CA1701" t="s">
        <v>199</v>
      </c>
      <c r="CB1701" t="s">
        <v>21194</v>
      </c>
      <c r="CC1701" t="s">
        <v>201</v>
      </c>
      <c r="CD1701" t="s">
        <v>202</v>
      </c>
      <c r="CE1701" t="s">
        <v>14317</v>
      </c>
      <c r="CF1701" t="s">
        <v>5331</v>
      </c>
      <c r="CG1701" t="s">
        <v>177</v>
      </c>
      <c r="CH1701" t="s">
        <v>371</v>
      </c>
      <c r="CI1701" t="s">
        <v>21195</v>
      </c>
      <c r="CS1701" t="s">
        <v>198</v>
      </c>
      <c r="DC1701" t="s">
        <v>198</v>
      </c>
      <c r="DM1701" t="s">
        <v>198</v>
      </c>
      <c r="DW1701" t="s">
        <v>198</v>
      </c>
      <c r="EG1701" t="s">
        <v>198</v>
      </c>
      <c r="EQ1701" t="s">
        <v>198</v>
      </c>
      <c r="FA1701" t="s">
        <v>198</v>
      </c>
      <c r="FK1701" t="s">
        <v>198</v>
      </c>
      <c r="FU1701" t="s">
        <v>198</v>
      </c>
    </row>
    <row r="1702" spans="1:177">
      <c r="A1702" s="1" t="str">
        <f>HYPERLINK("http://digipan.lumentumllc.com/apps/getLink/index.php?t=PropLink&amp;p=6129631","PL")</f>
        <v>PL</v>
      </c>
      <c r="B1702" s="1" t="str">
        <f>HYPERLINK("http://digipan.lumentumllc.com/apps/getLink/index.php?t=TaxLink&amp;p=6129631","TL")</f>
        <v>TL</v>
      </c>
      <c r="C1702" s="1" t="str">
        <f>HYPERLINK("http://digipan.lumentumllc.com/apps/getMap/index.php?p=6129631","Map")</f>
        <v>Map</v>
      </c>
      <c r="E1702" t="s">
        <v>177</v>
      </c>
      <c r="F1702" t="s">
        <v>178</v>
      </c>
      <c r="L1702" t="s">
        <v>21196</v>
      </c>
      <c r="N1702" t="s">
        <v>21196</v>
      </c>
      <c r="O1702" t="s">
        <v>21196</v>
      </c>
      <c r="P1702" t="s">
        <v>21197</v>
      </c>
      <c r="Q1702" t="s">
        <v>21196</v>
      </c>
      <c r="V1702">
        <v>1948</v>
      </c>
      <c r="W1702">
        <v>6</v>
      </c>
      <c r="X1702">
        <v>2017</v>
      </c>
      <c r="Y1702">
        <v>2018</v>
      </c>
      <c r="Z1702">
        <v>63.22</v>
      </c>
      <c r="AB1702" t="s">
        <v>181</v>
      </c>
      <c r="AC1702" t="s">
        <v>182</v>
      </c>
      <c r="AD1702" t="s">
        <v>183</v>
      </c>
      <c r="AE1702">
        <v>6</v>
      </c>
      <c r="AF1702">
        <v>0</v>
      </c>
      <c r="AG1702" t="s">
        <v>3955</v>
      </c>
      <c r="AH1702">
        <v>0</v>
      </c>
      <c r="AI1702">
        <v>318.35000000000002</v>
      </c>
      <c r="AJ1702">
        <v>147.88999999999999</v>
      </c>
      <c r="AK1702">
        <v>466.24</v>
      </c>
      <c r="AL1702">
        <v>1875</v>
      </c>
      <c r="AM1702">
        <v>1875</v>
      </c>
      <c r="AN1702">
        <v>0</v>
      </c>
      <c r="AO1702">
        <v>29</v>
      </c>
      <c r="AP1702">
        <v>2016</v>
      </c>
      <c r="AQ1702">
        <v>3.37</v>
      </c>
      <c r="AR1702">
        <v>24.87</v>
      </c>
      <c r="AS1702" t="s">
        <v>21198</v>
      </c>
      <c r="AT1702" t="s">
        <v>15040</v>
      </c>
      <c r="AU1702" t="s">
        <v>177</v>
      </c>
      <c r="AV1702" t="s">
        <v>371</v>
      </c>
      <c r="AW1702" t="s">
        <v>182</v>
      </c>
      <c r="AX1702">
        <v>95</v>
      </c>
      <c r="AY1702" t="s">
        <v>1575</v>
      </c>
      <c r="AZ1702" t="s">
        <v>1805</v>
      </c>
      <c r="BA1702" t="s">
        <v>21199</v>
      </c>
      <c r="BB1702" t="s">
        <v>191</v>
      </c>
      <c r="BC1702" t="s">
        <v>182</v>
      </c>
      <c r="BD1702" t="s">
        <v>182</v>
      </c>
      <c r="BE1702" t="s">
        <v>21200</v>
      </c>
      <c r="BF1702">
        <v>0</v>
      </c>
      <c r="BG1702">
        <v>0</v>
      </c>
      <c r="BH1702">
        <v>0</v>
      </c>
      <c r="BI1702" t="s">
        <v>199</v>
      </c>
      <c r="BJ1702" t="s">
        <v>315</v>
      </c>
      <c r="BL1702" t="s">
        <v>199</v>
      </c>
      <c r="BM1702" t="s">
        <v>20833</v>
      </c>
      <c r="BN1702" t="s">
        <v>182</v>
      </c>
      <c r="BO1702" t="s">
        <v>198</v>
      </c>
      <c r="BP1702" t="s">
        <v>198</v>
      </c>
      <c r="BQ1702" t="s">
        <v>198</v>
      </c>
      <c r="BR1702" t="s">
        <v>198</v>
      </c>
      <c r="BS1702" t="s">
        <v>198</v>
      </c>
      <c r="BT1702" t="s">
        <v>198</v>
      </c>
      <c r="BU1702" t="s">
        <v>182</v>
      </c>
      <c r="BV1702" t="s">
        <v>198</v>
      </c>
      <c r="BW1702" t="s">
        <v>198</v>
      </c>
      <c r="BX1702" t="s">
        <v>199</v>
      </c>
      <c r="BY1702" t="s">
        <v>198</v>
      </c>
      <c r="BZ1702" t="s">
        <v>199</v>
      </c>
      <c r="CA1702" t="s">
        <v>199</v>
      </c>
      <c r="CB1702" t="s">
        <v>21201</v>
      </c>
      <c r="CC1702" t="s">
        <v>201</v>
      </c>
      <c r="CD1702" t="s">
        <v>182</v>
      </c>
      <c r="CE1702" t="s">
        <v>21202</v>
      </c>
      <c r="CF1702" t="s">
        <v>5215</v>
      </c>
      <c r="CG1702" t="s">
        <v>177</v>
      </c>
      <c r="CH1702" t="s">
        <v>1579</v>
      </c>
      <c r="CI1702" t="s">
        <v>21203</v>
      </c>
      <c r="CJ1702" t="s">
        <v>18269</v>
      </c>
      <c r="CK1702" t="s">
        <v>232</v>
      </c>
      <c r="CL1702" t="s">
        <v>233</v>
      </c>
      <c r="CM1702" t="s">
        <v>21204</v>
      </c>
      <c r="CN1702" t="s">
        <v>235</v>
      </c>
      <c r="CO1702" t="s">
        <v>183</v>
      </c>
      <c r="CP1702" t="s">
        <v>266</v>
      </c>
      <c r="CS1702" t="s">
        <v>198</v>
      </c>
      <c r="CT1702" t="s">
        <v>8130</v>
      </c>
      <c r="CU1702" t="s">
        <v>292</v>
      </c>
      <c r="CV1702" t="s">
        <v>293</v>
      </c>
      <c r="CW1702" t="s">
        <v>21205</v>
      </c>
      <c r="CX1702" t="s">
        <v>7278</v>
      </c>
      <c r="CY1702" t="s">
        <v>183</v>
      </c>
      <c r="CZ1702" t="s">
        <v>266</v>
      </c>
      <c r="DC1702" t="s">
        <v>198</v>
      </c>
      <c r="DD1702" t="s">
        <v>7504</v>
      </c>
      <c r="DE1702" t="s">
        <v>267</v>
      </c>
      <c r="DF1702" t="s">
        <v>268</v>
      </c>
      <c r="DG1702" t="s">
        <v>10524</v>
      </c>
      <c r="DH1702" t="s">
        <v>482</v>
      </c>
      <c r="DI1702" t="s">
        <v>183</v>
      </c>
      <c r="DJ1702" t="s">
        <v>266</v>
      </c>
      <c r="DM1702" t="s">
        <v>198</v>
      </c>
      <c r="DN1702" t="s">
        <v>10882</v>
      </c>
      <c r="DO1702" t="s">
        <v>273</v>
      </c>
      <c r="DP1702" t="s">
        <v>274</v>
      </c>
      <c r="DQ1702" t="s">
        <v>21206</v>
      </c>
      <c r="DR1702" t="s">
        <v>482</v>
      </c>
      <c r="DS1702" t="s">
        <v>183</v>
      </c>
      <c r="DT1702" t="s">
        <v>266</v>
      </c>
      <c r="DW1702" t="s">
        <v>198</v>
      </c>
      <c r="DX1702" t="s">
        <v>4724</v>
      </c>
      <c r="DY1702" t="s">
        <v>302</v>
      </c>
      <c r="DZ1702" t="s">
        <v>303</v>
      </c>
      <c r="EA1702" t="s">
        <v>21207</v>
      </c>
      <c r="EB1702" t="s">
        <v>341</v>
      </c>
      <c r="EC1702" t="s">
        <v>183</v>
      </c>
      <c r="ED1702" t="s">
        <v>266</v>
      </c>
      <c r="EG1702" t="s">
        <v>198</v>
      </c>
      <c r="EH1702" t="s">
        <v>2074</v>
      </c>
      <c r="EI1702" t="s">
        <v>238</v>
      </c>
      <c r="EJ1702" t="s">
        <v>239</v>
      </c>
      <c r="EK1702" t="s">
        <v>21208</v>
      </c>
      <c r="EL1702" t="s">
        <v>482</v>
      </c>
      <c r="EM1702" t="s">
        <v>183</v>
      </c>
      <c r="EN1702" t="s">
        <v>266</v>
      </c>
      <c r="EQ1702" t="s">
        <v>198</v>
      </c>
      <c r="FA1702" t="s">
        <v>198</v>
      </c>
      <c r="FK1702" t="s">
        <v>198</v>
      </c>
      <c r="FU1702" t="s">
        <v>198</v>
      </c>
    </row>
    <row r="1703" spans="1:177">
      <c r="A1703" s="1" t="str">
        <f>HYPERLINK("http://digipan.lumentumllc.com/apps/getLink/index.php?t=PropLink&amp;p=6129654","PL")</f>
        <v>PL</v>
      </c>
      <c r="B1703" s="1" t="str">
        <f>HYPERLINK("http://digipan.lumentumllc.com/apps/getLink/index.php?t=TaxLink&amp;p=6129654","TL")</f>
        <v>TL</v>
      </c>
      <c r="C1703" s="1" t="str">
        <f>HYPERLINK("http://digipan.lumentumllc.com/apps/getMap/index.php?p=6129654","Map")</f>
        <v>Map</v>
      </c>
      <c r="E1703" t="s">
        <v>177</v>
      </c>
      <c r="F1703" t="s">
        <v>178</v>
      </c>
      <c r="L1703" t="s">
        <v>21209</v>
      </c>
      <c r="N1703" t="s">
        <v>21209</v>
      </c>
      <c r="O1703" t="s">
        <v>21209</v>
      </c>
      <c r="P1703" t="s">
        <v>21210</v>
      </c>
      <c r="Q1703" t="s">
        <v>21209</v>
      </c>
      <c r="V1703">
        <v>1949</v>
      </c>
      <c r="W1703">
        <v>6</v>
      </c>
      <c r="X1703">
        <v>2017</v>
      </c>
      <c r="Y1703">
        <v>2018</v>
      </c>
      <c r="Z1703">
        <v>49.6</v>
      </c>
      <c r="AB1703" t="s">
        <v>181</v>
      </c>
      <c r="AC1703" t="s">
        <v>182</v>
      </c>
      <c r="AD1703" t="s">
        <v>183</v>
      </c>
      <c r="AE1703">
        <v>6</v>
      </c>
      <c r="AF1703">
        <v>0</v>
      </c>
      <c r="AG1703" t="s">
        <v>3955</v>
      </c>
      <c r="AH1703">
        <v>0</v>
      </c>
      <c r="AI1703">
        <v>441.9</v>
      </c>
      <c r="AJ1703">
        <v>209.95</v>
      </c>
      <c r="AK1703">
        <v>651.85</v>
      </c>
      <c r="AL1703">
        <v>1075</v>
      </c>
      <c r="AM1703">
        <v>1075</v>
      </c>
      <c r="AN1703">
        <v>0</v>
      </c>
      <c r="AO1703">
        <v>16</v>
      </c>
      <c r="AP1703">
        <v>2016</v>
      </c>
      <c r="AQ1703">
        <v>4.6100000000000003</v>
      </c>
      <c r="AR1703">
        <v>60.64</v>
      </c>
      <c r="AS1703" t="s">
        <v>21211</v>
      </c>
      <c r="AT1703" t="s">
        <v>15040</v>
      </c>
      <c r="AU1703" t="s">
        <v>177</v>
      </c>
      <c r="AV1703" t="s">
        <v>371</v>
      </c>
      <c r="AW1703" t="s">
        <v>182</v>
      </c>
      <c r="AX1703">
        <v>95</v>
      </c>
      <c r="AY1703" t="s">
        <v>1575</v>
      </c>
      <c r="AZ1703" t="s">
        <v>1805</v>
      </c>
      <c r="BA1703" t="s">
        <v>21199</v>
      </c>
      <c r="BB1703" t="s">
        <v>191</v>
      </c>
      <c r="BC1703" t="s">
        <v>182</v>
      </c>
      <c r="BD1703" t="s">
        <v>182</v>
      </c>
      <c r="BE1703" t="s">
        <v>21212</v>
      </c>
      <c r="BF1703">
        <v>0</v>
      </c>
      <c r="BG1703">
        <v>0</v>
      </c>
      <c r="BH1703">
        <v>0</v>
      </c>
      <c r="BI1703" t="s">
        <v>199</v>
      </c>
      <c r="BJ1703" t="s">
        <v>315</v>
      </c>
      <c r="BL1703" t="s">
        <v>199</v>
      </c>
      <c r="BM1703" t="s">
        <v>20833</v>
      </c>
      <c r="BN1703" t="s">
        <v>182</v>
      </c>
      <c r="BO1703" t="s">
        <v>198</v>
      </c>
      <c r="BP1703" t="s">
        <v>198</v>
      </c>
      <c r="BQ1703" t="s">
        <v>198</v>
      </c>
      <c r="BR1703" t="s">
        <v>198</v>
      </c>
      <c r="BS1703" t="s">
        <v>198</v>
      </c>
      <c r="BT1703" t="s">
        <v>198</v>
      </c>
      <c r="BU1703" t="s">
        <v>182</v>
      </c>
      <c r="BV1703" t="s">
        <v>198</v>
      </c>
      <c r="BW1703" t="s">
        <v>198</v>
      </c>
      <c r="BX1703" t="s">
        <v>199</v>
      </c>
      <c r="BY1703" t="s">
        <v>198</v>
      </c>
      <c r="BZ1703" t="s">
        <v>199</v>
      </c>
      <c r="CA1703" t="s">
        <v>199</v>
      </c>
      <c r="CB1703" t="s">
        <v>21213</v>
      </c>
      <c r="CC1703" t="s">
        <v>201</v>
      </c>
      <c r="CD1703" t="s">
        <v>182</v>
      </c>
      <c r="CE1703" t="s">
        <v>21214</v>
      </c>
      <c r="CF1703" t="s">
        <v>413</v>
      </c>
      <c r="CG1703" t="s">
        <v>177</v>
      </c>
      <c r="CH1703" t="s">
        <v>1289</v>
      </c>
      <c r="CI1703" t="s">
        <v>21215</v>
      </c>
      <c r="CJ1703" t="s">
        <v>20183</v>
      </c>
      <c r="CK1703" t="s">
        <v>232</v>
      </c>
      <c r="CL1703" t="s">
        <v>233</v>
      </c>
      <c r="CM1703" t="s">
        <v>21216</v>
      </c>
      <c r="CN1703" t="s">
        <v>235</v>
      </c>
      <c r="CO1703" t="s">
        <v>183</v>
      </c>
      <c r="CP1703" t="s">
        <v>266</v>
      </c>
      <c r="CS1703" t="s">
        <v>198</v>
      </c>
      <c r="CT1703" t="s">
        <v>13256</v>
      </c>
      <c r="CU1703" t="s">
        <v>292</v>
      </c>
      <c r="CV1703" t="s">
        <v>293</v>
      </c>
      <c r="CW1703" t="s">
        <v>21217</v>
      </c>
      <c r="CX1703" t="s">
        <v>7278</v>
      </c>
      <c r="CY1703" t="s">
        <v>183</v>
      </c>
      <c r="CZ1703" t="s">
        <v>266</v>
      </c>
      <c r="DC1703" t="s">
        <v>198</v>
      </c>
      <c r="DD1703" t="s">
        <v>7528</v>
      </c>
      <c r="DE1703" t="s">
        <v>267</v>
      </c>
      <c r="DF1703" t="s">
        <v>268</v>
      </c>
      <c r="DG1703" t="s">
        <v>9703</v>
      </c>
      <c r="DH1703" t="s">
        <v>486</v>
      </c>
      <c r="DI1703" t="s">
        <v>183</v>
      </c>
      <c r="DJ1703" t="s">
        <v>266</v>
      </c>
      <c r="DM1703" t="s">
        <v>198</v>
      </c>
      <c r="DN1703" t="s">
        <v>1108</v>
      </c>
      <c r="DO1703" t="s">
        <v>273</v>
      </c>
      <c r="DP1703" t="s">
        <v>268</v>
      </c>
      <c r="DQ1703" t="s">
        <v>21218</v>
      </c>
      <c r="DR1703" t="s">
        <v>482</v>
      </c>
      <c r="DS1703" t="s">
        <v>183</v>
      </c>
      <c r="DT1703" t="s">
        <v>266</v>
      </c>
      <c r="DW1703" t="s">
        <v>198</v>
      </c>
      <c r="DX1703" t="s">
        <v>981</v>
      </c>
      <c r="DY1703" t="s">
        <v>302</v>
      </c>
      <c r="DZ1703" t="s">
        <v>303</v>
      </c>
      <c r="EA1703" t="s">
        <v>21219</v>
      </c>
      <c r="EB1703" t="s">
        <v>341</v>
      </c>
      <c r="EC1703" t="s">
        <v>183</v>
      </c>
      <c r="ED1703" t="s">
        <v>266</v>
      </c>
      <c r="EG1703" t="s">
        <v>198</v>
      </c>
      <c r="EH1703" t="s">
        <v>21220</v>
      </c>
      <c r="EI1703" t="s">
        <v>238</v>
      </c>
      <c r="EJ1703" t="s">
        <v>239</v>
      </c>
      <c r="EK1703" t="s">
        <v>21221</v>
      </c>
      <c r="EL1703" t="s">
        <v>486</v>
      </c>
      <c r="EM1703" t="s">
        <v>183</v>
      </c>
      <c r="EN1703" t="s">
        <v>266</v>
      </c>
      <c r="EQ1703" t="s">
        <v>198</v>
      </c>
      <c r="FA1703" t="s">
        <v>198</v>
      </c>
      <c r="FK1703" t="s">
        <v>198</v>
      </c>
      <c r="FU1703" t="s">
        <v>198</v>
      </c>
    </row>
    <row r="1704" spans="1:177">
      <c r="A1704" s="1" t="str">
        <f>HYPERLINK("http://digipan.lumentumllc.com/apps/getLink/index.php?t=PropLink&amp;p=15751749","PL")</f>
        <v>PL</v>
      </c>
      <c r="B1704" s="1" t="str">
        <f>HYPERLINK("http://digipan.lumentumllc.com/apps/getLink/index.php?t=TaxLink&amp;p=15751749","TL")</f>
        <v>TL</v>
      </c>
      <c r="C1704" s="1" t="str">
        <f>HYPERLINK("http://digipan.lumentumllc.com/apps/getMap/index.php?p=15751749","Map")</f>
        <v>Map</v>
      </c>
      <c r="E1704" t="s">
        <v>177</v>
      </c>
      <c r="F1704" t="s">
        <v>178</v>
      </c>
      <c r="L1704" t="s">
        <v>21222</v>
      </c>
      <c r="N1704" t="s">
        <v>21222</v>
      </c>
      <c r="O1704" t="s">
        <v>21222</v>
      </c>
      <c r="Q1704" t="s">
        <v>21222</v>
      </c>
      <c r="V1704">
        <v>1950</v>
      </c>
      <c r="W1704">
        <v>6</v>
      </c>
      <c r="X1704">
        <v>2017</v>
      </c>
      <c r="Y1704">
        <v>2018</v>
      </c>
      <c r="Z1704">
        <v>1282.19</v>
      </c>
      <c r="AB1704" t="s">
        <v>181</v>
      </c>
      <c r="AC1704" t="s">
        <v>182</v>
      </c>
      <c r="AD1704" t="s">
        <v>183</v>
      </c>
      <c r="AE1704">
        <v>1</v>
      </c>
      <c r="AF1704">
        <v>0</v>
      </c>
      <c r="AG1704" t="s">
        <v>1200</v>
      </c>
      <c r="AH1704">
        <v>0</v>
      </c>
      <c r="AI1704">
        <v>212.39</v>
      </c>
      <c r="AJ1704">
        <v>10.62</v>
      </c>
      <c r="AK1704">
        <v>223.01</v>
      </c>
      <c r="AL1704">
        <v>58000</v>
      </c>
      <c r="AM1704">
        <v>58000</v>
      </c>
      <c r="AN1704">
        <v>0</v>
      </c>
      <c r="AO1704">
        <v>171</v>
      </c>
      <c r="AP1704">
        <v>2016</v>
      </c>
      <c r="AQ1704">
        <v>2.21</v>
      </c>
      <c r="AR1704">
        <v>0.38</v>
      </c>
      <c r="AS1704" t="s">
        <v>21223</v>
      </c>
      <c r="AT1704" t="s">
        <v>15040</v>
      </c>
      <c r="AU1704" t="s">
        <v>177</v>
      </c>
      <c r="AV1704" t="s">
        <v>371</v>
      </c>
      <c r="AW1704" t="s">
        <v>182</v>
      </c>
      <c r="AX1704">
        <v>0</v>
      </c>
      <c r="AY1704" t="s">
        <v>312</v>
      </c>
      <c r="AZ1704" t="s">
        <v>199</v>
      </c>
      <c r="BA1704" t="s">
        <v>313</v>
      </c>
      <c r="BB1704" t="s">
        <v>191</v>
      </c>
      <c r="BC1704" t="s">
        <v>182</v>
      </c>
      <c r="BD1704" t="s">
        <v>182</v>
      </c>
      <c r="BE1704" t="s">
        <v>5985</v>
      </c>
      <c r="BF1704">
        <v>0</v>
      </c>
      <c r="BG1704">
        <v>0</v>
      </c>
      <c r="BH1704">
        <v>0</v>
      </c>
      <c r="BI1704" t="s">
        <v>199</v>
      </c>
      <c r="BJ1704" t="s">
        <v>248</v>
      </c>
      <c r="BL1704" t="s">
        <v>199</v>
      </c>
      <c r="BN1704" t="s">
        <v>182</v>
      </c>
      <c r="BO1704" t="s">
        <v>198</v>
      </c>
      <c r="BP1704" t="s">
        <v>198</v>
      </c>
      <c r="BQ1704" t="s">
        <v>198</v>
      </c>
      <c r="BR1704" t="s">
        <v>198</v>
      </c>
      <c r="BS1704" t="s">
        <v>198</v>
      </c>
      <c r="BT1704" t="s">
        <v>198</v>
      </c>
      <c r="BU1704" t="s">
        <v>182</v>
      </c>
      <c r="BV1704" t="s">
        <v>198</v>
      </c>
      <c r="BW1704" t="s">
        <v>198</v>
      </c>
      <c r="BX1704" t="s">
        <v>199</v>
      </c>
      <c r="BY1704" t="s">
        <v>198</v>
      </c>
      <c r="BZ1704" t="s">
        <v>199</v>
      </c>
      <c r="CA1704" t="s">
        <v>199</v>
      </c>
      <c r="CB1704" t="s">
        <v>21224</v>
      </c>
      <c r="CC1704" t="s">
        <v>201</v>
      </c>
      <c r="CD1704" t="s">
        <v>182</v>
      </c>
      <c r="CE1704" t="s">
        <v>21225</v>
      </c>
      <c r="CF1704" t="s">
        <v>5331</v>
      </c>
      <c r="CG1704" t="s">
        <v>177</v>
      </c>
      <c r="CH1704" t="s">
        <v>5332</v>
      </c>
      <c r="CI1704" t="s">
        <v>7898</v>
      </c>
      <c r="CJ1704" t="s">
        <v>15469</v>
      </c>
      <c r="CK1704" t="s">
        <v>232</v>
      </c>
      <c r="CL1704" t="s">
        <v>233</v>
      </c>
      <c r="CM1704" t="s">
        <v>21226</v>
      </c>
      <c r="CN1704" t="s">
        <v>235</v>
      </c>
      <c r="CO1704" t="s">
        <v>183</v>
      </c>
      <c r="CP1704" t="s">
        <v>266</v>
      </c>
      <c r="CS1704" t="s">
        <v>198</v>
      </c>
      <c r="DC1704" t="s">
        <v>198</v>
      </c>
      <c r="DM1704" t="s">
        <v>198</v>
      </c>
      <c r="DW1704" t="s">
        <v>198</v>
      </c>
      <c r="EG1704" t="s">
        <v>198</v>
      </c>
      <c r="EQ1704" t="s">
        <v>198</v>
      </c>
      <c r="FA1704" t="s">
        <v>198</v>
      </c>
      <c r="FK1704" t="s">
        <v>198</v>
      </c>
      <c r="FU1704" t="s">
        <v>198</v>
      </c>
    </row>
    <row r="1705" spans="1:177">
      <c r="A1705" s="1" t="str">
        <f>HYPERLINK("http://digipan.lumentumllc.com/apps/getLink/index.php?t=PropLink&amp;p=15751765","PL")</f>
        <v>PL</v>
      </c>
      <c r="B1705" s="1" t="str">
        <f>HYPERLINK("http://digipan.lumentumllc.com/apps/getLink/index.php?t=TaxLink&amp;p=15751765","TL")</f>
        <v>TL</v>
      </c>
      <c r="C1705" s="1" t="str">
        <f>HYPERLINK("http://digipan.lumentumllc.com/apps/getMap/index.php?p=15751765","Map")</f>
        <v>Map</v>
      </c>
      <c r="E1705" t="s">
        <v>177</v>
      </c>
      <c r="F1705" t="s">
        <v>178</v>
      </c>
      <c r="L1705" t="s">
        <v>21227</v>
      </c>
      <c r="N1705" t="s">
        <v>21227</v>
      </c>
      <c r="O1705" t="s">
        <v>21227</v>
      </c>
      <c r="Q1705" t="s">
        <v>21227</v>
      </c>
      <c r="V1705">
        <v>1951</v>
      </c>
      <c r="W1705">
        <v>6</v>
      </c>
      <c r="X1705">
        <v>2017</v>
      </c>
      <c r="Y1705">
        <v>2018</v>
      </c>
      <c r="Z1705">
        <v>1407.21</v>
      </c>
      <c r="AB1705" t="s">
        <v>181</v>
      </c>
      <c r="AC1705" t="s">
        <v>182</v>
      </c>
      <c r="AD1705" t="s">
        <v>183</v>
      </c>
      <c r="AE1705">
        <v>1</v>
      </c>
      <c r="AF1705">
        <v>0</v>
      </c>
      <c r="AG1705" t="s">
        <v>1200</v>
      </c>
      <c r="AH1705">
        <v>0</v>
      </c>
      <c r="AI1705">
        <v>212.39</v>
      </c>
      <c r="AJ1705">
        <v>10.62</v>
      </c>
      <c r="AK1705">
        <v>223.01</v>
      </c>
      <c r="AL1705">
        <v>63800</v>
      </c>
      <c r="AM1705">
        <v>63800</v>
      </c>
      <c r="AN1705">
        <v>0</v>
      </c>
      <c r="AO1705">
        <v>171</v>
      </c>
      <c r="AP1705">
        <v>2016</v>
      </c>
      <c r="AQ1705">
        <v>2.21</v>
      </c>
      <c r="AR1705">
        <v>0.35</v>
      </c>
      <c r="AS1705" t="s">
        <v>21228</v>
      </c>
      <c r="AT1705" t="s">
        <v>15040</v>
      </c>
      <c r="AU1705" t="s">
        <v>177</v>
      </c>
      <c r="AV1705" t="s">
        <v>371</v>
      </c>
      <c r="AW1705" t="s">
        <v>182</v>
      </c>
      <c r="AX1705">
        <v>0</v>
      </c>
      <c r="AY1705" t="s">
        <v>312</v>
      </c>
      <c r="AZ1705" t="s">
        <v>199</v>
      </c>
      <c r="BA1705" t="s">
        <v>313</v>
      </c>
      <c r="BB1705" t="s">
        <v>191</v>
      </c>
      <c r="BC1705" t="s">
        <v>182</v>
      </c>
      <c r="BD1705" t="s">
        <v>182</v>
      </c>
      <c r="BE1705" t="s">
        <v>3930</v>
      </c>
      <c r="BF1705">
        <v>0</v>
      </c>
      <c r="BG1705">
        <v>0</v>
      </c>
      <c r="BH1705">
        <v>0</v>
      </c>
      <c r="BI1705" t="s">
        <v>199</v>
      </c>
      <c r="BJ1705" t="s">
        <v>248</v>
      </c>
      <c r="BL1705" t="s">
        <v>199</v>
      </c>
      <c r="BN1705" t="s">
        <v>182</v>
      </c>
      <c r="BO1705" t="s">
        <v>198</v>
      </c>
      <c r="BP1705" t="s">
        <v>198</v>
      </c>
      <c r="BQ1705" t="s">
        <v>198</v>
      </c>
      <c r="BR1705" t="s">
        <v>198</v>
      </c>
      <c r="BS1705" t="s">
        <v>198</v>
      </c>
      <c r="BT1705" t="s">
        <v>198</v>
      </c>
      <c r="BU1705" t="s">
        <v>182</v>
      </c>
      <c r="BV1705" t="s">
        <v>198</v>
      </c>
      <c r="BW1705" t="s">
        <v>198</v>
      </c>
      <c r="BX1705" t="s">
        <v>199</v>
      </c>
      <c r="BY1705" t="s">
        <v>198</v>
      </c>
      <c r="BZ1705" t="s">
        <v>199</v>
      </c>
      <c r="CA1705" t="s">
        <v>199</v>
      </c>
      <c r="CB1705" t="s">
        <v>21224</v>
      </c>
      <c r="CC1705" t="s">
        <v>201</v>
      </c>
      <c r="CD1705" t="s">
        <v>182</v>
      </c>
      <c r="CE1705" t="s">
        <v>21225</v>
      </c>
      <c r="CF1705" t="s">
        <v>5331</v>
      </c>
      <c r="CG1705" t="s">
        <v>177</v>
      </c>
      <c r="CH1705" t="s">
        <v>5332</v>
      </c>
      <c r="CI1705" t="s">
        <v>16352</v>
      </c>
      <c r="CJ1705" t="s">
        <v>21229</v>
      </c>
      <c r="CK1705" t="s">
        <v>232</v>
      </c>
      <c r="CL1705" t="s">
        <v>233</v>
      </c>
      <c r="CM1705" t="s">
        <v>21226</v>
      </c>
      <c r="CN1705" t="s">
        <v>235</v>
      </c>
      <c r="CO1705" t="s">
        <v>183</v>
      </c>
      <c r="CP1705" t="s">
        <v>266</v>
      </c>
      <c r="CS1705" t="s">
        <v>198</v>
      </c>
      <c r="DC1705" t="s">
        <v>198</v>
      </c>
      <c r="DM1705" t="s">
        <v>198</v>
      </c>
      <c r="DW1705" t="s">
        <v>198</v>
      </c>
      <c r="EG1705" t="s">
        <v>198</v>
      </c>
      <c r="EQ1705" t="s">
        <v>198</v>
      </c>
      <c r="FA1705" t="s">
        <v>198</v>
      </c>
      <c r="FK1705" t="s">
        <v>198</v>
      </c>
      <c r="FU1705" t="s">
        <v>198</v>
      </c>
    </row>
    <row r="1706" spans="1:177">
      <c r="A1706" s="1" t="str">
        <f>HYPERLINK("http://digipan.lumentumllc.com/apps/getLink/index.php?t=PropLink&amp;p=15751766","PL")</f>
        <v>PL</v>
      </c>
      <c r="B1706" s="1" t="str">
        <f>HYPERLINK("http://digipan.lumentumllc.com/apps/getLink/index.php?t=TaxLink&amp;p=15751766","TL")</f>
        <v>TL</v>
      </c>
      <c r="C1706" s="1" t="str">
        <f>HYPERLINK("http://digipan.lumentumllc.com/apps/getMap/index.php?p=15751766","Map")</f>
        <v>Map</v>
      </c>
      <c r="E1706" t="s">
        <v>177</v>
      </c>
      <c r="F1706" t="s">
        <v>178</v>
      </c>
      <c r="L1706" t="s">
        <v>21230</v>
      </c>
      <c r="N1706" t="s">
        <v>21230</v>
      </c>
      <c r="O1706" t="s">
        <v>21230</v>
      </c>
      <c r="Q1706" t="s">
        <v>21230</v>
      </c>
      <c r="V1706">
        <v>1952</v>
      </c>
      <c r="W1706">
        <v>6</v>
      </c>
      <c r="X1706">
        <v>2017</v>
      </c>
      <c r="Y1706">
        <v>2018</v>
      </c>
      <c r="Z1706">
        <v>1282.19</v>
      </c>
      <c r="AB1706" t="s">
        <v>181</v>
      </c>
      <c r="AC1706" t="s">
        <v>182</v>
      </c>
      <c r="AD1706" t="s">
        <v>183</v>
      </c>
      <c r="AE1706">
        <v>1</v>
      </c>
      <c r="AF1706">
        <v>0</v>
      </c>
      <c r="AG1706" t="s">
        <v>1200</v>
      </c>
      <c r="AH1706">
        <v>0</v>
      </c>
      <c r="AI1706">
        <v>212.39</v>
      </c>
      <c r="AJ1706">
        <v>10.62</v>
      </c>
      <c r="AK1706">
        <v>223.01</v>
      </c>
      <c r="AL1706">
        <v>58000</v>
      </c>
      <c r="AM1706">
        <v>58000</v>
      </c>
      <c r="AN1706">
        <v>0</v>
      </c>
      <c r="AO1706">
        <v>171</v>
      </c>
      <c r="AP1706">
        <v>2016</v>
      </c>
      <c r="AQ1706">
        <v>2.21</v>
      </c>
      <c r="AR1706">
        <v>0.38</v>
      </c>
      <c r="AS1706" t="s">
        <v>21231</v>
      </c>
      <c r="AT1706" t="s">
        <v>15040</v>
      </c>
      <c r="AU1706" t="s">
        <v>177</v>
      </c>
      <c r="AV1706" t="s">
        <v>371</v>
      </c>
      <c r="AW1706" t="s">
        <v>182</v>
      </c>
      <c r="AX1706">
        <v>0</v>
      </c>
      <c r="AY1706" t="s">
        <v>312</v>
      </c>
      <c r="AZ1706" t="s">
        <v>199</v>
      </c>
      <c r="BA1706" t="s">
        <v>313</v>
      </c>
      <c r="BB1706" t="s">
        <v>191</v>
      </c>
      <c r="BC1706" t="s">
        <v>182</v>
      </c>
      <c r="BD1706" t="s">
        <v>182</v>
      </c>
      <c r="BE1706" t="s">
        <v>3918</v>
      </c>
      <c r="BF1706">
        <v>0</v>
      </c>
      <c r="BG1706">
        <v>0</v>
      </c>
      <c r="BH1706">
        <v>0</v>
      </c>
      <c r="BI1706" t="s">
        <v>199</v>
      </c>
      <c r="BJ1706" t="s">
        <v>248</v>
      </c>
      <c r="BL1706" t="s">
        <v>199</v>
      </c>
      <c r="BN1706" t="s">
        <v>182</v>
      </c>
      <c r="BO1706" t="s">
        <v>198</v>
      </c>
      <c r="BP1706" t="s">
        <v>198</v>
      </c>
      <c r="BQ1706" t="s">
        <v>198</v>
      </c>
      <c r="BR1706" t="s">
        <v>198</v>
      </c>
      <c r="BS1706" t="s">
        <v>198</v>
      </c>
      <c r="BT1706" t="s">
        <v>198</v>
      </c>
      <c r="BU1706" t="s">
        <v>182</v>
      </c>
      <c r="BV1706" t="s">
        <v>198</v>
      </c>
      <c r="BW1706" t="s">
        <v>198</v>
      </c>
      <c r="BX1706" t="s">
        <v>199</v>
      </c>
      <c r="BY1706" t="s">
        <v>198</v>
      </c>
      <c r="BZ1706" t="s">
        <v>199</v>
      </c>
      <c r="CA1706" t="s">
        <v>199</v>
      </c>
      <c r="CB1706" t="s">
        <v>21224</v>
      </c>
      <c r="CC1706" t="s">
        <v>201</v>
      </c>
      <c r="CD1706" t="s">
        <v>182</v>
      </c>
      <c r="CE1706" t="s">
        <v>21225</v>
      </c>
      <c r="CF1706" t="s">
        <v>5331</v>
      </c>
      <c r="CG1706" t="s">
        <v>177</v>
      </c>
      <c r="CH1706" t="s">
        <v>5332</v>
      </c>
      <c r="CI1706" t="s">
        <v>15503</v>
      </c>
      <c r="CJ1706" t="s">
        <v>18448</v>
      </c>
      <c r="CK1706" t="s">
        <v>232</v>
      </c>
      <c r="CL1706" t="s">
        <v>233</v>
      </c>
      <c r="CM1706" t="s">
        <v>21226</v>
      </c>
      <c r="CN1706" t="s">
        <v>235</v>
      </c>
      <c r="CO1706" t="s">
        <v>183</v>
      </c>
      <c r="CP1706" t="s">
        <v>266</v>
      </c>
      <c r="CS1706" t="s">
        <v>198</v>
      </c>
      <c r="DC1706" t="s">
        <v>198</v>
      </c>
      <c r="DM1706" t="s">
        <v>198</v>
      </c>
      <c r="DW1706" t="s">
        <v>198</v>
      </c>
      <c r="EG1706" t="s">
        <v>198</v>
      </c>
      <c r="EQ1706" t="s">
        <v>198</v>
      </c>
      <c r="FA1706" t="s">
        <v>198</v>
      </c>
      <c r="FK1706" t="s">
        <v>198</v>
      </c>
      <c r="FU1706" t="s">
        <v>198</v>
      </c>
    </row>
    <row r="1707" spans="1:177">
      <c r="A1707" s="1" t="str">
        <f>HYPERLINK("http://digipan.lumentumllc.com/apps/getLink/index.php?t=PropLink&amp;p=15751773","PL")</f>
        <v>PL</v>
      </c>
      <c r="B1707" s="1" t="str">
        <f>HYPERLINK("http://digipan.lumentumllc.com/apps/getLink/index.php?t=TaxLink&amp;p=15751773","TL")</f>
        <v>TL</v>
      </c>
      <c r="C1707" s="1" t="str">
        <f>HYPERLINK("http://digipan.lumentumllc.com/apps/getMap/index.php?p=15751773","Map")</f>
        <v>Map</v>
      </c>
      <c r="E1707" t="s">
        <v>177</v>
      </c>
      <c r="F1707" t="s">
        <v>178</v>
      </c>
      <c r="L1707" t="s">
        <v>21232</v>
      </c>
      <c r="N1707" t="s">
        <v>21232</v>
      </c>
      <c r="O1707" t="s">
        <v>21232</v>
      </c>
      <c r="Q1707" t="s">
        <v>21232</v>
      </c>
      <c r="V1707">
        <v>1953</v>
      </c>
      <c r="W1707">
        <v>6</v>
      </c>
      <c r="X1707">
        <v>2017</v>
      </c>
      <c r="Y1707">
        <v>2018</v>
      </c>
      <c r="Z1707">
        <v>1282.19</v>
      </c>
      <c r="AG1707" t="s">
        <v>184</v>
      </c>
      <c r="AH1707">
        <v>0</v>
      </c>
      <c r="AK1707">
        <v>0</v>
      </c>
      <c r="AL1707">
        <v>58000</v>
      </c>
      <c r="AM1707">
        <v>58000</v>
      </c>
      <c r="AN1707">
        <v>0</v>
      </c>
      <c r="AO1707">
        <v>171</v>
      </c>
      <c r="AP1707">
        <v>2016</v>
      </c>
      <c r="AQ1707">
        <v>2.21</v>
      </c>
      <c r="AS1707" t="s">
        <v>21233</v>
      </c>
      <c r="AT1707" t="s">
        <v>15040</v>
      </c>
      <c r="AU1707" t="s">
        <v>177</v>
      </c>
      <c r="AV1707" t="s">
        <v>371</v>
      </c>
      <c r="AW1707" t="s">
        <v>182</v>
      </c>
      <c r="AX1707">
        <v>0</v>
      </c>
      <c r="AY1707" t="s">
        <v>312</v>
      </c>
      <c r="AZ1707" t="s">
        <v>199</v>
      </c>
      <c r="BA1707" t="s">
        <v>313</v>
      </c>
      <c r="BB1707" t="s">
        <v>191</v>
      </c>
      <c r="BC1707" t="s">
        <v>182</v>
      </c>
      <c r="BD1707" t="s">
        <v>182</v>
      </c>
      <c r="BE1707" t="s">
        <v>5985</v>
      </c>
      <c r="BF1707">
        <v>0</v>
      </c>
      <c r="BG1707">
        <v>0</v>
      </c>
      <c r="BH1707">
        <v>0</v>
      </c>
      <c r="BI1707" t="s">
        <v>199</v>
      </c>
      <c r="BJ1707" t="s">
        <v>248</v>
      </c>
      <c r="BL1707" t="s">
        <v>7916</v>
      </c>
      <c r="BM1707" t="s">
        <v>197</v>
      </c>
      <c r="BN1707" t="s">
        <v>182</v>
      </c>
      <c r="BO1707" t="s">
        <v>198</v>
      </c>
      <c r="BP1707" t="s">
        <v>198</v>
      </c>
      <c r="BQ1707" t="s">
        <v>198</v>
      </c>
      <c r="BR1707" t="s">
        <v>198</v>
      </c>
      <c r="BS1707" t="s">
        <v>198</v>
      </c>
      <c r="BT1707" t="s">
        <v>198</v>
      </c>
      <c r="BU1707" t="s">
        <v>182</v>
      </c>
      <c r="BV1707" t="s">
        <v>198</v>
      </c>
      <c r="BW1707" t="s">
        <v>198</v>
      </c>
      <c r="BX1707" t="s">
        <v>199</v>
      </c>
      <c r="BY1707" t="s">
        <v>198</v>
      </c>
      <c r="BZ1707" t="s">
        <v>199</v>
      </c>
      <c r="CA1707" t="s">
        <v>199</v>
      </c>
      <c r="CB1707" t="s">
        <v>21234</v>
      </c>
      <c r="CC1707" t="s">
        <v>201</v>
      </c>
      <c r="CD1707" t="s">
        <v>202</v>
      </c>
      <c r="CE1707" t="s">
        <v>21235</v>
      </c>
      <c r="CF1707" t="s">
        <v>413</v>
      </c>
      <c r="CG1707" t="s">
        <v>177</v>
      </c>
      <c r="CH1707" t="s">
        <v>1579</v>
      </c>
      <c r="CI1707" t="s">
        <v>2915</v>
      </c>
      <c r="CS1707" t="s">
        <v>198</v>
      </c>
      <c r="DC1707" t="s">
        <v>198</v>
      </c>
      <c r="DM1707" t="s">
        <v>198</v>
      </c>
      <c r="DW1707" t="s">
        <v>198</v>
      </c>
      <c r="EG1707" t="s">
        <v>198</v>
      </c>
      <c r="EQ1707" t="s">
        <v>198</v>
      </c>
      <c r="FA1707" t="s">
        <v>198</v>
      </c>
      <c r="FK1707" t="s">
        <v>198</v>
      </c>
      <c r="FU1707" t="s">
        <v>198</v>
      </c>
    </row>
    <row r="1708" spans="1:177">
      <c r="A1708" s="1" t="str">
        <f>HYPERLINK("http://digipan.lumentumllc.com/apps/getLink/index.php?t=PropLink&amp;p=15751774","PL")</f>
        <v>PL</v>
      </c>
      <c r="B1708" s="1" t="str">
        <f>HYPERLINK("http://digipan.lumentumllc.com/apps/getLink/index.php?t=TaxLink&amp;p=15751774","TL")</f>
        <v>TL</v>
      </c>
      <c r="C1708" s="1" t="str">
        <f>HYPERLINK("http://digipan.lumentumllc.com/apps/getMap/index.php?p=15751774","Map")</f>
        <v>Map</v>
      </c>
      <c r="E1708" t="s">
        <v>177</v>
      </c>
      <c r="F1708" t="s">
        <v>178</v>
      </c>
      <c r="L1708" t="s">
        <v>21236</v>
      </c>
      <c r="N1708" t="s">
        <v>21236</v>
      </c>
      <c r="O1708" t="s">
        <v>21236</v>
      </c>
      <c r="Q1708" t="s">
        <v>21236</v>
      </c>
      <c r="V1708">
        <v>1954</v>
      </c>
      <c r="W1708">
        <v>6</v>
      </c>
      <c r="X1708">
        <v>2017</v>
      </c>
      <c r="Y1708">
        <v>2018</v>
      </c>
      <c r="Z1708">
        <v>1282.19</v>
      </c>
      <c r="AG1708" t="s">
        <v>184</v>
      </c>
      <c r="AH1708">
        <v>0</v>
      </c>
      <c r="AK1708">
        <v>0</v>
      </c>
      <c r="AL1708">
        <v>58000</v>
      </c>
      <c r="AM1708">
        <v>58000</v>
      </c>
      <c r="AN1708">
        <v>0</v>
      </c>
      <c r="AO1708">
        <v>171</v>
      </c>
      <c r="AP1708">
        <v>2016</v>
      </c>
      <c r="AQ1708">
        <v>2.21</v>
      </c>
      <c r="AS1708" t="s">
        <v>21237</v>
      </c>
      <c r="AT1708" t="s">
        <v>15040</v>
      </c>
      <c r="AU1708" t="s">
        <v>177</v>
      </c>
      <c r="AV1708" t="s">
        <v>371</v>
      </c>
      <c r="AW1708" t="s">
        <v>182</v>
      </c>
      <c r="AX1708">
        <v>0</v>
      </c>
      <c r="AY1708" t="s">
        <v>312</v>
      </c>
      <c r="AZ1708" t="s">
        <v>199</v>
      </c>
      <c r="BA1708" t="s">
        <v>313</v>
      </c>
      <c r="BB1708" t="s">
        <v>191</v>
      </c>
      <c r="BC1708" t="s">
        <v>182</v>
      </c>
      <c r="BD1708" t="s">
        <v>182</v>
      </c>
      <c r="BE1708" t="s">
        <v>5985</v>
      </c>
      <c r="BF1708">
        <v>0</v>
      </c>
      <c r="BG1708">
        <v>0</v>
      </c>
      <c r="BH1708">
        <v>0</v>
      </c>
      <c r="BI1708" t="s">
        <v>199</v>
      </c>
      <c r="BJ1708" t="s">
        <v>248</v>
      </c>
      <c r="BL1708" t="s">
        <v>7916</v>
      </c>
      <c r="BM1708" t="s">
        <v>197</v>
      </c>
      <c r="BN1708" t="s">
        <v>182</v>
      </c>
      <c r="BO1708" t="s">
        <v>198</v>
      </c>
      <c r="BP1708" t="s">
        <v>198</v>
      </c>
      <c r="BQ1708" t="s">
        <v>198</v>
      </c>
      <c r="BR1708" t="s">
        <v>198</v>
      </c>
      <c r="BS1708" t="s">
        <v>198</v>
      </c>
      <c r="BT1708" t="s">
        <v>198</v>
      </c>
      <c r="BU1708" t="s">
        <v>182</v>
      </c>
      <c r="BV1708" t="s">
        <v>198</v>
      </c>
      <c r="BW1708" t="s">
        <v>198</v>
      </c>
      <c r="BX1708" t="s">
        <v>199</v>
      </c>
      <c r="BY1708" t="s">
        <v>198</v>
      </c>
      <c r="BZ1708" t="s">
        <v>199</v>
      </c>
      <c r="CA1708" t="s">
        <v>199</v>
      </c>
      <c r="CB1708" t="s">
        <v>21234</v>
      </c>
      <c r="CC1708" t="s">
        <v>201</v>
      </c>
      <c r="CD1708" t="s">
        <v>202</v>
      </c>
      <c r="CE1708" t="s">
        <v>21235</v>
      </c>
      <c r="CF1708" t="s">
        <v>413</v>
      </c>
      <c r="CG1708" t="s">
        <v>177</v>
      </c>
      <c r="CH1708" t="s">
        <v>1579</v>
      </c>
      <c r="CI1708" t="s">
        <v>4659</v>
      </c>
      <c r="CS1708" t="s">
        <v>198</v>
      </c>
      <c r="DC1708" t="s">
        <v>198</v>
      </c>
      <c r="DM1708" t="s">
        <v>198</v>
      </c>
      <c r="DW1708" t="s">
        <v>198</v>
      </c>
      <c r="EG1708" t="s">
        <v>198</v>
      </c>
      <c r="EQ1708" t="s">
        <v>198</v>
      </c>
      <c r="FA1708" t="s">
        <v>198</v>
      </c>
      <c r="FK1708" t="s">
        <v>198</v>
      </c>
      <c r="FU1708" t="s">
        <v>198</v>
      </c>
    </row>
    <row r="1709" spans="1:177">
      <c r="A1709" s="1" t="str">
        <f>HYPERLINK("http://digipan.lumentumllc.com/apps/getLink/index.php?t=PropLink&amp;p=15751775","PL")</f>
        <v>PL</v>
      </c>
      <c r="B1709" s="1" t="str">
        <f>HYPERLINK("http://digipan.lumentumllc.com/apps/getLink/index.php?t=TaxLink&amp;p=15751775","TL")</f>
        <v>TL</v>
      </c>
      <c r="C1709" s="1" t="str">
        <f>HYPERLINK("http://digipan.lumentumllc.com/apps/getMap/index.php?p=15751775","Map")</f>
        <v>Map</v>
      </c>
      <c r="E1709" t="s">
        <v>177</v>
      </c>
      <c r="F1709" t="s">
        <v>178</v>
      </c>
      <c r="L1709" t="s">
        <v>21238</v>
      </c>
      <c r="N1709" t="s">
        <v>21238</v>
      </c>
      <c r="O1709" t="s">
        <v>21238</v>
      </c>
      <c r="Q1709" t="s">
        <v>21238</v>
      </c>
      <c r="V1709">
        <v>1955</v>
      </c>
      <c r="W1709">
        <v>6</v>
      </c>
      <c r="X1709">
        <v>2017</v>
      </c>
      <c r="Y1709">
        <v>2018</v>
      </c>
      <c r="Z1709">
        <v>1282.19</v>
      </c>
      <c r="AG1709" t="s">
        <v>184</v>
      </c>
      <c r="AH1709">
        <v>0</v>
      </c>
      <c r="AK1709">
        <v>0</v>
      </c>
      <c r="AL1709">
        <v>58000</v>
      </c>
      <c r="AM1709">
        <v>58000</v>
      </c>
      <c r="AN1709">
        <v>0</v>
      </c>
      <c r="AO1709">
        <v>171</v>
      </c>
      <c r="AP1709">
        <v>2016</v>
      </c>
      <c r="AQ1709">
        <v>2.21</v>
      </c>
      <c r="AS1709" t="s">
        <v>21239</v>
      </c>
      <c r="AT1709" t="s">
        <v>15040</v>
      </c>
      <c r="AU1709" t="s">
        <v>177</v>
      </c>
      <c r="AV1709" t="s">
        <v>371</v>
      </c>
      <c r="AW1709" t="s">
        <v>182</v>
      </c>
      <c r="AX1709">
        <v>0</v>
      </c>
      <c r="AY1709" t="s">
        <v>312</v>
      </c>
      <c r="AZ1709" t="s">
        <v>199</v>
      </c>
      <c r="BA1709" t="s">
        <v>313</v>
      </c>
      <c r="BB1709" t="s">
        <v>191</v>
      </c>
      <c r="BC1709" t="s">
        <v>182</v>
      </c>
      <c r="BD1709" t="s">
        <v>182</v>
      </c>
      <c r="BE1709" t="s">
        <v>5985</v>
      </c>
      <c r="BF1709">
        <v>0</v>
      </c>
      <c r="BG1709">
        <v>0</v>
      </c>
      <c r="BH1709">
        <v>0</v>
      </c>
      <c r="BI1709" t="s">
        <v>199</v>
      </c>
      <c r="BJ1709" t="s">
        <v>248</v>
      </c>
      <c r="BL1709" t="s">
        <v>7916</v>
      </c>
      <c r="BM1709" t="s">
        <v>197</v>
      </c>
      <c r="BN1709" t="s">
        <v>182</v>
      </c>
      <c r="BO1709" t="s">
        <v>198</v>
      </c>
      <c r="BP1709" t="s">
        <v>198</v>
      </c>
      <c r="BQ1709" t="s">
        <v>198</v>
      </c>
      <c r="BR1709" t="s">
        <v>198</v>
      </c>
      <c r="BS1709" t="s">
        <v>198</v>
      </c>
      <c r="BT1709" t="s">
        <v>198</v>
      </c>
      <c r="BU1709" t="s">
        <v>182</v>
      </c>
      <c r="BV1709" t="s">
        <v>198</v>
      </c>
      <c r="BW1709" t="s">
        <v>198</v>
      </c>
      <c r="BX1709" t="s">
        <v>199</v>
      </c>
      <c r="BY1709" t="s">
        <v>198</v>
      </c>
      <c r="BZ1709" t="s">
        <v>199</v>
      </c>
      <c r="CA1709" t="s">
        <v>199</v>
      </c>
      <c r="CB1709" t="s">
        <v>21234</v>
      </c>
      <c r="CC1709" t="s">
        <v>201</v>
      </c>
      <c r="CD1709" t="s">
        <v>202</v>
      </c>
      <c r="CE1709" t="s">
        <v>21235</v>
      </c>
      <c r="CF1709" t="s">
        <v>413</v>
      </c>
      <c r="CG1709" t="s">
        <v>177</v>
      </c>
      <c r="CH1709" t="s">
        <v>1579</v>
      </c>
      <c r="CI1709" t="s">
        <v>15821</v>
      </c>
      <c r="CS1709" t="s">
        <v>198</v>
      </c>
      <c r="DC1709" t="s">
        <v>198</v>
      </c>
      <c r="DM1709" t="s">
        <v>198</v>
      </c>
      <c r="DW1709" t="s">
        <v>198</v>
      </c>
      <c r="EG1709" t="s">
        <v>198</v>
      </c>
      <c r="EQ1709" t="s">
        <v>198</v>
      </c>
      <c r="FA1709" t="s">
        <v>198</v>
      </c>
      <c r="FK1709" t="s">
        <v>198</v>
      </c>
      <c r="FU1709" t="s">
        <v>198</v>
      </c>
    </row>
    <row r="1710" spans="1:177">
      <c r="A1710" s="1" t="str">
        <f>HYPERLINK("http://digipan.lumentumllc.com/apps/getLink/index.php?t=PropLink&amp;p=15751776","PL")</f>
        <v>PL</v>
      </c>
      <c r="B1710" s="1" t="str">
        <f>HYPERLINK("http://digipan.lumentumllc.com/apps/getLink/index.php?t=TaxLink&amp;p=15751776","TL")</f>
        <v>TL</v>
      </c>
      <c r="C1710" s="1" t="str">
        <f>HYPERLINK("http://digipan.lumentumllc.com/apps/getMap/index.php?p=15751776","Map")</f>
        <v>Map</v>
      </c>
      <c r="E1710" t="s">
        <v>177</v>
      </c>
      <c r="F1710" t="s">
        <v>178</v>
      </c>
      <c r="L1710" t="s">
        <v>21240</v>
      </c>
      <c r="N1710" t="s">
        <v>21240</v>
      </c>
      <c r="O1710" t="s">
        <v>21240</v>
      </c>
      <c r="Q1710" t="s">
        <v>21240</v>
      </c>
      <c r="V1710">
        <v>1956</v>
      </c>
      <c r="W1710">
        <v>6</v>
      </c>
      <c r="X1710">
        <v>2017</v>
      </c>
      <c r="Y1710">
        <v>2018</v>
      </c>
      <c r="Z1710">
        <v>1282.19</v>
      </c>
      <c r="AG1710" t="s">
        <v>184</v>
      </c>
      <c r="AH1710">
        <v>0</v>
      </c>
      <c r="AK1710">
        <v>0</v>
      </c>
      <c r="AL1710">
        <v>58000</v>
      </c>
      <c r="AM1710">
        <v>58000</v>
      </c>
      <c r="AN1710">
        <v>0</v>
      </c>
      <c r="AO1710">
        <v>171</v>
      </c>
      <c r="AP1710">
        <v>2016</v>
      </c>
      <c r="AQ1710">
        <v>2.21</v>
      </c>
      <c r="AS1710" t="s">
        <v>21241</v>
      </c>
      <c r="AT1710" t="s">
        <v>15040</v>
      </c>
      <c r="AU1710" t="s">
        <v>177</v>
      </c>
      <c r="AV1710" t="s">
        <v>371</v>
      </c>
      <c r="AW1710" t="s">
        <v>182</v>
      </c>
      <c r="AX1710">
        <v>0</v>
      </c>
      <c r="AY1710" t="s">
        <v>312</v>
      </c>
      <c r="AZ1710" t="s">
        <v>199</v>
      </c>
      <c r="BA1710" t="s">
        <v>313</v>
      </c>
      <c r="BB1710" t="s">
        <v>191</v>
      </c>
      <c r="BC1710" t="s">
        <v>182</v>
      </c>
      <c r="BD1710" t="s">
        <v>182</v>
      </c>
      <c r="BE1710" t="s">
        <v>5985</v>
      </c>
      <c r="BF1710">
        <v>0</v>
      </c>
      <c r="BG1710">
        <v>0</v>
      </c>
      <c r="BH1710">
        <v>0</v>
      </c>
      <c r="BI1710" t="s">
        <v>199</v>
      </c>
      <c r="BJ1710" t="s">
        <v>248</v>
      </c>
      <c r="BL1710" t="s">
        <v>21242</v>
      </c>
      <c r="BM1710" t="s">
        <v>232</v>
      </c>
      <c r="BN1710" t="s">
        <v>182</v>
      </c>
      <c r="BO1710" t="s">
        <v>198</v>
      </c>
      <c r="BP1710" t="s">
        <v>198</v>
      </c>
      <c r="BQ1710" t="s">
        <v>198</v>
      </c>
      <c r="BR1710" t="s">
        <v>198</v>
      </c>
      <c r="BS1710" t="s">
        <v>198</v>
      </c>
      <c r="BT1710" t="s">
        <v>198</v>
      </c>
      <c r="BU1710" t="s">
        <v>182</v>
      </c>
      <c r="BV1710" t="s">
        <v>198</v>
      </c>
      <c r="BW1710" t="s">
        <v>198</v>
      </c>
      <c r="BX1710" t="s">
        <v>199</v>
      </c>
      <c r="BY1710" t="s">
        <v>198</v>
      </c>
      <c r="BZ1710" t="s">
        <v>199</v>
      </c>
      <c r="CA1710" t="s">
        <v>199</v>
      </c>
      <c r="CB1710" t="s">
        <v>21234</v>
      </c>
      <c r="CC1710" t="s">
        <v>201</v>
      </c>
      <c r="CD1710" t="s">
        <v>202</v>
      </c>
      <c r="CE1710" t="s">
        <v>21235</v>
      </c>
      <c r="CF1710" t="s">
        <v>413</v>
      </c>
      <c r="CG1710" t="s">
        <v>177</v>
      </c>
      <c r="CH1710" t="s">
        <v>1579</v>
      </c>
      <c r="CI1710" t="s">
        <v>2796</v>
      </c>
      <c r="CS1710" t="s">
        <v>198</v>
      </c>
      <c r="DC1710" t="s">
        <v>198</v>
      </c>
      <c r="DM1710" t="s">
        <v>198</v>
      </c>
      <c r="DW1710" t="s">
        <v>198</v>
      </c>
      <c r="EG1710" t="s">
        <v>198</v>
      </c>
      <c r="EQ1710" t="s">
        <v>198</v>
      </c>
      <c r="FA1710" t="s">
        <v>198</v>
      </c>
      <c r="FK1710" t="s">
        <v>198</v>
      </c>
      <c r="FU1710" t="s">
        <v>198</v>
      </c>
    </row>
    <row r="1711" spans="1:177">
      <c r="A1711" s="1" t="str">
        <f>HYPERLINK("http://digipan.lumentumllc.com/apps/getLink/index.php?t=PropLink&amp;p=15751782","PL")</f>
        <v>PL</v>
      </c>
      <c r="B1711" s="1" t="str">
        <f>HYPERLINK("http://digipan.lumentumllc.com/apps/getLink/index.php?t=TaxLink&amp;p=15751782","TL")</f>
        <v>TL</v>
      </c>
      <c r="C1711" s="1" t="str">
        <f>HYPERLINK("http://digipan.lumentumllc.com/apps/getMap/index.php?p=15751782","Map")</f>
        <v>Map</v>
      </c>
      <c r="E1711" t="s">
        <v>177</v>
      </c>
      <c r="F1711" t="s">
        <v>178</v>
      </c>
      <c r="L1711" t="s">
        <v>21243</v>
      </c>
      <c r="N1711" t="s">
        <v>21243</v>
      </c>
      <c r="O1711" t="s">
        <v>21243</v>
      </c>
      <c r="Q1711" t="s">
        <v>21243</v>
      </c>
      <c r="V1711">
        <v>1957</v>
      </c>
      <c r="W1711">
        <v>6</v>
      </c>
      <c r="X1711">
        <v>2017</v>
      </c>
      <c r="Y1711">
        <v>2018</v>
      </c>
      <c r="Z1711">
        <v>1282.19</v>
      </c>
      <c r="AB1711" t="s">
        <v>181</v>
      </c>
      <c r="AC1711" t="s">
        <v>182</v>
      </c>
      <c r="AD1711" t="s">
        <v>183</v>
      </c>
      <c r="AE1711">
        <v>1</v>
      </c>
      <c r="AF1711">
        <v>0</v>
      </c>
      <c r="AG1711" t="s">
        <v>1200</v>
      </c>
      <c r="AH1711">
        <v>0</v>
      </c>
      <c r="AI1711">
        <v>212.39</v>
      </c>
      <c r="AJ1711">
        <v>21.24</v>
      </c>
      <c r="AK1711">
        <v>233.63</v>
      </c>
      <c r="AL1711">
        <v>58000</v>
      </c>
      <c r="AM1711">
        <v>58000</v>
      </c>
      <c r="AN1711">
        <v>0</v>
      </c>
      <c r="AO1711">
        <v>171</v>
      </c>
      <c r="AP1711">
        <v>2016</v>
      </c>
      <c r="AQ1711">
        <v>2.21</v>
      </c>
      <c r="AR1711">
        <v>0.4</v>
      </c>
      <c r="AS1711" t="s">
        <v>21244</v>
      </c>
      <c r="AT1711" t="s">
        <v>15040</v>
      </c>
      <c r="AU1711" t="s">
        <v>177</v>
      </c>
      <c r="AV1711" t="s">
        <v>371</v>
      </c>
      <c r="AW1711" t="s">
        <v>182</v>
      </c>
      <c r="AX1711">
        <v>0</v>
      </c>
      <c r="AY1711" t="s">
        <v>312</v>
      </c>
      <c r="AZ1711" t="s">
        <v>199</v>
      </c>
      <c r="BA1711" t="s">
        <v>313</v>
      </c>
      <c r="BB1711" t="s">
        <v>191</v>
      </c>
      <c r="BC1711" t="s">
        <v>182</v>
      </c>
      <c r="BD1711" t="s">
        <v>182</v>
      </c>
      <c r="BE1711" t="s">
        <v>5985</v>
      </c>
      <c r="BF1711">
        <v>0</v>
      </c>
      <c r="BG1711">
        <v>0</v>
      </c>
      <c r="BH1711">
        <v>0</v>
      </c>
      <c r="BI1711" t="s">
        <v>199</v>
      </c>
      <c r="BJ1711" t="s">
        <v>248</v>
      </c>
      <c r="BL1711" t="s">
        <v>199</v>
      </c>
      <c r="BN1711" t="s">
        <v>182</v>
      </c>
      <c r="BO1711" t="s">
        <v>198</v>
      </c>
      <c r="BP1711" t="s">
        <v>198</v>
      </c>
      <c r="BQ1711" t="s">
        <v>198</v>
      </c>
      <c r="BR1711" t="s">
        <v>198</v>
      </c>
      <c r="BS1711" t="s">
        <v>198</v>
      </c>
      <c r="BT1711" t="s">
        <v>198</v>
      </c>
      <c r="BU1711" t="s">
        <v>182</v>
      </c>
      <c r="BV1711" t="s">
        <v>198</v>
      </c>
      <c r="BW1711" t="s">
        <v>198</v>
      </c>
      <c r="BX1711" t="s">
        <v>199</v>
      </c>
      <c r="BY1711" t="s">
        <v>198</v>
      </c>
      <c r="BZ1711" t="s">
        <v>199</v>
      </c>
      <c r="CA1711" t="s">
        <v>199</v>
      </c>
      <c r="CB1711" t="s">
        <v>21224</v>
      </c>
      <c r="CC1711" t="s">
        <v>201</v>
      </c>
      <c r="CD1711" t="s">
        <v>182</v>
      </c>
      <c r="CE1711" t="s">
        <v>21225</v>
      </c>
      <c r="CF1711" t="s">
        <v>5331</v>
      </c>
      <c r="CG1711" t="s">
        <v>177</v>
      </c>
      <c r="CH1711" t="s">
        <v>5332</v>
      </c>
      <c r="CI1711" t="s">
        <v>9938</v>
      </c>
      <c r="CJ1711" t="s">
        <v>21245</v>
      </c>
      <c r="CK1711" t="s">
        <v>232</v>
      </c>
      <c r="CL1711" t="s">
        <v>233</v>
      </c>
      <c r="CM1711" t="s">
        <v>21226</v>
      </c>
      <c r="CN1711" t="s">
        <v>576</v>
      </c>
      <c r="CO1711" t="s">
        <v>183</v>
      </c>
      <c r="CP1711" t="s">
        <v>266</v>
      </c>
      <c r="CS1711" t="s">
        <v>198</v>
      </c>
      <c r="DC1711" t="s">
        <v>198</v>
      </c>
      <c r="DM1711" t="s">
        <v>198</v>
      </c>
      <c r="DW1711" t="s">
        <v>198</v>
      </c>
      <c r="EG1711" t="s">
        <v>198</v>
      </c>
      <c r="EQ1711" t="s">
        <v>198</v>
      </c>
      <c r="FA1711" t="s">
        <v>198</v>
      </c>
      <c r="FK1711" t="s">
        <v>198</v>
      </c>
      <c r="FU1711" t="s">
        <v>198</v>
      </c>
    </row>
    <row r="1712" spans="1:177">
      <c r="A1712" s="1" t="str">
        <f>HYPERLINK("http://digipan.lumentumllc.com/apps/getLink/index.php?t=PropLink&amp;p=15756464","PL")</f>
        <v>PL</v>
      </c>
      <c r="B1712" s="1" t="str">
        <f>HYPERLINK("http://digipan.lumentumllc.com/apps/getLink/index.php?t=TaxLink&amp;p=15756464","TL")</f>
        <v>TL</v>
      </c>
      <c r="C1712" s="1" t="str">
        <f>HYPERLINK("http://digipan.lumentumllc.com/apps/getMap/index.php?p=15756464","Map")</f>
        <v>Map</v>
      </c>
      <c r="E1712" t="s">
        <v>177</v>
      </c>
      <c r="F1712" t="s">
        <v>178</v>
      </c>
      <c r="L1712" t="s">
        <v>21246</v>
      </c>
      <c r="N1712" t="s">
        <v>21246</v>
      </c>
      <c r="O1712" t="s">
        <v>21246</v>
      </c>
      <c r="Q1712" t="s">
        <v>21246</v>
      </c>
      <c r="V1712">
        <v>1958</v>
      </c>
      <c r="W1712">
        <v>6</v>
      </c>
      <c r="X1712">
        <v>2017</v>
      </c>
      <c r="Y1712">
        <v>2018</v>
      </c>
      <c r="Z1712">
        <v>2982.44</v>
      </c>
      <c r="AG1712" t="s">
        <v>184</v>
      </c>
      <c r="AH1712">
        <v>0</v>
      </c>
      <c r="AK1712">
        <v>0</v>
      </c>
      <c r="AL1712">
        <v>124000</v>
      </c>
      <c r="AM1712">
        <v>30000</v>
      </c>
      <c r="AN1712">
        <v>94000</v>
      </c>
      <c r="AO1712">
        <v>2716</v>
      </c>
      <c r="AP1712">
        <v>2016</v>
      </c>
      <c r="AQ1712">
        <v>2.41</v>
      </c>
      <c r="AS1712" t="s">
        <v>21247</v>
      </c>
      <c r="AT1712" t="s">
        <v>3210</v>
      </c>
      <c r="AU1712" t="s">
        <v>177</v>
      </c>
      <c r="AV1712" t="s">
        <v>2334</v>
      </c>
      <c r="AW1712" t="s">
        <v>182</v>
      </c>
      <c r="AX1712">
        <v>1</v>
      </c>
      <c r="AY1712" t="s">
        <v>188</v>
      </c>
      <c r="AZ1712" t="s">
        <v>206</v>
      </c>
      <c r="BA1712" t="s">
        <v>355</v>
      </c>
      <c r="BB1712" t="s">
        <v>191</v>
      </c>
      <c r="BC1712" t="s">
        <v>182</v>
      </c>
      <c r="BD1712" t="s">
        <v>182</v>
      </c>
      <c r="BE1712" t="s">
        <v>3861</v>
      </c>
      <c r="BF1712">
        <v>1</v>
      </c>
      <c r="BG1712">
        <v>1</v>
      </c>
      <c r="BH1712">
        <v>2006</v>
      </c>
      <c r="BI1712" t="s">
        <v>19377</v>
      </c>
      <c r="BJ1712" t="s">
        <v>194</v>
      </c>
      <c r="BK1712" t="s">
        <v>195</v>
      </c>
      <c r="BL1712" t="s">
        <v>1597</v>
      </c>
      <c r="BM1712" t="s">
        <v>197</v>
      </c>
      <c r="BN1712" t="s">
        <v>182</v>
      </c>
      <c r="BO1712" t="s">
        <v>10061</v>
      </c>
      <c r="BP1712" t="s">
        <v>21248</v>
      </c>
      <c r="BQ1712" t="s">
        <v>1520</v>
      </c>
      <c r="BR1712" t="s">
        <v>4682</v>
      </c>
      <c r="BS1712" t="s">
        <v>198</v>
      </c>
      <c r="BT1712" t="s">
        <v>7436</v>
      </c>
      <c r="BU1712" t="s">
        <v>182</v>
      </c>
      <c r="BV1712" t="s">
        <v>198</v>
      </c>
      <c r="BW1712" t="s">
        <v>198</v>
      </c>
      <c r="BX1712" t="s">
        <v>199</v>
      </c>
      <c r="BY1712" t="s">
        <v>198</v>
      </c>
      <c r="BZ1712" t="s">
        <v>199</v>
      </c>
      <c r="CA1712" t="s">
        <v>199</v>
      </c>
      <c r="CB1712" t="s">
        <v>21249</v>
      </c>
      <c r="CC1712" t="s">
        <v>201</v>
      </c>
      <c r="CD1712" t="s">
        <v>202</v>
      </c>
      <c r="CE1712" t="s">
        <v>21250</v>
      </c>
      <c r="CF1712" t="s">
        <v>21251</v>
      </c>
      <c r="CG1712" t="s">
        <v>3911</v>
      </c>
      <c r="CH1712" t="s">
        <v>21252</v>
      </c>
      <c r="CI1712" t="s">
        <v>21253</v>
      </c>
      <c r="CS1712" t="s">
        <v>198</v>
      </c>
      <c r="DC1712" t="s">
        <v>198</v>
      </c>
      <c r="DM1712" t="s">
        <v>198</v>
      </c>
      <c r="DW1712" t="s">
        <v>198</v>
      </c>
      <c r="EG1712" t="s">
        <v>198</v>
      </c>
      <c r="EQ1712" t="s">
        <v>198</v>
      </c>
      <c r="FA1712" t="s">
        <v>198</v>
      </c>
      <c r="FK1712" t="s">
        <v>198</v>
      </c>
      <c r="FU1712" t="s">
        <v>198</v>
      </c>
    </row>
    <row r="1713" spans="1:177">
      <c r="A1713" s="1" t="str">
        <f>HYPERLINK("http://digipan.lumentumllc.com/apps/getLink/index.php?t=PropLink&amp;p=6129341","PL")</f>
        <v>PL</v>
      </c>
      <c r="B1713" s="1" t="str">
        <f>HYPERLINK("http://digipan.lumentumllc.com/apps/getLink/index.php?t=TaxLink&amp;p=6129341","TL")</f>
        <v>TL</v>
      </c>
      <c r="C1713" s="1" t="str">
        <f>HYPERLINK("http://digipan.lumentumllc.com/apps/getMap/index.php?p=6129341","Map")</f>
        <v>Map</v>
      </c>
      <c r="E1713" t="s">
        <v>177</v>
      </c>
      <c r="F1713" t="s">
        <v>178</v>
      </c>
      <c r="L1713" t="s">
        <v>21254</v>
      </c>
      <c r="N1713" t="s">
        <v>21254</v>
      </c>
      <c r="O1713" t="s">
        <v>21254</v>
      </c>
      <c r="P1713" t="s">
        <v>21255</v>
      </c>
      <c r="Q1713" t="s">
        <v>21254</v>
      </c>
      <c r="V1713">
        <v>1959</v>
      </c>
      <c r="W1713">
        <v>6</v>
      </c>
      <c r="X1713">
        <v>2017</v>
      </c>
      <c r="Y1713">
        <v>2018</v>
      </c>
      <c r="Z1713">
        <v>2708.01</v>
      </c>
      <c r="AB1713" t="s">
        <v>181</v>
      </c>
      <c r="AC1713" t="s">
        <v>182</v>
      </c>
      <c r="AD1713" t="s">
        <v>183</v>
      </c>
      <c r="AE1713">
        <v>0</v>
      </c>
      <c r="AF1713">
        <v>4</v>
      </c>
      <c r="AG1713" t="s">
        <v>744</v>
      </c>
      <c r="AH1713">
        <v>100</v>
      </c>
      <c r="AK1713">
        <v>0</v>
      </c>
      <c r="AL1713">
        <v>136786</v>
      </c>
      <c r="AM1713">
        <v>30000</v>
      </c>
      <c r="AN1713">
        <v>106786</v>
      </c>
      <c r="AO1713">
        <v>2408</v>
      </c>
      <c r="AP1713">
        <v>2016</v>
      </c>
      <c r="AQ1713">
        <v>1.98</v>
      </c>
      <c r="AS1713" t="s">
        <v>21256</v>
      </c>
      <c r="AT1713" t="s">
        <v>3210</v>
      </c>
      <c r="AU1713" t="s">
        <v>177</v>
      </c>
      <c r="AV1713" t="s">
        <v>2334</v>
      </c>
      <c r="AW1713" t="s">
        <v>182</v>
      </c>
      <c r="AX1713">
        <v>1</v>
      </c>
      <c r="AY1713" t="s">
        <v>188</v>
      </c>
      <c r="AZ1713" t="s">
        <v>206</v>
      </c>
      <c r="BA1713" t="s">
        <v>355</v>
      </c>
      <c r="BB1713" t="s">
        <v>191</v>
      </c>
      <c r="BC1713" t="s">
        <v>182</v>
      </c>
      <c r="BD1713" t="s">
        <v>182</v>
      </c>
      <c r="BE1713" t="s">
        <v>12936</v>
      </c>
      <c r="BF1713">
        <v>1</v>
      </c>
      <c r="BG1713">
        <v>1</v>
      </c>
      <c r="BH1713">
        <v>2014</v>
      </c>
      <c r="BI1713" t="s">
        <v>13853</v>
      </c>
      <c r="BJ1713" t="s">
        <v>194</v>
      </c>
      <c r="BK1713" t="s">
        <v>195</v>
      </c>
      <c r="BL1713" t="s">
        <v>21257</v>
      </c>
      <c r="BM1713" t="s">
        <v>267</v>
      </c>
      <c r="BN1713" t="s">
        <v>182</v>
      </c>
      <c r="BO1713" t="s">
        <v>198</v>
      </c>
      <c r="BP1713" t="s">
        <v>198</v>
      </c>
      <c r="BQ1713" t="s">
        <v>198</v>
      </c>
      <c r="BR1713" t="s">
        <v>198</v>
      </c>
      <c r="BS1713" t="s">
        <v>198</v>
      </c>
      <c r="BT1713" t="s">
        <v>198</v>
      </c>
      <c r="BU1713" t="s">
        <v>202</v>
      </c>
      <c r="BV1713" t="s">
        <v>21258</v>
      </c>
      <c r="BW1713" t="s">
        <v>21259</v>
      </c>
      <c r="BX1713" t="s">
        <v>21260</v>
      </c>
      <c r="BY1713" t="s">
        <v>21261</v>
      </c>
      <c r="BZ1713" t="s">
        <v>199</v>
      </c>
      <c r="CA1713" t="s">
        <v>199</v>
      </c>
      <c r="CB1713" t="s">
        <v>21262</v>
      </c>
      <c r="CC1713" t="s">
        <v>201</v>
      </c>
      <c r="CD1713" t="s">
        <v>182</v>
      </c>
      <c r="CE1713" t="s">
        <v>21263</v>
      </c>
      <c r="CF1713" t="s">
        <v>2333</v>
      </c>
      <c r="CG1713" t="s">
        <v>177</v>
      </c>
      <c r="CH1713" t="s">
        <v>2334</v>
      </c>
      <c r="CI1713" t="s">
        <v>21264</v>
      </c>
      <c r="CJ1713" t="s">
        <v>4745</v>
      </c>
      <c r="CK1713" t="s">
        <v>232</v>
      </c>
      <c r="CL1713" t="s">
        <v>233</v>
      </c>
      <c r="CM1713" t="s">
        <v>21265</v>
      </c>
      <c r="CN1713" t="s">
        <v>235</v>
      </c>
      <c r="CO1713" t="s">
        <v>183</v>
      </c>
      <c r="CP1713" t="s">
        <v>211</v>
      </c>
      <c r="CQ1713" t="s">
        <v>329</v>
      </c>
      <c r="CS1713" t="s">
        <v>457</v>
      </c>
      <c r="CT1713" t="s">
        <v>5424</v>
      </c>
      <c r="CU1713" t="s">
        <v>292</v>
      </c>
      <c r="CV1713" t="s">
        <v>293</v>
      </c>
      <c r="CW1713" t="s">
        <v>21266</v>
      </c>
      <c r="CX1713" t="s">
        <v>235</v>
      </c>
      <c r="CY1713" t="s">
        <v>183</v>
      </c>
      <c r="CZ1713" t="s">
        <v>211</v>
      </c>
      <c r="DA1713" t="s">
        <v>298</v>
      </c>
      <c r="DC1713" t="s">
        <v>457</v>
      </c>
      <c r="DD1713" t="s">
        <v>1041</v>
      </c>
      <c r="DE1713" t="s">
        <v>302</v>
      </c>
      <c r="DF1713" t="s">
        <v>303</v>
      </c>
      <c r="DG1713" t="s">
        <v>21267</v>
      </c>
      <c r="DH1713" t="s">
        <v>331</v>
      </c>
      <c r="DI1713" t="s">
        <v>183</v>
      </c>
      <c r="DJ1713" t="s">
        <v>211</v>
      </c>
      <c r="DK1713" t="s">
        <v>206</v>
      </c>
      <c r="DM1713" t="s">
        <v>12765</v>
      </c>
      <c r="DN1713" t="s">
        <v>21268</v>
      </c>
      <c r="DO1713" t="s">
        <v>238</v>
      </c>
      <c r="DP1713" t="s">
        <v>239</v>
      </c>
      <c r="DQ1713" t="s">
        <v>21269</v>
      </c>
      <c r="DR1713" t="s">
        <v>278</v>
      </c>
      <c r="DS1713" t="s">
        <v>183</v>
      </c>
      <c r="DT1713" t="s">
        <v>211</v>
      </c>
      <c r="DU1713" t="s">
        <v>306</v>
      </c>
      <c r="DW1713" t="s">
        <v>12765</v>
      </c>
      <c r="EG1713" t="s">
        <v>198</v>
      </c>
      <c r="EQ1713" t="s">
        <v>198</v>
      </c>
      <c r="FA1713" t="s">
        <v>198</v>
      </c>
      <c r="FK1713" t="s">
        <v>198</v>
      </c>
      <c r="FU1713" t="s">
        <v>198</v>
      </c>
    </row>
    <row r="1714" spans="1:177">
      <c r="A1714" s="1" t="str">
        <f>HYPERLINK("http://digipan.lumentumllc.com/apps/getLink/index.php?t=PropLink&amp;p=7112545","PL")</f>
        <v>PL</v>
      </c>
      <c r="B1714" s="1" t="str">
        <f>HYPERLINK("http://digipan.lumentumllc.com/apps/getLink/index.php?t=TaxLink&amp;p=7112545","TL")</f>
        <v>TL</v>
      </c>
      <c r="C1714" s="1" t="str">
        <f>HYPERLINK("http://digipan.lumentumllc.com/apps/getMap/index.php?p=7112545","Map")</f>
        <v>Map</v>
      </c>
      <c r="E1714" t="s">
        <v>177</v>
      </c>
      <c r="F1714" t="s">
        <v>178</v>
      </c>
      <c r="L1714" t="s">
        <v>21270</v>
      </c>
      <c r="N1714" t="s">
        <v>21270</v>
      </c>
      <c r="O1714" t="s">
        <v>21270</v>
      </c>
      <c r="P1714" t="s">
        <v>21271</v>
      </c>
      <c r="Q1714" t="s">
        <v>21270</v>
      </c>
      <c r="V1714">
        <v>1960</v>
      </c>
      <c r="W1714">
        <v>6</v>
      </c>
      <c r="X1714">
        <v>2017</v>
      </c>
      <c r="Y1714">
        <v>2018</v>
      </c>
      <c r="Z1714">
        <v>1420.31</v>
      </c>
      <c r="AB1714" t="s">
        <v>181</v>
      </c>
      <c r="AC1714" t="s">
        <v>182</v>
      </c>
      <c r="AD1714" t="s">
        <v>183</v>
      </c>
      <c r="AE1714">
        <v>0</v>
      </c>
      <c r="AF1714">
        <v>1</v>
      </c>
      <c r="AG1714" t="s">
        <v>821</v>
      </c>
      <c r="AH1714">
        <v>100</v>
      </c>
      <c r="AK1714">
        <v>0</v>
      </c>
      <c r="AL1714">
        <v>30000</v>
      </c>
      <c r="AM1714">
        <v>30000</v>
      </c>
      <c r="AN1714">
        <v>0</v>
      </c>
      <c r="AO1714">
        <v>1266</v>
      </c>
      <c r="AP1714">
        <v>2016</v>
      </c>
      <c r="AQ1714">
        <v>4.7300000000000004</v>
      </c>
      <c r="AS1714" t="s">
        <v>21272</v>
      </c>
      <c r="AT1714" t="s">
        <v>3210</v>
      </c>
      <c r="AU1714" t="s">
        <v>177</v>
      </c>
      <c r="AV1714" t="s">
        <v>2334</v>
      </c>
      <c r="AW1714" t="s">
        <v>182</v>
      </c>
      <c r="AX1714">
        <v>0</v>
      </c>
      <c r="AY1714" t="s">
        <v>312</v>
      </c>
      <c r="AZ1714" t="s">
        <v>199</v>
      </c>
      <c r="BA1714" t="s">
        <v>313</v>
      </c>
      <c r="BB1714" t="s">
        <v>191</v>
      </c>
      <c r="BC1714" t="s">
        <v>182</v>
      </c>
      <c r="BD1714" t="s">
        <v>182</v>
      </c>
      <c r="BE1714" t="s">
        <v>12936</v>
      </c>
      <c r="BF1714">
        <v>0</v>
      </c>
      <c r="BG1714">
        <v>0</v>
      </c>
      <c r="BH1714">
        <v>0</v>
      </c>
      <c r="BI1714" t="s">
        <v>199</v>
      </c>
      <c r="BJ1714" t="s">
        <v>248</v>
      </c>
      <c r="BL1714" t="s">
        <v>20112</v>
      </c>
      <c r="BM1714" t="s">
        <v>292</v>
      </c>
      <c r="BN1714" t="s">
        <v>182</v>
      </c>
      <c r="BO1714" t="s">
        <v>198</v>
      </c>
      <c r="BP1714" t="s">
        <v>198</v>
      </c>
      <c r="BQ1714" t="s">
        <v>198</v>
      </c>
      <c r="BR1714" t="s">
        <v>198</v>
      </c>
      <c r="BS1714" t="s">
        <v>198</v>
      </c>
      <c r="BT1714" t="s">
        <v>198</v>
      </c>
      <c r="BU1714" t="s">
        <v>182</v>
      </c>
      <c r="BV1714" t="s">
        <v>198</v>
      </c>
      <c r="BW1714" t="s">
        <v>198</v>
      </c>
      <c r="BX1714" t="s">
        <v>199</v>
      </c>
      <c r="BY1714" t="s">
        <v>198</v>
      </c>
      <c r="BZ1714" t="s">
        <v>199</v>
      </c>
      <c r="CA1714" t="s">
        <v>199</v>
      </c>
      <c r="CB1714" t="s">
        <v>20218</v>
      </c>
      <c r="CC1714" t="s">
        <v>201</v>
      </c>
      <c r="CD1714" t="s">
        <v>182</v>
      </c>
      <c r="CE1714" t="s">
        <v>20219</v>
      </c>
      <c r="CF1714" t="s">
        <v>5331</v>
      </c>
      <c r="CG1714" t="s">
        <v>177</v>
      </c>
      <c r="CH1714" t="s">
        <v>371</v>
      </c>
      <c r="CI1714" t="s">
        <v>21273</v>
      </c>
      <c r="CJ1714" t="s">
        <v>20602</v>
      </c>
      <c r="CK1714" t="s">
        <v>292</v>
      </c>
      <c r="CL1714" t="s">
        <v>293</v>
      </c>
      <c r="CM1714" t="s">
        <v>21274</v>
      </c>
      <c r="CN1714" t="s">
        <v>331</v>
      </c>
      <c r="CO1714" t="s">
        <v>183</v>
      </c>
      <c r="CP1714" t="s">
        <v>211</v>
      </c>
      <c r="CQ1714" t="s">
        <v>212</v>
      </c>
      <c r="CS1714" t="s">
        <v>8556</v>
      </c>
      <c r="DC1714" t="s">
        <v>198</v>
      </c>
      <c r="DM1714" t="s">
        <v>198</v>
      </c>
      <c r="DW1714" t="s">
        <v>198</v>
      </c>
      <c r="EG1714" t="s">
        <v>198</v>
      </c>
      <c r="EQ1714" t="s">
        <v>198</v>
      </c>
      <c r="FA1714" t="s">
        <v>198</v>
      </c>
      <c r="FK1714" t="s">
        <v>198</v>
      </c>
      <c r="FU1714" t="s">
        <v>198</v>
      </c>
    </row>
    <row r="1715" spans="1:177">
      <c r="A1715" s="1" t="str">
        <f>HYPERLINK("http://digipan.lumentumllc.com/apps/getLink/index.php?t=PropLink&amp;p=7112546","PL")</f>
        <v>PL</v>
      </c>
      <c r="B1715" s="1" t="str">
        <f>HYPERLINK("http://digipan.lumentumllc.com/apps/getLink/index.php?t=TaxLink&amp;p=7112546","TL")</f>
        <v>TL</v>
      </c>
      <c r="C1715" s="1" t="str">
        <f>HYPERLINK("http://digipan.lumentumllc.com/apps/getMap/index.php?p=7112546","Map")</f>
        <v>Map</v>
      </c>
      <c r="E1715" t="s">
        <v>177</v>
      </c>
      <c r="F1715" t="s">
        <v>178</v>
      </c>
      <c r="L1715" t="s">
        <v>21275</v>
      </c>
      <c r="N1715" t="s">
        <v>21275</v>
      </c>
      <c r="O1715" t="s">
        <v>21275</v>
      </c>
      <c r="P1715" t="s">
        <v>21276</v>
      </c>
      <c r="Q1715" t="s">
        <v>21275</v>
      </c>
      <c r="V1715">
        <v>1961</v>
      </c>
      <c r="W1715">
        <v>6</v>
      </c>
      <c r="X1715">
        <v>2017</v>
      </c>
      <c r="Y1715">
        <v>2018</v>
      </c>
      <c r="Z1715">
        <v>1420.31</v>
      </c>
      <c r="AB1715" t="s">
        <v>181</v>
      </c>
      <c r="AC1715" t="s">
        <v>182</v>
      </c>
      <c r="AD1715" t="s">
        <v>183</v>
      </c>
      <c r="AE1715">
        <v>0</v>
      </c>
      <c r="AF1715">
        <v>1</v>
      </c>
      <c r="AG1715" t="s">
        <v>821</v>
      </c>
      <c r="AH1715">
        <v>100</v>
      </c>
      <c r="AK1715">
        <v>0</v>
      </c>
      <c r="AL1715">
        <v>30000</v>
      </c>
      <c r="AM1715">
        <v>30000</v>
      </c>
      <c r="AN1715">
        <v>0</v>
      </c>
      <c r="AO1715">
        <v>1266</v>
      </c>
      <c r="AP1715">
        <v>2016</v>
      </c>
      <c r="AQ1715">
        <v>4.7300000000000004</v>
      </c>
      <c r="AS1715" t="s">
        <v>21277</v>
      </c>
      <c r="AT1715" t="s">
        <v>3210</v>
      </c>
      <c r="AU1715" t="s">
        <v>177</v>
      </c>
      <c r="AV1715" t="s">
        <v>2334</v>
      </c>
      <c r="AW1715" t="s">
        <v>182</v>
      </c>
      <c r="AX1715">
        <v>0</v>
      </c>
      <c r="AY1715" t="s">
        <v>312</v>
      </c>
      <c r="AZ1715" t="s">
        <v>199</v>
      </c>
      <c r="BA1715" t="s">
        <v>313</v>
      </c>
      <c r="BB1715" t="s">
        <v>191</v>
      </c>
      <c r="BC1715" t="s">
        <v>182</v>
      </c>
      <c r="BD1715" t="s">
        <v>182</v>
      </c>
      <c r="BE1715" t="s">
        <v>12936</v>
      </c>
      <c r="BF1715">
        <v>0</v>
      </c>
      <c r="BG1715">
        <v>0</v>
      </c>
      <c r="BH1715">
        <v>0</v>
      </c>
      <c r="BI1715" t="s">
        <v>199</v>
      </c>
      <c r="BJ1715" t="s">
        <v>248</v>
      </c>
      <c r="BL1715" t="s">
        <v>20112</v>
      </c>
      <c r="BM1715" t="s">
        <v>292</v>
      </c>
      <c r="BN1715" t="s">
        <v>182</v>
      </c>
      <c r="BO1715" t="s">
        <v>198</v>
      </c>
      <c r="BP1715" t="s">
        <v>198</v>
      </c>
      <c r="BQ1715" t="s">
        <v>198</v>
      </c>
      <c r="BR1715" t="s">
        <v>198</v>
      </c>
      <c r="BS1715" t="s">
        <v>198</v>
      </c>
      <c r="BT1715" t="s">
        <v>198</v>
      </c>
      <c r="BU1715" t="s">
        <v>182</v>
      </c>
      <c r="BV1715" t="s">
        <v>198</v>
      </c>
      <c r="BW1715" t="s">
        <v>198</v>
      </c>
      <c r="BX1715" t="s">
        <v>199</v>
      </c>
      <c r="BY1715" t="s">
        <v>198</v>
      </c>
      <c r="BZ1715" t="s">
        <v>199</v>
      </c>
      <c r="CA1715" t="s">
        <v>199</v>
      </c>
      <c r="CB1715" t="s">
        <v>20218</v>
      </c>
      <c r="CC1715" t="s">
        <v>201</v>
      </c>
      <c r="CD1715" t="s">
        <v>182</v>
      </c>
      <c r="CE1715" t="s">
        <v>20219</v>
      </c>
      <c r="CF1715" t="s">
        <v>5331</v>
      </c>
      <c r="CG1715" t="s">
        <v>177</v>
      </c>
      <c r="CH1715" t="s">
        <v>371</v>
      </c>
      <c r="CI1715" t="s">
        <v>21278</v>
      </c>
      <c r="CJ1715" t="s">
        <v>3278</v>
      </c>
      <c r="CK1715" t="s">
        <v>292</v>
      </c>
      <c r="CL1715" t="s">
        <v>293</v>
      </c>
      <c r="CM1715" t="s">
        <v>21274</v>
      </c>
      <c r="CN1715" t="s">
        <v>331</v>
      </c>
      <c r="CO1715" t="s">
        <v>183</v>
      </c>
      <c r="CP1715" t="s">
        <v>211</v>
      </c>
      <c r="CQ1715" t="s">
        <v>212</v>
      </c>
      <c r="CS1715" t="s">
        <v>8556</v>
      </c>
      <c r="DC1715" t="s">
        <v>198</v>
      </c>
      <c r="DM1715" t="s">
        <v>198</v>
      </c>
      <c r="DW1715" t="s">
        <v>198</v>
      </c>
      <c r="EG1715" t="s">
        <v>198</v>
      </c>
      <c r="EQ1715" t="s">
        <v>198</v>
      </c>
      <c r="FA1715" t="s">
        <v>198</v>
      </c>
      <c r="FK1715" t="s">
        <v>198</v>
      </c>
      <c r="FU1715" t="s">
        <v>198</v>
      </c>
    </row>
    <row r="1716" spans="1:177">
      <c r="A1716" s="1" t="str">
        <f>HYPERLINK("http://digipan.lumentumllc.com/apps/getLink/index.php?t=PropLink&amp;p=7112547","PL")</f>
        <v>PL</v>
      </c>
      <c r="B1716" s="1" t="str">
        <f>HYPERLINK("http://digipan.lumentumllc.com/apps/getLink/index.php?t=TaxLink&amp;p=7112547","TL")</f>
        <v>TL</v>
      </c>
      <c r="C1716" s="1" t="str">
        <f>HYPERLINK("http://digipan.lumentumllc.com/apps/getMap/index.php?p=7112547","Map")</f>
        <v>Map</v>
      </c>
      <c r="E1716" t="s">
        <v>177</v>
      </c>
      <c r="F1716" t="s">
        <v>178</v>
      </c>
      <c r="L1716" t="s">
        <v>21279</v>
      </c>
      <c r="N1716" t="s">
        <v>21279</v>
      </c>
      <c r="O1716" t="s">
        <v>21279</v>
      </c>
      <c r="P1716" t="s">
        <v>21280</v>
      </c>
      <c r="Q1716" t="s">
        <v>21279</v>
      </c>
      <c r="V1716">
        <v>1962</v>
      </c>
      <c r="W1716">
        <v>6</v>
      </c>
      <c r="X1716">
        <v>2017</v>
      </c>
      <c r="Y1716">
        <v>2018</v>
      </c>
      <c r="Z1716">
        <v>1420.31</v>
      </c>
      <c r="AB1716" t="s">
        <v>181</v>
      </c>
      <c r="AC1716" t="s">
        <v>182</v>
      </c>
      <c r="AD1716" t="s">
        <v>183</v>
      </c>
      <c r="AE1716">
        <v>0</v>
      </c>
      <c r="AF1716">
        <v>1</v>
      </c>
      <c r="AG1716" t="s">
        <v>821</v>
      </c>
      <c r="AH1716">
        <v>100</v>
      </c>
      <c r="AK1716">
        <v>0</v>
      </c>
      <c r="AL1716">
        <v>30000</v>
      </c>
      <c r="AM1716">
        <v>30000</v>
      </c>
      <c r="AN1716">
        <v>0</v>
      </c>
      <c r="AO1716">
        <v>1266</v>
      </c>
      <c r="AP1716">
        <v>2016</v>
      </c>
      <c r="AQ1716">
        <v>4.7300000000000004</v>
      </c>
      <c r="AS1716" t="s">
        <v>21281</v>
      </c>
      <c r="AT1716" t="s">
        <v>3210</v>
      </c>
      <c r="AU1716" t="s">
        <v>177</v>
      </c>
      <c r="AV1716" t="s">
        <v>2334</v>
      </c>
      <c r="AW1716" t="s">
        <v>182</v>
      </c>
      <c r="AX1716">
        <v>0</v>
      </c>
      <c r="AY1716" t="s">
        <v>312</v>
      </c>
      <c r="AZ1716" t="s">
        <v>199</v>
      </c>
      <c r="BA1716" t="s">
        <v>313</v>
      </c>
      <c r="BB1716" t="s">
        <v>191</v>
      </c>
      <c r="BC1716" t="s">
        <v>182</v>
      </c>
      <c r="BD1716" t="s">
        <v>182</v>
      </c>
      <c r="BE1716" t="s">
        <v>3861</v>
      </c>
      <c r="BF1716">
        <v>0</v>
      </c>
      <c r="BG1716">
        <v>0</v>
      </c>
      <c r="BH1716">
        <v>0</v>
      </c>
      <c r="BI1716" t="s">
        <v>199</v>
      </c>
      <c r="BJ1716" t="s">
        <v>396</v>
      </c>
      <c r="BL1716" t="s">
        <v>20112</v>
      </c>
      <c r="BM1716" t="s">
        <v>292</v>
      </c>
      <c r="BN1716" t="s">
        <v>182</v>
      </c>
      <c r="BO1716" t="s">
        <v>198</v>
      </c>
      <c r="BP1716" t="s">
        <v>198</v>
      </c>
      <c r="BQ1716" t="s">
        <v>198</v>
      </c>
      <c r="BR1716" t="s">
        <v>198</v>
      </c>
      <c r="BS1716" t="s">
        <v>198</v>
      </c>
      <c r="BT1716" t="s">
        <v>198</v>
      </c>
      <c r="BU1716" t="s">
        <v>182</v>
      </c>
      <c r="BV1716" t="s">
        <v>198</v>
      </c>
      <c r="BW1716" t="s">
        <v>198</v>
      </c>
      <c r="BX1716" t="s">
        <v>199</v>
      </c>
      <c r="BY1716" t="s">
        <v>198</v>
      </c>
      <c r="BZ1716" t="s">
        <v>199</v>
      </c>
      <c r="CA1716" t="s">
        <v>199</v>
      </c>
      <c r="CB1716" t="s">
        <v>20218</v>
      </c>
      <c r="CC1716" t="s">
        <v>201</v>
      </c>
      <c r="CD1716" t="s">
        <v>182</v>
      </c>
      <c r="CE1716" t="s">
        <v>20219</v>
      </c>
      <c r="CF1716" t="s">
        <v>5331</v>
      </c>
      <c r="CG1716" t="s">
        <v>177</v>
      </c>
      <c r="CH1716" t="s">
        <v>371</v>
      </c>
      <c r="CI1716" t="s">
        <v>21282</v>
      </c>
      <c r="CJ1716" t="s">
        <v>3358</v>
      </c>
      <c r="CK1716" t="s">
        <v>292</v>
      </c>
      <c r="CL1716" t="s">
        <v>293</v>
      </c>
      <c r="CM1716" t="s">
        <v>21274</v>
      </c>
      <c r="CN1716" t="s">
        <v>331</v>
      </c>
      <c r="CO1716" t="s">
        <v>183</v>
      </c>
      <c r="CP1716" t="s">
        <v>211</v>
      </c>
      <c r="CQ1716" t="s">
        <v>212</v>
      </c>
      <c r="CS1716" t="s">
        <v>8556</v>
      </c>
      <c r="DC1716" t="s">
        <v>198</v>
      </c>
      <c r="DM1716" t="s">
        <v>198</v>
      </c>
      <c r="DW1716" t="s">
        <v>198</v>
      </c>
      <c r="EG1716" t="s">
        <v>198</v>
      </c>
      <c r="EQ1716" t="s">
        <v>198</v>
      </c>
      <c r="FA1716" t="s">
        <v>198</v>
      </c>
      <c r="FK1716" t="s">
        <v>198</v>
      </c>
      <c r="FU1716" t="s">
        <v>198</v>
      </c>
    </row>
    <row r="1717" spans="1:177">
      <c r="A1717" s="1" t="str">
        <f>HYPERLINK("http://digipan.lumentumllc.com/apps/getLink/index.php?t=PropLink&amp;p=7112551","PL")</f>
        <v>PL</v>
      </c>
      <c r="B1717" s="1" t="str">
        <f>HYPERLINK("http://digipan.lumentumllc.com/apps/getLink/index.php?t=TaxLink&amp;p=7112551","TL")</f>
        <v>TL</v>
      </c>
      <c r="C1717" s="1" t="str">
        <f>HYPERLINK("http://digipan.lumentumllc.com/apps/getMap/index.php?p=7112551","Map")</f>
        <v>Map</v>
      </c>
      <c r="E1717" t="s">
        <v>177</v>
      </c>
      <c r="F1717" t="s">
        <v>178</v>
      </c>
      <c r="L1717" t="s">
        <v>21283</v>
      </c>
      <c r="N1717" t="s">
        <v>21283</v>
      </c>
      <c r="O1717" t="s">
        <v>21283</v>
      </c>
      <c r="P1717" t="s">
        <v>21284</v>
      </c>
      <c r="Q1717" t="s">
        <v>21283</v>
      </c>
      <c r="V1717">
        <v>1963</v>
      </c>
      <c r="W1717">
        <v>6</v>
      </c>
      <c r="X1717">
        <v>2017</v>
      </c>
      <c r="Y1717">
        <v>2018</v>
      </c>
      <c r="Z1717">
        <v>1420.31</v>
      </c>
      <c r="AB1717" t="s">
        <v>181</v>
      </c>
      <c r="AC1717" t="s">
        <v>182</v>
      </c>
      <c r="AD1717" t="s">
        <v>183</v>
      </c>
      <c r="AE1717">
        <v>0</v>
      </c>
      <c r="AF1717">
        <v>1</v>
      </c>
      <c r="AG1717" t="s">
        <v>821</v>
      </c>
      <c r="AH1717">
        <v>100</v>
      </c>
      <c r="AK1717">
        <v>0</v>
      </c>
      <c r="AL1717">
        <v>30000</v>
      </c>
      <c r="AM1717">
        <v>30000</v>
      </c>
      <c r="AN1717">
        <v>0</v>
      </c>
      <c r="AO1717">
        <v>1266</v>
      </c>
      <c r="AP1717">
        <v>2016</v>
      </c>
      <c r="AQ1717">
        <v>4.7300000000000004</v>
      </c>
      <c r="AS1717" t="s">
        <v>21285</v>
      </c>
      <c r="AT1717" t="s">
        <v>3210</v>
      </c>
      <c r="AU1717" t="s">
        <v>177</v>
      </c>
      <c r="AV1717" t="s">
        <v>2334</v>
      </c>
      <c r="AW1717" t="s">
        <v>182</v>
      </c>
      <c r="AX1717">
        <v>0</v>
      </c>
      <c r="AY1717" t="s">
        <v>312</v>
      </c>
      <c r="AZ1717" t="s">
        <v>199</v>
      </c>
      <c r="BA1717" t="s">
        <v>313</v>
      </c>
      <c r="BB1717" t="s">
        <v>191</v>
      </c>
      <c r="BC1717" t="s">
        <v>182</v>
      </c>
      <c r="BD1717" t="s">
        <v>182</v>
      </c>
      <c r="BE1717" t="s">
        <v>13126</v>
      </c>
      <c r="BF1717">
        <v>0</v>
      </c>
      <c r="BG1717">
        <v>0</v>
      </c>
      <c r="BH1717">
        <v>0</v>
      </c>
      <c r="BI1717" t="s">
        <v>199</v>
      </c>
      <c r="BJ1717" t="s">
        <v>194</v>
      </c>
      <c r="BL1717" t="s">
        <v>2050</v>
      </c>
      <c r="BM1717" t="s">
        <v>267</v>
      </c>
      <c r="BN1717" t="s">
        <v>182</v>
      </c>
      <c r="BO1717" t="s">
        <v>198</v>
      </c>
      <c r="BP1717" t="s">
        <v>198</v>
      </c>
      <c r="BQ1717" t="s">
        <v>198</v>
      </c>
      <c r="BR1717" t="s">
        <v>198</v>
      </c>
      <c r="BS1717" t="s">
        <v>198</v>
      </c>
      <c r="BT1717" t="s">
        <v>198</v>
      </c>
      <c r="BU1717" t="s">
        <v>182</v>
      </c>
      <c r="BV1717" t="s">
        <v>198</v>
      </c>
      <c r="BW1717" t="s">
        <v>198</v>
      </c>
      <c r="BX1717" t="s">
        <v>199</v>
      </c>
      <c r="BY1717" t="s">
        <v>198</v>
      </c>
      <c r="BZ1717" t="s">
        <v>199</v>
      </c>
      <c r="CA1717" t="s">
        <v>199</v>
      </c>
      <c r="CB1717" t="s">
        <v>20218</v>
      </c>
      <c r="CC1717" t="s">
        <v>201</v>
      </c>
      <c r="CD1717" t="s">
        <v>182</v>
      </c>
      <c r="CE1717" t="s">
        <v>20219</v>
      </c>
      <c r="CF1717" t="s">
        <v>5331</v>
      </c>
      <c r="CG1717" t="s">
        <v>177</v>
      </c>
      <c r="CH1717" t="s">
        <v>371</v>
      </c>
      <c r="CI1717" t="s">
        <v>21286</v>
      </c>
      <c r="CJ1717" t="s">
        <v>19643</v>
      </c>
      <c r="CK1717" t="s">
        <v>292</v>
      </c>
      <c r="CL1717" t="s">
        <v>293</v>
      </c>
      <c r="CM1717" t="s">
        <v>21274</v>
      </c>
      <c r="CN1717" t="s">
        <v>331</v>
      </c>
      <c r="CO1717" t="s">
        <v>183</v>
      </c>
      <c r="CP1717" t="s">
        <v>211</v>
      </c>
      <c r="CQ1717" t="s">
        <v>212</v>
      </c>
      <c r="CS1717" t="s">
        <v>8556</v>
      </c>
      <c r="DC1717" t="s">
        <v>198</v>
      </c>
      <c r="DM1717" t="s">
        <v>198</v>
      </c>
      <c r="DW1717" t="s">
        <v>198</v>
      </c>
      <c r="EG1717" t="s">
        <v>198</v>
      </c>
      <c r="EQ1717" t="s">
        <v>198</v>
      </c>
      <c r="FA1717" t="s">
        <v>198</v>
      </c>
      <c r="FK1717" t="s">
        <v>198</v>
      </c>
      <c r="FU1717" t="s">
        <v>198</v>
      </c>
    </row>
    <row r="1718" spans="1:177">
      <c r="A1718" s="1" t="str">
        <f>HYPERLINK("http://digipan.lumentumllc.com/apps/getLink/index.php?t=PropLink&amp;p=15756709","PL")</f>
        <v>PL</v>
      </c>
      <c r="B1718" s="1" t="str">
        <f>HYPERLINK("http://digipan.lumentumllc.com/apps/getLink/index.php?t=TaxLink&amp;p=15756709","TL")</f>
        <v>TL</v>
      </c>
      <c r="C1718" s="1" t="str">
        <f>HYPERLINK("http://digipan.lumentumllc.com/apps/getMap/index.php?p=15756709","Map")</f>
        <v>Map</v>
      </c>
      <c r="E1718" t="s">
        <v>177</v>
      </c>
      <c r="F1718" t="s">
        <v>178</v>
      </c>
      <c r="L1718" t="s">
        <v>21287</v>
      </c>
      <c r="N1718" t="s">
        <v>21287</v>
      </c>
      <c r="O1718" t="s">
        <v>21287</v>
      </c>
      <c r="Q1718" t="s">
        <v>21287</v>
      </c>
      <c r="V1718">
        <v>1964</v>
      </c>
      <c r="W1718">
        <v>6</v>
      </c>
      <c r="X1718">
        <v>2017</v>
      </c>
      <c r="Y1718">
        <v>2018</v>
      </c>
      <c r="Z1718">
        <v>1443.4</v>
      </c>
      <c r="AG1718" t="s">
        <v>184</v>
      </c>
      <c r="AH1718">
        <v>0</v>
      </c>
      <c r="AK1718">
        <v>0</v>
      </c>
      <c r="AL1718">
        <v>30000</v>
      </c>
      <c r="AM1718">
        <v>30000</v>
      </c>
      <c r="AN1718">
        <v>0</v>
      </c>
      <c r="AO1718">
        <v>938</v>
      </c>
      <c r="AP1718">
        <v>2016</v>
      </c>
      <c r="AQ1718">
        <v>4.8099999999999996</v>
      </c>
      <c r="AS1718" t="s">
        <v>21288</v>
      </c>
      <c r="AT1718" t="s">
        <v>3210</v>
      </c>
      <c r="AU1718" t="s">
        <v>177</v>
      </c>
      <c r="AV1718" t="s">
        <v>2334</v>
      </c>
      <c r="AW1718" t="s">
        <v>182</v>
      </c>
      <c r="AX1718">
        <v>0</v>
      </c>
      <c r="AY1718" t="s">
        <v>312</v>
      </c>
      <c r="AZ1718" t="s">
        <v>199</v>
      </c>
      <c r="BA1718" t="s">
        <v>313</v>
      </c>
      <c r="BB1718" t="s">
        <v>191</v>
      </c>
      <c r="BC1718" t="s">
        <v>182</v>
      </c>
      <c r="BD1718" t="s">
        <v>182</v>
      </c>
      <c r="BE1718" t="s">
        <v>5975</v>
      </c>
      <c r="BF1718">
        <v>0</v>
      </c>
      <c r="BG1718">
        <v>0</v>
      </c>
      <c r="BH1718">
        <v>0</v>
      </c>
      <c r="BI1718" t="s">
        <v>199</v>
      </c>
      <c r="BJ1718" t="s">
        <v>248</v>
      </c>
      <c r="BL1718" t="s">
        <v>21289</v>
      </c>
      <c r="BM1718" t="s">
        <v>197</v>
      </c>
      <c r="BN1718" t="s">
        <v>182</v>
      </c>
      <c r="BO1718" t="s">
        <v>3012</v>
      </c>
      <c r="BP1718" t="s">
        <v>21290</v>
      </c>
      <c r="BQ1718" t="s">
        <v>800</v>
      </c>
      <c r="BR1718" t="s">
        <v>9589</v>
      </c>
      <c r="BS1718" t="s">
        <v>198</v>
      </c>
      <c r="BT1718" t="s">
        <v>228</v>
      </c>
      <c r="BU1718" t="s">
        <v>182</v>
      </c>
      <c r="BV1718" t="s">
        <v>198</v>
      </c>
      <c r="BW1718" t="s">
        <v>198</v>
      </c>
      <c r="BX1718" t="s">
        <v>199</v>
      </c>
      <c r="BY1718" t="s">
        <v>198</v>
      </c>
      <c r="BZ1718" t="s">
        <v>199</v>
      </c>
      <c r="CA1718" t="s">
        <v>199</v>
      </c>
      <c r="CB1718" t="s">
        <v>20218</v>
      </c>
      <c r="CC1718" t="s">
        <v>201</v>
      </c>
      <c r="CD1718" t="s">
        <v>202</v>
      </c>
      <c r="CE1718" t="s">
        <v>20219</v>
      </c>
      <c r="CF1718" t="s">
        <v>5331</v>
      </c>
      <c r="CG1718" t="s">
        <v>177</v>
      </c>
      <c r="CH1718" t="s">
        <v>371</v>
      </c>
      <c r="CI1718" t="s">
        <v>21291</v>
      </c>
      <c r="CS1718" t="s">
        <v>198</v>
      </c>
      <c r="DC1718" t="s">
        <v>198</v>
      </c>
      <c r="DM1718" t="s">
        <v>198</v>
      </c>
      <c r="DW1718" t="s">
        <v>198</v>
      </c>
      <c r="EG1718" t="s">
        <v>198</v>
      </c>
      <c r="EQ1718" t="s">
        <v>198</v>
      </c>
      <c r="FA1718" t="s">
        <v>198</v>
      </c>
      <c r="FK1718" t="s">
        <v>198</v>
      </c>
      <c r="FU1718" t="s">
        <v>198</v>
      </c>
    </row>
    <row r="1719" spans="1:177">
      <c r="A1719" s="1" t="str">
        <f>HYPERLINK("http://digipan.lumentumllc.com/apps/getLink/index.php?t=PropLink&amp;p=15756716","PL")</f>
        <v>PL</v>
      </c>
      <c r="B1719" s="1" t="str">
        <f>HYPERLINK("http://digipan.lumentumllc.com/apps/getLink/index.php?t=TaxLink&amp;p=15756716","TL")</f>
        <v>TL</v>
      </c>
      <c r="C1719" s="1" t="str">
        <f>HYPERLINK("http://digipan.lumentumllc.com/apps/getMap/index.php?p=15756716","Map")</f>
        <v>Map</v>
      </c>
      <c r="E1719" t="s">
        <v>177</v>
      </c>
      <c r="F1719" t="s">
        <v>178</v>
      </c>
      <c r="L1719" t="s">
        <v>21292</v>
      </c>
      <c r="N1719" t="s">
        <v>21292</v>
      </c>
      <c r="O1719" t="s">
        <v>21292</v>
      </c>
      <c r="Q1719" t="s">
        <v>21292</v>
      </c>
      <c r="V1719">
        <v>1965</v>
      </c>
      <c r="W1719">
        <v>6</v>
      </c>
      <c r="X1719">
        <v>2017</v>
      </c>
      <c r="Y1719">
        <v>2018</v>
      </c>
      <c r="Z1719">
        <v>1443.4</v>
      </c>
      <c r="AB1719" t="s">
        <v>181</v>
      </c>
      <c r="AC1719" t="s">
        <v>182</v>
      </c>
      <c r="AD1719" t="s">
        <v>183</v>
      </c>
      <c r="AE1719">
        <v>0</v>
      </c>
      <c r="AF1719">
        <v>1</v>
      </c>
      <c r="AG1719" t="s">
        <v>821</v>
      </c>
      <c r="AH1719">
        <v>100</v>
      </c>
      <c r="AK1719">
        <v>0</v>
      </c>
      <c r="AL1719">
        <v>30000</v>
      </c>
      <c r="AM1719">
        <v>30000</v>
      </c>
      <c r="AN1719">
        <v>0</v>
      </c>
      <c r="AO1719">
        <v>938</v>
      </c>
      <c r="AP1719">
        <v>2016</v>
      </c>
      <c r="AQ1719">
        <v>4.8099999999999996</v>
      </c>
      <c r="AS1719" t="s">
        <v>21293</v>
      </c>
      <c r="AT1719" t="s">
        <v>3210</v>
      </c>
      <c r="AU1719" t="s">
        <v>177</v>
      </c>
      <c r="AV1719" t="s">
        <v>2334</v>
      </c>
      <c r="AW1719" t="s">
        <v>182</v>
      </c>
      <c r="AX1719">
        <v>0</v>
      </c>
      <c r="AY1719" t="s">
        <v>312</v>
      </c>
      <c r="AZ1719" t="s">
        <v>199</v>
      </c>
      <c r="BA1719" t="s">
        <v>313</v>
      </c>
      <c r="BB1719" t="s">
        <v>191</v>
      </c>
      <c r="BC1719" t="s">
        <v>182</v>
      </c>
      <c r="BD1719" t="s">
        <v>182</v>
      </c>
      <c r="BE1719" t="s">
        <v>6180</v>
      </c>
      <c r="BF1719">
        <v>0</v>
      </c>
      <c r="BG1719">
        <v>0</v>
      </c>
      <c r="BH1719">
        <v>0</v>
      </c>
      <c r="BI1719" t="s">
        <v>199</v>
      </c>
      <c r="BJ1719" t="s">
        <v>248</v>
      </c>
      <c r="BL1719" t="s">
        <v>19518</v>
      </c>
      <c r="BM1719" t="s">
        <v>197</v>
      </c>
      <c r="BN1719" t="s">
        <v>182</v>
      </c>
      <c r="BO1719" t="s">
        <v>3012</v>
      </c>
      <c r="BP1719" t="s">
        <v>21294</v>
      </c>
      <c r="BQ1719" t="s">
        <v>800</v>
      </c>
      <c r="BR1719" t="s">
        <v>4041</v>
      </c>
      <c r="BS1719" t="s">
        <v>198</v>
      </c>
      <c r="BT1719" t="s">
        <v>6312</v>
      </c>
      <c r="BU1719" t="s">
        <v>182</v>
      </c>
      <c r="BV1719" t="s">
        <v>198</v>
      </c>
      <c r="BW1719" t="s">
        <v>198</v>
      </c>
      <c r="BX1719" t="s">
        <v>199</v>
      </c>
      <c r="BY1719" t="s">
        <v>198</v>
      </c>
      <c r="BZ1719" t="s">
        <v>199</v>
      </c>
      <c r="CA1719" t="s">
        <v>199</v>
      </c>
      <c r="CB1719" t="s">
        <v>21295</v>
      </c>
      <c r="CC1719" t="s">
        <v>201</v>
      </c>
      <c r="CD1719" t="s">
        <v>202</v>
      </c>
      <c r="CE1719" t="s">
        <v>21296</v>
      </c>
      <c r="CF1719" t="s">
        <v>5331</v>
      </c>
      <c r="CG1719" t="s">
        <v>177</v>
      </c>
      <c r="CH1719" t="s">
        <v>371</v>
      </c>
      <c r="CI1719" t="s">
        <v>21297</v>
      </c>
      <c r="CJ1719" t="s">
        <v>5399</v>
      </c>
      <c r="CK1719" t="s">
        <v>232</v>
      </c>
      <c r="CL1719" t="s">
        <v>233</v>
      </c>
      <c r="CM1719" t="s">
        <v>21298</v>
      </c>
      <c r="CN1719" t="s">
        <v>235</v>
      </c>
      <c r="CO1719" t="s">
        <v>183</v>
      </c>
      <c r="CP1719" t="s">
        <v>211</v>
      </c>
      <c r="CQ1719" t="s">
        <v>250</v>
      </c>
      <c r="CS1719" t="s">
        <v>21299</v>
      </c>
      <c r="DC1719" t="s">
        <v>198</v>
      </c>
      <c r="DM1719" t="s">
        <v>198</v>
      </c>
      <c r="DW1719" t="s">
        <v>198</v>
      </c>
      <c r="EG1719" t="s">
        <v>198</v>
      </c>
      <c r="EQ1719" t="s">
        <v>198</v>
      </c>
      <c r="FA1719" t="s">
        <v>198</v>
      </c>
      <c r="FK1719" t="s">
        <v>198</v>
      </c>
      <c r="FU1719" t="s">
        <v>198</v>
      </c>
    </row>
    <row r="1720" spans="1:177">
      <c r="A1720" s="1" t="str">
        <f>HYPERLINK("http://digipan.lumentumllc.com/apps/getLink/index.php?t=PropLink&amp;p=15756717","PL")</f>
        <v>PL</v>
      </c>
      <c r="B1720" s="1" t="str">
        <f>HYPERLINK("http://digipan.lumentumllc.com/apps/getLink/index.php?t=TaxLink&amp;p=15756717","TL")</f>
        <v>TL</v>
      </c>
      <c r="C1720" s="1" t="str">
        <f>HYPERLINK("http://digipan.lumentumllc.com/apps/getMap/index.php?p=15756717","Map")</f>
        <v>Map</v>
      </c>
      <c r="E1720" t="s">
        <v>177</v>
      </c>
      <c r="F1720" t="s">
        <v>178</v>
      </c>
      <c r="L1720" t="s">
        <v>21300</v>
      </c>
      <c r="N1720" t="s">
        <v>21300</v>
      </c>
      <c r="O1720" t="s">
        <v>21300</v>
      </c>
      <c r="Q1720" t="s">
        <v>21300</v>
      </c>
      <c r="V1720">
        <v>1966</v>
      </c>
      <c r="W1720">
        <v>6</v>
      </c>
      <c r="X1720">
        <v>2017</v>
      </c>
      <c r="Y1720">
        <v>2018</v>
      </c>
      <c r="Z1720">
        <v>1443.4</v>
      </c>
      <c r="AB1720" t="s">
        <v>181</v>
      </c>
      <c r="AC1720" t="s">
        <v>182</v>
      </c>
      <c r="AD1720" t="s">
        <v>183</v>
      </c>
      <c r="AE1720">
        <v>0</v>
      </c>
      <c r="AF1720">
        <v>1</v>
      </c>
      <c r="AG1720" t="s">
        <v>821</v>
      </c>
      <c r="AH1720">
        <v>100</v>
      </c>
      <c r="AK1720">
        <v>0</v>
      </c>
      <c r="AL1720">
        <v>30000</v>
      </c>
      <c r="AM1720">
        <v>30000</v>
      </c>
      <c r="AN1720">
        <v>0</v>
      </c>
      <c r="AO1720">
        <v>938</v>
      </c>
      <c r="AP1720">
        <v>2016</v>
      </c>
      <c r="AQ1720">
        <v>4.8099999999999996</v>
      </c>
      <c r="AS1720" t="s">
        <v>21301</v>
      </c>
      <c r="AT1720" t="s">
        <v>3210</v>
      </c>
      <c r="AU1720" t="s">
        <v>177</v>
      </c>
      <c r="AV1720" t="s">
        <v>2334</v>
      </c>
      <c r="AW1720" t="s">
        <v>182</v>
      </c>
      <c r="AX1720">
        <v>0</v>
      </c>
      <c r="AY1720" t="s">
        <v>312</v>
      </c>
      <c r="AZ1720" t="s">
        <v>199</v>
      </c>
      <c r="BA1720" t="s">
        <v>313</v>
      </c>
      <c r="BB1720" t="s">
        <v>191</v>
      </c>
      <c r="BC1720" t="s">
        <v>182</v>
      </c>
      <c r="BD1720" t="s">
        <v>182</v>
      </c>
      <c r="BE1720" t="s">
        <v>13126</v>
      </c>
      <c r="BF1720">
        <v>0</v>
      </c>
      <c r="BG1720">
        <v>0</v>
      </c>
      <c r="BH1720">
        <v>0</v>
      </c>
      <c r="BI1720" t="s">
        <v>199</v>
      </c>
      <c r="BJ1720" t="s">
        <v>248</v>
      </c>
      <c r="BL1720" t="s">
        <v>199</v>
      </c>
      <c r="BN1720" t="s">
        <v>182</v>
      </c>
      <c r="BO1720" t="s">
        <v>198</v>
      </c>
      <c r="BP1720" t="s">
        <v>198</v>
      </c>
      <c r="BQ1720" t="s">
        <v>198</v>
      </c>
      <c r="BR1720" t="s">
        <v>198</v>
      </c>
      <c r="BS1720" t="s">
        <v>198</v>
      </c>
      <c r="BT1720" t="s">
        <v>198</v>
      </c>
      <c r="BU1720" t="s">
        <v>182</v>
      </c>
      <c r="BV1720" t="s">
        <v>198</v>
      </c>
      <c r="BW1720" t="s">
        <v>198</v>
      </c>
      <c r="BX1720" t="s">
        <v>199</v>
      </c>
      <c r="BY1720" t="s">
        <v>198</v>
      </c>
      <c r="BZ1720" t="s">
        <v>199</v>
      </c>
      <c r="CA1720" t="s">
        <v>199</v>
      </c>
      <c r="CB1720" t="s">
        <v>21302</v>
      </c>
      <c r="CC1720" t="s">
        <v>201</v>
      </c>
      <c r="CD1720" t="s">
        <v>182</v>
      </c>
      <c r="CE1720" t="s">
        <v>21303</v>
      </c>
      <c r="CF1720" t="s">
        <v>413</v>
      </c>
      <c r="CG1720" t="s">
        <v>177</v>
      </c>
      <c r="CH1720" t="s">
        <v>7604</v>
      </c>
      <c r="CI1720" t="s">
        <v>21304</v>
      </c>
      <c r="CJ1720" t="s">
        <v>17548</v>
      </c>
      <c r="CK1720" t="s">
        <v>232</v>
      </c>
      <c r="CL1720" t="s">
        <v>233</v>
      </c>
      <c r="CM1720" t="s">
        <v>21298</v>
      </c>
      <c r="CN1720" t="s">
        <v>235</v>
      </c>
      <c r="CO1720" t="s">
        <v>183</v>
      </c>
      <c r="CP1720" t="s">
        <v>211</v>
      </c>
      <c r="CQ1720" t="s">
        <v>296</v>
      </c>
      <c r="CS1720" t="s">
        <v>1467</v>
      </c>
      <c r="DC1720" t="s">
        <v>198</v>
      </c>
      <c r="DM1720" t="s">
        <v>198</v>
      </c>
      <c r="DW1720" t="s">
        <v>198</v>
      </c>
      <c r="EG1720" t="s">
        <v>198</v>
      </c>
      <c r="EQ1720" t="s">
        <v>198</v>
      </c>
      <c r="FA1720" t="s">
        <v>198</v>
      </c>
      <c r="FK1720" t="s">
        <v>198</v>
      </c>
      <c r="FU1720" t="s">
        <v>198</v>
      </c>
    </row>
    <row r="1721" spans="1:177">
      <c r="A1721" s="1" t="str">
        <f>HYPERLINK("http://digipan.lumentumllc.com/apps/getLink/index.php?t=PropLink&amp;p=15756719","PL")</f>
        <v>PL</v>
      </c>
      <c r="B1721" s="1" t="str">
        <f>HYPERLINK("http://digipan.lumentumllc.com/apps/getLink/index.php?t=TaxLink&amp;p=15756719","TL")</f>
        <v>TL</v>
      </c>
      <c r="C1721" s="1" t="str">
        <f>HYPERLINK("http://digipan.lumentumllc.com/apps/getMap/index.php?p=15756719","Map")</f>
        <v>Map</v>
      </c>
      <c r="E1721" t="s">
        <v>177</v>
      </c>
      <c r="F1721" t="s">
        <v>178</v>
      </c>
      <c r="L1721" t="s">
        <v>21305</v>
      </c>
      <c r="N1721" t="s">
        <v>21305</v>
      </c>
      <c r="O1721" t="s">
        <v>21305</v>
      </c>
      <c r="Q1721" t="s">
        <v>21305</v>
      </c>
      <c r="V1721">
        <v>1967</v>
      </c>
      <c r="W1721">
        <v>6</v>
      </c>
      <c r="X1721">
        <v>2017</v>
      </c>
      <c r="Y1721">
        <v>2018</v>
      </c>
      <c r="Z1721">
        <v>1443.4</v>
      </c>
      <c r="AB1721" t="s">
        <v>181</v>
      </c>
      <c r="AC1721" t="s">
        <v>182</v>
      </c>
      <c r="AD1721" t="s">
        <v>183</v>
      </c>
      <c r="AE1721">
        <v>0</v>
      </c>
      <c r="AF1721">
        <v>1</v>
      </c>
      <c r="AG1721" t="s">
        <v>821</v>
      </c>
      <c r="AH1721">
        <v>100</v>
      </c>
      <c r="AK1721">
        <v>0</v>
      </c>
      <c r="AL1721">
        <v>30000</v>
      </c>
      <c r="AM1721">
        <v>30000</v>
      </c>
      <c r="AN1721">
        <v>0</v>
      </c>
      <c r="AO1721">
        <v>938</v>
      </c>
      <c r="AP1721">
        <v>2016</v>
      </c>
      <c r="AQ1721">
        <v>4.8099999999999996</v>
      </c>
      <c r="AS1721" t="s">
        <v>21306</v>
      </c>
      <c r="AT1721" t="s">
        <v>3210</v>
      </c>
      <c r="AU1721" t="s">
        <v>177</v>
      </c>
      <c r="AV1721" t="s">
        <v>2334</v>
      </c>
      <c r="AW1721" t="s">
        <v>182</v>
      </c>
      <c r="AX1721">
        <v>0</v>
      </c>
      <c r="AY1721" t="s">
        <v>312</v>
      </c>
      <c r="AZ1721" t="s">
        <v>199</v>
      </c>
      <c r="BA1721" t="s">
        <v>313</v>
      </c>
      <c r="BB1721" t="s">
        <v>191</v>
      </c>
      <c r="BC1721" t="s">
        <v>182</v>
      </c>
      <c r="BD1721" t="s">
        <v>182</v>
      </c>
      <c r="BE1721" t="s">
        <v>13126</v>
      </c>
      <c r="BF1721">
        <v>0</v>
      </c>
      <c r="BG1721">
        <v>0</v>
      </c>
      <c r="BH1721">
        <v>0</v>
      </c>
      <c r="BI1721" t="s">
        <v>199</v>
      </c>
      <c r="BJ1721" t="s">
        <v>248</v>
      </c>
      <c r="BL1721" t="s">
        <v>19518</v>
      </c>
      <c r="BM1721" t="s">
        <v>197</v>
      </c>
      <c r="BN1721" t="s">
        <v>182</v>
      </c>
      <c r="BO1721" t="s">
        <v>3012</v>
      </c>
      <c r="BP1721" t="s">
        <v>21307</v>
      </c>
      <c r="BQ1721" t="s">
        <v>800</v>
      </c>
      <c r="BR1721" t="s">
        <v>1857</v>
      </c>
      <c r="BS1721" t="s">
        <v>198</v>
      </c>
      <c r="BT1721" t="s">
        <v>5154</v>
      </c>
      <c r="BU1721" t="s">
        <v>182</v>
      </c>
      <c r="BV1721" t="s">
        <v>198</v>
      </c>
      <c r="BW1721" t="s">
        <v>198</v>
      </c>
      <c r="BX1721" t="s">
        <v>199</v>
      </c>
      <c r="BY1721" t="s">
        <v>198</v>
      </c>
      <c r="BZ1721" t="s">
        <v>199</v>
      </c>
      <c r="CA1721" t="s">
        <v>199</v>
      </c>
      <c r="CB1721" t="s">
        <v>20218</v>
      </c>
      <c r="CC1721" t="s">
        <v>201</v>
      </c>
      <c r="CD1721" t="s">
        <v>202</v>
      </c>
      <c r="CE1721" t="s">
        <v>20219</v>
      </c>
      <c r="CF1721" t="s">
        <v>5331</v>
      </c>
      <c r="CG1721" t="s">
        <v>177</v>
      </c>
      <c r="CH1721" t="s">
        <v>371</v>
      </c>
      <c r="CI1721" t="s">
        <v>21308</v>
      </c>
      <c r="CJ1721" t="s">
        <v>20522</v>
      </c>
      <c r="CK1721" t="s">
        <v>232</v>
      </c>
      <c r="CL1721" t="s">
        <v>233</v>
      </c>
      <c r="CM1721" t="s">
        <v>21298</v>
      </c>
      <c r="CN1721" t="s">
        <v>235</v>
      </c>
      <c r="CO1721" t="s">
        <v>183</v>
      </c>
      <c r="CP1721" t="s">
        <v>211</v>
      </c>
      <c r="CQ1721" t="s">
        <v>189</v>
      </c>
      <c r="CS1721" t="s">
        <v>21309</v>
      </c>
      <c r="DC1721" t="s">
        <v>198</v>
      </c>
      <c r="DM1721" t="s">
        <v>198</v>
      </c>
      <c r="DW1721" t="s">
        <v>198</v>
      </c>
      <c r="EG1721" t="s">
        <v>198</v>
      </c>
      <c r="EQ1721" t="s">
        <v>198</v>
      </c>
      <c r="FA1721" t="s">
        <v>198</v>
      </c>
      <c r="FK1721" t="s">
        <v>198</v>
      </c>
      <c r="FU1721" t="s">
        <v>198</v>
      </c>
    </row>
    <row r="1722" spans="1:177">
      <c r="A1722" s="1" t="str">
        <f>HYPERLINK("http://digipan.lumentumllc.com/apps/getLink/index.php?t=PropLink&amp;p=15756725","PL")</f>
        <v>PL</v>
      </c>
      <c r="B1722" s="1" t="str">
        <f>HYPERLINK("http://digipan.lumentumllc.com/apps/getLink/index.php?t=TaxLink&amp;p=15756725","TL")</f>
        <v>TL</v>
      </c>
      <c r="C1722" s="1" t="str">
        <f>HYPERLINK("http://digipan.lumentumllc.com/apps/getMap/index.php?p=15756725","Map")</f>
        <v>Map</v>
      </c>
      <c r="E1722" t="s">
        <v>177</v>
      </c>
      <c r="F1722" t="s">
        <v>178</v>
      </c>
      <c r="L1722" t="s">
        <v>21310</v>
      </c>
      <c r="N1722" t="s">
        <v>21310</v>
      </c>
      <c r="O1722" t="s">
        <v>21310</v>
      </c>
      <c r="Q1722" t="s">
        <v>21310</v>
      </c>
      <c r="V1722">
        <v>1969</v>
      </c>
      <c r="W1722">
        <v>6</v>
      </c>
      <c r="X1722">
        <v>2017</v>
      </c>
      <c r="Y1722">
        <v>2018</v>
      </c>
      <c r="Z1722">
        <v>1443.4</v>
      </c>
      <c r="AB1722" t="s">
        <v>181</v>
      </c>
      <c r="AC1722" t="s">
        <v>182</v>
      </c>
      <c r="AD1722" t="s">
        <v>183</v>
      </c>
      <c r="AE1722">
        <v>0</v>
      </c>
      <c r="AF1722">
        <v>1</v>
      </c>
      <c r="AG1722" t="s">
        <v>821</v>
      </c>
      <c r="AH1722">
        <v>100</v>
      </c>
      <c r="AK1722">
        <v>0</v>
      </c>
      <c r="AL1722">
        <v>30000</v>
      </c>
      <c r="AM1722">
        <v>30000</v>
      </c>
      <c r="AN1722">
        <v>0</v>
      </c>
      <c r="AO1722">
        <v>938</v>
      </c>
      <c r="AP1722">
        <v>2016</v>
      </c>
      <c r="AQ1722">
        <v>4.8099999999999996</v>
      </c>
      <c r="AS1722" t="s">
        <v>21311</v>
      </c>
      <c r="AT1722" t="s">
        <v>3210</v>
      </c>
      <c r="AU1722" t="s">
        <v>177</v>
      </c>
      <c r="AV1722" t="s">
        <v>2334</v>
      </c>
      <c r="AW1722" t="s">
        <v>182</v>
      </c>
      <c r="AX1722">
        <v>0</v>
      </c>
      <c r="AY1722" t="s">
        <v>312</v>
      </c>
      <c r="AZ1722" t="s">
        <v>199</v>
      </c>
      <c r="BA1722" t="s">
        <v>313</v>
      </c>
      <c r="BB1722" t="s">
        <v>191</v>
      </c>
      <c r="BC1722" t="s">
        <v>182</v>
      </c>
      <c r="BD1722" t="s">
        <v>182</v>
      </c>
      <c r="BE1722" t="s">
        <v>12936</v>
      </c>
      <c r="BF1722">
        <v>0</v>
      </c>
      <c r="BG1722">
        <v>0</v>
      </c>
      <c r="BH1722">
        <v>0</v>
      </c>
      <c r="BI1722" t="s">
        <v>199</v>
      </c>
      <c r="BJ1722" t="s">
        <v>248</v>
      </c>
      <c r="BL1722" t="s">
        <v>1753</v>
      </c>
      <c r="BM1722" t="s">
        <v>197</v>
      </c>
      <c r="BN1722" t="s">
        <v>182</v>
      </c>
      <c r="BO1722" t="s">
        <v>21312</v>
      </c>
      <c r="BP1722" t="s">
        <v>21313</v>
      </c>
      <c r="BQ1722" t="s">
        <v>603</v>
      </c>
      <c r="BR1722" t="s">
        <v>563</v>
      </c>
      <c r="BS1722" t="s">
        <v>198</v>
      </c>
      <c r="BT1722" t="s">
        <v>228</v>
      </c>
      <c r="BU1722" t="s">
        <v>182</v>
      </c>
      <c r="BV1722" t="s">
        <v>198</v>
      </c>
      <c r="BW1722" t="s">
        <v>198</v>
      </c>
      <c r="BX1722" t="s">
        <v>199</v>
      </c>
      <c r="BY1722" t="s">
        <v>198</v>
      </c>
      <c r="BZ1722" t="s">
        <v>199</v>
      </c>
      <c r="CA1722" t="s">
        <v>199</v>
      </c>
      <c r="CB1722" t="s">
        <v>21302</v>
      </c>
      <c r="CC1722" t="s">
        <v>201</v>
      </c>
      <c r="CD1722" t="s">
        <v>202</v>
      </c>
      <c r="CE1722" t="s">
        <v>21303</v>
      </c>
      <c r="CF1722" t="s">
        <v>413</v>
      </c>
      <c r="CG1722" t="s">
        <v>177</v>
      </c>
      <c r="CH1722" t="s">
        <v>7604</v>
      </c>
      <c r="CI1722" t="s">
        <v>21314</v>
      </c>
      <c r="CJ1722" t="s">
        <v>21315</v>
      </c>
      <c r="CK1722" t="s">
        <v>232</v>
      </c>
      <c r="CL1722" t="s">
        <v>233</v>
      </c>
      <c r="CM1722" t="s">
        <v>21298</v>
      </c>
      <c r="CN1722" t="s">
        <v>486</v>
      </c>
      <c r="CO1722" t="s">
        <v>183</v>
      </c>
      <c r="CP1722" t="s">
        <v>211</v>
      </c>
      <c r="CQ1722" t="s">
        <v>296</v>
      </c>
      <c r="CS1722" t="s">
        <v>1467</v>
      </c>
      <c r="DC1722" t="s">
        <v>198</v>
      </c>
      <c r="DM1722" t="s">
        <v>198</v>
      </c>
      <c r="DW1722" t="s">
        <v>198</v>
      </c>
      <c r="EG1722" t="s">
        <v>198</v>
      </c>
      <c r="EQ1722" t="s">
        <v>198</v>
      </c>
      <c r="FA1722" t="s">
        <v>198</v>
      </c>
      <c r="FK1722" t="s">
        <v>198</v>
      </c>
      <c r="FU1722" t="s">
        <v>198</v>
      </c>
    </row>
    <row r="1723" spans="1:177">
      <c r="A1723" s="1" t="str">
        <f>HYPERLINK("http://digipan.lumentumllc.com/apps/getLink/index.php?t=PropLink&amp;p=15756733","PL")</f>
        <v>PL</v>
      </c>
      <c r="B1723" s="1" t="str">
        <f>HYPERLINK("http://digipan.lumentumllc.com/apps/getLink/index.php?t=TaxLink&amp;p=15756733","TL")</f>
        <v>TL</v>
      </c>
      <c r="C1723" s="1" t="str">
        <f>HYPERLINK("http://digipan.lumentumllc.com/apps/getMap/index.php?p=15756733","Map")</f>
        <v>Map</v>
      </c>
      <c r="E1723" t="s">
        <v>177</v>
      </c>
      <c r="F1723" t="s">
        <v>178</v>
      </c>
      <c r="L1723" t="s">
        <v>21316</v>
      </c>
      <c r="N1723" t="s">
        <v>21316</v>
      </c>
      <c r="O1723" t="s">
        <v>21316</v>
      </c>
      <c r="Q1723" t="s">
        <v>21316</v>
      </c>
      <c r="V1723">
        <v>1970</v>
      </c>
      <c r="W1723">
        <v>6</v>
      </c>
      <c r="X1723">
        <v>2017</v>
      </c>
      <c r="Y1723">
        <v>2018</v>
      </c>
      <c r="Z1723">
        <v>1443.4</v>
      </c>
      <c r="AG1723" t="s">
        <v>184</v>
      </c>
      <c r="AH1723">
        <v>0</v>
      </c>
      <c r="AK1723">
        <v>0</v>
      </c>
      <c r="AL1723">
        <v>30000</v>
      </c>
      <c r="AM1723">
        <v>30000</v>
      </c>
      <c r="AN1723">
        <v>0</v>
      </c>
      <c r="AO1723">
        <v>938</v>
      </c>
      <c r="AP1723">
        <v>2016</v>
      </c>
      <c r="AQ1723">
        <v>4.8099999999999996</v>
      </c>
      <c r="AS1723" t="s">
        <v>21317</v>
      </c>
      <c r="AT1723" t="s">
        <v>3210</v>
      </c>
      <c r="AU1723" t="s">
        <v>177</v>
      </c>
      <c r="AV1723" t="s">
        <v>2334</v>
      </c>
      <c r="AW1723" t="s">
        <v>182</v>
      </c>
      <c r="AX1723">
        <v>0</v>
      </c>
      <c r="AY1723" t="s">
        <v>312</v>
      </c>
      <c r="AZ1723" t="s">
        <v>199</v>
      </c>
      <c r="BA1723" t="s">
        <v>313</v>
      </c>
      <c r="BB1723" t="s">
        <v>191</v>
      </c>
      <c r="BC1723" t="s">
        <v>182</v>
      </c>
      <c r="BD1723" t="s">
        <v>182</v>
      </c>
      <c r="BE1723" t="s">
        <v>6180</v>
      </c>
      <c r="BF1723">
        <v>0</v>
      </c>
      <c r="BG1723">
        <v>0</v>
      </c>
      <c r="BH1723">
        <v>0</v>
      </c>
      <c r="BI1723" t="s">
        <v>199</v>
      </c>
      <c r="BJ1723" t="s">
        <v>248</v>
      </c>
      <c r="BL1723" t="s">
        <v>21289</v>
      </c>
      <c r="BM1723" t="s">
        <v>197</v>
      </c>
      <c r="BN1723" t="s">
        <v>182</v>
      </c>
      <c r="BO1723" t="s">
        <v>3012</v>
      </c>
      <c r="BP1723" t="s">
        <v>5459</v>
      </c>
      <c r="BQ1723" t="s">
        <v>800</v>
      </c>
      <c r="BR1723" t="s">
        <v>1857</v>
      </c>
      <c r="BS1723" t="s">
        <v>198</v>
      </c>
      <c r="BT1723" t="s">
        <v>228</v>
      </c>
      <c r="BU1723" t="s">
        <v>182</v>
      </c>
      <c r="BV1723" t="s">
        <v>198</v>
      </c>
      <c r="BW1723" t="s">
        <v>198</v>
      </c>
      <c r="BX1723" t="s">
        <v>199</v>
      </c>
      <c r="BY1723" t="s">
        <v>198</v>
      </c>
      <c r="BZ1723" t="s">
        <v>199</v>
      </c>
      <c r="CA1723" t="s">
        <v>199</v>
      </c>
      <c r="CB1723" t="s">
        <v>20218</v>
      </c>
      <c r="CC1723" t="s">
        <v>201</v>
      </c>
      <c r="CD1723" t="s">
        <v>202</v>
      </c>
      <c r="CE1723" t="s">
        <v>20219</v>
      </c>
      <c r="CF1723" t="s">
        <v>5331</v>
      </c>
      <c r="CG1723" t="s">
        <v>177</v>
      </c>
      <c r="CH1723" t="s">
        <v>371</v>
      </c>
      <c r="CI1723" t="s">
        <v>21318</v>
      </c>
      <c r="CS1723" t="s">
        <v>198</v>
      </c>
      <c r="DC1723" t="s">
        <v>198</v>
      </c>
      <c r="DM1723" t="s">
        <v>198</v>
      </c>
      <c r="DW1723" t="s">
        <v>198</v>
      </c>
      <c r="EG1723" t="s">
        <v>198</v>
      </c>
      <c r="EQ1723" t="s">
        <v>198</v>
      </c>
      <c r="FA1723" t="s">
        <v>198</v>
      </c>
      <c r="FK1723" t="s">
        <v>198</v>
      </c>
      <c r="FU1723" t="s">
        <v>198</v>
      </c>
    </row>
    <row r="1724" spans="1:177">
      <c r="A1724" s="1" t="str">
        <f>HYPERLINK("http://digipan.lumentumllc.com/apps/getLink/index.php?t=PropLink&amp;p=15756745","PL")</f>
        <v>PL</v>
      </c>
      <c r="B1724" s="1" t="str">
        <f>HYPERLINK("http://digipan.lumentumllc.com/apps/getLink/index.php?t=TaxLink&amp;p=15756745","TL")</f>
        <v>TL</v>
      </c>
      <c r="C1724" s="1" t="str">
        <f>HYPERLINK("http://digipan.lumentumllc.com/apps/getMap/index.php?p=15756745","Map")</f>
        <v>Map</v>
      </c>
      <c r="E1724" t="s">
        <v>177</v>
      </c>
      <c r="F1724" t="s">
        <v>178</v>
      </c>
      <c r="L1724" t="s">
        <v>21319</v>
      </c>
      <c r="N1724" t="s">
        <v>21319</v>
      </c>
      <c r="O1724" t="s">
        <v>21319</v>
      </c>
      <c r="Q1724" t="s">
        <v>21319</v>
      </c>
      <c r="V1724">
        <v>1971</v>
      </c>
      <c r="W1724">
        <v>6</v>
      </c>
      <c r="X1724">
        <v>2017</v>
      </c>
      <c r="Y1724">
        <v>2018</v>
      </c>
      <c r="Z1724">
        <v>1443.4</v>
      </c>
      <c r="AB1724" t="s">
        <v>181</v>
      </c>
      <c r="AC1724" t="s">
        <v>182</v>
      </c>
      <c r="AD1724" t="s">
        <v>183</v>
      </c>
      <c r="AE1724">
        <v>0</v>
      </c>
      <c r="AF1724">
        <v>1</v>
      </c>
      <c r="AG1724" t="s">
        <v>821</v>
      </c>
      <c r="AH1724">
        <v>100</v>
      </c>
      <c r="AK1724">
        <v>0</v>
      </c>
      <c r="AL1724">
        <v>30000</v>
      </c>
      <c r="AM1724">
        <v>30000</v>
      </c>
      <c r="AN1724">
        <v>0</v>
      </c>
      <c r="AO1724">
        <v>938</v>
      </c>
      <c r="AP1724">
        <v>2016</v>
      </c>
      <c r="AQ1724">
        <v>4.8099999999999996</v>
      </c>
      <c r="AS1724" t="s">
        <v>21320</v>
      </c>
      <c r="AT1724" t="s">
        <v>3210</v>
      </c>
      <c r="AU1724" t="s">
        <v>177</v>
      </c>
      <c r="AV1724" t="s">
        <v>2334</v>
      </c>
      <c r="AW1724" t="s">
        <v>182</v>
      </c>
      <c r="AX1724">
        <v>0</v>
      </c>
      <c r="AY1724" t="s">
        <v>312</v>
      </c>
      <c r="AZ1724" t="s">
        <v>199</v>
      </c>
      <c r="BA1724" t="s">
        <v>313</v>
      </c>
      <c r="BB1724" t="s">
        <v>191</v>
      </c>
      <c r="BC1724" t="s">
        <v>182</v>
      </c>
      <c r="BD1724" t="s">
        <v>182</v>
      </c>
      <c r="BE1724" t="s">
        <v>12936</v>
      </c>
      <c r="BF1724">
        <v>0</v>
      </c>
      <c r="BG1724">
        <v>0</v>
      </c>
      <c r="BH1724">
        <v>0</v>
      </c>
      <c r="BI1724" t="s">
        <v>199</v>
      </c>
      <c r="BJ1724" t="s">
        <v>248</v>
      </c>
      <c r="BL1724" t="s">
        <v>14535</v>
      </c>
      <c r="BM1724" t="s">
        <v>197</v>
      </c>
      <c r="BN1724" t="s">
        <v>182</v>
      </c>
      <c r="BO1724" t="s">
        <v>3012</v>
      </c>
      <c r="BP1724" t="s">
        <v>21321</v>
      </c>
      <c r="BQ1724" t="s">
        <v>800</v>
      </c>
      <c r="BR1724" t="s">
        <v>4041</v>
      </c>
      <c r="BS1724" t="s">
        <v>198</v>
      </c>
      <c r="BT1724" t="s">
        <v>21322</v>
      </c>
      <c r="BU1724" t="s">
        <v>182</v>
      </c>
      <c r="BV1724" t="s">
        <v>198</v>
      </c>
      <c r="BW1724" t="s">
        <v>198</v>
      </c>
      <c r="BX1724" t="s">
        <v>199</v>
      </c>
      <c r="BY1724" t="s">
        <v>198</v>
      </c>
      <c r="BZ1724" t="s">
        <v>199</v>
      </c>
      <c r="CA1724" t="s">
        <v>199</v>
      </c>
      <c r="CB1724" t="s">
        <v>20218</v>
      </c>
      <c r="CC1724" t="s">
        <v>201</v>
      </c>
      <c r="CD1724" t="s">
        <v>202</v>
      </c>
      <c r="CE1724" t="s">
        <v>20219</v>
      </c>
      <c r="CF1724" t="s">
        <v>5331</v>
      </c>
      <c r="CG1724" t="s">
        <v>177</v>
      </c>
      <c r="CH1724" t="s">
        <v>371</v>
      </c>
      <c r="CI1724" t="s">
        <v>21323</v>
      </c>
      <c r="CJ1724" t="s">
        <v>21324</v>
      </c>
      <c r="CK1724" t="s">
        <v>232</v>
      </c>
      <c r="CL1724" t="s">
        <v>233</v>
      </c>
      <c r="CM1724" t="s">
        <v>21298</v>
      </c>
      <c r="CN1724" t="s">
        <v>486</v>
      </c>
      <c r="CO1724" t="s">
        <v>183</v>
      </c>
      <c r="CP1724" t="s">
        <v>211</v>
      </c>
      <c r="CQ1724" t="s">
        <v>189</v>
      </c>
      <c r="CS1724" t="s">
        <v>21309</v>
      </c>
      <c r="DC1724" t="s">
        <v>198</v>
      </c>
      <c r="DM1724" t="s">
        <v>198</v>
      </c>
      <c r="DW1724" t="s">
        <v>198</v>
      </c>
      <c r="EG1724" t="s">
        <v>198</v>
      </c>
      <c r="EQ1724" t="s">
        <v>198</v>
      </c>
      <c r="FA1724" t="s">
        <v>198</v>
      </c>
      <c r="FK1724" t="s">
        <v>198</v>
      </c>
      <c r="FU1724" t="s">
        <v>198</v>
      </c>
    </row>
    <row r="1725" spans="1:177">
      <c r="A1725" s="1" t="str">
        <f>HYPERLINK("http://digipan.lumentumllc.com/apps/getLink/index.php?t=PropLink&amp;p=15756749","PL")</f>
        <v>PL</v>
      </c>
      <c r="B1725" s="1" t="str">
        <f>HYPERLINK("http://digipan.lumentumllc.com/apps/getLink/index.php?t=TaxLink&amp;p=15756749","TL")</f>
        <v>TL</v>
      </c>
      <c r="C1725" s="1" t="str">
        <f>HYPERLINK("http://digipan.lumentumllc.com/apps/getMap/index.php?p=15756749","Map")</f>
        <v>Map</v>
      </c>
      <c r="E1725" t="s">
        <v>177</v>
      </c>
      <c r="F1725" t="s">
        <v>178</v>
      </c>
      <c r="L1725" t="s">
        <v>21325</v>
      </c>
      <c r="N1725" t="s">
        <v>21325</v>
      </c>
      <c r="O1725" t="s">
        <v>21325</v>
      </c>
      <c r="Q1725" t="s">
        <v>21325</v>
      </c>
      <c r="V1725">
        <v>1972</v>
      </c>
      <c r="W1725">
        <v>6</v>
      </c>
      <c r="X1725">
        <v>2017</v>
      </c>
      <c r="Y1725">
        <v>2018</v>
      </c>
      <c r="Z1725">
        <v>1443.4</v>
      </c>
      <c r="AG1725" t="s">
        <v>184</v>
      </c>
      <c r="AH1725">
        <v>0</v>
      </c>
      <c r="AK1725">
        <v>0</v>
      </c>
      <c r="AL1725">
        <v>30000</v>
      </c>
      <c r="AM1725">
        <v>30000</v>
      </c>
      <c r="AN1725">
        <v>0</v>
      </c>
      <c r="AO1725">
        <v>938</v>
      </c>
      <c r="AP1725">
        <v>2016</v>
      </c>
      <c r="AQ1725">
        <v>4.8099999999999996</v>
      </c>
      <c r="AS1725" t="s">
        <v>21326</v>
      </c>
      <c r="AT1725" t="s">
        <v>3210</v>
      </c>
      <c r="AU1725" t="s">
        <v>177</v>
      </c>
      <c r="AV1725" t="s">
        <v>2334</v>
      </c>
      <c r="AW1725" t="s">
        <v>182</v>
      </c>
      <c r="AX1725">
        <v>0</v>
      </c>
      <c r="AY1725" t="s">
        <v>312</v>
      </c>
      <c r="AZ1725" t="s">
        <v>199</v>
      </c>
      <c r="BA1725" t="s">
        <v>313</v>
      </c>
      <c r="BB1725" t="s">
        <v>191</v>
      </c>
      <c r="BC1725" t="s">
        <v>182</v>
      </c>
      <c r="BD1725" t="s">
        <v>182</v>
      </c>
      <c r="BE1725" t="s">
        <v>12936</v>
      </c>
      <c r="BF1725">
        <v>0</v>
      </c>
      <c r="BG1725">
        <v>0</v>
      </c>
      <c r="BH1725">
        <v>0</v>
      </c>
      <c r="BI1725" t="s">
        <v>199</v>
      </c>
      <c r="BJ1725" t="s">
        <v>248</v>
      </c>
      <c r="BL1725" t="s">
        <v>21289</v>
      </c>
      <c r="BM1725" t="s">
        <v>197</v>
      </c>
      <c r="BN1725" t="s">
        <v>182</v>
      </c>
      <c r="BO1725" t="s">
        <v>3012</v>
      </c>
      <c r="BP1725" t="s">
        <v>21327</v>
      </c>
      <c r="BQ1725" t="s">
        <v>800</v>
      </c>
      <c r="BR1725" t="s">
        <v>4041</v>
      </c>
      <c r="BS1725" t="s">
        <v>198</v>
      </c>
      <c r="BT1725" t="s">
        <v>3157</v>
      </c>
      <c r="BU1725" t="s">
        <v>182</v>
      </c>
      <c r="BV1725" t="s">
        <v>198</v>
      </c>
      <c r="BW1725" t="s">
        <v>198</v>
      </c>
      <c r="BX1725" t="s">
        <v>199</v>
      </c>
      <c r="BY1725" t="s">
        <v>198</v>
      </c>
      <c r="BZ1725" t="s">
        <v>199</v>
      </c>
      <c r="CA1725" t="s">
        <v>199</v>
      </c>
      <c r="CB1725" t="s">
        <v>20218</v>
      </c>
      <c r="CC1725" t="s">
        <v>201</v>
      </c>
      <c r="CD1725" t="s">
        <v>202</v>
      </c>
      <c r="CE1725" t="s">
        <v>20219</v>
      </c>
      <c r="CF1725" t="s">
        <v>5331</v>
      </c>
      <c r="CG1725" t="s">
        <v>177</v>
      </c>
      <c r="CH1725" t="s">
        <v>371</v>
      </c>
      <c r="CI1725" t="s">
        <v>21328</v>
      </c>
      <c r="CS1725" t="s">
        <v>198</v>
      </c>
      <c r="DC1725" t="s">
        <v>198</v>
      </c>
      <c r="DM1725" t="s">
        <v>198</v>
      </c>
      <c r="DW1725" t="s">
        <v>198</v>
      </c>
      <c r="EG1725" t="s">
        <v>198</v>
      </c>
      <c r="EQ1725" t="s">
        <v>198</v>
      </c>
      <c r="FA1725" t="s">
        <v>198</v>
      </c>
      <c r="FK1725" t="s">
        <v>198</v>
      </c>
      <c r="FU1725" t="s">
        <v>198</v>
      </c>
    </row>
    <row r="1726" spans="1:177">
      <c r="A1726" s="1" t="str">
        <f>HYPERLINK("http://digipan.lumentumllc.com/apps/getLink/index.php?t=PropLink&amp;p=15756750","PL")</f>
        <v>PL</v>
      </c>
      <c r="B1726" s="1" t="str">
        <f>HYPERLINK("http://digipan.lumentumllc.com/apps/getLink/index.php?t=TaxLink&amp;p=15756750","TL")</f>
        <v>TL</v>
      </c>
      <c r="C1726" s="1" t="str">
        <f>HYPERLINK("http://digipan.lumentumllc.com/apps/getMap/index.php?p=15756750","Map")</f>
        <v>Map</v>
      </c>
      <c r="E1726" t="s">
        <v>177</v>
      </c>
      <c r="F1726" t="s">
        <v>178</v>
      </c>
      <c r="L1726" t="s">
        <v>21329</v>
      </c>
      <c r="N1726" t="s">
        <v>21329</v>
      </c>
      <c r="O1726" t="s">
        <v>21329</v>
      </c>
      <c r="Q1726" t="s">
        <v>21329</v>
      </c>
      <c r="V1726">
        <v>1973</v>
      </c>
      <c r="W1726">
        <v>6</v>
      </c>
      <c r="X1726">
        <v>2017</v>
      </c>
      <c r="Y1726">
        <v>2018</v>
      </c>
      <c r="Z1726">
        <v>1443.4</v>
      </c>
      <c r="AG1726" t="s">
        <v>184</v>
      </c>
      <c r="AH1726">
        <v>0</v>
      </c>
      <c r="AK1726">
        <v>0</v>
      </c>
      <c r="AL1726">
        <v>30000</v>
      </c>
      <c r="AM1726">
        <v>30000</v>
      </c>
      <c r="AN1726">
        <v>0</v>
      </c>
      <c r="AO1726">
        <v>938</v>
      </c>
      <c r="AP1726">
        <v>2016</v>
      </c>
      <c r="AQ1726">
        <v>4.8099999999999996</v>
      </c>
      <c r="AS1726" t="s">
        <v>21330</v>
      </c>
      <c r="AT1726" t="s">
        <v>3210</v>
      </c>
      <c r="AU1726" t="s">
        <v>177</v>
      </c>
      <c r="AV1726" t="s">
        <v>2334</v>
      </c>
      <c r="AW1726" t="s">
        <v>182</v>
      </c>
      <c r="AX1726">
        <v>0</v>
      </c>
      <c r="AY1726" t="s">
        <v>312</v>
      </c>
      <c r="AZ1726" t="s">
        <v>199</v>
      </c>
      <c r="BA1726" t="s">
        <v>313</v>
      </c>
      <c r="BB1726" t="s">
        <v>191</v>
      </c>
      <c r="BC1726" t="s">
        <v>182</v>
      </c>
      <c r="BD1726" t="s">
        <v>182</v>
      </c>
      <c r="BE1726" t="s">
        <v>5975</v>
      </c>
      <c r="BF1726">
        <v>0</v>
      </c>
      <c r="BG1726">
        <v>0</v>
      </c>
      <c r="BH1726">
        <v>0</v>
      </c>
      <c r="BI1726" t="s">
        <v>199</v>
      </c>
      <c r="BJ1726" t="s">
        <v>248</v>
      </c>
      <c r="BL1726" t="s">
        <v>21289</v>
      </c>
      <c r="BM1726" t="s">
        <v>197</v>
      </c>
      <c r="BN1726" t="s">
        <v>182</v>
      </c>
      <c r="BO1726" t="s">
        <v>3012</v>
      </c>
      <c r="BP1726" t="s">
        <v>21331</v>
      </c>
      <c r="BQ1726" t="s">
        <v>800</v>
      </c>
      <c r="BR1726" t="s">
        <v>1857</v>
      </c>
      <c r="BS1726" t="s">
        <v>198</v>
      </c>
      <c r="BT1726" t="s">
        <v>228</v>
      </c>
      <c r="BU1726" t="s">
        <v>182</v>
      </c>
      <c r="BV1726" t="s">
        <v>198</v>
      </c>
      <c r="BW1726" t="s">
        <v>198</v>
      </c>
      <c r="BX1726" t="s">
        <v>199</v>
      </c>
      <c r="BY1726" t="s">
        <v>198</v>
      </c>
      <c r="BZ1726" t="s">
        <v>199</v>
      </c>
      <c r="CA1726" t="s">
        <v>199</v>
      </c>
      <c r="CB1726" t="s">
        <v>20218</v>
      </c>
      <c r="CC1726" t="s">
        <v>201</v>
      </c>
      <c r="CD1726" t="s">
        <v>202</v>
      </c>
      <c r="CE1726" t="s">
        <v>20219</v>
      </c>
      <c r="CF1726" t="s">
        <v>5331</v>
      </c>
      <c r="CG1726" t="s">
        <v>177</v>
      </c>
      <c r="CH1726" t="s">
        <v>371</v>
      </c>
      <c r="CI1726" t="s">
        <v>21332</v>
      </c>
      <c r="CS1726" t="s">
        <v>198</v>
      </c>
      <c r="DC1726" t="s">
        <v>198</v>
      </c>
      <c r="DM1726" t="s">
        <v>198</v>
      </c>
      <c r="DW1726" t="s">
        <v>198</v>
      </c>
      <c r="EG1726" t="s">
        <v>198</v>
      </c>
      <c r="EQ1726" t="s">
        <v>198</v>
      </c>
      <c r="FA1726" t="s">
        <v>198</v>
      </c>
      <c r="FK1726" t="s">
        <v>198</v>
      </c>
      <c r="FU1726" t="s">
        <v>198</v>
      </c>
    </row>
    <row r="1727" spans="1:177">
      <c r="A1727" s="1" t="str">
        <f>HYPERLINK("http://digipan.lumentumllc.com/apps/getLink/index.php?t=PropLink&amp;p=15756751","PL")</f>
        <v>PL</v>
      </c>
      <c r="B1727" s="1" t="str">
        <f>HYPERLINK("http://digipan.lumentumllc.com/apps/getLink/index.php?t=TaxLink&amp;p=15756751","TL")</f>
        <v>TL</v>
      </c>
      <c r="C1727" s="1" t="str">
        <f>HYPERLINK("http://digipan.lumentumllc.com/apps/getMap/index.php?p=15756751","Map")</f>
        <v>Map</v>
      </c>
      <c r="E1727" t="s">
        <v>177</v>
      </c>
      <c r="F1727" t="s">
        <v>178</v>
      </c>
      <c r="L1727" t="s">
        <v>21333</v>
      </c>
      <c r="N1727" t="s">
        <v>21333</v>
      </c>
      <c r="O1727" t="s">
        <v>21333</v>
      </c>
      <c r="Q1727" t="s">
        <v>21333</v>
      </c>
      <c r="V1727">
        <v>1974</v>
      </c>
      <c r="W1727">
        <v>6</v>
      </c>
      <c r="X1727">
        <v>2017</v>
      </c>
      <c r="Y1727">
        <v>2018</v>
      </c>
      <c r="Z1727">
        <v>1443.4</v>
      </c>
      <c r="AB1727" t="s">
        <v>181</v>
      </c>
      <c r="AC1727" t="s">
        <v>182</v>
      </c>
      <c r="AD1727" t="s">
        <v>183</v>
      </c>
      <c r="AE1727">
        <v>0</v>
      </c>
      <c r="AF1727">
        <v>1</v>
      </c>
      <c r="AG1727" t="s">
        <v>821</v>
      </c>
      <c r="AH1727">
        <v>100</v>
      </c>
      <c r="AK1727">
        <v>0</v>
      </c>
      <c r="AL1727">
        <v>30000</v>
      </c>
      <c r="AM1727">
        <v>30000</v>
      </c>
      <c r="AN1727">
        <v>0</v>
      </c>
      <c r="AO1727">
        <v>938</v>
      </c>
      <c r="AP1727">
        <v>2016</v>
      </c>
      <c r="AQ1727">
        <v>4.8099999999999996</v>
      </c>
      <c r="AS1727" t="s">
        <v>21334</v>
      </c>
      <c r="AT1727" t="s">
        <v>3210</v>
      </c>
      <c r="AU1727" t="s">
        <v>177</v>
      </c>
      <c r="AV1727" t="s">
        <v>2334</v>
      </c>
      <c r="AW1727" t="s">
        <v>182</v>
      </c>
      <c r="AX1727">
        <v>0</v>
      </c>
      <c r="AY1727" t="s">
        <v>312</v>
      </c>
      <c r="AZ1727" t="s">
        <v>199</v>
      </c>
      <c r="BA1727" t="s">
        <v>313</v>
      </c>
      <c r="BB1727" t="s">
        <v>191</v>
      </c>
      <c r="BC1727" t="s">
        <v>182</v>
      </c>
      <c r="BD1727" t="s">
        <v>182</v>
      </c>
      <c r="BE1727" t="s">
        <v>5975</v>
      </c>
      <c r="BF1727">
        <v>0</v>
      </c>
      <c r="BG1727">
        <v>0</v>
      </c>
      <c r="BH1727">
        <v>0</v>
      </c>
      <c r="BI1727" t="s">
        <v>199</v>
      </c>
      <c r="BJ1727" t="s">
        <v>248</v>
      </c>
      <c r="BL1727" t="s">
        <v>14535</v>
      </c>
      <c r="BM1727" t="s">
        <v>197</v>
      </c>
      <c r="BN1727" t="s">
        <v>182</v>
      </c>
      <c r="BO1727" t="s">
        <v>3012</v>
      </c>
      <c r="BP1727" t="s">
        <v>21321</v>
      </c>
      <c r="BQ1727" t="s">
        <v>800</v>
      </c>
      <c r="BR1727" t="s">
        <v>4041</v>
      </c>
      <c r="BS1727" t="s">
        <v>198</v>
      </c>
      <c r="BT1727" t="s">
        <v>21322</v>
      </c>
      <c r="BU1727" t="s">
        <v>182</v>
      </c>
      <c r="BV1727" t="s">
        <v>198</v>
      </c>
      <c r="BW1727" t="s">
        <v>198</v>
      </c>
      <c r="BX1727" t="s">
        <v>199</v>
      </c>
      <c r="BY1727" t="s">
        <v>198</v>
      </c>
      <c r="BZ1727" t="s">
        <v>199</v>
      </c>
      <c r="CA1727" t="s">
        <v>199</v>
      </c>
      <c r="CB1727" t="s">
        <v>20218</v>
      </c>
      <c r="CC1727" t="s">
        <v>201</v>
      </c>
      <c r="CD1727" t="s">
        <v>202</v>
      </c>
      <c r="CE1727" t="s">
        <v>20219</v>
      </c>
      <c r="CF1727" t="s">
        <v>5331</v>
      </c>
      <c r="CG1727" t="s">
        <v>177</v>
      </c>
      <c r="CH1727" t="s">
        <v>371</v>
      </c>
      <c r="CI1727" t="s">
        <v>21335</v>
      </c>
      <c r="CJ1727" t="s">
        <v>937</v>
      </c>
      <c r="CK1727" t="s">
        <v>232</v>
      </c>
      <c r="CL1727" t="s">
        <v>233</v>
      </c>
      <c r="CM1727" t="s">
        <v>21298</v>
      </c>
      <c r="CN1727" t="s">
        <v>486</v>
      </c>
      <c r="CO1727" t="s">
        <v>183</v>
      </c>
      <c r="CP1727" t="s">
        <v>211</v>
      </c>
      <c r="CQ1727" t="s">
        <v>189</v>
      </c>
      <c r="CS1727" t="s">
        <v>21309</v>
      </c>
      <c r="DC1727" t="s">
        <v>198</v>
      </c>
      <c r="DM1727" t="s">
        <v>198</v>
      </c>
      <c r="DW1727" t="s">
        <v>198</v>
      </c>
      <c r="EG1727" t="s">
        <v>198</v>
      </c>
      <c r="EQ1727" t="s">
        <v>198</v>
      </c>
      <c r="FA1727" t="s">
        <v>198</v>
      </c>
      <c r="FK1727" t="s">
        <v>198</v>
      </c>
      <c r="FU1727" t="s">
        <v>198</v>
      </c>
    </row>
    <row r="1728" spans="1:177">
      <c r="A1728" s="1" t="str">
        <f>HYPERLINK("http://digipan.lumentumllc.com/apps/getLink/index.php?t=PropLink&amp;p=41030325","PL")</f>
        <v>PL</v>
      </c>
      <c r="B1728" s="1" t="str">
        <f>HYPERLINK("http://digipan.lumentumllc.com/apps/getLink/index.php?t=TaxLink&amp;p=41030325","TL")</f>
        <v>TL</v>
      </c>
      <c r="C1728" s="1" t="str">
        <f>HYPERLINK("","")</f>
        <v/>
      </c>
      <c r="E1728" t="s">
        <v>177</v>
      </c>
      <c r="F1728" t="s">
        <v>178</v>
      </c>
      <c r="L1728" t="s">
        <v>21336</v>
      </c>
      <c r="N1728" t="s">
        <v>21336</v>
      </c>
      <c r="O1728" t="s">
        <v>21336</v>
      </c>
      <c r="Q1728" t="s">
        <v>21336</v>
      </c>
      <c r="V1728">
        <v>1975</v>
      </c>
      <c r="W1728">
        <v>7</v>
      </c>
      <c r="X1728">
        <v>2017</v>
      </c>
      <c r="Y1728">
        <v>2018</v>
      </c>
      <c r="Z1728">
        <v>1001.35</v>
      </c>
      <c r="AG1728" t="s">
        <v>184</v>
      </c>
      <c r="AH1728">
        <v>0</v>
      </c>
      <c r="AK1728">
        <v>0</v>
      </c>
      <c r="AL1728">
        <v>3000</v>
      </c>
      <c r="AM1728">
        <v>3000</v>
      </c>
      <c r="AN1728">
        <v>0</v>
      </c>
      <c r="AQ1728">
        <v>33.380000000000003</v>
      </c>
      <c r="AS1728" t="s">
        <v>21337</v>
      </c>
      <c r="AT1728" t="s">
        <v>3210</v>
      </c>
      <c r="AU1728" t="s">
        <v>177</v>
      </c>
      <c r="AV1728" t="s">
        <v>2334</v>
      </c>
      <c r="AW1728" t="s">
        <v>182</v>
      </c>
      <c r="AX1728">
        <v>0</v>
      </c>
      <c r="AY1728" t="s">
        <v>312</v>
      </c>
      <c r="AZ1728" t="s">
        <v>199</v>
      </c>
      <c r="BA1728" t="s">
        <v>313</v>
      </c>
      <c r="BB1728" t="s">
        <v>191</v>
      </c>
      <c r="BC1728" t="s">
        <v>202</v>
      </c>
      <c r="BD1728" t="s">
        <v>182</v>
      </c>
      <c r="BE1728" t="s">
        <v>13126</v>
      </c>
      <c r="BI1728" t="s">
        <v>199</v>
      </c>
      <c r="BN1728" t="s">
        <v>182</v>
      </c>
      <c r="BO1728" t="s">
        <v>198</v>
      </c>
      <c r="BP1728" t="s">
        <v>198</v>
      </c>
      <c r="BQ1728" t="s">
        <v>198</v>
      </c>
      <c r="BR1728" t="s">
        <v>198</v>
      </c>
      <c r="BS1728" t="s">
        <v>198</v>
      </c>
      <c r="BT1728" t="s">
        <v>198</v>
      </c>
      <c r="BU1728" t="s">
        <v>182</v>
      </c>
      <c r="BV1728" t="s">
        <v>198</v>
      </c>
      <c r="BW1728" t="s">
        <v>198</v>
      </c>
      <c r="BX1728" t="s">
        <v>199</v>
      </c>
      <c r="BY1728" t="s">
        <v>198</v>
      </c>
      <c r="CB1728" t="s">
        <v>21302</v>
      </c>
      <c r="CC1728" t="s">
        <v>201</v>
      </c>
      <c r="CD1728" t="s">
        <v>182</v>
      </c>
      <c r="CE1728" t="s">
        <v>21303</v>
      </c>
      <c r="CF1728" t="s">
        <v>413</v>
      </c>
      <c r="CG1728" t="s">
        <v>177</v>
      </c>
      <c r="CH1728" t="s">
        <v>7604</v>
      </c>
      <c r="CI1728" t="s">
        <v>21338</v>
      </c>
      <c r="CS1728" t="s">
        <v>198</v>
      </c>
      <c r="DC1728" t="s">
        <v>198</v>
      </c>
      <c r="DM1728" t="s">
        <v>198</v>
      </c>
      <c r="DW1728" t="s">
        <v>198</v>
      </c>
      <c r="EG1728" t="s">
        <v>198</v>
      </c>
      <c r="EQ1728" t="s">
        <v>198</v>
      </c>
      <c r="FA1728" t="s">
        <v>198</v>
      </c>
      <c r="FK1728" t="s">
        <v>198</v>
      </c>
      <c r="FU1728" t="s">
        <v>198</v>
      </c>
    </row>
    <row r="1729" spans="1:177">
      <c r="A1729" s="1" t="str">
        <f>HYPERLINK("http://digipan.lumentumllc.com/apps/getLink/index.php?t=PropLink&amp;p=41030333","PL")</f>
        <v>PL</v>
      </c>
      <c r="B1729" s="1" t="str">
        <f>HYPERLINK("http://digipan.lumentumllc.com/apps/getLink/index.php?t=TaxLink&amp;p=41030333","TL")</f>
        <v>TL</v>
      </c>
      <c r="C1729" s="1" t="str">
        <f>HYPERLINK("","")</f>
        <v/>
      </c>
      <c r="E1729" t="s">
        <v>177</v>
      </c>
      <c r="F1729" t="s">
        <v>178</v>
      </c>
      <c r="L1729" t="s">
        <v>21339</v>
      </c>
      <c r="N1729" t="s">
        <v>21339</v>
      </c>
      <c r="O1729" t="s">
        <v>21339</v>
      </c>
      <c r="Q1729" t="s">
        <v>21339</v>
      </c>
      <c r="V1729">
        <v>1976</v>
      </c>
      <c r="W1729">
        <v>7</v>
      </c>
      <c r="X1729">
        <v>2017</v>
      </c>
      <c r="Y1729">
        <v>2018</v>
      </c>
      <c r="Z1729">
        <v>1001.35</v>
      </c>
      <c r="AG1729" t="s">
        <v>184</v>
      </c>
      <c r="AH1729">
        <v>0</v>
      </c>
      <c r="AK1729">
        <v>0</v>
      </c>
      <c r="AL1729">
        <v>3000</v>
      </c>
      <c r="AM1729">
        <v>3000</v>
      </c>
      <c r="AN1729">
        <v>0</v>
      </c>
      <c r="AQ1729">
        <v>33.380000000000003</v>
      </c>
      <c r="AS1729" t="s">
        <v>21340</v>
      </c>
      <c r="AT1729" t="s">
        <v>3210</v>
      </c>
      <c r="AU1729" t="s">
        <v>177</v>
      </c>
      <c r="AV1729" t="s">
        <v>2334</v>
      </c>
      <c r="AW1729" t="s">
        <v>182</v>
      </c>
      <c r="AX1729">
        <v>0</v>
      </c>
      <c r="AY1729" t="s">
        <v>312</v>
      </c>
      <c r="AZ1729" t="s">
        <v>199</v>
      </c>
      <c r="BA1729" t="s">
        <v>313</v>
      </c>
      <c r="BB1729" t="s">
        <v>191</v>
      </c>
      <c r="BC1729" t="s">
        <v>202</v>
      </c>
      <c r="BD1729" t="s">
        <v>182</v>
      </c>
      <c r="BE1729" t="s">
        <v>12565</v>
      </c>
      <c r="BI1729" t="s">
        <v>199</v>
      </c>
      <c r="BN1729" t="s">
        <v>182</v>
      </c>
      <c r="BO1729" t="s">
        <v>198</v>
      </c>
      <c r="BP1729" t="s">
        <v>198</v>
      </c>
      <c r="BQ1729" t="s">
        <v>198</v>
      </c>
      <c r="BR1729" t="s">
        <v>198</v>
      </c>
      <c r="BS1729" t="s">
        <v>198</v>
      </c>
      <c r="BT1729" t="s">
        <v>198</v>
      </c>
      <c r="BU1729" t="s">
        <v>182</v>
      </c>
      <c r="BV1729" t="s">
        <v>198</v>
      </c>
      <c r="BW1729" t="s">
        <v>198</v>
      </c>
      <c r="BX1729" t="s">
        <v>199</v>
      </c>
      <c r="BY1729" t="s">
        <v>198</v>
      </c>
      <c r="CB1729" t="s">
        <v>21302</v>
      </c>
      <c r="CC1729" t="s">
        <v>201</v>
      </c>
      <c r="CD1729" t="s">
        <v>182</v>
      </c>
      <c r="CE1729" t="s">
        <v>21303</v>
      </c>
      <c r="CF1729" t="s">
        <v>413</v>
      </c>
      <c r="CG1729" t="s">
        <v>177</v>
      </c>
      <c r="CH1729" t="s">
        <v>7604</v>
      </c>
      <c r="CI1729" t="s">
        <v>21341</v>
      </c>
      <c r="CS1729" t="s">
        <v>198</v>
      </c>
      <c r="DC1729" t="s">
        <v>198</v>
      </c>
      <c r="DM1729" t="s">
        <v>198</v>
      </c>
      <c r="DW1729" t="s">
        <v>198</v>
      </c>
      <c r="EG1729" t="s">
        <v>198</v>
      </c>
      <c r="EQ1729" t="s">
        <v>198</v>
      </c>
      <c r="FA1729" t="s">
        <v>198</v>
      </c>
      <c r="FK1729" t="s">
        <v>198</v>
      </c>
      <c r="FU1729" t="s">
        <v>198</v>
      </c>
    </row>
    <row r="1730" spans="1:177">
      <c r="A1730" s="1" t="str">
        <f>HYPERLINK("http://digipan.lumentumllc.com/apps/getLink/index.php?t=PropLink&amp;p=41030334","PL")</f>
        <v>PL</v>
      </c>
      <c r="B1730" s="1" t="str">
        <f>HYPERLINK("http://digipan.lumentumllc.com/apps/getLink/index.php?t=TaxLink&amp;p=41030334","TL")</f>
        <v>TL</v>
      </c>
      <c r="C1730" s="1" t="str">
        <f>HYPERLINK("","")</f>
        <v/>
      </c>
      <c r="E1730" t="s">
        <v>177</v>
      </c>
      <c r="F1730" t="s">
        <v>178</v>
      </c>
      <c r="L1730" t="s">
        <v>21342</v>
      </c>
      <c r="N1730" t="s">
        <v>21342</v>
      </c>
      <c r="O1730" t="s">
        <v>21342</v>
      </c>
      <c r="Q1730" t="s">
        <v>21342</v>
      </c>
      <c r="V1730">
        <v>1977</v>
      </c>
      <c r="W1730">
        <v>7</v>
      </c>
      <c r="X1730">
        <v>2017</v>
      </c>
      <c r="Y1730">
        <v>2018</v>
      </c>
      <c r="Z1730">
        <v>1001.35</v>
      </c>
      <c r="AG1730" t="s">
        <v>184</v>
      </c>
      <c r="AH1730">
        <v>0</v>
      </c>
      <c r="AK1730">
        <v>0</v>
      </c>
      <c r="AL1730">
        <v>3000</v>
      </c>
      <c r="AM1730">
        <v>3000</v>
      </c>
      <c r="AN1730">
        <v>0</v>
      </c>
      <c r="AQ1730">
        <v>33.380000000000003</v>
      </c>
      <c r="AS1730" t="s">
        <v>21343</v>
      </c>
      <c r="AT1730" t="s">
        <v>3210</v>
      </c>
      <c r="AU1730" t="s">
        <v>177</v>
      </c>
      <c r="AV1730" t="s">
        <v>2334</v>
      </c>
      <c r="AW1730" t="s">
        <v>182</v>
      </c>
      <c r="AX1730">
        <v>0</v>
      </c>
      <c r="AY1730" t="s">
        <v>312</v>
      </c>
      <c r="AZ1730" t="s">
        <v>199</v>
      </c>
      <c r="BA1730" t="s">
        <v>313</v>
      </c>
      <c r="BB1730" t="s">
        <v>191</v>
      </c>
      <c r="BC1730" t="s">
        <v>202</v>
      </c>
      <c r="BD1730" t="s">
        <v>182</v>
      </c>
      <c r="BE1730" t="s">
        <v>13126</v>
      </c>
      <c r="BI1730" t="s">
        <v>199</v>
      </c>
      <c r="BN1730" t="s">
        <v>182</v>
      </c>
      <c r="BO1730" t="s">
        <v>198</v>
      </c>
      <c r="BP1730" t="s">
        <v>198</v>
      </c>
      <c r="BQ1730" t="s">
        <v>198</v>
      </c>
      <c r="BR1730" t="s">
        <v>198</v>
      </c>
      <c r="BS1730" t="s">
        <v>198</v>
      </c>
      <c r="BT1730" t="s">
        <v>198</v>
      </c>
      <c r="BU1730" t="s">
        <v>182</v>
      </c>
      <c r="BV1730" t="s">
        <v>198</v>
      </c>
      <c r="BW1730" t="s">
        <v>198</v>
      </c>
      <c r="BX1730" t="s">
        <v>199</v>
      </c>
      <c r="BY1730" t="s">
        <v>198</v>
      </c>
      <c r="CB1730" t="s">
        <v>21302</v>
      </c>
      <c r="CC1730" t="s">
        <v>201</v>
      </c>
      <c r="CD1730" t="s">
        <v>182</v>
      </c>
      <c r="CE1730" t="s">
        <v>21303</v>
      </c>
      <c r="CF1730" t="s">
        <v>413</v>
      </c>
      <c r="CG1730" t="s">
        <v>177</v>
      </c>
      <c r="CH1730" t="s">
        <v>7604</v>
      </c>
      <c r="CI1730" t="s">
        <v>21344</v>
      </c>
      <c r="CS1730" t="s">
        <v>198</v>
      </c>
      <c r="DC1730" t="s">
        <v>198</v>
      </c>
      <c r="DM1730" t="s">
        <v>198</v>
      </c>
      <c r="DW1730" t="s">
        <v>198</v>
      </c>
      <c r="EG1730" t="s">
        <v>198</v>
      </c>
      <c r="EQ1730" t="s">
        <v>198</v>
      </c>
      <c r="FA1730" t="s">
        <v>198</v>
      </c>
      <c r="FK1730" t="s">
        <v>198</v>
      </c>
      <c r="FU1730" t="s">
        <v>198</v>
      </c>
    </row>
    <row r="1731" spans="1:177">
      <c r="A1731" s="1" t="str">
        <f>HYPERLINK("http://digipan.lumentumllc.com/apps/getLink/index.php?t=PropLink&amp;p=41030337","PL")</f>
        <v>PL</v>
      </c>
      <c r="B1731" s="1" t="str">
        <f>HYPERLINK("http://digipan.lumentumllc.com/apps/getLink/index.php?t=TaxLink&amp;p=41030337","TL")</f>
        <v>TL</v>
      </c>
      <c r="C1731" s="1" t="str">
        <f>HYPERLINK("","")</f>
        <v/>
      </c>
      <c r="E1731" t="s">
        <v>177</v>
      </c>
      <c r="F1731" t="s">
        <v>178</v>
      </c>
      <c r="L1731" t="s">
        <v>21345</v>
      </c>
      <c r="N1731" t="s">
        <v>21345</v>
      </c>
      <c r="O1731" t="s">
        <v>21345</v>
      </c>
      <c r="Q1731" t="s">
        <v>21345</v>
      </c>
      <c r="V1731">
        <v>1978</v>
      </c>
      <c r="W1731">
        <v>7</v>
      </c>
      <c r="X1731">
        <v>2017</v>
      </c>
      <c r="Y1731">
        <v>2018</v>
      </c>
      <c r="Z1731">
        <v>1001.35</v>
      </c>
      <c r="AG1731" t="s">
        <v>184</v>
      </c>
      <c r="AH1731">
        <v>0</v>
      </c>
      <c r="AK1731">
        <v>0</v>
      </c>
      <c r="AL1731">
        <v>3000</v>
      </c>
      <c r="AM1731">
        <v>3000</v>
      </c>
      <c r="AN1731">
        <v>0</v>
      </c>
      <c r="AQ1731">
        <v>33.380000000000003</v>
      </c>
      <c r="AS1731" t="s">
        <v>21346</v>
      </c>
      <c r="AT1731" t="s">
        <v>3210</v>
      </c>
      <c r="AU1731" t="s">
        <v>177</v>
      </c>
      <c r="AV1731" t="s">
        <v>2334</v>
      </c>
      <c r="AW1731" t="s">
        <v>182</v>
      </c>
      <c r="AX1731">
        <v>0</v>
      </c>
      <c r="AY1731" t="s">
        <v>312</v>
      </c>
      <c r="AZ1731" t="s">
        <v>199</v>
      </c>
      <c r="BA1731" t="s">
        <v>313</v>
      </c>
      <c r="BB1731" t="s">
        <v>191</v>
      </c>
      <c r="BC1731" t="s">
        <v>202</v>
      </c>
      <c r="BD1731" t="s">
        <v>182</v>
      </c>
      <c r="BE1731" t="s">
        <v>12565</v>
      </c>
      <c r="BI1731" t="s">
        <v>199</v>
      </c>
      <c r="BN1731" t="s">
        <v>182</v>
      </c>
      <c r="BO1731" t="s">
        <v>198</v>
      </c>
      <c r="BP1731" t="s">
        <v>198</v>
      </c>
      <c r="BQ1731" t="s">
        <v>198</v>
      </c>
      <c r="BR1731" t="s">
        <v>198</v>
      </c>
      <c r="BS1731" t="s">
        <v>198</v>
      </c>
      <c r="BT1731" t="s">
        <v>198</v>
      </c>
      <c r="BU1731" t="s">
        <v>182</v>
      </c>
      <c r="BV1731" t="s">
        <v>198</v>
      </c>
      <c r="BW1731" t="s">
        <v>198</v>
      </c>
      <c r="BX1731" t="s">
        <v>199</v>
      </c>
      <c r="BY1731" t="s">
        <v>198</v>
      </c>
      <c r="CB1731" t="s">
        <v>21302</v>
      </c>
      <c r="CC1731" t="s">
        <v>201</v>
      </c>
      <c r="CD1731" t="s">
        <v>182</v>
      </c>
      <c r="CE1731" t="s">
        <v>21303</v>
      </c>
      <c r="CF1731" t="s">
        <v>413</v>
      </c>
      <c r="CG1731" t="s">
        <v>177</v>
      </c>
      <c r="CH1731" t="s">
        <v>7604</v>
      </c>
      <c r="CI1731" t="s">
        <v>21347</v>
      </c>
      <c r="CS1731" t="s">
        <v>198</v>
      </c>
      <c r="DC1731" t="s">
        <v>198</v>
      </c>
      <c r="DM1731" t="s">
        <v>198</v>
      </c>
      <c r="DW1731" t="s">
        <v>198</v>
      </c>
      <c r="EG1731" t="s">
        <v>198</v>
      </c>
      <c r="EQ1731" t="s">
        <v>198</v>
      </c>
      <c r="FA1731" t="s">
        <v>198</v>
      </c>
      <c r="FK1731" t="s">
        <v>198</v>
      </c>
      <c r="FU1731" t="s">
        <v>198</v>
      </c>
    </row>
    <row r="1732" spans="1:177">
      <c r="A1732" s="1" t="str">
        <f>HYPERLINK("http://digipan.lumentumllc.com/apps/getLink/index.php?t=PropLink&amp;p=5247593","PL")</f>
        <v>PL</v>
      </c>
      <c r="B1732" s="1" t="str">
        <f>HYPERLINK("http://digipan.lumentumllc.com/apps/getLink/index.php?t=TaxLink&amp;p=5247593","TL")</f>
        <v>TL</v>
      </c>
      <c r="C1732" s="1" t="str">
        <f>HYPERLINK("http://digipan.lumentumllc.com/apps/getMap/index.php?p=5247593","Map")</f>
        <v>Map</v>
      </c>
      <c r="E1732" t="s">
        <v>177</v>
      </c>
      <c r="F1732" t="s">
        <v>178</v>
      </c>
      <c r="L1732" t="s">
        <v>21348</v>
      </c>
      <c r="N1732" t="s">
        <v>21348</v>
      </c>
      <c r="O1732" t="s">
        <v>21348</v>
      </c>
      <c r="P1732" t="s">
        <v>21349</v>
      </c>
      <c r="Q1732" t="s">
        <v>21348</v>
      </c>
      <c r="V1732">
        <v>1979</v>
      </c>
      <c r="W1732">
        <v>7</v>
      </c>
      <c r="X1732">
        <v>2017</v>
      </c>
      <c r="Y1732">
        <v>2018</v>
      </c>
      <c r="Z1732">
        <v>5423.76</v>
      </c>
      <c r="AB1732" t="s">
        <v>181</v>
      </c>
      <c r="AC1732" t="s">
        <v>182</v>
      </c>
      <c r="AD1732" t="s">
        <v>183</v>
      </c>
      <c r="AE1732">
        <v>1</v>
      </c>
      <c r="AF1732">
        <v>7</v>
      </c>
      <c r="AG1732" t="s">
        <v>418</v>
      </c>
      <c r="AH1732">
        <v>86</v>
      </c>
      <c r="AI1732">
        <v>5371.13</v>
      </c>
      <c r="AJ1732">
        <v>268.56</v>
      </c>
      <c r="AK1732">
        <v>5639.69</v>
      </c>
      <c r="AL1732">
        <v>514202</v>
      </c>
      <c r="AM1732">
        <v>461768</v>
      </c>
      <c r="AN1732">
        <v>52434</v>
      </c>
      <c r="AO1732">
        <v>4941</v>
      </c>
      <c r="AP1732">
        <v>2016</v>
      </c>
      <c r="AQ1732">
        <v>1.05</v>
      </c>
      <c r="AR1732">
        <v>1.1000000000000001</v>
      </c>
      <c r="AS1732" t="s">
        <v>21350</v>
      </c>
      <c r="AT1732" t="s">
        <v>3210</v>
      </c>
      <c r="AU1732" t="s">
        <v>177</v>
      </c>
      <c r="AV1732" t="s">
        <v>2334</v>
      </c>
      <c r="AW1732" t="s">
        <v>202</v>
      </c>
      <c r="AX1732">
        <v>1</v>
      </c>
      <c r="AY1732" t="s">
        <v>188</v>
      </c>
      <c r="AZ1732" t="s">
        <v>206</v>
      </c>
      <c r="BA1732" t="s">
        <v>355</v>
      </c>
      <c r="BB1732" t="s">
        <v>191</v>
      </c>
      <c r="BC1732" t="s">
        <v>182</v>
      </c>
      <c r="BD1732" t="s">
        <v>182</v>
      </c>
      <c r="BE1732" t="s">
        <v>21351</v>
      </c>
      <c r="BF1732">
        <v>1</v>
      </c>
      <c r="BG1732">
        <v>1</v>
      </c>
      <c r="BH1732">
        <v>1952</v>
      </c>
      <c r="BI1732" t="s">
        <v>14559</v>
      </c>
      <c r="BJ1732" t="s">
        <v>194</v>
      </c>
      <c r="BK1732" t="s">
        <v>195</v>
      </c>
      <c r="BL1732" t="s">
        <v>199</v>
      </c>
      <c r="BM1732" t="s">
        <v>533</v>
      </c>
      <c r="BN1732" t="s">
        <v>182</v>
      </c>
      <c r="BO1732" t="s">
        <v>3184</v>
      </c>
      <c r="BP1732" t="s">
        <v>14397</v>
      </c>
      <c r="BR1732" t="s">
        <v>1461</v>
      </c>
      <c r="BS1732" t="s">
        <v>21352</v>
      </c>
      <c r="BT1732" t="s">
        <v>198</v>
      </c>
      <c r="BU1732" t="s">
        <v>182</v>
      </c>
      <c r="BV1732" t="s">
        <v>198</v>
      </c>
      <c r="BW1732" t="s">
        <v>198</v>
      </c>
      <c r="BX1732" t="s">
        <v>199</v>
      </c>
      <c r="BY1732" t="s">
        <v>198</v>
      </c>
      <c r="BZ1732" t="s">
        <v>199</v>
      </c>
      <c r="CA1732" t="s">
        <v>199</v>
      </c>
      <c r="CB1732" t="s">
        <v>21353</v>
      </c>
      <c r="CC1732" t="s">
        <v>201</v>
      </c>
      <c r="CD1732" t="s">
        <v>202</v>
      </c>
      <c r="CE1732" t="s">
        <v>21354</v>
      </c>
      <c r="CF1732" t="s">
        <v>2333</v>
      </c>
      <c r="CG1732" t="s">
        <v>177</v>
      </c>
      <c r="CH1732" t="s">
        <v>2334</v>
      </c>
      <c r="CI1732" t="s">
        <v>21355</v>
      </c>
      <c r="CJ1732" t="s">
        <v>2199</v>
      </c>
      <c r="CK1732" t="s">
        <v>232</v>
      </c>
      <c r="CL1732" t="s">
        <v>233</v>
      </c>
      <c r="CM1732" t="s">
        <v>21356</v>
      </c>
      <c r="CN1732" t="s">
        <v>235</v>
      </c>
      <c r="CO1732" t="s">
        <v>183</v>
      </c>
      <c r="CP1732" t="s">
        <v>266</v>
      </c>
      <c r="CS1732" t="s">
        <v>198</v>
      </c>
      <c r="CT1732" t="s">
        <v>937</v>
      </c>
      <c r="CU1732" t="s">
        <v>292</v>
      </c>
      <c r="CV1732" t="s">
        <v>293</v>
      </c>
      <c r="CW1732" t="s">
        <v>21357</v>
      </c>
      <c r="CX1732" t="s">
        <v>235</v>
      </c>
      <c r="CY1732" t="s">
        <v>183</v>
      </c>
      <c r="CZ1732" t="s">
        <v>211</v>
      </c>
      <c r="DA1732" t="s">
        <v>345</v>
      </c>
      <c r="DC1732" t="s">
        <v>8184</v>
      </c>
      <c r="DD1732" t="s">
        <v>21358</v>
      </c>
      <c r="DE1732" t="s">
        <v>267</v>
      </c>
      <c r="DF1732" t="s">
        <v>268</v>
      </c>
      <c r="DG1732" t="s">
        <v>21359</v>
      </c>
      <c r="DH1732" t="s">
        <v>235</v>
      </c>
      <c r="DI1732" t="s">
        <v>183</v>
      </c>
      <c r="DJ1732" t="s">
        <v>211</v>
      </c>
      <c r="DK1732" t="s">
        <v>345</v>
      </c>
      <c r="DM1732" t="s">
        <v>8487</v>
      </c>
      <c r="DN1732" t="s">
        <v>8173</v>
      </c>
      <c r="DO1732" t="s">
        <v>273</v>
      </c>
      <c r="DP1732" t="s">
        <v>274</v>
      </c>
      <c r="DQ1732" t="s">
        <v>21360</v>
      </c>
      <c r="DR1732" t="s">
        <v>235</v>
      </c>
      <c r="DS1732" t="s">
        <v>183</v>
      </c>
      <c r="DT1732" t="s">
        <v>211</v>
      </c>
      <c r="DU1732" t="s">
        <v>345</v>
      </c>
      <c r="DW1732" t="s">
        <v>4483</v>
      </c>
      <c r="DX1732" t="s">
        <v>3606</v>
      </c>
      <c r="DY1732" t="s">
        <v>302</v>
      </c>
      <c r="DZ1732" t="s">
        <v>303</v>
      </c>
      <c r="EA1732" t="s">
        <v>21361</v>
      </c>
      <c r="EB1732" t="s">
        <v>235</v>
      </c>
      <c r="EC1732" t="s">
        <v>183</v>
      </c>
      <c r="ED1732" t="s">
        <v>211</v>
      </c>
      <c r="EE1732" t="s">
        <v>298</v>
      </c>
      <c r="EG1732" t="s">
        <v>2359</v>
      </c>
      <c r="EH1732" t="s">
        <v>21362</v>
      </c>
      <c r="EI1732" t="s">
        <v>238</v>
      </c>
      <c r="EJ1732" t="s">
        <v>239</v>
      </c>
      <c r="EK1732" t="s">
        <v>21363</v>
      </c>
      <c r="EL1732" t="s">
        <v>235</v>
      </c>
      <c r="EM1732" t="s">
        <v>183</v>
      </c>
      <c r="EN1732" t="s">
        <v>211</v>
      </c>
      <c r="EO1732" t="s">
        <v>298</v>
      </c>
      <c r="EQ1732" t="s">
        <v>467</v>
      </c>
      <c r="ER1732" t="s">
        <v>17907</v>
      </c>
      <c r="ES1732" t="s">
        <v>346</v>
      </c>
      <c r="ET1732" t="s">
        <v>347</v>
      </c>
      <c r="EU1732" t="s">
        <v>21364</v>
      </c>
      <c r="EV1732" t="s">
        <v>796</v>
      </c>
      <c r="EW1732" t="s">
        <v>183</v>
      </c>
      <c r="EX1732" t="s">
        <v>211</v>
      </c>
      <c r="EY1732" t="s">
        <v>298</v>
      </c>
      <c r="FA1732" t="s">
        <v>470</v>
      </c>
      <c r="FB1732" t="s">
        <v>19460</v>
      </c>
      <c r="FC1732" t="s">
        <v>207</v>
      </c>
      <c r="FD1732" t="s">
        <v>208</v>
      </c>
      <c r="FE1732" t="s">
        <v>21365</v>
      </c>
      <c r="FF1732" t="s">
        <v>235</v>
      </c>
      <c r="FG1732" t="s">
        <v>183</v>
      </c>
      <c r="FH1732" t="s">
        <v>211</v>
      </c>
      <c r="FI1732" t="s">
        <v>444</v>
      </c>
      <c r="FK1732" t="s">
        <v>13222</v>
      </c>
      <c r="FU1732" t="s">
        <v>198</v>
      </c>
    </row>
    <row r="1733" spans="1:177">
      <c r="A1733" s="1" t="str">
        <f>HYPERLINK("http://digipan.lumentumllc.com/apps/getLink/index.php?t=PropLink&amp;p=5247594","PL")</f>
        <v>PL</v>
      </c>
      <c r="B1733" s="1" t="str">
        <f>HYPERLINK("http://digipan.lumentumllc.com/apps/getLink/index.php?t=TaxLink&amp;p=5247594","TL")</f>
        <v>TL</v>
      </c>
      <c r="C1733" s="1" t="str">
        <f>HYPERLINK("http://digipan.lumentumllc.com/apps/getMap/index.php?p=5247594","Map")</f>
        <v>Map</v>
      </c>
      <c r="E1733" t="s">
        <v>177</v>
      </c>
      <c r="F1733" t="s">
        <v>178</v>
      </c>
      <c r="L1733" t="s">
        <v>21366</v>
      </c>
      <c r="N1733" t="s">
        <v>21366</v>
      </c>
      <c r="O1733" t="s">
        <v>21366</v>
      </c>
      <c r="P1733" t="s">
        <v>21367</v>
      </c>
      <c r="Q1733" t="s">
        <v>21366</v>
      </c>
      <c r="V1733">
        <v>1980</v>
      </c>
      <c r="W1733">
        <v>7</v>
      </c>
      <c r="X1733">
        <v>2017</v>
      </c>
      <c r="Y1733">
        <v>2018</v>
      </c>
      <c r="Z1733">
        <v>745.85</v>
      </c>
      <c r="AB1733" t="s">
        <v>181</v>
      </c>
      <c r="AC1733" t="s">
        <v>182</v>
      </c>
      <c r="AD1733" t="s">
        <v>183</v>
      </c>
      <c r="AE1733">
        <v>1</v>
      </c>
      <c r="AF1733">
        <v>7</v>
      </c>
      <c r="AG1733" t="s">
        <v>418</v>
      </c>
      <c r="AH1733">
        <v>86</v>
      </c>
      <c r="AI1733">
        <v>750.86</v>
      </c>
      <c r="AJ1733">
        <v>37.54</v>
      </c>
      <c r="AK1733">
        <v>788.4</v>
      </c>
      <c r="AL1733">
        <v>43600</v>
      </c>
      <c r="AM1733">
        <v>43600</v>
      </c>
      <c r="AN1733">
        <v>0</v>
      </c>
      <c r="AO1733">
        <v>669</v>
      </c>
      <c r="AP1733">
        <v>2016</v>
      </c>
      <c r="AQ1733">
        <v>1.71</v>
      </c>
      <c r="AR1733">
        <v>1.81</v>
      </c>
      <c r="AS1733" t="s">
        <v>21368</v>
      </c>
      <c r="AT1733" t="s">
        <v>3210</v>
      </c>
      <c r="AU1733" t="s">
        <v>177</v>
      </c>
      <c r="AV1733" t="s">
        <v>2334</v>
      </c>
      <c r="AW1733" t="s">
        <v>182</v>
      </c>
      <c r="AX1733">
        <v>0</v>
      </c>
      <c r="AY1733" t="s">
        <v>312</v>
      </c>
      <c r="AZ1733" t="s">
        <v>199</v>
      </c>
      <c r="BA1733" t="s">
        <v>313</v>
      </c>
      <c r="BB1733" t="s">
        <v>191</v>
      </c>
      <c r="BC1733" t="s">
        <v>182</v>
      </c>
      <c r="BD1733" t="s">
        <v>182</v>
      </c>
      <c r="BE1733" t="s">
        <v>1214</v>
      </c>
      <c r="BF1733">
        <v>0</v>
      </c>
      <c r="BG1733">
        <v>0</v>
      </c>
      <c r="BH1733">
        <v>0</v>
      </c>
      <c r="BI1733" t="s">
        <v>199</v>
      </c>
      <c r="BJ1733" t="s">
        <v>315</v>
      </c>
      <c r="BL1733" t="s">
        <v>623</v>
      </c>
      <c r="BM1733" t="s">
        <v>207</v>
      </c>
      <c r="BN1733" t="s">
        <v>182</v>
      </c>
      <c r="BO1733" t="s">
        <v>198</v>
      </c>
      <c r="BP1733" t="s">
        <v>198</v>
      </c>
      <c r="BQ1733" t="s">
        <v>198</v>
      </c>
      <c r="BR1733" t="s">
        <v>198</v>
      </c>
      <c r="BS1733" t="s">
        <v>198</v>
      </c>
      <c r="BT1733" t="s">
        <v>198</v>
      </c>
      <c r="BU1733" t="s">
        <v>182</v>
      </c>
      <c r="BV1733" t="s">
        <v>198</v>
      </c>
      <c r="BW1733" t="s">
        <v>198</v>
      </c>
      <c r="BX1733" t="s">
        <v>199</v>
      </c>
      <c r="BY1733" t="s">
        <v>198</v>
      </c>
      <c r="BZ1733" t="s">
        <v>199</v>
      </c>
      <c r="CA1733" t="s">
        <v>199</v>
      </c>
      <c r="CB1733" t="s">
        <v>21369</v>
      </c>
      <c r="CC1733" t="s">
        <v>201</v>
      </c>
      <c r="CD1733" t="s">
        <v>182</v>
      </c>
      <c r="CE1733" t="s">
        <v>21370</v>
      </c>
      <c r="CF1733" t="s">
        <v>2333</v>
      </c>
      <c r="CG1733" t="s">
        <v>177</v>
      </c>
      <c r="CH1733" t="s">
        <v>3178</v>
      </c>
      <c r="CI1733" t="s">
        <v>21371</v>
      </c>
      <c r="CJ1733" t="s">
        <v>19692</v>
      </c>
      <c r="CK1733" t="s">
        <v>232</v>
      </c>
      <c r="CL1733" t="s">
        <v>233</v>
      </c>
      <c r="CM1733" t="s">
        <v>21372</v>
      </c>
      <c r="CN1733" t="s">
        <v>331</v>
      </c>
      <c r="CO1733" t="s">
        <v>183</v>
      </c>
      <c r="CP1733" t="s">
        <v>266</v>
      </c>
      <c r="CS1733" t="s">
        <v>198</v>
      </c>
      <c r="CT1733" t="s">
        <v>2155</v>
      </c>
      <c r="CU1733" t="s">
        <v>292</v>
      </c>
      <c r="CV1733" t="s">
        <v>293</v>
      </c>
      <c r="CW1733" t="s">
        <v>21373</v>
      </c>
      <c r="CX1733" t="s">
        <v>331</v>
      </c>
      <c r="CY1733" t="s">
        <v>183</v>
      </c>
      <c r="CZ1733" t="s">
        <v>211</v>
      </c>
      <c r="DA1733" t="s">
        <v>298</v>
      </c>
      <c r="DC1733" t="s">
        <v>4023</v>
      </c>
      <c r="DD1733" t="s">
        <v>21374</v>
      </c>
      <c r="DE1733" t="s">
        <v>267</v>
      </c>
      <c r="DF1733" t="s">
        <v>268</v>
      </c>
      <c r="DG1733" t="s">
        <v>21375</v>
      </c>
      <c r="DH1733" t="s">
        <v>254</v>
      </c>
      <c r="DI1733" t="s">
        <v>183</v>
      </c>
      <c r="DJ1733" t="s">
        <v>211</v>
      </c>
      <c r="DK1733" t="s">
        <v>298</v>
      </c>
      <c r="DM1733" t="s">
        <v>5919</v>
      </c>
      <c r="DN1733" t="s">
        <v>7960</v>
      </c>
      <c r="DO1733" t="s">
        <v>273</v>
      </c>
      <c r="DP1733" t="s">
        <v>274</v>
      </c>
      <c r="DQ1733" t="s">
        <v>21376</v>
      </c>
      <c r="DR1733" t="s">
        <v>235</v>
      </c>
      <c r="DS1733" t="s">
        <v>183</v>
      </c>
      <c r="DT1733" t="s">
        <v>211</v>
      </c>
      <c r="DU1733" t="s">
        <v>298</v>
      </c>
      <c r="DW1733" t="s">
        <v>7503</v>
      </c>
      <c r="DX1733" t="s">
        <v>11604</v>
      </c>
      <c r="DY1733" t="s">
        <v>302</v>
      </c>
      <c r="DZ1733" t="s">
        <v>303</v>
      </c>
      <c r="EA1733" t="s">
        <v>21377</v>
      </c>
      <c r="EB1733" t="s">
        <v>511</v>
      </c>
      <c r="EC1733" t="s">
        <v>183</v>
      </c>
      <c r="ED1733" t="s">
        <v>211</v>
      </c>
      <c r="EE1733" t="s">
        <v>298</v>
      </c>
      <c r="EG1733" t="s">
        <v>1765</v>
      </c>
      <c r="EH1733" t="s">
        <v>21378</v>
      </c>
      <c r="EI1733" t="s">
        <v>238</v>
      </c>
      <c r="EJ1733" t="s">
        <v>239</v>
      </c>
      <c r="EK1733" t="s">
        <v>21379</v>
      </c>
      <c r="EL1733" t="s">
        <v>440</v>
      </c>
      <c r="EM1733" t="s">
        <v>183</v>
      </c>
      <c r="EN1733" t="s">
        <v>211</v>
      </c>
      <c r="EO1733" t="s">
        <v>298</v>
      </c>
      <c r="EQ1733" t="s">
        <v>3277</v>
      </c>
      <c r="ER1733" t="s">
        <v>21380</v>
      </c>
      <c r="ES1733" t="s">
        <v>346</v>
      </c>
      <c r="ET1733" t="s">
        <v>347</v>
      </c>
      <c r="EU1733" t="s">
        <v>21381</v>
      </c>
      <c r="EV1733" t="s">
        <v>278</v>
      </c>
      <c r="EW1733" t="s">
        <v>183</v>
      </c>
      <c r="EX1733" t="s">
        <v>211</v>
      </c>
      <c r="EY1733" t="s">
        <v>337</v>
      </c>
      <c r="FA1733" t="s">
        <v>9506</v>
      </c>
      <c r="FB1733" t="s">
        <v>21382</v>
      </c>
      <c r="FC1733" t="s">
        <v>207</v>
      </c>
      <c r="FD1733" t="s">
        <v>208</v>
      </c>
      <c r="FE1733" t="s">
        <v>21383</v>
      </c>
      <c r="FF1733" t="s">
        <v>314</v>
      </c>
      <c r="FG1733" t="s">
        <v>183</v>
      </c>
      <c r="FH1733" t="s">
        <v>211</v>
      </c>
      <c r="FI1733" t="s">
        <v>337</v>
      </c>
      <c r="FK1733" t="s">
        <v>14567</v>
      </c>
      <c r="FU1733" t="s">
        <v>198</v>
      </c>
    </row>
    <row r="1734" spans="1:177">
      <c r="A1734" s="1" t="str">
        <f>HYPERLINK("http://digipan.lumentumllc.com/apps/getLink/index.php?t=PropLink&amp;p=5247595","PL")</f>
        <v>PL</v>
      </c>
      <c r="B1734" s="1" t="str">
        <f>HYPERLINK("http://digipan.lumentumllc.com/apps/getLink/index.php?t=TaxLink&amp;p=5247595","TL")</f>
        <v>TL</v>
      </c>
      <c r="C1734" s="1" t="str">
        <f>HYPERLINK("http://digipan.lumentumllc.com/apps/getMap/index.php?p=5247595","Map")</f>
        <v>Map</v>
      </c>
      <c r="E1734" t="s">
        <v>177</v>
      </c>
      <c r="F1734" t="s">
        <v>178</v>
      </c>
      <c r="L1734" t="s">
        <v>21384</v>
      </c>
      <c r="N1734" t="s">
        <v>21384</v>
      </c>
      <c r="O1734" t="s">
        <v>21384</v>
      </c>
      <c r="P1734" t="s">
        <v>21385</v>
      </c>
      <c r="Q1734" t="s">
        <v>21384</v>
      </c>
      <c r="V1734">
        <v>1981</v>
      </c>
      <c r="W1734">
        <v>7</v>
      </c>
      <c r="X1734">
        <v>2017</v>
      </c>
      <c r="Y1734">
        <v>2018</v>
      </c>
      <c r="Z1734">
        <v>594.51</v>
      </c>
      <c r="AB1734" t="s">
        <v>181</v>
      </c>
      <c r="AC1734" t="s">
        <v>182</v>
      </c>
      <c r="AD1734" t="s">
        <v>183</v>
      </c>
      <c r="AE1734">
        <v>1</v>
      </c>
      <c r="AF1734">
        <v>7</v>
      </c>
      <c r="AG1734" t="s">
        <v>418</v>
      </c>
      <c r="AH1734">
        <v>86</v>
      </c>
      <c r="AI1734">
        <v>588.95000000000005</v>
      </c>
      <c r="AJ1734">
        <v>29.45</v>
      </c>
      <c r="AK1734">
        <v>618.4</v>
      </c>
      <c r="AL1734">
        <v>96953</v>
      </c>
      <c r="AM1734">
        <v>30000</v>
      </c>
      <c r="AN1734">
        <v>66953</v>
      </c>
      <c r="AO1734">
        <v>520</v>
      </c>
      <c r="AP1734">
        <v>2016</v>
      </c>
      <c r="AQ1734">
        <v>0.61</v>
      </c>
      <c r="AR1734">
        <v>0.64</v>
      </c>
      <c r="AS1734" t="s">
        <v>21386</v>
      </c>
      <c r="AT1734" t="s">
        <v>3210</v>
      </c>
      <c r="AU1734" t="s">
        <v>177</v>
      </c>
      <c r="AV1734" t="s">
        <v>2334</v>
      </c>
      <c r="AW1734" t="s">
        <v>202</v>
      </c>
      <c r="AX1734">
        <v>1</v>
      </c>
      <c r="AY1734" t="s">
        <v>188</v>
      </c>
      <c r="AZ1734" t="s">
        <v>206</v>
      </c>
      <c r="BA1734" t="s">
        <v>355</v>
      </c>
      <c r="BB1734" t="s">
        <v>191</v>
      </c>
      <c r="BC1734" t="s">
        <v>182</v>
      </c>
      <c r="BD1734" t="s">
        <v>182</v>
      </c>
      <c r="BE1734" t="s">
        <v>7767</v>
      </c>
      <c r="BF1734">
        <v>1</v>
      </c>
      <c r="BG1734">
        <v>1</v>
      </c>
      <c r="BH1734">
        <v>1977</v>
      </c>
      <c r="BI1734" t="s">
        <v>13802</v>
      </c>
      <c r="BJ1734" t="s">
        <v>194</v>
      </c>
      <c r="BK1734" t="s">
        <v>195</v>
      </c>
      <c r="BL1734" t="s">
        <v>199</v>
      </c>
      <c r="BM1734" t="s">
        <v>286</v>
      </c>
      <c r="BN1734" t="s">
        <v>182</v>
      </c>
      <c r="BO1734" t="s">
        <v>21387</v>
      </c>
      <c r="BP1734" t="s">
        <v>21388</v>
      </c>
      <c r="BS1734" t="s">
        <v>21389</v>
      </c>
      <c r="BT1734" t="s">
        <v>198</v>
      </c>
      <c r="BU1734" t="s">
        <v>182</v>
      </c>
      <c r="BV1734" t="s">
        <v>198</v>
      </c>
      <c r="BW1734" t="s">
        <v>198</v>
      </c>
      <c r="BX1734" t="s">
        <v>199</v>
      </c>
      <c r="BY1734" t="s">
        <v>198</v>
      </c>
      <c r="BZ1734" t="s">
        <v>199</v>
      </c>
      <c r="CA1734" t="s">
        <v>199</v>
      </c>
      <c r="CB1734" t="s">
        <v>21369</v>
      </c>
      <c r="CC1734" t="s">
        <v>201</v>
      </c>
      <c r="CD1734" t="s">
        <v>182</v>
      </c>
      <c r="CE1734" t="s">
        <v>21390</v>
      </c>
      <c r="CF1734" t="s">
        <v>2333</v>
      </c>
      <c r="CG1734" t="s">
        <v>177</v>
      </c>
      <c r="CH1734" t="s">
        <v>3178</v>
      </c>
      <c r="CI1734" t="s">
        <v>21391</v>
      </c>
      <c r="CJ1734" t="s">
        <v>18769</v>
      </c>
      <c r="CK1734" t="s">
        <v>232</v>
      </c>
      <c r="CL1734" t="s">
        <v>233</v>
      </c>
      <c r="CM1734" t="s">
        <v>21392</v>
      </c>
      <c r="CN1734" t="s">
        <v>235</v>
      </c>
      <c r="CO1734" t="s">
        <v>183</v>
      </c>
      <c r="CP1734" t="s">
        <v>266</v>
      </c>
      <c r="CS1734" t="s">
        <v>198</v>
      </c>
      <c r="CT1734" t="s">
        <v>2185</v>
      </c>
      <c r="CU1734" t="s">
        <v>292</v>
      </c>
      <c r="CV1734" t="s">
        <v>293</v>
      </c>
      <c r="CW1734" t="s">
        <v>21393</v>
      </c>
      <c r="CX1734" t="s">
        <v>235</v>
      </c>
      <c r="CY1734" t="s">
        <v>183</v>
      </c>
      <c r="CZ1734" t="s">
        <v>211</v>
      </c>
      <c r="DA1734" t="s">
        <v>298</v>
      </c>
      <c r="DC1734" t="s">
        <v>4023</v>
      </c>
      <c r="DD1734" t="s">
        <v>3432</v>
      </c>
      <c r="DE1734" t="s">
        <v>267</v>
      </c>
      <c r="DF1734" t="s">
        <v>268</v>
      </c>
      <c r="DG1734" t="s">
        <v>21394</v>
      </c>
      <c r="DH1734" t="s">
        <v>235</v>
      </c>
      <c r="DI1734" t="s">
        <v>183</v>
      </c>
      <c r="DJ1734" t="s">
        <v>211</v>
      </c>
      <c r="DK1734" t="s">
        <v>298</v>
      </c>
      <c r="DM1734" t="s">
        <v>5919</v>
      </c>
      <c r="DN1734" t="s">
        <v>8213</v>
      </c>
      <c r="DO1734" t="s">
        <v>273</v>
      </c>
      <c r="DP1734" t="s">
        <v>274</v>
      </c>
      <c r="DQ1734" t="s">
        <v>21395</v>
      </c>
      <c r="DR1734" t="s">
        <v>235</v>
      </c>
      <c r="DS1734" t="s">
        <v>183</v>
      </c>
      <c r="DT1734" t="s">
        <v>211</v>
      </c>
      <c r="DU1734" t="s">
        <v>298</v>
      </c>
      <c r="DW1734" t="s">
        <v>7503</v>
      </c>
      <c r="DX1734" t="s">
        <v>21396</v>
      </c>
      <c r="DY1734" t="s">
        <v>302</v>
      </c>
      <c r="DZ1734" t="s">
        <v>303</v>
      </c>
      <c r="EA1734" t="s">
        <v>21397</v>
      </c>
      <c r="EB1734" t="s">
        <v>235</v>
      </c>
      <c r="EC1734" t="s">
        <v>183</v>
      </c>
      <c r="ED1734" t="s">
        <v>211</v>
      </c>
      <c r="EE1734" t="s">
        <v>298</v>
      </c>
      <c r="EG1734" t="s">
        <v>1765</v>
      </c>
      <c r="EH1734" t="s">
        <v>17257</v>
      </c>
      <c r="EI1734" t="s">
        <v>238</v>
      </c>
      <c r="EJ1734" t="s">
        <v>239</v>
      </c>
      <c r="EK1734" t="s">
        <v>21398</v>
      </c>
      <c r="EL1734" t="s">
        <v>235</v>
      </c>
      <c r="EM1734" t="s">
        <v>183</v>
      </c>
      <c r="EN1734" t="s">
        <v>211</v>
      </c>
      <c r="EO1734" t="s">
        <v>298</v>
      </c>
      <c r="EQ1734" t="s">
        <v>3277</v>
      </c>
      <c r="ER1734" t="s">
        <v>21399</v>
      </c>
      <c r="ES1734" t="s">
        <v>346</v>
      </c>
      <c r="ET1734" t="s">
        <v>347</v>
      </c>
      <c r="EU1734" t="s">
        <v>21400</v>
      </c>
      <c r="EV1734" t="s">
        <v>511</v>
      </c>
      <c r="EW1734" t="s">
        <v>183</v>
      </c>
      <c r="EX1734" t="s">
        <v>211</v>
      </c>
      <c r="EY1734" t="s">
        <v>298</v>
      </c>
      <c r="FA1734" t="s">
        <v>470</v>
      </c>
      <c r="FB1734" t="s">
        <v>16126</v>
      </c>
      <c r="FC1734" t="s">
        <v>207</v>
      </c>
      <c r="FD1734" t="s">
        <v>208</v>
      </c>
      <c r="FE1734" t="s">
        <v>18041</v>
      </c>
      <c r="FF1734" t="s">
        <v>688</v>
      </c>
      <c r="FG1734" t="s">
        <v>183</v>
      </c>
      <c r="FH1734" t="s">
        <v>211</v>
      </c>
      <c r="FI1734" t="s">
        <v>345</v>
      </c>
      <c r="FK1734" t="s">
        <v>1703</v>
      </c>
      <c r="FU1734" t="s">
        <v>198</v>
      </c>
    </row>
    <row r="1735" spans="1:177">
      <c r="A1735" s="1" t="str">
        <f>HYPERLINK("http://digipan.lumentumllc.com/apps/getLink/index.php?t=PropLink&amp;p=15757484","PL")</f>
        <v>PL</v>
      </c>
      <c r="B1735" s="1" t="str">
        <f>HYPERLINK("http://digipan.lumentumllc.com/apps/getLink/index.php?t=TaxLink&amp;p=15757484","TL")</f>
        <v>TL</v>
      </c>
      <c r="C1735" s="1" t="str">
        <f>HYPERLINK("http://digipan.lumentumllc.com/apps/getMap/index.php?p=15757484","Map")</f>
        <v>Map</v>
      </c>
      <c r="E1735" t="s">
        <v>177</v>
      </c>
      <c r="F1735" t="s">
        <v>178</v>
      </c>
      <c r="L1735" t="s">
        <v>21401</v>
      </c>
      <c r="N1735" t="s">
        <v>21401</v>
      </c>
      <c r="O1735" t="s">
        <v>21401</v>
      </c>
      <c r="Q1735" t="s">
        <v>21401</v>
      </c>
      <c r="V1735">
        <v>1982</v>
      </c>
      <c r="W1735">
        <v>7</v>
      </c>
      <c r="X1735">
        <v>2017</v>
      </c>
      <c r="Y1735">
        <v>2018</v>
      </c>
      <c r="Z1735">
        <v>494.42</v>
      </c>
      <c r="AB1735" t="s">
        <v>181</v>
      </c>
      <c r="AC1735" t="s">
        <v>182</v>
      </c>
      <c r="AD1735" t="s">
        <v>183</v>
      </c>
      <c r="AE1735">
        <v>1</v>
      </c>
      <c r="AF1735">
        <v>0</v>
      </c>
      <c r="AG1735" t="s">
        <v>1200</v>
      </c>
      <c r="AH1735">
        <v>0</v>
      </c>
      <c r="AI1735">
        <v>528.75</v>
      </c>
      <c r="AJ1735">
        <v>26.44</v>
      </c>
      <c r="AK1735">
        <v>555.19000000000005</v>
      </c>
      <c r="AL1735">
        <v>28244</v>
      </c>
      <c r="AM1735">
        <v>20000</v>
      </c>
      <c r="AN1735">
        <v>8244</v>
      </c>
      <c r="AO1735">
        <v>464</v>
      </c>
      <c r="AP1735">
        <v>2016</v>
      </c>
      <c r="AQ1735">
        <v>1.75</v>
      </c>
      <c r="AR1735">
        <v>1.97</v>
      </c>
      <c r="AS1735" t="s">
        <v>21402</v>
      </c>
      <c r="AT1735" t="s">
        <v>3210</v>
      </c>
      <c r="AU1735" t="s">
        <v>177</v>
      </c>
      <c r="AV1735" t="s">
        <v>2334</v>
      </c>
      <c r="AW1735" t="s">
        <v>182</v>
      </c>
      <c r="AX1735">
        <v>2</v>
      </c>
      <c r="AY1735" t="s">
        <v>188</v>
      </c>
      <c r="AZ1735" t="s">
        <v>189</v>
      </c>
      <c r="BA1735" t="s">
        <v>190</v>
      </c>
      <c r="BB1735" t="s">
        <v>191</v>
      </c>
      <c r="BC1735" t="s">
        <v>182</v>
      </c>
      <c r="BD1735" t="s">
        <v>182</v>
      </c>
      <c r="BE1735" t="s">
        <v>5369</v>
      </c>
      <c r="BF1735">
        <v>1</v>
      </c>
      <c r="BG1735">
        <v>1</v>
      </c>
      <c r="BH1735">
        <v>1979</v>
      </c>
      <c r="BI1735" t="s">
        <v>12511</v>
      </c>
      <c r="BJ1735" t="s">
        <v>194</v>
      </c>
      <c r="BK1735" t="s">
        <v>195</v>
      </c>
      <c r="BL1735" t="s">
        <v>21403</v>
      </c>
      <c r="BM1735" t="s">
        <v>3957</v>
      </c>
      <c r="BN1735" t="s">
        <v>182</v>
      </c>
      <c r="BO1735" t="s">
        <v>198</v>
      </c>
      <c r="BP1735" t="s">
        <v>198</v>
      </c>
      <c r="BQ1735" t="s">
        <v>198</v>
      </c>
      <c r="BR1735" t="s">
        <v>198</v>
      </c>
      <c r="BS1735" t="s">
        <v>198</v>
      </c>
      <c r="BT1735" t="s">
        <v>198</v>
      </c>
      <c r="BU1735" t="s">
        <v>182</v>
      </c>
      <c r="BV1735" t="s">
        <v>198</v>
      </c>
      <c r="BW1735" t="s">
        <v>198</v>
      </c>
      <c r="BX1735" t="s">
        <v>199</v>
      </c>
      <c r="BY1735" t="s">
        <v>198</v>
      </c>
      <c r="BZ1735" t="s">
        <v>199</v>
      </c>
      <c r="CA1735" t="s">
        <v>199</v>
      </c>
      <c r="CB1735" t="s">
        <v>21404</v>
      </c>
      <c r="CC1735" t="s">
        <v>201</v>
      </c>
      <c r="CD1735" t="s">
        <v>182</v>
      </c>
      <c r="CE1735" t="s">
        <v>21405</v>
      </c>
      <c r="CF1735" t="s">
        <v>21406</v>
      </c>
      <c r="CG1735" t="s">
        <v>1602</v>
      </c>
      <c r="CH1735" t="s">
        <v>21407</v>
      </c>
      <c r="CI1735" t="s">
        <v>21408</v>
      </c>
      <c r="CJ1735" t="s">
        <v>18781</v>
      </c>
      <c r="CK1735" t="s">
        <v>232</v>
      </c>
      <c r="CL1735" t="s">
        <v>233</v>
      </c>
      <c r="CM1735" t="s">
        <v>21409</v>
      </c>
      <c r="CN1735" t="s">
        <v>235</v>
      </c>
      <c r="CO1735" t="s">
        <v>183</v>
      </c>
      <c r="CP1735" t="s">
        <v>266</v>
      </c>
      <c r="CS1735" t="s">
        <v>198</v>
      </c>
      <c r="DC1735" t="s">
        <v>198</v>
      </c>
      <c r="DM1735" t="s">
        <v>198</v>
      </c>
      <c r="DW1735" t="s">
        <v>198</v>
      </c>
      <c r="EG1735" t="s">
        <v>198</v>
      </c>
      <c r="EQ1735" t="s">
        <v>198</v>
      </c>
      <c r="FA1735" t="s">
        <v>198</v>
      </c>
      <c r="FK1735" t="s">
        <v>198</v>
      </c>
      <c r="FU1735" t="s">
        <v>198</v>
      </c>
    </row>
    <row r="1736" spans="1:177">
      <c r="A1736" s="1" t="str">
        <f>HYPERLINK("http://digipan.lumentumllc.com/apps/getLink/index.php?t=PropLink&amp;p=15757490","PL")</f>
        <v>PL</v>
      </c>
      <c r="B1736" s="1" t="str">
        <f>HYPERLINK("http://digipan.lumentumllc.com/apps/getLink/index.php?t=TaxLink&amp;p=15757490","TL")</f>
        <v>TL</v>
      </c>
      <c r="C1736" s="1" t="str">
        <f>HYPERLINK("http://digipan.lumentumllc.com/apps/getMap/index.php?p=15757490","Map")</f>
        <v>Map</v>
      </c>
      <c r="E1736" t="s">
        <v>177</v>
      </c>
      <c r="F1736" t="s">
        <v>178</v>
      </c>
      <c r="L1736" t="s">
        <v>21410</v>
      </c>
      <c r="N1736" t="s">
        <v>21410</v>
      </c>
      <c r="O1736" t="s">
        <v>21410</v>
      </c>
      <c r="Q1736" t="s">
        <v>21410</v>
      </c>
      <c r="V1736">
        <v>1983</v>
      </c>
      <c r="W1736">
        <v>7</v>
      </c>
      <c r="X1736">
        <v>2017</v>
      </c>
      <c r="Y1736">
        <v>2018</v>
      </c>
      <c r="Z1736">
        <v>404.35</v>
      </c>
      <c r="AG1736" t="s">
        <v>184</v>
      </c>
      <c r="AH1736">
        <v>0</v>
      </c>
      <c r="AK1736">
        <v>0</v>
      </c>
      <c r="AL1736">
        <v>22742</v>
      </c>
      <c r="AM1736">
        <v>20000</v>
      </c>
      <c r="AN1736">
        <v>2742</v>
      </c>
      <c r="AO1736">
        <v>314</v>
      </c>
      <c r="AP1736">
        <v>2016</v>
      </c>
      <c r="AQ1736">
        <v>1.78</v>
      </c>
      <c r="AS1736" t="s">
        <v>21411</v>
      </c>
      <c r="AT1736" t="s">
        <v>3210</v>
      </c>
      <c r="AU1736" t="s">
        <v>177</v>
      </c>
      <c r="AV1736" t="s">
        <v>2334</v>
      </c>
      <c r="AW1736" t="s">
        <v>182</v>
      </c>
      <c r="AX1736">
        <v>2</v>
      </c>
      <c r="AY1736" t="s">
        <v>188</v>
      </c>
      <c r="AZ1736" t="s">
        <v>189</v>
      </c>
      <c r="BA1736" t="s">
        <v>190</v>
      </c>
      <c r="BB1736" t="s">
        <v>191</v>
      </c>
      <c r="BC1736" t="s">
        <v>182</v>
      </c>
      <c r="BD1736" t="s">
        <v>182</v>
      </c>
      <c r="BE1736" t="s">
        <v>6557</v>
      </c>
      <c r="BF1736">
        <v>1</v>
      </c>
      <c r="BG1736">
        <v>1</v>
      </c>
      <c r="BH1736">
        <v>1978</v>
      </c>
      <c r="BI1736" t="s">
        <v>6258</v>
      </c>
      <c r="BJ1736" t="s">
        <v>315</v>
      </c>
      <c r="BK1736" t="s">
        <v>195</v>
      </c>
      <c r="BL1736" t="s">
        <v>21412</v>
      </c>
      <c r="BM1736" t="s">
        <v>232</v>
      </c>
      <c r="BN1736" t="s">
        <v>182</v>
      </c>
      <c r="BO1736" t="s">
        <v>198</v>
      </c>
      <c r="BP1736" t="s">
        <v>198</v>
      </c>
      <c r="BQ1736" t="s">
        <v>198</v>
      </c>
      <c r="BR1736" t="s">
        <v>198</v>
      </c>
      <c r="BS1736" t="s">
        <v>198</v>
      </c>
      <c r="BT1736" t="s">
        <v>198</v>
      </c>
      <c r="BU1736" t="s">
        <v>182</v>
      </c>
      <c r="BV1736" t="s">
        <v>198</v>
      </c>
      <c r="BW1736" t="s">
        <v>198</v>
      </c>
      <c r="BX1736" t="s">
        <v>199</v>
      </c>
      <c r="BY1736" t="s">
        <v>198</v>
      </c>
      <c r="BZ1736" t="s">
        <v>199</v>
      </c>
      <c r="CA1736" t="s">
        <v>199</v>
      </c>
      <c r="CB1736" t="s">
        <v>21413</v>
      </c>
      <c r="CC1736" t="s">
        <v>201</v>
      </c>
      <c r="CD1736" t="s">
        <v>202</v>
      </c>
      <c r="CE1736" t="s">
        <v>21414</v>
      </c>
      <c r="CF1736" t="s">
        <v>5331</v>
      </c>
      <c r="CG1736" t="s">
        <v>177</v>
      </c>
      <c r="CH1736" t="s">
        <v>371</v>
      </c>
      <c r="CI1736" t="s">
        <v>21415</v>
      </c>
      <c r="CS1736" t="s">
        <v>198</v>
      </c>
      <c r="DC1736" t="s">
        <v>198</v>
      </c>
      <c r="DM1736" t="s">
        <v>198</v>
      </c>
      <c r="DW1736" t="s">
        <v>198</v>
      </c>
      <c r="EG1736" t="s">
        <v>198</v>
      </c>
      <c r="EQ1736" t="s">
        <v>198</v>
      </c>
      <c r="FA1736" t="s">
        <v>198</v>
      </c>
      <c r="FK1736" t="s">
        <v>198</v>
      </c>
      <c r="FU1736" t="s">
        <v>198</v>
      </c>
    </row>
    <row r="1737" spans="1:177">
      <c r="A1737" s="1" t="str">
        <f>HYPERLINK("http://digipan.lumentumllc.com/apps/getLink/index.php?t=PropLink&amp;p=15757503","PL")</f>
        <v>PL</v>
      </c>
      <c r="B1737" s="1" t="str">
        <f>HYPERLINK("http://digipan.lumentumllc.com/apps/getLink/index.php?t=TaxLink&amp;p=15757503","TL")</f>
        <v>TL</v>
      </c>
      <c r="C1737" s="1" t="str">
        <f>HYPERLINK("http://digipan.lumentumllc.com/apps/getMap/index.php?p=15757503","Map")</f>
        <v>Map</v>
      </c>
      <c r="E1737" t="s">
        <v>177</v>
      </c>
      <c r="F1737" t="s">
        <v>178</v>
      </c>
      <c r="L1737" t="s">
        <v>21416</v>
      </c>
      <c r="N1737" t="s">
        <v>21416</v>
      </c>
      <c r="O1737" t="s">
        <v>21416</v>
      </c>
      <c r="Q1737" t="s">
        <v>21416</v>
      </c>
      <c r="V1737">
        <v>1984</v>
      </c>
      <c r="W1737">
        <v>7</v>
      </c>
      <c r="X1737">
        <v>2017</v>
      </c>
      <c r="Y1737">
        <v>2018</v>
      </c>
      <c r="Z1737">
        <v>393.67</v>
      </c>
      <c r="AG1737" t="s">
        <v>184</v>
      </c>
      <c r="AH1737">
        <v>0</v>
      </c>
      <c r="AK1737">
        <v>0</v>
      </c>
      <c r="AL1737">
        <v>47089</v>
      </c>
      <c r="AM1737">
        <v>25000</v>
      </c>
      <c r="AN1737">
        <v>22089</v>
      </c>
      <c r="AO1737">
        <v>431</v>
      </c>
      <c r="AP1737">
        <v>2016</v>
      </c>
      <c r="AQ1737">
        <v>0.84</v>
      </c>
      <c r="AS1737" t="s">
        <v>21417</v>
      </c>
      <c r="AT1737" t="s">
        <v>3210</v>
      </c>
      <c r="AU1737" t="s">
        <v>177</v>
      </c>
      <c r="AV1737" t="s">
        <v>2334</v>
      </c>
      <c r="AW1737" t="s">
        <v>202</v>
      </c>
      <c r="AX1737">
        <v>2</v>
      </c>
      <c r="AY1737" t="s">
        <v>188</v>
      </c>
      <c r="AZ1737" t="s">
        <v>189</v>
      </c>
      <c r="BA1737" t="s">
        <v>190</v>
      </c>
      <c r="BB1737" t="s">
        <v>191</v>
      </c>
      <c r="BC1737" t="s">
        <v>182</v>
      </c>
      <c r="BD1737" t="s">
        <v>182</v>
      </c>
      <c r="BE1737" t="s">
        <v>1912</v>
      </c>
      <c r="BF1737">
        <v>1</v>
      </c>
      <c r="BG1737">
        <v>1</v>
      </c>
      <c r="BH1737">
        <v>1993</v>
      </c>
      <c r="BI1737" t="s">
        <v>10774</v>
      </c>
      <c r="BJ1737" t="s">
        <v>396</v>
      </c>
      <c r="BK1737" t="s">
        <v>195</v>
      </c>
      <c r="BL1737" t="s">
        <v>10176</v>
      </c>
      <c r="BM1737" t="s">
        <v>197</v>
      </c>
      <c r="BN1737" t="s">
        <v>182</v>
      </c>
      <c r="BO1737" t="s">
        <v>2051</v>
      </c>
      <c r="BP1737" t="s">
        <v>317</v>
      </c>
      <c r="BQ1737" t="s">
        <v>904</v>
      </c>
      <c r="BR1737" t="s">
        <v>563</v>
      </c>
      <c r="BS1737" t="s">
        <v>198</v>
      </c>
      <c r="BT1737" t="s">
        <v>228</v>
      </c>
      <c r="BU1737" t="s">
        <v>182</v>
      </c>
      <c r="BV1737" t="s">
        <v>198</v>
      </c>
      <c r="BW1737" t="s">
        <v>198</v>
      </c>
      <c r="BX1737" t="s">
        <v>199</v>
      </c>
      <c r="BY1737" t="s">
        <v>198</v>
      </c>
      <c r="BZ1737" t="s">
        <v>199</v>
      </c>
      <c r="CA1737" t="s">
        <v>199</v>
      </c>
      <c r="CB1737" t="s">
        <v>21418</v>
      </c>
      <c r="CC1737" t="s">
        <v>201</v>
      </c>
      <c r="CD1737" t="s">
        <v>202</v>
      </c>
      <c r="CE1737" t="s">
        <v>21419</v>
      </c>
      <c r="CF1737" t="s">
        <v>21420</v>
      </c>
      <c r="CG1737" t="s">
        <v>2769</v>
      </c>
      <c r="CH1737" t="s">
        <v>21421</v>
      </c>
      <c r="CI1737" t="s">
        <v>249</v>
      </c>
      <c r="CS1737" t="s">
        <v>198</v>
      </c>
      <c r="DC1737" t="s">
        <v>198</v>
      </c>
      <c r="DM1737" t="s">
        <v>198</v>
      </c>
      <c r="DW1737" t="s">
        <v>198</v>
      </c>
      <c r="EG1737" t="s">
        <v>198</v>
      </c>
      <c r="EQ1737" t="s">
        <v>198</v>
      </c>
      <c r="FA1737" t="s">
        <v>198</v>
      </c>
      <c r="FK1737" t="s">
        <v>198</v>
      </c>
      <c r="FU1737" t="s">
        <v>198</v>
      </c>
    </row>
    <row r="1738" spans="1:177">
      <c r="A1738" s="1" t="str">
        <f>HYPERLINK("http://digipan.lumentumllc.com/apps/getLink/index.php?t=PropLink&amp;p=5247597","PL")</f>
        <v>PL</v>
      </c>
      <c r="B1738" s="1" t="str">
        <f>HYPERLINK("http://digipan.lumentumllc.com/apps/getLink/index.php?t=TaxLink&amp;p=5247597","TL")</f>
        <v>TL</v>
      </c>
      <c r="C1738" s="1" t="str">
        <f>HYPERLINK("http://digipan.lumentumllc.com/apps/getMap/index.php?p=5247597","Map")</f>
        <v>Map</v>
      </c>
      <c r="E1738" t="s">
        <v>177</v>
      </c>
      <c r="F1738" t="s">
        <v>178</v>
      </c>
      <c r="L1738" t="s">
        <v>21422</v>
      </c>
      <c r="N1738" t="s">
        <v>21422</v>
      </c>
      <c r="O1738" t="s">
        <v>21422</v>
      </c>
      <c r="P1738" t="s">
        <v>21423</v>
      </c>
      <c r="Q1738" t="s">
        <v>21422</v>
      </c>
      <c r="V1738">
        <v>1985</v>
      </c>
      <c r="W1738">
        <v>7</v>
      </c>
      <c r="X1738">
        <v>2017</v>
      </c>
      <c r="Y1738">
        <v>2018</v>
      </c>
      <c r="Z1738">
        <v>698.49</v>
      </c>
      <c r="AB1738" t="s">
        <v>181</v>
      </c>
      <c r="AC1738" t="s">
        <v>182</v>
      </c>
      <c r="AD1738" t="s">
        <v>183</v>
      </c>
      <c r="AE1738">
        <v>1</v>
      </c>
      <c r="AF1738">
        <v>7</v>
      </c>
      <c r="AG1738" t="s">
        <v>418</v>
      </c>
      <c r="AH1738">
        <v>86</v>
      </c>
      <c r="AI1738">
        <v>820.34</v>
      </c>
      <c r="AJ1738">
        <v>41.02</v>
      </c>
      <c r="AK1738">
        <v>861.36</v>
      </c>
      <c r="AL1738">
        <v>40707</v>
      </c>
      <c r="AM1738">
        <v>25000</v>
      </c>
      <c r="AN1738">
        <v>15707</v>
      </c>
      <c r="AO1738">
        <v>734</v>
      </c>
      <c r="AP1738">
        <v>2016</v>
      </c>
      <c r="AQ1738">
        <v>1.72</v>
      </c>
      <c r="AR1738">
        <v>2.12</v>
      </c>
      <c r="AS1738" t="s">
        <v>21424</v>
      </c>
      <c r="AT1738" t="s">
        <v>3210</v>
      </c>
      <c r="AU1738" t="s">
        <v>177</v>
      </c>
      <c r="AV1738" t="s">
        <v>2334</v>
      </c>
      <c r="AW1738" t="s">
        <v>182</v>
      </c>
      <c r="AX1738">
        <v>2</v>
      </c>
      <c r="AY1738" t="s">
        <v>188</v>
      </c>
      <c r="AZ1738" t="s">
        <v>189</v>
      </c>
      <c r="BA1738" t="s">
        <v>190</v>
      </c>
      <c r="BB1738" t="s">
        <v>191</v>
      </c>
      <c r="BC1738" t="s">
        <v>182</v>
      </c>
      <c r="BD1738" t="s">
        <v>182</v>
      </c>
      <c r="BE1738" t="s">
        <v>21425</v>
      </c>
      <c r="BF1738">
        <v>2</v>
      </c>
      <c r="BG1738">
        <v>2</v>
      </c>
      <c r="BH1738">
        <v>1969</v>
      </c>
      <c r="BI1738" t="s">
        <v>18409</v>
      </c>
      <c r="BJ1738" t="s">
        <v>194</v>
      </c>
      <c r="BK1738" t="s">
        <v>195</v>
      </c>
      <c r="BL1738" t="s">
        <v>1741</v>
      </c>
      <c r="BM1738" t="s">
        <v>286</v>
      </c>
      <c r="BN1738" t="s">
        <v>182</v>
      </c>
      <c r="BO1738" t="s">
        <v>198</v>
      </c>
      <c r="BP1738" t="s">
        <v>198</v>
      </c>
      <c r="BQ1738" t="s">
        <v>198</v>
      </c>
      <c r="BR1738" t="s">
        <v>198</v>
      </c>
      <c r="BS1738" t="s">
        <v>198</v>
      </c>
      <c r="BT1738" t="s">
        <v>198</v>
      </c>
      <c r="BU1738" t="s">
        <v>182</v>
      </c>
      <c r="BV1738" t="s">
        <v>198</v>
      </c>
      <c r="BW1738" t="s">
        <v>198</v>
      </c>
      <c r="BX1738" t="s">
        <v>199</v>
      </c>
      <c r="BY1738" t="s">
        <v>198</v>
      </c>
      <c r="BZ1738" t="s">
        <v>199</v>
      </c>
      <c r="CA1738" t="s">
        <v>199</v>
      </c>
      <c r="CB1738" t="s">
        <v>21426</v>
      </c>
      <c r="CC1738" t="s">
        <v>201</v>
      </c>
      <c r="CD1738" t="s">
        <v>202</v>
      </c>
      <c r="CE1738" t="s">
        <v>21427</v>
      </c>
      <c r="CF1738" t="s">
        <v>3933</v>
      </c>
      <c r="CG1738" t="s">
        <v>177</v>
      </c>
      <c r="CH1738" t="s">
        <v>21428</v>
      </c>
      <c r="CI1738" t="s">
        <v>21429</v>
      </c>
      <c r="CJ1738" t="s">
        <v>10222</v>
      </c>
      <c r="CK1738" t="s">
        <v>232</v>
      </c>
      <c r="CL1738" t="s">
        <v>233</v>
      </c>
      <c r="CM1738" t="s">
        <v>21430</v>
      </c>
      <c r="CN1738" t="s">
        <v>235</v>
      </c>
      <c r="CO1738" t="s">
        <v>183</v>
      </c>
      <c r="CP1738" t="s">
        <v>266</v>
      </c>
      <c r="CS1738" t="s">
        <v>198</v>
      </c>
      <c r="CT1738" t="s">
        <v>2199</v>
      </c>
      <c r="CU1738" t="s">
        <v>292</v>
      </c>
      <c r="CV1738" t="s">
        <v>293</v>
      </c>
      <c r="CW1738" t="s">
        <v>21431</v>
      </c>
      <c r="CX1738" t="s">
        <v>235</v>
      </c>
      <c r="CY1738" t="s">
        <v>183</v>
      </c>
      <c r="CZ1738" t="s">
        <v>211</v>
      </c>
      <c r="DA1738" t="s">
        <v>296</v>
      </c>
      <c r="DC1738" t="s">
        <v>849</v>
      </c>
      <c r="DD1738" t="s">
        <v>21432</v>
      </c>
      <c r="DE1738" t="s">
        <v>267</v>
      </c>
      <c r="DF1738" t="s">
        <v>268</v>
      </c>
      <c r="DG1738" t="s">
        <v>21433</v>
      </c>
      <c r="DH1738" t="s">
        <v>235</v>
      </c>
      <c r="DI1738" t="s">
        <v>183</v>
      </c>
      <c r="DJ1738" t="s">
        <v>211</v>
      </c>
      <c r="DK1738" t="s">
        <v>444</v>
      </c>
      <c r="DM1738" t="s">
        <v>849</v>
      </c>
      <c r="DN1738" t="s">
        <v>14911</v>
      </c>
      <c r="DO1738" t="s">
        <v>273</v>
      </c>
      <c r="DP1738" t="s">
        <v>274</v>
      </c>
      <c r="DQ1738" t="s">
        <v>21434</v>
      </c>
      <c r="DR1738" t="s">
        <v>235</v>
      </c>
      <c r="DS1738" t="s">
        <v>183</v>
      </c>
      <c r="DT1738" t="s">
        <v>211</v>
      </c>
      <c r="DU1738" t="s">
        <v>342</v>
      </c>
      <c r="DW1738" t="s">
        <v>2598</v>
      </c>
      <c r="DX1738" t="s">
        <v>13924</v>
      </c>
      <c r="DY1738" t="s">
        <v>302</v>
      </c>
      <c r="DZ1738" t="s">
        <v>303</v>
      </c>
      <c r="EA1738" t="s">
        <v>21435</v>
      </c>
      <c r="EB1738" t="s">
        <v>235</v>
      </c>
      <c r="EC1738" t="s">
        <v>183</v>
      </c>
      <c r="ED1738" t="s">
        <v>211</v>
      </c>
      <c r="EE1738" t="s">
        <v>199</v>
      </c>
      <c r="EG1738" t="s">
        <v>8134</v>
      </c>
      <c r="EH1738" t="s">
        <v>21436</v>
      </c>
      <c r="EI1738" t="s">
        <v>238</v>
      </c>
      <c r="EJ1738" t="s">
        <v>239</v>
      </c>
      <c r="EK1738" t="s">
        <v>21437</v>
      </c>
      <c r="EL1738" t="s">
        <v>278</v>
      </c>
      <c r="EM1738" t="s">
        <v>183</v>
      </c>
      <c r="EN1738" t="s">
        <v>211</v>
      </c>
      <c r="EO1738" t="s">
        <v>427</v>
      </c>
      <c r="EQ1738" t="s">
        <v>8134</v>
      </c>
      <c r="ER1738" t="s">
        <v>17928</v>
      </c>
      <c r="ES1738" t="s">
        <v>346</v>
      </c>
      <c r="ET1738" t="s">
        <v>347</v>
      </c>
      <c r="EU1738" t="s">
        <v>21438</v>
      </c>
      <c r="EV1738" t="s">
        <v>278</v>
      </c>
      <c r="EW1738" t="s">
        <v>183</v>
      </c>
      <c r="EX1738" t="s">
        <v>211</v>
      </c>
      <c r="EY1738" t="s">
        <v>298</v>
      </c>
      <c r="FA1738" t="s">
        <v>1136</v>
      </c>
      <c r="FB1738" t="s">
        <v>16140</v>
      </c>
      <c r="FC1738" t="s">
        <v>207</v>
      </c>
      <c r="FD1738" t="s">
        <v>208</v>
      </c>
      <c r="FE1738" t="s">
        <v>12108</v>
      </c>
      <c r="FF1738" t="s">
        <v>576</v>
      </c>
      <c r="FG1738" t="s">
        <v>183</v>
      </c>
      <c r="FH1738" t="s">
        <v>211</v>
      </c>
      <c r="FI1738" t="s">
        <v>808</v>
      </c>
      <c r="FK1738" t="s">
        <v>14055</v>
      </c>
      <c r="FU1738" t="s">
        <v>198</v>
      </c>
    </row>
    <row r="1739" spans="1:177">
      <c r="A1739" s="1" t="str">
        <f>HYPERLINK("http://digipan.lumentumllc.com/apps/getLink/index.php?t=PropLink&amp;p=5247598","PL")</f>
        <v>PL</v>
      </c>
      <c r="B1739" s="1" t="str">
        <f>HYPERLINK("http://digipan.lumentumllc.com/apps/getLink/index.php?t=TaxLink&amp;p=5247598","TL")</f>
        <v>TL</v>
      </c>
      <c r="C1739" s="1" t="str">
        <f>HYPERLINK("http://digipan.lumentumllc.com/apps/getMap/index.php?p=5247598","Map")</f>
        <v>Map</v>
      </c>
      <c r="E1739" t="s">
        <v>177</v>
      </c>
      <c r="F1739" t="s">
        <v>178</v>
      </c>
      <c r="L1739" t="s">
        <v>21439</v>
      </c>
      <c r="N1739" t="s">
        <v>21439</v>
      </c>
      <c r="O1739" t="s">
        <v>21439</v>
      </c>
      <c r="P1739" t="s">
        <v>21440</v>
      </c>
      <c r="Q1739" t="s">
        <v>21439</v>
      </c>
      <c r="V1739">
        <v>1986</v>
      </c>
      <c r="W1739">
        <v>7</v>
      </c>
      <c r="X1739">
        <v>2017</v>
      </c>
      <c r="Y1739">
        <v>2018</v>
      </c>
      <c r="Z1739">
        <v>532.26</v>
      </c>
      <c r="AB1739" t="s">
        <v>181</v>
      </c>
      <c r="AC1739" t="s">
        <v>182</v>
      </c>
      <c r="AD1739" t="s">
        <v>183</v>
      </c>
      <c r="AE1739">
        <v>0</v>
      </c>
      <c r="AF1739">
        <v>3</v>
      </c>
      <c r="AG1739" t="s">
        <v>216</v>
      </c>
      <c r="AH1739">
        <v>100</v>
      </c>
      <c r="AK1739">
        <v>0</v>
      </c>
      <c r="AL1739">
        <v>30554</v>
      </c>
      <c r="AM1739">
        <v>25000</v>
      </c>
      <c r="AN1739">
        <v>5554</v>
      </c>
      <c r="AO1739">
        <v>519</v>
      </c>
      <c r="AP1739">
        <v>2016</v>
      </c>
      <c r="AQ1739">
        <v>1.74</v>
      </c>
      <c r="AS1739" t="s">
        <v>21441</v>
      </c>
      <c r="AT1739" t="s">
        <v>3210</v>
      </c>
      <c r="AU1739" t="s">
        <v>177</v>
      </c>
      <c r="AV1739" t="s">
        <v>2334</v>
      </c>
      <c r="AW1739" t="s">
        <v>182</v>
      </c>
      <c r="AX1739">
        <v>2</v>
      </c>
      <c r="AY1739" t="s">
        <v>188</v>
      </c>
      <c r="AZ1739" t="s">
        <v>189</v>
      </c>
      <c r="BA1739" t="s">
        <v>190</v>
      </c>
      <c r="BB1739" t="s">
        <v>191</v>
      </c>
      <c r="BC1739" t="s">
        <v>182</v>
      </c>
      <c r="BD1739" t="s">
        <v>182</v>
      </c>
      <c r="BE1739" t="s">
        <v>6557</v>
      </c>
      <c r="BF1739">
        <v>1</v>
      </c>
      <c r="BG1739">
        <v>1</v>
      </c>
      <c r="BH1739">
        <v>1978</v>
      </c>
      <c r="BI1739" t="s">
        <v>12027</v>
      </c>
      <c r="BJ1739" t="s">
        <v>194</v>
      </c>
      <c r="BK1739" t="s">
        <v>195</v>
      </c>
      <c r="BL1739" t="s">
        <v>2281</v>
      </c>
      <c r="BM1739" t="s">
        <v>533</v>
      </c>
      <c r="BN1739" t="s">
        <v>182</v>
      </c>
      <c r="BO1739" t="s">
        <v>198</v>
      </c>
      <c r="BP1739" t="s">
        <v>198</v>
      </c>
      <c r="BQ1739" t="s">
        <v>198</v>
      </c>
      <c r="BR1739" t="s">
        <v>198</v>
      </c>
      <c r="BS1739" t="s">
        <v>198</v>
      </c>
      <c r="BT1739" t="s">
        <v>198</v>
      </c>
      <c r="BU1739" t="s">
        <v>182</v>
      </c>
      <c r="BV1739" t="s">
        <v>198</v>
      </c>
      <c r="BW1739" t="s">
        <v>198</v>
      </c>
      <c r="BX1739" t="s">
        <v>199</v>
      </c>
      <c r="BY1739" t="s">
        <v>198</v>
      </c>
      <c r="BZ1739" t="s">
        <v>199</v>
      </c>
      <c r="CA1739" t="s">
        <v>199</v>
      </c>
      <c r="CB1739" t="s">
        <v>21442</v>
      </c>
      <c r="CC1739" t="s">
        <v>201</v>
      </c>
      <c r="CD1739" t="s">
        <v>202</v>
      </c>
      <c r="CE1739" t="s">
        <v>21443</v>
      </c>
      <c r="CF1739" t="s">
        <v>2333</v>
      </c>
      <c r="CG1739" t="s">
        <v>177</v>
      </c>
      <c r="CH1739" t="s">
        <v>2334</v>
      </c>
      <c r="CI1739" t="s">
        <v>21444</v>
      </c>
      <c r="CJ1739" t="s">
        <v>21445</v>
      </c>
      <c r="CK1739" t="s">
        <v>238</v>
      </c>
      <c r="CL1739" t="s">
        <v>239</v>
      </c>
      <c r="CM1739" t="s">
        <v>21446</v>
      </c>
      <c r="CN1739" t="s">
        <v>278</v>
      </c>
      <c r="CO1739" t="s">
        <v>183</v>
      </c>
      <c r="CP1739" t="s">
        <v>211</v>
      </c>
      <c r="CQ1739" t="s">
        <v>306</v>
      </c>
      <c r="CS1739" t="s">
        <v>16813</v>
      </c>
      <c r="CT1739" t="s">
        <v>21447</v>
      </c>
      <c r="CU1739" t="s">
        <v>346</v>
      </c>
      <c r="CV1739" t="s">
        <v>347</v>
      </c>
      <c r="CW1739" t="s">
        <v>21448</v>
      </c>
      <c r="CX1739" t="s">
        <v>278</v>
      </c>
      <c r="CY1739" t="s">
        <v>183</v>
      </c>
      <c r="CZ1739" t="s">
        <v>211</v>
      </c>
      <c r="DA1739" t="s">
        <v>337</v>
      </c>
      <c r="DC1739" t="s">
        <v>21449</v>
      </c>
      <c r="DD1739" t="s">
        <v>16155</v>
      </c>
      <c r="DE1739" t="s">
        <v>207</v>
      </c>
      <c r="DF1739" t="s">
        <v>208</v>
      </c>
      <c r="DG1739" t="s">
        <v>21450</v>
      </c>
      <c r="DH1739" t="s">
        <v>1966</v>
      </c>
      <c r="DI1739" t="s">
        <v>183</v>
      </c>
      <c r="DJ1739" t="s">
        <v>211</v>
      </c>
      <c r="DK1739" t="s">
        <v>523</v>
      </c>
      <c r="DM1739" t="s">
        <v>15655</v>
      </c>
      <c r="DW1739" t="s">
        <v>198</v>
      </c>
      <c r="EG1739" t="s">
        <v>198</v>
      </c>
      <c r="EQ1739" t="s">
        <v>198</v>
      </c>
      <c r="FA1739" t="s">
        <v>198</v>
      </c>
      <c r="FK1739" t="s">
        <v>198</v>
      </c>
      <c r="FU1739" t="s">
        <v>198</v>
      </c>
    </row>
    <row r="1740" spans="1:177">
      <c r="A1740" s="1" t="str">
        <f>HYPERLINK("http://digipan.lumentumllc.com/apps/getLink/index.php?t=PropLink&amp;p=4638386","PL")</f>
        <v>PL</v>
      </c>
      <c r="B1740" s="1" t="str">
        <f>HYPERLINK("http://digipan.lumentumllc.com/apps/getLink/index.php?t=TaxLink&amp;p=4638386","TL")</f>
        <v>TL</v>
      </c>
      <c r="C1740" s="1" t="str">
        <f>HYPERLINK("http://digipan.lumentumllc.com/apps/getMap/index.php?p=4638386","Map")</f>
        <v>Map</v>
      </c>
      <c r="E1740" t="s">
        <v>177</v>
      </c>
      <c r="F1740" t="s">
        <v>178</v>
      </c>
      <c r="L1740" t="s">
        <v>21451</v>
      </c>
      <c r="N1740" t="s">
        <v>21451</v>
      </c>
      <c r="O1740" t="s">
        <v>21451</v>
      </c>
      <c r="P1740" t="s">
        <v>21452</v>
      </c>
      <c r="Q1740" t="s">
        <v>21451</v>
      </c>
      <c r="V1740">
        <v>1987</v>
      </c>
      <c r="W1740">
        <v>7</v>
      </c>
      <c r="X1740">
        <v>2017</v>
      </c>
      <c r="Y1740">
        <v>2018</v>
      </c>
      <c r="Z1740">
        <v>2235.69</v>
      </c>
      <c r="AG1740" t="s">
        <v>184</v>
      </c>
      <c r="AH1740">
        <v>0</v>
      </c>
      <c r="AK1740">
        <v>0</v>
      </c>
      <c r="AL1740">
        <v>184124</v>
      </c>
      <c r="AM1740">
        <v>80000</v>
      </c>
      <c r="AN1740">
        <v>104124</v>
      </c>
      <c r="AO1740">
        <v>1948</v>
      </c>
      <c r="AP1740">
        <v>2016</v>
      </c>
      <c r="AQ1740">
        <v>1.21</v>
      </c>
      <c r="AS1740" t="s">
        <v>21453</v>
      </c>
      <c r="AT1740" t="s">
        <v>3210</v>
      </c>
      <c r="AU1740" t="s">
        <v>177</v>
      </c>
      <c r="AV1740" t="s">
        <v>2334</v>
      </c>
      <c r="AW1740" t="s">
        <v>202</v>
      </c>
      <c r="AX1740">
        <v>1</v>
      </c>
      <c r="AY1740" t="s">
        <v>188</v>
      </c>
      <c r="AZ1740" t="s">
        <v>206</v>
      </c>
      <c r="BA1740" t="s">
        <v>355</v>
      </c>
      <c r="BB1740" t="s">
        <v>191</v>
      </c>
      <c r="BC1740" t="s">
        <v>182</v>
      </c>
      <c r="BD1740" t="s">
        <v>182</v>
      </c>
      <c r="BE1740" t="s">
        <v>927</v>
      </c>
      <c r="BF1740">
        <v>2</v>
      </c>
      <c r="BG1740">
        <v>2</v>
      </c>
      <c r="BH1740">
        <v>1975</v>
      </c>
      <c r="BI1740" t="s">
        <v>21454</v>
      </c>
      <c r="BJ1740" t="s">
        <v>194</v>
      </c>
      <c r="BK1740" t="s">
        <v>195</v>
      </c>
      <c r="BL1740" t="s">
        <v>199</v>
      </c>
      <c r="BM1740" t="s">
        <v>945</v>
      </c>
      <c r="BN1740" t="s">
        <v>182</v>
      </c>
      <c r="BO1740" t="s">
        <v>1204</v>
      </c>
      <c r="BP1740" t="s">
        <v>21455</v>
      </c>
      <c r="BQ1740" t="s">
        <v>800</v>
      </c>
      <c r="BR1740" t="s">
        <v>563</v>
      </c>
      <c r="BS1740" t="s">
        <v>198</v>
      </c>
      <c r="BT1740" t="s">
        <v>21456</v>
      </c>
      <c r="BU1740" t="s">
        <v>182</v>
      </c>
      <c r="BV1740" t="s">
        <v>198</v>
      </c>
      <c r="BW1740" t="s">
        <v>198</v>
      </c>
      <c r="BX1740" t="s">
        <v>199</v>
      </c>
      <c r="BY1740" t="s">
        <v>198</v>
      </c>
      <c r="BZ1740" t="s">
        <v>199</v>
      </c>
      <c r="CA1740" t="s">
        <v>199</v>
      </c>
      <c r="CB1740" t="s">
        <v>21457</v>
      </c>
      <c r="CC1740" t="s">
        <v>201</v>
      </c>
      <c r="CD1740" t="s">
        <v>182</v>
      </c>
      <c r="CE1740" t="s">
        <v>21458</v>
      </c>
      <c r="CF1740" t="s">
        <v>2333</v>
      </c>
      <c r="CG1740" t="s">
        <v>177</v>
      </c>
      <c r="CH1740" t="s">
        <v>2334</v>
      </c>
      <c r="CI1740" t="s">
        <v>21444</v>
      </c>
      <c r="CS1740" t="s">
        <v>198</v>
      </c>
      <c r="DC1740" t="s">
        <v>198</v>
      </c>
      <c r="DM1740" t="s">
        <v>198</v>
      </c>
      <c r="DW1740" t="s">
        <v>198</v>
      </c>
      <c r="EG1740" t="s">
        <v>198</v>
      </c>
      <c r="EQ1740" t="s">
        <v>198</v>
      </c>
      <c r="FA1740" t="s">
        <v>198</v>
      </c>
      <c r="FK1740" t="s">
        <v>198</v>
      </c>
      <c r="FU1740" t="s">
        <v>198</v>
      </c>
    </row>
    <row r="1741" spans="1:177">
      <c r="A1741" s="1" t="str">
        <f>HYPERLINK("http://digipan.lumentumllc.com/apps/getLink/index.php?t=PropLink&amp;p=5247688","PL")</f>
        <v>PL</v>
      </c>
      <c r="B1741" s="1" t="str">
        <f>HYPERLINK("http://digipan.lumentumllc.com/apps/getLink/index.php?t=TaxLink&amp;p=5247688","TL")</f>
        <v>TL</v>
      </c>
      <c r="C1741" s="1" t="str">
        <f>HYPERLINK("http://digipan.lumentumllc.com/apps/getMap/index.php?p=5247688","Map")</f>
        <v>Map</v>
      </c>
      <c r="E1741" t="s">
        <v>177</v>
      </c>
      <c r="F1741" t="s">
        <v>178</v>
      </c>
      <c r="L1741" t="s">
        <v>21459</v>
      </c>
      <c r="N1741" t="s">
        <v>21459</v>
      </c>
      <c r="O1741" t="s">
        <v>21459</v>
      </c>
      <c r="P1741" t="s">
        <v>21460</v>
      </c>
      <c r="Q1741" t="s">
        <v>21459</v>
      </c>
      <c r="V1741">
        <v>1989</v>
      </c>
      <c r="W1741">
        <v>7</v>
      </c>
      <c r="X1741">
        <v>2017</v>
      </c>
      <c r="Y1741">
        <v>2018</v>
      </c>
      <c r="Z1741">
        <v>6894.12</v>
      </c>
      <c r="AB1741" t="s">
        <v>181</v>
      </c>
      <c r="AC1741" t="s">
        <v>182</v>
      </c>
      <c r="AD1741" t="s">
        <v>183</v>
      </c>
      <c r="AE1741">
        <v>1</v>
      </c>
      <c r="AF1741">
        <v>5</v>
      </c>
      <c r="AG1741" t="s">
        <v>951</v>
      </c>
      <c r="AH1741">
        <v>80</v>
      </c>
      <c r="AI1741">
        <v>7207.85</v>
      </c>
      <c r="AJ1741">
        <v>360.39</v>
      </c>
      <c r="AK1741">
        <v>7568.24</v>
      </c>
      <c r="AL1741">
        <v>419122</v>
      </c>
      <c r="AM1741">
        <v>250000</v>
      </c>
      <c r="AN1741">
        <v>169122</v>
      </c>
      <c r="AO1741">
        <v>6640</v>
      </c>
      <c r="AP1741">
        <v>2016</v>
      </c>
      <c r="AQ1741">
        <v>1.64</v>
      </c>
      <c r="AR1741">
        <v>1.81</v>
      </c>
      <c r="AS1741" t="s">
        <v>21461</v>
      </c>
      <c r="AT1741" t="s">
        <v>15040</v>
      </c>
      <c r="AU1741" t="s">
        <v>177</v>
      </c>
      <c r="AV1741" t="s">
        <v>371</v>
      </c>
      <c r="AW1741" t="s">
        <v>182</v>
      </c>
      <c r="AX1741">
        <v>0</v>
      </c>
      <c r="AY1741" t="s">
        <v>312</v>
      </c>
      <c r="AZ1741" t="s">
        <v>199</v>
      </c>
      <c r="BA1741" t="s">
        <v>313</v>
      </c>
      <c r="BB1741" t="s">
        <v>191</v>
      </c>
      <c r="BC1741" t="s">
        <v>182</v>
      </c>
      <c r="BD1741" t="s">
        <v>182</v>
      </c>
      <c r="BE1741" t="s">
        <v>16656</v>
      </c>
      <c r="BF1741">
        <v>0</v>
      </c>
      <c r="BG1741">
        <v>0</v>
      </c>
      <c r="BH1741">
        <v>0</v>
      </c>
      <c r="BI1741" t="s">
        <v>199</v>
      </c>
      <c r="BJ1741" t="s">
        <v>315</v>
      </c>
      <c r="BL1741" t="s">
        <v>21462</v>
      </c>
      <c r="BM1741" t="s">
        <v>302</v>
      </c>
      <c r="BN1741" t="s">
        <v>182</v>
      </c>
      <c r="BO1741" t="s">
        <v>198</v>
      </c>
      <c r="BP1741" t="s">
        <v>198</v>
      </c>
      <c r="BQ1741" t="s">
        <v>198</v>
      </c>
      <c r="BR1741" t="s">
        <v>198</v>
      </c>
      <c r="BS1741" t="s">
        <v>198</v>
      </c>
      <c r="BT1741" t="s">
        <v>198</v>
      </c>
      <c r="BU1741" t="s">
        <v>182</v>
      </c>
      <c r="BV1741" t="s">
        <v>198</v>
      </c>
      <c r="BW1741" t="s">
        <v>198</v>
      </c>
      <c r="BX1741" t="s">
        <v>199</v>
      </c>
      <c r="BY1741" t="s">
        <v>198</v>
      </c>
      <c r="BZ1741" t="s">
        <v>199</v>
      </c>
      <c r="CA1741" t="s">
        <v>199</v>
      </c>
      <c r="CB1741" t="s">
        <v>21463</v>
      </c>
      <c r="CC1741" t="s">
        <v>201</v>
      </c>
      <c r="CD1741" t="s">
        <v>182</v>
      </c>
      <c r="CE1741" t="s">
        <v>21464</v>
      </c>
      <c r="CF1741" t="s">
        <v>413</v>
      </c>
      <c r="CG1741" t="s">
        <v>177</v>
      </c>
      <c r="CH1741" t="s">
        <v>21465</v>
      </c>
      <c r="CI1741" t="s">
        <v>21466</v>
      </c>
      <c r="CJ1741" t="s">
        <v>19229</v>
      </c>
      <c r="CK1741" t="s">
        <v>232</v>
      </c>
      <c r="CL1741" t="s">
        <v>233</v>
      </c>
      <c r="CM1741" t="s">
        <v>21467</v>
      </c>
      <c r="CN1741" t="s">
        <v>235</v>
      </c>
      <c r="CO1741" t="s">
        <v>183</v>
      </c>
      <c r="CP1741" t="s">
        <v>266</v>
      </c>
      <c r="CS1741" t="s">
        <v>198</v>
      </c>
      <c r="CT1741" t="s">
        <v>19692</v>
      </c>
      <c r="CU1741" t="s">
        <v>292</v>
      </c>
      <c r="CV1741" t="s">
        <v>293</v>
      </c>
      <c r="CW1741" t="s">
        <v>21468</v>
      </c>
      <c r="CX1741" t="s">
        <v>235</v>
      </c>
      <c r="CY1741" t="s">
        <v>183</v>
      </c>
      <c r="CZ1741" t="s">
        <v>211</v>
      </c>
      <c r="DA1741" t="s">
        <v>298</v>
      </c>
      <c r="DC1741" t="s">
        <v>1066</v>
      </c>
      <c r="DD1741" t="s">
        <v>14767</v>
      </c>
      <c r="DE1741" t="s">
        <v>267</v>
      </c>
      <c r="DF1741" t="s">
        <v>268</v>
      </c>
      <c r="DG1741" t="s">
        <v>21469</v>
      </c>
      <c r="DH1741" t="s">
        <v>235</v>
      </c>
      <c r="DI1741" t="s">
        <v>183</v>
      </c>
      <c r="DJ1741" t="s">
        <v>211</v>
      </c>
      <c r="DK1741" t="s">
        <v>460</v>
      </c>
      <c r="DM1741" t="s">
        <v>3251</v>
      </c>
      <c r="DN1741" t="s">
        <v>6774</v>
      </c>
      <c r="DO1741" t="s">
        <v>238</v>
      </c>
      <c r="DP1741" t="s">
        <v>239</v>
      </c>
      <c r="DQ1741" t="s">
        <v>21470</v>
      </c>
      <c r="DR1741" t="s">
        <v>278</v>
      </c>
      <c r="DS1741" t="s">
        <v>183</v>
      </c>
      <c r="DT1741" t="s">
        <v>211</v>
      </c>
      <c r="DU1741" t="s">
        <v>199</v>
      </c>
      <c r="DW1741" t="s">
        <v>21471</v>
      </c>
      <c r="DX1741" t="s">
        <v>20539</v>
      </c>
      <c r="DY1741" t="s">
        <v>346</v>
      </c>
      <c r="DZ1741" t="s">
        <v>347</v>
      </c>
      <c r="EA1741" t="s">
        <v>21472</v>
      </c>
      <c r="EB1741" t="s">
        <v>278</v>
      </c>
      <c r="EC1741" t="s">
        <v>183</v>
      </c>
      <c r="ED1741" t="s">
        <v>211</v>
      </c>
      <c r="EE1741" t="s">
        <v>427</v>
      </c>
      <c r="EG1741" t="s">
        <v>21471</v>
      </c>
      <c r="EH1741" t="s">
        <v>16180</v>
      </c>
      <c r="EI1741" t="s">
        <v>207</v>
      </c>
      <c r="EJ1741" t="s">
        <v>208</v>
      </c>
      <c r="EK1741" t="s">
        <v>21473</v>
      </c>
      <c r="EL1741" t="s">
        <v>833</v>
      </c>
      <c r="EM1741" t="s">
        <v>183</v>
      </c>
      <c r="EN1741" t="s">
        <v>211</v>
      </c>
      <c r="EO1741" t="s">
        <v>633</v>
      </c>
      <c r="EQ1741" t="s">
        <v>21471</v>
      </c>
      <c r="FA1741" t="s">
        <v>198</v>
      </c>
      <c r="FK1741" t="s">
        <v>198</v>
      </c>
      <c r="FU1741" t="s">
        <v>198</v>
      </c>
    </row>
    <row r="1742" spans="1:177">
      <c r="A1742" s="1" t="str">
        <f>HYPERLINK("http://digipan.lumentumllc.com/apps/getLink/index.php?t=PropLink&amp;p=5247693","PL")</f>
        <v>PL</v>
      </c>
      <c r="B1742" s="1" t="str">
        <f>HYPERLINK("http://digipan.lumentumllc.com/apps/getLink/index.php?t=TaxLink&amp;p=5247693","TL")</f>
        <v>TL</v>
      </c>
      <c r="C1742" s="1" t="str">
        <f>HYPERLINK("http://digipan.lumentumllc.com/apps/getMap/index.php?p=5247693","Map")</f>
        <v>Map</v>
      </c>
      <c r="E1742" t="s">
        <v>177</v>
      </c>
      <c r="F1742" t="s">
        <v>178</v>
      </c>
      <c r="L1742" t="s">
        <v>21474</v>
      </c>
      <c r="N1742" t="s">
        <v>21474</v>
      </c>
      <c r="O1742" t="s">
        <v>21474</v>
      </c>
      <c r="P1742" t="s">
        <v>21475</v>
      </c>
      <c r="Q1742" t="s">
        <v>21474</v>
      </c>
      <c r="V1742">
        <v>1990</v>
      </c>
      <c r="W1742">
        <v>7</v>
      </c>
      <c r="X1742">
        <v>2017</v>
      </c>
      <c r="Y1742">
        <v>2018</v>
      </c>
      <c r="Z1742">
        <v>677.07</v>
      </c>
      <c r="AB1742" t="s">
        <v>181</v>
      </c>
      <c r="AC1742" t="s">
        <v>182</v>
      </c>
      <c r="AD1742" t="s">
        <v>183</v>
      </c>
      <c r="AE1742">
        <v>1</v>
      </c>
      <c r="AF1742">
        <v>5</v>
      </c>
      <c r="AG1742" t="s">
        <v>951</v>
      </c>
      <c r="AH1742">
        <v>80</v>
      </c>
      <c r="AI1742">
        <v>681.11</v>
      </c>
      <c r="AJ1742">
        <v>34.06</v>
      </c>
      <c r="AK1742">
        <v>715.17</v>
      </c>
      <c r="AL1742">
        <v>39400</v>
      </c>
      <c r="AM1742">
        <v>39400</v>
      </c>
      <c r="AN1742">
        <v>0</v>
      </c>
      <c r="AO1742">
        <v>605</v>
      </c>
      <c r="AP1742">
        <v>2016</v>
      </c>
      <c r="AQ1742">
        <v>1.72</v>
      </c>
      <c r="AR1742">
        <v>1.82</v>
      </c>
      <c r="AS1742" t="s">
        <v>21476</v>
      </c>
      <c r="AT1742" t="s">
        <v>3210</v>
      </c>
      <c r="AU1742" t="s">
        <v>177</v>
      </c>
      <c r="AV1742" t="s">
        <v>2334</v>
      </c>
      <c r="AW1742" t="s">
        <v>182</v>
      </c>
      <c r="AX1742">
        <v>0</v>
      </c>
      <c r="AY1742" t="s">
        <v>312</v>
      </c>
      <c r="AZ1742" t="s">
        <v>199</v>
      </c>
      <c r="BA1742" t="s">
        <v>313</v>
      </c>
      <c r="BB1742" t="s">
        <v>191</v>
      </c>
      <c r="BC1742" t="s">
        <v>182</v>
      </c>
      <c r="BD1742" t="s">
        <v>182</v>
      </c>
      <c r="BE1742" t="s">
        <v>2315</v>
      </c>
      <c r="BF1742">
        <v>0</v>
      </c>
      <c r="BG1742">
        <v>0</v>
      </c>
      <c r="BH1742">
        <v>0</v>
      </c>
      <c r="BI1742" t="s">
        <v>199</v>
      </c>
      <c r="BJ1742" t="s">
        <v>315</v>
      </c>
      <c r="BL1742" t="s">
        <v>21477</v>
      </c>
      <c r="BM1742" t="s">
        <v>273</v>
      </c>
      <c r="BN1742" t="s">
        <v>182</v>
      </c>
      <c r="BO1742" t="s">
        <v>198</v>
      </c>
      <c r="BP1742" t="s">
        <v>198</v>
      </c>
      <c r="BQ1742" t="s">
        <v>198</v>
      </c>
      <c r="BR1742" t="s">
        <v>198</v>
      </c>
      <c r="BS1742" t="s">
        <v>198</v>
      </c>
      <c r="BT1742" t="s">
        <v>198</v>
      </c>
      <c r="BU1742" t="s">
        <v>182</v>
      </c>
      <c r="BV1742" t="s">
        <v>198</v>
      </c>
      <c r="BW1742" t="s">
        <v>198</v>
      </c>
      <c r="BX1742" t="s">
        <v>199</v>
      </c>
      <c r="BY1742" t="s">
        <v>198</v>
      </c>
      <c r="BZ1742" t="s">
        <v>199</v>
      </c>
      <c r="CA1742" t="s">
        <v>199</v>
      </c>
      <c r="CB1742" t="s">
        <v>21463</v>
      </c>
      <c r="CC1742" t="s">
        <v>201</v>
      </c>
      <c r="CD1742" t="s">
        <v>182</v>
      </c>
      <c r="CE1742" t="s">
        <v>21464</v>
      </c>
      <c r="CF1742" t="s">
        <v>413</v>
      </c>
      <c r="CG1742" t="s">
        <v>177</v>
      </c>
      <c r="CH1742" t="s">
        <v>21465</v>
      </c>
      <c r="CI1742" t="s">
        <v>21478</v>
      </c>
      <c r="CJ1742" t="s">
        <v>20810</v>
      </c>
      <c r="CK1742" t="s">
        <v>232</v>
      </c>
      <c r="CL1742" t="s">
        <v>233</v>
      </c>
      <c r="CM1742" t="s">
        <v>21479</v>
      </c>
      <c r="CN1742" t="s">
        <v>331</v>
      </c>
      <c r="CO1742" t="s">
        <v>183</v>
      </c>
      <c r="CP1742" t="s">
        <v>266</v>
      </c>
      <c r="CS1742" t="s">
        <v>198</v>
      </c>
      <c r="CT1742" t="s">
        <v>18781</v>
      </c>
      <c r="CU1742" t="s">
        <v>292</v>
      </c>
      <c r="CV1742" t="s">
        <v>293</v>
      </c>
      <c r="CW1742" t="s">
        <v>21480</v>
      </c>
      <c r="CX1742" t="s">
        <v>331</v>
      </c>
      <c r="CY1742" t="s">
        <v>183</v>
      </c>
      <c r="CZ1742" t="s">
        <v>211</v>
      </c>
      <c r="DA1742" t="s">
        <v>250</v>
      </c>
      <c r="DC1742" t="s">
        <v>21481</v>
      </c>
      <c r="DD1742" t="s">
        <v>2246</v>
      </c>
      <c r="DE1742" t="s">
        <v>267</v>
      </c>
      <c r="DF1742" t="s">
        <v>268</v>
      </c>
      <c r="DG1742" t="s">
        <v>21482</v>
      </c>
      <c r="DH1742" t="s">
        <v>254</v>
      </c>
      <c r="DI1742" t="s">
        <v>183</v>
      </c>
      <c r="DJ1742" t="s">
        <v>211</v>
      </c>
      <c r="DK1742" t="s">
        <v>460</v>
      </c>
      <c r="DM1742" t="s">
        <v>21483</v>
      </c>
      <c r="DN1742" t="s">
        <v>2790</v>
      </c>
      <c r="DO1742" t="s">
        <v>238</v>
      </c>
      <c r="DP1742" t="s">
        <v>239</v>
      </c>
      <c r="DQ1742" t="s">
        <v>21484</v>
      </c>
      <c r="DR1742" t="s">
        <v>482</v>
      </c>
      <c r="DS1742" t="s">
        <v>183</v>
      </c>
      <c r="DT1742" t="s">
        <v>211</v>
      </c>
      <c r="DU1742" t="s">
        <v>290</v>
      </c>
      <c r="DW1742" t="s">
        <v>5469</v>
      </c>
      <c r="DX1742" t="s">
        <v>6163</v>
      </c>
      <c r="DY1742" t="s">
        <v>346</v>
      </c>
      <c r="DZ1742" t="s">
        <v>347</v>
      </c>
      <c r="EA1742" t="s">
        <v>21485</v>
      </c>
      <c r="EB1742" t="s">
        <v>314</v>
      </c>
      <c r="EC1742" t="s">
        <v>183</v>
      </c>
      <c r="ED1742" t="s">
        <v>211</v>
      </c>
      <c r="EE1742" t="s">
        <v>523</v>
      </c>
      <c r="EG1742" t="s">
        <v>5469</v>
      </c>
      <c r="EH1742" t="s">
        <v>15803</v>
      </c>
      <c r="EI1742" t="s">
        <v>207</v>
      </c>
      <c r="EJ1742" t="s">
        <v>208</v>
      </c>
      <c r="EK1742" t="s">
        <v>21486</v>
      </c>
      <c r="EL1742" t="s">
        <v>482</v>
      </c>
      <c r="EM1742" t="s">
        <v>183</v>
      </c>
      <c r="EN1742" t="s">
        <v>211</v>
      </c>
      <c r="EO1742" t="s">
        <v>806</v>
      </c>
      <c r="EQ1742" t="s">
        <v>5469</v>
      </c>
      <c r="FA1742" t="s">
        <v>198</v>
      </c>
      <c r="FK1742" t="s">
        <v>198</v>
      </c>
      <c r="FU1742" t="s">
        <v>198</v>
      </c>
    </row>
    <row r="1743" spans="1:177">
      <c r="A1743" s="1" t="str">
        <f>HYPERLINK("http://digipan.lumentumllc.com/apps/getLink/index.php?t=PropLink&amp;p=4638435","PL")</f>
        <v>PL</v>
      </c>
      <c r="B1743" s="1" t="str">
        <f>HYPERLINK("http://digipan.lumentumllc.com/apps/getLink/index.php?t=TaxLink&amp;p=4638435","TL")</f>
        <v>TL</v>
      </c>
      <c r="C1743" s="1" t="str">
        <f>HYPERLINK("http://digipan.lumentumllc.com/apps/getMap/index.php?p=4638435","Map")</f>
        <v>Map</v>
      </c>
      <c r="E1743" t="s">
        <v>177</v>
      </c>
      <c r="F1743" t="s">
        <v>178</v>
      </c>
      <c r="L1743" t="s">
        <v>21487</v>
      </c>
      <c r="N1743" t="s">
        <v>21487</v>
      </c>
      <c r="O1743" t="s">
        <v>21487</v>
      </c>
      <c r="P1743" t="s">
        <v>21488</v>
      </c>
      <c r="Q1743" t="s">
        <v>21487</v>
      </c>
      <c r="V1743">
        <v>1991</v>
      </c>
      <c r="W1743">
        <v>7</v>
      </c>
      <c r="X1743">
        <v>2017</v>
      </c>
      <c r="Y1743">
        <v>2018</v>
      </c>
      <c r="Z1743">
        <v>4125.1499999999996</v>
      </c>
      <c r="AB1743" t="s">
        <v>181</v>
      </c>
      <c r="AC1743" t="s">
        <v>182</v>
      </c>
      <c r="AD1743" t="s">
        <v>183</v>
      </c>
      <c r="AE1743">
        <v>1</v>
      </c>
      <c r="AF1743">
        <v>2</v>
      </c>
      <c r="AG1743" t="s">
        <v>363</v>
      </c>
      <c r="AH1743">
        <v>67</v>
      </c>
      <c r="AI1743">
        <v>4177.5</v>
      </c>
      <c r="AJ1743">
        <v>208.88</v>
      </c>
      <c r="AK1743">
        <v>4386.38</v>
      </c>
      <c r="AL1743">
        <v>250000</v>
      </c>
      <c r="AM1743">
        <v>250000</v>
      </c>
      <c r="AN1743">
        <v>0</v>
      </c>
      <c r="AO1743">
        <v>3838</v>
      </c>
      <c r="AP1743">
        <v>2016</v>
      </c>
      <c r="AQ1743">
        <v>1.65</v>
      </c>
      <c r="AR1743">
        <v>1.75</v>
      </c>
      <c r="AS1743" t="s">
        <v>21489</v>
      </c>
      <c r="AT1743" t="s">
        <v>3210</v>
      </c>
      <c r="AU1743" t="s">
        <v>177</v>
      </c>
      <c r="AV1743" t="s">
        <v>2334</v>
      </c>
      <c r="AW1743" t="s">
        <v>182</v>
      </c>
      <c r="AX1743">
        <v>0</v>
      </c>
      <c r="AY1743" t="s">
        <v>312</v>
      </c>
      <c r="AZ1743" t="s">
        <v>199</v>
      </c>
      <c r="BA1743" t="s">
        <v>313</v>
      </c>
      <c r="BB1743" t="s">
        <v>191</v>
      </c>
      <c r="BC1743" t="s">
        <v>182</v>
      </c>
      <c r="BD1743" t="s">
        <v>182</v>
      </c>
      <c r="BE1743" t="s">
        <v>838</v>
      </c>
      <c r="BF1743">
        <v>0</v>
      </c>
      <c r="BG1743">
        <v>0</v>
      </c>
      <c r="BH1743">
        <v>0</v>
      </c>
      <c r="BI1743" t="s">
        <v>199</v>
      </c>
      <c r="BJ1743" t="s">
        <v>396</v>
      </c>
      <c r="BL1743" t="s">
        <v>21490</v>
      </c>
      <c r="BM1743" t="s">
        <v>232</v>
      </c>
      <c r="BN1743" t="s">
        <v>182</v>
      </c>
      <c r="BO1743" t="s">
        <v>198</v>
      </c>
      <c r="BP1743" t="s">
        <v>198</v>
      </c>
      <c r="BQ1743" t="s">
        <v>198</v>
      </c>
      <c r="BR1743" t="s">
        <v>198</v>
      </c>
      <c r="BS1743" t="s">
        <v>198</v>
      </c>
      <c r="BT1743" t="s">
        <v>198</v>
      </c>
      <c r="BU1743" t="s">
        <v>182</v>
      </c>
      <c r="BV1743" t="s">
        <v>198</v>
      </c>
      <c r="BW1743" t="s">
        <v>198</v>
      </c>
      <c r="BX1743" t="s">
        <v>199</v>
      </c>
      <c r="BY1743" t="s">
        <v>198</v>
      </c>
      <c r="BZ1743" t="s">
        <v>199</v>
      </c>
      <c r="CA1743" t="s">
        <v>199</v>
      </c>
      <c r="CB1743" t="s">
        <v>21491</v>
      </c>
      <c r="CC1743" t="s">
        <v>201</v>
      </c>
      <c r="CD1743" t="s">
        <v>202</v>
      </c>
      <c r="CE1743" t="s">
        <v>21492</v>
      </c>
      <c r="CF1743" t="s">
        <v>413</v>
      </c>
      <c r="CG1743" t="s">
        <v>177</v>
      </c>
      <c r="CH1743" t="s">
        <v>2991</v>
      </c>
      <c r="CI1743" t="s">
        <v>4059</v>
      </c>
      <c r="CJ1743" t="s">
        <v>21493</v>
      </c>
      <c r="CK1743" t="s">
        <v>232</v>
      </c>
      <c r="CL1743" t="s">
        <v>233</v>
      </c>
      <c r="CM1743" t="s">
        <v>21494</v>
      </c>
      <c r="CN1743" t="s">
        <v>235</v>
      </c>
      <c r="CO1743" t="s">
        <v>183</v>
      </c>
      <c r="CP1743" t="s">
        <v>266</v>
      </c>
      <c r="CS1743" t="s">
        <v>198</v>
      </c>
      <c r="CT1743" t="s">
        <v>19722</v>
      </c>
      <c r="CU1743" t="s">
        <v>292</v>
      </c>
      <c r="CV1743" t="s">
        <v>293</v>
      </c>
      <c r="CW1743" t="s">
        <v>21495</v>
      </c>
      <c r="CX1743" t="s">
        <v>235</v>
      </c>
      <c r="CY1743" t="s">
        <v>183</v>
      </c>
      <c r="CZ1743" t="s">
        <v>211</v>
      </c>
      <c r="DA1743" t="s">
        <v>250</v>
      </c>
      <c r="DC1743" t="s">
        <v>21481</v>
      </c>
      <c r="DD1743" t="s">
        <v>2959</v>
      </c>
      <c r="DE1743" t="s">
        <v>267</v>
      </c>
      <c r="DF1743" t="s">
        <v>268</v>
      </c>
      <c r="DG1743" t="s">
        <v>21496</v>
      </c>
      <c r="DH1743" t="s">
        <v>235</v>
      </c>
      <c r="DI1743" t="s">
        <v>183</v>
      </c>
      <c r="DJ1743" t="s">
        <v>211</v>
      </c>
      <c r="DK1743" t="s">
        <v>460</v>
      </c>
      <c r="DM1743" t="s">
        <v>3251</v>
      </c>
      <c r="DW1743" t="s">
        <v>198</v>
      </c>
      <c r="EG1743" t="s">
        <v>198</v>
      </c>
      <c r="EQ1743" t="s">
        <v>198</v>
      </c>
      <c r="FA1743" t="s">
        <v>198</v>
      </c>
      <c r="FK1743" t="s">
        <v>198</v>
      </c>
      <c r="FU1743" t="s">
        <v>198</v>
      </c>
    </row>
    <row r="1744" spans="1:177">
      <c r="A1744" s="1" t="str">
        <f>HYPERLINK("http://digipan.lumentumllc.com/apps/getLink/index.php?t=PropLink&amp;p=6886835","PL")</f>
        <v>PL</v>
      </c>
      <c r="B1744" s="1" t="str">
        <f>HYPERLINK("http://digipan.lumentumllc.com/apps/getLink/index.php?t=TaxLink&amp;p=6886835","TL")</f>
        <v>TL</v>
      </c>
      <c r="C1744" s="1" t="str">
        <f>HYPERLINK("http://digipan.lumentumllc.com/apps/getMap/index.php?p=6886835","Map")</f>
        <v>Map</v>
      </c>
      <c r="E1744" t="s">
        <v>177</v>
      </c>
      <c r="F1744" t="s">
        <v>178</v>
      </c>
      <c r="L1744" t="s">
        <v>21497</v>
      </c>
      <c r="N1744" t="s">
        <v>21497</v>
      </c>
      <c r="O1744" t="s">
        <v>21497</v>
      </c>
      <c r="P1744" t="s">
        <v>21498</v>
      </c>
      <c r="Q1744" t="s">
        <v>21497</v>
      </c>
      <c r="V1744">
        <v>1992</v>
      </c>
      <c r="W1744">
        <v>7</v>
      </c>
      <c r="X1744">
        <v>2017</v>
      </c>
      <c r="Y1744">
        <v>2018</v>
      </c>
      <c r="Z1744">
        <v>626</v>
      </c>
      <c r="AB1744" t="s">
        <v>181</v>
      </c>
      <c r="AC1744" t="s">
        <v>182</v>
      </c>
      <c r="AD1744" t="s">
        <v>183</v>
      </c>
      <c r="AE1744">
        <v>1</v>
      </c>
      <c r="AF1744">
        <v>1</v>
      </c>
      <c r="AG1744" t="s">
        <v>2222</v>
      </c>
      <c r="AH1744">
        <v>50</v>
      </c>
      <c r="AI1744">
        <v>608.73</v>
      </c>
      <c r="AJ1744">
        <v>30.44</v>
      </c>
      <c r="AK1744">
        <v>639.16999999999996</v>
      </c>
      <c r="AL1744">
        <v>48000</v>
      </c>
      <c r="AM1744">
        <v>48000</v>
      </c>
      <c r="AN1744">
        <v>0</v>
      </c>
      <c r="AO1744">
        <v>538</v>
      </c>
      <c r="AP1744">
        <v>2016</v>
      </c>
      <c r="AQ1744">
        <v>1.3</v>
      </c>
      <c r="AR1744">
        <v>1.33</v>
      </c>
      <c r="AS1744" t="s">
        <v>21499</v>
      </c>
      <c r="AT1744" t="s">
        <v>3210</v>
      </c>
      <c r="AU1744" t="s">
        <v>177</v>
      </c>
      <c r="AV1744" t="s">
        <v>2334</v>
      </c>
      <c r="AW1744" t="s">
        <v>182</v>
      </c>
      <c r="AX1744">
        <v>0</v>
      </c>
      <c r="AY1744" t="s">
        <v>312</v>
      </c>
      <c r="AZ1744" t="s">
        <v>199</v>
      </c>
      <c r="BA1744" t="s">
        <v>313</v>
      </c>
      <c r="BB1744" t="s">
        <v>191</v>
      </c>
      <c r="BC1744" t="s">
        <v>182</v>
      </c>
      <c r="BD1744" t="s">
        <v>182</v>
      </c>
      <c r="BE1744" t="s">
        <v>20287</v>
      </c>
      <c r="BF1744">
        <v>0</v>
      </c>
      <c r="BG1744">
        <v>0</v>
      </c>
      <c r="BH1744">
        <v>0</v>
      </c>
      <c r="BI1744" t="s">
        <v>199</v>
      </c>
      <c r="BJ1744" t="s">
        <v>396</v>
      </c>
      <c r="BL1744" t="s">
        <v>4009</v>
      </c>
      <c r="BM1744" t="s">
        <v>267</v>
      </c>
      <c r="BN1744" t="s">
        <v>182</v>
      </c>
      <c r="BO1744" t="s">
        <v>21312</v>
      </c>
      <c r="BP1744" t="s">
        <v>21500</v>
      </c>
      <c r="BS1744" t="s">
        <v>21501</v>
      </c>
      <c r="BT1744" t="s">
        <v>198</v>
      </c>
      <c r="BU1744" t="s">
        <v>182</v>
      </c>
      <c r="BV1744" t="s">
        <v>198</v>
      </c>
      <c r="BW1744" t="s">
        <v>198</v>
      </c>
      <c r="BX1744" t="s">
        <v>199</v>
      </c>
      <c r="BY1744" t="s">
        <v>198</v>
      </c>
      <c r="BZ1744" t="s">
        <v>199</v>
      </c>
      <c r="CA1744" t="s">
        <v>199</v>
      </c>
      <c r="CB1744" t="s">
        <v>21502</v>
      </c>
      <c r="CC1744" t="s">
        <v>201</v>
      </c>
      <c r="CD1744" t="s">
        <v>202</v>
      </c>
      <c r="CE1744" t="s">
        <v>21464</v>
      </c>
      <c r="CF1744" t="s">
        <v>413</v>
      </c>
      <c r="CG1744" t="s">
        <v>177</v>
      </c>
      <c r="CH1744" t="s">
        <v>21465</v>
      </c>
      <c r="CI1744" t="s">
        <v>21503</v>
      </c>
      <c r="CJ1744" t="s">
        <v>8738</v>
      </c>
      <c r="CK1744" t="s">
        <v>232</v>
      </c>
      <c r="CL1744" t="s">
        <v>233</v>
      </c>
      <c r="CM1744" t="s">
        <v>21504</v>
      </c>
      <c r="CN1744" t="s">
        <v>235</v>
      </c>
      <c r="CO1744" t="s">
        <v>183</v>
      </c>
      <c r="CP1744" t="s">
        <v>266</v>
      </c>
      <c r="CS1744" t="s">
        <v>198</v>
      </c>
      <c r="CT1744" t="s">
        <v>11610</v>
      </c>
      <c r="CU1744" t="s">
        <v>267</v>
      </c>
      <c r="CV1744" t="s">
        <v>268</v>
      </c>
      <c r="CW1744" t="s">
        <v>21505</v>
      </c>
      <c r="CX1744" t="s">
        <v>235</v>
      </c>
      <c r="CY1744" t="s">
        <v>183</v>
      </c>
      <c r="CZ1744" t="s">
        <v>211</v>
      </c>
      <c r="DA1744" t="s">
        <v>264</v>
      </c>
      <c r="DC1744" t="s">
        <v>16470</v>
      </c>
      <c r="DM1744" t="s">
        <v>198</v>
      </c>
      <c r="DW1744" t="s">
        <v>198</v>
      </c>
      <c r="EG1744" t="s">
        <v>198</v>
      </c>
      <c r="EQ1744" t="s">
        <v>198</v>
      </c>
      <c r="FA1744" t="s">
        <v>198</v>
      </c>
      <c r="FK1744" t="s">
        <v>198</v>
      </c>
      <c r="FU1744" t="s">
        <v>198</v>
      </c>
    </row>
    <row r="1745" spans="1:177">
      <c r="A1745" s="1" t="str">
        <f>HYPERLINK("http://digipan.lumentumllc.com/apps/getLink/index.php?t=PropLink&amp;p=4638438","PL")</f>
        <v>PL</v>
      </c>
      <c r="B1745" s="1" t="str">
        <f>HYPERLINK("http://digipan.lumentumllc.com/apps/getLink/index.php?t=TaxLink&amp;p=4638438","TL")</f>
        <v>TL</v>
      </c>
      <c r="C1745" s="1" t="str">
        <f>HYPERLINK("http://digipan.lumentumllc.com/apps/getMap/index.php?p=4638438","Map")</f>
        <v>Map</v>
      </c>
      <c r="E1745" t="s">
        <v>177</v>
      </c>
      <c r="F1745" t="s">
        <v>178</v>
      </c>
      <c r="L1745" t="s">
        <v>21506</v>
      </c>
      <c r="N1745" t="s">
        <v>21506</v>
      </c>
      <c r="O1745" t="s">
        <v>21506</v>
      </c>
      <c r="P1745" t="s">
        <v>21507</v>
      </c>
      <c r="Q1745" t="s">
        <v>21506</v>
      </c>
      <c r="V1745">
        <v>1993</v>
      </c>
      <c r="W1745">
        <v>7</v>
      </c>
      <c r="X1745">
        <v>2017</v>
      </c>
      <c r="Y1745">
        <v>2018</v>
      </c>
      <c r="Z1745">
        <v>2221.4499999999998</v>
      </c>
      <c r="AB1745" t="s">
        <v>181</v>
      </c>
      <c r="AC1745" t="s">
        <v>182</v>
      </c>
      <c r="AD1745" t="s">
        <v>183</v>
      </c>
      <c r="AE1745">
        <v>1</v>
      </c>
      <c r="AF1745">
        <v>2</v>
      </c>
      <c r="AG1745" t="s">
        <v>363</v>
      </c>
      <c r="AH1745">
        <v>67</v>
      </c>
      <c r="AI1745">
        <v>2084.39</v>
      </c>
      <c r="AJ1745">
        <v>104.22</v>
      </c>
      <c r="AK1745">
        <v>2188.61</v>
      </c>
      <c r="AL1745">
        <v>183377</v>
      </c>
      <c r="AM1745">
        <v>145000</v>
      </c>
      <c r="AN1745">
        <v>38377</v>
      </c>
      <c r="AO1745">
        <v>1902</v>
      </c>
      <c r="AP1745">
        <v>2016</v>
      </c>
      <c r="AQ1745">
        <v>1.21</v>
      </c>
      <c r="AR1745">
        <v>1.19</v>
      </c>
      <c r="AS1745" t="s">
        <v>21508</v>
      </c>
      <c r="AT1745" t="s">
        <v>3210</v>
      </c>
      <c r="AU1745" t="s">
        <v>177</v>
      </c>
      <c r="AV1745" t="s">
        <v>2334</v>
      </c>
      <c r="AW1745" t="s">
        <v>182</v>
      </c>
      <c r="AX1745">
        <v>0</v>
      </c>
      <c r="AY1745" t="s">
        <v>312</v>
      </c>
      <c r="AZ1745" t="s">
        <v>199</v>
      </c>
      <c r="BA1745" t="s">
        <v>313</v>
      </c>
      <c r="BB1745" t="s">
        <v>191</v>
      </c>
      <c r="BC1745" t="s">
        <v>182</v>
      </c>
      <c r="BD1745" t="s">
        <v>182</v>
      </c>
      <c r="BE1745" t="s">
        <v>21509</v>
      </c>
      <c r="BF1745">
        <v>0</v>
      </c>
      <c r="BG1745">
        <v>0</v>
      </c>
      <c r="BH1745">
        <v>0</v>
      </c>
      <c r="BI1745" t="s">
        <v>199</v>
      </c>
      <c r="BJ1745" t="s">
        <v>194</v>
      </c>
      <c r="BL1745" t="s">
        <v>21510</v>
      </c>
      <c r="BM1745" t="s">
        <v>267</v>
      </c>
      <c r="BN1745" t="s">
        <v>182</v>
      </c>
      <c r="BO1745" t="s">
        <v>198</v>
      </c>
      <c r="BP1745" t="s">
        <v>198</v>
      </c>
      <c r="BQ1745" t="s">
        <v>198</v>
      </c>
      <c r="BR1745" t="s">
        <v>198</v>
      </c>
      <c r="BS1745" t="s">
        <v>198</v>
      </c>
      <c r="BT1745" t="s">
        <v>198</v>
      </c>
      <c r="BU1745" t="s">
        <v>182</v>
      </c>
      <c r="BV1745" t="s">
        <v>198</v>
      </c>
      <c r="BW1745" t="s">
        <v>198</v>
      </c>
      <c r="BX1745" t="s">
        <v>199</v>
      </c>
      <c r="BY1745" t="s">
        <v>198</v>
      </c>
      <c r="BZ1745" t="s">
        <v>199</v>
      </c>
      <c r="CA1745" t="s">
        <v>199</v>
      </c>
      <c r="CB1745" t="s">
        <v>21463</v>
      </c>
      <c r="CC1745" t="s">
        <v>201</v>
      </c>
      <c r="CD1745" t="s">
        <v>182</v>
      </c>
      <c r="CE1745" t="s">
        <v>21464</v>
      </c>
      <c r="CF1745" t="s">
        <v>413</v>
      </c>
      <c r="CG1745" t="s">
        <v>177</v>
      </c>
      <c r="CH1745" t="s">
        <v>21465</v>
      </c>
      <c r="CI1745" t="s">
        <v>15102</v>
      </c>
      <c r="CJ1745" t="s">
        <v>19824</v>
      </c>
      <c r="CK1745" t="s">
        <v>232</v>
      </c>
      <c r="CL1745" t="s">
        <v>233</v>
      </c>
      <c r="CM1745" t="s">
        <v>21511</v>
      </c>
      <c r="CN1745" t="s">
        <v>235</v>
      </c>
      <c r="CO1745" t="s">
        <v>183</v>
      </c>
      <c r="CP1745" t="s">
        <v>266</v>
      </c>
      <c r="CS1745" t="s">
        <v>198</v>
      </c>
      <c r="CT1745" t="s">
        <v>19824</v>
      </c>
      <c r="CU1745" t="s">
        <v>292</v>
      </c>
      <c r="CV1745" t="s">
        <v>293</v>
      </c>
      <c r="CW1745" t="s">
        <v>21512</v>
      </c>
      <c r="CX1745" t="s">
        <v>331</v>
      </c>
      <c r="CY1745" t="s">
        <v>183</v>
      </c>
      <c r="CZ1745" t="s">
        <v>211</v>
      </c>
      <c r="DA1745" t="s">
        <v>250</v>
      </c>
      <c r="DC1745" t="s">
        <v>21481</v>
      </c>
      <c r="DD1745" t="s">
        <v>20664</v>
      </c>
      <c r="DE1745" t="s">
        <v>267</v>
      </c>
      <c r="DF1745" t="s">
        <v>268</v>
      </c>
      <c r="DG1745" t="s">
        <v>21513</v>
      </c>
      <c r="DH1745" t="s">
        <v>235</v>
      </c>
      <c r="DI1745" t="s">
        <v>183</v>
      </c>
      <c r="DJ1745" t="s">
        <v>211</v>
      </c>
      <c r="DK1745" t="s">
        <v>460</v>
      </c>
      <c r="DM1745" t="s">
        <v>21483</v>
      </c>
      <c r="DW1745" t="s">
        <v>198</v>
      </c>
      <c r="EG1745" t="s">
        <v>198</v>
      </c>
      <c r="EQ1745" t="s">
        <v>198</v>
      </c>
      <c r="FA1745" t="s">
        <v>198</v>
      </c>
      <c r="FK1745" t="s">
        <v>198</v>
      </c>
      <c r="FU1745" t="s">
        <v>198</v>
      </c>
    </row>
    <row r="1746" spans="1:177">
      <c r="A1746" s="1" t="str">
        <f>HYPERLINK("http://digipan.lumentumllc.com/apps/getLink/index.php?t=PropLink&amp;p=4638439","PL")</f>
        <v>PL</v>
      </c>
      <c r="B1746" s="1" t="str">
        <f>HYPERLINK("http://digipan.lumentumllc.com/apps/getLink/index.php?t=TaxLink&amp;p=4638439","TL")</f>
        <v>TL</v>
      </c>
      <c r="C1746" s="1" t="str">
        <f>HYPERLINK("http://digipan.lumentumllc.com/apps/getMap/index.php?p=4638439","Map")</f>
        <v>Map</v>
      </c>
      <c r="E1746" t="s">
        <v>177</v>
      </c>
      <c r="F1746" t="s">
        <v>178</v>
      </c>
      <c r="L1746" t="s">
        <v>21514</v>
      </c>
      <c r="N1746" t="s">
        <v>21514</v>
      </c>
      <c r="O1746" t="s">
        <v>21514</v>
      </c>
      <c r="P1746" t="s">
        <v>21515</v>
      </c>
      <c r="Q1746" t="s">
        <v>21514</v>
      </c>
      <c r="V1746">
        <v>1994</v>
      </c>
      <c r="W1746">
        <v>7</v>
      </c>
      <c r="X1746">
        <v>2017</v>
      </c>
      <c r="Y1746">
        <v>2018</v>
      </c>
      <c r="Z1746">
        <v>1086.8499999999999</v>
      </c>
      <c r="AB1746" t="s">
        <v>181</v>
      </c>
      <c r="AC1746" t="s">
        <v>202</v>
      </c>
      <c r="AD1746" t="s">
        <v>183</v>
      </c>
      <c r="AE1746">
        <v>1</v>
      </c>
      <c r="AF1746">
        <v>2</v>
      </c>
      <c r="AG1746" t="s">
        <v>2222</v>
      </c>
      <c r="AH1746">
        <v>50</v>
      </c>
      <c r="AI1746">
        <v>1081.08</v>
      </c>
      <c r="AJ1746">
        <v>54.05</v>
      </c>
      <c r="AK1746">
        <v>1135.1300000000001</v>
      </c>
      <c r="AL1746">
        <v>110000</v>
      </c>
      <c r="AM1746">
        <v>110000</v>
      </c>
      <c r="AN1746">
        <v>0</v>
      </c>
      <c r="AO1746">
        <v>975</v>
      </c>
      <c r="AP1746">
        <v>2016</v>
      </c>
      <c r="AQ1746">
        <v>0.99</v>
      </c>
      <c r="AR1746">
        <v>1.03</v>
      </c>
      <c r="AS1746" t="s">
        <v>21516</v>
      </c>
      <c r="AT1746" t="s">
        <v>3210</v>
      </c>
      <c r="AU1746" t="s">
        <v>177</v>
      </c>
      <c r="AV1746" t="s">
        <v>2334</v>
      </c>
      <c r="AW1746" t="s">
        <v>182</v>
      </c>
      <c r="AX1746">
        <v>0</v>
      </c>
      <c r="AY1746" t="s">
        <v>312</v>
      </c>
      <c r="AZ1746" t="s">
        <v>199</v>
      </c>
      <c r="BA1746" t="s">
        <v>313</v>
      </c>
      <c r="BB1746" t="s">
        <v>191</v>
      </c>
      <c r="BC1746" t="s">
        <v>182</v>
      </c>
      <c r="BD1746" t="s">
        <v>182</v>
      </c>
      <c r="BE1746" t="s">
        <v>3682</v>
      </c>
      <c r="BF1746">
        <v>0</v>
      </c>
      <c r="BG1746">
        <v>0</v>
      </c>
      <c r="BH1746">
        <v>0</v>
      </c>
      <c r="BI1746" t="s">
        <v>199</v>
      </c>
      <c r="BJ1746" t="s">
        <v>194</v>
      </c>
      <c r="BL1746" t="s">
        <v>17082</v>
      </c>
      <c r="BM1746" t="s">
        <v>238</v>
      </c>
      <c r="BN1746" t="s">
        <v>182</v>
      </c>
      <c r="BO1746" t="s">
        <v>198</v>
      </c>
      <c r="BP1746" t="s">
        <v>198</v>
      </c>
      <c r="BQ1746" t="s">
        <v>198</v>
      </c>
      <c r="BR1746" t="s">
        <v>198</v>
      </c>
      <c r="BS1746" t="s">
        <v>198</v>
      </c>
      <c r="BT1746" t="s">
        <v>198</v>
      </c>
      <c r="BU1746" t="s">
        <v>182</v>
      </c>
      <c r="BV1746" t="s">
        <v>198</v>
      </c>
      <c r="BW1746" t="s">
        <v>198</v>
      </c>
      <c r="BX1746" t="s">
        <v>199</v>
      </c>
      <c r="BY1746" t="s">
        <v>198</v>
      </c>
      <c r="BZ1746" t="s">
        <v>199</v>
      </c>
      <c r="CA1746" t="s">
        <v>199</v>
      </c>
      <c r="CB1746" t="s">
        <v>21502</v>
      </c>
      <c r="CC1746" t="s">
        <v>201</v>
      </c>
      <c r="CD1746" t="s">
        <v>202</v>
      </c>
      <c r="CE1746" t="s">
        <v>21464</v>
      </c>
      <c r="CF1746" t="s">
        <v>413</v>
      </c>
      <c r="CG1746" t="s">
        <v>177</v>
      </c>
      <c r="CH1746" t="s">
        <v>21465</v>
      </c>
      <c r="CI1746" t="s">
        <v>15106</v>
      </c>
      <c r="CJ1746" t="s">
        <v>18849</v>
      </c>
      <c r="CK1746" t="s">
        <v>232</v>
      </c>
      <c r="CL1746" t="s">
        <v>233</v>
      </c>
      <c r="CM1746" t="s">
        <v>21517</v>
      </c>
      <c r="CN1746" t="s">
        <v>235</v>
      </c>
      <c r="CO1746" t="s">
        <v>183</v>
      </c>
      <c r="CP1746" t="s">
        <v>266</v>
      </c>
      <c r="CS1746" t="s">
        <v>198</v>
      </c>
      <c r="CT1746" t="s">
        <v>18849</v>
      </c>
      <c r="CU1746" t="s">
        <v>292</v>
      </c>
      <c r="CV1746" t="s">
        <v>293</v>
      </c>
      <c r="CW1746" t="s">
        <v>21518</v>
      </c>
      <c r="CX1746" t="s">
        <v>235</v>
      </c>
      <c r="CY1746" t="s">
        <v>183</v>
      </c>
      <c r="CZ1746" t="s">
        <v>211</v>
      </c>
      <c r="DA1746" t="s">
        <v>298</v>
      </c>
      <c r="DC1746" t="s">
        <v>1066</v>
      </c>
      <c r="DD1746" t="s">
        <v>16395</v>
      </c>
      <c r="DE1746" t="s">
        <v>207</v>
      </c>
      <c r="DF1746" t="s">
        <v>208</v>
      </c>
      <c r="DG1746" t="s">
        <v>21519</v>
      </c>
      <c r="DH1746" t="s">
        <v>1296</v>
      </c>
      <c r="DI1746" t="s">
        <v>183</v>
      </c>
      <c r="DJ1746" t="s">
        <v>211</v>
      </c>
      <c r="DK1746" t="s">
        <v>189</v>
      </c>
      <c r="DL1746" t="s">
        <v>271</v>
      </c>
      <c r="DM1746" t="s">
        <v>9091</v>
      </c>
      <c r="DW1746" t="s">
        <v>198</v>
      </c>
      <c r="EG1746" t="s">
        <v>198</v>
      </c>
      <c r="EQ1746" t="s">
        <v>198</v>
      </c>
      <c r="FA1746" t="s">
        <v>198</v>
      </c>
      <c r="FK1746" t="s">
        <v>198</v>
      </c>
      <c r="FU1746" t="s">
        <v>198</v>
      </c>
    </row>
    <row r="1747" spans="1:177">
      <c r="A1747" s="1" t="str">
        <f>HYPERLINK("http://digipan.lumentumllc.com/apps/getLink/index.php?t=PropLink&amp;p=5247711","PL")</f>
        <v>PL</v>
      </c>
      <c r="B1747" s="1" t="str">
        <f>HYPERLINK("http://digipan.lumentumllc.com/apps/getLink/index.php?t=TaxLink&amp;p=5247711","TL")</f>
        <v>TL</v>
      </c>
      <c r="C1747" s="1" t="str">
        <f>HYPERLINK("http://digipan.lumentumllc.com/apps/getMap/index.php?p=5247711","Map")</f>
        <v>Map</v>
      </c>
      <c r="E1747" t="s">
        <v>177</v>
      </c>
      <c r="F1747" t="s">
        <v>178</v>
      </c>
      <c r="L1747" t="s">
        <v>21520</v>
      </c>
      <c r="N1747" t="s">
        <v>21520</v>
      </c>
      <c r="O1747" t="s">
        <v>21520</v>
      </c>
      <c r="P1747" t="s">
        <v>21521</v>
      </c>
      <c r="Q1747" t="s">
        <v>21520</v>
      </c>
      <c r="V1747">
        <v>1995</v>
      </c>
      <c r="W1747">
        <v>7</v>
      </c>
      <c r="X1747">
        <v>2017</v>
      </c>
      <c r="Y1747">
        <v>2018</v>
      </c>
      <c r="Z1747">
        <v>1086.8499999999999</v>
      </c>
      <c r="AB1747" t="s">
        <v>181</v>
      </c>
      <c r="AC1747" t="s">
        <v>182</v>
      </c>
      <c r="AD1747" t="s">
        <v>183</v>
      </c>
      <c r="AE1747">
        <v>1</v>
      </c>
      <c r="AF1747">
        <v>5</v>
      </c>
      <c r="AG1747" t="s">
        <v>951</v>
      </c>
      <c r="AH1747">
        <v>80</v>
      </c>
      <c r="AI1747">
        <v>1081.08</v>
      </c>
      <c r="AJ1747">
        <v>54.05</v>
      </c>
      <c r="AK1747">
        <v>1135.1300000000001</v>
      </c>
      <c r="AL1747">
        <v>110000</v>
      </c>
      <c r="AM1747">
        <v>110000</v>
      </c>
      <c r="AN1747">
        <v>0</v>
      </c>
      <c r="AO1747">
        <v>975</v>
      </c>
      <c r="AP1747">
        <v>2016</v>
      </c>
      <c r="AQ1747">
        <v>0.99</v>
      </c>
      <c r="AR1747">
        <v>1.03</v>
      </c>
      <c r="AS1747" t="s">
        <v>21522</v>
      </c>
      <c r="AT1747" t="s">
        <v>3210</v>
      </c>
      <c r="AU1747" t="s">
        <v>177</v>
      </c>
      <c r="AV1747" t="s">
        <v>2334</v>
      </c>
      <c r="AW1747" t="s">
        <v>182</v>
      </c>
      <c r="AX1747">
        <v>0</v>
      </c>
      <c r="AY1747" t="s">
        <v>312</v>
      </c>
      <c r="AZ1747" t="s">
        <v>199</v>
      </c>
      <c r="BA1747" t="s">
        <v>313</v>
      </c>
      <c r="BB1747" t="s">
        <v>191</v>
      </c>
      <c r="BC1747" t="s">
        <v>182</v>
      </c>
      <c r="BD1747" t="s">
        <v>182</v>
      </c>
      <c r="BE1747" t="s">
        <v>5689</v>
      </c>
      <c r="BF1747">
        <v>0</v>
      </c>
      <c r="BG1747">
        <v>0</v>
      </c>
      <c r="BH1747">
        <v>0</v>
      </c>
      <c r="BI1747" t="s">
        <v>199</v>
      </c>
      <c r="BJ1747" t="s">
        <v>194</v>
      </c>
      <c r="BL1747" t="s">
        <v>21510</v>
      </c>
      <c r="BM1747" t="s">
        <v>267</v>
      </c>
      <c r="BN1747" t="s">
        <v>182</v>
      </c>
      <c r="BO1747" t="s">
        <v>198</v>
      </c>
      <c r="BP1747" t="s">
        <v>198</v>
      </c>
      <c r="BQ1747" t="s">
        <v>198</v>
      </c>
      <c r="BR1747" t="s">
        <v>198</v>
      </c>
      <c r="BS1747" t="s">
        <v>198</v>
      </c>
      <c r="BT1747" t="s">
        <v>198</v>
      </c>
      <c r="BU1747" t="s">
        <v>182</v>
      </c>
      <c r="BV1747" t="s">
        <v>198</v>
      </c>
      <c r="BW1747" t="s">
        <v>198</v>
      </c>
      <c r="BX1747" t="s">
        <v>199</v>
      </c>
      <c r="BY1747" t="s">
        <v>198</v>
      </c>
      <c r="BZ1747" t="s">
        <v>199</v>
      </c>
      <c r="CA1747" t="s">
        <v>199</v>
      </c>
      <c r="CB1747" t="s">
        <v>21463</v>
      </c>
      <c r="CC1747" t="s">
        <v>201</v>
      </c>
      <c r="CD1747" t="s">
        <v>182</v>
      </c>
      <c r="CE1747" t="s">
        <v>21464</v>
      </c>
      <c r="CF1747" t="s">
        <v>413</v>
      </c>
      <c r="CG1747" t="s">
        <v>177</v>
      </c>
      <c r="CH1747" t="s">
        <v>21465</v>
      </c>
      <c r="CI1747" t="s">
        <v>15114</v>
      </c>
      <c r="CJ1747" t="s">
        <v>20910</v>
      </c>
      <c r="CK1747" t="s">
        <v>232</v>
      </c>
      <c r="CL1747" t="s">
        <v>233</v>
      </c>
      <c r="CM1747" t="s">
        <v>21517</v>
      </c>
      <c r="CN1747" t="s">
        <v>331</v>
      </c>
      <c r="CO1747" t="s">
        <v>183</v>
      </c>
      <c r="CP1747" t="s">
        <v>266</v>
      </c>
      <c r="CS1747" t="s">
        <v>198</v>
      </c>
      <c r="CT1747" t="s">
        <v>20910</v>
      </c>
      <c r="CU1747" t="s">
        <v>292</v>
      </c>
      <c r="CV1747" t="s">
        <v>293</v>
      </c>
      <c r="CW1747" t="s">
        <v>21518</v>
      </c>
      <c r="CX1747" t="s">
        <v>387</v>
      </c>
      <c r="CY1747" t="s">
        <v>183</v>
      </c>
      <c r="CZ1747" t="s">
        <v>211</v>
      </c>
      <c r="DA1747" t="s">
        <v>250</v>
      </c>
      <c r="DC1747" t="s">
        <v>21481</v>
      </c>
      <c r="DD1747" t="s">
        <v>7202</v>
      </c>
      <c r="DE1747" t="s">
        <v>267</v>
      </c>
      <c r="DF1747" t="s">
        <v>268</v>
      </c>
      <c r="DG1747" t="s">
        <v>21523</v>
      </c>
      <c r="DH1747" t="s">
        <v>235</v>
      </c>
      <c r="DI1747" t="s">
        <v>183</v>
      </c>
      <c r="DJ1747" t="s">
        <v>211</v>
      </c>
      <c r="DK1747" t="s">
        <v>460</v>
      </c>
      <c r="DM1747" t="s">
        <v>21483</v>
      </c>
      <c r="DN1747" t="s">
        <v>21524</v>
      </c>
      <c r="DO1747" t="s">
        <v>238</v>
      </c>
      <c r="DP1747" t="s">
        <v>239</v>
      </c>
      <c r="DQ1747" t="s">
        <v>21525</v>
      </c>
      <c r="DR1747" t="s">
        <v>482</v>
      </c>
      <c r="DS1747" t="s">
        <v>183</v>
      </c>
      <c r="DT1747" t="s">
        <v>211</v>
      </c>
      <c r="DU1747" t="s">
        <v>199</v>
      </c>
      <c r="DW1747" t="s">
        <v>21471</v>
      </c>
      <c r="DX1747" t="s">
        <v>21526</v>
      </c>
      <c r="DY1747" t="s">
        <v>346</v>
      </c>
      <c r="DZ1747" t="s">
        <v>347</v>
      </c>
      <c r="EA1747" t="s">
        <v>21527</v>
      </c>
      <c r="EB1747" t="s">
        <v>1966</v>
      </c>
      <c r="EC1747" t="s">
        <v>183</v>
      </c>
      <c r="ED1747" t="s">
        <v>211</v>
      </c>
      <c r="EE1747" t="s">
        <v>427</v>
      </c>
      <c r="EG1747" t="s">
        <v>21471</v>
      </c>
      <c r="EH1747" t="s">
        <v>16410</v>
      </c>
      <c r="EI1747" t="s">
        <v>207</v>
      </c>
      <c r="EJ1747" t="s">
        <v>208</v>
      </c>
      <c r="EK1747" t="s">
        <v>21519</v>
      </c>
      <c r="EL1747" t="s">
        <v>408</v>
      </c>
      <c r="EM1747" t="s">
        <v>183</v>
      </c>
      <c r="EN1747" t="s">
        <v>211</v>
      </c>
      <c r="EO1747" t="s">
        <v>633</v>
      </c>
      <c r="EQ1747" t="s">
        <v>21471</v>
      </c>
      <c r="FA1747" t="s">
        <v>198</v>
      </c>
      <c r="FK1747" t="s">
        <v>198</v>
      </c>
      <c r="FU1747" t="s">
        <v>198</v>
      </c>
    </row>
    <row r="1748" spans="1:177">
      <c r="A1748" s="1" t="str">
        <f>HYPERLINK("http://digipan.lumentumllc.com/apps/getLink/index.php?t=PropLink&amp;p=5247713","PL")</f>
        <v>PL</v>
      </c>
      <c r="B1748" s="1" t="str">
        <f>HYPERLINK("http://digipan.lumentumllc.com/apps/getLink/index.php?t=TaxLink&amp;p=5247713","TL")</f>
        <v>TL</v>
      </c>
      <c r="C1748" s="1" t="str">
        <f>HYPERLINK("http://digipan.lumentumllc.com/apps/getMap/index.php?p=5247713","Map")</f>
        <v>Map</v>
      </c>
      <c r="E1748" t="s">
        <v>177</v>
      </c>
      <c r="F1748" t="s">
        <v>178</v>
      </c>
      <c r="L1748" t="s">
        <v>21528</v>
      </c>
      <c r="N1748" t="s">
        <v>21528</v>
      </c>
      <c r="O1748" t="s">
        <v>21528</v>
      </c>
      <c r="P1748" t="s">
        <v>21529</v>
      </c>
      <c r="Q1748" t="s">
        <v>21528</v>
      </c>
      <c r="V1748">
        <v>1996</v>
      </c>
      <c r="W1748">
        <v>7</v>
      </c>
      <c r="X1748">
        <v>2017</v>
      </c>
      <c r="Y1748">
        <v>2018</v>
      </c>
      <c r="Z1748">
        <v>1086.8499999999999</v>
      </c>
      <c r="AB1748" t="s">
        <v>181</v>
      </c>
      <c r="AC1748" t="s">
        <v>182</v>
      </c>
      <c r="AD1748" t="s">
        <v>183</v>
      </c>
      <c r="AE1748">
        <v>1</v>
      </c>
      <c r="AF1748">
        <v>5</v>
      </c>
      <c r="AG1748" t="s">
        <v>951</v>
      </c>
      <c r="AH1748">
        <v>80</v>
      </c>
      <c r="AI1748">
        <v>1081.08</v>
      </c>
      <c r="AJ1748">
        <v>54.05</v>
      </c>
      <c r="AK1748">
        <v>1135.1300000000001</v>
      </c>
      <c r="AL1748">
        <v>110000</v>
      </c>
      <c r="AM1748">
        <v>110000</v>
      </c>
      <c r="AN1748">
        <v>0</v>
      </c>
      <c r="AO1748">
        <v>975</v>
      </c>
      <c r="AP1748">
        <v>2016</v>
      </c>
      <c r="AQ1748">
        <v>0.99</v>
      </c>
      <c r="AR1748">
        <v>1.03</v>
      </c>
      <c r="AS1748" t="s">
        <v>21530</v>
      </c>
      <c r="AT1748" t="s">
        <v>3210</v>
      </c>
      <c r="AU1748" t="s">
        <v>177</v>
      </c>
      <c r="AV1748" t="s">
        <v>2334</v>
      </c>
      <c r="AW1748" t="s">
        <v>182</v>
      </c>
      <c r="AX1748">
        <v>0</v>
      </c>
      <c r="AY1748" t="s">
        <v>312</v>
      </c>
      <c r="AZ1748" t="s">
        <v>199</v>
      </c>
      <c r="BA1748" t="s">
        <v>313</v>
      </c>
      <c r="BB1748" t="s">
        <v>191</v>
      </c>
      <c r="BC1748" t="s">
        <v>182</v>
      </c>
      <c r="BD1748" t="s">
        <v>182</v>
      </c>
      <c r="BE1748" t="s">
        <v>6523</v>
      </c>
      <c r="BF1748">
        <v>0</v>
      </c>
      <c r="BG1748">
        <v>0</v>
      </c>
      <c r="BH1748">
        <v>0</v>
      </c>
      <c r="BI1748" t="s">
        <v>199</v>
      </c>
      <c r="BJ1748" t="s">
        <v>194</v>
      </c>
      <c r="BL1748" t="s">
        <v>21510</v>
      </c>
      <c r="BM1748" t="s">
        <v>267</v>
      </c>
      <c r="BN1748" t="s">
        <v>182</v>
      </c>
      <c r="BO1748" t="s">
        <v>198</v>
      </c>
      <c r="BP1748" t="s">
        <v>198</v>
      </c>
      <c r="BQ1748" t="s">
        <v>198</v>
      </c>
      <c r="BR1748" t="s">
        <v>198</v>
      </c>
      <c r="BS1748" t="s">
        <v>198</v>
      </c>
      <c r="BT1748" t="s">
        <v>198</v>
      </c>
      <c r="BU1748" t="s">
        <v>182</v>
      </c>
      <c r="BV1748" t="s">
        <v>198</v>
      </c>
      <c r="BW1748" t="s">
        <v>198</v>
      </c>
      <c r="BX1748" t="s">
        <v>199</v>
      </c>
      <c r="BY1748" t="s">
        <v>198</v>
      </c>
      <c r="BZ1748" t="s">
        <v>199</v>
      </c>
      <c r="CA1748" t="s">
        <v>199</v>
      </c>
      <c r="CB1748" t="s">
        <v>21463</v>
      </c>
      <c r="CC1748" t="s">
        <v>201</v>
      </c>
      <c r="CD1748" t="s">
        <v>182</v>
      </c>
      <c r="CE1748" t="s">
        <v>21464</v>
      </c>
      <c r="CF1748" t="s">
        <v>413</v>
      </c>
      <c r="CG1748" t="s">
        <v>177</v>
      </c>
      <c r="CH1748" t="s">
        <v>21465</v>
      </c>
      <c r="CI1748" t="s">
        <v>1170</v>
      </c>
      <c r="CJ1748" t="s">
        <v>18875</v>
      </c>
      <c r="CK1748" t="s">
        <v>232</v>
      </c>
      <c r="CL1748" t="s">
        <v>233</v>
      </c>
      <c r="CM1748" t="s">
        <v>21517</v>
      </c>
      <c r="CN1748" t="s">
        <v>235</v>
      </c>
      <c r="CO1748" t="s">
        <v>183</v>
      </c>
      <c r="CP1748" t="s">
        <v>266</v>
      </c>
      <c r="CS1748" t="s">
        <v>198</v>
      </c>
      <c r="CT1748" t="s">
        <v>18888</v>
      </c>
      <c r="CU1748" t="s">
        <v>292</v>
      </c>
      <c r="CV1748" t="s">
        <v>293</v>
      </c>
      <c r="CW1748" t="s">
        <v>21518</v>
      </c>
      <c r="CX1748" t="s">
        <v>387</v>
      </c>
      <c r="CY1748" t="s">
        <v>183</v>
      </c>
      <c r="CZ1748" t="s">
        <v>211</v>
      </c>
      <c r="DA1748" t="s">
        <v>250</v>
      </c>
      <c r="DC1748" t="s">
        <v>21481</v>
      </c>
      <c r="DD1748" t="s">
        <v>19391</v>
      </c>
      <c r="DE1748" t="s">
        <v>267</v>
      </c>
      <c r="DF1748" t="s">
        <v>268</v>
      </c>
      <c r="DG1748" t="s">
        <v>21523</v>
      </c>
      <c r="DH1748" t="s">
        <v>235</v>
      </c>
      <c r="DI1748" t="s">
        <v>183</v>
      </c>
      <c r="DJ1748" t="s">
        <v>211</v>
      </c>
      <c r="DK1748" t="s">
        <v>460</v>
      </c>
      <c r="DM1748" t="s">
        <v>21483</v>
      </c>
      <c r="DN1748" t="s">
        <v>21531</v>
      </c>
      <c r="DO1748" t="s">
        <v>238</v>
      </c>
      <c r="DP1748" t="s">
        <v>239</v>
      </c>
      <c r="DQ1748" t="s">
        <v>21525</v>
      </c>
      <c r="DR1748" t="s">
        <v>482</v>
      </c>
      <c r="DS1748" t="s">
        <v>183</v>
      </c>
      <c r="DT1748" t="s">
        <v>211</v>
      </c>
      <c r="DU1748" t="s">
        <v>199</v>
      </c>
      <c r="DW1748" t="s">
        <v>21471</v>
      </c>
      <c r="DX1748" t="s">
        <v>21532</v>
      </c>
      <c r="DY1748" t="s">
        <v>346</v>
      </c>
      <c r="DZ1748" t="s">
        <v>347</v>
      </c>
      <c r="EA1748" t="s">
        <v>21527</v>
      </c>
      <c r="EB1748" t="s">
        <v>1966</v>
      </c>
      <c r="EC1748" t="s">
        <v>183</v>
      </c>
      <c r="ED1748" t="s">
        <v>211</v>
      </c>
      <c r="EE1748" t="s">
        <v>427</v>
      </c>
      <c r="EG1748" t="s">
        <v>21471</v>
      </c>
      <c r="EH1748" t="s">
        <v>21533</v>
      </c>
      <c r="EI1748" t="s">
        <v>207</v>
      </c>
      <c r="EJ1748" t="s">
        <v>208</v>
      </c>
      <c r="EK1748" t="s">
        <v>21519</v>
      </c>
      <c r="EL1748" t="s">
        <v>408</v>
      </c>
      <c r="EM1748" t="s">
        <v>183</v>
      </c>
      <c r="EN1748" t="s">
        <v>211</v>
      </c>
      <c r="EO1748" t="s">
        <v>633</v>
      </c>
      <c r="EQ1748" t="s">
        <v>21471</v>
      </c>
      <c r="FA1748" t="s">
        <v>198</v>
      </c>
      <c r="FK1748" t="s">
        <v>198</v>
      </c>
      <c r="FU1748" t="s">
        <v>198</v>
      </c>
    </row>
    <row r="1749" spans="1:177">
      <c r="A1749" s="1" t="str">
        <f>HYPERLINK("http://digipan.lumentumllc.com/apps/getLink/index.php?t=PropLink&amp;p=5247714","PL")</f>
        <v>PL</v>
      </c>
      <c r="B1749" s="1" t="str">
        <f>HYPERLINK("http://digipan.lumentumllc.com/apps/getLink/index.php?t=TaxLink&amp;p=5247714","TL")</f>
        <v>TL</v>
      </c>
      <c r="C1749" s="1" t="str">
        <f>HYPERLINK("http://digipan.lumentumllc.com/apps/getMap/index.php?p=5247714","Map")</f>
        <v>Map</v>
      </c>
      <c r="E1749" t="s">
        <v>177</v>
      </c>
      <c r="F1749" t="s">
        <v>178</v>
      </c>
      <c r="L1749" t="s">
        <v>21534</v>
      </c>
      <c r="N1749" t="s">
        <v>21534</v>
      </c>
      <c r="O1749" t="s">
        <v>21534</v>
      </c>
      <c r="P1749" t="s">
        <v>21535</v>
      </c>
      <c r="Q1749" t="s">
        <v>21534</v>
      </c>
      <c r="V1749">
        <v>1997</v>
      </c>
      <c r="W1749">
        <v>7</v>
      </c>
      <c r="X1749">
        <v>2017</v>
      </c>
      <c r="Y1749">
        <v>2018</v>
      </c>
      <c r="Z1749">
        <v>1086.8499999999999</v>
      </c>
      <c r="AB1749" t="s">
        <v>181</v>
      </c>
      <c r="AC1749" t="s">
        <v>182</v>
      </c>
      <c r="AD1749" t="s">
        <v>183</v>
      </c>
      <c r="AE1749">
        <v>1</v>
      </c>
      <c r="AF1749">
        <v>5</v>
      </c>
      <c r="AG1749" t="s">
        <v>951</v>
      </c>
      <c r="AH1749">
        <v>80</v>
      </c>
      <c r="AI1749">
        <v>1081.08</v>
      </c>
      <c r="AJ1749">
        <v>54.05</v>
      </c>
      <c r="AK1749">
        <v>1135.1300000000001</v>
      </c>
      <c r="AL1749">
        <v>110000</v>
      </c>
      <c r="AM1749">
        <v>110000</v>
      </c>
      <c r="AN1749">
        <v>0</v>
      </c>
      <c r="AO1749">
        <v>975</v>
      </c>
      <c r="AP1749">
        <v>2016</v>
      </c>
      <c r="AQ1749">
        <v>0.99</v>
      </c>
      <c r="AR1749">
        <v>1.03</v>
      </c>
      <c r="AS1749" t="s">
        <v>21536</v>
      </c>
      <c r="AT1749" t="s">
        <v>3210</v>
      </c>
      <c r="AU1749" t="s">
        <v>177</v>
      </c>
      <c r="AV1749" t="s">
        <v>2334</v>
      </c>
      <c r="AW1749" t="s">
        <v>182</v>
      </c>
      <c r="AX1749">
        <v>0</v>
      </c>
      <c r="AY1749" t="s">
        <v>312</v>
      </c>
      <c r="AZ1749" t="s">
        <v>199</v>
      </c>
      <c r="BA1749" t="s">
        <v>313</v>
      </c>
      <c r="BB1749" t="s">
        <v>191</v>
      </c>
      <c r="BC1749" t="s">
        <v>182</v>
      </c>
      <c r="BD1749" t="s">
        <v>182</v>
      </c>
      <c r="BE1749" t="s">
        <v>5880</v>
      </c>
      <c r="BF1749">
        <v>0</v>
      </c>
      <c r="BG1749">
        <v>0</v>
      </c>
      <c r="BH1749">
        <v>0</v>
      </c>
      <c r="BI1749" t="s">
        <v>199</v>
      </c>
      <c r="BJ1749" t="s">
        <v>194</v>
      </c>
      <c r="BL1749" t="s">
        <v>21510</v>
      </c>
      <c r="BM1749" t="s">
        <v>267</v>
      </c>
      <c r="BN1749" t="s">
        <v>182</v>
      </c>
      <c r="BO1749" t="s">
        <v>198</v>
      </c>
      <c r="BP1749" t="s">
        <v>198</v>
      </c>
      <c r="BQ1749" t="s">
        <v>198</v>
      </c>
      <c r="BR1749" t="s">
        <v>198</v>
      </c>
      <c r="BS1749" t="s">
        <v>198</v>
      </c>
      <c r="BT1749" t="s">
        <v>198</v>
      </c>
      <c r="BU1749" t="s">
        <v>182</v>
      </c>
      <c r="BV1749" t="s">
        <v>198</v>
      </c>
      <c r="BW1749" t="s">
        <v>198</v>
      </c>
      <c r="BX1749" t="s">
        <v>199</v>
      </c>
      <c r="BY1749" t="s">
        <v>198</v>
      </c>
      <c r="BZ1749" t="s">
        <v>199</v>
      </c>
      <c r="CA1749" t="s">
        <v>199</v>
      </c>
      <c r="CB1749" t="s">
        <v>21463</v>
      </c>
      <c r="CC1749" t="s">
        <v>201</v>
      </c>
      <c r="CD1749" t="s">
        <v>182</v>
      </c>
      <c r="CE1749" t="s">
        <v>21464</v>
      </c>
      <c r="CF1749" t="s">
        <v>413</v>
      </c>
      <c r="CG1749" t="s">
        <v>177</v>
      </c>
      <c r="CH1749" t="s">
        <v>21465</v>
      </c>
      <c r="CI1749" t="s">
        <v>1178</v>
      </c>
      <c r="CJ1749" t="s">
        <v>18888</v>
      </c>
      <c r="CK1749" t="s">
        <v>232</v>
      </c>
      <c r="CL1749" t="s">
        <v>233</v>
      </c>
      <c r="CM1749" t="s">
        <v>21517</v>
      </c>
      <c r="CN1749" t="s">
        <v>436</v>
      </c>
      <c r="CO1749" t="s">
        <v>183</v>
      </c>
      <c r="CP1749" t="s">
        <v>266</v>
      </c>
      <c r="CS1749" t="s">
        <v>198</v>
      </c>
      <c r="CT1749" t="s">
        <v>20922</v>
      </c>
      <c r="CU1749" t="s">
        <v>292</v>
      </c>
      <c r="CV1749" t="s">
        <v>293</v>
      </c>
      <c r="CW1749" t="s">
        <v>21518</v>
      </c>
      <c r="CX1749" t="s">
        <v>387</v>
      </c>
      <c r="CY1749" t="s">
        <v>183</v>
      </c>
      <c r="CZ1749" t="s">
        <v>211</v>
      </c>
      <c r="DA1749" t="s">
        <v>250</v>
      </c>
      <c r="DC1749" t="s">
        <v>21481</v>
      </c>
      <c r="DD1749" t="s">
        <v>8150</v>
      </c>
      <c r="DE1749" t="s">
        <v>267</v>
      </c>
      <c r="DF1749" t="s">
        <v>268</v>
      </c>
      <c r="DG1749" t="s">
        <v>21523</v>
      </c>
      <c r="DH1749" t="s">
        <v>235</v>
      </c>
      <c r="DI1749" t="s">
        <v>183</v>
      </c>
      <c r="DJ1749" t="s">
        <v>211</v>
      </c>
      <c r="DK1749" t="s">
        <v>460</v>
      </c>
      <c r="DM1749" t="s">
        <v>21483</v>
      </c>
      <c r="DN1749" t="s">
        <v>19244</v>
      </c>
      <c r="DO1749" t="s">
        <v>238</v>
      </c>
      <c r="DP1749" t="s">
        <v>239</v>
      </c>
      <c r="DQ1749" t="s">
        <v>21525</v>
      </c>
      <c r="DR1749" t="s">
        <v>482</v>
      </c>
      <c r="DS1749" t="s">
        <v>183</v>
      </c>
      <c r="DT1749" t="s">
        <v>211</v>
      </c>
      <c r="DU1749" t="s">
        <v>199</v>
      </c>
      <c r="DW1749" t="s">
        <v>21471</v>
      </c>
      <c r="DX1749" t="s">
        <v>10040</v>
      </c>
      <c r="DY1749" t="s">
        <v>346</v>
      </c>
      <c r="DZ1749" t="s">
        <v>347</v>
      </c>
      <c r="EA1749" t="s">
        <v>21527</v>
      </c>
      <c r="EB1749" t="s">
        <v>1966</v>
      </c>
      <c r="EC1749" t="s">
        <v>183</v>
      </c>
      <c r="ED1749" t="s">
        <v>211</v>
      </c>
      <c r="EE1749" t="s">
        <v>427</v>
      </c>
      <c r="EG1749" t="s">
        <v>21471</v>
      </c>
      <c r="EH1749" t="s">
        <v>21537</v>
      </c>
      <c r="EI1749" t="s">
        <v>207</v>
      </c>
      <c r="EJ1749" t="s">
        <v>208</v>
      </c>
      <c r="EK1749" t="s">
        <v>21519</v>
      </c>
      <c r="EL1749" t="s">
        <v>408</v>
      </c>
      <c r="EM1749" t="s">
        <v>183</v>
      </c>
      <c r="EN1749" t="s">
        <v>211</v>
      </c>
      <c r="EO1749" t="s">
        <v>633</v>
      </c>
      <c r="EQ1749" t="s">
        <v>21471</v>
      </c>
      <c r="FA1749" t="s">
        <v>198</v>
      </c>
      <c r="FK1749" t="s">
        <v>198</v>
      </c>
      <c r="FU1749" t="s">
        <v>198</v>
      </c>
    </row>
    <row r="1750" spans="1:177">
      <c r="A1750" s="1" t="str">
        <f>HYPERLINK("http://digipan.lumentumllc.com/apps/getLink/index.php?t=PropLink&amp;p=5247722","PL")</f>
        <v>PL</v>
      </c>
      <c r="B1750" s="1" t="str">
        <f>HYPERLINK("http://digipan.lumentumllc.com/apps/getLink/index.php?t=TaxLink&amp;p=5247722","TL")</f>
        <v>TL</v>
      </c>
      <c r="C1750" s="1" t="str">
        <f>HYPERLINK("http://digipan.lumentumllc.com/apps/getMap/index.php?p=5247722","Map")</f>
        <v>Map</v>
      </c>
      <c r="E1750" t="s">
        <v>177</v>
      </c>
      <c r="F1750" t="s">
        <v>178</v>
      </c>
      <c r="L1750" t="s">
        <v>21538</v>
      </c>
      <c r="N1750" t="s">
        <v>21538</v>
      </c>
      <c r="O1750" t="s">
        <v>21538</v>
      </c>
      <c r="P1750" t="s">
        <v>21539</v>
      </c>
      <c r="Q1750" t="s">
        <v>21538</v>
      </c>
      <c r="V1750">
        <v>1998</v>
      </c>
      <c r="W1750">
        <v>7</v>
      </c>
      <c r="X1750">
        <v>2017</v>
      </c>
      <c r="Y1750">
        <v>2018</v>
      </c>
      <c r="Z1750">
        <v>944.14</v>
      </c>
      <c r="AB1750" t="s">
        <v>181</v>
      </c>
      <c r="AC1750" t="s">
        <v>182</v>
      </c>
      <c r="AD1750" t="s">
        <v>183</v>
      </c>
      <c r="AE1750">
        <v>1</v>
      </c>
      <c r="AF1750">
        <v>5</v>
      </c>
      <c r="AG1750" t="s">
        <v>951</v>
      </c>
      <c r="AH1750">
        <v>80</v>
      </c>
      <c r="AI1750">
        <v>934.13</v>
      </c>
      <c r="AJ1750">
        <v>46.71</v>
      </c>
      <c r="AK1750">
        <v>980.84</v>
      </c>
      <c r="AL1750">
        <v>90000</v>
      </c>
      <c r="AM1750">
        <v>90000</v>
      </c>
      <c r="AN1750">
        <v>0</v>
      </c>
      <c r="AO1750">
        <v>839</v>
      </c>
      <c r="AP1750">
        <v>2016</v>
      </c>
      <c r="AQ1750">
        <v>1.05</v>
      </c>
      <c r="AR1750">
        <v>1.0900000000000001</v>
      </c>
      <c r="AS1750" t="s">
        <v>21540</v>
      </c>
      <c r="AT1750" t="s">
        <v>3210</v>
      </c>
      <c r="AU1750" t="s">
        <v>177</v>
      </c>
      <c r="AV1750" t="s">
        <v>2334</v>
      </c>
      <c r="AW1750" t="s">
        <v>182</v>
      </c>
      <c r="AX1750">
        <v>0</v>
      </c>
      <c r="AY1750" t="s">
        <v>312</v>
      </c>
      <c r="AZ1750" t="s">
        <v>199</v>
      </c>
      <c r="BA1750" t="s">
        <v>313</v>
      </c>
      <c r="BB1750" t="s">
        <v>191</v>
      </c>
      <c r="BC1750" t="s">
        <v>182</v>
      </c>
      <c r="BD1750" t="s">
        <v>182</v>
      </c>
      <c r="BE1750" t="s">
        <v>16543</v>
      </c>
      <c r="BF1750">
        <v>0</v>
      </c>
      <c r="BG1750">
        <v>0</v>
      </c>
      <c r="BH1750">
        <v>0</v>
      </c>
      <c r="BI1750" t="s">
        <v>199</v>
      </c>
      <c r="BJ1750" t="s">
        <v>194</v>
      </c>
      <c r="BL1750" t="s">
        <v>21510</v>
      </c>
      <c r="BM1750" t="s">
        <v>267</v>
      </c>
      <c r="BN1750" t="s">
        <v>182</v>
      </c>
      <c r="BO1750" t="s">
        <v>198</v>
      </c>
      <c r="BP1750" t="s">
        <v>198</v>
      </c>
      <c r="BQ1750" t="s">
        <v>198</v>
      </c>
      <c r="BR1750" t="s">
        <v>198</v>
      </c>
      <c r="BS1750" t="s">
        <v>198</v>
      </c>
      <c r="BT1750" t="s">
        <v>198</v>
      </c>
      <c r="BU1750" t="s">
        <v>182</v>
      </c>
      <c r="BV1750" t="s">
        <v>198</v>
      </c>
      <c r="BW1750" t="s">
        <v>198</v>
      </c>
      <c r="BX1750" t="s">
        <v>199</v>
      </c>
      <c r="BY1750" t="s">
        <v>198</v>
      </c>
      <c r="BZ1750" t="s">
        <v>199</v>
      </c>
      <c r="CA1750" t="s">
        <v>199</v>
      </c>
      <c r="CB1750" t="s">
        <v>21463</v>
      </c>
      <c r="CC1750" t="s">
        <v>201</v>
      </c>
      <c r="CD1750" t="s">
        <v>182</v>
      </c>
      <c r="CE1750" t="s">
        <v>21464</v>
      </c>
      <c r="CF1750" t="s">
        <v>413</v>
      </c>
      <c r="CG1750" t="s">
        <v>177</v>
      </c>
      <c r="CH1750" t="s">
        <v>21465</v>
      </c>
      <c r="CI1750" t="s">
        <v>13121</v>
      </c>
      <c r="CJ1750" t="s">
        <v>14358</v>
      </c>
      <c r="CK1750" t="s">
        <v>232</v>
      </c>
      <c r="CL1750" t="s">
        <v>233</v>
      </c>
      <c r="CM1750" t="s">
        <v>21541</v>
      </c>
      <c r="CN1750" t="s">
        <v>235</v>
      </c>
      <c r="CO1750" t="s">
        <v>183</v>
      </c>
      <c r="CP1750" t="s">
        <v>266</v>
      </c>
      <c r="CS1750" t="s">
        <v>198</v>
      </c>
      <c r="CT1750" t="s">
        <v>21542</v>
      </c>
      <c r="CU1750" t="s">
        <v>292</v>
      </c>
      <c r="CV1750" t="s">
        <v>293</v>
      </c>
      <c r="CW1750" t="s">
        <v>21518</v>
      </c>
      <c r="CX1750" t="s">
        <v>387</v>
      </c>
      <c r="CY1750" t="s">
        <v>183</v>
      </c>
      <c r="CZ1750" t="s">
        <v>211</v>
      </c>
      <c r="DA1750" t="s">
        <v>250</v>
      </c>
      <c r="DC1750" t="s">
        <v>21481</v>
      </c>
      <c r="DD1750" t="s">
        <v>14305</v>
      </c>
      <c r="DE1750" t="s">
        <v>267</v>
      </c>
      <c r="DF1750" t="s">
        <v>268</v>
      </c>
      <c r="DG1750" t="s">
        <v>21523</v>
      </c>
      <c r="DH1750" t="s">
        <v>235</v>
      </c>
      <c r="DI1750" t="s">
        <v>183</v>
      </c>
      <c r="DJ1750" t="s">
        <v>211</v>
      </c>
      <c r="DK1750" t="s">
        <v>460</v>
      </c>
      <c r="DM1750" t="s">
        <v>21483</v>
      </c>
      <c r="DN1750" t="s">
        <v>21543</v>
      </c>
      <c r="DO1750" t="s">
        <v>238</v>
      </c>
      <c r="DP1750" t="s">
        <v>239</v>
      </c>
      <c r="DQ1750" t="s">
        <v>21525</v>
      </c>
      <c r="DR1750" t="s">
        <v>482</v>
      </c>
      <c r="DS1750" t="s">
        <v>183</v>
      </c>
      <c r="DT1750" t="s">
        <v>211</v>
      </c>
      <c r="DU1750" t="s">
        <v>199</v>
      </c>
      <c r="DW1750" t="s">
        <v>21471</v>
      </c>
      <c r="DX1750" t="s">
        <v>21544</v>
      </c>
      <c r="DY1750" t="s">
        <v>346</v>
      </c>
      <c r="DZ1750" t="s">
        <v>347</v>
      </c>
      <c r="EA1750" t="s">
        <v>21527</v>
      </c>
      <c r="EB1750" t="s">
        <v>1966</v>
      </c>
      <c r="EC1750" t="s">
        <v>183</v>
      </c>
      <c r="ED1750" t="s">
        <v>211</v>
      </c>
      <c r="EE1750" t="s">
        <v>427</v>
      </c>
      <c r="EG1750" t="s">
        <v>21471</v>
      </c>
      <c r="EH1750" t="s">
        <v>19827</v>
      </c>
      <c r="EI1750" t="s">
        <v>207</v>
      </c>
      <c r="EJ1750" t="s">
        <v>208</v>
      </c>
      <c r="EK1750" t="s">
        <v>21519</v>
      </c>
      <c r="EL1750" t="s">
        <v>576</v>
      </c>
      <c r="EM1750" t="s">
        <v>183</v>
      </c>
      <c r="EN1750" t="s">
        <v>211</v>
      </c>
      <c r="EO1750" t="s">
        <v>633</v>
      </c>
      <c r="EQ1750" t="s">
        <v>21471</v>
      </c>
      <c r="FA1750" t="s">
        <v>198</v>
      </c>
      <c r="FK1750" t="s">
        <v>198</v>
      </c>
      <c r="FU1750" t="s">
        <v>198</v>
      </c>
    </row>
    <row r="1751" spans="1:177">
      <c r="A1751" s="1" t="str">
        <f>HYPERLINK("http://digipan.lumentumllc.com/apps/getLink/index.php?t=PropLink&amp;p=5247727","PL")</f>
        <v>PL</v>
      </c>
      <c r="B1751" s="1" t="str">
        <f>HYPERLINK("http://digipan.lumentumllc.com/apps/getLink/index.php?t=TaxLink&amp;p=5247727","TL")</f>
        <v>TL</v>
      </c>
      <c r="C1751" s="1" t="str">
        <f>HYPERLINK("http://digipan.lumentumllc.com/apps/getMap/index.php?p=5247727","Map")</f>
        <v>Map</v>
      </c>
      <c r="E1751" t="s">
        <v>177</v>
      </c>
      <c r="F1751" t="s">
        <v>178</v>
      </c>
      <c r="L1751" t="s">
        <v>21545</v>
      </c>
      <c r="N1751" t="s">
        <v>21545</v>
      </c>
      <c r="O1751" t="s">
        <v>21545</v>
      </c>
      <c r="P1751" t="s">
        <v>21546</v>
      </c>
      <c r="Q1751" t="s">
        <v>21545</v>
      </c>
      <c r="V1751">
        <v>1999</v>
      </c>
      <c r="W1751">
        <v>7</v>
      </c>
      <c r="X1751">
        <v>2017</v>
      </c>
      <c r="Y1751">
        <v>2018</v>
      </c>
      <c r="Z1751">
        <v>525.4</v>
      </c>
      <c r="AB1751" t="s">
        <v>181</v>
      </c>
      <c r="AC1751" t="s">
        <v>182</v>
      </c>
      <c r="AD1751" t="s">
        <v>183</v>
      </c>
      <c r="AE1751">
        <v>0</v>
      </c>
      <c r="AF1751">
        <v>6</v>
      </c>
      <c r="AG1751" t="s">
        <v>3266</v>
      </c>
      <c r="AH1751">
        <v>100</v>
      </c>
      <c r="AK1751">
        <v>0</v>
      </c>
      <c r="AL1751">
        <v>48000</v>
      </c>
      <c r="AM1751">
        <v>48000</v>
      </c>
      <c r="AN1751">
        <v>0</v>
      </c>
      <c r="AO1751">
        <v>453</v>
      </c>
      <c r="AP1751">
        <v>2016</v>
      </c>
      <c r="AQ1751">
        <v>1.0900000000000001</v>
      </c>
      <c r="AS1751" t="s">
        <v>21547</v>
      </c>
      <c r="AT1751" t="s">
        <v>3210</v>
      </c>
      <c r="AU1751" t="s">
        <v>177</v>
      </c>
      <c r="AV1751" t="s">
        <v>2334</v>
      </c>
      <c r="AW1751" t="s">
        <v>182</v>
      </c>
      <c r="AX1751">
        <v>0</v>
      </c>
      <c r="AY1751" t="s">
        <v>312</v>
      </c>
      <c r="AZ1751" t="s">
        <v>199</v>
      </c>
      <c r="BA1751" t="s">
        <v>313</v>
      </c>
      <c r="BB1751" t="s">
        <v>191</v>
      </c>
      <c r="BC1751" t="s">
        <v>182</v>
      </c>
      <c r="BD1751" t="s">
        <v>182</v>
      </c>
      <c r="BE1751" t="s">
        <v>8096</v>
      </c>
      <c r="BF1751">
        <v>0</v>
      </c>
      <c r="BG1751">
        <v>0</v>
      </c>
      <c r="BH1751">
        <v>0</v>
      </c>
      <c r="BI1751" t="s">
        <v>199</v>
      </c>
      <c r="BJ1751" t="s">
        <v>194</v>
      </c>
      <c r="BL1751" t="s">
        <v>21510</v>
      </c>
      <c r="BM1751" t="s">
        <v>267</v>
      </c>
      <c r="BN1751" t="s">
        <v>182</v>
      </c>
      <c r="BO1751" t="s">
        <v>198</v>
      </c>
      <c r="BP1751" t="s">
        <v>198</v>
      </c>
      <c r="BQ1751" t="s">
        <v>198</v>
      </c>
      <c r="BR1751" t="s">
        <v>198</v>
      </c>
      <c r="BS1751" t="s">
        <v>198</v>
      </c>
      <c r="BT1751" t="s">
        <v>198</v>
      </c>
      <c r="BU1751" t="s">
        <v>182</v>
      </c>
      <c r="BV1751" t="s">
        <v>198</v>
      </c>
      <c r="BW1751" t="s">
        <v>198</v>
      </c>
      <c r="BX1751" t="s">
        <v>199</v>
      </c>
      <c r="BY1751" t="s">
        <v>198</v>
      </c>
      <c r="BZ1751" t="s">
        <v>199</v>
      </c>
      <c r="CA1751" t="s">
        <v>199</v>
      </c>
      <c r="CB1751" t="s">
        <v>21463</v>
      </c>
      <c r="CC1751" t="s">
        <v>201</v>
      </c>
      <c r="CD1751" t="s">
        <v>182</v>
      </c>
      <c r="CE1751" t="s">
        <v>21464</v>
      </c>
      <c r="CF1751" t="s">
        <v>413</v>
      </c>
      <c r="CG1751" t="s">
        <v>177</v>
      </c>
      <c r="CH1751" t="s">
        <v>21465</v>
      </c>
      <c r="CI1751" t="s">
        <v>21548</v>
      </c>
      <c r="CJ1751" t="s">
        <v>10185</v>
      </c>
      <c r="CK1751" t="s">
        <v>232</v>
      </c>
      <c r="CL1751" t="s">
        <v>233</v>
      </c>
      <c r="CM1751" t="s">
        <v>5487</v>
      </c>
      <c r="CN1751" t="s">
        <v>331</v>
      </c>
      <c r="CO1751" t="s">
        <v>183</v>
      </c>
      <c r="CP1751" t="s">
        <v>211</v>
      </c>
      <c r="CQ1751" t="s">
        <v>264</v>
      </c>
      <c r="CS1751" t="s">
        <v>21549</v>
      </c>
      <c r="CT1751" t="s">
        <v>18905</v>
      </c>
      <c r="CU1751" t="s">
        <v>292</v>
      </c>
      <c r="CV1751" t="s">
        <v>293</v>
      </c>
      <c r="CW1751" t="s">
        <v>10873</v>
      </c>
      <c r="CX1751" t="s">
        <v>387</v>
      </c>
      <c r="CY1751" t="s">
        <v>183</v>
      </c>
      <c r="CZ1751" t="s">
        <v>211</v>
      </c>
      <c r="DA1751" t="s">
        <v>250</v>
      </c>
      <c r="DC1751" t="s">
        <v>21481</v>
      </c>
      <c r="DD1751" t="s">
        <v>12004</v>
      </c>
      <c r="DE1751" t="s">
        <v>267</v>
      </c>
      <c r="DF1751" t="s">
        <v>268</v>
      </c>
      <c r="DG1751" t="s">
        <v>3821</v>
      </c>
      <c r="DH1751" t="s">
        <v>235</v>
      </c>
      <c r="DI1751" t="s">
        <v>183</v>
      </c>
      <c r="DJ1751" t="s">
        <v>211</v>
      </c>
      <c r="DK1751" t="s">
        <v>460</v>
      </c>
      <c r="DM1751" t="s">
        <v>21483</v>
      </c>
      <c r="DN1751" t="s">
        <v>21550</v>
      </c>
      <c r="DO1751" t="s">
        <v>238</v>
      </c>
      <c r="DP1751" t="s">
        <v>239</v>
      </c>
      <c r="DQ1751" t="s">
        <v>21551</v>
      </c>
      <c r="DR1751" t="s">
        <v>482</v>
      </c>
      <c r="DS1751" t="s">
        <v>183</v>
      </c>
      <c r="DT1751" t="s">
        <v>211</v>
      </c>
      <c r="DU1751" t="s">
        <v>199</v>
      </c>
      <c r="DW1751" t="s">
        <v>21471</v>
      </c>
      <c r="DX1751" t="s">
        <v>14135</v>
      </c>
      <c r="DY1751" t="s">
        <v>346</v>
      </c>
      <c r="DZ1751" t="s">
        <v>347</v>
      </c>
      <c r="EA1751" t="s">
        <v>14669</v>
      </c>
      <c r="EB1751" t="s">
        <v>1966</v>
      </c>
      <c r="EC1751" t="s">
        <v>183</v>
      </c>
      <c r="ED1751" t="s">
        <v>211</v>
      </c>
      <c r="EE1751" t="s">
        <v>427</v>
      </c>
      <c r="EG1751" t="s">
        <v>21471</v>
      </c>
      <c r="EH1751" t="s">
        <v>21552</v>
      </c>
      <c r="EI1751" t="s">
        <v>207</v>
      </c>
      <c r="EJ1751" t="s">
        <v>208</v>
      </c>
      <c r="EK1751" t="s">
        <v>21553</v>
      </c>
      <c r="EL1751" t="s">
        <v>519</v>
      </c>
      <c r="EM1751" t="s">
        <v>183</v>
      </c>
      <c r="EN1751" t="s">
        <v>211</v>
      </c>
      <c r="EO1751" t="s">
        <v>633</v>
      </c>
      <c r="EQ1751" t="s">
        <v>21471</v>
      </c>
      <c r="FA1751" t="s">
        <v>198</v>
      </c>
      <c r="FK1751" t="s">
        <v>198</v>
      </c>
      <c r="FU1751" t="s">
        <v>198</v>
      </c>
    </row>
    <row r="1752" spans="1:177">
      <c r="A1752" s="1" t="str">
        <f>HYPERLINK("http://digipan.lumentumllc.com/apps/getLink/index.php?t=PropLink&amp;p=5247729","PL")</f>
        <v>PL</v>
      </c>
      <c r="B1752" s="1" t="str">
        <f>HYPERLINK("http://digipan.lumentumllc.com/apps/getLink/index.php?t=TaxLink&amp;p=5247729","TL")</f>
        <v>TL</v>
      </c>
      <c r="C1752" s="1" t="str">
        <f>HYPERLINK("http://digipan.lumentumllc.com/apps/getMap/index.php?p=5247729","Map")</f>
        <v>Map</v>
      </c>
      <c r="E1752" t="s">
        <v>177</v>
      </c>
      <c r="F1752" t="s">
        <v>178</v>
      </c>
      <c r="L1752" t="s">
        <v>21554</v>
      </c>
      <c r="N1752" t="s">
        <v>21554</v>
      </c>
      <c r="O1752" t="s">
        <v>21554</v>
      </c>
      <c r="P1752" t="s">
        <v>21555</v>
      </c>
      <c r="Q1752" t="s">
        <v>21554</v>
      </c>
      <c r="V1752">
        <v>2000</v>
      </c>
      <c r="W1752">
        <v>7</v>
      </c>
      <c r="X1752">
        <v>2017</v>
      </c>
      <c r="Y1752">
        <v>2018</v>
      </c>
      <c r="Z1752">
        <v>525.4</v>
      </c>
      <c r="AB1752" t="s">
        <v>181</v>
      </c>
      <c r="AC1752" t="s">
        <v>182</v>
      </c>
      <c r="AD1752" t="s">
        <v>183</v>
      </c>
      <c r="AE1752">
        <v>0</v>
      </c>
      <c r="AF1752">
        <v>6</v>
      </c>
      <c r="AG1752" t="s">
        <v>3266</v>
      </c>
      <c r="AH1752">
        <v>100</v>
      </c>
      <c r="AK1752">
        <v>0</v>
      </c>
      <c r="AL1752">
        <v>48000</v>
      </c>
      <c r="AM1752">
        <v>48000</v>
      </c>
      <c r="AN1752">
        <v>0</v>
      </c>
      <c r="AO1752">
        <v>453</v>
      </c>
      <c r="AP1752">
        <v>2016</v>
      </c>
      <c r="AQ1752">
        <v>1.0900000000000001</v>
      </c>
      <c r="AS1752" t="s">
        <v>21556</v>
      </c>
      <c r="AT1752" t="s">
        <v>3210</v>
      </c>
      <c r="AU1752" t="s">
        <v>177</v>
      </c>
      <c r="AV1752" t="s">
        <v>2334</v>
      </c>
      <c r="AW1752" t="s">
        <v>182</v>
      </c>
      <c r="AX1752">
        <v>0</v>
      </c>
      <c r="AY1752" t="s">
        <v>312</v>
      </c>
      <c r="AZ1752" t="s">
        <v>199</v>
      </c>
      <c r="BA1752" t="s">
        <v>313</v>
      </c>
      <c r="BB1752" t="s">
        <v>191</v>
      </c>
      <c r="BC1752" t="s">
        <v>182</v>
      </c>
      <c r="BD1752" t="s">
        <v>182</v>
      </c>
      <c r="BE1752" t="s">
        <v>7188</v>
      </c>
      <c r="BF1752">
        <v>0</v>
      </c>
      <c r="BG1752">
        <v>0</v>
      </c>
      <c r="BH1752">
        <v>0</v>
      </c>
      <c r="BI1752" t="s">
        <v>199</v>
      </c>
      <c r="BJ1752" t="s">
        <v>194</v>
      </c>
      <c r="BL1752" t="s">
        <v>21510</v>
      </c>
      <c r="BM1752" t="s">
        <v>267</v>
      </c>
      <c r="BN1752" t="s">
        <v>182</v>
      </c>
      <c r="BO1752" t="s">
        <v>198</v>
      </c>
      <c r="BP1752" t="s">
        <v>198</v>
      </c>
      <c r="BQ1752" t="s">
        <v>198</v>
      </c>
      <c r="BR1752" t="s">
        <v>198</v>
      </c>
      <c r="BS1752" t="s">
        <v>198</v>
      </c>
      <c r="BT1752" t="s">
        <v>198</v>
      </c>
      <c r="BU1752" t="s">
        <v>182</v>
      </c>
      <c r="BV1752" t="s">
        <v>198</v>
      </c>
      <c r="BW1752" t="s">
        <v>198</v>
      </c>
      <c r="BX1752" t="s">
        <v>199</v>
      </c>
      <c r="BY1752" t="s">
        <v>198</v>
      </c>
      <c r="BZ1752" t="s">
        <v>199</v>
      </c>
      <c r="CA1752" t="s">
        <v>199</v>
      </c>
      <c r="CB1752" t="s">
        <v>21463</v>
      </c>
      <c r="CC1752" t="s">
        <v>201</v>
      </c>
      <c r="CD1752" t="s">
        <v>182</v>
      </c>
      <c r="CE1752" t="s">
        <v>21464</v>
      </c>
      <c r="CF1752" t="s">
        <v>413</v>
      </c>
      <c r="CG1752" t="s">
        <v>177</v>
      </c>
      <c r="CH1752" t="s">
        <v>21465</v>
      </c>
      <c r="CI1752" t="s">
        <v>21557</v>
      </c>
      <c r="CJ1752" t="s">
        <v>18905</v>
      </c>
      <c r="CK1752" t="s">
        <v>232</v>
      </c>
      <c r="CL1752" t="s">
        <v>233</v>
      </c>
      <c r="CM1752" t="s">
        <v>5487</v>
      </c>
      <c r="CN1752" t="s">
        <v>331</v>
      </c>
      <c r="CO1752" t="s">
        <v>183</v>
      </c>
      <c r="CP1752" t="s">
        <v>211</v>
      </c>
      <c r="CQ1752" t="s">
        <v>264</v>
      </c>
      <c r="CS1752" t="s">
        <v>21549</v>
      </c>
      <c r="CT1752" t="s">
        <v>5119</v>
      </c>
      <c r="CU1752" t="s">
        <v>292</v>
      </c>
      <c r="CV1752" t="s">
        <v>293</v>
      </c>
      <c r="CW1752" t="s">
        <v>10873</v>
      </c>
      <c r="CX1752" t="s">
        <v>387</v>
      </c>
      <c r="CY1752" t="s">
        <v>183</v>
      </c>
      <c r="CZ1752" t="s">
        <v>211</v>
      </c>
      <c r="DA1752" t="s">
        <v>250</v>
      </c>
      <c r="DC1752" t="s">
        <v>21481</v>
      </c>
      <c r="DD1752" t="s">
        <v>7189</v>
      </c>
      <c r="DE1752" t="s">
        <v>267</v>
      </c>
      <c r="DF1752" t="s">
        <v>268</v>
      </c>
      <c r="DG1752" t="s">
        <v>3821</v>
      </c>
      <c r="DH1752" t="s">
        <v>235</v>
      </c>
      <c r="DI1752" t="s">
        <v>183</v>
      </c>
      <c r="DJ1752" t="s">
        <v>211</v>
      </c>
      <c r="DK1752" t="s">
        <v>460</v>
      </c>
      <c r="DM1752" t="s">
        <v>21483</v>
      </c>
      <c r="DN1752" t="s">
        <v>21558</v>
      </c>
      <c r="DO1752" t="s">
        <v>238</v>
      </c>
      <c r="DP1752" t="s">
        <v>239</v>
      </c>
      <c r="DQ1752" t="s">
        <v>21551</v>
      </c>
      <c r="DR1752" t="s">
        <v>482</v>
      </c>
      <c r="DS1752" t="s">
        <v>183</v>
      </c>
      <c r="DT1752" t="s">
        <v>211</v>
      </c>
      <c r="DU1752" t="s">
        <v>199</v>
      </c>
      <c r="DW1752" t="s">
        <v>21471</v>
      </c>
      <c r="DX1752" t="s">
        <v>21559</v>
      </c>
      <c r="DY1752" t="s">
        <v>346</v>
      </c>
      <c r="DZ1752" t="s">
        <v>347</v>
      </c>
      <c r="EA1752" t="s">
        <v>14669</v>
      </c>
      <c r="EB1752" t="s">
        <v>1966</v>
      </c>
      <c r="EC1752" t="s">
        <v>183</v>
      </c>
      <c r="ED1752" t="s">
        <v>211</v>
      </c>
      <c r="EE1752" t="s">
        <v>427</v>
      </c>
      <c r="EG1752" t="s">
        <v>21471</v>
      </c>
      <c r="EH1752" t="s">
        <v>21560</v>
      </c>
      <c r="EI1752" t="s">
        <v>207</v>
      </c>
      <c r="EJ1752" t="s">
        <v>208</v>
      </c>
      <c r="EK1752" t="s">
        <v>21553</v>
      </c>
      <c r="EL1752" t="s">
        <v>519</v>
      </c>
      <c r="EM1752" t="s">
        <v>183</v>
      </c>
      <c r="EN1752" t="s">
        <v>211</v>
      </c>
      <c r="EO1752" t="s">
        <v>633</v>
      </c>
      <c r="EQ1752" t="s">
        <v>21471</v>
      </c>
      <c r="FA1752" t="s">
        <v>198</v>
      </c>
      <c r="FK1752" t="s">
        <v>198</v>
      </c>
      <c r="FU1752" t="s">
        <v>198</v>
      </c>
    </row>
    <row r="1753" spans="1:177">
      <c r="A1753" s="1" t="str">
        <f>HYPERLINK("http://digipan.lumentumllc.com/apps/getLink/index.php?t=PropLink&amp;p=5247730","PL")</f>
        <v>PL</v>
      </c>
      <c r="B1753" s="1" t="str">
        <f>HYPERLINK("http://digipan.lumentumllc.com/apps/getLink/index.php?t=TaxLink&amp;p=5247730","TL")</f>
        <v>TL</v>
      </c>
      <c r="C1753" s="1" t="str">
        <f>HYPERLINK("http://digipan.lumentumllc.com/apps/getMap/index.php?p=5247730","Map")</f>
        <v>Map</v>
      </c>
      <c r="E1753" t="s">
        <v>177</v>
      </c>
      <c r="F1753" t="s">
        <v>178</v>
      </c>
      <c r="L1753" t="s">
        <v>21561</v>
      </c>
      <c r="N1753" t="s">
        <v>21561</v>
      </c>
      <c r="O1753" t="s">
        <v>21561</v>
      </c>
      <c r="P1753" t="s">
        <v>21562</v>
      </c>
      <c r="Q1753" t="s">
        <v>21561</v>
      </c>
      <c r="V1753">
        <v>2001</v>
      </c>
      <c r="W1753">
        <v>7</v>
      </c>
      <c r="X1753">
        <v>2017</v>
      </c>
      <c r="Y1753">
        <v>2018</v>
      </c>
      <c r="Z1753">
        <v>525.4</v>
      </c>
      <c r="AB1753" t="s">
        <v>181</v>
      </c>
      <c r="AC1753" t="s">
        <v>182</v>
      </c>
      <c r="AD1753" t="s">
        <v>183</v>
      </c>
      <c r="AE1753">
        <v>1</v>
      </c>
      <c r="AF1753">
        <v>5</v>
      </c>
      <c r="AG1753" t="s">
        <v>951</v>
      </c>
      <c r="AH1753">
        <v>80</v>
      </c>
      <c r="AI1753">
        <v>517.12</v>
      </c>
      <c r="AJ1753">
        <v>25.86</v>
      </c>
      <c r="AK1753">
        <v>542.98</v>
      </c>
      <c r="AL1753">
        <v>48000</v>
      </c>
      <c r="AM1753">
        <v>48000</v>
      </c>
      <c r="AN1753">
        <v>0</v>
      </c>
      <c r="AO1753">
        <v>453</v>
      </c>
      <c r="AP1753">
        <v>2016</v>
      </c>
      <c r="AQ1753">
        <v>1.0900000000000001</v>
      </c>
      <c r="AR1753">
        <v>1.1299999999999999</v>
      </c>
      <c r="AS1753" t="s">
        <v>21563</v>
      </c>
      <c r="AT1753" t="s">
        <v>3210</v>
      </c>
      <c r="AU1753" t="s">
        <v>177</v>
      </c>
      <c r="AV1753" t="s">
        <v>2334</v>
      </c>
      <c r="AW1753" t="s">
        <v>182</v>
      </c>
      <c r="AX1753">
        <v>0</v>
      </c>
      <c r="AY1753" t="s">
        <v>312</v>
      </c>
      <c r="AZ1753" t="s">
        <v>199</v>
      </c>
      <c r="BA1753" t="s">
        <v>313</v>
      </c>
      <c r="BB1753" t="s">
        <v>191</v>
      </c>
      <c r="BC1753" t="s">
        <v>182</v>
      </c>
      <c r="BD1753" t="s">
        <v>182</v>
      </c>
      <c r="BE1753" t="s">
        <v>11045</v>
      </c>
      <c r="BF1753">
        <v>0</v>
      </c>
      <c r="BG1753">
        <v>0</v>
      </c>
      <c r="BH1753">
        <v>0</v>
      </c>
      <c r="BI1753" t="s">
        <v>199</v>
      </c>
      <c r="BJ1753" t="s">
        <v>194</v>
      </c>
      <c r="BL1753" t="s">
        <v>21510</v>
      </c>
      <c r="BM1753" t="s">
        <v>267</v>
      </c>
      <c r="BN1753" t="s">
        <v>182</v>
      </c>
      <c r="BO1753" t="s">
        <v>198</v>
      </c>
      <c r="BP1753" t="s">
        <v>198</v>
      </c>
      <c r="BQ1753" t="s">
        <v>198</v>
      </c>
      <c r="BR1753" t="s">
        <v>198</v>
      </c>
      <c r="BS1753" t="s">
        <v>198</v>
      </c>
      <c r="BT1753" t="s">
        <v>198</v>
      </c>
      <c r="BU1753" t="s">
        <v>182</v>
      </c>
      <c r="BV1753" t="s">
        <v>198</v>
      </c>
      <c r="BW1753" t="s">
        <v>198</v>
      </c>
      <c r="BX1753" t="s">
        <v>199</v>
      </c>
      <c r="BY1753" t="s">
        <v>198</v>
      </c>
      <c r="BZ1753" t="s">
        <v>199</v>
      </c>
      <c r="CA1753" t="s">
        <v>199</v>
      </c>
      <c r="CB1753" t="s">
        <v>21463</v>
      </c>
      <c r="CC1753" t="s">
        <v>201</v>
      </c>
      <c r="CD1753" t="s">
        <v>182</v>
      </c>
      <c r="CE1753" t="s">
        <v>21464</v>
      </c>
      <c r="CF1753" t="s">
        <v>413</v>
      </c>
      <c r="CG1753" t="s">
        <v>177</v>
      </c>
      <c r="CH1753" t="s">
        <v>21465</v>
      </c>
      <c r="CI1753" t="s">
        <v>1218</v>
      </c>
      <c r="CJ1753" t="s">
        <v>9049</v>
      </c>
      <c r="CK1753" t="s">
        <v>232</v>
      </c>
      <c r="CL1753" t="s">
        <v>233</v>
      </c>
      <c r="CM1753" t="s">
        <v>5487</v>
      </c>
      <c r="CN1753" t="s">
        <v>331</v>
      </c>
      <c r="CO1753" t="s">
        <v>183</v>
      </c>
      <c r="CP1753" t="s">
        <v>266</v>
      </c>
      <c r="CS1753" t="s">
        <v>198</v>
      </c>
      <c r="CT1753" t="s">
        <v>13794</v>
      </c>
      <c r="CU1753" t="s">
        <v>292</v>
      </c>
      <c r="CV1753" t="s">
        <v>293</v>
      </c>
      <c r="CW1753" t="s">
        <v>10873</v>
      </c>
      <c r="CX1753" t="s">
        <v>387</v>
      </c>
      <c r="CY1753" t="s">
        <v>183</v>
      </c>
      <c r="CZ1753" t="s">
        <v>211</v>
      </c>
      <c r="DA1753" t="s">
        <v>250</v>
      </c>
      <c r="DC1753" t="s">
        <v>21481</v>
      </c>
      <c r="DD1753" t="s">
        <v>15010</v>
      </c>
      <c r="DE1753" t="s">
        <v>267</v>
      </c>
      <c r="DF1753" t="s">
        <v>268</v>
      </c>
      <c r="DG1753" t="s">
        <v>3821</v>
      </c>
      <c r="DH1753" t="s">
        <v>235</v>
      </c>
      <c r="DI1753" t="s">
        <v>183</v>
      </c>
      <c r="DJ1753" t="s">
        <v>211</v>
      </c>
      <c r="DK1753" t="s">
        <v>460</v>
      </c>
      <c r="DM1753" t="s">
        <v>21483</v>
      </c>
      <c r="DN1753" t="s">
        <v>21564</v>
      </c>
      <c r="DO1753" t="s">
        <v>238</v>
      </c>
      <c r="DP1753" t="s">
        <v>239</v>
      </c>
      <c r="DQ1753" t="s">
        <v>21551</v>
      </c>
      <c r="DR1753" t="s">
        <v>482</v>
      </c>
      <c r="DS1753" t="s">
        <v>183</v>
      </c>
      <c r="DT1753" t="s">
        <v>211</v>
      </c>
      <c r="DU1753" t="s">
        <v>199</v>
      </c>
      <c r="DW1753" t="s">
        <v>21471</v>
      </c>
      <c r="DX1753" t="s">
        <v>21565</v>
      </c>
      <c r="DY1753" t="s">
        <v>346</v>
      </c>
      <c r="DZ1753" t="s">
        <v>347</v>
      </c>
      <c r="EA1753" t="s">
        <v>14669</v>
      </c>
      <c r="EB1753" t="s">
        <v>1966</v>
      </c>
      <c r="EC1753" t="s">
        <v>183</v>
      </c>
      <c r="ED1753" t="s">
        <v>211</v>
      </c>
      <c r="EE1753" t="s">
        <v>427</v>
      </c>
      <c r="EG1753" t="s">
        <v>21471</v>
      </c>
      <c r="EH1753" t="s">
        <v>21566</v>
      </c>
      <c r="EI1753" t="s">
        <v>207</v>
      </c>
      <c r="EJ1753" t="s">
        <v>208</v>
      </c>
      <c r="EK1753" t="s">
        <v>21553</v>
      </c>
      <c r="EL1753" t="s">
        <v>519</v>
      </c>
      <c r="EM1753" t="s">
        <v>183</v>
      </c>
      <c r="EN1753" t="s">
        <v>211</v>
      </c>
      <c r="EO1753" t="s">
        <v>633</v>
      </c>
      <c r="EQ1753" t="s">
        <v>21471</v>
      </c>
      <c r="FA1753" t="s">
        <v>198</v>
      </c>
      <c r="FK1753" t="s">
        <v>198</v>
      </c>
      <c r="FU1753" t="s">
        <v>198</v>
      </c>
    </row>
    <row r="1754" spans="1:177">
      <c r="A1754" s="1" t="str">
        <f>HYPERLINK("http://digipan.lumentumllc.com/apps/getLink/index.php?t=PropLink&amp;p=5247731","PL")</f>
        <v>PL</v>
      </c>
      <c r="B1754" s="1" t="str">
        <f>HYPERLINK("http://digipan.lumentumllc.com/apps/getLink/index.php?t=TaxLink&amp;p=5247731","TL")</f>
        <v>TL</v>
      </c>
      <c r="C1754" s="1" t="str">
        <f>HYPERLINK("http://digipan.lumentumllc.com/apps/getMap/index.php?p=5247731","Map")</f>
        <v>Map</v>
      </c>
      <c r="E1754" t="s">
        <v>177</v>
      </c>
      <c r="F1754" t="s">
        <v>178</v>
      </c>
      <c r="L1754" t="s">
        <v>21567</v>
      </c>
      <c r="N1754" t="s">
        <v>21567</v>
      </c>
      <c r="O1754" t="s">
        <v>21567</v>
      </c>
      <c r="P1754" t="s">
        <v>21568</v>
      </c>
      <c r="Q1754" t="s">
        <v>21567</v>
      </c>
      <c r="V1754">
        <v>2002</v>
      </c>
      <c r="W1754">
        <v>7</v>
      </c>
      <c r="X1754">
        <v>2017</v>
      </c>
      <c r="Y1754">
        <v>2018</v>
      </c>
      <c r="Z1754">
        <v>525.4</v>
      </c>
      <c r="AB1754" t="s">
        <v>181</v>
      </c>
      <c r="AC1754" t="s">
        <v>182</v>
      </c>
      <c r="AD1754" t="s">
        <v>183</v>
      </c>
      <c r="AE1754">
        <v>0</v>
      </c>
      <c r="AF1754">
        <v>6</v>
      </c>
      <c r="AG1754" t="s">
        <v>3266</v>
      </c>
      <c r="AH1754">
        <v>100</v>
      </c>
      <c r="AK1754">
        <v>0</v>
      </c>
      <c r="AL1754">
        <v>48000</v>
      </c>
      <c r="AM1754">
        <v>48000</v>
      </c>
      <c r="AN1754">
        <v>0</v>
      </c>
      <c r="AO1754">
        <v>453</v>
      </c>
      <c r="AP1754">
        <v>2016</v>
      </c>
      <c r="AQ1754">
        <v>1.0900000000000001</v>
      </c>
      <c r="AS1754" t="s">
        <v>21569</v>
      </c>
      <c r="AT1754" t="s">
        <v>3210</v>
      </c>
      <c r="AU1754" t="s">
        <v>177</v>
      </c>
      <c r="AV1754" t="s">
        <v>2334</v>
      </c>
      <c r="AW1754" t="s">
        <v>182</v>
      </c>
      <c r="AX1754">
        <v>0</v>
      </c>
      <c r="AY1754" t="s">
        <v>312</v>
      </c>
      <c r="AZ1754" t="s">
        <v>199</v>
      </c>
      <c r="BA1754" t="s">
        <v>313</v>
      </c>
      <c r="BB1754" t="s">
        <v>191</v>
      </c>
      <c r="BC1754" t="s">
        <v>182</v>
      </c>
      <c r="BD1754" t="s">
        <v>182</v>
      </c>
      <c r="BE1754" t="s">
        <v>7407</v>
      </c>
      <c r="BF1754">
        <v>0</v>
      </c>
      <c r="BG1754">
        <v>0</v>
      </c>
      <c r="BH1754">
        <v>0</v>
      </c>
      <c r="BI1754" t="s">
        <v>199</v>
      </c>
      <c r="BJ1754" t="s">
        <v>194</v>
      </c>
      <c r="BL1754" t="s">
        <v>21510</v>
      </c>
      <c r="BM1754" t="s">
        <v>267</v>
      </c>
      <c r="BN1754" t="s">
        <v>182</v>
      </c>
      <c r="BO1754" t="s">
        <v>198</v>
      </c>
      <c r="BP1754" t="s">
        <v>198</v>
      </c>
      <c r="BQ1754" t="s">
        <v>198</v>
      </c>
      <c r="BR1754" t="s">
        <v>198</v>
      </c>
      <c r="BS1754" t="s">
        <v>198</v>
      </c>
      <c r="BT1754" t="s">
        <v>198</v>
      </c>
      <c r="BU1754" t="s">
        <v>182</v>
      </c>
      <c r="BV1754" t="s">
        <v>198</v>
      </c>
      <c r="BW1754" t="s">
        <v>198</v>
      </c>
      <c r="BX1754" t="s">
        <v>199</v>
      </c>
      <c r="BY1754" t="s">
        <v>198</v>
      </c>
      <c r="BZ1754" t="s">
        <v>199</v>
      </c>
      <c r="CA1754" t="s">
        <v>199</v>
      </c>
      <c r="CB1754" t="s">
        <v>21463</v>
      </c>
      <c r="CC1754" t="s">
        <v>201</v>
      </c>
      <c r="CD1754" t="s">
        <v>182</v>
      </c>
      <c r="CE1754" t="s">
        <v>21464</v>
      </c>
      <c r="CF1754" t="s">
        <v>413</v>
      </c>
      <c r="CG1754" t="s">
        <v>177</v>
      </c>
      <c r="CH1754" t="s">
        <v>21465</v>
      </c>
      <c r="CI1754" t="s">
        <v>21570</v>
      </c>
      <c r="CJ1754" t="s">
        <v>5119</v>
      </c>
      <c r="CK1754" t="s">
        <v>232</v>
      </c>
      <c r="CL1754" t="s">
        <v>233</v>
      </c>
      <c r="CM1754" t="s">
        <v>5487</v>
      </c>
      <c r="CN1754" t="s">
        <v>331</v>
      </c>
      <c r="CO1754" t="s">
        <v>183</v>
      </c>
      <c r="CP1754" t="s">
        <v>211</v>
      </c>
      <c r="CQ1754" t="s">
        <v>264</v>
      </c>
      <c r="CS1754" t="s">
        <v>21549</v>
      </c>
      <c r="CT1754" t="s">
        <v>18933</v>
      </c>
      <c r="CU1754" t="s">
        <v>292</v>
      </c>
      <c r="CV1754" t="s">
        <v>293</v>
      </c>
      <c r="CW1754" t="s">
        <v>10873</v>
      </c>
      <c r="CX1754" t="s">
        <v>387</v>
      </c>
      <c r="CY1754" t="s">
        <v>183</v>
      </c>
      <c r="CZ1754" t="s">
        <v>211</v>
      </c>
      <c r="DA1754" t="s">
        <v>250</v>
      </c>
      <c r="DC1754" t="s">
        <v>21481</v>
      </c>
      <c r="DD1754" t="s">
        <v>19474</v>
      </c>
      <c r="DE1754" t="s">
        <v>267</v>
      </c>
      <c r="DF1754" t="s">
        <v>268</v>
      </c>
      <c r="DG1754" t="s">
        <v>3821</v>
      </c>
      <c r="DH1754" t="s">
        <v>235</v>
      </c>
      <c r="DI1754" t="s">
        <v>183</v>
      </c>
      <c r="DJ1754" t="s">
        <v>211</v>
      </c>
      <c r="DK1754" t="s">
        <v>460</v>
      </c>
      <c r="DM1754" t="s">
        <v>21483</v>
      </c>
      <c r="DN1754" t="s">
        <v>10046</v>
      </c>
      <c r="DO1754" t="s">
        <v>238</v>
      </c>
      <c r="DP1754" t="s">
        <v>239</v>
      </c>
      <c r="DQ1754" t="s">
        <v>21551</v>
      </c>
      <c r="DR1754" t="s">
        <v>482</v>
      </c>
      <c r="DS1754" t="s">
        <v>183</v>
      </c>
      <c r="DT1754" t="s">
        <v>211</v>
      </c>
      <c r="DU1754" t="s">
        <v>199</v>
      </c>
      <c r="DW1754" t="s">
        <v>21471</v>
      </c>
      <c r="DX1754" t="s">
        <v>15628</v>
      </c>
      <c r="DY1754" t="s">
        <v>346</v>
      </c>
      <c r="DZ1754" t="s">
        <v>347</v>
      </c>
      <c r="EA1754" t="s">
        <v>14669</v>
      </c>
      <c r="EB1754" t="s">
        <v>1966</v>
      </c>
      <c r="EC1754" t="s">
        <v>183</v>
      </c>
      <c r="ED1754" t="s">
        <v>211</v>
      </c>
      <c r="EE1754" t="s">
        <v>427</v>
      </c>
      <c r="EG1754" t="s">
        <v>21471</v>
      </c>
      <c r="EH1754" t="s">
        <v>21571</v>
      </c>
      <c r="EI1754" t="s">
        <v>207</v>
      </c>
      <c r="EJ1754" t="s">
        <v>208</v>
      </c>
      <c r="EK1754" t="s">
        <v>21553</v>
      </c>
      <c r="EL1754" t="s">
        <v>519</v>
      </c>
      <c r="EM1754" t="s">
        <v>183</v>
      </c>
      <c r="EN1754" t="s">
        <v>211</v>
      </c>
      <c r="EO1754" t="s">
        <v>633</v>
      </c>
      <c r="EQ1754" t="s">
        <v>21471</v>
      </c>
      <c r="FA1754" t="s">
        <v>198</v>
      </c>
      <c r="FK1754" t="s">
        <v>198</v>
      </c>
      <c r="FU1754" t="s">
        <v>198</v>
      </c>
    </row>
    <row r="1755" spans="1:177">
      <c r="A1755" s="1" t="str">
        <f>HYPERLINK("http://digipan.lumentumllc.com/apps/getLink/index.php?t=PropLink&amp;p=5247732","PL")</f>
        <v>PL</v>
      </c>
      <c r="B1755" s="1" t="str">
        <f>HYPERLINK("http://digipan.lumentumllc.com/apps/getLink/index.php?t=TaxLink&amp;p=5247732","TL")</f>
        <v>TL</v>
      </c>
      <c r="C1755" s="1" t="str">
        <f>HYPERLINK("http://digipan.lumentumllc.com/apps/getMap/index.php?p=5247732","Map")</f>
        <v>Map</v>
      </c>
      <c r="E1755" t="s">
        <v>177</v>
      </c>
      <c r="F1755" t="s">
        <v>178</v>
      </c>
      <c r="L1755" t="s">
        <v>21572</v>
      </c>
      <c r="N1755" t="s">
        <v>21572</v>
      </c>
      <c r="O1755" t="s">
        <v>21572</v>
      </c>
      <c r="P1755" t="s">
        <v>21573</v>
      </c>
      <c r="Q1755" t="s">
        <v>21572</v>
      </c>
      <c r="V1755">
        <v>2003</v>
      </c>
      <c r="W1755">
        <v>7</v>
      </c>
      <c r="X1755">
        <v>2017</v>
      </c>
      <c r="Y1755">
        <v>2018</v>
      </c>
      <c r="Z1755">
        <v>525.4</v>
      </c>
      <c r="AB1755" t="s">
        <v>181</v>
      </c>
      <c r="AC1755" t="s">
        <v>182</v>
      </c>
      <c r="AD1755" t="s">
        <v>183</v>
      </c>
      <c r="AE1755">
        <v>0</v>
      </c>
      <c r="AF1755">
        <v>6</v>
      </c>
      <c r="AG1755" t="s">
        <v>3266</v>
      </c>
      <c r="AH1755">
        <v>100</v>
      </c>
      <c r="AK1755">
        <v>0</v>
      </c>
      <c r="AL1755">
        <v>48000</v>
      </c>
      <c r="AM1755">
        <v>48000</v>
      </c>
      <c r="AN1755">
        <v>0</v>
      </c>
      <c r="AO1755">
        <v>453</v>
      </c>
      <c r="AP1755">
        <v>2016</v>
      </c>
      <c r="AQ1755">
        <v>1.0900000000000001</v>
      </c>
      <c r="AS1755" t="s">
        <v>21574</v>
      </c>
      <c r="AT1755" t="s">
        <v>3210</v>
      </c>
      <c r="AU1755" t="s">
        <v>177</v>
      </c>
      <c r="AV1755" t="s">
        <v>2334</v>
      </c>
      <c r="AW1755" t="s">
        <v>182</v>
      </c>
      <c r="AX1755">
        <v>0</v>
      </c>
      <c r="AY1755" t="s">
        <v>312</v>
      </c>
      <c r="AZ1755" t="s">
        <v>199</v>
      </c>
      <c r="BA1755" t="s">
        <v>313</v>
      </c>
      <c r="BB1755" t="s">
        <v>191</v>
      </c>
      <c r="BC1755" t="s">
        <v>182</v>
      </c>
      <c r="BD1755" t="s">
        <v>182</v>
      </c>
      <c r="BE1755" t="s">
        <v>5880</v>
      </c>
      <c r="BF1755">
        <v>0</v>
      </c>
      <c r="BG1755">
        <v>0</v>
      </c>
      <c r="BH1755">
        <v>0</v>
      </c>
      <c r="BI1755" t="s">
        <v>199</v>
      </c>
      <c r="BJ1755" t="s">
        <v>194</v>
      </c>
      <c r="BL1755" t="s">
        <v>21510</v>
      </c>
      <c r="BM1755" t="s">
        <v>267</v>
      </c>
      <c r="BN1755" t="s">
        <v>182</v>
      </c>
      <c r="BO1755" t="s">
        <v>198</v>
      </c>
      <c r="BP1755" t="s">
        <v>198</v>
      </c>
      <c r="BQ1755" t="s">
        <v>198</v>
      </c>
      <c r="BR1755" t="s">
        <v>198</v>
      </c>
      <c r="BS1755" t="s">
        <v>198</v>
      </c>
      <c r="BT1755" t="s">
        <v>198</v>
      </c>
      <c r="BU1755" t="s">
        <v>182</v>
      </c>
      <c r="BV1755" t="s">
        <v>198</v>
      </c>
      <c r="BW1755" t="s">
        <v>198</v>
      </c>
      <c r="BX1755" t="s">
        <v>199</v>
      </c>
      <c r="BY1755" t="s">
        <v>198</v>
      </c>
      <c r="BZ1755" t="s">
        <v>199</v>
      </c>
      <c r="CA1755" t="s">
        <v>199</v>
      </c>
      <c r="CB1755" t="s">
        <v>21463</v>
      </c>
      <c r="CC1755" t="s">
        <v>201</v>
      </c>
      <c r="CD1755" t="s">
        <v>182</v>
      </c>
      <c r="CE1755" t="s">
        <v>21464</v>
      </c>
      <c r="CF1755" t="s">
        <v>413</v>
      </c>
      <c r="CG1755" t="s">
        <v>177</v>
      </c>
      <c r="CH1755" t="s">
        <v>21465</v>
      </c>
      <c r="CI1755" t="s">
        <v>13466</v>
      </c>
      <c r="CJ1755" t="s">
        <v>13794</v>
      </c>
      <c r="CK1755" t="s">
        <v>232</v>
      </c>
      <c r="CL1755" t="s">
        <v>233</v>
      </c>
      <c r="CM1755" t="s">
        <v>5487</v>
      </c>
      <c r="CN1755" t="s">
        <v>331</v>
      </c>
      <c r="CO1755" t="s">
        <v>183</v>
      </c>
      <c r="CP1755" t="s">
        <v>211</v>
      </c>
      <c r="CQ1755" t="s">
        <v>264</v>
      </c>
      <c r="CS1755" t="s">
        <v>21549</v>
      </c>
      <c r="CT1755" t="s">
        <v>21575</v>
      </c>
      <c r="CU1755" t="s">
        <v>292</v>
      </c>
      <c r="CV1755" t="s">
        <v>293</v>
      </c>
      <c r="CW1755" t="s">
        <v>10873</v>
      </c>
      <c r="CX1755" t="s">
        <v>387</v>
      </c>
      <c r="CY1755" t="s">
        <v>183</v>
      </c>
      <c r="CZ1755" t="s">
        <v>211</v>
      </c>
      <c r="DA1755" t="s">
        <v>250</v>
      </c>
      <c r="DC1755" t="s">
        <v>21481</v>
      </c>
      <c r="DD1755" t="s">
        <v>14344</v>
      </c>
      <c r="DE1755" t="s">
        <v>267</v>
      </c>
      <c r="DF1755" t="s">
        <v>268</v>
      </c>
      <c r="DG1755" t="s">
        <v>3821</v>
      </c>
      <c r="DH1755" t="s">
        <v>235</v>
      </c>
      <c r="DI1755" t="s">
        <v>183</v>
      </c>
      <c r="DJ1755" t="s">
        <v>211</v>
      </c>
      <c r="DK1755" t="s">
        <v>460</v>
      </c>
      <c r="DM1755" t="s">
        <v>21483</v>
      </c>
      <c r="DN1755" t="s">
        <v>2939</v>
      </c>
      <c r="DO1755" t="s">
        <v>238</v>
      </c>
      <c r="DP1755" t="s">
        <v>239</v>
      </c>
      <c r="DQ1755" t="s">
        <v>21551</v>
      </c>
      <c r="DR1755" t="s">
        <v>482</v>
      </c>
      <c r="DS1755" t="s">
        <v>183</v>
      </c>
      <c r="DT1755" t="s">
        <v>211</v>
      </c>
      <c r="DU1755" t="s">
        <v>199</v>
      </c>
      <c r="DW1755" t="s">
        <v>21471</v>
      </c>
      <c r="DX1755" t="s">
        <v>21576</v>
      </c>
      <c r="DY1755" t="s">
        <v>346</v>
      </c>
      <c r="DZ1755" t="s">
        <v>347</v>
      </c>
      <c r="EA1755" t="s">
        <v>14669</v>
      </c>
      <c r="EB1755" t="s">
        <v>1966</v>
      </c>
      <c r="EC1755" t="s">
        <v>183</v>
      </c>
      <c r="ED1755" t="s">
        <v>211</v>
      </c>
      <c r="EE1755" t="s">
        <v>427</v>
      </c>
      <c r="EG1755" t="s">
        <v>21471</v>
      </c>
      <c r="EH1755" t="s">
        <v>21577</v>
      </c>
      <c r="EI1755" t="s">
        <v>207</v>
      </c>
      <c r="EJ1755" t="s">
        <v>208</v>
      </c>
      <c r="EK1755" t="s">
        <v>21553</v>
      </c>
      <c r="EL1755" t="s">
        <v>519</v>
      </c>
      <c r="EM1755" t="s">
        <v>183</v>
      </c>
      <c r="EN1755" t="s">
        <v>211</v>
      </c>
      <c r="EO1755" t="s">
        <v>633</v>
      </c>
      <c r="EQ1755" t="s">
        <v>21471</v>
      </c>
      <c r="FA1755" t="s">
        <v>198</v>
      </c>
      <c r="FK1755" t="s">
        <v>198</v>
      </c>
      <c r="FU1755" t="s">
        <v>198</v>
      </c>
    </row>
    <row r="1756" spans="1:177">
      <c r="A1756" s="1" t="str">
        <f>HYPERLINK("http://digipan.lumentumllc.com/apps/getLink/index.php?t=PropLink&amp;p=5247733","PL")</f>
        <v>PL</v>
      </c>
      <c r="B1756" s="1" t="str">
        <f>HYPERLINK("http://digipan.lumentumllc.com/apps/getLink/index.php?t=TaxLink&amp;p=5247733","TL")</f>
        <v>TL</v>
      </c>
      <c r="C1756" s="1" t="str">
        <f>HYPERLINK("http://digipan.lumentumllc.com/apps/getMap/index.php?p=5247733","Map")</f>
        <v>Map</v>
      </c>
      <c r="E1756" t="s">
        <v>177</v>
      </c>
      <c r="F1756" t="s">
        <v>178</v>
      </c>
      <c r="L1756" t="s">
        <v>21578</v>
      </c>
      <c r="N1756" t="s">
        <v>21578</v>
      </c>
      <c r="O1756" t="s">
        <v>21578</v>
      </c>
      <c r="P1756" t="s">
        <v>21579</v>
      </c>
      <c r="Q1756" t="s">
        <v>21578</v>
      </c>
      <c r="V1756">
        <v>2004</v>
      </c>
      <c r="W1756">
        <v>7</v>
      </c>
      <c r="X1756">
        <v>2017</v>
      </c>
      <c r="Y1756">
        <v>2018</v>
      </c>
      <c r="Z1756">
        <v>525.4</v>
      </c>
      <c r="AB1756" t="s">
        <v>181</v>
      </c>
      <c r="AC1756" t="s">
        <v>182</v>
      </c>
      <c r="AD1756" t="s">
        <v>183</v>
      </c>
      <c r="AE1756">
        <v>0</v>
      </c>
      <c r="AF1756">
        <v>6</v>
      </c>
      <c r="AG1756" t="s">
        <v>3266</v>
      </c>
      <c r="AH1756">
        <v>100</v>
      </c>
      <c r="AK1756">
        <v>0</v>
      </c>
      <c r="AL1756">
        <v>48000</v>
      </c>
      <c r="AM1756">
        <v>48000</v>
      </c>
      <c r="AN1756">
        <v>0</v>
      </c>
      <c r="AO1756">
        <v>453</v>
      </c>
      <c r="AP1756">
        <v>2016</v>
      </c>
      <c r="AQ1756">
        <v>1.0900000000000001</v>
      </c>
      <c r="AS1756" t="s">
        <v>21580</v>
      </c>
      <c r="AT1756" t="s">
        <v>3210</v>
      </c>
      <c r="AU1756" t="s">
        <v>177</v>
      </c>
      <c r="AV1756" t="s">
        <v>2334</v>
      </c>
      <c r="AW1756" t="s">
        <v>182</v>
      </c>
      <c r="AX1756">
        <v>0</v>
      </c>
      <c r="AY1756" t="s">
        <v>312</v>
      </c>
      <c r="AZ1756" t="s">
        <v>199</v>
      </c>
      <c r="BA1756" t="s">
        <v>313</v>
      </c>
      <c r="BB1756" t="s">
        <v>191</v>
      </c>
      <c r="BC1756" t="s">
        <v>182</v>
      </c>
      <c r="BD1756" t="s">
        <v>182</v>
      </c>
      <c r="BE1756" t="s">
        <v>5689</v>
      </c>
      <c r="BF1756">
        <v>0</v>
      </c>
      <c r="BG1756">
        <v>0</v>
      </c>
      <c r="BH1756">
        <v>0</v>
      </c>
      <c r="BI1756" t="s">
        <v>199</v>
      </c>
      <c r="BJ1756" t="s">
        <v>194</v>
      </c>
      <c r="BL1756" t="s">
        <v>21510</v>
      </c>
      <c r="BM1756" t="s">
        <v>267</v>
      </c>
      <c r="BN1756" t="s">
        <v>182</v>
      </c>
      <c r="BO1756" t="s">
        <v>198</v>
      </c>
      <c r="BP1756" t="s">
        <v>198</v>
      </c>
      <c r="BQ1756" t="s">
        <v>198</v>
      </c>
      <c r="BR1756" t="s">
        <v>198</v>
      </c>
      <c r="BS1756" t="s">
        <v>198</v>
      </c>
      <c r="BT1756" t="s">
        <v>198</v>
      </c>
      <c r="BU1756" t="s">
        <v>182</v>
      </c>
      <c r="BV1756" t="s">
        <v>198</v>
      </c>
      <c r="BW1756" t="s">
        <v>198</v>
      </c>
      <c r="BX1756" t="s">
        <v>199</v>
      </c>
      <c r="BY1756" t="s">
        <v>198</v>
      </c>
      <c r="BZ1756" t="s">
        <v>199</v>
      </c>
      <c r="CA1756" t="s">
        <v>199</v>
      </c>
      <c r="CB1756" t="s">
        <v>21463</v>
      </c>
      <c r="CC1756" t="s">
        <v>201</v>
      </c>
      <c r="CD1756" t="s">
        <v>182</v>
      </c>
      <c r="CE1756" t="s">
        <v>21464</v>
      </c>
      <c r="CF1756" t="s">
        <v>413</v>
      </c>
      <c r="CG1756" t="s">
        <v>177</v>
      </c>
      <c r="CH1756" t="s">
        <v>21465</v>
      </c>
      <c r="CI1756" t="s">
        <v>13472</v>
      </c>
      <c r="CJ1756" t="s">
        <v>18933</v>
      </c>
      <c r="CK1756" t="s">
        <v>232</v>
      </c>
      <c r="CL1756" t="s">
        <v>233</v>
      </c>
      <c r="CM1756" t="s">
        <v>5487</v>
      </c>
      <c r="CN1756" t="s">
        <v>331</v>
      </c>
      <c r="CO1756" t="s">
        <v>183</v>
      </c>
      <c r="CP1756" t="s">
        <v>211</v>
      </c>
      <c r="CQ1756" t="s">
        <v>264</v>
      </c>
      <c r="CS1756" t="s">
        <v>21549</v>
      </c>
      <c r="CT1756" t="s">
        <v>10207</v>
      </c>
      <c r="CU1756" t="s">
        <v>292</v>
      </c>
      <c r="CV1756" t="s">
        <v>293</v>
      </c>
      <c r="CW1756" t="s">
        <v>10873</v>
      </c>
      <c r="CX1756" t="s">
        <v>387</v>
      </c>
      <c r="CY1756" t="s">
        <v>183</v>
      </c>
      <c r="CZ1756" t="s">
        <v>211</v>
      </c>
      <c r="DA1756" t="s">
        <v>250</v>
      </c>
      <c r="DC1756" t="s">
        <v>21481</v>
      </c>
      <c r="DD1756" t="s">
        <v>14356</v>
      </c>
      <c r="DE1756" t="s">
        <v>267</v>
      </c>
      <c r="DF1756" t="s">
        <v>268</v>
      </c>
      <c r="DG1756" t="s">
        <v>3821</v>
      </c>
      <c r="DH1756" t="s">
        <v>235</v>
      </c>
      <c r="DI1756" t="s">
        <v>183</v>
      </c>
      <c r="DJ1756" t="s">
        <v>211</v>
      </c>
      <c r="DK1756" t="s">
        <v>460</v>
      </c>
      <c r="DM1756" t="s">
        <v>21483</v>
      </c>
      <c r="DN1756" t="s">
        <v>9198</v>
      </c>
      <c r="DO1756" t="s">
        <v>238</v>
      </c>
      <c r="DP1756" t="s">
        <v>239</v>
      </c>
      <c r="DQ1756" t="s">
        <v>21551</v>
      </c>
      <c r="DR1756" t="s">
        <v>482</v>
      </c>
      <c r="DS1756" t="s">
        <v>183</v>
      </c>
      <c r="DT1756" t="s">
        <v>211</v>
      </c>
      <c r="DU1756" t="s">
        <v>199</v>
      </c>
      <c r="DW1756" t="s">
        <v>21471</v>
      </c>
      <c r="DX1756" t="s">
        <v>16429</v>
      </c>
      <c r="DY1756" t="s">
        <v>346</v>
      </c>
      <c r="DZ1756" t="s">
        <v>347</v>
      </c>
      <c r="EA1756" t="s">
        <v>14669</v>
      </c>
      <c r="EB1756" t="s">
        <v>1966</v>
      </c>
      <c r="EC1756" t="s">
        <v>183</v>
      </c>
      <c r="ED1756" t="s">
        <v>211</v>
      </c>
      <c r="EE1756" t="s">
        <v>427</v>
      </c>
      <c r="EG1756" t="s">
        <v>21471</v>
      </c>
      <c r="EH1756" t="s">
        <v>16579</v>
      </c>
      <c r="EI1756" t="s">
        <v>207</v>
      </c>
      <c r="EJ1756" t="s">
        <v>208</v>
      </c>
      <c r="EK1756" t="s">
        <v>21553</v>
      </c>
      <c r="EL1756" t="s">
        <v>519</v>
      </c>
      <c r="EM1756" t="s">
        <v>183</v>
      </c>
      <c r="EN1756" t="s">
        <v>211</v>
      </c>
      <c r="EO1756" t="s">
        <v>633</v>
      </c>
      <c r="EQ1756" t="s">
        <v>21471</v>
      </c>
      <c r="FA1756" t="s">
        <v>198</v>
      </c>
      <c r="FK1756" t="s">
        <v>198</v>
      </c>
      <c r="FU1756" t="s">
        <v>198</v>
      </c>
    </row>
    <row r="1757" spans="1:177">
      <c r="A1757" s="1" t="str">
        <f>HYPERLINK("http://digipan.lumentumllc.com/apps/getLink/index.php?t=PropLink&amp;p=15758356","PL")</f>
        <v>PL</v>
      </c>
      <c r="B1757" s="1" t="str">
        <f>HYPERLINK("http://digipan.lumentumllc.com/apps/getLink/index.php?t=TaxLink&amp;p=15758356","TL")</f>
        <v>TL</v>
      </c>
      <c r="C1757" s="1" t="str">
        <f>HYPERLINK("http://digipan.lumentumllc.com/apps/getMap/index.php?p=15758356","Map")</f>
        <v>Map</v>
      </c>
      <c r="E1757" t="s">
        <v>177</v>
      </c>
      <c r="F1757" t="s">
        <v>178</v>
      </c>
      <c r="L1757" t="s">
        <v>21581</v>
      </c>
      <c r="N1757" t="s">
        <v>21581</v>
      </c>
      <c r="O1757" t="s">
        <v>21581</v>
      </c>
      <c r="Q1757" t="s">
        <v>21581</v>
      </c>
      <c r="V1757">
        <v>2005</v>
      </c>
      <c r="W1757">
        <v>7</v>
      </c>
      <c r="X1757">
        <v>2017</v>
      </c>
      <c r="Y1757">
        <v>2018</v>
      </c>
      <c r="Z1757">
        <v>411.23</v>
      </c>
      <c r="AB1757" t="s">
        <v>181</v>
      </c>
      <c r="AC1757" t="s">
        <v>182</v>
      </c>
      <c r="AD1757" t="s">
        <v>183</v>
      </c>
      <c r="AE1757">
        <v>0</v>
      </c>
      <c r="AF1757">
        <v>1</v>
      </c>
      <c r="AG1757" t="s">
        <v>184</v>
      </c>
      <c r="AH1757">
        <v>0</v>
      </c>
      <c r="AK1757">
        <v>0</v>
      </c>
      <c r="AL1757">
        <v>32000</v>
      </c>
      <c r="AM1757">
        <v>32000</v>
      </c>
      <c r="AN1757">
        <v>0</v>
      </c>
      <c r="AO1757">
        <v>344</v>
      </c>
      <c r="AP1757">
        <v>2016</v>
      </c>
      <c r="AQ1757">
        <v>1.29</v>
      </c>
      <c r="AS1757" t="s">
        <v>21582</v>
      </c>
      <c r="AT1757" t="s">
        <v>3210</v>
      </c>
      <c r="AU1757" t="s">
        <v>177</v>
      </c>
      <c r="AV1757" t="s">
        <v>2334</v>
      </c>
      <c r="AW1757" t="s">
        <v>182</v>
      </c>
      <c r="AX1757">
        <v>0</v>
      </c>
      <c r="AY1757" t="s">
        <v>312</v>
      </c>
      <c r="AZ1757" t="s">
        <v>199</v>
      </c>
      <c r="BA1757" t="s">
        <v>313</v>
      </c>
      <c r="BB1757" t="s">
        <v>191</v>
      </c>
      <c r="BC1757" t="s">
        <v>182</v>
      </c>
      <c r="BD1757" t="s">
        <v>182</v>
      </c>
      <c r="BE1757" t="s">
        <v>9756</v>
      </c>
      <c r="BF1757">
        <v>0</v>
      </c>
      <c r="BG1757">
        <v>0</v>
      </c>
      <c r="BH1757">
        <v>0</v>
      </c>
      <c r="BI1757" t="s">
        <v>199</v>
      </c>
      <c r="BJ1757" t="s">
        <v>194</v>
      </c>
      <c r="BL1757" t="s">
        <v>9225</v>
      </c>
      <c r="BM1757" t="s">
        <v>302</v>
      </c>
      <c r="BN1757" t="s">
        <v>182</v>
      </c>
      <c r="BO1757" t="s">
        <v>8682</v>
      </c>
      <c r="BP1757" t="s">
        <v>21583</v>
      </c>
      <c r="BQ1757" t="s">
        <v>800</v>
      </c>
      <c r="BR1757" t="s">
        <v>1897</v>
      </c>
      <c r="BS1757" t="s">
        <v>198</v>
      </c>
      <c r="BT1757" t="s">
        <v>21584</v>
      </c>
      <c r="BU1757" t="s">
        <v>182</v>
      </c>
      <c r="BV1757" t="s">
        <v>198</v>
      </c>
      <c r="BW1757" t="s">
        <v>198</v>
      </c>
      <c r="BX1757" t="s">
        <v>199</v>
      </c>
      <c r="BY1757" t="s">
        <v>198</v>
      </c>
      <c r="BZ1757" t="s">
        <v>199</v>
      </c>
      <c r="CA1757" t="s">
        <v>199</v>
      </c>
      <c r="CB1757" t="s">
        <v>21585</v>
      </c>
      <c r="CC1757" t="s">
        <v>201</v>
      </c>
      <c r="CD1757" t="s">
        <v>182</v>
      </c>
      <c r="CE1757" t="s">
        <v>21586</v>
      </c>
      <c r="CF1757" t="s">
        <v>413</v>
      </c>
      <c r="CG1757" t="s">
        <v>177</v>
      </c>
      <c r="CH1757" t="s">
        <v>8952</v>
      </c>
      <c r="CI1757" t="s">
        <v>21587</v>
      </c>
      <c r="CJ1757" t="s">
        <v>16622</v>
      </c>
      <c r="CK1757" t="s">
        <v>207</v>
      </c>
      <c r="CL1757" t="s">
        <v>208</v>
      </c>
      <c r="CM1757" t="s">
        <v>21553</v>
      </c>
      <c r="CN1757" t="s">
        <v>341</v>
      </c>
      <c r="CO1757" t="s">
        <v>183</v>
      </c>
      <c r="CP1757" t="s">
        <v>211</v>
      </c>
      <c r="CQ1757" t="s">
        <v>206</v>
      </c>
      <c r="CS1757" t="s">
        <v>9248</v>
      </c>
      <c r="DC1757" t="s">
        <v>198</v>
      </c>
      <c r="DM1757" t="s">
        <v>198</v>
      </c>
      <c r="DW1757" t="s">
        <v>198</v>
      </c>
      <c r="EG1757" t="s">
        <v>198</v>
      </c>
      <c r="EQ1757" t="s">
        <v>198</v>
      </c>
      <c r="FA1757" t="s">
        <v>198</v>
      </c>
      <c r="FK1757" t="s">
        <v>198</v>
      </c>
      <c r="FU1757" t="s">
        <v>198</v>
      </c>
    </row>
    <row r="1758" spans="1:177">
      <c r="A1758" s="1" t="str">
        <f>HYPERLINK("http://digipan.lumentumllc.com/apps/getLink/index.php?t=PropLink&amp;p=4638441","PL")</f>
        <v>PL</v>
      </c>
      <c r="B1758" s="1" t="str">
        <f>HYPERLINK("http://digipan.lumentumllc.com/apps/getLink/index.php?t=TaxLink&amp;p=4638441","TL")</f>
        <v>TL</v>
      </c>
      <c r="C1758" s="1" t="str">
        <f>HYPERLINK("http://digipan.lumentumllc.com/apps/getMap/index.php?p=4638441","Map")</f>
        <v>Map</v>
      </c>
      <c r="E1758" t="s">
        <v>177</v>
      </c>
      <c r="F1758" t="s">
        <v>178</v>
      </c>
      <c r="L1758" t="s">
        <v>21588</v>
      </c>
      <c r="N1758" t="s">
        <v>21588</v>
      </c>
      <c r="O1758" t="s">
        <v>21588</v>
      </c>
      <c r="P1758" t="s">
        <v>21589</v>
      </c>
      <c r="Q1758" t="s">
        <v>21588</v>
      </c>
      <c r="V1758">
        <v>2006</v>
      </c>
      <c r="W1758">
        <v>7</v>
      </c>
      <c r="X1758">
        <v>2017</v>
      </c>
      <c r="Y1758">
        <v>2018</v>
      </c>
      <c r="Z1758">
        <v>411.23</v>
      </c>
      <c r="AB1758" t="s">
        <v>181</v>
      </c>
      <c r="AC1758" t="s">
        <v>202</v>
      </c>
      <c r="AD1758" t="s">
        <v>183</v>
      </c>
      <c r="AE1758">
        <v>0</v>
      </c>
      <c r="AF1758">
        <v>1</v>
      </c>
      <c r="AG1758" t="s">
        <v>184</v>
      </c>
      <c r="AH1758">
        <v>0</v>
      </c>
      <c r="AK1758">
        <v>0</v>
      </c>
      <c r="AL1758">
        <v>32000</v>
      </c>
      <c r="AM1758">
        <v>32000</v>
      </c>
      <c r="AN1758">
        <v>0</v>
      </c>
      <c r="AO1758">
        <v>344</v>
      </c>
      <c r="AP1758">
        <v>2016</v>
      </c>
      <c r="AQ1758">
        <v>1.29</v>
      </c>
      <c r="AS1758" t="s">
        <v>21590</v>
      </c>
      <c r="AT1758" t="s">
        <v>3210</v>
      </c>
      <c r="AU1758" t="s">
        <v>177</v>
      </c>
      <c r="AV1758" t="s">
        <v>2334</v>
      </c>
      <c r="AW1758" t="s">
        <v>182</v>
      </c>
      <c r="AX1758">
        <v>0</v>
      </c>
      <c r="AY1758" t="s">
        <v>312</v>
      </c>
      <c r="AZ1758" t="s">
        <v>199</v>
      </c>
      <c r="BA1758" t="s">
        <v>313</v>
      </c>
      <c r="BB1758" t="s">
        <v>191</v>
      </c>
      <c r="BC1758" t="s">
        <v>182</v>
      </c>
      <c r="BD1758" t="s">
        <v>182</v>
      </c>
      <c r="BE1758" t="s">
        <v>5992</v>
      </c>
      <c r="BF1758">
        <v>0</v>
      </c>
      <c r="BG1758">
        <v>0</v>
      </c>
      <c r="BH1758">
        <v>0</v>
      </c>
      <c r="BI1758" t="s">
        <v>199</v>
      </c>
      <c r="BJ1758" t="s">
        <v>194</v>
      </c>
      <c r="BL1758" t="s">
        <v>2191</v>
      </c>
      <c r="BM1758" t="s">
        <v>267</v>
      </c>
      <c r="BN1758" t="s">
        <v>182</v>
      </c>
      <c r="BO1758" t="s">
        <v>198</v>
      </c>
      <c r="BP1758" t="s">
        <v>198</v>
      </c>
      <c r="BQ1758" t="s">
        <v>198</v>
      </c>
      <c r="BR1758" t="s">
        <v>198</v>
      </c>
      <c r="BS1758" t="s">
        <v>198</v>
      </c>
      <c r="BT1758" t="s">
        <v>198</v>
      </c>
      <c r="BU1758" t="s">
        <v>182</v>
      </c>
      <c r="BV1758" t="s">
        <v>198</v>
      </c>
      <c r="BW1758" t="s">
        <v>198</v>
      </c>
      <c r="BX1758" t="s">
        <v>199</v>
      </c>
      <c r="BY1758" t="s">
        <v>198</v>
      </c>
      <c r="BZ1758" t="s">
        <v>199</v>
      </c>
      <c r="CA1758" t="s">
        <v>199</v>
      </c>
      <c r="CB1758" t="s">
        <v>21585</v>
      </c>
      <c r="CC1758" t="s">
        <v>201</v>
      </c>
      <c r="CD1758" t="s">
        <v>182</v>
      </c>
      <c r="CE1758" t="s">
        <v>21586</v>
      </c>
      <c r="CF1758" t="s">
        <v>413</v>
      </c>
      <c r="CG1758" t="s">
        <v>177</v>
      </c>
      <c r="CH1758" t="s">
        <v>8952</v>
      </c>
      <c r="CI1758" t="s">
        <v>21591</v>
      </c>
      <c r="CJ1758" t="s">
        <v>20151</v>
      </c>
      <c r="CK1758" t="s">
        <v>207</v>
      </c>
      <c r="CL1758" t="s">
        <v>208</v>
      </c>
      <c r="CM1758" t="s">
        <v>21553</v>
      </c>
      <c r="CN1758" t="s">
        <v>1296</v>
      </c>
      <c r="CO1758" t="s">
        <v>183</v>
      </c>
      <c r="CP1758" t="s">
        <v>211</v>
      </c>
      <c r="CQ1758" t="s">
        <v>189</v>
      </c>
      <c r="CR1758" t="s">
        <v>271</v>
      </c>
      <c r="CS1758" t="s">
        <v>9091</v>
      </c>
      <c r="DC1758" t="s">
        <v>198</v>
      </c>
      <c r="DM1758" t="s">
        <v>198</v>
      </c>
      <c r="DW1758" t="s">
        <v>198</v>
      </c>
      <c r="EG1758" t="s">
        <v>198</v>
      </c>
      <c r="EQ1758" t="s">
        <v>198</v>
      </c>
      <c r="FA1758" t="s">
        <v>198</v>
      </c>
      <c r="FK1758" t="s">
        <v>198</v>
      </c>
      <c r="FU1758" t="s">
        <v>198</v>
      </c>
    </row>
    <row r="1759" spans="1:177">
      <c r="A1759" s="1" t="str">
        <f>HYPERLINK("http://digipan.lumentumllc.com/apps/getLink/index.php?t=PropLink&amp;p=5247738","PL")</f>
        <v>PL</v>
      </c>
      <c r="B1759" s="1" t="str">
        <f>HYPERLINK("http://digipan.lumentumllc.com/apps/getLink/index.php?t=TaxLink&amp;p=5247738","TL")</f>
        <v>TL</v>
      </c>
      <c r="C1759" s="1" t="str">
        <f>HYPERLINK("http://digipan.lumentumllc.com/apps/getMap/index.php?p=5247738","Map")</f>
        <v>Map</v>
      </c>
      <c r="E1759" t="s">
        <v>177</v>
      </c>
      <c r="F1759" t="s">
        <v>178</v>
      </c>
      <c r="L1759" t="s">
        <v>21592</v>
      </c>
      <c r="N1759" t="s">
        <v>21592</v>
      </c>
      <c r="O1759" t="s">
        <v>21592</v>
      </c>
      <c r="P1759" t="s">
        <v>21593</v>
      </c>
      <c r="Q1759" t="s">
        <v>21592</v>
      </c>
      <c r="V1759">
        <v>2007</v>
      </c>
      <c r="W1759">
        <v>7</v>
      </c>
      <c r="X1759">
        <v>2017</v>
      </c>
      <c r="Y1759">
        <v>2018</v>
      </c>
      <c r="Z1759">
        <v>411.23</v>
      </c>
      <c r="AB1759" t="s">
        <v>181</v>
      </c>
      <c r="AC1759" t="s">
        <v>182</v>
      </c>
      <c r="AD1759" t="s">
        <v>183</v>
      </c>
      <c r="AE1759">
        <v>1</v>
      </c>
      <c r="AF1759">
        <v>5</v>
      </c>
      <c r="AG1759" t="s">
        <v>951</v>
      </c>
      <c r="AH1759">
        <v>80</v>
      </c>
      <c r="AI1759">
        <v>399.55</v>
      </c>
      <c r="AJ1759">
        <v>19.98</v>
      </c>
      <c r="AK1759">
        <v>419.53</v>
      </c>
      <c r="AL1759">
        <v>32000</v>
      </c>
      <c r="AM1759">
        <v>32000</v>
      </c>
      <c r="AN1759">
        <v>0</v>
      </c>
      <c r="AO1759">
        <v>344</v>
      </c>
      <c r="AP1759">
        <v>2016</v>
      </c>
      <c r="AQ1759">
        <v>1.29</v>
      </c>
      <c r="AR1759">
        <v>1.31</v>
      </c>
      <c r="AS1759" t="s">
        <v>21594</v>
      </c>
      <c r="AT1759" t="s">
        <v>3210</v>
      </c>
      <c r="AU1759" t="s">
        <v>177</v>
      </c>
      <c r="AV1759" t="s">
        <v>2334</v>
      </c>
      <c r="AW1759" t="s">
        <v>182</v>
      </c>
      <c r="AX1759">
        <v>0</v>
      </c>
      <c r="AY1759" t="s">
        <v>312</v>
      </c>
      <c r="AZ1759" t="s">
        <v>199</v>
      </c>
      <c r="BA1759" t="s">
        <v>313</v>
      </c>
      <c r="BB1759" t="s">
        <v>191</v>
      </c>
      <c r="BC1759" t="s">
        <v>182</v>
      </c>
      <c r="BD1759" t="s">
        <v>182</v>
      </c>
      <c r="BE1759" t="s">
        <v>5689</v>
      </c>
      <c r="BF1759">
        <v>0</v>
      </c>
      <c r="BG1759">
        <v>0</v>
      </c>
      <c r="BH1759">
        <v>0</v>
      </c>
      <c r="BI1759" t="s">
        <v>199</v>
      </c>
      <c r="BJ1759" t="s">
        <v>194</v>
      </c>
      <c r="BL1759" t="s">
        <v>21510</v>
      </c>
      <c r="BM1759" t="s">
        <v>267</v>
      </c>
      <c r="BN1759" t="s">
        <v>182</v>
      </c>
      <c r="BO1759" t="s">
        <v>198</v>
      </c>
      <c r="BP1759" t="s">
        <v>198</v>
      </c>
      <c r="BQ1759" t="s">
        <v>198</v>
      </c>
      <c r="BR1759" t="s">
        <v>198</v>
      </c>
      <c r="BS1759" t="s">
        <v>198</v>
      </c>
      <c r="BT1759" t="s">
        <v>198</v>
      </c>
      <c r="BU1759" t="s">
        <v>182</v>
      </c>
      <c r="BV1759" t="s">
        <v>198</v>
      </c>
      <c r="BW1759" t="s">
        <v>198</v>
      </c>
      <c r="BX1759" t="s">
        <v>199</v>
      </c>
      <c r="BY1759" t="s">
        <v>198</v>
      </c>
      <c r="BZ1759" t="s">
        <v>199</v>
      </c>
      <c r="CA1759" t="s">
        <v>199</v>
      </c>
      <c r="CB1759" t="s">
        <v>21463</v>
      </c>
      <c r="CC1759" t="s">
        <v>201</v>
      </c>
      <c r="CD1759" t="s">
        <v>182</v>
      </c>
      <c r="CE1759" t="s">
        <v>21464</v>
      </c>
      <c r="CF1759" t="s">
        <v>413</v>
      </c>
      <c r="CG1759" t="s">
        <v>177</v>
      </c>
      <c r="CH1759" t="s">
        <v>21465</v>
      </c>
      <c r="CI1759" t="s">
        <v>21595</v>
      </c>
      <c r="CJ1759" t="s">
        <v>5393</v>
      </c>
      <c r="CK1759" t="s">
        <v>232</v>
      </c>
      <c r="CL1759" t="s">
        <v>233</v>
      </c>
      <c r="CM1759" t="s">
        <v>21596</v>
      </c>
      <c r="CN1759" t="s">
        <v>305</v>
      </c>
      <c r="CO1759" t="s">
        <v>183</v>
      </c>
      <c r="CP1759" t="s">
        <v>266</v>
      </c>
      <c r="CS1759" t="s">
        <v>198</v>
      </c>
      <c r="CT1759" t="s">
        <v>18962</v>
      </c>
      <c r="CU1759" t="s">
        <v>292</v>
      </c>
      <c r="CV1759" t="s">
        <v>293</v>
      </c>
      <c r="CW1759" t="s">
        <v>10873</v>
      </c>
      <c r="CX1759" t="s">
        <v>387</v>
      </c>
      <c r="CY1759" t="s">
        <v>183</v>
      </c>
      <c r="CZ1759" t="s">
        <v>211</v>
      </c>
      <c r="DA1759" t="s">
        <v>250</v>
      </c>
      <c r="DC1759" t="s">
        <v>21481</v>
      </c>
      <c r="DD1759" t="s">
        <v>20975</v>
      </c>
      <c r="DE1759" t="s">
        <v>267</v>
      </c>
      <c r="DF1759" t="s">
        <v>268</v>
      </c>
      <c r="DG1759" t="s">
        <v>3821</v>
      </c>
      <c r="DH1759" t="s">
        <v>235</v>
      </c>
      <c r="DI1759" t="s">
        <v>183</v>
      </c>
      <c r="DJ1759" t="s">
        <v>211</v>
      </c>
      <c r="DK1759" t="s">
        <v>460</v>
      </c>
      <c r="DM1759" t="s">
        <v>21483</v>
      </c>
      <c r="DN1759" t="s">
        <v>20775</v>
      </c>
      <c r="DO1759" t="s">
        <v>238</v>
      </c>
      <c r="DP1759" t="s">
        <v>239</v>
      </c>
      <c r="DQ1759" t="s">
        <v>21597</v>
      </c>
      <c r="DR1759" t="s">
        <v>482</v>
      </c>
      <c r="DS1759" t="s">
        <v>183</v>
      </c>
      <c r="DT1759" t="s">
        <v>211</v>
      </c>
      <c r="DU1759" t="s">
        <v>199</v>
      </c>
      <c r="DW1759" t="s">
        <v>21471</v>
      </c>
      <c r="DX1759" t="s">
        <v>16778</v>
      </c>
      <c r="DY1759" t="s">
        <v>346</v>
      </c>
      <c r="DZ1759" t="s">
        <v>347</v>
      </c>
      <c r="EA1759" t="s">
        <v>21598</v>
      </c>
      <c r="EB1759" t="s">
        <v>1966</v>
      </c>
      <c r="EC1759" t="s">
        <v>183</v>
      </c>
      <c r="ED1759" t="s">
        <v>211</v>
      </c>
      <c r="EE1759" t="s">
        <v>427</v>
      </c>
      <c r="EG1759" t="s">
        <v>21471</v>
      </c>
      <c r="EH1759" t="s">
        <v>20191</v>
      </c>
      <c r="EI1759" t="s">
        <v>207</v>
      </c>
      <c r="EJ1759" t="s">
        <v>208</v>
      </c>
      <c r="EK1759" t="s">
        <v>21553</v>
      </c>
      <c r="EL1759" t="s">
        <v>519</v>
      </c>
      <c r="EM1759" t="s">
        <v>183</v>
      </c>
      <c r="EN1759" t="s">
        <v>211</v>
      </c>
      <c r="EO1759" t="s">
        <v>633</v>
      </c>
      <c r="EQ1759" t="s">
        <v>21471</v>
      </c>
      <c r="FA1759" t="s">
        <v>198</v>
      </c>
      <c r="FK1759" t="s">
        <v>198</v>
      </c>
      <c r="FU1759" t="s">
        <v>198</v>
      </c>
    </row>
    <row r="1760" spans="1:177">
      <c r="A1760" s="1" t="str">
        <f>HYPERLINK("http://digipan.lumentumllc.com/apps/getLink/index.php?t=PropLink&amp;p=5247739","PL")</f>
        <v>PL</v>
      </c>
      <c r="B1760" s="1" t="str">
        <f>HYPERLINK("http://digipan.lumentumllc.com/apps/getLink/index.php?t=TaxLink&amp;p=5247739","TL")</f>
        <v>TL</v>
      </c>
      <c r="C1760" s="1" t="str">
        <f>HYPERLINK("http://digipan.lumentumllc.com/apps/getMap/index.php?p=5247739","Map")</f>
        <v>Map</v>
      </c>
      <c r="E1760" t="s">
        <v>177</v>
      </c>
      <c r="F1760" t="s">
        <v>178</v>
      </c>
      <c r="L1760" t="s">
        <v>21599</v>
      </c>
      <c r="N1760" t="s">
        <v>21599</v>
      </c>
      <c r="O1760" t="s">
        <v>21599</v>
      </c>
      <c r="P1760" t="s">
        <v>21600</v>
      </c>
      <c r="Q1760" t="s">
        <v>21599</v>
      </c>
      <c r="V1760">
        <v>2008</v>
      </c>
      <c r="W1760">
        <v>7</v>
      </c>
      <c r="X1760">
        <v>2017</v>
      </c>
      <c r="Y1760">
        <v>2018</v>
      </c>
      <c r="Z1760">
        <v>411.23</v>
      </c>
      <c r="AB1760" t="s">
        <v>181</v>
      </c>
      <c r="AC1760" t="s">
        <v>182</v>
      </c>
      <c r="AD1760" t="s">
        <v>183</v>
      </c>
      <c r="AE1760">
        <v>1</v>
      </c>
      <c r="AF1760">
        <v>5</v>
      </c>
      <c r="AG1760" t="s">
        <v>951</v>
      </c>
      <c r="AH1760">
        <v>80</v>
      </c>
      <c r="AI1760">
        <v>399.55</v>
      </c>
      <c r="AJ1760">
        <v>19.98</v>
      </c>
      <c r="AK1760">
        <v>419.53</v>
      </c>
      <c r="AL1760">
        <v>32000</v>
      </c>
      <c r="AM1760">
        <v>32000</v>
      </c>
      <c r="AN1760">
        <v>0</v>
      </c>
      <c r="AO1760">
        <v>344</v>
      </c>
      <c r="AP1760">
        <v>2016</v>
      </c>
      <c r="AQ1760">
        <v>1.29</v>
      </c>
      <c r="AR1760">
        <v>1.31</v>
      </c>
      <c r="AS1760" t="s">
        <v>21601</v>
      </c>
      <c r="AT1760" t="s">
        <v>3210</v>
      </c>
      <c r="AU1760" t="s">
        <v>177</v>
      </c>
      <c r="AV1760" t="s">
        <v>2334</v>
      </c>
      <c r="AW1760" t="s">
        <v>182</v>
      </c>
      <c r="AX1760">
        <v>0</v>
      </c>
      <c r="AY1760" t="s">
        <v>312</v>
      </c>
      <c r="AZ1760" t="s">
        <v>199</v>
      </c>
      <c r="BA1760" t="s">
        <v>313</v>
      </c>
      <c r="BB1760" t="s">
        <v>191</v>
      </c>
      <c r="BC1760" t="s">
        <v>182</v>
      </c>
      <c r="BD1760" t="s">
        <v>182</v>
      </c>
      <c r="BE1760" t="s">
        <v>3682</v>
      </c>
      <c r="BF1760">
        <v>0</v>
      </c>
      <c r="BG1760">
        <v>0</v>
      </c>
      <c r="BH1760">
        <v>0</v>
      </c>
      <c r="BI1760" t="s">
        <v>199</v>
      </c>
      <c r="BJ1760" t="s">
        <v>194</v>
      </c>
      <c r="BL1760" t="s">
        <v>21510</v>
      </c>
      <c r="BM1760" t="s">
        <v>267</v>
      </c>
      <c r="BN1760" t="s">
        <v>182</v>
      </c>
      <c r="BO1760" t="s">
        <v>198</v>
      </c>
      <c r="BP1760" t="s">
        <v>198</v>
      </c>
      <c r="BQ1760" t="s">
        <v>198</v>
      </c>
      <c r="BR1760" t="s">
        <v>198</v>
      </c>
      <c r="BS1760" t="s">
        <v>198</v>
      </c>
      <c r="BT1760" t="s">
        <v>198</v>
      </c>
      <c r="BU1760" t="s">
        <v>182</v>
      </c>
      <c r="BV1760" t="s">
        <v>198</v>
      </c>
      <c r="BW1760" t="s">
        <v>198</v>
      </c>
      <c r="BX1760" t="s">
        <v>199</v>
      </c>
      <c r="BY1760" t="s">
        <v>198</v>
      </c>
      <c r="BZ1760" t="s">
        <v>199</v>
      </c>
      <c r="CA1760" t="s">
        <v>199</v>
      </c>
      <c r="CB1760" t="s">
        <v>21463</v>
      </c>
      <c r="CC1760" t="s">
        <v>201</v>
      </c>
      <c r="CD1760" t="s">
        <v>182</v>
      </c>
      <c r="CE1760" t="s">
        <v>21464</v>
      </c>
      <c r="CF1760" t="s">
        <v>413</v>
      </c>
      <c r="CG1760" t="s">
        <v>177</v>
      </c>
      <c r="CH1760" t="s">
        <v>21465</v>
      </c>
      <c r="CI1760" t="s">
        <v>13479</v>
      </c>
      <c r="CJ1760" t="s">
        <v>14505</v>
      </c>
      <c r="CK1760" t="s">
        <v>232</v>
      </c>
      <c r="CL1760" t="s">
        <v>233</v>
      </c>
      <c r="CM1760" t="s">
        <v>21596</v>
      </c>
      <c r="CN1760" t="s">
        <v>305</v>
      </c>
      <c r="CO1760" t="s">
        <v>183</v>
      </c>
      <c r="CP1760" t="s">
        <v>266</v>
      </c>
      <c r="CS1760" t="s">
        <v>198</v>
      </c>
      <c r="CT1760" t="s">
        <v>18969</v>
      </c>
      <c r="CU1760" t="s">
        <v>292</v>
      </c>
      <c r="CV1760" t="s">
        <v>293</v>
      </c>
      <c r="CW1760" t="s">
        <v>10873</v>
      </c>
      <c r="CX1760" t="s">
        <v>387</v>
      </c>
      <c r="CY1760" t="s">
        <v>183</v>
      </c>
      <c r="CZ1760" t="s">
        <v>211</v>
      </c>
      <c r="DA1760" t="s">
        <v>250</v>
      </c>
      <c r="DC1760" t="s">
        <v>21481</v>
      </c>
      <c r="DD1760" t="s">
        <v>11705</v>
      </c>
      <c r="DE1760" t="s">
        <v>267</v>
      </c>
      <c r="DF1760" t="s">
        <v>268</v>
      </c>
      <c r="DG1760" t="s">
        <v>3821</v>
      </c>
      <c r="DH1760" t="s">
        <v>235</v>
      </c>
      <c r="DI1760" t="s">
        <v>183</v>
      </c>
      <c r="DJ1760" t="s">
        <v>211</v>
      </c>
      <c r="DK1760" t="s">
        <v>460</v>
      </c>
      <c r="DM1760" t="s">
        <v>21483</v>
      </c>
      <c r="DN1760" t="s">
        <v>20818</v>
      </c>
      <c r="DO1760" t="s">
        <v>238</v>
      </c>
      <c r="DP1760" t="s">
        <v>239</v>
      </c>
      <c r="DQ1760" t="s">
        <v>21597</v>
      </c>
      <c r="DR1760" t="s">
        <v>482</v>
      </c>
      <c r="DS1760" t="s">
        <v>183</v>
      </c>
      <c r="DT1760" t="s">
        <v>211</v>
      </c>
      <c r="DU1760" t="s">
        <v>199</v>
      </c>
      <c r="DW1760" t="s">
        <v>21471</v>
      </c>
      <c r="DX1760" t="s">
        <v>21602</v>
      </c>
      <c r="DY1760" t="s">
        <v>346</v>
      </c>
      <c r="DZ1760" t="s">
        <v>347</v>
      </c>
      <c r="EA1760" t="s">
        <v>21598</v>
      </c>
      <c r="EB1760" t="s">
        <v>1966</v>
      </c>
      <c r="EC1760" t="s">
        <v>183</v>
      </c>
      <c r="ED1760" t="s">
        <v>211</v>
      </c>
      <c r="EE1760" t="s">
        <v>427</v>
      </c>
      <c r="EG1760" t="s">
        <v>21471</v>
      </c>
      <c r="EH1760" t="s">
        <v>20204</v>
      </c>
      <c r="EI1760" t="s">
        <v>207</v>
      </c>
      <c r="EJ1760" t="s">
        <v>208</v>
      </c>
      <c r="EK1760" t="s">
        <v>21553</v>
      </c>
      <c r="EL1760" t="s">
        <v>519</v>
      </c>
      <c r="EM1760" t="s">
        <v>183</v>
      </c>
      <c r="EN1760" t="s">
        <v>211</v>
      </c>
      <c r="EO1760" t="s">
        <v>633</v>
      </c>
      <c r="EQ1760" t="s">
        <v>21471</v>
      </c>
      <c r="FA1760" t="s">
        <v>198</v>
      </c>
      <c r="FK1760" t="s">
        <v>198</v>
      </c>
      <c r="FU1760" t="s">
        <v>198</v>
      </c>
    </row>
    <row r="1761" spans="1:177">
      <c r="A1761" s="1" t="str">
        <f>HYPERLINK("http://digipan.lumentumllc.com/apps/getLink/index.php?t=PropLink&amp;p=5247742","PL")</f>
        <v>PL</v>
      </c>
      <c r="B1761" s="1" t="str">
        <f>HYPERLINK("http://digipan.lumentumllc.com/apps/getLink/index.php?t=TaxLink&amp;p=5247742","TL")</f>
        <v>TL</v>
      </c>
      <c r="C1761" s="1" t="str">
        <f>HYPERLINK("http://digipan.lumentumllc.com/apps/getMap/index.php?p=5247742","Map")</f>
        <v>Map</v>
      </c>
      <c r="E1761" t="s">
        <v>177</v>
      </c>
      <c r="F1761" t="s">
        <v>178</v>
      </c>
      <c r="L1761" t="s">
        <v>21603</v>
      </c>
      <c r="N1761" t="s">
        <v>21603</v>
      </c>
      <c r="O1761" t="s">
        <v>21603</v>
      </c>
      <c r="P1761" t="s">
        <v>21604</v>
      </c>
      <c r="Q1761" t="s">
        <v>21603</v>
      </c>
      <c r="V1761">
        <v>2009</v>
      </c>
      <c r="W1761">
        <v>7</v>
      </c>
      <c r="X1761">
        <v>2017</v>
      </c>
      <c r="Y1761">
        <v>2018</v>
      </c>
      <c r="Z1761">
        <v>525.4</v>
      </c>
      <c r="AB1761" t="s">
        <v>181</v>
      </c>
      <c r="AC1761" t="s">
        <v>182</v>
      </c>
      <c r="AD1761" t="s">
        <v>183</v>
      </c>
      <c r="AE1761">
        <v>1</v>
      </c>
      <c r="AF1761">
        <v>5</v>
      </c>
      <c r="AG1761" t="s">
        <v>951</v>
      </c>
      <c r="AH1761">
        <v>80</v>
      </c>
      <c r="AI1761">
        <v>517.12</v>
      </c>
      <c r="AJ1761">
        <v>25.86</v>
      </c>
      <c r="AK1761">
        <v>542.98</v>
      </c>
      <c r="AL1761">
        <v>48000</v>
      </c>
      <c r="AM1761">
        <v>48000</v>
      </c>
      <c r="AN1761">
        <v>0</v>
      </c>
      <c r="AO1761">
        <v>453</v>
      </c>
      <c r="AP1761">
        <v>2016</v>
      </c>
      <c r="AQ1761">
        <v>1.0900000000000001</v>
      </c>
      <c r="AR1761">
        <v>1.1299999999999999</v>
      </c>
      <c r="AS1761" t="s">
        <v>21605</v>
      </c>
      <c r="AT1761" t="s">
        <v>3210</v>
      </c>
      <c r="AU1761" t="s">
        <v>177</v>
      </c>
      <c r="AV1761" t="s">
        <v>2334</v>
      </c>
      <c r="AW1761" t="s">
        <v>182</v>
      </c>
      <c r="AX1761">
        <v>0</v>
      </c>
      <c r="AY1761" t="s">
        <v>312</v>
      </c>
      <c r="AZ1761" t="s">
        <v>199</v>
      </c>
      <c r="BA1761" t="s">
        <v>313</v>
      </c>
      <c r="BB1761" t="s">
        <v>191</v>
      </c>
      <c r="BC1761" t="s">
        <v>182</v>
      </c>
      <c r="BD1761" t="s">
        <v>182</v>
      </c>
      <c r="BE1761" t="s">
        <v>16543</v>
      </c>
      <c r="BF1761">
        <v>0</v>
      </c>
      <c r="BG1761">
        <v>0</v>
      </c>
      <c r="BH1761">
        <v>0</v>
      </c>
      <c r="BI1761" t="s">
        <v>199</v>
      </c>
      <c r="BJ1761" t="s">
        <v>194</v>
      </c>
      <c r="BL1761" t="s">
        <v>21510</v>
      </c>
      <c r="BM1761" t="s">
        <v>267</v>
      </c>
      <c r="BN1761" t="s">
        <v>182</v>
      </c>
      <c r="BO1761" t="s">
        <v>198</v>
      </c>
      <c r="BP1761" t="s">
        <v>198</v>
      </c>
      <c r="BQ1761" t="s">
        <v>198</v>
      </c>
      <c r="BR1761" t="s">
        <v>198</v>
      </c>
      <c r="BS1761" t="s">
        <v>198</v>
      </c>
      <c r="BT1761" t="s">
        <v>198</v>
      </c>
      <c r="BU1761" t="s">
        <v>182</v>
      </c>
      <c r="BV1761" t="s">
        <v>198</v>
      </c>
      <c r="BW1761" t="s">
        <v>198</v>
      </c>
      <c r="BX1761" t="s">
        <v>199</v>
      </c>
      <c r="BY1761" t="s">
        <v>198</v>
      </c>
      <c r="BZ1761" t="s">
        <v>199</v>
      </c>
      <c r="CA1761" t="s">
        <v>199</v>
      </c>
      <c r="CB1761" t="s">
        <v>21463</v>
      </c>
      <c r="CC1761" t="s">
        <v>201</v>
      </c>
      <c r="CD1761" t="s">
        <v>182</v>
      </c>
      <c r="CE1761" t="s">
        <v>21464</v>
      </c>
      <c r="CF1761" t="s">
        <v>413</v>
      </c>
      <c r="CG1761" t="s">
        <v>177</v>
      </c>
      <c r="CH1761" t="s">
        <v>21465</v>
      </c>
      <c r="CI1761" t="s">
        <v>21606</v>
      </c>
      <c r="CJ1761" t="s">
        <v>18969</v>
      </c>
      <c r="CK1761" t="s">
        <v>232</v>
      </c>
      <c r="CL1761" t="s">
        <v>233</v>
      </c>
      <c r="CM1761" t="s">
        <v>5487</v>
      </c>
      <c r="CN1761" t="s">
        <v>235</v>
      </c>
      <c r="CO1761" t="s">
        <v>183</v>
      </c>
      <c r="CP1761" t="s">
        <v>266</v>
      </c>
      <c r="CS1761" t="s">
        <v>198</v>
      </c>
      <c r="CT1761" t="s">
        <v>7722</v>
      </c>
      <c r="CU1761" t="s">
        <v>292</v>
      </c>
      <c r="CV1761" t="s">
        <v>293</v>
      </c>
      <c r="CW1761" t="s">
        <v>10873</v>
      </c>
      <c r="CX1761" t="s">
        <v>387</v>
      </c>
      <c r="CY1761" t="s">
        <v>183</v>
      </c>
      <c r="CZ1761" t="s">
        <v>211</v>
      </c>
      <c r="DA1761" t="s">
        <v>250</v>
      </c>
      <c r="DC1761" t="s">
        <v>21481</v>
      </c>
      <c r="DD1761" t="s">
        <v>19565</v>
      </c>
      <c r="DE1761" t="s">
        <v>267</v>
      </c>
      <c r="DF1761" t="s">
        <v>268</v>
      </c>
      <c r="DG1761" t="s">
        <v>3821</v>
      </c>
      <c r="DH1761" t="s">
        <v>235</v>
      </c>
      <c r="DI1761" t="s">
        <v>183</v>
      </c>
      <c r="DJ1761" t="s">
        <v>211</v>
      </c>
      <c r="DK1761" t="s">
        <v>460</v>
      </c>
      <c r="DM1761" t="s">
        <v>21483</v>
      </c>
      <c r="DN1761" t="s">
        <v>3796</v>
      </c>
      <c r="DO1761" t="s">
        <v>238</v>
      </c>
      <c r="DP1761" t="s">
        <v>239</v>
      </c>
      <c r="DQ1761" t="s">
        <v>21551</v>
      </c>
      <c r="DR1761" t="s">
        <v>482</v>
      </c>
      <c r="DS1761" t="s">
        <v>183</v>
      </c>
      <c r="DT1761" t="s">
        <v>211</v>
      </c>
      <c r="DU1761" t="s">
        <v>199</v>
      </c>
      <c r="DW1761" t="s">
        <v>21471</v>
      </c>
      <c r="DX1761" t="s">
        <v>21607</v>
      </c>
      <c r="DY1761" t="s">
        <v>346</v>
      </c>
      <c r="DZ1761" t="s">
        <v>347</v>
      </c>
      <c r="EA1761" t="s">
        <v>14669</v>
      </c>
      <c r="EB1761" t="s">
        <v>1966</v>
      </c>
      <c r="EC1761" t="s">
        <v>183</v>
      </c>
      <c r="ED1761" t="s">
        <v>211</v>
      </c>
      <c r="EE1761" t="s">
        <v>427</v>
      </c>
      <c r="EG1761" t="s">
        <v>21471</v>
      </c>
      <c r="EH1761" t="s">
        <v>16756</v>
      </c>
      <c r="EI1761" t="s">
        <v>207</v>
      </c>
      <c r="EJ1761" t="s">
        <v>208</v>
      </c>
      <c r="EK1761" t="s">
        <v>21553</v>
      </c>
      <c r="EL1761" t="s">
        <v>519</v>
      </c>
      <c r="EM1761" t="s">
        <v>183</v>
      </c>
      <c r="EN1761" t="s">
        <v>211</v>
      </c>
      <c r="EO1761" t="s">
        <v>633</v>
      </c>
      <c r="EQ1761" t="s">
        <v>21471</v>
      </c>
      <c r="FA1761" t="s">
        <v>198</v>
      </c>
      <c r="FK1761" t="s">
        <v>198</v>
      </c>
      <c r="FU1761" t="s">
        <v>198</v>
      </c>
    </row>
    <row r="1762" spans="1:177">
      <c r="A1762" s="1" t="str">
        <f>HYPERLINK("http://digipan.lumentumllc.com/apps/getLink/index.php?t=PropLink&amp;p=5247747","PL")</f>
        <v>PL</v>
      </c>
      <c r="B1762" s="1" t="str">
        <f>HYPERLINK("http://digipan.lumentumllc.com/apps/getLink/index.php?t=TaxLink&amp;p=5247747","TL")</f>
        <v>TL</v>
      </c>
      <c r="C1762" s="1" t="str">
        <f>HYPERLINK("http://digipan.lumentumllc.com/apps/getMap/index.php?p=5247747","Map")</f>
        <v>Map</v>
      </c>
      <c r="E1762" t="s">
        <v>177</v>
      </c>
      <c r="F1762" t="s">
        <v>178</v>
      </c>
      <c r="L1762" t="s">
        <v>21608</v>
      </c>
      <c r="N1762" t="s">
        <v>21608</v>
      </c>
      <c r="O1762" t="s">
        <v>21608</v>
      </c>
      <c r="P1762" t="s">
        <v>21609</v>
      </c>
      <c r="Q1762" t="s">
        <v>21608</v>
      </c>
      <c r="V1762">
        <v>2012</v>
      </c>
      <c r="W1762">
        <v>7</v>
      </c>
      <c r="X1762">
        <v>2017</v>
      </c>
      <c r="Y1762">
        <v>2018</v>
      </c>
      <c r="Z1762">
        <v>525.4</v>
      </c>
      <c r="AB1762" t="s">
        <v>181</v>
      </c>
      <c r="AC1762" t="s">
        <v>182</v>
      </c>
      <c r="AD1762" t="s">
        <v>183</v>
      </c>
      <c r="AE1762">
        <v>1</v>
      </c>
      <c r="AF1762">
        <v>5</v>
      </c>
      <c r="AG1762" t="s">
        <v>951</v>
      </c>
      <c r="AH1762">
        <v>80</v>
      </c>
      <c r="AI1762">
        <v>517.12</v>
      </c>
      <c r="AJ1762">
        <v>25.86</v>
      </c>
      <c r="AK1762">
        <v>542.98</v>
      </c>
      <c r="AL1762">
        <v>48000</v>
      </c>
      <c r="AM1762">
        <v>48000</v>
      </c>
      <c r="AN1762">
        <v>0</v>
      </c>
      <c r="AO1762">
        <v>453</v>
      </c>
      <c r="AP1762">
        <v>2016</v>
      </c>
      <c r="AQ1762">
        <v>1.0900000000000001</v>
      </c>
      <c r="AR1762">
        <v>1.1299999999999999</v>
      </c>
      <c r="AS1762" t="s">
        <v>21461</v>
      </c>
      <c r="AT1762" t="s">
        <v>3210</v>
      </c>
      <c r="AU1762" t="s">
        <v>177</v>
      </c>
      <c r="AV1762" t="s">
        <v>2334</v>
      </c>
      <c r="AW1762" t="s">
        <v>182</v>
      </c>
      <c r="AX1762">
        <v>0</v>
      </c>
      <c r="AY1762" t="s">
        <v>312</v>
      </c>
      <c r="AZ1762" t="s">
        <v>199</v>
      </c>
      <c r="BA1762" t="s">
        <v>313</v>
      </c>
      <c r="BB1762" t="s">
        <v>191</v>
      </c>
      <c r="BC1762" t="s">
        <v>182</v>
      </c>
      <c r="BD1762" t="s">
        <v>182</v>
      </c>
      <c r="BE1762" t="s">
        <v>6523</v>
      </c>
      <c r="BF1762">
        <v>0</v>
      </c>
      <c r="BG1762">
        <v>0</v>
      </c>
      <c r="BH1762">
        <v>0</v>
      </c>
      <c r="BI1762" t="s">
        <v>199</v>
      </c>
      <c r="BJ1762" t="s">
        <v>315</v>
      </c>
      <c r="BL1762" t="s">
        <v>21510</v>
      </c>
      <c r="BM1762" t="s">
        <v>267</v>
      </c>
      <c r="BN1762" t="s">
        <v>182</v>
      </c>
      <c r="BO1762" t="s">
        <v>198</v>
      </c>
      <c r="BP1762" t="s">
        <v>198</v>
      </c>
      <c r="BQ1762" t="s">
        <v>198</v>
      </c>
      <c r="BR1762" t="s">
        <v>198</v>
      </c>
      <c r="BS1762" t="s">
        <v>198</v>
      </c>
      <c r="BT1762" t="s">
        <v>198</v>
      </c>
      <c r="BU1762" t="s">
        <v>182</v>
      </c>
      <c r="BV1762" t="s">
        <v>198</v>
      </c>
      <c r="BW1762" t="s">
        <v>198</v>
      </c>
      <c r="BX1762" t="s">
        <v>199</v>
      </c>
      <c r="BY1762" t="s">
        <v>198</v>
      </c>
      <c r="BZ1762" t="s">
        <v>199</v>
      </c>
      <c r="CA1762" t="s">
        <v>199</v>
      </c>
      <c r="CB1762" t="s">
        <v>21463</v>
      </c>
      <c r="CC1762" t="s">
        <v>201</v>
      </c>
      <c r="CD1762" t="s">
        <v>182</v>
      </c>
      <c r="CE1762" t="s">
        <v>21464</v>
      </c>
      <c r="CF1762" t="s">
        <v>413</v>
      </c>
      <c r="CG1762" t="s">
        <v>177</v>
      </c>
      <c r="CH1762" t="s">
        <v>21465</v>
      </c>
      <c r="CI1762" t="s">
        <v>20449</v>
      </c>
      <c r="CJ1762" t="s">
        <v>20220</v>
      </c>
      <c r="CK1762" t="s">
        <v>232</v>
      </c>
      <c r="CL1762" t="s">
        <v>233</v>
      </c>
      <c r="CM1762" t="s">
        <v>5487</v>
      </c>
      <c r="CN1762" t="s">
        <v>331</v>
      </c>
      <c r="CO1762" t="s">
        <v>183</v>
      </c>
      <c r="CP1762" t="s">
        <v>266</v>
      </c>
      <c r="CS1762" t="s">
        <v>198</v>
      </c>
      <c r="CT1762" t="s">
        <v>9926</v>
      </c>
      <c r="CU1762" t="s">
        <v>292</v>
      </c>
      <c r="CV1762" t="s">
        <v>293</v>
      </c>
      <c r="CW1762" t="s">
        <v>10873</v>
      </c>
      <c r="CX1762" t="s">
        <v>387</v>
      </c>
      <c r="CY1762" t="s">
        <v>183</v>
      </c>
      <c r="CZ1762" t="s">
        <v>211</v>
      </c>
      <c r="DA1762" t="s">
        <v>250</v>
      </c>
      <c r="DC1762" t="s">
        <v>21481</v>
      </c>
      <c r="DD1762" t="s">
        <v>13953</v>
      </c>
      <c r="DE1762" t="s">
        <v>267</v>
      </c>
      <c r="DF1762" t="s">
        <v>268</v>
      </c>
      <c r="DG1762" t="s">
        <v>3821</v>
      </c>
      <c r="DH1762" t="s">
        <v>235</v>
      </c>
      <c r="DI1762" t="s">
        <v>183</v>
      </c>
      <c r="DJ1762" t="s">
        <v>211</v>
      </c>
      <c r="DK1762" t="s">
        <v>460</v>
      </c>
      <c r="DM1762" t="s">
        <v>21483</v>
      </c>
      <c r="DN1762" t="s">
        <v>21610</v>
      </c>
      <c r="DO1762" t="s">
        <v>238</v>
      </c>
      <c r="DP1762" t="s">
        <v>239</v>
      </c>
      <c r="DQ1762" t="s">
        <v>21551</v>
      </c>
      <c r="DR1762" t="s">
        <v>482</v>
      </c>
      <c r="DS1762" t="s">
        <v>183</v>
      </c>
      <c r="DT1762" t="s">
        <v>211</v>
      </c>
      <c r="DU1762" t="s">
        <v>199</v>
      </c>
      <c r="DW1762" t="s">
        <v>21471</v>
      </c>
      <c r="DX1762" t="s">
        <v>17970</v>
      </c>
      <c r="DY1762" t="s">
        <v>346</v>
      </c>
      <c r="DZ1762" t="s">
        <v>347</v>
      </c>
      <c r="EA1762" t="s">
        <v>14669</v>
      </c>
      <c r="EB1762" t="s">
        <v>1966</v>
      </c>
      <c r="EC1762" t="s">
        <v>183</v>
      </c>
      <c r="ED1762" t="s">
        <v>211</v>
      </c>
      <c r="EE1762" t="s">
        <v>427</v>
      </c>
      <c r="EG1762" t="s">
        <v>21471</v>
      </c>
      <c r="EH1762" t="s">
        <v>20256</v>
      </c>
      <c r="EI1762" t="s">
        <v>207</v>
      </c>
      <c r="EJ1762" t="s">
        <v>208</v>
      </c>
      <c r="EK1762" t="s">
        <v>21553</v>
      </c>
      <c r="EL1762" t="s">
        <v>519</v>
      </c>
      <c r="EM1762" t="s">
        <v>183</v>
      </c>
      <c r="EN1762" t="s">
        <v>211</v>
      </c>
      <c r="EO1762" t="s">
        <v>633</v>
      </c>
      <c r="EQ1762" t="s">
        <v>21471</v>
      </c>
      <c r="FA1762" t="s">
        <v>198</v>
      </c>
      <c r="FK1762" t="s">
        <v>198</v>
      </c>
      <c r="FU1762" t="s">
        <v>198</v>
      </c>
    </row>
    <row r="1763" spans="1:177">
      <c r="A1763" s="1" t="str">
        <f>HYPERLINK("http://digipan.lumentumllc.com/apps/getLink/index.php?t=PropLink&amp;p=5247749","PL")</f>
        <v>PL</v>
      </c>
      <c r="B1763" s="1" t="str">
        <f>HYPERLINK("http://digipan.lumentumllc.com/apps/getLink/index.php?t=TaxLink&amp;p=5247749","TL")</f>
        <v>TL</v>
      </c>
      <c r="C1763" s="1" t="str">
        <f>HYPERLINK("http://digipan.lumentumllc.com/apps/getMap/index.php?p=5247749","Map")</f>
        <v>Map</v>
      </c>
      <c r="E1763" t="s">
        <v>177</v>
      </c>
      <c r="F1763" t="s">
        <v>178</v>
      </c>
      <c r="L1763" t="s">
        <v>21611</v>
      </c>
      <c r="N1763" t="s">
        <v>21611</v>
      </c>
      <c r="O1763" t="s">
        <v>21611</v>
      </c>
      <c r="P1763" t="s">
        <v>21612</v>
      </c>
      <c r="Q1763" t="s">
        <v>21611</v>
      </c>
      <c r="V1763">
        <v>2013</v>
      </c>
      <c r="W1763">
        <v>7</v>
      </c>
      <c r="X1763">
        <v>2017</v>
      </c>
      <c r="Y1763">
        <v>2018</v>
      </c>
      <c r="Z1763">
        <v>525.4</v>
      </c>
      <c r="AB1763" t="s">
        <v>181</v>
      </c>
      <c r="AC1763" t="s">
        <v>182</v>
      </c>
      <c r="AD1763" t="s">
        <v>183</v>
      </c>
      <c r="AE1763">
        <v>1</v>
      </c>
      <c r="AF1763">
        <v>5</v>
      </c>
      <c r="AG1763" t="s">
        <v>951</v>
      </c>
      <c r="AH1763">
        <v>80</v>
      </c>
      <c r="AI1763">
        <v>517.12</v>
      </c>
      <c r="AJ1763">
        <v>25.86</v>
      </c>
      <c r="AK1763">
        <v>542.98</v>
      </c>
      <c r="AL1763">
        <v>48000</v>
      </c>
      <c r="AM1763">
        <v>48000</v>
      </c>
      <c r="AN1763">
        <v>0</v>
      </c>
      <c r="AO1763">
        <v>453</v>
      </c>
      <c r="AP1763">
        <v>2016</v>
      </c>
      <c r="AQ1763">
        <v>1.0900000000000001</v>
      </c>
      <c r="AR1763">
        <v>1.1299999999999999</v>
      </c>
      <c r="AS1763" t="s">
        <v>21613</v>
      </c>
      <c r="AT1763" t="s">
        <v>3210</v>
      </c>
      <c r="AU1763" t="s">
        <v>177</v>
      </c>
      <c r="AV1763" t="s">
        <v>2334</v>
      </c>
      <c r="AW1763" t="s">
        <v>182</v>
      </c>
      <c r="AX1763">
        <v>0</v>
      </c>
      <c r="AY1763" t="s">
        <v>312</v>
      </c>
      <c r="AZ1763" t="s">
        <v>199</v>
      </c>
      <c r="BA1763" t="s">
        <v>313</v>
      </c>
      <c r="BB1763" t="s">
        <v>191</v>
      </c>
      <c r="BC1763" t="s">
        <v>182</v>
      </c>
      <c r="BD1763" t="s">
        <v>182</v>
      </c>
      <c r="BE1763" t="s">
        <v>235</v>
      </c>
      <c r="BF1763">
        <v>0</v>
      </c>
      <c r="BG1763">
        <v>0</v>
      </c>
      <c r="BH1763">
        <v>0</v>
      </c>
      <c r="BI1763" t="s">
        <v>199</v>
      </c>
      <c r="BJ1763" t="s">
        <v>194</v>
      </c>
      <c r="BL1763" t="s">
        <v>21510</v>
      </c>
      <c r="BM1763" t="s">
        <v>267</v>
      </c>
      <c r="BN1763" t="s">
        <v>182</v>
      </c>
      <c r="BO1763" t="s">
        <v>198</v>
      </c>
      <c r="BP1763" t="s">
        <v>198</v>
      </c>
      <c r="BQ1763" t="s">
        <v>198</v>
      </c>
      <c r="BR1763" t="s">
        <v>198</v>
      </c>
      <c r="BS1763" t="s">
        <v>198</v>
      </c>
      <c r="BT1763" t="s">
        <v>198</v>
      </c>
      <c r="BU1763" t="s">
        <v>182</v>
      </c>
      <c r="BV1763" t="s">
        <v>198</v>
      </c>
      <c r="BW1763" t="s">
        <v>198</v>
      </c>
      <c r="BX1763" t="s">
        <v>199</v>
      </c>
      <c r="BY1763" t="s">
        <v>198</v>
      </c>
      <c r="BZ1763" t="s">
        <v>199</v>
      </c>
      <c r="CA1763" t="s">
        <v>199</v>
      </c>
      <c r="CB1763" t="s">
        <v>21463</v>
      </c>
      <c r="CC1763" t="s">
        <v>201</v>
      </c>
      <c r="CD1763" t="s">
        <v>182</v>
      </c>
      <c r="CE1763" t="s">
        <v>21464</v>
      </c>
      <c r="CF1763" t="s">
        <v>413</v>
      </c>
      <c r="CG1763" t="s">
        <v>177</v>
      </c>
      <c r="CH1763" t="s">
        <v>21465</v>
      </c>
      <c r="CI1763" t="s">
        <v>13632</v>
      </c>
      <c r="CJ1763" t="s">
        <v>14580</v>
      </c>
      <c r="CK1763" t="s">
        <v>232</v>
      </c>
      <c r="CL1763" t="s">
        <v>233</v>
      </c>
      <c r="CM1763" t="s">
        <v>5487</v>
      </c>
      <c r="CN1763" t="s">
        <v>331</v>
      </c>
      <c r="CO1763" t="s">
        <v>183</v>
      </c>
      <c r="CP1763" t="s">
        <v>266</v>
      </c>
      <c r="CS1763" t="s">
        <v>198</v>
      </c>
      <c r="CT1763" t="s">
        <v>19263</v>
      </c>
      <c r="CU1763" t="s">
        <v>292</v>
      </c>
      <c r="CV1763" t="s">
        <v>293</v>
      </c>
      <c r="CW1763" t="s">
        <v>10873</v>
      </c>
      <c r="CX1763" t="s">
        <v>387</v>
      </c>
      <c r="CY1763" t="s">
        <v>183</v>
      </c>
      <c r="CZ1763" t="s">
        <v>211</v>
      </c>
      <c r="DA1763" t="s">
        <v>250</v>
      </c>
      <c r="DC1763" t="s">
        <v>21481</v>
      </c>
      <c r="DD1763" t="s">
        <v>14477</v>
      </c>
      <c r="DE1763" t="s">
        <v>267</v>
      </c>
      <c r="DF1763" t="s">
        <v>268</v>
      </c>
      <c r="DG1763" t="s">
        <v>3821</v>
      </c>
      <c r="DH1763" t="s">
        <v>235</v>
      </c>
      <c r="DI1763" t="s">
        <v>183</v>
      </c>
      <c r="DJ1763" t="s">
        <v>211</v>
      </c>
      <c r="DK1763" t="s">
        <v>460</v>
      </c>
      <c r="DM1763" t="s">
        <v>21483</v>
      </c>
      <c r="DN1763" t="s">
        <v>21614</v>
      </c>
      <c r="DO1763" t="s">
        <v>238</v>
      </c>
      <c r="DP1763" t="s">
        <v>239</v>
      </c>
      <c r="DQ1763" t="s">
        <v>21551</v>
      </c>
      <c r="DR1763" t="s">
        <v>482</v>
      </c>
      <c r="DS1763" t="s">
        <v>183</v>
      </c>
      <c r="DT1763" t="s">
        <v>211</v>
      </c>
      <c r="DU1763" t="s">
        <v>199</v>
      </c>
      <c r="DW1763" t="s">
        <v>21471</v>
      </c>
      <c r="DX1763" t="s">
        <v>21615</v>
      </c>
      <c r="DY1763" t="s">
        <v>346</v>
      </c>
      <c r="DZ1763" t="s">
        <v>347</v>
      </c>
      <c r="EA1763" t="s">
        <v>14669</v>
      </c>
      <c r="EB1763" t="s">
        <v>1966</v>
      </c>
      <c r="EC1763" t="s">
        <v>183</v>
      </c>
      <c r="ED1763" t="s">
        <v>211</v>
      </c>
      <c r="EE1763" t="s">
        <v>427</v>
      </c>
      <c r="EG1763" t="s">
        <v>21471</v>
      </c>
      <c r="EH1763" t="s">
        <v>13518</v>
      </c>
      <c r="EI1763" t="s">
        <v>207</v>
      </c>
      <c r="EJ1763" t="s">
        <v>208</v>
      </c>
      <c r="EK1763" t="s">
        <v>21553</v>
      </c>
      <c r="EL1763" t="s">
        <v>519</v>
      </c>
      <c r="EM1763" t="s">
        <v>183</v>
      </c>
      <c r="EN1763" t="s">
        <v>211</v>
      </c>
      <c r="EO1763" t="s">
        <v>633</v>
      </c>
      <c r="EQ1763" t="s">
        <v>21471</v>
      </c>
      <c r="FA1763" t="s">
        <v>198</v>
      </c>
      <c r="FK1763" t="s">
        <v>198</v>
      </c>
      <c r="FU1763" t="s">
        <v>198</v>
      </c>
    </row>
    <row r="1764" spans="1:177">
      <c r="A1764" s="1" t="str">
        <f>HYPERLINK("http://digipan.lumentumllc.com/apps/getLink/index.php?t=PropLink&amp;p=5247751","PL")</f>
        <v>PL</v>
      </c>
      <c r="B1764" s="1" t="str">
        <f>HYPERLINK("http://digipan.lumentumllc.com/apps/getLink/index.php?t=TaxLink&amp;p=5247751","TL")</f>
        <v>TL</v>
      </c>
      <c r="C1764" s="1" t="str">
        <f>HYPERLINK("http://digipan.lumentumllc.com/apps/getMap/index.php?p=5247751","Map")</f>
        <v>Map</v>
      </c>
      <c r="E1764" t="s">
        <v>177</v>
      </c>
      <c r="F1764" t="s">
        <v>178</v>
      </c>
      <c r="L1764" t="s">
        <v>21616</v>
      </c>
      <c r="N1764" t="s">
        <v>21616</v>
      </c>
      <c r="O1764" t="s">
        <v>21616</v>
      </c>
      <c r="P1764" t="s">
        <v>21617</v>
      </c>
      <c r="Q1764" t="s">
        <v>21616</v>
      </c>
      <c r="V1764">
        <v>2014</v>
      </c>
      <c r="W1764">
        <v>7</v>
      </c>
      <c r="X1764">
        <v>2017</v>
      </c>
      <c r="Y1764">
        <v>2018</v>
      </c>
      <c r="Z1764">
        <v>525.4</v>
      </c>
      <c r="AB1764" t="s">
        <v>181</v>
      </c>
      <c r="AC1764" t="s">
        <v>182</v>
      </c>
      <c r="AD1764" t="s">
        <v>183</v>
      </c>
      <c r="AE1764">
        <v>1</v>
      </c>
      <c r="AF1764">
        <v>5</v>
      </c>
      <c r="AG1764" t="s">
        <v>951</v>
      </c>
      <c r="AH1764">
        <v>80</v>
      </c>
      <c r="AI1764">
        <v>517.12</v>
      </c>
      <c r="AJ1764">
        <v>25.86</v>
      </c>
      <c r="AK1764">
        <v>542.98</v>
      </c>
      <c r="AL1764">
        <v>48000</v>
      </c>
      <c r="AM1764">
        <v>48000</v>
      </c>
      <c r="AN1764">
        <v>0</v>
      </c>
      <c r="AO1764">
        <v>453</v>
      </c>
      <c r="AP1764">
        <v>2016</v>
      </c>
      <c r="AQ1764">
        <v>1.0900000000000001</v>
      </c>
      <c r="AR1764">
        <v>1.1299999999999999</v>
      </c>
      <c r="AS1764" t="s">
        <v>21618</v>
      </c>
      <c r="AT1764" t="s">
        <v>3210</v>
      </c>
      <c r="AU1764" t="s">
        <v>177</v>
      </c>
      <c r="AV1764" t="s">
        <v>2334</v>
      </c>
      <c r="AW1764" t="s">
        <v>182</v>
      </c>
      <c r="AX1764">
        <v>0</v>
      </c>
      <c r="AY1764" t="s">
        <v>312</v>
      </c>
      <c r="AZ1764" t="s">
        <v>199</v>
      </c>
      <c r="BA1764" t="s">
        <v>313</v>
      </c>
      <c r="BB1764" t="s">
        <v>191</v>
      </c>
      <c r="BC1764" t="s">
        <v>182</v>
      </c>
      <c r="BD1764" t="s">
        <v>182</v>
      </c>
      <c r="BE1764" t="s">
        <v>7188</v>
      </c>
      <c r="BF1764">
        <v>0</v>
      </c>
      <c r="BG1764">
        <v>0</v>
      </c>
      <c r="BH1764">
        <v>0</v>
      </c>
      <c r="BI1764" t="s">
        <v>199</v>
      </c>
      <c r="BJ1764" t="s">
        <v>194</v>
      </c>
      <c r="BL1764" t="s">
        <v>21510</v>
      </c>
      <c r="BM1764" t="s">
        <v>267</v>
      </c>
      <c r="BN1764" t="s">
        <v>182</v>
      </c>
      <c r="BO1764" t="s">
        <v>198</v>
      </c>
      <c r="BP1764" t="s">
        <v>198</v>
      </c>
      <c r="BQ1764" t="s">
        <v>198</v>
      </c>
      <c r="BR1764" t="s">
        <v>198</v>
      </c>
      <c r="BS1764" t="s">
        <v>198</v>
      </c>
      <c r="BT1764" t="s">
        <v>198</v>
      </c>
      <c r="BU1764" t="s">
        <v>182</v>
      </c>
      <c r="BV1764" t="s">
        <v>198</v>
      </c>
      <c r="BW1764" t="s">
        <v>198</v>
      </c>
      <c r="BX1764" t="s">
        <v>199</v>
      </c>
      <c r="BY1764" t="s">
        <v>198</v>
      </c>
      <c r="BZ1764" t="s">
        <v>199</v>
      </c>
      <c r="CA1764" t="s">
        <v>199</v>
      </c>
      <c r="CB1764" t="s">
        <v>21463</v>
      </c>
      <c r="CC1764" t="s">
        <v>201</v>
      </c>
      <c r="CD1764" t="s">
        <v>182</v>
      </c>
      <c r="CE1764" t="s">
        <v>21464</v>
      </c>
      <c r="CF1764" t="s">
        <v>413</v>
      </c>
      <c r="CG1764" t="s">
        <v>177</v>
      </c>
      <c r="CH1764" t="s">
        <v>21465</v>
      </c>
      <c r="CI1764" t="s">
        <v>21619</v>
      </c>
      <c r="CJ1764" t="s">
        <v>19017</v>
      </c>
      <c r="CK1764" t="s">
        <v>232</v>
      </c>
      <c r="CL1764" t="s">
        <v>233</v>
      </c>
      <c r="CM1764" t="s">
        <v>5487</v>
      </c>
      <c r="CN1764" t="s">
        <v>331</v>
      </c>
      <c r="CO1764" t="s">
        <v>183</v>
      </c>
      <c r="CP1764" t="s">
        <v>266</v>
      </c>
      <c r="CS1764" t="s">
        <v>198</v>
      </c>
      <c r="CT1764" t="s">
        <v>15598</v>
      </c>
      <c r="CU1764" t="s">
        <v>292</v>
      </c>
      <c r="CV1764" t="s">
        <v>293</v>
      </c>
      <c r="CW1764" t="s">
        <v>10873</v>
      </c>
      <c r="CX1764" t="s">
        <v>387</v>
      </c>
      <c r="CY1764" t="s">
        <v>183</v>
      </c>
      <c r="CZ1764" t="s">
        <v>211</v>
      </c>
      <c r="DA1764" t="s">
        <v>250</v>
      </c>
      <c r="DC1764" t="s">
        <v>21481</v>
      </c>
      <c r="DD1764" t="s">
        <v>11767</v>
      </c>
      <c r="DE1764" t="s">
        <v>267</v>
      </c>
      <c r="DF1764" t="s">
        <v>268</v>
      </c>
      <c r="DG1764" t="s">
        <v>3821</v>
      </c>
      <c r="DH1764" t="s">
        <v>235</v>
      </c>
      <c r="DI1764" t="s">
        <v>183</v>
      </c>
      <c r="DJ1764" t="s">
        <v>211</v>
      </c>
      <c r="DK1764" t="s">
        <v>460</v>
      </c>
      <c r="DM1764" t="s">
        <v>21483</v>
      </c>
      <c r="DN1764" t="s">
        <v>19448</v>
      </c>
      <c r="DO1764" t="s">
        <v>238</v>
      </c>
      <c r="DP1764" t="s">
        <v>239</v>
      </c>
      <c r="DQ1764" t="s">
        <v>21551</v>
      </c>
      <c r="DR1764" t="s">
        <v>482</v>
      </c>
      <c r="DS1764" t="s">
        <v>183</v>
      </c>
      <c r="DT1764" t="s">
        <v>211</v>
      </c>
      <c r="DU1764" t="s">
        <v>199</v>
      </c>
      <c r="DW1764" t="s">
        <v>21471</v>
      </c>
      <c r="DX1764" t="s">
        <v>14054</v>
      </c>
      <c r="DY1764" t="s">
        <v>346</v>
      </c>
      <c r="DZ1764" t="s">
        <v>347</v>
      </c>
      <c r="EA1764" t="s">
        <v>14669</v>
      </c>
      <c r="EB1764" t="s">
        <v>1966</v>
      </c>
      <c r="EC1764" t="s">
        <v>183</v>
      </c>
      <c r="ED1764" t="s">
        <v>211</v>
      </c>
      <c r="EE1764" t="s">
        <v>427</v>
      </c>
      <c r="EG1764" t="s">
        <v>21471</v>
      </c>
      <c r="EH1764" t="s">
        <v>21620</v>
      </c>
      <c r="EI1764" t="s">
        <v>207</v>
      </c>
      <c r="EJ1764" t="s">
        <v>208</v>
      </c>
      <c r="EK1764" t="s">
        <v>21553</v>
      </c>
      <c r="EL1764" t="s">
        <v>519</v>
      </c>
      <c r="EM1764" t="s">
        <v>183</v>
      </c>
      <c r="EN1764" t="s">
        <v>211</v>
      </c>
      <c r="EO1764" t="s">
        <v>633</v>
      </c>
      <c r="EQ1764" t="s">
        <v>21471</v>
      </c>
      <c r="FA1764" t="s">
        <v>198</v>
      </c>
      <c r="FK1764" t="s">
        <v>198</v>
      </c>
      <c r="FU1764" t="s">
        <v>198</v>
      </c>
    </row>
    <row r="1765" spans="1:177">
      <c r="A1765" s="1" t="str">
        <f>HYPERLINK("http://digipan.lumentumllc.com/apps/getLink/index.php?t=PropLink&amp;p=5247755","PL")</f>
        <v>PL</v>
      </c>
      <c r="B1765" s="1" t="str">
        <f>HYPERLINK("http://digipan.lumentumllc.com/apps/getLink/index.php?t=TaxLink&amp;p=5247755","TL")</f>
        <v>TL</v>
      </c>
      <c r="C1765" s="1" t="str">
        <f>HYPERLINK("http://digipan.lumentumllc.com/apps/getMap/index.php?p=5247755","Map")</f>
        <v>Map</v>
      </c>
      <c r="E1765" t="s">
        <v>177</v>
      </c>
      <c r="F1765" t="s">
        <v>178</v>
      </c>
      <c r="L1765" t="s">
        <v>21621</v>
      </c>
      <c r="N1765" t="s">
        <v>21621</v>
      </c>
      <c r="O1765" t="s">
        <v>21621</v>
      </c>
      <c r="P1765" t="s">
        <v>21622</v>
      </c>
      <c r="Q1765" t="s">
        <v>21621</v>
      </c>
      <c r="V1765">
        <v>2015</v>
      </c>
      <c r="W1765">
        <v>7</v>
      </c>
      <c r="X1765">
        <v>2017</v>
      </c>
      <c r="Y1765">
        <v>2018</v>
      </c>
      <c r="Z1765">
        <v>525.4</v>
      </c>
      <c r="AB1765" t="s">
        <v>181</v>
      </c>
      <c r="AC1765" t="s">
        <v>182</v>
      </c>
      <c r="AD1765" t="s">
        <v>183</v>
      </c>
      <c r="AE1765">
        <v>1</v>
      </c>
      <c r="AF1765">
        <v>5</v>
      </c>
      <c r="AG1765" t="s">
        <v>951</v>
      </c>
      <c r="AH1765">
        <v>80</v>
      </c>
      <c r="AI1765">
        <v>517.12</v>
      </c>
      <c r="AJ1765">
        <v>25.86</v>
      </c>
      <c r="AK1765">
        <v>542.98</v>
      </c>
      <c r="AL1765">
        <v>48000</v>
      </c>
      <c r="AM1765">
        <v>48000</v>
      </c>
      <c r="AN1765">
        <v>0</v>
      </c>
      <c r="AO1765">
        <v>453</v>
      </c>
      <c r="AP1765">
        <v>2016</v>
      </c>
      <c r="AQ1765">
        <v>1.0900000000000001</v>
      </c>
      <c r="AR1765">
        <v>1.1299999999999999</v>
      </c>
      <c r="AS1765" t="s">
        <v>21623</v>
      </c>
      <c r="AT1765" t="s">
        <v>3210</v>
      </c>
      <c r="AU1765" t="s">
        <v>177</v>
      </c>
      <c r="AV1765" t="s">
        <v>2334</v>
      </c>
      <c r="AW1765" t="s">
        <v>182</v>
      </c>
      <c r="AX1765">
        <v>0</v>
      </c>
      <c r="AY1765" t="s">
        <v>312</v>
      </c>
      <c r="AZ1765" t="s">
        <v>199</v>
      </c>
      <c r="BA1765" t="s">
        <v>313</v>
      </c>
      <c r="BB1765" t="s">
        <v>191</v>
      </c>
      <c r="BC1765" t="s">
        <v>182</v>
      </c>
      <c r="BD1765" t="s">
        <v>182</v>
      </c>
      <c r="BE1765" t="s">
        <v>6523</v>
      </c>
      <c r="BF1765">
        <v>0</v>
      </c>
      <c r="BG1765">
        <v>0</v>
      </c>
      <c r="BH1765">
        <v>0</v>
      </c>
      <c r="BI1765" t="s">
        <v>199</v>
      </c>
      <c r="BJ1765" t="s">
        <v>194</v>
      </c>
      <c r="BL1765" t="s">
        <v>21510</v>
      </c>
      <c r="BM1765" t="s">
        <v>267</v>
      </c>
      <c r="BN1765" t="s">
        <v>182</v>
      </c>
      <c r="BO1765" t="s">
        <v>198</v>
      </c>
      <c r="BP1765" t="s">
        <v>198</v>
      </c>
      <c r="BQ1765" t="s">
        <v>198</v>
      </c>
      <c r="BR1765" t="s">
        <v>198</v>
      </c>
      <c r="BS1765" t="s">
        <v>198</v>
      </c>
      <c r="BT1765" t="s">
        <v>198</v>
      </c>
      <c r="BU1765" t="s">
        <v>182</v>
      </c>
      <c r="BV1765" t="s">
        <v>198</v>
      </c>
      <c r="BW1765" t="s">
        <v>198</v>
      </c>
      <c r="BX1765" t="s">
        <v>199</v>
      </c>
      <c r="BY1765" t="s">
        <v>198</v>
      </c>
      <c r="BZ1765" t="s">
        <v>199</v>
      </c>
      <c r="CA1765" t="s">
        <v>199</v>
      </c>
      <c r="CB1765" t="s">
        <v>21463</v>
      </c>
      <c r="CC1765" t="s">
        <v>201</v>
      </c>
      <c r="CD1765" t="s">
        <v>182</v>
      </c>
      <c r="CE1765" t="s">
        <v>21464</v>
      </c>
      <c r="CF1765" t="s">
        <v>413</v>
      </c>
      <c r="CG1765" t="s">
        <v>177</v>
      </c>
      <c r="CH1765" t="s">
        <v>21465</v>
      </c>
      <c r="CI1765" t="s">
        <v>21624</v>
      </c>
      <c r="CJ1765" t="s">
        <v>9926</v>
      </c>
      <c r="CK1765" t="s">
        <v>232</v>
      </c>
      <c r="CL1765" t="s">
        <v>233</v>
      </c>
      <c r="CM1765" t="s">
        <v>5487</v>
      </c>
      <c r="CN1765" t="s">
        <v>331</v>
      </c>
      <c r="CO1765" t="s">
        <v>183</v>
      </c>
      <c r="CP1765" t="s">
        <v>266</v>
      </c>
      <c r="CS1765" t="s">
        <v>198</v>
      </c>
      <c r="CT1765" t="s">
        <v>19061</v>
      </c>
      <c r="CU1765" t="s">
        <v>292</v>
      </c>
      <c r="CV1765" t="s">
        <v>293</v>
      </c>
      <c r="CW1765" t="s">
        <v>10873</v>
      </c>
      <c r="CX1765" t="s">
        <v>387</v>
      </c>
      <c r="CY1765" t="s">
        <v>183</v>
      </c>
      <c r="CZ1765" t="s">
        <v>211</v>
      </c>
      <c r="DA1765" t="s">
        <v>250</v>
      </c>
      <c r="DC1765" t="s">
        <v>21481</v>
      </c>
      <c r="DD1765" t="s">
        <v>11791</v>
      </c>
      <c r="DE1765" t="s">
        <v>267</v>
      </c>
      <c r="DF1765" t="s">
        <v>268</v>
      </c>
      <c r="DG1765" t="s">
        <v>3821</v>
      </c>
      <c r="DH1765" t="s">
        <v>235</v>
      </c>
      <c r="DI1765" t="s">
        <v>183</v>
      </c>
      <c r="DJ1765" t="s">
        <v>211</v>
      </c>
      <c r="DK1765" t="s">
        <v>460</v>
      </c>
      <c r="DM1765" t="s">
        <v>21483</v>
      </c>
      <c r="DN1765" t="s">
        <v>6219</v>
      </c>
      <c r="DO1765" t="s">
        <v>238</v>
      </c>
      <c r="DP1765" t="s">
        <v>239</v>
      </c>
      <c r="DQ1765" t="s">
        <v>21551</v>
      </c>
      <c r="DR1765" t="s">
        <v>482</v>
      </c>
      <c r="DS1765" t="s">
        <v>183</v>
      </c>
      <c r="DT1765" t="s">
        <v>211</v>
      </c>
      <c r="DU1765" t="s">
        <v>199</v>
      </c>
      <c r="DW1765" t="s">
        <v>21471</v>
      </c>
      <c r="DX1765" t="s">
        <v>17956</v>
      </c>
      <c r="DY1765" t="s">
        <v>346</v>
      </c>
      <c r="DZ1765" t="s">
        <v>347</v>
      </c>
      <c r="EA1765" t="s">
        <v>14669</v>
      </c>
      <c r="EB1765" t="s">
        <v>1966</v>
      </c>
      <c r="EC1765" t="s">
        <v>183</v>
      </c>
      <c r="ED1765" t="s">
        <v>211</v>
      </c>
      <c r="EE1765" t="s">
        <v>427</v>
      </c>
      <c r="EG1765" t="s">
        <v>21471</v>
      </c>
      <c r="EH1765" t="s">
        <v>16824</v>
      </c>
      <c r="EI1765" t="s">
        <v>207</v>
      </c>
      <c r="EJ1765" t="s">
        <v>208</v>
      </c>
      <c r="EK1765" t="s">
        <v>21553</v>
      </c>
      <c r="EL1765" t="s">
        <v>519</v>
      </c>
      <c r="EM1765" t="s">
        <v>183</v>
      </c>
      <c r="EN1765" t="s">
        <v>211</v>
      </c>
      <c r="EO1765" t="s">
        <v>633</v>
      </c>
      <c r="EQ1765" t="s">
        <v>21471</v>
      </c>
      <c r="FA1765" t="s">
        <v>198</v>
      </c>
      <c r="FK1765" t="s">
        <v>198</v>
      </c>
      <c r="FU1765" t="s">
        <v>198</v>
      </c>
    </row>
    <row r="1766" spans="1:177">
      <c r="A1766" s="1" t="str">
        <f>HYPERLINK("http://digipan.lumentumllc.com/apps/getLink/index.php?t=PropLink&amp;p=5247756","PL")</f>
        <v>PL</v>
      </c>
      <c r="B1766" s="1" t="str">
        <f>HYPERLINK("http://digipan.lumentumllc.com/apps/getLink/index.php?t=TaxLink&amp;p=5247756","TL")</f>
        <v>TL</v>
      </c>
      <c r="C1766" s="1" t="str">
        <f>HYPERLINK("http://digipan.lumentumllc.com/apps/getMap/index.php?p=5247756","Map")</f>
        <v>Map</v>
      </c>
      <c r="E1766" t="s">
        <v>177</v>
      </c>
      <c r="F1766" t="s">
        <v>178</v>
      </c>
      <c r="L1766" t="s">
        <v>21625</v>
      </c>
      <c r="N1766" t="s">
        <v>21625</v>
      </c>
      <c r="O1766" t="s">
        <v>21625</v>
      </c>
      <c r="P1766" t="s">
        <v>21626</v>
      </c>
      <c r="Q1766" t="s">
        <v>21625</v>
      </c>
      <c r="V1766">
        <v>2016</v>
      </c>
      <c r="W1766">
        <v>7</v>
      </c>
      <c r="X1766">
        <v>2017</v>
      </c>
      <c r="Y1766">
        <v>2018</v>
      </c>
      <c r="Z1766">
        <v>525.4</v>
      </c>
      <c r="AB1766" t="s">
        <v>181</v>
      </c>
      <c r="AC1766" t="s">
        <v>182</v>
      </c>
      <c r="AD1766" t="s">
        <v>183</v>
      </c>
      <c r="AE1766">
        <v>1</v>
      </c>
      <c r="AF1766">
        <v>5</v>
      </c>
      <c r="AG1766" t="s">
        <v>951</v>
      </c>
      <c r="AH1766">
        <v>80</v>
      </c>
      <c r="AI1766">
        <v>517.12</v>
      </c>
      <c r="AJ1766">
        <v>25.86</v>
      </c>
      <c r="AK1766">
        <v>542.98</v>
      </c>
      <c r="AL1766">
        <v>48000</v>
      </c>
      <c r="AM1766">
        <v>48000</v>
      </c>
      <c r="AN1766">
        <v>0</v>
      </c>
      <c r="AO1766">
        <v>453</v>
      </c>
      <c r="AP1766">
        <v>2016</v>
      </c>
      <c r="AQ1766">
        <v>1.0900000000000001</v>
      </c>
      <c r="AR1766">
        <v>1.1299999999999999</v>
      </c>
      <c r="AS1766" t="s">
        <v>21627</v>
      </c>
      <c r="AT1766" t="s">
        <v>3210</v>
      </c>
      <c r="AU1766" t="s">
        <v>177</v>
      </c>
      <c r="AV1766" t="s">
        <v>2334</v>
      </c>
      <c r="AW1766" t="s">
        <v>182</v>
      </c>
      <c r="AX1766">
        <v>0</v>
      </c>
      <c r="AY1766" t="s">
        <v>312</v>
      </c>
      <c r="AZ1766" t="s">
        <v>199</v>
      </c>
      <c r="BA1766" t="s">
        <v>313</v>
      </c>
      <c r="BB1766" t="s">
        <v>191</v>
      </c>
      <c r="BC1766" t="s">
        <v>182</v>
      </c>
      <c r="BD1766" t="s">
        <v>182</v>
      </c>
      <c r="BE1766" t="s">
        <v>7407</v>
      </c>
      <c r="BF1766">
        <v>0</v>
      </c>
      <c r="BG1766">
        <v>0</v>
      </c>
      <c r="BH1766">
        <v>0</v>
      </c>
      <c r="BI1766" t="s">
        <v>199</v>
      </c>
      <c r="BJ1766" t="s">
        <v>194</v>
      </c>
      <c r="BL1766" t="s">
        <v>21510</v>
      </c>
      <c r="BM1766" t="s">
        <v>267</v>
      </c>
      <c r="BN1766" t="s">
        <v>182</v>
      </c>
      <c r="BO1766" t="s">
        <v>198</v>
      </c>
      <c r="BP1766" t="s">
        <v>198</v>
      </c>
      <c r="BQ1766" t="s">
        <v>198</v>
      </c>
      <c r="BR1766" t="s">
        <v>198</v>
      </c>
      <c r="BS1766" t="s">
        <v>198</v>
      </c>
      <c r="BT1766" t="s">
        <v>198</v>
      </c>
      <c r="BU1766" t="s">
        <v>182</v>
      </c>
      <c r="BV1766" t="s">
        <v>198</v>
      </c>
      <c r="BW1766" t="s">
        <v>198</v>
      </c>
      <c r="BX1766" t="s">
        <v>199</v>
      </c>
      <c r="BY1766" t="s">
        <v>198</v>
      </c>
      <c r="BZ1766" t="s">
        <v>199</v>
      </c>
      <c r="CA1766" t="s">
        <v>199</v>
      </c>
      <c r="CB1766" t="s">
        <v>21463</v>
      </c>
      <c r="CC1766" t="s">
        <v>201</v>
      </c>
      <c r="CD1766" t="s">
        <v>182</v>
      </c>
      <c r="CE1766" t="s">
        <v>21464</v>
      </c>
      <c r="CF1766" t="s">
        <v>413</v>
      </c>
      <c r="CG1766" t="s">
        <v>177</v>
      </c>
      <c r="CH1766" t="s">
        <v>21465</v>
      </c>
      <c r="CI1766" t="s">
        <v>21628</v>
      </c>
      <c r="CJ1766" t="s">
        <v>19263</v>
      </c>
      <c r="CK1766" t="s">
        <v>232</v>
      </c>
      <c r="CL1766" t="s">
        <v>233</v>
      </c>
      <c r="CM1766" t="s">
        <v>5487</v>
      </c>
      <c r="CN1766" t="s">
        <v>331</v>
      </c>
      <c r="CO1766" t="s">
        <v>183</v>
      </c>
      <c r="CP1766" t="s">
        <v>266</v>
      </c>
      <c r="CS1766" t="s">
        <v>198</v>
      </c>
      <c r="CT1766" t="s">
        <v>11810</v>
      </c>
      <c r="CU1766" t="s">
        <v>292</v>
      </c>
      <c r="CV1766" t="s">
        <v>293</v>
      </c>
      <c r="CW1766" t="s">
        <v>10873</v>
      </c>
      <c r="CX1766" t="s">
        <v>387</v>
      </c>
      <c r="CY1766" t="s">
        <v>183</v>
      </c>
      <c r="CZ1766" t="s">
        <v>211</v>
      </c>
      <c r="DA1766" t="s">
        <v>250</v>
      </c>
      <c r="DC1766" t="s">
        <v>21481</v>
      </c>
      <c r="DD1766" t="s">
        <v>7653</v>
      </c>
      <c r="DE1766" t="s">
        <v>267</v>
      </c>
      <c r="DF1766" t="s">
        <v>268</v>
      </c>
      <c r="DG1766" t="s">
        <v>3821</v>
      </c>
      <c r="DH1766" t="s">
        <v>235</v>
      </c>
      <c r="DI1766" t="s">
        <v>183</v>
      </c>
      <c r="DJ1766" t="s">
        <v>211</v>
      </c>
      <c r="DK1766" t="s">
        <v>460</v>
      </c>
      <c r="DM1766" t="s">
        <v>21483</v>
      </c>
      <c r="DN1766" t="s">
        <v>20954</v>
      </c>
      <c r="DO1766" t="s">
        <v>238</v>
      </c>
      <c r="DP1766" t="s">
        <v>239</v>
      </c>
      <c r="DQ1766" t="s">
        <v>21551</v>
      </c>
      <c r="DR1766" t="s">
        <v>482</v>
      </c>
      <c r="DS1766" t="s">
        <v>183</v>
      </c>
      <c r="DT1766" t="s">
        <v>211</v>
      </c>
      <c r="DU1766" t="s">
        <v>199</v>
      </c>
      <c r="DW1766" t="s">
        <v>21471</v>
      </c>
      <c r="DX1766" t="s">
        <v>13575</v>
      </c>
      <c r="DY1766" t="s">
        <v>346</v>
      </c>
      <c r="DZ1766" t="s">
        <v>347</v>
      </c>
      <c r="EA1766" t="s">
        <v>14669</v>
      </c>
      <c r="EB1766" t="s">
        <v>1966</v>
      </c>
      <c r="EC1766" t="s">
        <v>183</v>
      </c>
      <c r="ED1766" t="s">
        <v>211</v>
      </c>
      <c r="EE1766" t="s">
        <v>427</v>
      </c>
      <c r="EG1766" t="s">
        <v>21471</v>
      </c>
      <c r="EH1766" t="s">
        <v>16838</v>
      </c>
      <c r="EI1766" t="s">
        <v>207</v>
      </c>
      <c r="EJ1766" t="s">
        <v>208</v>
      </c>
      <c r="EK1766" t="s">
        <v>21553</v>
      </c>
      <c r="EL1766" t="s">
        <v>519</v>
      </c>
      <c r="EM1766" t="s">
        <v>183</v>
      </c>
      <c r="EN1766" t="s">
        <v>211</v>
      </c>
      <c r="EO1766" t="s">
        <v>633</v>
      </c>
      <c r="EQ1766" t="s">
        <v>21471</v>
      </c>
      <c r="FA1766" t="s">
        <v>198</v>
      </c>
      <c r="FK1766" t="s">
        <v>198</v>
      </c>
      <c r="FU1766" t="s">
        <v>198</v>
      </c>
    </row>
    <row r="1767" spans="1:177">
      <c r="A1767" s="1" t="str">
        <f>HYPERLINK("http://digipan.lumentumllc.com/apps/getLink/index.php?t=PropLink&amp;p=5247757","PL")</f>
        <v>PL</v>
      </c>
      <c r="B1767" s="1" t="str">
        <f>HYPERLINK("http://digipan.lumentumllc.com/apps/getLink/index.php?t=TaxLink&amp;p=5247757","TL")</f>
        <v>TL</v>
      </c>
      <c r="C1767" s="1" t="str">
        <f>HYPERLINK("http://digipan.lumentumllc.com/apps/getMap/index.php?p=5247757","Map")</f>
        <v>Map</v>
      </c>
      <c r="E1767" t="s">
        <v>177</v>
      </c>
      <c r="F1767" t="s">
        <v>178</v>
      </c>
      <c r="L1767" t="s">
        <v>21629</v>
      </c>
      <c r="N1767" t="s">
        <v>21629</v>
      </c>
      <c r="O1767" t="s">
        <v>21629</v>
      </c>
      <c r="P1767" t="s">
        <v>21630</v>
      </c>
      <c r="Q1767" t="s">
        <v>21629</v>
      </c>
      <c r="V1767">
        <v>2017</v>
      </c>
      <c r="W1767">
        <v>7</v>
      </c>
      <c r="X1767">
        <v>2017</v>
      </c>
      <c r="Y1767">
        <v>2018</v>
      </c>
      <c r="Z1767">
        <v>525.4</v>
      </c>
      <c r="AB1767" t="s">
        <v>181</v>
      </c>
      <c r="AC1767" t="s">
        <v>182</v>
      </c>
      <c r="AD1767" t="s">
        <v>183</v>
      </c>
      <c r="AE1767">
        <v>1</v>
      </c>
      <c r="AF1767">
        <v>5</v>
      </c>
      <c r="AG1767" t="s">
        <v>951</v>
      </c>
      <c r="AH1767">
        <v>80</v>
      </c>
      <c r="AI1767">
        <v>517.12</v>
      </c>
      <c r="AJ1767">
        <v>25.86</v>
      </c>
      <c r="AK1767">
        <v>542.98</v>
      </c>
      <c r="AL1767">
        <v>48000</v>
      </c>
      <c r="AM1767">
        <v>48000</v>
      </c>
      <c r="AN1767">
        <v>0</v>
      </c>
      <c r="AO1767">
        <v>453</v>
      </c>
      <c r="AP1767">
        <v>2016</v>
      </c>
      <c r="AQ1767">
        <v>1.0900000000000001</v>
      </c>
      <c r="AR1767">
        <v>1.1299999999999999</v>
      </c>
      <c r="AS1767" t="s">
        <v>21631</v>
      </c>
      <c r="AT1767" t="s">
        <v>3210</v>
      </c>
      <c r="AU1767" t="s">
        <v>177</v>
      </c>
      <c r="AV1767" t="s">
        <v>2334</v>
      </c>
      <c r="AW1767" t="s">
        <v>182</v>
      </c>
      <c r="AX1767">
        <v>0</v>
      </c>
      <c r="AY1767" t="s">
        <v>312</v>
      </c>
      <c r="AZ1767" t="s">
        <v>199</v>
      </c>
      <c r="BA1767" t="s">
        <v>313</v>
      </c>
      <c r="BB1767" t="s">
        <v>191</v>
      </c>
      <c r="BC1767" t="s">
        <v>182</v>
      </c>
      <c r="BD1767" t="s">
        <v>182</v>
      </c>
      <c r="BE1767" t="s">
        <v>235</v>
      </c>
      <c r="BF1767">
        <v>0</v>
      </c>
      <c r="BG1767">
        <v>0</v>
      </c>
      <c r="BH1767">
        <v>0</v>
      </c>
      <c r="BI1767" t="s">
        <v>199</v>
      </c>
      <c r="BJ1767" t="s">
        <v>194</v>
      </c>
      <c r="BL1767" t="s">
        <v>21510</v>
      </c>
      <c r="BM1767" t="s">
        <v>267</v>
      </c>
      <c r="BN1767" t="s">
        <v>182</v>
      </c>
      <c r="BO1767" t="s">
        <v>198</v>
      </c>
      <c r="BP1767" t="s">
        <v>198</v>
      </c>
      <c r="BQ1767" t="s">
        <v>198</v>
      </c>
      <c r="BR1767" t="s">
        <v>198</v>
      </c>
      <c r="BS1767" t="s">
        <v>198</v>
      </c>
      <c r="BT1767" t="s">
        <v>198</v>
      </c>
      <c r="BU1767" t="s">
        <v>182</v>
      </c>
      <c r="BV1767" t="s">
        <v>198</v>
      </c>
      <c r="BW1767" t="s">
        <v>198</v>
      </c>
      <c r="BX1767" t="s">
        <v>199</v>
      </c>
      <c r="BY1767" t="s">
        <v>198</v>
      </c>
      <c r="BZ1767" t="s">
        <v>199</v>
      </c>
      <c r="CA1767" t="s">
        <v>199</v>
      </c>
      <c r="CB1767" t="s">
        <v>21463</v>
      </c>
      <c r="CC1767" t="s">
        <v>201</v>
      </c>
      <c r="CD1767" t="s">
        <v>182</v>
      </c>
      <c r="CE1767" t="s">
        <v>21464</v>
      </c>
      <c r="CF1767" t="s">
        <v>413</v>
      </c>
      <c r="CG1767" t="s">
        <v>177</v>
      </c>
      <c r="CH1767" t="s">
        <v>21465</v>
      </c>
      <c r="CI1767" t="s">
        <v>21632</v>
      </c>
      <c r="CJ1767" t="s">
        <v>15598</v>
      </c>
      <c r="CK1767" t="s">
        <v>232</v>
      </c>
      <c r="CL1767" t="s">
        <v>233</v>
      </c>
      <c r="CM1767" t="s">
        <v>5487</v>
      </c>
      <c r="CN1767" t="s">
        <v>331</v>
      </c>
      <c r="CO1767" t="s">
        <v>183</v>
      </c>
      <c r="CP1767" t="s">
        <v>266</v>
      </c>
      <c r="CS1767" t="s">
        <v>198</v>
      </c>
      <c r="CT1767" t="s">
        <v>4822</v>
      </c>
      <c r="CU1767" t="s">
        <v>292</v>
      </c>
      <c r="CV1767" t="s">
        <v>293</v>
      </c>
      <c r="CW1767" t="s">
        <v>10873</v>
      </c>
      <c r="CX1767" t="s">
        <v>387</v>
      </c>
      <c r="CY1767" t="s">
        <v>183</v>
      </c>
      <c r="CZ1767" t="s">
        <v>211</v>
      </c>
      <c r="DA1767" t="s">
        <v>250</v>
      </c>
      <c r="DC1767" t="s">
        <v>21481</v>
      </c>
      <c r="DD1767" t="s">
        <v>21084</v>
      </c>
      <c r="DE1767" t="s">
        <v>267</v>
      </c>
      <c r="DF1767" t="s">
        <v>268</v>
      </c>
      <c r="DG1767" t="s">
        <v>3821</v>
      </c>
      <c r="DH1767" t="s">
        <v>235</v>
      </c>
      <c r="DI1767" t="s">
        <v>183</v>
      </c>
      <c r="DJ1767" t="s">
        <v>211</v>
      </c>
      <c r="DK1767" t="s">
        <v>460</v>
      </c>
      <c r="DM1767" t="s">
        <v>21483</v>
      </c>
      <c r="DN1767" t="s">
        <v>19467</v>
      </c>
      <c r="DO1767" t="s">
        <v>238</v>
      </c>
      <c r="DP1767" t="s">
        <v>239</v>
      </c>
      <c r="DQ1767" t="s">
        <v>21551</v>
      </c>
      <c r="DR1767" t="s">
        <v>482</v>
      </c>
      <c r="DS1767" t="s">
        <v>183</v>
      </c>
      <c r="DT1767" t="s">
        <v>211</v>
      </c>
      <c r="DU1767" t="s">
        <v>199</v>
      </c>
      <c r="DW1767" t="s">
        <v>21471</v>
      </c>
      <c r="DX1767" t="s">
        <v>19462</v>
      </c>
      <c r="DY1767" t="s">
        <v>346</v>
      </c>
      <c r="DZ1767" t="s">
        <v>347</v>
      </c>
      <c r="EA1767" t="s">
        <v>14669</v>
      </c>
      <c r="EB1767" t="s">
        <v>1966</v>
      </c>
      <c r="EC1767" t="s">
        <v>183</v>
      </c>
      <c r="ED1767" t="s">
        <v>211</v>
      </c>
      <c r="EE1767" t="s">
        <v>427</v>
      </c>
      <c r="EG1767" t="s">
        <v>21471</v>
      </c>
      <c r="EH1767" t="s">
        <v>21633</v>
      </c>
      <c r="EI1767" t="s">
        <v>207</v>
      </c>
      <c r="EJ1767" t="s">
        <v>208</v>
      </c>
      <c r="EK1767" t="s">
        <v>21553</v>
      </c>
      <c r="EL1767" t="s">
        <v>519</v>
      </c>
      <c r="EM1767" t="s">
        <v>183</v>
      </c>
      <c r="EN1767" t="s">
        <v>211</v>
      </c>
      <c r="EO1767" t="s">
        <v>633</v>
      </c>
      <c r="EQ1767" t="s">
        <v>21471</v>
      </c>
      <c r="FA1767" t="s">
        <v>198</v>
      </c>
      <c r="FK1767" t="s">
        <v>198</v>
      </c>
      <c r="FU1767" t="s">
        <v>198</v>
      </c>
    </row>
    <row r="1768" spans="1:177">
      <c r="A1768" s="1" t="str">
        <f>HYPERLINK("http://digipan.lumentumllc.com/apps/getLink/index.php?t=PropLink&amp;p=5247761","PL")</f>
        <v>PL</v>
      </c>
      <c r="B1768" s="1" t="str">
        <f>HYPERLINK("http://digipan.lumentumllc.com/apps/getLink/index.php?t=TaxLink&amp;p=5247761","TL")</f>
        <v>TL</v>
      </c>
      <c r="C1768" s="1" t="str">
        <f>HYPERLINK("http://digipan.lumentumllc.com/apps/getMap/index.php?p=5247761","Map")</f>
        <v>Map</v>
      </c>
      <c r="E1768" t="s">
        <v>177</v>
      </c>
      <c r="F1768" t="s">
        <v>178</v>
      </c>
      <c r="L1768" t="s">
        <v>21634</v>
      </c>
      <c r="N1768" t="s">
        <v>21634</v>
      </c>
      <c r="O1768" t="s">
        <v>21634</v>
      </c>
      <c r="P1768" t="s">
        <v>21635</v>
      </c>
      <c r="Q1768" t="s">
        <v>21634</v>
      </c>
      <c r="V1768">
        <v>2019</v>
      </c>
      <c r="W1768">
        <v>7</v>
      </c>
      <c r="X1768">
        <v>2017</v>
      </c>
      <c r="Y1768">
        <v>2018</v>
      </c>
      <c r="Z1768">
        <v>525.4</v>
      </c>
      <c r="AB1768" t="s">
        <v>181</v>
      </c>
      <c r="AC1768" t="s">
        <v>182</v>
      </c>
      <c r="AD1768" t="s">
        <v>183</v>
      </c>
      <c r="AE1768">
        <v>1</v>
      </c>
      <c r="AF1768">
        <v>5</v>
      </c>
      <c r="AG1768" t="s">
        <v>951</v>
      </c>
      <c r="AH1768">
        <v>80</v>
      </c>
      <c r="AI1768">
        <v>517.12</v>
      </c>
      <c r="AJ1768">
        <v>25.86</v>
      </c>
      <c r="AK1768">
        <v>542.98</v>
      </c>
      <c r="AL1768">
        <v>48000</v>
      </c>
      <c r="AM1768">
        <v>48000</v>
      </c>
      <c r="AN1768">
        <v>0</v>
      </c>
      <c r="AO1768">
        <v>453</v>
      </c>
      <c r="AP1768">
        <v>2016</v>
      </c>
      <c r="AQ1768">
        <v>1.0900000000000001</v>
      </c>
      <c r="AR1768">
        <v>1.1299999999999999</v>
      </c>
      <c r="AS1768" t="s">
        <v>21636</v>
      </c>
      <c r="AT1768" t="s">
        <v>3210</v>
      </c>
      <c r="AU1768" t="s">
        <v>177</v>
      </c>
      <c r="AV1768" t="s">
        <v>2334</v>
      </c>
      <c r="AW1768" t="s">
        <v>182</v>
      </c>
      <c r="AX1768">
        <v>0</v>
      </c>
      <c r="AY1768" t="s">
        <v>312</v>
      </c>
      <c r="AZ1768" t="s">
        <v>199</v>
      </c>
      <c r="BA1768" t="s">
        <v>313</v>
      </c>
      <c r="BB1768" t="s">
        <v>191</v>
      </c>
      <c r="BC1768" t="s">
        <v>182</v>
      </c>
      <c r="BD1768" t="s">
        <v>182</v>
      </c>
      <c r="BE1768" t="s">
        <v>5608</v>
      </c>
      <c r="BF1768">
        <v>0</v>
      </c>
      <c r="BG1768">
        <v>0</v>
      </c>
      <c r="BH1768">
        <v>0</v>
      </c>
      <c r="BI1768" t="s">
        <v>199</v>
      </c>
      <c r="BJ1768" t="s">
        <v>194</v>
      </c>
      <c r="BL1768" t="s">
        <v>21510</v>
      </c>
      <c r="BM1768" t="s">
        <v>267</v>
      </c>
      <c r="BN1768" t="s">
        <v>182</v>
      </c>
      <c r="BO1768" t="s">
        <v>198</v>
      </c>
      <c r="BP1768" t="s">
        <v>198</v>
      </c>
      <c r="BQ1768" t="s">
        <v>198</v>
      </c>
      <c r="BR1768" t="s">
        <v>198</v>
      </c>
      <c r="BS1768" t="s">
        <v>198</v>
      </c>
      <c r="BT1768" t="s">
        <v>198</v>
      </c>
      <c r="BU1768" t="s">
        <v>182</v>
      </c>
      <c r="BV1768" t="s">
        <v>198</v>
      </c>
      <c r="BW1768" t="s">
        <v>198</v>
      </c>
      <c r="BX1768" t="s">
        <v>199</v>
      </c>
      <c r="BY1768" t="s">
        <v>198</v>
      </c>
      <c r="BZ1768" t="s">
        <v>199</v>
      </c>
      <c r="CA1768" t="s">
        <v>199</v>
      </c>
      <c r="CB1768" t="s">
        <v>21463</v>
      </c>
      <c r="CC1768" t="s">
        <v>201</v>
      </c>
      <c r="CD1768" t="s">
        <v>182</v>
      </c>
      <c r="CE1768" t="s">
        <v>21464</v>
      </c>
      <c r="CF1768" t="s">
        <v>413</v>
      </c>
      <c r="CG1768" t="s">
        <v>177</v>
      </c>
      <c r="CH1768" t="s">
        <v>21465</v>
      </c>
      <c r="CI1768" t="s">
        <v>21637</v>
      </c>
      <c r="CJ1768" t="s">
        <v>11810</v>
      </c>
      <c r="CK1768" t="s">
        <v>232</v>
      </c>
      <c r="CL1768" t="s">
        <v>233</v>
      </c>
      <c r="CM1768" t="s">
        <v>5487</v>
      </c>
      <c r="CN1768" t="s">
        <v>331</v>
      </c>
      <c r="CO1768" t="s">
        <v>183</v>
      </c>
      <c r="CP1768" t="s">
        <v>266</v>
      </c>
      <c r="CS1768" t="s">
        <v>198</v>
      </c>
      <c r="CT1768" t="s">
        <v>7504</v>
      </c>
      <c r="CU1768" t="s">
        <v>292</v>
      </c>
      <c r="CV1768" t="s">
        <v>293</v>
      </c>
      <c r="CW1768" t="s">
        <v>10873</v>
      </c>
      <c r="CX1768" t="s">
        <v>387</v>
      </c>
      <c r="CY1768" t="s">
        <v>183</v>
      </c>
      <c r="CZ1768" t="s">
        <v>211</v>
      </c>
      <c r="DA1768" t="s">
        <v>250</v>
      </c>
      <c r="DC1768" t="s">
        <v>21481</v>
      </c>
      <c r="DD1768" t="s">
        <v>900</v>
      </c>
      <c r="DE1768" t="s">
        <v>267</v>
      </c>
      <c r="DF1768" t="s">
        <v>268</v>
      </c>
      <c r="DG1768" t="s">
        <v>3821</v>
      </c>
      <c r="DH1768" t="s">
        <v>235</v>
      </c>
      <c r="DI1768" t="s">
        <v>183</v>
      </c>
      <c r="DJ1768" t="s">
        <v>211</v>
      </c>
      <c r="DK1768" t="s">
        <v>460</v>
      </c>
      <c r="DM1768" t="s">
        <v>21483</v>
      </c>
      <c r="DN1768" t="s">
        <v>21638</v>
      </c>
      <c r="DO1768" t="s">
        <v>238</v>
      </c>
      <c r="DP1768" t="s">
        <v>239</v>
      </c>
      <c r="DQ1768" t="s">
        <v>21551</v>
      </c>
      <c r="DR1768" t="s">
        <v>482</v>
      </c>
      <c r="DS1768" t="s">
        <v>183</v>
      </c>
      <c r="DT1768" t="s">
        <v>211</v>
      </c>
      <c r="DU1768" t="s">
        <v>199</v>
      </c>
      <c r="DW1768" t="s">
        <v>21471</v>
      </c>
      <c r="DX1768" t="s">
        <v>21639</v>
      </c>
      <c r="DY1768" t="s">
        <v>346</v>
      </c>
      <c r="DZ1768" t="s">
        <v>347</v>
      </c>
      <c r="EA1768" t="s">
        <v>14669</v>
      </c>
      <c r="EB1768" t="s">
        <v>1966</v>
      </c>
      <c r="EC1768" t="s">
        <v>183</v>
      </c>
      <c r="ED1768" t="s">
        <v>211</v>
      </c>
      <c r="EE1768" t="s">
        <v>427</v>
      </c>
      <c r="EG1768" t="s">
        <v>21471</v>
      </c>
      <c r="EH1768" t="s">
        <v>21640</v>
      </c>
      <c r="EI1768" t="s">
        <v>207</v>
      </c>
      <c r="EJ1768" t="s">
        <v>208</v>
      </c>
      <c r="EK1768" t="s">
        <v>21553</v>
      </c>
      <c r="EL1768" t="s">
        <v>519</v>
      </c>
      <c r="EM1768" t="s">
        <v>183</v>
      </c>
      <c r="EN1768" t="s">
        <v>211</v>
      </c>
      <c r="EO1768" t="s">
        <v>633</v>
      </c>
      <c r="EQ1768" t="s">
        <v>21471</v>
      </c>
      <c r="FA1768" t="s">
        <v>198</v>
      </c>
      <c r="FK1768" t="s">
        <v>198</v>
      </c>
      <c r="FU1768" t="s">
        <v>198</v>
      </c>
    </row>
    <row r="1769" spans="1:177">
      <c r="A1769" s="1" t="str">
        <f>HYPERLINK("http://digipan.lumentumllc.com/apps/getLink/index.php?t=PropLink&amp;p=5247762","PL")</f>
        <v>PL</v>
      </c>
      <c r="B1769" s="1" t="str">
        <f>HYPERLINK("http://digipan.lumentumllc.com/apps/getLink/index.php?t=TaxLink&amp;p=5247762","TL")</f>
        <v>TL</v>
      </c>
      <c r="C1769" s="1" t="str">
        <f>HYPERLINK("http://digipan.lumentumllc.com/apps/getMap/index.php?p=5247762","Map")</f>
        <v>Map</v>
      </c>
      <c r="E1769" t="s">
        <v>177</v>
      </c>
      <c r="F1769" t="s">
        <v>178</v>
      </c>
      <c r="L1769" t="s">
        <v>21641</v>
      </c>
      <c r="N1769" t="s">
        <v>21641</v>
      </c>
      <c r="O1769" t="s">
        <v>21641</v>
      </c>
      <c r="P1769" t="s">
        <v>21642</v>
      </c>
      <c r="Q1769" t="s">
        <v>21641</v>
      </c>
      <c r="V1769">
        <v>2020</v>
      </c>
      <c r="W1769">
        <v>7</v>
      </c>
      <c r="X1769">
        <v>2017</v>
      </c>
      <c r="Y1769">
        <v>2018</v>
      </c>
      <c r="Z1769">
        <v>525.4</v>
      </c>
      <c r="AB1769" t="s">
        <v>181</v>
      </c>
      <c r="AC1769" t="s">
        <v>182</v>
      </c>
      <c r="AD1769" t="s">
        <v>183</v>
      </c>
      <c r="AE1769">
        <v>1</v>
      </c>
      <c r="AF1769">
        <v>5</v>
      </c>
      <c r="AG1769" t="s">
        <v>951</v>
      </c>
      <c r="AH1769">
        <v>80</v>
      </c>
      <c r="AI1769">
        <v>517.12</v>
      </c>
      <c r="AJ1769">
        <v>25.86</v>
      </c>
      <c r="AK1769">
        <v>542.98</v>
      </c>
      <c r="AL1769">
        <v>48000</v>
      </c>
      <c r="AM1769">
        <v>48000</v>
      </c>
      <c r="AN1769">
        <v>0</v>
      </c>
      <c r="AO1769">
        <v>453</v>
      </c>
      <c r="AP1769">
        <v>2016</v>
      </c>
      <c r="AQ1769">
        <v>1.0900000000000001</v>
      </c>
      <c r="AR1769">
        <v>1.1299999999999999</v>
      </c>
      <c r="AS1769" t="s">
        <v>21643</v>
      </c>
      <c r="AT1769" t="s">
        <v>3210</v>
      </c>
      <c r="AU1769" t="s">
        <v>177</v>
      </c>
      <c r="AV1769" t="s">
        <v>2334</v>
      </c>
      <c r="AW1769" t="s">
        <v>182</v>
      </c>
      <c r="AX1769">
        <v>0</v>
      </c>
      <c r="AY1769" t="s">
        <v>312</v>
      </c>
      <c r="AZ1769" t="s">
        <v>199</v>
      </c>
      <c r="BA1769" t="s">
        <v>313</v>
      </c>
      <c r="BB1769" t="s">
        <v>191</v>
      </c>
      <c r="BC1769" t="s">
        <v>182</v>
      </c>
      <c r="BD1769" t="s">
        <v>182</v>
      </c>
      <c r="BE1769" t="s">
        <v>6673</v>
      </c>
      <c r="BF1769">
        <v>0</v>
      </c>
      <c r="BG1769">
        <v>0</v>
      </c>
      <c r="BH1769">
        <v>0</v>
      </c>
      <c r="BI1769" t="s">
        <v>199</v>
      </c>
      <c r="BJ1769" t="s">
        <v>194</v>
      </c>
      <c r="BL1769" t="s">
        <v>21510</v>
      </c>
      <c r="BM1769" t="s">
        <v>267</v>
      </c>
      <c r="BN1769" t="s">
        <v>182</v>
      </c>
      <c r="BO1769" t="s">
        <v>198</v>
      </c>
      <c r="BP1769" t="s">
        <v>198</v>
      </c>
      <c r="BQ1769" t="s">
        <v>198</v>
      </c>
      <c r="BR1769" t="s">
        <v>198</v>
      </c>
      <c r="BS1769" t="s">
        <v>198</v>
      </c>
      <c r="BT1769" t="s">
        <v>198</v>
      </c>
      <c r="BU1769" t="s">
        <v>182</v>
      </c>
      <c r="BV1769" t="s">
        <v>198</v>
      </c>
      <c r="BW1769" t="s">
        <v>198</v>
      </c>
      <c r="BX1769" t="s">
        <v>199</v>
      </c>
      <c r="BY1769" t="s">
        <v>198</v>
      </c>
      <c r="BZ1769" t="s">
        <v>199</v>
      </c>
      <c r="CA1769" t="s">
        <v>199</v>
      </c>
      <c r="CB1769" t="s">
        <v>21463</v>
      </c>
      <c r="CC1769" t="s">
        <v>201</v>
      </c>
      <c r="CD1769" t="s">
        <v>182</v>
      </c>
      <c r="CE1769" t="s">
        <v>21464</v>
      </c>
      <c r="CF1769" t="s">
        <v>413</v>
      </c>
      <c r="CG1769" t="s">
        <v>177</v>
      </c>
      <c r="CH1769" t="s">
        <v>21465</v>
      </c>
      <c r="CI1769" t="s">
        <v>21644</v>
      </c>
      <c r="CJ1769" t="s">
        <v>4822</v>
      </c>
      <c r="CK1769" t="s">
        <v>232</v>
      </c>
      <c r="CL1769" t="s">
        <v>233</v>
      </c>
      <c r="CM1769" t="s">
        <v>5487</v>
      </c>
      <c r="CN1769" t="s">
        <v>331</v>
      </c>
      <c r="CO1769" t="s">
        <v>183</v>
      </c>
      <c r="CP1769" t="s">
        <v>266</v>
      </c>
      <c r="CS1769" t="s">
        <v>198</v>
      </c>
      <c r="CT1769" t="s">
        <v>7528</v>
      </c>
      <c r="CU1769" t="s">
        <v>292</v>
      </c>
      <c r="CV1769" t="s">
        <v>293</v>
      </c>
      <c r="CW1769" t="s">
        <v>10873</v>
      </c>
      <c r="CX1769" t="s">
        <v>387</v>
      </c>
      <c r="CY1769" t="s">
        <v>183</v>
      </c>
      <c r="CZ1769" t="s">
        <v>211</v>
      </c>
      <c r="DA1769" t="s">
        <v>250</v>
      </c>
      <c r="DC1769" t="s">
        <v>21481</v>
      </c>
      <c r="DD1769" t="s">
        <v>5627</v>
      </c>
      <c r="DE1769" t="s">
        <v>267</v>
      </c>
      <c r="DF1769" t="s">
        <v>268</v>
      </c>
      <c r="DG1769" t="s">
        <v>3821</v>
      </c>
      <c r="DH1769" t="s">
        <v>235</v>
      </c>
      <c r="DI1769" t="s">
        <v>183</v>
      </c>
      <c r="DJ1769" t="s">
        <v>211</v>
      </c>
      <c r="DK1769" t="s">
        <v>460</v>
      </c>
      <c r="DM1769" t="s">
        <v>21483</v>
      </c>
      <c r="DN1769" t="s">
        <v>19487</v>
      </c>
      <c r="DO1769" t="s">
        <v>238</v>
      </c>
      <c r="DP1769" t="s">
        <v>239</v>
      </c>
      <c r="DQ1769" t="s">
        <v>21551</v>
      </c>
      <c r="DR1769" t="s">
        <v>482</v>
      </c>
      <c r="DS1769" t="s">
        <v>183</v>
      </c>
      <c r="DT1769" t="s">
        <v>211</v>
      </c>
      <c r="DU1769" t="s">
        <v>199</v>
      </c>
      <c r="DW1769" t="s">
        <v>21471</v>
      </c>
      <c r="DX1769" t="s">
        <v>21645</v>
      </c>
      <c r="DY1769" t="s">
        <v>346</v>
      </c>
      <c r="DZ1769" t="s">
        <v>347</v>
      </c>
      <c r="EA1769" t="s">
        <v>14669</v>
      </c>
      <c r="EB1769" t="s">
        <v>1966</v>
      </c>
      <c r="EC1769" t="s">
        <v>183</v>
      </c>
      <c r="ED1769" t="s">
        <v>211</v>
      </c>
      <c r="EE1769" t="s">
        <v>427</v>
      </c>
      <c r="EG1769" t="s">
        <v>21471</v>
      </c>
      <c r="EH1769" t="s">
        <v>12353</v>
      </c>
      <c r="EI1769" t="s">
        <v>207</v>
      </c>
      <c r="EJ1769" t="s">
        <v>208</v>
      </c>
      <c r="EK1769" t="s">
        <v>21553</v>
      </c>
      <c r="EL1769" t="s">
        <v>519</v>
      </c>
      <c r="EM1769" t="s">
        <v>183</v>
      </c>
      <c r="EN1769" t="s">
        <v>211</v>
      </c>
      <c r="EO1769" t="s">
        <v>633</v>
      </c>
      <c r="EQ1769" t="s">
        <v>21471</v>
      </c>
      <c r="FA1769" t="s">
        <v>198</v>
      </c>
      <c r="FK1769" t="s">
        <v>198</v>
      </c>
      <c r="FU1769" t="s">
        <v>198</v>
      </c>
    </row>
    <row r="1770" spans="1:177">
      <c r="A1770" s="1" t="str">
        <f>HYPERLINK("http://digipan.lumentumllc.com/apps/getLink/index.php?t=PropLink&amp;p=5247763","PL")</f>
        <v>PL</v>
      </c>
      <c r="B1770" s="1" t="str">
        <f>HYPERLINK("http://digipan.lumentumllc.com/apps/getLink/index.php?t=TaxLink&amp;p=5247763","TL")</f>
        <v>TL</v>
      </c>
      <c r="C1770" s="1" t="str">
        <f>HYPERLINK("http://digipan.lumentumllc.com/apps/getMap/index.php?p=5247763","Map")</f>
        <v>Map</v>
      </c>
      <c r="E1770" t="s">
        <v>177</v>
      </c>
      <c r="F1770" t="s">
        <v>178</v>
      </c>
      <c r="L1770" t="s">
        <v>21646</v>
      </c>
      <c r="N1770" t="s">
        <v>21646</v>
      </c>
      <c r="O1770" t="s">
        <v>21646</v>
      </c>
      <c r="P1770" t="s">
        <v>21647</v>
      </c>
      <c r="Q1770" t="s">
        <v>21646</v>
      </c>
      <c r="V1770">
        <v>2021</v>
      </c>
      <c r="W1770">
        <v>7</v>
      </c>
      <c r="X1770">
        <v>2017</v>
      </c>
      <c r="Y1770">
        <v>2018</v>
      </c>
      <c r="Z1770">
        <v>525.4</v>
      </c>
      <c r="AB1770" t="s">
        <v>181</v>
      </c>
      <c r="AC1770" t="s">
        <v>182</v>
      </c>
      <c r="AD1770" t="s">
        <v>183</v>
      </c>
      <c r="AE1770">
        <v>1</v>
      </c>
      <c r="AF1770">
        <v>5</v>
      </c>
      <c r="AG1770" t="s">
        <v>951</v>
      </c>
      <c r="AH1770">
        <v>80</v>
      </c>
      <c r="AI1770">
        <v>517.12</v>
      </c>
      <c r="AJ1770">
        <v>25.86</v>
      </c>
      <c r="AK1770">
        <v>542.98</v>
      </c>
      <c r="AL1770">
        <v>48000</v>
      </c>
      <c r="AM1770">
        <v>48000</v>
      </c>
      <c r="AN1770">
        <v>0</v>
      </c>
      <c r="AO1770">
        <v>453</v>
      </c>
      <c r="AP1770">
        <v>2016</v>
      </c>
      <c r="AQ1770">
        <v>1.0900000000000001</v>
      </c>
      <c r="AR1770">
        <v>1.1299999999999999</v>
      </c>
      <c r="AS1770" t="s">
        <v>21648</v>
      </c>
      <c r="AT1770" t="s">
        <v>3210</v>
      </c>
      <c r="AU1770" t="s">
        <v>177</v>
      </c>
      <c r="AV1770" t="s">
        <v>2334</v>
      </c>
      <c r="AW1770" t="s">
        <v>182</v>
      </c>
      <c r="AX1770">
        <v>0</v>
      </c>
      <c r="AY1770" t="s">
        <v>312</v>
      </c>
      <c r="AZ1770" t="s">
        <v>199</v>
      </c>
      <c r="BA1770" t="s">
        <v>313</v>
      </c>
      <c r="BB1770" t="s">
        <v>191</v>
      </c>
      <c r="BC1770" t="s">
        <v>182</v>
      </c>
      <c r="BD1770" t="s">
        <v>182</v>
      </c>
      <c r="BE1770" t="s">
        <v>6008</v>
      </c>
      <c r="BF1770">
        <v>0</v>
      </c>
      <c r="BG1770">
        <v>0</v>
      </c>
      <c r="BH1770">
        <v>0</v>
      </c>
      <c r="BI1770" t="s">
        <v>199</v>
      </c>
      <c r="BJ1770" t="s">
        <v>194</v>
      </c>
      <c r="BL1770" t="s">
        <v>21510</v>
      </c>
      <c r="BM1770" t="s">
        <v>267</v>
      </c>
      <c r="BN1770" t="s">
        <v>182</v>
      </c>
      <c r="BO1770" t="s">
        <v>198</v>
      </c>
      <c r="BP1770" t="s">
        <v>198</v>
      </c>
      <c r="BQ1770" t="s">
        <v>198</v>
      </c>
      <c r="BR1770" t="s">
        <v>198</v>
      </c>
      <c r="BS1770" t="s">
        <v>198</v>
      </c>
      <c r="BT1770" t="s">
        <v>198</v>
      </c>
      <c r="BU1770" t="s">
        <v>182</v>
      </c>
      <c r="BV1770" t="s">
        <v>198</v>
      </c>
      <c r="BW1770" t="s">
        <v>198</v>
      </c>
      <c r="BX1770" t="s">
        <v>199</v>
      </c>
      <c r="BY1770" t="s">
        <v>198</v>
      </c>
      <c r="BZ1770" t="s">
        <v>199</v>
      </c>
      <c r="CA1770" t="s">
        <v>199</v>
      </c>
      <c r="CB1770" t="s">
        <v>21463</v>
      </c>
      <c r="CC1770" t="s">
        <v>201</v>
      </c>
      <c r="CD1770" t="s">
        <v>182</v>
      </c>
      <c r="CE1770" t="s">
        <v>21464</v>
      </c>
      <c r="CF1770" t="s">
        <v>413</v>
      </c>
      <c r="CG1770" t="s">
        <v>177</v>
      </c>
      <c r="CH1770" t="s">
        <v>21465</v>
      </c>
      <c r="CI1770" t="s">
        <v>21649</v>
      </c>
      <c r="CJ1770" t="s">
        <v>2225</v>
      </c>
      <c r="CK1770" t="s">
        <v>232</v>
      </c>
      <c r="CL1770" t="s">
        <v>233</v>
      </c>
      <c r="CM1770" t="s">
        <v>5487</v>
      </c>
      <c r="CN1770" t="s">
        <v>331</v>
      </c>
      <c r="CO1770" t="s">
        <v>183</v>
      </c>
      <c r="CP1770" t="s">
        <v>266</v>
      </c>
      <c r="CS1770" t="s">
        <v>198</v>
      </c>
      <c r="CT1770" t="s">
        <v>7552</v>
      </c>
      <c r="CU1770" t="s">
        <v>292</v>
      </c>
      <c r="CV1770" t="s">
        <v>293</v>
      </c>
      <c r="CW1770" t="s">
        <v>10873</v>
      </c>
      <c r="CX1770" t="s">
        <v>387</v>
      </c>
      <c r="CY1770" t="s">
        <v>183</v>
      </c>
      <c r="CZ1770" t="s">
        <v>211</v>
      </c>
      <c r="DA1770" t="s">
        <v>250</v>
      </c>
      <c r="DC1770" t="s">
        <v>21481</v>
      </c>
      <c r="DD1770" t="s">
        <v>11855</v>
      </c>
      <c r="DE1770" t="s">
        <v>267</v>
      </c>
      <c r="DF1770" t="s">
        <v>268</v>
      </c>
      <c r="DG1770" t="s">
        <v>3821</v>
      </c>
      <c r="DH1770" t="s">
        <v>235</v>
      </c>
      <c r="DI1770" t="s">
        <v>183</v>
      </c>
      <c r="DJ1770" t="s">
        <v>211</v>
      </c>
      <c r="DK1770" t="s">
        <v>460</v>
      </c>
      <c r="DM1770" t="s">
        <v>21483</v>
      </c>
      <c r="DN1770" t="s">
        <v>19513</v>
      </c>
      <c r="DO1770" t="s">
        <v>238</v>
      </c>
      <c r="DP1770" t="s">
        <v>239</v>
      </c>
      <c r="DQ1770" t="s">
        <v>21551</v>
      </c>
      <c r="DR1770" t="s">
        <v>482</v>
      </c>
      <c r="DS1770" t="s">
        <v>183</v>
      </c>
      <c r="DT1770" t="s">
        <v>211</v>
      </c>
      <c r="DU1770" t="s">
        <v>199</v>
      </c>
      <c r="DW1770" t="s">
        <v>21471</v>
      </c>
      <c r="DX1770" t="s">
        <v>20581</v>
      </c>
      <c r="DY1770" t="s">
        <v>346</v>
      </c>
      <c r="DZ1770" t="s">
        <v>347</v>
      </c>
      <c r="EA1770" t="s">
        <v>14669</v>
      </c>
      <c r="EB1770" t="s">
        <v>1966</v>
      </c>
      <c r="EC1770" t="s">
        <v>183</v>
      </c>
      <c r="ED1770" t="s">
        <v>211</v>
      </c>
      <c r="EE1770" t="s">
        <v>427</v>
      </c>
      <c r="EG1770" t="s">
        <v>21471</v>
      </c>
      <c r="EH1770" t="s">
        <v>21650</v>
      </c>
      <c r="EI1770" t="s">
        <v>207</v>
      </c>
      <c r="EJ1770" t="s">
        <v>208</v>
      </c>
      <c r="EK1770" t="s">
        <v>21651</v>
      </c>
      <c r="EL1770" t="s">
        <v>519</v>
      </c>
      <c r="EM1770" t="s">
        <v>183</v>
      </c>
      <c r="EN1770" t="s">
        <v>211</v>
      </c>
      <c r="EO1770" t="s">
        <v>633</v>
      </c>
      <c r="EQ1770" t="s">
        <v>21471</v>
      </c>
      <c r="FA1770" t="s">
        <v>198</v>
      </c>
      <c r="FK1770" t="s">
        <v>198</v>
      </c>
      <c r="FU1770" t="s">
        <v>198</v>
      </c>
    </row>
    <row r="1771" spans="1:177">
      <c r="A1771" s="1" t="str">
        <f>HYPERLINK("http://digipan.lumentumllc.com/apps/getLink/index.php?t=PropLink&amp;p=4638443","PL")</f>
        <v>PL</v>
      </c>
      <c r="B1771" s="1" t="str">
        <f>HYPERLINK("http://digipan.lumentumllc.com/apps/getLink/index.php?t=TaxLink&amp;p=4638443","TL")</f>
        <v>TL</v>
      </c>
      <c r="C1771" s="1" t="str">
        <f>HYPERLINK("http://digipan.lumentumllc.com/apps/getMap/index.php?p=4638443","Map")</f>
        <v>Map</v>
      </c>
      <c r="E1771" t="s">
        <v>177</v>
      </c>
      <c r="F1771" t="s">
        <v>178</v>
      </c>
      <c r="L1771" t="s">
        <v>21652</v>
      </c>
      <c r="N1771" t="s">
        <v>21652</v>
      </c>
      <c r="O1771" t="s">
        <v>21652</v>
      </c>
      <c r="P1771" t="s">
        <v>21653</v>
      </c>
      <c r="Q1771" t="s">
        <v>21652</v>
      </c>
      <c r="V1771">
        <v>2022</v>
      </c>
      <c r="W1771">
        <v>7</v>
      </c>
      <c r="X1771">
        <v>2017</v>
      </c>
      <c r="Y1771">
        <v>2018</v>
      </c>
      <c r="Z1771">
        <v>525.4</v>
      </c>
      <c r="AB1771" t="s">
        <v>181</v>
      </c>
      <c r="AC1771" t="s">
        <v>182</v>
      </c>
      <c r="AD1771" t="s">
        <v>183</v>
      </c>
      <c r="AE1771">
        <v>0</v>
      </c>
      <c r="AF1771">
        <v>2</v>
      </c>
      <c r="AG1771" t="s">
        <v>216</v>
      </c>
      <c r="AH1771">
        <v>100</v>
      </c>
      <c r="AK1771">
        <v>0</v>
      </c>
      <c r="AL1771">
        <v>48000</v>
      </c>
      <c r="AM1771">
        <v>48000</v>
      </c>
      <c r="AN1771">
        <v>0</v>
      </c>
      <c r="AO1771">
        <v>453</v>
      </c>
      <c r="AP1771">
        <v>2016</v>
      </c>
      <c r="AQ1771">
        <v>1.0900000000000001</v>
      </c>
      <c r="AS1771" t="s">
        <v>21654</v>
      </c>
      <c r="AT1771" t="s">
        <v>3210</v>
      </c>
      <c r="AU1771" t="s">
        <v>177</v>
      </c>
      <c r="AV1771" t="s">
        <v>2334</v>
      </c>
      <c r="AW1771" t="s">
        <v>182</v>
      </c>
      <c r="AX1771">
        <v>0</v>
      </c>
      <c r="AY1771" t="s">
        <v>312</v>
      </c>
      <c r="AZ1771" t="s">
        <v>199</v>
      </c>
      <c r="BA1771" t="s">
        <v>313</v>
      </c>
      <c r="BB1771" t="s">
        <v>191</v>
      </c>
      <c r="BC1771" t="s">
        <v>182</v>
      </c>
      <c r="BD1771" t="s">
        <v>182</v>
      </c>
      <c r="BE1771" t="s">
        <v>235</v>
      </c>
      <c r="BF1771">
        <v>0</v>
      </c>
      <c r="BG1771">
        <v>0</v>
      </c>
      <c r="BH1771">
        <v>0</v>
      </c>
      <c r="BI1771" t="s">
        <v>199</v>
      </c>
      <c r="BJ1771" t="s">
        <v>194</v>
      </c>
      <c r="BL1771" t="s">
        <v>21655</v>
      </c>
      <c r="BM1771" t="s">
        <v>273</v>
      </c>
      <c r="BN1771" t="s">
        <v>182</v>
      </c>
      <c r="BO1771" t="s">
        <v>21656</v>
      </c>
      <c r="BP1771" t="s">
        <v>18187</v>
      </c>
      <c r="BQ1771" t="s">
        <v>562</v>
      </c>
      <c r="BR1771" t="s">
        <v>1897</v>
      </c>
      <c r="BS1771" t="s">
        <v>198</v>
      </c>
      <c r="BT1771" t="s">
        <v>21584</v>
      </c>
      <c r="BU1771" t="s">
        <v>182</v>
      </c>
      <c r="BV1771" t="s">
        <v>198</v>
      </c>
      <c r="BW1771" t="s">
        <v>198</v>
      </c>
      <c r="BX1771" t="s">
        <v>199</v>
      </c>
      <c r="BY1771" t="s">
        <v>198</v>
      </c>
      <c r="BZ1771" t="s">
        <v>199</v>
      </c>
      <c r="CA1771" t="s">
        <v>199</v>
      </c>
      <c r="CB1771" t="s">
        <v>21585</v>
      </c>
      <c r="CC1771" t="s">
        <v>201</v>
      </c>
      <c r="CD1771" t="s">
        <v>182</v>
      </c>
      <c r="CE1771" t="s">
        <v>21586</v>
      </c>
      <c r="CF1771" t="s">
        <v>413</v>
      </c>
      <c r="CG1771" t="s">
        <v>177</v>
      </c>
      <c r="CH1771" t="s">
        <v>8952</v>
      </c>
      <c r="CI1771" t="s">
        <v>21657</v>
      </c>
      <c r="CJ1771" t="s">
        <v>21658</v>
      </c>
      <c r="CK1771" t="s">
        <v>302</v>
      </c>
      <c r="CL1771" t="s">
        <v>303</v>
      </c>
      <c r="CM1771" t="s">
        <v>4596</v>
      </c>
      <c r="CN1771" t="s">
        <v>278</v>
      </c>
      <c r="CO1771" t="s">
        <v>183</v>
      </c>
      <c r="CP1771" t="s">
        <v>211</v>
      </c>
      <c r="CQ1771" t="s">
        <v>206</v>
      </c>
      <c r="CS1771" t="s">
        <v>21659</v>
      </c>
      <c r="CT1771" t="s">
        <v>19524</v>
      </c>
      <c r="CU1771" t="s">
        <v>238</v>
      </c>
      <c r="CV1771" t="s">
        <v>239</v>
      </c>
      <c r="CW1771" t="s">
        <v>21551</v>
      </c>
      <c r="CX1771" t="s">
        <v>278</v>
      </c>
      <c r="CY1771" t="s">
        <v>183</v>
      </c>
      <c r="CZ1771" t="s">
        <v>211</v>
      </c>
      <c r="DA1771" t="s">
        <v>306</v>
      </c>
      <c r="DC1771" t="s">
        <v>21659</v>
      </c>
      <c r="DM1771" t="s">
        <v>198</v>
      </c>
      <c r="DW1771" t="s">
        <v>198</v>
      </c>
      <c r="EG1771" t="s">
        <v>198</v>
      </c>
      <c r="EQ1771" t="s">
        <v>198</v>
      </c>
      <c r="FA1771" t="s">
        <v>198</v>
      </c>
      <c r="FK1771" t="s">
        <v>198</v>
      </c>
      <c r="FU1771" t="s">
        <v>198</v>
      </c>
    </row>
    <row r="1772" spans="1:177">
      <c r="A1772" s="1" t="str">
        <f>HYPERLINK("http://digipan.lumentumllc.com/apps/getLink/index.php?t=PropLink&amp;p=5247768","PL")</f>
        <v>PL</v>
      </c>
      <c r="B1772" s="1" t="str">
        <f>HYPERLINK("http://digipan.lumentumllc.com/apps/getLink/index.php?t=TaxLink&amp;p=5247768","TL")</f>
        <v>TL</v>
      </c>
      <c r="C1772" s="1" t="str">
        <f>HYPERLINK("http://digipan.lumentumllc.com/apps/getMap/index.php?p=5247768","Map")</f>
        <v>Map</v>
      </c>
      <c r="E1772" t="s">
        <v>177</v>
      </c>
      <c r="F1772" t="s">
        <v>178</v>
      </c>
      <c r="L1772" t="s">
        <v>21660</v>
      </c>
      <c r="N1772" t="s">
        <v>21660</v>
      </c>
      <c r="O1772" t="s">
        <v>21660</v>
      </c>
      <c r="P1772" t="s">
        <v>21661</v>
      </c>
      <c r="Q1772" t="s">
        <v>21660</v>
      </c>
      <c r="V1772">
        <v>2023</v>
      </c>
      <c r="W1772">
        <v>7</v>
      </c>
      <c r="X1772">
        <v>2017</v>
      </c>
      <c r="Y1772">
        <v>2018</v>
      </c>
      <c r="Z1772">
        <v>611.84</v>
      </c>
      <c r="AB1772" t="s">
        <v>181</v>
      </c>
      <c r="AC1772" t="s">
        <v>182</v>
      </c>
      <c r="AD1772" t="s">
        <v>183</v>
      </c>
      <c r="AE1772">
        <v>1</v>
      </c>
      <c r="AF1772">
        <v>5</v>
      </c>
      <c r="AG1772" t="s">
        <v>951</v>
      </c>
      <c r="AH1772">
        <v>80</v>
      </c>
      <c r="AI1772">
        <v>604.32000000000005</v>
      </c>
      <c r="AJ1772">
        <v>30.22</v>
      </c>
      <c r="AK1772">
        <v>634.54</v>
      </c>
      <c r="AL1772">
        <v>58000</v>
      </c>
      <c r="AM1772">
        <v>58000</v>
      </c>
      <c r="AN1772">
        <v>0</v>
      </c>
      <c r="AO1772">
        <v>534</v>
      </c>
      <c r="AP1772">
        <v>2016</v>
      </c>
      <c r="AQ1772">
        <v>1.05</v>
      </c>
      <c r="AR1772">
        <v>1.0900000000000001</v>
      </c>
      <c r="AS1772" t="s">
        <v>21662</v>
      </c>
      <c r="AT1772" t="s">
        <v>3210</v>
      </c>
      <c r="AU1772" t="s">
        <v>177</v>
      </c>
      <c r="AV1772" t="s">
        <v>2334</v>
      </c>
      <c r="AW1772" t="s">
        <v>182</v>
      </c>
      <c r="AX1772">
        <v>0</v>
      </c>
      <c r="AY1772" t="s">
        <v>312</v>
      </c>
      <c r="AZ1772" t="s">
        <v>199</v>
      </c>
      <c r="BA1772" t="s">
        <v>313</v>
      </c>
      <c r="BB1772" t="s">
        <v>191</v>
      </c>
      <c r="BC1772" t="s">
        <v>182</v>
      </c>
      <c r="BD1772" t="s">
        <v>182</v>
      </c>
      <c r="BE1772" t="s">
        <v>11684</v>
      </c>
      <c r="BF1772">
        <v>0</v>
      </c>
      <c r="BG1772">
        <v>0</v>
      </c>
      <c r="BH1772">
        <v>0</v>
      </c>
      <c r="BI1772" t="s">
        <v>199</v>
      </c>
      <c r="BJ1772" t="s">
        <v>194</v>
      </c>
      <c r="BL1772" t="s">
        <v>21510</v>
      </c>
      <c r="BM1772" t="s">
        <v>267</v>
      </c>
      <c r="BN1772" t="s">
        <v>182</v>
      </c>
      <c r="BO1772" t="s">
        <v>198</v>
      </c>
      <c r="BP1772" t="s">
        <v>198</v>
      </c>
      <c r="BQ1772" t="s">
        <v>198</v>
      </c>
      <c r="BR1772" t="s">
        <v>198</v>
      </c>
      <c r="BS1772" t="s">
        <v>198</v>
      </c>
      <c r="BT1772" t="s">
        <v>198</v>
      </c>
      <c r="BU1772" t="s">
        <v>182</v>
      </c>
      <c r="BV1772" t="s">
        <v>198</v>
      </c>
      <c r="BW1772" t="s">
        <v>198</v>
      </c>
      <c r="BX1772" t="s">
        <v>199</v>
      </c>
      <c r="BY1772" t="s">
        <v>198</v>
      </c>
      <c r="BZ1772" t="s">
        <v>199</v>
      </c>
      <c r="CA1772" t="s">
        <v>199</v>
      </c>
      <c r="CB1772" t="s">
        <v>21463</v>
      </c>
      <c r="CC1772" t="s">
        <v>201</v>
      </c>
      <c r="CD1772" t="s">
        <v>182</v>
      </c>
      <c r="CE1772" t="s">
        <v>21464</v>
      </c>
      <c r="CF1772" t="s">
        <v>413</v>
      </c>
      <c r="CG1772" t="s">
        <v>177</v>
      </c>
      <c r="CH1772" t="s">
        <v>21465</v>
      </c>
      <c r="CI1772" t="s">
        <v>21663</v>
      </c>
      <c r="CJ1772" t="s">
        <v>7528</v>
      </c>
      <c r="CK1772" t="s">
        <v>232</v>
      </c>
      <c r="CL1772" t="s">
        <v>233</v>
      </c>
      <c r="CM1772" t="s">
        <v>21664</v>
      </c>
      <c r="CN1772" t="s">
        <v>235</v>
      </c>
      <c r="CO1772" t="s">
        <v>183</v>
      </c>
      <c r="CP1772" t="s">
        <v>266</v>
      </c>
      <c r="CS1772" t="s">
        <v>198</v>
      </c>
      <c r="CT1772" t="s">
        <v>3386</v>
      </c>
      <c r="CU1772" t="s">
        <v>292</v>
      </c>
      <c r="CV1772" t="s">
        <v>293</v>
      </c>
      <c r="CW1772" t="s">
        <v>21665</v>
      </c>
      <c r="CX1772" t="s">
        <v>387</v>
      </c>
      <c r="CY1772" t="s">
        <v>183</v>
      </c>
      <c r="CZ1772" t="s">
        <v>211</v>
      </c>
      <c r="DA1772" t="s">
        <v>250</v>
      </c>
      <c r="DC1772" t="s">
        <v>21481</v>
      </c>
      <c r="DD1772" t="s">
        <v>19623</v>
      </c>
      <c r="DE1772" t="s">
        <v>267</v>
      </c>
      <c r="DF1772" t="s">
        <v>268</v>
      </c>
      <c r="DG1772" t="s">
        <v>21666</v>
      </c>
      <c r="DH1772" t="s">
        <v>235</v>
      </c>
      <c r="DI1772" t="s">
        <v>183</v>
      </c>
      <c r="DJ1772" t="s">
        <v>211</v>
      </c>
      <c r="DK1772" t="s">
        <v>460</v>
      </c>
      <c r="DM1772" t="s">
        <v>21483</v>
      </c>
      <c r="DN1772" t="s">
        <v>21667</v>
      </c>
      <c r="DO1772" t="s">
        <v>238</v>
      </c>
      <c r="DP1772" t="s">
        <v>239</v>
      </c>
      <c r="DQ1772" t="s">
        <v>21668</v>
      </c>
      <c r="DR1772" t="s">
        <v>482</v>
      </c>
      <c r="DS1772" t="s">
        <v>183</v>
      </c>
      <c r="DT1772" t="s">
        <v>211</v>
      </c>
      <c r="DU1772" t="s">
        <v>199</v>
      </c>
      <c r="DW1772" t="s">
        <v>21471</v>
      </c>
      <c r="DX1772" t="s">
        <v>20638</v>
      </c>
      <c r="DY1772" t="s">
        <v>346</v>
      </c>
      <c r="DZ1772" t="s">
        <v>347</v>
      </c>
      <c r="EA1772" t="s">
        <v>21669</v>
      </c>
      <c r="EB1772" t="s">
        <v>1966</v>
      </c>
      <c r="EC1772" t="s">
        <v>183</v>
      </c>
      <c r="ED1772" t="s">
        <v>211</v>
      </c>
      <c r="EE1772" t="s">
        <v>427</v>
      </c>
      <c r="EG1772" t="s">
        <v>21471</v>
      </c>
      <c r="EH1772" t="s">
        <v>20439</v>
      </c>
      <c r="EI1772" t="s">
        <v>207</v>
      </c>
      <c r="EJ1772" t="s">
        <v>208</v>
      </c>
      <c r="EK1772" t="s">
        <v>21651</v>
      </c>
      <c r="EL1772" t="s">
        <v>519</v>
      </c>
      <c r="EM1772" t="s">
        <v>183</v>
      </c>
      <c r="EN1772" t="s">
        <v>211</v>
      </c>
      <c r="EO1772" t="s">
        <v>633</v>
      </c>
      <c r="EQ1772" t="s">
        <v>21471</v>
      </c>
      <c r="FA1772" t="s">
        <v>198</v>
      </c>
      <c r="FK1772" t="s">
        <v>198</v>
      </c>
      <c r="FU1772" t="s">
        <v>198</v>
      </c>
    </row>
    <row r="1773" spans="1:177">
      <c r="A1773" s="1" t="str">
        <f>HYPERLINK("http://digipan.lumentumllc.com/apps/getLink/index.php?t=PropLink&amp;p=5247769","PL")</f>
        <v>PL</v>
      </c>
      <c r="B1773" s="1" t="str">
        <f>HYPERLINK("http://digipan.lumentumllc.com/apps/getLink/index.php?t=TaxLink&amp;p=5247769","TL")</f>
        <v>TL</v>
      </c>
      <c r="C1773" s="1" t="str">
        <f>HYPERLINK("http://digipan.lumentumllc.com/apps/getMap/index.php?p=5247769","Map")</f>
        <v>Map</v>
      </c>
      <c r="E1773" t="s">
        <v>177</v>
      </c>
      <c r="F1773" t="s">
        <v>178</v>
      </c>
      <c r="L1773" t="s">
        <v>21670</v>
      </c>
      <c r="N1773" t="s">
        <v>21670</v>
      </c>
      <c r="O1773" t="s">
        <v>21670</v>
      </c>
      <c r="P1773" t="s">
        <v>21671</v>
      </c>
      <c r="Q1773" t="s">
        <v>21670</v>
      </c>
      <c r="V1773">
        <v>2024</v>
      </c>
      <c r="W1773">
        <v>7</v>
      </c>
      <c r="X1773">
        <v>2017</v>
      </c>
      <c r="Y1773">
        <v>2018</v>
      </c>
      <c r="Z1773">
        <v>611.84</v>
      </c>
      <c r="AB1773" t="s">
        <v>181</v>
      </c>
      <c r="AC1773" t="s">
        <v>182</v>
      </c>
      <c r="AD1773" t="s">
        <v>183</v>
      </c>
      <c r="AE1773">
        <v>1</v>
      </c>
      <c r="AF1773">
        <v>5</v>
      </c>
      <c r="AG1773" t="s">
        <v>951</v>
      </c>
      <c r="AH1773">
        <v>80</v>
      </c>
      <c r="AI1773">
        <v>604.32000000000005</v>
      </c>
      <c r="AJ1773">
        <v>30.22</v>
      </c>
      <c r="AK1773">
        <v>634.54</v>
      </c>
      <c r="AL1773">
        <v>58000</v>
      </c>
      <c r="AM1773">
        <v>58000</v>
      </c>
      <c r="AN1773">
        <v>0</v>
      </c>
      <c r="AO1773">
        <v>534</v>
      </c>
      <c r="AP1773">
        <v>2016</v>
      </c>
      <c r="AQ1773">
        <v>1.05</v>
      </c>
      <c r="AR1773">
        <v>1.0900000000000001</v>
      </c>
      <c r="AS1773" t="s">
        <v>21672</v>
      </c>
      <c r="AT1773" t="s">
        <v>3210</v>
      </c>
      <c r="AU1773" t="s">
        <v>177</v>
      </c>
      <c r="AV1773" t="s">
        <v>2334</v>
      </c>
      <c r="AW1773" t="s">
        <v>182</v>
      </c>
      <c r="AX1773">
        <v>0</v>
      </c>
      <c r="AY1773" t="s">
        <v>312</v>
      </c>
      <c r="AZ1773" t="s">
        <v>199</v>
      </c>
      <c r="BA1773" t="s">
        <v>313</v>
      </c>
      <c r="BB1773" t="s">
        <v>191</v>
      </c>
      <c r="BC1773" t="s">
        <v>182</v>
      </c>
      <c r="BD1773" t="s">
        <v>182</v>
      </c>
      <c r="BE1773" t="s">
        <v>235</v>
      </c>
      <c r="BF1773">
        <v>0</v>
      </c>
      <c r="BG1773">
        <v>0</v>
      </c>
      <c r="BH1773">
        <v>0</v>
      </c>
      <c r="BI1773" t="s">
        <v>199</v>
      </c>
      <c r="BJ1773" t="s">
        <v>194</v>
      </c>
      <c r="BL1773" t="s">
        <v>21510</v>
      </c>
      <c r="BM1773" t="s">
        <v>267</v>
      </c>
      <c r="BN1773" t="s">
        <v>182</v>
      </c>
      <c r="BO1773" t="s">
        <v>198</v>
      </c>
      <c r="BP1773" t="s">
        <v>198</v>
      </c>
      <c r="BQ1773" t="s">
        <v>198</v>
      </c>
      <c r="BR1773" t="s">
        <v>198</v>
      </c>
      <c r="BS1773" t="s">
        <v>198</v>
      </c>
      <c r="BT1773" t="s">
        <v>198</v>
      </c>
      <c r="BU1773" t="s">
        <v>182</v>
      </c>
      <c r="BV1773" t="s">
        <v>198</v>
      </c>
      <c r="BW1773" t="s">
        <v>198</v>
      </c>
      <c r="BX1773" t="s">
        <v>199</v>
      </c>
      <c r="BY1773" t="s">
        <v>198</v>
      </c>
      <c r="BZ1773" t="s">
        <v>199</v>
      </c>
      <c r="CA1773" t="s">
        <v>199</v>
      </c>
      <c r="CB1773" t="s">
        <v>21463</v>
      </c>
      <c r="CC1773" t="s">
        <v>201</v>
      </c>
      <c r="CD1773" t="s">
        <v>182</v>
      </c>
      <c r="CE1773" t="s">
        <v>21464</v>
      </c>
      <c r="CF1773" t="s">
        <v>413</v>
      </c>
      <c r="CG1773" t="s">
        <v>177</v>
      </c>
      <c r="CH1773" t="s">
        <v>21465</v>
      </c>
      <c r="CI1773" t="s">
        <v>21673</v>
      </c>
      <c r="CJ1773" t="s">
        <v>19674</v>
      </c>
      <c r="CK1773" t="s">
        <v>232</v>
      </c>
      <c r="CL1773" t="s">
        <v>233</v>
      </c>
      <c r="CM1773" t="s">
        <v>21664</v>
      </c>
      <c r="CN1773" t="s">
        <v>235</v>
      </c>
      <c r="CO1773" t="s">
        <v>183</v>
      </c>
      <c r="CP1773" t="s">
        <v>266</v>
      </c>
      <c r="CS1773" t="s">
        <v>198</v>
      </c>
      <c r="CT1773" t="s">
        <v>4954</v>
      </c>
      <c r="CU1773" t="s">
        <v>292</v>
      </c>
      <c r="CV1773" t="s">
        <v>293</v>
      </c>
      <c r="CW1773" t="s">
        <v>21665</v>
      </c>
      <c r="CX1773" t="s">
        <v>387</v>
      </c>
      <c r="CY1773" t="s">
        <v>183</v>
      </c>
      <c r="CZ1773" t="s">
        <v>211</v>
      </c>
      <c r="DA1773" t="s">
        <v>250</v>
      </c>
      <c r="DC1773" t="s">
        <v>21481</v>
      </c>
      <c r="DD1773" t="s">
        <v>21674</v>
      </c>
      <c r="DE1773" t="s">
        <v>267</v>
      </c>
      <c r="DF1773" t="s">
        <v>268</v>
      </c>
      <c r="DG1773" t="s">
        <v>21666</v>
      </c>
      <c r="DH1773" t="s">
        <v>235</v>
      </c>
      <c r="DI1773" t="s">
        <v>183</v>
      </c>
      <c r="DJ1773" t="s">
        <v>211</v>
      </c>
      <c r="DK1773" t="s">
        <v>460</v>
      </c>
      <c r="DM1773" t="s">
        <v>21483</v>
      </c>
      <c r="DN1773" t="s">
        <v>21675</v>
      </c>
      <c r="DO1773" t="s">
        <v>238</v>
      </c>
      <c r="DP1773" t="s">
        <v>239</v>
      </c>
      <c r="DQ1773" t="s">
        <v>21668</v>
      </c>
      <c r="DR1773" t="s">
        <v>482</v>
      </c>
      <c r="DS1773" t="s">
        <v>183</v>
      </c>
      <c r="DT1773" t="s">
        <v>211</v>
      </c>
      <c r="DU1773" t="s">
        <v>199</v>
      </c>
      <c r="DW1773" t="s">
        <v>21471</v>
      </c>
      <c r="DX1773" t="s">
        <v>21676</v>
      </c>
      <c r="DY1773" t="s">
        <v>346</v>
      </c>
      <c r="DZ1773" t="s">
        <v>347</v>
      </c>
      <c r="EA1773" t="s">
        <v>21669</v>
      </c>
      <c r="EB1773" t="s">
        <v>1966</v>
      </c>
      <c r="EC1773" t="s">
        <v>183</v>
      </c>
      <c r="ED1773" t="s">
        <v>211</v>
      </c>
      <c r="EE1773" t="s">
        <v>427</v>
      </c>
      <c r="EG1773" t="s">
        <v>21471</v>
      </c>
      <c r="EH1773" t="s">
        <v>16962</v>
      </c>
      <c r="EI1773" t="s">
        <v>207</v>
      </c>
      <c r="EJ1773" t="s">
        <v>208</v>
      </c>
      <c r="EK1773" t="s">
        <v>21651</v>
      </c>
      <c r="EL1773" t="s">
        <v>519</v>
      </c>
      <c r="EM1773" t="s">
        <v>183</v>
      </c>
      <c r="EN1773" t="s">
        <v>211</v>
      </c>
      <c r="EO1773" t="s">
        <v>633</v>
      </c>
      <c r="EQ1773" t="s">
        <v>21471</v>
      </c>
      <c r="FA1773" t="s">
        <v>198</v>
      </c>
      <c r="FK1773" t="s">
        <v>198</v>
      </c>
      <c r="FU1773" t="s">
        <v>198</v>
      </c>
    </row>
    <row r="1774" spans="1:177">
      <c r="A1774" s="1" t="str">
        <f>HYPERLINK("http://digipan.lumentumllc.com/apps/getLink/index.php?t=PropLink&amp;p=5247770","PL")</f>
        <v>PL</v>
      </c>
      <c r="B1774" s="1" t="str">
        <f>HYPERLINK("http://digipan.lumentumllc.com/apps/getLink/index.php?t=TaxLink&amp;p=5247770","TL")</f>
        <v>TL</v>
      </c>
      <c r="C1774" s="1" t="str">
        <f>HYPERLINK("http://digipan.lumentumllc.com/apps/getMap/index.php?p=5247770","Map")</f>
        <v>Map</v>
      </c>
      <c r="E1774" t="s">
        <v>177</v>
      </c>
      <c r="F1774" t="s">
        <v>178</v>
      </c>
      <c r="L1774" t="s">
        <v>21677</v>
      </c>
      <c r="N1774" t="s">
        <v>21677</v>
      </c>
      <c r="O1774" t="s">
        <v>21677</v>
      </c>
      <c r="P1774" t="s">
        <v>21678</v>
      </c>
      <c r="Q1774" t="s">
        <v>21677</v>
      </c>
      <c r="V1774">
        <v>2025</v>
      </c>
      <c r="W1774">
        <v>7</v>
      </c>
      <c r="X1774">
        <v>2017</v>
      </c>
      <c r="Y1774">
        <v>2018</v>
      </c>
      <c r="Z1774">
        <v>611.84</v>
      </c>
      <c r="AB1774" t="s">
        <v>181</v>
      </c>
      <c r="AC1774" t="s">
        <v>182</v>
      </c>
      <c r="AD1774" t="s">
        <v>183</v>
      </c>
      <c r="AE1774">
        <v>1</v>
      </c>
      <c r="AF1774">
        <v>5</v>
      </c>
      <c r="AG1774" t="s">
        <v>951</v>
      </c>
      <c r="AH1774">
        <v>80</v>
      </c>
      <c r="AI1774">
        <v>604.32000000000005</v>
      </c>
      <c r="AJ1774">
        <v>30.22</v>
      </c>
      <c r="AK1774">
        <v>634.54</v>
      </c>
      <c r="AL1774">
        <v>58000</v>
      </c>
      <c r="AM1774">
        <v>58000</v>
      </c>
      <c r="AN1774">
        <v>0</v>
      </c>
      <c r="AO1774">
        <v>534</v>
      </c>
      <c r="AP1774">
        <v>2016</v>
      </c>
      <c r="AQ1774">
        <v>1.05</v>
      </c>
      <c r="AR1774">
        <v>1.0900000000000001</v>
      </c>
      <c r="AS1774" t="s">
        <v>21679</v>
      </c>
      <c r="AT1774" t="s">
        <v>3210</v>
      </c>
      <c r="AU1774" t="s">
        <v>177</v>
      </c>
      <c r="AV1774" t="s">
        <v>2334</v>
      </c>
      <c r="AW1774" t="s">
        <v>182</v>
      </c>
      <c r="AX1774">
        <v>0</v>
      </c>
      <c r="AY1774" t="s">
        <v>312</v>
      </c>
      <c r="AZ1774" t="s">
        <v>199</v>
      </c>
      <c r="BA1774" t="s">
        <v>313</v>
      </c>
      <c r="BB1774" t="s">
        <v>191</v>
      </c>
      <c r="BC1774" t="s">
        <v>182</v>
      </c>
      <c r="BD1774" t="s">
        <v>182</v>
      </c>
      <c r="BE1774" t="s">
        <v>5689</v>
      </c>
      <c r="BF1774">
        <v>0</v>
      </c>
      <c r="BG1774">
        <v>0</v>
      </c>
      <c r="BH1774">
        <v>0</v>
      </c>
      <c r="BI1774" t="s">
        <v>199</v>
      </c>
      <c r="BJ1774" t="s">
        <v>194</v>
      </c>
      <c r="BL1774" t="s">
        <v>21510</v>
      </c>
      <c r="BM1774" t="s">
        <v>267</v>
      </c>
      <c r="BN1774" t="s">
        <v>182</v>
      </c>
      <c r="BO1774" t="s">
        <v>198</v>
      </c>
      <c r="BP1774" t="s">
        <v>198</v>
      </c>
      <c r="BQ1774" t="s">
        <v>198</v>
      </c>
      <c r="BR1774" t="s">
        <v>198</v>
      </c>
      <c r="BS1774" t="s">
        <v>198</v>
      </c>
      <c r="BT1774" t="s">
        <v>198</v>
      </c>
      <c r="BU1774" t="s">
        <v>182</v>
      </c>
      <c r="BV1774" t="s">
        <v>198</v>
      </c>
      <c r="BW1774" t="s">
        <v>198</v>
      </c>
      <c r="BX1774" t="s">
        <v>199</v>
      </c>
      <c r="BY1774" t="s">
        <v>198</v>
      </c>
      <c r="BZ1774" t="s">
        <v>199</v>
      </c>
      <c r="CA1774" t="s">
        <v>199</v>
      </c>
      <c r="CB1774" t="s">
        <v>21463</v>
      </c>
      <c r="CC1774" t="s">
        <v>201</v>
      </c>
      <c r="CD1774" t="s">
        <v>182</v>
      </c>
      <c r="CE1774" t="s">
        <v>21464</v>
      </c>
      <c r="CF1774" t="s">
        <v>413</v>
      </c>
      <c r="CG1774" t="s">
        <v>177</v>
      </c>
      <c r="CH1774" t="s">
        <v>21465</v>
      </c>
      <c r="CI1774" t="s">
        <v>13673</v>
      </c>
      <c r="CJ1774" t="s">
        <v>7552</v>
      </c>
      <c r="CK1774" t="s">
        <v>232</v>
      </c>
      <c r="CL1774" t="s">
        <v>233</v>
      </c>
      <c r="CM1774" t="s">
        <v>21664</v>
      </c>
      <c r="CN1774" t="s">
        <v>235</v>
      </c>
      <c r="CO1774" t="s">
        <v>183</v>
      </c>
      <c r="CP1774" t="s">
        <v>266</v>
      </c>
      <c r="CS1774" t="s">
        <v>198</v>
      </c>
      <c r="CT1774" t="s">
        <v>21358</v>
      </c>
      <c r="CU1774" t="s">
        <v>292</v>
      </c>
      <c r="CV1774" t="s">
        <v>293</v>
      </c>
      <c r="CW1774" t="s">
        <v>21665</v>
      </c>
      <c r="CX1774" t="s">
        <v>387</v>
      </c>
      <c r="CY1774" t="s">
        <v>183</v>
      </c>
      <c r="CZ1774" t="s">
        <v>211</v>
      </c>
      <c r="DA1774" t="s">
        <v>250</v>
      </c>
      <c r="DC1774" t="s">
        <v>21481</v>
      </c>
      <c r="DD1774" t="s">
        <v>21680</v>
      </c>
      <c r="DE1774" t="s">
        <v>267</v>
      </c>
      <c r="DF1774" t="s">
        <v>268</v>
      </c>
      <c r="DG1774" t="s">
        <v>21666</v>
      </c>
      <c r="DH1774" t="s">
        <v>235</v>
      </c>
      <c r="DI1774" t="s">
        <v>183</v>
      </c>
      <c r="DJ1774" t="s">
        <v>211</v>
      </c>
      <c r="DK1774" t="s">
        <v>460</v>
      </c>
      <c r="DM1774" t="s">
        <v>21483</v>
      </c>
      <c r="DN1774" t="s">
        <v>21018</v>
      </c>
      <c r="DO1774" t="s">
        <v>238</v>
      </c>
      <c r="DP1774" t="s">
        <v>239</v>
      </c>
      <c r="DQ1774" t="s">
        <v>21668</v>
      </c>
      <c r="DR1774" t="s">
        <v>482</v>
      </c>
      <c r="DS1774" t="s">
        <v>183</v>
      </c>
      <c r="DT1774" t="s">
        <v>211</v>
      </c>
      <c r="DU1774" t="s">
        <v>199</v>
      </c>
      <c r="DW1774" t="s">
        <v>21471</v>
      </c>
      <c r="DX1774" t="s">
        <v>21681</v>
      </c>
      <c r="DY1774" t="s">
        <v>346</v>
      </c>
      <c r="DZ1774" t="s">
        <v>347</v>
      </c>
      <c r="EA1774" t="s">
        <v>21669</v>
      </c>
      <c r="EB1774" t="s">
        <v>1966</v>
      </c>
      <c r="EC1774" t="s">
        <v>183</v>
      </c>
      <c r="ED1774" t="s">
        <v>211</v>
      </c>
      <c r="EE1774" t="s">
        <v>427</v>
      </c>
      <c r="EG1774" t="s">
        <v>21471</v>
      </c>
      <c r="EH1774" t="s">
        <v>21682</v>
      </c>
      <c r="EI1774" t="s">
        <v>207</v>
      </c>
      <c r="EJ1774" t="s">
        <v>208</v>
      </c>
      <c r="EK1774" t="s">
        <v>21651</v>
      </c>
      <c r="EL1774" t="s">
        <v>519</v>
      </c>
      <c r="EM1774" t="s">
        <v>183</v>
      </c>
      <c r="EN1774" t="s">
        <v>211</v>
      </c>
      <c r="EO1774" t="s">
        <v>633</v>
      </c>
      <c r="EQ1774" t="s">
        <v>21471</v>
      </c>
      <c r="FA1774" t="s">
        <v>198</v>
      </c>
      <c r="FK1774" t="s">
        <v>198</v>
      </c>
      <c r="FU1774" t="s">
        <v>198</v>
      </c>
    </row>
    <row r="1775" spans="1:177">
      <c r="A1775" s="1" t="str">
        <f>HYPERLINK("http://digipan.lumentumllc.com/apps/getLink/index.php?t=PropLink&amp;p=5247771","PL")</f>
        <v>PL</v>
      </c>
      <c r="B1775" s="1" t="str">
        <f>HYPERLINK("http://digipan.lumentumllc.com/apps/getLink/index.php?t=TaxLink&amp;p=5247771","TL")</f>
        <v>TL</v>
      </c>
      <c r="C1775" s="1" t="str">
        <f>HYPERLINK("http://digipan.lumentumllc.com/apps/getMap/index.php?p=5247771","Map")</f>
        <v>Map</v>
      </c>
      <c r="E1775" t="s">
        <v>177</v>
      </c>
      <c r="F1775" t="s">
        <v>178</v>
      </c>
      <c r="L1775" t="s">
        <v>21683</v>
      </c>
      <c r="N1775" t="s">
        <v>21683</v>
      </c>
      <c r="O1775" t="s">
        <v>21683</v>
      </c>
      <c r="P1775" t="s">
        <v>21684</v>
      </c>
      <c r="Q1775" t="s">
        <v>21683</v>
      </c>
      <c r="V1775">
        <v>2026</v>
      </c>
      <c r="W1775">
        <v>7</v>
      </c>
      <c r="X1775">
        <v>2017</v>
      </c>
      <c r="Y1775">
        <v>2018</v>
      </c>
      <c r="Z1775">
        <v>611.84</v>
      </c>
      <c r="AB1775" t="s">
        <v>181</v>
      </c>
      <c r="AC1775" t="s">
        <v>182</v>
      </c>
      <c r="AD1775" t="s">
        <v>183</v>
      </c>
      <c r="AE1775">
        <v>1</v>
      </c>
      <c r="AF1775">
        <v>5</v>
      </c>
      <c r="AG1775" t="s">
        <v>951</v>
      </c>
      <c r="AH1775">
        <v>80</v>
      </c>
      <c r="AI1775">
        <v>604.32000000000005</v>
      </c>
      <c r="AJ1775">
        <v>30.22</v>
      </c>
      <c r="AK1775">
        <v>634.54</v>
      </c>
      <c r="AL1775">
        <v>58000</v>
      </c>
      <c r="AM1775">
        <v>58000</v>
      </c>
      <c r="AN1775">
        <v>0</v>
      </c>
      <c r="AO1775">
        <v>534</v>
      </c>
      <c r="AP1775">
        <v>2016</v>
      </c>
      <c r="AQ1775">
        <v>1.05</v>
      </c>
      <c r="AR1775">
        <v>1.0900000000000001</v>
      </c>
      <c r="AS1775" t="s">
        <v>21685</v>
      </c>
      <c r="AT1775" t="s">
        <v>3210</v>
      </c>
      <c r="AU1775" t="s">
        <v>177</v>
      </c>
      <c r="AV1775" t="s">
        <v>2334</v>
      </c>
      <c r="AW1775" t="s">
        <v>182</v>
      </c>
      <c r="AX1775">
        <v>0</v>
      </c>
      <c r="AY1775" t="s">
        <v>312</v>
      </c>
      <c r="AZ1775" t="s">
        <v>199</v>
      </c>
      <c r="BA1775" t="s">
        <v>313</v>
      </c>
      <c r="BB1775" t="s">
        <v>191</v>
      </c>
      <c r="BC1775" t="s">
        <v>182</v>
      </c>
      <c r="BD1775" t="s">
        <v>182</v>
      </c>
      <c r="BE1775" t="s">
        <v>5689</v>
      </c>
      <c r="BF1775">
        <v>0</v>
      </c>
      <c r="BG1775">
        <v>0</v>
      </c>
      <c r="BH1775">
        <v>0</v>
      </c>
      <c r="BI1775" t="s">
        <v>199</v>
      </c>
      <c r="BJ1775" t="s">
        <v>194</v>
      </c>
      <c r="BL1775" t="s">
        <v>21510</v>
      </c>
      <c r="BM1775" t="s">
        <v>267</v>
      </c>
      <c r="BN1775" t="s">
        <v>182</v>
      </c>
      <c r="BO1775" t="s">
        <v>198</v>
      </c>
      <c r="BP1775" t="s">
        <v>198</v>
      </c>
      <c r="BQ1775" t="s">
        <v>198</v>
      </c>
      <c r="BR1775" t="s">
        <v>198</v>
      </c>
      <c r="BS1775" t="s">
        <v>198</v>
      </c>
      <c r="BT1775" t="s">
        <v>198</v>
      </c>
      <c r="BU1775" t="s">
        <v>182</v>
      </c>
      <c r="BV1775" t="s">
        <v>198</v>
      </c>
      <c r="BW1775" t="s">
        <v>198</v>
      </c>
      <c r="BX1775" t="s">
        <v>199</v>
      </c>
      <c r="BY1775" t="s">
        <v>198</v>
      </c>
      <c r="BZ1775" t="s">
        <v>199</v>
      </c>
      <c r="CA1775" t="s">
        <v>199</v>
      </c>
      <c r="CB1775" t="s">
        <v>21463</v>
      </c>
      <c r="CC1775" t="s">
        <v>201</v>
      </c>
      <c r="CD1775" t="s">
        <v>182</v>
      </c>
      <c r="CE1775" t="s">
        <v>21464</v>
      </c>
      <c r="CF1775" t="s">
        <v>413</v>
      </c>
      <c r="CG1775" t="s">
        <v>177</v>
      </c>
      <c r="CH1775" t="s">
        <v>21465</v>
      </c>
      <c r="CI1775" t="s">
        <v>13688</v>
      </c>
      <c r="CJ1775" t="s">
        <v>13407</v>
      </c>
      <c r="CK1775" t="s">
        <v>232</v>
      </c>
      <c r="CL1775" t="s">
        <v>233</v>
      </c>
      <c r="CM1775" t="s">
        <v>21664</v>
      </c>
      <c r="CN1775" t="s">
        <v>235</v>
      </c>
      <c r="CO1775" t="s">
        <v>183</v>
      </c>
      <c r="CP1775" t="s">
        <v>266</v>
      </c>
      <c r="CS1775" t="s">
        <v>198</v>
      </c>
      <c r="CT1775" t="s">
        <v>21374</v>
      </c>
      <c r="CU1775" t="s">
        <v>292</v>
      </c>
      <c r="CV1775" t="s">
        <v>293</v>
      </c>
      <c r="CW1775" t="s">
        <v>21665</v>
      </c>
      <c r="CX1775" t="s">
        <v>387</v>
      </c>
      <c r="CY1775" t="s">
        <v>183</v>
      </c>
      <c r="CZ1775" t="s">
        <v>211</v>
      </c>
      <c r="DA1775" t="s">
        <v>250</v>
      </c>
      <c r="DC1775" t="s">
        <v>21481</v>
      </c>
      <c r="DD1775" t="s">
        <v>15324</v>
      </c>
      <c r="DE1775" t="s">
        <v>267</v>
      </c>
      <c r="DF1775" t="s">
        <v>268</v>
      </c>
      <c r="DG1775" t="s">
        <v>21666</v>
      </c>
      <c r="DH1775" t="s">
        <v>235</v>
      </c>
      <c r="DI1775" t="s">
        <v>183</v>
      </c>
      <c r="DJ1775" t="s">
        <v>211</v>
      </c>
      <c r="DK1775" t="s">
        <v>460</v>
      </c>
      <c r="DM1775" t="s">
        <v>21483</v>
      </c>
      <c r="DN1775" t="s">
        <v>3697</v>
      </c>
      <c r="DO1775" t="s">
        <v>238</v>
      </c>
      <c r="DP1775" t="s">
        <v>239</v>
      </c>
      <c r="DQ1775" t="s">
        <v>21668</v>
      </c>
      <c r="DR1775" t="s">
        <v>482</v>
      </c>
      <c r="DS1775" t="s">
        <v>183</v>
      </c>
      <c r="DT1775" t="s">
        <v>211</v>
      </c>
      <c r="DU1775" t="s">
        <v>199</v>
      </c>
      <c r="DW1775" t="s">
        <v>21471</v>
      </c>
      <c r="DX1775" t="s">
        <v>14020</v>
      </c>
      <c r="DY1775" t="s">
        <v>346</v>
      </c>
      <c r="DZ1775" t="s">
        <v>347</v>
      </c>
      <c r="EA1775" t="s">
        <v>21669</v>
      </c>
      <c r="EB1775" t="s">
        <v>1966</v>
      </c>
      <c r="EC1775" t="s">
        <v>183</v>
      </c>
      <c r="ED1775" t="s">
        <v>211</v>
      </c>
      <c r="EE1775" t="s">
        <v>427</v>
      </c>
      <c r="EG1775" t="s">
        <v>21471</v>
      </c>
      <c r="EH1775" t="s">
        <v>16978</v>
      </c>
      <c r="EI1775" t="s">
        <v>207</v>
      </c>
      <c r="EJ1775" t="s">
        <v>208</v>
      </c>
      <c r="EK1775" t="s">
        <v>21651</v>
      </c>
      <c r="EL1775" t="s">
        <v>519</v>
      </c>
      <c r="EM1775" t="s">
        <v>183</v>
      </c>
      <c r="EN1775" t="s">
        <v>211</v>
      </c>
      <c r="EO1775" t="s">
        <v>633</v>
      </c>
      <c r="EQ1775" t="s">
        <v>21471</v>
      </c>
      <c r="FA1775" t="s">
        <v>198</v>
      </c>
      <c r="FK1775" t="s">
        <v>198</v>
      </c>
      <c r="FU1775" t="s">
        <v>198</v>
      </c>
    </row>
    <row r="1776" spans="1:177">
      <c r="A1776" s="1" t="str">
        <f>HYPERLINK("http://digipan.lumentumllc.com/apps/getLink/index.php?t=PropLink&amp;p=5247773","PL")</f>
        <v>PL</v>
      </c>
      <c r="B1776" s="1" t="str">
        <f>HYPERLINK("http://digipan.lumentumllc.com/apps/getLink/index.php?t=TaxLink&amp;p=5247773","TL")</f>
        <v>TL</v>
      </c>
      <c r="C1776" s="1" t="str">
        <f>HYPERLINK("http://digipan.lumentumllc.com/apps/getMap/index.php?p=5247773","Map")</f>
        <v>Map</v>
      </c>
      <c r="E1776" t="s">
        <v>177</v>
      </c>
      <c r="F1776" t="s">
        <v>178</v>
      </c>
      <c r="L1776" t="s">
        <v>21686</v>
      </c>
      <c r="N1776" t="s">
        <v>21686</v>
      </c>
      <c r="O1776" t="s">
        <v>21686</v>
      </c>
      <c r="P1776" t="s">
        <v>21687</v>
      </c>
      <c r="Q1776" t="s">
        <v>21686</v>
      </c>
      <c r="V1776">
        <v>2027</v>
      </c>
      <c r="W1776">
        <v>7</v>
      </c>
      <c r="X1776">
        <v>2017</v>
      </c>
      <c r="Y1776">
        <v>2018</v>
      </c>
      <c r="Z1776">
        <v>611.84</v>
      </c>
      <c r="AB1776" t="s">
        <v>181</v>
      </c>
      <c r="AC1776" t="s">
        <v>182</v>
      </c>
      <c r="AD1776" t="s">
        <v>183</v>
      </c>
      <c r="AE1776">
        <v>1</v>
      </c>
      <c r="AF1776">
        <v>5</v>
      </c>
      <c r="AG1776" t="s">
        <v>951</v>
      </c>
      <c r="AH1776">
        <v>80</v>
      </c>
      <c r="AI1776">
        <v>604.32000000000005</v>
      </c>
      <c r="AJ1776">
        <v>30.22</v>
      </c>
      <c r="AK1776">
        <v>634.54</v>
      </c>
      <c r="AL1776">
        <v>58000</v>
      </c>
      <c r="AM1776">
        <v>58000</v>
      </c>
      <c r="AN1776">
        <v>0</v>
      </c>
      <c r="AO1776">
        <v>534</v>
      </c>
      <c r="AP1776">
        <v>2016</v>
      </c>
      <c r="AQ1776">
        <v>1.05</v>
      </c>
      <c r="AR1776">
        <v>1.0900000000000001</v>
      </c>
      <c r="AS1776" t="s">
        <v>21688</v>
      </c>
      <c r="AT1776" t="s">
        <v>3210</v>
      </c>
      <c r="AU1776" t="s">
        <v>177</v>
      </c>
      <c r="AV1776" t="s">
        <v>2334</v>
      </c>
      <c r="AW1776" t="s">
        <v>182</v>
      </c>
      <c r="AX1776">
        <v>0</v>
      </c>
      <c r="AY1776" t="s">
        <v>312</v>
      </c>
      <c r="AZ1776" t="s">
        <v>199</v>
      </c>
      <c r="BA1776" t="s">
        <v>313</v>
      </c>
      <c r="BB1776" t="s">
        <v>191</v>
      </c>
      <c r="BC1776" t="s">
        <v>182</v>
      </c>
      <c r="BD1776" t="s">
        <v>182</v>
      </c>
      <c r="BE1776" t="s">
        <v>11684</v>
      </c>
      <c r="BF1776">
        <v>0</v>
      </c>
      <c r="BG1776">
        <v>0</v>
      </c>
      <c r="BH1776">
        <v>0</v>
      </c>
      <c r="BI1776" t="s">
        <v>199</v>
      </c>
      <c r="BJ1776" t="s">
        <v>194</v>
      </c>
      <c r="BL1776" t="s">
        <v>21510</v>
      </c>
      <c r="BM1776" t="s">
        <v>267</v>
      </c>
      <c r="BN1776" t="s">
        <v>182</v>
      </c>
      <c r="BO1776" t="s">
        <v>198</v>
      </c>
      <c r="BP1776" t="s">
        <v>198</v>
      </c>
      <c r="BQ1776" t="s">
        <v>198</v>
      </c>
      <c r="BR1776" t="s">
        <v>198</v>
      </c>
      <c r="BS1776" t="s">
        <v>198</v>
      </c>
      <c r="BT1776" t="s">
        <v>198</v>
      </c>
      <c r="BU1776" t="s">
        <v>182</v>
      </c>
      <c r="BV1776" t="s">
        <v>198</v>
      </c>
      <c r="BW1776" t="s">
        <v>198</v>
      </c>
      <c r="BX1776" t="s">
        <v>199</v>
      </c>
      <c r="BY1776" t="s">
        <v>198</v>
      </c>
      <c r="BZ1776" t="s">
        <v>199</v>
      </c>
      <c r="CA1776" t="s">
        <v>199</v>
      </c>
      <c r="CB1776" t="s">
        <v>21463</v>
      </c>
      <c r="CC1776" t="s">
        <v>201</v>
      </c>
      <c r="CD1776" t="s">
        <v>182</v>
      </c>
      <c r="CE1776" t="s">
        <v>21464</v>
      </c>
      <c r="CF1776" t="s">
        <v>413</v>
      </c>
      <c r="CG1776" t="s">
        <v>177</v>
      </c>
      <c r="CH1776" t="s">
        <v>21465</v>
      </c>
      <c r="CI1776" t="s">
        <v>21689</v>
      </c>
      <c r="CJ1776" t="s">
        <v>12282</v>
      </c>
      <c r="CK1776" t="s">
        <v>232</v>
      </c>
      <c r="CL1776" t="s">
        <v>233</v>
      </c>
      <c r="CM1776" t="s">
        <v>21664</v>
      </c>
      <c r="CN1776" t="s">
        <v>235</v>
      </c>
      <c r="CO1776" t="s">
        <v>183</v>
      </c>
      <c r="CP1776" t="s">
        <v>266</v>
      </c>
      <c r="CS1776" t="s">
        <v>198</v>
      </c>
      <c r="CT1776" t="s">
        <v>3432</v>
      </c>
      <c r="CU1776" t="s">
        <v>292</v>
      </c>
      <c r="CV1776" t="s">
        <v>293</v>
      </c>
      <c r="CW1776" t="s">
        <v>21665</v>
      </c>
      <c r="CX1776" t="s">
        <v>387</v>
      </c>
      <c r="CY1776" t="s">
        <v>183</v>
      </c>
      <c r="CZ1776" t="s">
        <v>211</v>
      </c>
      <c r="DA1776" t="s">
        <v>250</v>
      </c>
      <c r="DC1776" t="s">
        <v>21481</v>
      </c>
      <c r="DD1776" t="s">
        <v>10462</v>
      </c>
      <c r="DE1776" t="s">
        <v>267</v>
      </c>
      <c r="DF1776" t="s">
        <v>268</v>
      </c>
      <c r="DG1776" t="s">
        <v>21666</v>
      </c>
      <c r="DH1776" t="s">
        <v>235</v>
      </c>
      <c r="DI1776" t="s">
        <v>183</v>
      </c>
      <c r="DJ1776" t="s">
        <v>211</v>
      </c>
      <c r="DK1776" t="s">
        <v>460</v>
      </c>
      <c r="DM1776" t="s">
        <v>21483</v>
      </c>
      <c r="DN1776" t="s">
        <v>21690</v>
      </c>
      <c r="DO1776" t="s">
        <v>238</v>
      </c>
      <c r="DP1776" t="s">
        <v>239</v>
      </c>
      <c r="DQ1776" t="s">
        <v>21668</v>
      </c>
      <c r="DR1776" t="s">
        <v>482</v>
      </c>
      <c r="DS1776" t="s">
        <v>183</v>
      </c>
      <c r="DT1776" t="s">
        <v>211</v>
      </c>
      <c r="DU1776" t="s">
        <v>199</v>
      </c>
      <c r="DW1776" t="s">
        <v>21471</v>
      </c>
      <c r="DX1776" t="s">
        <v>16020</v>
      </c>
      <c r="DY1776" t="s">
        <v>346</v>
      </c>
      <c r="DZ1776" t="s">
        <v>347</v>
      </c>
      <c r="EA1776" t="s">
        <v>21669</v>
      </c>
      <c r="EB1776" t="s">
        <v>1966</v>
      </c>
      <c r="EC1776" t="s">
        <v>183</v>
      </c>
      <c r="ED1776" t="s">
        <v>211</v>
      </c>
      <c r="EE1776" t="s">
        <v>427</v>
      </c>
      <c r="EG1776" t="s">
        <v>21471</v>
      </c>
      <c r="EH1776" t="s">
        <v>21691</v>
      </c>
      <c r="EI1776" t="s">
        <v>207</v>
      </c>
      <c r="EJ1776" t="s">
        <v>208</v>
      </c>
      <c r="EK1776" t="s">
        <v>21651</v>
      </c>
      <c r="EL1776" t="s">
        <v>519</v>
      </c>
      <c r="EM1776" t="s">
        <v>183</v>
      </c>
      <c r="EN1776" t="s">
        <v>211</v>
      </c>
      <c r="EO1776" t="s">
        <v>633</v>
      </c>
      <c r="EQ1776" t="s">
        <v>21471</v>
      </c>
      <c r="FA1776" t="s">
        <v>198</v>
      </c>
      <c r="FK1776" t="s">
        <v>198</v>
      </c>
      <c r="FU1776" t="s">
        <v>198</v>
      </c>
    </row>
    <row r="1777" spans="1:177">
      <c r="A1777" s="1" t="str">
        <f>HYPERLINK("http://digipan.lumentumllc.com/apps/getLink/index.php?t=PropLink&amp;p=5247774","PL")</f>
        <v>PL</v>
      </c>
      <c r="B1777" s="1" t="str">
        <f>HYPERLINK("http://digipan.lumentumllc.com/apps/getLink/index.php?t=TaxLink&amp;p=5247774","TL")</f>
        <v>TL</v>
      </c>
      <c r="C1777" s="1" t="str">
        <f>HYPERLINK("http://digipan.lumentumllc.com/apps/getMap/index.php?p=5247774","Map")</f>
        <v>Map</v>
      </c>
      <c r="E1777" t="s">
        <v>177</v>
      </c>
      <c r="F1777" t="s">
        <v>178</v>
      </c>
      <c r="L1777" t="s">
        <v>21692</v>
      </c>
      <c r="N1777" t="s">
        <v>21692</v>
      </c>
      <c r="O1777" t="s">
        <v>21692</v>
      </c>
      <c r="P1777" t="s">
        <v>21693</v>
      </c>
      <c r="Q1777" t="s">
        <v>21692</v>
      </c>
      <c r="V1777">
        <v>2028</v>
      </c>
      <c r="W1777">
        <v>7</v>
      </c>
      <c r="X1777">
        <v>2017</v>
      </c>
      <c r="Y1777">
        <v>2018</v>
      </c>
      <c r="Z1777">
        <v>611.84</v>
      </c>
      <c r="AB1777" t="s">
        <v>181</v>
      </c>
      <c r="AC1777" t="s">
        <v>182</v>
      </c>
      <c r="AD1777" t="s">
        <v>183</v>
      </c>
      <c r="AE1777">
        <v>1</v>
      </c>
      <c r="AF1777">
        <v>5</v>
      </c>
      <c r="AG1777" t="s">
        <v>951</v>
      </c>
      <c r="AH1777">
        <v>80</v>
      </c>
      <c r="AI1777">
        <v>604.32000000000005</v>
      </c>
      <c r="AJ1777">
        <v>30.22</v>
      </c>
      <c r="AK1777">
        <v>634.54</v>
      </c>
      <c r="AL1777">
        <v>58000</v>
      </c>
      <c r="AM1777">
        <v>58000</v>
      </c>
      <c r="AN1777">
        <v>0</v>
      </c>
      <c r="AO1777">
        <v>534</v>
      </c>
      <c r="AP1777">
        <v>2016</v>
      </c>
      <c r="AQ1777">
        <v>1.05</v>
      </c>
      <c r="AR1777">
        <v>1.0900000000000001</v>
      </c>
      <c r="AS1777" t="s">
        <v>21694</v>
      </c>
      <c r="AT1777" t="s">
        <v>3210</v>
      </c>
      <c r="AU1777" t="s">
        <v>177</v>
      </c>
      <c r="AV1777" t="s">
        <v>2334</v>
      </c>
      <c r="AW1777" t="s">
        <v>182</v>
      </c>
      <c r="AX1777">
        <v>0</v>
      </c>
      <c r="AY1777" t="s">
        <v>312</v>
      </c>
      <c r="AZ1777" t="s">
        <v>199</v>
      </c>
      <c r="BA1777" t="s">
        <v>313</v>
      </c>
      <c r="BB1777" t="s">
        <v>191</v>
      </c>
      <c r="BC1777" t="s">
        <v>182</v>
      </c>
      <c r="BD1777" t="s">
        <v>182</v>
      </c>
      <c r="BE1777" t="s">
        <v>5992</v>
      </c>
      <c r="BF1777">
        <v>0</v>
      </c>
      <c r="BG1777">
        <v>0</v>
      </c>
      <c r="BH1777">
        <v>0</v>
      </c>
      <c r="BI1777" t="s">
        <v>199</v>
      </c>
      <c r="BJ1777" t="s">
        <v>194</v>
      </c>
      <c r="BL1777" t="s">
        <v>21510</v>
      </c>
      <c r="BM1777" t="s">
        <v>267</v>
      </c>
      <c r="BN1777" t="s">
        <v>182</v>
      </c>
      <c r="BO1777" t="s">
        <v>198</v>
      </c>
      <c r="BP1777" t="s">
        <v>198</v>
      </c>
      <c r="BQ1777" t="s">
        <v>198</v>
      </c>
      <c r="BR1777" t="s">
        <v>198</v>
      </c>
      <c r="BS1777" t="s">
        <v>198</v>
      </c>
      <c r="BT1777" t="s">
        <v>198</v>
      </c>
      <c r="BU1777" t="s">
        <v>182</v>
      </c>
      <c r="BV1777" t="s">
        <v>198</v>
      </c>
      <c r="BW1777" t="s">
        <v>198</v>
      </c>
      <c r="BX1777" t="s">
        <v>199</v>
      </c>
      <c r="BY1777" t="s">
        <v>198</v>
      </c>
      <c r="BZ1777" t="s">
        <v>199</v>
      </c>
      <c r="CA1777" t="s">
        <v>199</v>
      </c>
      <c r="CB1777" t="s">
        <v>21463</v>
      </c>
      <c r="CC1777" t="s">
        <v>201</v>
      </c>
      <c r="CD1777" t="s">
        <v>182</v>
      </c>
      <c r="CE1777" t="s">
        <v>21464</v>
      </c>
      <c r="CF1777" t="s">
        <v>413</v>
      </c>
      <c r="CG1777" t="s">
        <v>177</v>
      </c>
      <c r="CH1777" t="s">
        <v>21465</v>
      </c>
      <c r="CI1777" t="s">
        <v>21695</v>
      </c>
      <c r="CJ1777" t="s">
        <v>3386</v>
      </c>
      <c r="CK1777" t="s">
        <v>232</v>
      </c>
      <c r="CL1777" t="s">
        <v>233</v>
      </c>
      <c r="CM1777" t="s">
        <v>21664</v>
      </c>
      <c r="CN1777" t="s">
        <v>235</v>
      </c>
      <c r="CO1777" t="s">
        <v>183</v>
      </c>
      <c r="CP1777" t="s">
        <v>266</v>
      </c>
      <c r="CS1777" t="s">
        <v>198</v>
      </c>
      <c r="CT1777" t="s">
        <v>21432</v>
      </c>
      <c r="CU1777" t="s">
        <v>292</v>
      </c>
      <c r="CV1777" t="s">
        <v>293</v>
      </c>
      <c r="CW1777" t="s">
        <v>21665</v>
      </c>
      <c r="CX1777" t="s">
        <v>387</v>
      </c>
      <c r="CY1777" t="s">
        <v>183</v>
      </c>
      <c r="CZ1777" t="s">
        <v>211</v>
      </c>
      <c r="DA1777" t="s">
        <v>250</v>
      </c>
      <c r="DC1777" t="s">
        <v>21481</v>
      </c>
      <c r="DD1777" t="s">
        <v>15331</v>
      </c>
      <c r="DE1777" t="s">
        <v>267</v>
      </c>
      <c r="DF1777" t="s">
        <v>268</v>
      </c>
      <c r="DG1777" t="s">
        <v>21666</v>
      </c>
      <c r="DH1777" t="s">
        <v>235</v>
      </c>
      <c r="DI1777" t="s">
        <v>183</v>
      </c>
      <c r="DJ1777" t="s">
        <v>211</v>
      </c>
      <c r="DK1777" t="s">
        <v>460</v>
      </c>
      <c r="DM1777" t="s">
        <v>21483</v>
      </c>
      <c r="DN1777" t="s">
        <v>21696</v>
      </c>
      <c r="DO1777" t="s">
        <v>238</v>
      </c>
      <c r="DP1777" t="s">
        <v>239</v>
      </c>
      <c r="DQ1777" t="s">
        <v>21668</v>
      </c>
      <c r="DR1777" t="s">
        <v>482</v>
      </c>
      <c r="DS1777" t="s">
        <v>183</v>
      </c>
      <c r="DT1777" t="s">
        <v>211</v>
      </c>
      <c r="DU1777" t="s">
        <v>199</v>
      </c>
      <c r="DW1777" t="s">
        <v>21471</v>
      </c>
      <c r="DX1777" t="s">
        <v>20699</v>
      </c>
      <c r="DY1777" t="s">
        <v>346</v>
      </c>
      <c r="DZ1777" t="s">
        <v>347</v>
      </c>
      <c r="EA1777" t="s">
        <v>21669</v>
      </c>
      <c r="EB1777" t="s">
        <v>1966</v>
      </c>
      <c r="EC1777" t="s">
        <v>183</v>
      </c>
      <c r="ED1777" t="s">
        <v>211</v>
      </c>
      <c r="EE1777" t="s">
        <v>427</v>
      </c>
      <c r="EG1777" t="s">
        <v>21471</v>
      </c>
      <c r="EH1777" t="s">
        <v>21697</v>
      </c>
      <c r="EI1777" t="s">
        <v>207</v>
      </c>
      <c r="EJ1777" t="s">
        <v>208</v>
      </c>
      <c r="EK1777" t="s">
        <v>21651</v>
      </c>
      <c r="EL1777" t="s">
        <v>519</v>
      </c>
      <c r="EM1777" t="s">
        <v>183</v>
      </c>
      <c r="EN1777" t="s">
        <v>211</v>
      </c>
      <c r="EO1777" t="s">
        <v>633</v>
      </c>
      <c r="EQ1777" t="s">
        <v>21471</v>
      </c>
      <c r="FA1777" t="s">
        <v>198</v>
      </c>
      <c r="FK1777" t="s">
        <v>198</v>
      </c>
      <c r="FU1777" t="s">
        <v>198</v>
      </c>
    </row>
    <row r="1778" spans="1:177">
      <c r="A1778" s="1" t="str">
        <f>HYPERLINK("http://digipan.lumentumllc.com/apps/getLink/index.php?t=PropLink&amp;p=5247775","PL")</f>
        <v>PL</v>
      </c>
      <c r="B1778" s="1" t="str">
        <f>HYPERLINK("http://digipan.lumentumllc.com/apps/getLink/index.php?t=TaxLink&amp;p=5247775","TL")</f>
        <v>TL</v>
      </c>
      <c r="C1778" s="1" t="str">
        <f>HYPERLINK("http://digipan.lumentumllc.com/apps/getMap/index.php?p=5247775","Map")</f>
        <v>Map</v>
      </c>
      <c r="E1778" t="s">
        <v>177</v>
      </c>
      <c r="F1778" t="s">
        <v>178</v>
      </c>
      <c r="L1778" t="s">
        <v>21698</v>
      </c>
      <c r="N1778" t="s">
        <v>21698</v>
      </c>
      <c r="O1778" t="s">
        <v>21698</v>
      </c>
      <c r="P1778" t="s">
        <v>21699</v>
      </c>
      <c r="Q1778" t="s">
        <v>21698</v>
      </c>
      <c r="V1778">
        <v>2029</v>
      </c>
      <c r="W1778">
        <v>7</v>
      </c>
      <c r="X1778">
        <v>2017</v>
      </c>
      <c r="Y1778">
        <v>2018</v>
      </c>
      <c r="Z1778">
        <v>611.84</v>
      </c>
      <c r="AB1778" t="s">
        <v>181</v>
      </c>
      <c r="AC1778" t="s">
        <v>182</v>
      </c>
      <c r="AD1778" t="s">
        <v>183</v>
      </c>
      <c r="AE1778">
        <v>1</v>
      </c>
      <c r="AF1778">
        <v>5</v>
      </c>
      <c r="AG1778" t="s">
        <v>951</v>
      </c>
      <c r="AH1778">
        <v>80</v>
      </c>
      <c r="AI1778">
        <v>604.32000000000005</v>
      </c>
      <c r="AJ1778">
        <v>30.22</v>
      </c>
      <c r="AK1778">
        <v>634.54</v>
      </c>
      <c r="AL1778">
        <v>58000</v>
      </c>
      <c r="AM1778">
        <v>58000</v>
      </c>
      <c r="AN1778">
        <v>0</v>
      </c>
      <c r="AO1778">
        <v>534</v>
      </c>
      <c r="AP1778">
        <v>2016</v>
      </c>
      <c r="AQ1778">
        <v>1.05</v>
      </c>
      <c r="AR1778">
        <v>1.0900000000000001</v>
      </c>
      <c r="AS1778" t="s">
        <v>21700</v>
      </c>
      <c r="AT1778" t="s">
        <v>3210</v>
      </c>
      <c r="AU1778" t="s">
        <v>177</v>
      </c>
      <c r="AV1778" t="s">
        <v>2334</v>
      </c>
      <c r="AW1778" t="s">
        <v>182</v>
      </c>
      <c r="AX1778">
        <v>0</v>
      </c>
      <c r="AY1778" t="s">
        <v>312</v>
      </c>
      <c r="AZ1778" t="s">
        <v>199</v>
      </c>
      <c r="BA1778" t="s">
        <v>313</v>
      </c>
      <c r="BB1778" t="s">
        <v>191</v>
      </c>
      <c r="BC1778" t="s">
        <v>182</v>
      </c>
      <c r="BD1778" t="s">
        <v>182</v>
      </c>
      <c r="BE1778" t="s">
        <v>6673</v>
      </c>
      <c r="BF1778">
        <v>0</v>
      </c>
      <c r="BG1778">
        <v>0</v>
      </c>
      <c r="BH1778">
        <v>0</v>
      </c>
      <c r="BI1778" t="s">
        <v>199</v>
      </c>
      <c r="BJ1778" t="s">
        <v>315</v>
      </c>
      <c r="BL1778" t="s">
        <v>21510</v>
      </c>
      <c r="BM1778" t="s">
        <v>267</v>
      </c>
      <c r="BN1778" t="s">
        <v>182</v>
      </c>
      <c r="BO1778" t="s">
        <v>198</v>
      </c>
      <c r="BP1778" t="s">
        <v>198</v>
      </c>
      <c r="BQ1778" t="s">
        <v>198</v>
      </c>
      <c r="BR1778" t="s">
        <v>198</v>
      </c>
      <c r="BS1778" t="s">
        <v>198</v>
      </c>
      <c r="BT1778" t="s">
        <v>198</v>
      </c>
      <c r="BU1778" t="s">
        <v>182</v>
      </c>
      <c r="BV1778" t="s">
        <v>198</v>
      </c>
      <c r="BW1778" t="s">
        <v>198</v>
      </c>
      <c r="BX1778" t="s">
        <v>199</v>
      </c>
      <c r="BY1778" t="s">
        <v>198</v>
      </c>
      <c r="BZ1778" t="s">
        <v>199</v>
      </c>
      <c r="CA1778" t="s">
        <v>199</v>
      </c>
      <c r="CB1778" t="s">
        <v>21463</v>
      </c>
      <c r="CC1778" t="s">
        <v>201</v>
      </c>
      <c r="CD1778" t="s">
        <v>182</v>
      </c>
      <c r="CE1778" t="s">
        <v>21464</v>
      </c>
      <c r="CF1778" t="s">
        <v>413</v>
      </c>
      <c r="CG1778" t="s">
        <v>177</v>
      </c>
      <c r="CH1778" t="s">
        <v>21465</v>
      </c>
      <c r="CI1778" t="s">
        <v>21701</v>
      </c>
      <c r="CJ1778" t="s">
        <v>4954</v>
      </c>
      <c r="CK1778" t="s">
        <v>232</v>
      </c>
      <c r="CL1778" t="s">
        <v>233</v>
      </c>
      <c r="CM1778" t="s">
        <v>21664</v>
      </c>
      <c r="CN1778" t="s">
        <v>235</v>
      </c>
      <c r="CO1778" t="s">
        <v>183</v>
      </c>
      <c r="CP1778" t="s">
        <v>266</v>
      </c>
      <c r="CS1778" t="s">
        <v>198</v>
      </c>
      <c r="CT1778" t="s">
        <v>14767</v>
      </c>
      <c r="CU1778" t="s">
        <v>292</v>
      </c>
      <c r="CV1778" t="s">
        <v>293</v>
      </c>
      <c r="CW1778" t="s">
        <v>21665</v>
      </c>
      <c r="CX1778" t="s">
        <v>387</v>
      </c>
      <c r="CY1778" t="s">
        <v>183</v>
      </c>
      <c r="CZ1778" t="s">
        <v>211</v>
      </c>
      <c r="DA1778" t="s">
        <v>250</v>
      </c>
      <c r="DC1778" t="s">
        <v>21481</v>
      </c>
      <c r="DD1778" t="s">
        <v>12347</v>
      </c>
      <c r="DE1778" t="s">
        <v>267</v>
      </c>
      <c r="DF1778" t="s">
        <v>268</v>
      </c>
      <c r="DG1778" t="s">
        <v>21666</v>
      </c>
      <c r="DH1778" t="s">
        <v>235</v>
      </c>
      <c r="DI1778" t="s">
        <v>183</v>
      </c>
      <c r="DJ1778" t="s">
        <v>211</v>
      </c>
      <c r="DK1778" t="s">
        <v>460</v>
      </c>
      <c r="DM1778" t="s">
        <v>21483</v>
      </c>
      <c r="DN1778" t="s">
        <v>21702</v>
      </c>
      <c r="DO1778" t="s">
        <v>238</v>
      </c>
      <c r="DP1778" t="s">
        <v>239</v>
      </c>
      <c r="DQ1778" t="s">
        <v>21668</v>
      </c>
      <c r="DR1778" t="s">
        <v>482</v>
      </c>
      <c r="DS1778" t="s">
        <v>183</v>
      </c>
      <c r="DT1778" t="s">
        <v>211</v>
      </c>
      <c r="DU1778" t="s">
        <v>199</v>
      </c>
      <c r="DW1778" t="s">
        <v>21471</v>
      </c>
      <c r="DX1778" t="s">
        <v>21703</v>
      </c>
      <c r="DY1778" t="s">
        <v>346</v>
      </c>
      <c r="DZ1778" t="s">
        <v>347</v>
      </c>
      <c r="EA1778" t="s">
        <v>21669</v>
      </c>
      <c r="EB1778" t="s">
        <v>1966</v>
      </c>
      <c r="EC1778" t="s">
        <v>183</v>
      </c>
      <c r="ED1778" t="s">
        <v>211</v>
      </c>
      <c r="EE1778" t="s">
        <v>427</v>
      </c>
      <c r="EG1778" t="s">
        <v>21471</v>
      </c>
      <c r="EH1778" t="s">
        <v>17020</v>
      </c>
      <c r="EI1778" t="s">
        <v>207</v>
      </c>
      <c r="EJ1778" t="s">
        <v>208</v>
      </c>
      <c r="EK1778" t="s">
        <v>21651</v>
      </c>
      <c r="EL1778" t="s">
        <v>519</v>
      </c>
      <c r="EM1778" t="s">
        <v>183</v>
      </c>
      <c r="EN1778" t="s">
        <v>211</v>
      </c>
      <c r="EO1778" t="s">
        <v>633</v>
      </c>
      <c r="EQ1778" t="s">
        <v>21471</v>
      </c>
      <c r="FA1778" t="s">
        <v>198</v>
      </c>
      <c r="FK1778" t="s">
        <v>198</v>
      </c>
      <c r="FU1778" t="s">
        <v>198</v>
      </c>
    </row>
    <row r="1779" spans="1:177">
      <c r="A1779" s="1" t="str">
        <f>HYPERLINK("http://digipan.lumentumllc.com/apps/getLink/index.php?t=PropLink&amp;p=4638444","PL")</f>
        <v>PL</v>
      </c>
      <c r="B1779" s="1" t="str">
        <f>HYPERLINK("http://digipan.lumentumllc.com/apps/getLink/index.php?t=TaxLink&amp;p=4638444","TL")</f>
        <v>TL</v>
      </c>
      <c r="C1779" s="1" t="str">
        <f>HYPERLINK("http://digipan.lumentumllc.com/apps/getMap/index.php?p=4638444","Map")</f>
        <v>Map</v>
      </c>
      <c r="E1779" t="s">
        <v>177</v>
      </c>
      <c r="F1779" t="s">
        <v>178</v>
      </c>
      <c r="L1779" t="s">
        <v>21704</v>
      </c>
      <c r="N1779" t="s">
        <v>21704</v>
      </c>
      <c r="O1779" t="s">
        <v>21704</v>
      </c>
      <c r="P1779" t="s">
        <v>21705</v>
      </c>
      <c r="Q1779" t="s">
        <v>21704</v>
      </c>
      <c r="V1779">
        <v>2030</v>
      </c>
      <c r="W1779">
        <v>7</v>
      </c>
      <c r="X1779">
        <v>2017</v>
      </c>
      <c r="Y1779">
        <v>2018</v>
      </c>
      <c r="Z1779">
        <v>611.84</v>
      </c>
      <c r="AB1779" t="s">
        <v>181</v>
      </c>
      <c r="AC1779" t="s">
        <v>202</v>
      </c>
      <c r="AD1779" t="s">
        <v>183</v>
      </c>
      <c r="AE1779">
        <v>1</v>
      </c>
      <c r="AF1779">
        <v>1</v>
      </c>
      <c r="AG1779" t="s">
        <v>1200</v>
      </c>
      <c r="AH1779">
        <v>0</v>
      </c>
      <c r="AI1779">
        <v>604.32000000000005</v>
      </c>
      <c r="AJ1779">
        <v>30.22</v>
      </c>
      <c r="AK1779">
        <v>634.54</v>
      </c>
      <c r="AL1779">
        <v>58000</v>
      </c>
      <c r="AM1779">
        <v>58000</v>
      </c>
      <c r="AN1779">
        <v>0</v>
      </c>
      <c r="AO1779">
        <v>534</v>
      </c>
      <c r="AP1779">
        <v>2016</v>
      </c>
      <c r="AQ1779">
        <v>1.05</v>
      </c>
      <c r="AR1779">
        <v>1.0900000000000001</v>
      </c>
      <c r="AS1779" t="s">
        <v>21700</v>
      </c>
      <c r="AT1779" t="s">
        <v>3210</v>
      </c>
      <c r="AU1779" t="s">
        <v>177</v>
      </c>
      <c r="AV1779" t="s">
        <v>2334</v>
      </c>
      <c r="AW1779" t="s">
        <v>182</v>
      </c>
      <c r="AX1779">
        <v>0</v>
      </c>
      <c r="AY1779" t="s">
        <v>312</v>
      </c>
      <c r="AZ1779" t="s">
        <v>199</v>
      </c>
      <c r="BA1779" t="s">
        <v>313</v>
      </c>
      <c r="BB1779" t="s">
        <v>191</v>
      </c>
      <c r="BC1779" t="s">
        <v>182</v>
      </c>
      <c r="BD1779" t="s">
        <v>182</v>
      </c>
      <c r="BE1779" t="s">
        <v>9756</v>
      </c>
      <c r="BF1779">
        <v>0</v>
      </c>
      <c r="BG1779">
        <v>0</v>
      </c>
      <c r="BH1779">
        <v>0</v>
      </c>
      <c r="BI1779" t="s">
        <v>199</v>
      </c>
      <c r="BJ1779" t="s">
        <v>315</v>
      </c>
      <c r="BL1779" t="s">
        <v>17082</v>
      </c>
      <c r="BM1779" t="s">
        <v>238</v>
      </c>
      <c r="BN1779" t="s">
        <v>182</v>
      </c>
      <c r="BO1779" t="s">
        <v>198</v>
      </c>
      <c r="BP1779" t="s">
        <v>198</v>
      </c>
      <c r="BQ1779" t="s">
        <v>198</v>
      </c>
      <c r="BR1779" t="s">
        <v>198</v>
      </c>
      <c r="BS1779" t="s">
        <v>198</v>
      </c>
      <c r="BT1779" t="s">
        <v>198</v>
      </c>
      <c r="BU1779" t="s">
        <v>182</v>
      </c>
      <c r="BV1779" t="s">
        <v>198</v>
      </c>
      <c r="BW1779" t="s">
        <v>198</v>
      </c>
      <c r="BX1779" t="s">
        <v>199</v>
      </c>
      <c r="BY1779" t="s">
        <v>198</v>
      </c>
      <c r="BZ1779" t="s">
        <v>199</v>
      </c>
      <c r="CA1779" t="s">
        <v>199</v>
      </c>
      <c r="CB1779" t="s">
        <v>21502</v>
      </c>
      <c r="CC1779" t="s">
        <v>201</v>
      </c>
      <c r="CD1779" t="s">
        <v>202</v>
      </c>
      <c r="CE1779" t="s">
        <v>21464</v>
      </c>
      <c r="CF1779" t="s">
        <v>413</v>
      </c>
      <c r="CG1779" t="s">
        <v>177</v>
      </c>
      <c r="CH1779" t="s">
        <v>21465</v>
      </c>
      <c r="CI1779" t="s">
        <v>21706</v>
      </c>
      <c r="CJ1779" t="s">
        <v>21358</v>
      </c>
      <c r="CK1779" t="s">
        <v>232</v>
      </c>
      <c r="CL1779" t="s">
        <v>233</v>
      </c>
      <c r="CM1779" t="s">
        <v>21664</v>
      </c>
      <c r="CN1779" t="s">
        <v>235</v>
      </c>
      <c r="CO1779" t="s">
        <v>183</v>
      </c>
      <c r="CP1779" t="s">
        <v>266</v>
      </c>
      <c r="CS1779" t="s">
        <v>198</v>
      </c>
      <c r="CT1779" t="s">
        <v>17042</v>
      </c>
      <c r="CU1779" t="s">
        <v>207</v>
      </c>
      <c r="CV1779" t="s">
        <v>208</v>
      </c>
      <c r="CW1779" t="s">
        <v>21651</v>
      </c>
      <c r="CX1779" t="s">
        <v>1296</v>
      </c>
      <c r="CY1779" t="s">
        <v>183</v>
      </c>
      <c r="CZ1779" t="s">
        <v>211</v>
      </c>
      <c r="DA1779" t="s">
        <v>189</v>
      </c>
      <c r="DB1779" t="s">
        <v>271</v>
      </c>
      <c r="DC1779" t="s">
        <v>9091</v>
      </c>
      <c r="DM1779" t="s">
        <v>198</v>
      </c>
      <c r="DW1779" t="s">
        <v>198</v>
      </c>
      <c r="EG1779" t="s">
        <v>198</v>
      </c>
      <c r="EQ1779" t="s">
        <v>198</v>
      </c>
      <c r="FA1779" t="s">
        <v>198</v>
      </c>
      <c r="FK1779" t="s">
        <v>198</v>
      </c>
      <c r="FU1779" t="s">
        <v>198</v>
      </c>
    </row>
    <row r="1780" spans="1:177">
      <c r="A1780" s="1" t="str">
        <f>HYPERLINK("http://digipan.lumentumllc.com/apps/getLink/index.php?t=PropLink&amp;p=5247776","PL")</f>
        <v>PL</v>
      </c>
      <c r="B1780" s="1" t="str">
        <f>HYPERLINK("http://digipan.lumentumllc.com/apps/getLink/index.php?t=TaxLink&amp;p=5247776","TL")</f>
        <v>TL</v>
      </c>
      <c r="C1780" s="1" t="str">
        <f>HYPERLINK("http://digipan.lumentumllc.com/apps/getMap/index.php?p=5247776","Map")</f>
        <v>Map</v>
      </c>
      <c r="E1780" t="s">
        <v>177</v>
      </c>
      <c r="F1780" t="s">
        <v>178</v>
      </c>
      <c r="L1780" t="s">
        <v>21707</v>
      </c>
      <c r="N1780" t="s">
        <v>21707</v>
      </c>
      <c r="O1780" t="s">
        <v>21707</v>
      </c>
      <c r="P1780" t="s">
        <v>21708</v>
      </c>
      <c r="Q1780" t="s">
        <v>21707</v>
      </c>
      <c r="V1780">
        <v>2031</v>
      </c>
      <c r="W1780">
        <v>7</v>
      </c>
      <c r="X1780">
        <v>2017</v>
      </c>
      <c r="Y1780">
        <v>2018</v>
      </c>
      <c r="Z1780">
        <v>611.84</v>
      </c>
      <c r="AB1780" t="s">
        <v>181</v>
      </c>
      <c r="AC1780" t="s">
        <v>202</v>
      </c>
      <c r="AD1780" t="s">
        <v>183</v>
      </c>
      <c r="AE1780">
        <v>1</v>
      </c>
      <c r="AF1780">
        <v>4</v>
      </c>
      <c r="AG1780" t="s">
        <v>257</v>
      </c>
      <c r="AH1780">
        <v>75</v>
      </c>
      <c r="AI1780">
        <v>604.32000000000005</v>
      </c>
      <c r="AJ1780">
        <v>30.22</v>
      </c>
      <c r="AK1780">
        <v>634.54</v>
      </c>
      <c r="AL1780">
        <v>58000</v>
      </c>
      <c r="AM1780">
        <v>58000</v>
      </c>
      <c r="AN1780">
        <v>0</v>
      </c>
      <c r="AO1780">
        <v>534</v>
      </c>
      <c r="AP1780">
        <v>2016</v>
      </c>
      <c r="AQ1780">
        <v>1.05</v>
      </c>
      <c r="AR1780">
        <v>1.0900000000000001</v>
      </c>
      <c r="AS1780" t="s">
        <v>21709</v>
      </c>
      <c r="AT1780" t="s">
        <v>3210</v>
      </c>
      <c r="AU1780" t="s">
        <v>177</v>
      </c>
      <c r="AV1780" t="s">
        <v>2334</v>
      </c>
      <c r="AW1780" t="s">
        <v>182</v>
      </c>
      <c r="AX1780">
        <v>0</v>
      </c>
      <c r="AY1780" t="s">
        <v>312</v>
      </c>
      <c r="AZ1780" t="s">
        <v>199</v>
      </c>
      <c r="BA1780" t="s">
        <v>313</v>
      </c>
      <c r="BB1780" t="s">
        <v>191</v>
      </c>
      <c r="BC1780" t="s">
        <v>182</v>
      </c>
      <c r="BD1780" t="s">
        <v>182</v>
      </c>
      <c r="BE1780" t="s">
        <v>5689</v>
      </c>
      <c r="BF1780">
        <v>0</v>
      </c>
      <c r="BG1780">
        <v>0</v>
      </c>
      <c r="BH1780">
        <v>0</v>
      </c>
      <c r="BI1780" t="s">
        <v>199</v>
      </c>
      <c r="BJ1780" t="s">
        <v>194</v>
      </c>
      <c r="BL1780" t="s">
        <v>21710</v>
      </c>
      <c r="BM1780" t="s">
        <v>559</v>
      </c>
      <c r="BN1780" t="s">
        <v>182</v>
      </c>
      <c r="BO1780" t="s">
        <v>1204</v>
      </c>
      <c r="BP1780" t="s">
        <v>21711</v>
      </c>
      <c r="BQ1780" t="s">
        <v>800</v>
      </c>
      <c r="BR1780" t="s">
        <v>563</v>
      </c>
      <c r="BS1780" t="s">
        <v>198</v>
      </c>
      <c r="BT1780" t="s">
        <v>20532</v>
      </c>
      <c r="BU1780" t="s">
        <v>182</v>
      </c>
      <c r="BV1780" t="s">
        <v>198</v>
      </c>
      <c r="BW1780" t="s">
        <v>198</v>
      </c>
      <c r="BX1780" t="s">
        <v>199</v>
      </c>
      <c r="BY1780" t="s">
        <v>198</v>
      </c>
      <c r="BZ1780" t="s">
        <v>199</v>
      </c>
      <c r="CA1780" t="s">
        <v>199</v>
      </c>
      <c r="CB1780" t="s">
        <v>21463</v>
      </c>
      <c r="CC1780" t="s">
        <v>201</v>
      </c>
      <c r="CD1780" t="s">
        <v>182</v>
      </c>
      <c r="CE1780" t="s">
        <v>21464</v>
      </c>
      <c r="CF1780" t="s">
        <v>413</v>
      </c>
      <c r="CG1780" t="s">
        <v>177</v>
      </c>
      <c r="CH1780" t="s">
        <v>21465</v>
      </c>
      <c r="CI1780" t="s">
        <v>21712</v>
      </c>
      <c r="CJ1780" t="s">
        <v>21374</v>
      </c>
      <c r="CK1780" t="s">
        <v>232</v>
      </c>
      <c r="CL1780" t="s">
        <v>233</v>
      </c>
      <c r="CM1780" t="s">
        <v>21664</v>
      </c>
      <c r="CN1780" t="s">
        <v>235</v>
      </c>
      <c r="CO1780" t="s">
        <v>183</v>
      </c>
      <c r="CP1780" t="s">
        <v>266</v>
      </c>
      <c r="CS1780" t="s">
        <v>198</v>
      </c>
      <c r="CT1780" t="s">
        <v>14781</v>
      </c>
      <c r="CU1780" t="s">
        <v>292</v>
      </c>
      <c r="CV1780" t="s">
        <v>293</v>
      </c>
      <c r="CW1780" t="s">
        <v>21665</v>
      </c>
      <c r="CX1780" t="s">
        <v>387</v>
      </c>
      <c r="CY1780" t="s">
        <v>183</v>
      </c>
      <c r="CZ1780" t="s">
        <v>211</v>
      </c>
      <c r="DA1780" t="s">
        <v>250</v>
      </c>
      <c r="DC1780" t="s">
        <v>21481</v>
      </c>
      <c r="DD1780" t="s">
        <v>14668</v>
      </c>
      <c r="DE1780" t="s">
        <v>267</v>
      </c>
      <c r="DF1780" t="s">
        <v>268</v>
      </c>
      <c r="DG1780" t="s">
        <v>21666</v>
      </c>
      <c r="DH1780" t="s">
        <v>235</v>
      </c>
      <c r="DI1780" t="s">
        <v>183</v>
      </c>
      <c r="DJ1780" t="s">
        <v>211</v>
      </c>
      <c r="DK1780" t="s">
        <v>460</v>
      </c>
      <c r="DM1780" t="s">
        <v>21483</v>
      </c>
      <c r="DN1780" t="s">
        <v>21713</v>
      </c>
      <c r="DO1780" t="s">
        <v>346</v>
      </c>
      <c r="DP1780" t="s">
        <v>347</v>
      </c>
      <c r="DQ1780" t="s">
        <v>21669</v>
      </c>
      <c r="DR1780" t="s">
        <v>278</v>
      </c>
      <c r="DS1780" t="s">
        <v>183</v>
      </c>
      <c r="DT1780" t="s">
        <v>211</v>
      </c>
      <c r="DU1780" t="s">
        <v>212</v>
      </c>
      <c r="DV1780" t="s">
        <v>6042</v>
      </c>
      <c r="DW1780" t="s">
        <v>17619</v>
      </c>
      <c r="DX1780" t="s">
        <v>17059</v>
      </c>
      <c r="DY1780" t="s">
        <v>207</v>
      </c>
      <c r="DZ1780" t="s">
        <v>208</v>
      </c>
      <c r="EA1780" t="s">
        <v>21651</v>
      </c>
      <c r="EB1780" t="s">
        <v>1296</v>
      </c>
      <c r="EC1780" t="s">
        <v>183</v>
      </c>
      <c r="ED1780" t="s">
        <v>211</v>
      </c>
      <c r="EF1780" t="s">
        <v>6042</v>
      </c>
      <c r="EG1780" t="s">
        <v>198</v>
      </c>
      <c r="EQ1780" t="s">
        <v>198</v>
      </c>
      <c r="FA1780" t="s">
        <v>198</v>
      </c>
      <c r="FK1780" t="s">
        <v>198</v>
      </c>
      <c r="FU1780" t="s">
        <v>198</v>
      </c>
    </row>
    <row r="1781" spans="1:177">
      <c r="A1781" s="1" t="str">
        <f>HYPERLINK("http://digipan.lumentumllc.com/apps/getLink/index.php?t=PropLink&amp;p=5247777","PL")</f>
        <v>PL</v>
      </c>
      <c r="B1781" s="1" t="str">
        <f>HYPERLINK("http://digipan.lumentumllc.com/apps/getLink/index.php?t=TaxLink&amp;p=5247777","TL")</f>
        <v>TL</v>
      </c>
      <c r="C1781" s="1" t="str">
        <f>HYPERLINK("http://digipan.lumentumllc.com/apps/getMap/index.php?p=5247777","Map")</f>
        <v>Map</v>
      </c>
      <c r="E1781" t="s">
        <v>177</v>
      </c>
      <c r="F1781" t="s">
        <v>178</v>
      </c>
      <c r="L1781" t="s">
        <v>21714</v>
      </c>
      <c r="N1781" t="s">
        <v>21714</v>
      </c>
      <c r="O1781" t="s">
        <v>21714</v>
      </c>
      <c r="P1781" t="s">
        <v>21715</v>
      </c>
      <c r="Q1781" t="s">
        <v>21714</v>
      </c>
      <c r="V1781">
        <v>2032</v>
      </c>
      <c r="W1781">
        <v>7</v>
      </c>
      <c r="X1781">
        <v>2017</v>
      </c>
      <c r="Y1781">
        <v>2018</v>
      </c>
      <c r="Z1781">
        <v>611.84</v>
      </c>
      <c r="AB1781" t="s">
        <v>181</v>
      </c>
      <c r="AC1781" t="s">
        <v>182</v>
      </c>
      <c r="AD1781" t="s">
        <v>183</v>
      </c>
      <c r="AE1781">
        <v>1</v>
      </c>
      <c r="AF1781">
        <v>5</v>
      </c>
      <c r="AG1781" t="s">
        <v>951</v>
      </c>
      <c r="AH1781">
        <v>80</v>
      </c>
      <c r="AI1781">
        <v>604.32000000000005</v>
      </c>
      <c r="AJ1781">
        <v>30.22</v>
      </c>
      <c r="AK1781">
        <v>634.54</v>
      </c>
      <c r="AL1781">
        <v>58000</v>
      </c>
      <c r="AM1781">
        <v>58000</v>
      </c>
      <c r="AN1781">
        <v>0</v>
      </c>
      <c r="AO1781">
        <v>534</v>
      </c>
      <c r="AP1781">
        <v>2016</v>
      </c>
      <c r="AQ1781">
        <v>1.05</v>
      </c>
      <c r="AR1781">
        <v>1.0900000000000001</v>
      </c>
      <c r="AS1781" t="s">
        <v>21716</v>
      </c>
      <c r="AT1781" t="s">
        <v>3210</v>
      </c>
      <c r="AU1781" t="s">
        <v>177</v>
      </c>
      <c r="AV1781" t="s">
        <v>2334</v>
      </c>
      <c r="AW1781" t="s">
        <v>182</v>
      </c>
      <c r="AX1781">
        <v>0</v>
      </c>
      <c r="AY1781" t="s">
        <v>312</v>
      </c>
      <c r="AZ1781" t="s">
        <v>199</v>
      </c>
      <c r="BA1781" t="s">
        <v>313</v>
      </c>
      <c r="BB1781" t="s">
        <v>191</v>
      </c>
      <c r="BC1781" t="s">
        <v>182</v>
      </c>
      <c r="BD1781" t="s">
        <v>182</v>
      </c>
      <c r="BE1781" t="s">
        <v>6523</v>
      </c>
      <c r="BF1781">
        <v>0</v>
      </c>
      <c r="BG1781">
        <v>0</v>
      </c>
      <c r="BH1781">
        <v>0</v>
      </c>
      <c r="BI1781" t="s">
        <v>199</v>
      </c>
      <c r="BJ1781" t="s">
        <v>194</v>
      </c>
      <c r="BL1781" t="s">
        <v>21510</v>
      </c>
      <c r="BM1781" t="s">
        <v>267</v>
      </c>
      <c r="BN1781" t="s">
        <v>182</v>
      </c>
      <c r="BO1781" t="s">
        <v>198</v>
      </c>
      <c r="BP1781" t="s">
        <v>198</v>
      </c>
      <c r="BQ1781" t="s">
        <v>198</v>
      </c>
      <c r="BR1781" t="s">
        <v>198</v>
      </c>
      <c r="BS1781" t="s">
        <v>198</v>
      </c>
      <c r="BT1781" t="s">
        <v>198</v>
      </c>
      <c r="BU1781" t="s">
        <v>182</v>
      </c>
      <c r="BV1781" t="s">
        <v>198</v>
      </c>
      <c r="BW1781" t="s">
        <v>198</v>
      </c>
      <c r="BX1781" t="s">
        <v>199</v>
      </c>
      <c r="BY1781" t="s">
        <v>198</v>
      </c>
      <c r="BZ1781" t="s">
        <v>199</v>
      </c>
      <c r="CA1781" t="s">
        <v>199</v>
      </c>
      <c r="CB1781" t="s">
        <v>21463</v>
      </c>
      <c r="CC1781" t="s">
        <v>201</v>
      </c>
      <c r="CD1781" t="s">
        <v>182</v>
      </c>
      <c r="CE1781" t="s">
        <v>21464</v>
      </c>
      <c r="CF1781" t="s">
        <v>413</v>
      </c>
      <c r="CG1781" t="s">
        <v>177</v>
      </c>
      <c r="CH1781" t="s">
        <v>21465</v>
      </c>
      <c r="CI1781" t="s">
        <v>21717</v>
      </c>
      <c r="CJ1781" t="s">
        <v>3432</v>
      </c>
      <c r="CK1781" t="s">
        <v>232</v>
      </c>
      <c r="CL1781" t="s">
        <v>233</v>
      </c>
      <c r="CM1781" t="s">
        <v>21664</v>
      </c>
      <c r="CN1781" t="s">
        <v>235</v>
      </c>
      <c r="CO1781" t="s">
        <v>183</v>
      </c>
      <c r="CP1781" t="s">
        <v>266</v>
      </c>
      <c r="CS1781" t="s">
        <v>198</v>
      </c>
      <c r="CT1781" t="s">
        <v>14859</v>
      </c>
      <c r="CU1781" t="s">
        <v>292</v>
      </c>
      <c r="CV1781" t="s">
        <v>293</v>
      </c>
      <c r="CW1781" t="s">
        <v>21665</v>
      </c>
      <c r="CX1781" t="s">
        <v>387</v>
      </c>
      <c r="CY1781" t="s">
        <v>183</v>
      </c>
      <c r="CZ1781" t="s">
        <v>211</v>
      </c>
      <c r="DA1781" t="s">
        <v>250</v>
      </c>
      <c r="DC1781" t="s">
        <v>21481</v>
      </c>
      <c r="DD1781" t="s">
        <v>15361</v>
      </c>
      <c r="DE1781" t="s">
        <v>267</v>
      </c>
      <c r="DF1781" t="s">
        <v>268</v>
      </c>
      <c r="DG1781" t="s">
        <v>21666</v>
      </c>
      <c r="DH1781" t="s">
        <v>235</v>
      </c>
      <c r="DI1781" t="s">
        <v>183</v>
      </c>
      <c r="DJ1781" t="s">
        <v>211</v>
      </c>
      <c r="DK1781" t="s">
        <v>460</v>
      </c>
      <c r="DM1781" t="s">
        <v>21483</v>
      </c>
      <c r="DN1781" t="s">
        <v>21718</v>
      </c>
      <c r="DO1781" t="s">
        <v>238</v>
      </c>
      <c r="DP1781" t="s">
        <v>239</v>
      </c>
      <c r="DQ1781" t="s">
        <v>21668</v>
      </c>
      <c r="DR1781" t="s">
        <v>482</v>
      </c>
      <c r="DS1781" t="s">
        <v>183</v>
      </c>
      <c r="DT1781" t="s">
        <v>211</v>
      </c>
      <c r="DU1781" t="s">
        <v>199</v>
      </c>
      <c r="DW1781" t="s">
        <v>21471</v>
      </c>
      <c r="DX1781" t="s">
        <v>21719</v>
      </c>
      <c r="DY1781" t="s">
        <v>346</v>
      </c>
      <c r="DZ1781" t="s">
        <v>347</v>
      </c>
      <c r="EA1781" t="s">
        <v>21669</v>
      </c>
      <c r="EB1781" t="s">
        <v>1966</v>
      </c>
      <c r="EC1781" t="s">
        <v>183</v>
      </c>
      <c r="ED1781" t="s">
        <v>211</v>
      </c>
      <c r="EE1781" t="s">
        <v>427</v>
      </c>
      <c r="EG1781" t="s">
        <v>21471</v>
      </c>
      <c r="EH1781" t="s">
        <v>20455</v>
      </c>
      <c r="EI1781" t="s">
        <v>207</v>
      </c>
      <c r="EJ1781" t="s">
        <v>208</v>
      </c>
      <c r="EK1781" t="s">
        <v>21651</v>
      </c>
      <c r="EL1781" t="s">
        <v>519</v>
      </c>
      <c r="EM1781" t="s">
        <v>183</v>
      </c>
      <c r="EN1781" t="s">
        <v>211</v>
      </c>
      <c r="EO1781" t="s">
        <v>633</v>
      </c>
      <c r="EQ1781" t="s">
        <v>21471</v>
      </c>
      <c r="FA1781" t="s">
        <v>198</v>
      </c>
      <c r="FK1781" t="s">
        <v>198</v>
      </c>
      <c r="FU1781" t="s">
        <v>198</v>
      </c>
    </row>
    <row r="1782" spans="1:177">
      <c r="A1782" s="1" t="str">
        <f>HYPERLINK("http://digipan.lumentumllc.com/apps/getLink/index.php?t=PropLink&amp;p=5247779","PL")</f>
        <v>PL</v>
      </c>
      <c r="B1782" s="1" t="str">
        <f>HYPERLINK("http://digipan.lumentumllc.com/apps/getLink/index.php?t=TaxLink&amp;p=5247779","TL")</f>
        <v>TL</v>
      </c>
      <c r="C1782" s="1" t="str">
        <f>HYPERLINK("http://digipan.lumentumllc.com/apps/getMap/index.php?p=5247779","Map")</f>
        <v>Map</v>
      </c>
      <c r="E1782" t="s">
        <v>177</v>
      </c>
      <c r="F1782" t="s">
        <v>178</v>
      </c>
      <c r="L1782" t="s">
        <v>21720</v>
      </c>
      <c r="N1782" t="s">
        <v>21720</v>
      </c>
      <c r="O1782" t="s">
        <v>21720</v>
      </c>
      <c r="P1782" t="s">
        <v>21721</v>
      </c>
      <c r="Q1782" t="s">
        <v>21720</v>
      </c>
      <c r="V1782">
        <v>2033</v>
      </c>
      <c r="W1782">
        <v>7</v>
      </c>
      <c r="X1782">
        <v>2017</v>
      </c>
      <c r="Y1782">
        <v>2018</v>
      </c>
      <c r="Z1782">
        <v>525.4</v>
      </c>
      <c r="AB1782" t="s">
        <v>181</v>
      </c>
      <c r="AC1782" t="s">
        <v>182</v>
      </c>
      <c r="AD1782" t="s">
        <v>183</v>
      </c>
      <c r="AE1782">
        <v>1</v>
      </c>
      <c r="AF1782">
        <v>5</v>
      </c>
      <c r="AG1782" t="s">
        <v>951</v>
      </c>
      <c r="AH1782">
        <v>80</v>
      </c>
      <c r="AI1782">
        <v>517.12</v>
      </c>
      <c r="AJ1782">
        <v>25.86</v>
      </c>
      <c r="AK1782">
        <v>542.98</v>
      </c>
      <c r="AL1782">
        <v>48000</v>
      </c>
      <c r="AM1782">
        <v>48000</v>
      </c>
      <c r="AN1782">
        <v>0</v>
      </c>
      <c r="AO1782">
        <v>453</v>
      </c>
      <c r="AP1782">
        <v>2016</v>
      </c>
      <c r="AQ1782">
        <v>1.0900000000000001</v>
      </c>
      <c r="AR1782">
        <v>1.1299999999999999</v>
      </c>
      <c r="AS1782" t="s">
        <v>21722</v>
      </c>
      <c r="AT1782" t="s">
        <v>3210</v>
      </c>
      <c r="AU1782" t="s">
        <v>177</v>
      </c>
      <c r="AV1782" t="s">
        <v>2334</v>
      </c>
      <c r="AW1782" t="s">
        <v>182</v>
      </c>
      <c r="AX1782">
        <v>0</v>
      </c>
      <c r="AY1782" t="s">
        <v>312</v>
      </c>
      <c r="AZ1782" t="s">
        <v>199</v>
      </c>
      <c r="BA1782" t="s">
        <v>313</v>
      </c>
      <c r="BB1782" t="s">
        <v>191</v>
      </c>
      <c r="BC1782" t="s">
        <v>182</v>
      </c>
      <c r="BD1782" t="s">
        <v>182</v>
      </c>
      <c r="BE1782" t="s">
        <v>9756</v>
      </c>
      <c r="BF1782">
        <v>0</v>
      </c>
      <c r="BG1782">
        <v>0</v>
      </c>
      <c r="BH1782">
        <v>0</v>
      </c>
      <c r="BI1782" t="s">
        <v>199</v>
      </c>
      <c r="BJ1782" t="s">
        <v>194</v>
      </c>
      <c r="BL1782" t="s">
        <v>21510</v>
      </c>
      <c r="BM1782" t="s">
        <v>267</v>
      </c>
      <c r="BN1782" t="s">
        <v>182</v>
      </c>
      <c r="BO1782" t="s">
        <v>198</v>
      </c>
      <c r="BP1782" t="s">
        <v>198</v>
      </c>
      <c r="BQ1782" t="s">
        <v>198</v>
      </c>
      <c r="BR1782" t="s">
        <v>198</v>
      </c>
      <c r="BS1782" t="s">
        <v>198</v>
      </c>
      <c r="BT1782" t="s">
        <v>198</v>
      </c>
      <c r="BU1782" t="s">
        <v>182</v>
      </c>
      <c r="BV1782" t="s">
        <v>198</v>
      </c>
      <c r="BW1782" t="s">
        <v>198</v>
      </c>
      <c r="BX1782" t="s">
        <v>199</v>
      </c>
      <c r="BY1782" t="s">
        <v>198</v>
      </c>
      <c r="BZ1782" t="s">
        <v>199</v>
      </c>
      <c r="CA1782" t="s">
        <v>199</v>
      </c>
      <c r="CB1782" t="s">
        <v>21463</v>
      </c>
      <c r="CC1782" t="s">
        <v>201</v>
      </c>
      <c r="CD1782" t="s">
        <v>182</v>
      </c>
      <c r="CE1782" t="s">
        <v>21464</v>
      </c>
      <c r="CF1782" t="s">
        <v>413</v>
      </c>
      <c r="CG1782" t="s">
        <v>177</v>
      </c>
      <c r="CH1782" t="s">
        <v>21465</v>
      </c>
      <c r="CI1782" t="s">
        <v>21723</v>
      </c>
      <c r="CJ1782" t="s">
        <v>21432</v>
      </c>
      <c r="CK1782" t="s">
        <v>232</v>
      </c>
      <c r="CL1782" t="s">
        <v>233</v>
      </c>
      <c r="CM1782" t="s">
        <v>5487</v>
      </c>
      <c r="CN1782" t="s">
        <v>331</v>
      </c>
      <c r="CO1782" t="s">
        <v>183</v>
      </c>
      <c r="CP1782" t="s">
        <v>266</v>
      </c>
      <c r="CS1782" t="s">
        <v>198</v>
      </c>
      <c r="CT1782" t="s">
        <v>5467</v>
      </c>
      <c r="CU1782" t="s">
        <v>292</v>
      </c>
      <c r="CV1782" t="s">
        <v>293</v>
      </c>
      <c r="CW1782" t="s">
        <v>10873</v>
      </c>
      <c r="CX1782" t="s">
        <v>387</v>
      </c>
      <c r="CY1782" t="s">
        <v>183</v>
      </c>
      <c r="CZ1782" t="s">
        <v>211</v>
      </c>
      <c r="DA1782" t="s">
        <v>250</v>
      </c>
      <c r="DC1782" t="s">
        <v>21481</v>
      </c>
      <c r="DD1782" t="s">
        <v>21724</v>
      </c>
      <c r="DE1782" t="s">
        <v>267</v>
      </c>
      <c r="DF1782" t="s">
        <v>268</v>
      </c>
      <c r="DG1782" t="s">
        <v>3821</v>
      </c>
      <c r="DH1782" t="s">
        <v>235</v>
      </c>
      <c r="DI1782" t="s">
        <v>183</v>
      </c>
      <c r="DJ1782" t="s">
        <v>211</v>
      </c>
      <c r="DK1782" t="s">
        <v>460</v>
      </c>
      <c r="DM1782" t="s">
        <v>21483</v>
      </c>
      <c r="DN1782" t="s">
        <v>21725</v>
      </c>
      <c r="DO1782" t="s">
        <v>238</v>
      </c>
      <c r="DP1782" t="s">
        <v>239</v>
      </c>
      <c r="DQ1782" t="s">
        <v>21668</v>
      </c>
      <c r="DR1782" t="s">
        <v>482</v>
      </c>
      <c r="DS1782" t="s">
        <v>183</v>
      </c>
      <c r="DT1782" t="s">
        <v>211</v>
      </c>
      <c r="DU1782" t="s">
        <v>199</v>
      </c>
      <c r="DW1782" t="s">
        <v>21471</v>
      </c>
      <c r="DX1782" t="s">
        <v>21726</v>
      </c>
      <c r="DY1782" t="s">
        <v>346</v>
      </c>
      <c r="DZ1782" t="s">
        <v>347</v>
      </c>
      <c r="EA1782" t="s">
        <v>21669</v>
      </c>
      <c r="EB1782" t="s">
        <v>1966</v>
      </c>
      <c r="EC1782" t="s">
        <v>183</v>
      </c>
      <c r="ED1782" t="s">
        <v>211</v>
      </c>
      <c r="EE1782" t="s">
        <v>427</v>
      </c>
      <c r="EG1782" t="s">
        <v>21471</v>
      </c>
      <c r="EH1782" t="s">
        <v>17104</v>
      </c>
      <c r="EI1782" t="s">
        <v>207</v>
      </c>
      <c r="EJ1782" t="s">
        <v>208</v>
      </c>
      <c r="EK1782" t="s">
        <v>21651</v>
      </c>
      <c r="EL1782" t="s">
        <v>482</v>
      </c>
      <c r="EM1782" t="s">
        <v>183</v>
      </c>
      <c r="EN1782" t="s">
        <v>211</v>
      </c>
      <c r="EO1782" t="s">
        <v>633</v>
      </c>
      <c r="EQ1782" t="s">
        <v>21471</v>
      </c>
      <c r="FA1782" t="s">
        <v>198</v>
      </c>
      <c r="FK1782" t="s">
        <v>198</v>
      </c>
      <c r="FU1782" t="s">
        <v>198</v>
      </c>
    </row>
    <row r="1783" spans="1:177">
      <c r="A1783" s="1" t="str">
        <f>HYPERLINK("http://digipan.lumentumllc.com/apps/getLink/index.php?t=PropLink&amp;p=5247780","PL")</f>
        <v>PL</v>
      </c>
      <c r="B1783" s="1" t="str">
        <f>HYPERLINK("http://digipan.lumentumllc.com/apps/getLink/index.php?t=TaxLink&amp;p=5247780","TL")</f>
        <v>TL</v>
      </c>
      <c r="C1783" s="1" t="str">
        <f>HYPERLINK("http://digipan.lumentumllc.com/apps/getMap/index.php?p=5247780","Map")</f>
        <v>Map</v>
      </c>
      <c r="E1783" t="s">
        <v>177</v>
      </c>
      <c r="F1783" t="s">
        <v>178</v>
      </c>
      <c r="L1783" t="s">
        <v>21727</v>
      </c>
      <c r="N1783" t="s">
        <v>21727</v>
      </c>
      <c r="O1783" t="s">
        <v>21727</v>
      </c>
      <c r="P1783" t="s">
        <v>21728</v>
      </c>
      <c r="Q1783" t="s">
        <v>21727</v>
      </c>
      <c r="V1783">
        <v>2034</v>
      </c>
      <c r="W1783">
        <v>7</v>
      </c>
      <c r="X1783">
        <v>2017</v>
      </c>
      <c r="Y1783">
        <v>2018</v>
      </c>
      <c r="Z1783">
        <v>525.4</v>
      </c>
      <c r="AB1783" t="s">
        <v>181</v>
      </c>
      <c r="AC1783" t="s">
        <v>182</v>
      </c>
      <c r="AD1783" t="s">
        <v>183</v>
      </c>
      <c r="AE1783">
        <v>1</v>
      </c>
      <c r="AF1783">
        <v>5</v>
      </c>
      <c r="AG1783" t="s">
        <v>951</v>
      </c>
      <c r="AH1783">
        <v>80</v>
      </c>
      <c r="AI1783">
        <v>517.12</v>
      </c>
      <c r="AJ1783">
        <v>25.86</v>
      </c>
      <c r="AK1783">
        <v>542.98</v>
      </c>
      <c r="AL1783">
        <v>48000</v>
      </c>
      <c r="AM1783">
        <v>48000</v>
      </c>
      <c r="AN1783">
        <v>0</v>
      </c>
      <c r="AO1783">
        <v>453</v>
      </c>
      <c r="AP1783">
        <v>2016</v>
      </c>
      <c r="AQ1783">
        <v>1.0900000000000001</v>
      </c>
      <c r="AR1783">
        <v>1.1299999999999999</v>
      </c>
      <c r="AS1783" t="s">
        <v>21729</v>
      </c>
      <c r="AT1783" t="s">
        <v>3210</v>
      </c>
      <c r="AU1783" t="s">
        <v>177</v>
      </c>
      <c r="AV1783" t="s">
        <v>2334</v>
      </c>
      <c r="AW1783" t="s">
        <v>182</v>
      </c>
      <c r="AX1783">
        <v>0</v>
      </c>
      <c r="AY1783" t="s">
        <v>312</v>
      </c>
      <c r="AZ1783" t="s">
        <v>199</v>
      </c>
      <c r="BA1783" t="s">
        <v>313</v>
      </c>
      <c r="BB1783" t="s">
        <v>191</v>
      </c>
      <c r="BC1783" t="s">
        <v>182</v>
      </c>
      <c r="BD1783" t="s">
        <v>182</v>
      </c>
      <c r="BE1783" t="s">
        <v>5880</v>
      </c>
      <c r="BF1783">
        <v>0</v>
      </c>
      <c r="BG1783">
        <v>0</v>
      </c>
      <c r="BH1783">
        <v>0</v>
      </c>
      <c r="BI1783" t="s">
        <v>199</v>
      </c>
      <c r="BJ1783" t="s">
        <v>194</v>
      </c>
      <c r="BL1783" t="s">
        <v>21510</v>
      </c>
      <c r="BM1783" t="s">
        <v>267</v>
      </c>
      <c r="BN1783" t="s">
        <v>182</v>
      </c>
      <c r="BO1783" t="s">
        <v>198</v>
      </c>
      <c r="BP1783" t="s">
        <v>198</v>
      </c>
      <c r="BQ1783" t="s">
        <v>198</v>
      </c>
      <c r="BR1783" t="s">
        <v>198</v>
      </c>
      <c r="BS1783" t="s">
        <v>198</v>
      </c>
      <c r="BT1783" t="s">
        <v>198</v>
      </c>
      <c r="BU1783" t="s">
        <v>182</v>
      </c>
      <c r="BV1783" t="s">
        <v>198</v>
      </c>
      <c r="BW1783" t="s">
        <v>198</v>
      </c>
      <c r="BX1783" t="s">
        <v>199</v>
      </c>
      <c r="BY1783" t="s">
        <v>198</v>
      </c>
      <c r="BZ1783" t="s">
        <v>199</v>
      </c>
      <c r="CA1783" t="s">
        <v>199</v>
      </c>
      <c r="CB1783" t="s">
        <v>21463</v>
      </c>
      <c r="CC1783" t="s">
        <v>201</v>
      </c>
      <c r="CD1783" t="s">
        <v>182</v>
      </c>
      <c r="CE1783" t="s">
        <v>21464</v>
      </c>
      <c r="CF1783" t="s">
        <v>413</v>
      </c>
      <c r="CG1783" t="s">
        <v>177</v>
      </c>
      <c r="CH1783" t="s">
        <v>21465</v>
      </c>
      <c r="CI1783" t="s">
        <v>21730</v>
      </c>
      <c r="CJ1783" t="s">
        <v>14767</v>
      </c>
      <c r="CK1783" t="s">
        <v>232</v>
      </c>
      <c r="CL1783" t="s">
        <v>233</v>
      </c>
      <c r="CM1783" t="s">
        <v>5487</v>
      </c>
      <c r="CN1783" t="s">
        <v>331</v>
      </c>
      <c r="CO1783" t="s">
        <v>183</v>
      </c>
      <c r="CP1783" t="s">
        <v>266</v>
      </c>
      <c r="CS1783" t="s">
        <v>198</v>
      </c>
      <c r="CT1783" t="s">
        <v>14826</v>
      </c>
      <c r="CU1783" t="s">
        <v>292</v>
      </c>
      <c r="CV1783" t="s">
        <v>293</v>
      </c>
      <c r="CW1783" t="s">
        <v>10873</v>
      </c>
      <c r="CX1783" t="s">
        <v>387</v>
      </c>
      <c r="CY1783" t="s">
        <v>183</v>
      </c>
      <c r="CZ1783" t="s">
        <v>211</v>
      </c>
      <c r="DA1783" t="s">
        <v>250</v>
      </c>
      <c r="DC1783" t="s">
        <v>21481</v>
      </c>
      <c r="DD1783" t="s">
        <v>1634</v>
      </c>
      <c r="DE1783" t="s">
        <v>267</v>
      </c>
      <c r="DF1783" t="s">
        <v>268</v>
      </c>
      <c r="DG1783" t="s">
        <v>3821</v>
      </c>
      <c r="DH1783" t="s">
        <v>235</v>
      </c>
      <c r="DI1783" t="s">
        <v>183</v>
      </c>
      <c r="DJ1783" t="s">
        <v>211</v>
      </c>
      <c r="DK1783" t="s">
        <v>460</v>
      </c>
      <c r="DM1783" t="s">
        <v>21483</v>
      </c>
      <c r="DN1783" t="s">
        <v>21731</v>
      </c>
      <c r="DO1783" t="s">
        <v>238</v>
      </c>
      <c r="DP1783" t="s">
        <v>239</v>
      </c>
      <c r="DQ1783" t="s">
        <v>21668</v>
      </c>
      <c r="DR1783" t="s">
        <v>482</v>
      </c>
      <c r="DS1783" t="s">
        <v>183</v>
      </c>
      <c r="DT1783" t="s">
        <v>211</v>
      </c>
      <c r="DU1783" t="s">
        <v>199</v>
      </c>
      <c r="DW1783" t="s">
        <v>21471</v>
      </c>
      <c r="DX1783" t="s">
        <v>21732</v>
      </c>
      <c r="DY1783" t="s">
        <v>346</v>
      </c>
      <c r="DZ1783" t="s">
        <v>347</v>
      </c>
      <c r="EA1783" t="s">
        <v>21669</v>
      </c>
      <c r="EB1783" t="s">
        <v>1966</v>
      </c>
      <c r="EC1783" t="s">
        <v>183</v>
      </c>
      <c r="ED1783" t="s">
        <v>211</v>
      </c>
      <c r="EE1783" t="s">
        <v>427</v>
      </c>
      <c r="EG1783" t="s">
        <v>21471</v>
      </c>
      <c r="EH1783" t="s">
        <v>21733</v>
      </c>
      <c r="EI1783" t="s">
        <v>207</v>
      </c>
      <c r="EJ1783" t="s">
        <v>208</v>
      </c>
      <c r="EK1783" t="s">
        <v>21651</v>
      </c>
      <c r="EL1783" t="s">
        <v>482</v>
      </c>
      <c r="EM1783" t="s">
        <v>183</v>
      </c>
      <c r="EN1783" t="s">
        <v>211</v>
      </c>
      <c r="EO1783" t="s">
        <v>633</v>
      </c>
      <c r="EQ1783" t="s">
        <v>21471</v>
      </c>
      <c r="FA1783" t="s">
        <v>198</v>
      </c>
      <c r="FK1783" t="s">
        <v>198</v>
      </c>
      <c r="FU1783" t="s">
        <v>198</v>
      </c>
    </row>
    <row r="1784" spans="1:177">
      <c r="A1784" s="1" t="str">
        <f>HYPERLINK("http://digipan.lumentumllc.com/apps/getLink/index.php?t=PropLink&amp;p=7112582","PL")</f>
        <v>PL</v>
      </c>
      <c r="B1784" s="1" t="str">
        <f>HYPERLINK("http://digipan.lumentumllc.com/apps/getLink/index.php?t=TaxLink&amp;p=7112582","TL")</f>
        <v>TL</v>
      </c>
      <c r="C1784" s="1" t="str">
        <f>HYPERLINK("http://digipan.lumentumllc.com/apps/getMap/index.php?p=7112582","Map")</f>
        <v>Map</v>
      </c>
      <c r="E1784" t="s">
        <v>177</v>
      </c>
      <c r="F1784" t="s">
        <v>178</v>
      </c>
      <c r="L1784" t="s">
        <v>21734</v>
      </c>
      <c r="N1784" t="s">
        <v>21734</v>
      </c>
      <c r="O1784" t="s">
        <v>21734</v>
      </c>
      <c r="P1784" t="s">
        <v>21735</v>
      </c>
      <c r="Q1784" t="s">
        <v>21734</v>
      </c>
      <c r="V1784">
        <v>2035</v>
      </c>
      <c r="W1784">
        <v>7</v>
      </c>
      <c r="X1784">
        <v>2017</v>
      </c>
      <c r="Y1784">
        <v>2018</v>
      </c>
      <c r="Z1784">
        <v>940.69</v>
      </c>
      <c r="AB1784" t="s">
        <v>181</v>
      </c>
      <c r="AC1784" t="s">
        <v>182</v>
      </c>
      <c r="AD1784" t="s">
        <v>183</v>
      </c>
      <c r="AE1784">
        <v>1</v>
      </c>
      <c r="AF1784">
        <v>1</v>
      </c>
      <c r="AG1784" t="s">
        <v>2222</v>
      </c>
      <c r="AH1784">
        <v>50</v>
      </c>
      <c r="AI1784">
        <v>948.41</v>
      </c>
      <c r="AJ1784">
        <v>47.42</v>
      </c>
      <c r="AK1784">
        <v>995.83</v>
      </c>
      <c r="AL1784">
        <v>55500</v>
      </c>
      <c r="AM1784">
        <v>55500</v>
      </c>
      <c r="AN1784">
        <v>0</v>
      </c>
      <c r="AO1784">
        <v>852</v>
      </c>
      <c r="AP1784">
        <v>2016</v>
      </c>
      <c r="AQ1784">
        <v>1.69</v>
      </c>
      <c r="AR1784">
        <v>1.79</v>
      </c>
      <c r="AS1784" t="s">
        <v>21736</v>
      </c>
      <c r="AT1784" t="s">
        <v>3210</v>
      </c>
      <c r="AU1784" t="s">
        <v>177</v>
      </c>
      <c r="AV1784" t="s">
        <v>2334</v>
      </c>
      <c r="AW1784" t="s">
        <v>182</v>
      </c>
      <c r="AX1784">
        <v>0</v>
      </c>
      <c r="AY1784" t="s">
        <v>312</v>
      </c>
      <c r="AZ1784" t="s">
        <v>199</v>
      </c>
      <c r="BA1784" t="s">
        <v>313</v>
      </c>
      <c r="BB1784" t="s">
        <v>191</v>
      </c>
      <c r="BC1784" t="s">
        <v>182</v>
      </c>
      <c r="BD1784" t="s">
        <v>182</v>
      </c>
      <c r="BE1784" t="s">
        <v>21425</v>
      </c>
      <c r="BF1784">
        <v>0</v>
      </c>
      <c r="BG1784">
        <v>0</v>
      </c>
      <c r="BH1784">
        <v>0</v>
      </c>
      <c r="BI1784" t="s">
        <v>199</v>
      </c>
      <c r="BJ1784" t="s">
        <v>248</v>
      </c>
      <c r="BL1784" t="s">
        <v>21737</v>
      </c>
      <c r="BM1784" t="s">
        <v>267</v>
      </c>
      <c r="BN1784" t="s">
        <v>182</v>
      </c>
      <c r="BO1784" t="s">
        <v>198</v>
      </c>
      <c r="BP1784" t="s">
        <v>198</v>
      </c>
      <c r="BQ1784" t="s">
        <v>198</v>
      </c>
      <c r="BR1784" t="s">
        <v>198</v>
      </c>
      <c r="BS1784" t="s">
        <v>198</v>
      </c>
      <c r="BT1784" t="s">
        <v>198</v>
      </c>
      <c r="BU1784" t="s">
        <v>182</v>
      </c>
      <c r="BV1784" t="s">
        <v>198</v>
      </c>
      <c r="BW1784" t="s">
        <v>198</v>
      </c>
      <c r="BX1784" t="s">
        <v>199</v>
      </c>
      <c r="BY1784" t="s">
        <v>198</v>
      </c>
      <c r="BZ1784" t="s">
        <v>199</v>
      </c>
      <c r="CA1784" t="s">
        <v>199</v>
      </c>
      <c r="CB1784" t="s">
        <v>21738</v>
      </c>
      <c r="CC1784" t="s">
        <v>201</v>
      </c>
      <c r="CD1784" t="s">
        <v>182</v>
      </c>
      <c r="CE1784" t="s">
        <v>21739</v>
      </c>
      <c r="CF1784" t="s">
        <v>4097</v>
      </c>
      <c r="CG1784" t="s">
        <v>177</v>
      </c>
      <c r="CH1784" t="s">
        <v>21740</v>
      </c>
      <c r="CI1784" t="s">
        <v>21741</v>
      </c>
      <c r="CJ1784" t="s">
        <v>14781</v>
      </c>
      <c r="CK1784" t="s">
        <v>232</v>
      </c>
      <c r="CL1784" t="s">
        <v>233</v>
      </c>
      <c r="CM1784" t="s">
        <v>21742</v>
      </c>
      <c r="CN1784" t="s">
        <v>436</v>
      </c>
      <c r="CO1784" t="s">
        <v>183</v>
      </c>
      <c r="CP1784" t="s">
        <v>266</v>
      </c>
      <c r="CS1784" t="s">
        <v>198</v>
      </c>
      <c r="CT1784" t="s">
        <v>11543</v>
      </c>
      <c r="CU1784" t="s">
        <v>292</v>
      </c>
      <c r="CV1784" t="s">
        <v>293</v>
      </c>
      <c r="CW1784" t="s">
        <v>21743</v>
      </c>
      <c r="CX1784" t="s">
        <v>235</v>
      </c>
      <c r="CY1784" t="s">
        <v>183</v>
      </c>
      <c r="CZ1784" t="s">
        <v>211</v>
      </c>
      <c r="DA1784" t="s">
        <v>298</v>
      </c>
      <c r="DC1784" t="s">
        <v>1066</v>
      </c>
      <c r="DM1784" t="s">
        <v>198</v>
      </c>
      <c r="DW1784" t="s">
        <v>198</v>
      </c>
      <c r="EG1784" t="s">
        <v>198</v>
      </c>
      <c r="EQ1784" t="s">
        <v>198</v>
      </c>
      <c r="FA1784" t="s">
        <v>198</v>
      </c>
      <c r="FK1784" t="s">
        <v>198</v>
      </c>
      <c r="FU1784" t="s">
        <v>198</v>
      </c>
    </row>
    <row r="1785" spans="1:177">
      <c r="A1785" s="1" t="str">
        <f>HYPERLINK("http://digipan.lumentumllc.com/apps/getLink/index.php?t=PropLink&amp;p=6462072","PL")</f>
        <v>PL</v>
      </c>
      <c r="B1785" s="1" t="str">
        <f>HYPERLINK("http://digipan.lumentumllc.com/apps/getLink/index.php?t=TaxLink&amp;p=6462072","TL")</f>
        <v>TL</v>
      </c>
      <c r="C1785" s="1" t="str">
        <f>HYPERLINK("http://digipan.lumentumllc.com/apps/getMap/index.php?p=6462072","Map")</f>
        <v>Map</v>
      </c>
      <c r="E1785" t="s">
        <v>177</v>
      </c>
      <c r="F1785" t="s">
        <v>178</v>
      </c>
      <c r="L1785" t="s">
        <v>21744</v>
      </c>
      <c r="N1785" t="s">
        <v>21744</v>
      </c>
      <c r="O1785" t="s">
        <v>21744</v>
      </c>
      <c r="P1785" t="s">
        <v>21745</v>
      </c>
      <c r="Q1785" t="s">
        <v>21744</v>
      </c>
      <c r="V1785">
        <v>2036</v>
      </c>
      <c r="W1785">
        <v>7</v>
      </c>
      <c r="X1785">
        <v>2017</v>
      </c>
      <c r="Y1785">
        <v>2018</v>
      </c>
      <c r="Z1785">
        <v>10024.870000000001</v>
      </c>
      <c r="AB1785" t="s">
        <v>181</v>
      </c>
      <c r="AC1785" t="s">
        <v>182</v>
      </c>
      <c r="AD1785" t="s">
        <v>183</v>
      </c>
      <c r="AE1785">
        <v>1</v>
      </c>
      <c r="AF1785">
        <v>1</v>
      </c>
      <c r="AG1785" t="s">
        <v>2222</v>
      </c>
      <c r="AH1785">
        <v>50</v>
      </c>
      <c r="AI1785">
        <v>5218.66</v>
      </c>
      <c r="AJ1785">
        <v>260.93</v>
      </c>
      <c r="AK1785">
        <v>5479.59</v>
      </c>
      <c r="AL1785">
        <v>610341</v>
      </c>
      <c r="AM1785">
        <v>400000</v>
      </c>
      <c r="AN1785">
        <v>210341</v>
      </c>
      <c r="AO1785">
        <v>4800</v>
      </c>
      <c r="AP1785">
        <v>2016</v>
      </c>
      <c r="AQ1785">
        <v>1.64</v>
      </c>
      <c r="AR1785">
        <v>0.9</v>
      </c>
      <c r="AS1785" t="s">
        <v>21746</v>
      </c>
      <c r="AT1785" t="s">
        <v>3210</v>
      </c>
      <c r="AU1785" t="s">
        <v>177</v>
      </c>
      <c r="AV1785" t="s">
        <v>2334</v>
      </c>
      <c r="AW1785" t="s">
        <v>182</v>
      </c>
      <c r="AX1785">
        <v>1</v>
      </c>
      <c r="AY1785" t="s">
        <v>188</v>
      </c>
      <c r="AZ1785" t="s">
        <v>206</v>
      </c>
      <c r="BA1785" t="s">
        <v>355</v>
      </c>
      <c r="BB1785" t="s">
        <v>191</v>
      </c>
      <c r="BC1785" t="s">
        <v>182</v>
      </c>
      <c r="BD1785" t="s">
        <v>2072</v>
      </c>
      <c r="BE1785" t="s">
        <v>5431</v>
      </c>
      <c r="BF1785">
        <v>1</v>
      </c>
      <c r="BG1785">
        <v>1</v>
      </c>
      <c r="BH1785">
        <v>1989</v>
      </c>
      <c r="BI1785" t="s">
        <v>21747</v>
      </c>
      <c r="BJ1785" t="s">
        <v>315</v>
      </c>
      <c r="BK1785" t="s">
        <v>195</v>
      </c>
      <c r="BL1785" t="s">
        <v>199</v>
      </c>
      <c r="BM1785" t="s">
        <v>292</v>
      </c>
      <c r="BN1785" t="s">
        <v>182</v>
      </c>
      <c r="BO1785" t="s">
        <v>198</v>
      </c>
      <c r="BP1785" t="s">
        <v>198</v>
      </c>
      <c r="BQ1785" t="s">
        <v>198</v>
      </c>
      <c r="BR1785" t="s">
        <v>198</v>
      </c>
      <c r="BS1785" t="s">
        <v>198</v>
      </c>
      <c r="BT1785" t="s">
        <v>198</v>
      </c>
      <c r="BU1785" t="s">
        <v>182</v>
      </c>
      <c r="BV1785" t="s">
        <v>198</v>
      </c>
      <c r="BW1785" t="s">
        <v>198</v>
      </c>
      <c r="BX1785" t="s">
        <v>199</v>
      </c>
      <c r="BY1785" t="s">
        <v>198</v>
      </c>
      <c r="BZ1785" t="s">
        <v>199</v>
      </c>
      <c r="CA1785" t="s">
        <v>199</v>
      </c>
      <c r="CB1785" t="s">
        <v>21748</v>
      </c>
      <c r="CC1785" t="s">
        <v>201</v>
      </c>
      <c r="CD1785" t="s">
        <v>182</v>
      </c>
      <c r="CE1785" t="s">
        <v>21749</v>
      </c>
      <c r="CF1785" t="s">
        <v>2333</v>
      </c>
      <c r="CG1785" t="s">
        <v>177</v>
      </c>
      <c r="CH1785" t="s">
        <v>2334</v>
      </c>
      <c r="CI1785" t="s">
        <v>21750</v>
      </c>
      <c r="CJ1785" t="s">
        <v>14859</v>
      </c>
      <c r="CK1785" t="s">
        <v>232</v>
      </c>
      <c r="CL1785" t="s">
        <v>233</v>
      </c>
      <c r="CM1785" t="s">
        <v>21751</v>
      </c>
      <c r="CN1785" t="s">
        <v>235</v>
      </c>
      <c r="CO1785" t="s">
        <v>183</v>
      </c>
      <c r="CP1785" t="s">
        <v>266</v>
      </c>
      <c r="CS1785" t="s">
        <v>198</v>
      </c>
      <c r="CT1785" t="s">
        <v>17444</v>
      </c>
      <c r="CU1785" t="s">
        <v>302</v>
      </c>
      <c r="CV1785" t="s">
        <v>303</v>
      </c>
      <c r="CW1785" t="s">
        <v>21752</v>
      </c>
      <c r="CX1785" t="s">
        <v>235</v>
      </c>
      <c r="CY1785" t="s">
        <v>183</v>
      </c>
      <c r="CZ1785" t="s">
        <v>211</v>
      </c>
      <c r="DA1785" t="s">
        <v>199</v>
      </c>
      <c r="DC1785" t="s">
        <v>6165</v>
      </c>
      <c r="DM1785" t="s">
        <v>198</v>
      </c>
      <c r="DW1785" t="s">
        <v>198</v>
      </c>
      <c r="EG1785" t="s">
        <v>198</v>
      </c>
      <c r="EQ1785" t="s">
        <v>198</v>
      </c>
      <c r="FA1785" t="s">
        <v>198</v>
      </c>
      <c r="FK1785" t="s">
        <v>198</v>
      </c>
      <c r="FU1785" t="s">
        <v>198</v>
      </c>
    </row>
    <row r="1786" spans="1:177">
      <c r="A1786" s="1" t="str">
        <f>HYPERLINK("http://digipan.lumentumllc.com/apps/getLink/index.php?t=PropLink&amp;p=5248031","PL")</f>
        <v>PL</v>
      </c>
      <c r="B1786" s="1" t="str">
        <f>HYPERLINK("http://digipan.lumentumllc.com/apps/getLink/index.php?t=TaxLink&amp;p=5248031","TL")</f>
        <v>TL</v>
      </c>
      <c r="C1786" s="1" t="str">
        <f>HYPERLINK("http://digipan.lumentumllc.com/apps/getMap/index.php?p=5248031","Map")</f>
        <v>Map</v>
      </c>
      <c r="E1786" t="s">
        <v>177</v>
      </c>
      <c r="F1786" t="s">
        <v>178</v>
      </c>
      <c r="L1786" t="s">
        <v>21753</v>
      </c>
      <c r="N1786" t="s">
        <v>21753</v>
      </c>
      <c r="O1786" t="s">
        <v>21753</v>
      </c>
      <c r="P1786" t="s">
        <v>21754</v>
      </c>
      <c r="Q1786" t="s">
        <v>21753</v>
      </c>
      <c r="V1786">
        <v>2037</v>
      </c>
      <c r="W1786">
        <v>7</v>
      </c>
      <c r="X1786">
        <v>2017</v>
      </c>
      <c r="Y1786">
        <v>2018</v>
      </c>
      <c r="Z1786">
        <v>417.38</v>
      </c>
      <c r="AB1786" t="s">
        <v>181</v>
      </c>
      <c r="AC1786" t="s">
        <v>182</v>
      </c>
      <c r="AD1786" t="s">
        <v>183</v>
      </c>
      <c r="AE1786">
        <v>7</v>
      </c>
      <c r="AF1786">
        <v>0</v>
      </c>
      <c r="AG1786" t="s">
        <v>1038</v>
      </c>
      <c r="AH1786">
        <v>0</v>
      </c>
      <c r="AI1786">
        <v>3016.93</v>
      </c>
      <c r="AJ1786">
        <v>1160.73</v>
      </c>
      <c r="AK1786">
        <v>4177.66</v>
      </c>
      <c r="AL1786">
        <v>23750</v>
      </c>
      <c r="AM1786">
        <v>16250</v>
      </c>
      <c r="AN1786">
        <v>7500</v>
      </c>
      <c r="AO1786">
        <v>326</v>
      </c>
      <c r="AP1786">
        <v>2016</v>
      </c>
      <c r="AQ1786">
        <v>1.76</v>
      </c>
      <c r="AR1786">
        <v>17.59</v>
      </c>
      <c r="AS1786" t="s">
        <v>21736</v>
      </c>
      <c r="AT1786" t="s">
        <v>3210</v>
      </c>
      <c r="AU1786" t="s">
        <v>177</v>
      </c>
      <c r="AV1786" t="s">
        <v>2334</v>
      </c>
      <c r="AW1786" t="s">
        <v>182</v>
      </c>
      <c r="AX1786">
        <v>0</v>
      </c>
      <c r="AY1786" t="s">
        <v>312</v>
      </c>
      <c r="AZ1786" t="s">
        <v>199</v>
      </c>
      <c r="BA1786" t="s">
        <v>313</v>
      </c>
      <c r="BB1786" t="s">
        <v>191</v>
      </c>
      <c r="BC1786" t="s">
        <v>182</v>
      </c>
      <c r="BD1786" t="s">
        <v>182</v>
      </c>
      <c r="BE1786" t="s">
        <v>4744</v>
      </c>
      <c r="BF1786">
        <v>0</v>
      </c>
      <c r="BG1786">
        <v>0</v>
      </c>
      <c r="BH1786">
        <v>0</v>
      </c>
      <c r="BI1786" t="s">
        <v>199</v>
      </c>
      <c r="BJ1786" t="s">
        <v>194</v>
      </c>
      <c r="BL1786" t="s">
        <v>199</v>
      </c>
      <c r="BM1786" t="s">
        <v>533</v>
      </c>
      <c r="BN1786" t="s">
        <v>182</v>
      </c>
      <c r="BO1786" t="s">
        <v>198</v>
      </c>
      <c r="BP1786" t="s">
        <v>198</v>
      </c>
      <c r="BQ1786" t="s">
        <v>198</v>
      </c>
      <c r="BR1786" t="s">
        <v>198</v>
      </c>
      <c r="BS1786" t="s">
        <v>198</v>
      </c>
      <c r="BT1786" t="s">
        <v>198</v>
      </c>
      <c r="BU1786" t="s">
        <v>182</v>
      </c>
      <c r="BV1786" t="s">
        <v>198</v>
      </c>
      <c r="BW1786" t="s">
        <v>198</v>
      </c>
      <c r="BX1786" t="s">
        <v>199</v>
      </c>
      <c r="BY1786" t="s">
        <v>198</v>
      </c>
      <c r="BZ1786" t="s">
        <v>199</v>
      </c>
      <c r="CA1786" t="s">
        <v>199</v>
      </c>
      <c r="CB1786" t="s">
        <v>21755</v>
      </c>
      <c r="CC1786" t="s">
        <v>201</v>
      </c>
      <c r="CD1786" t="s">
        <v>202</v>
      </c>
      <c r="CE1786" t="s">
        <v>21756</v>
      </c>
      <c r="CF1786" t="s">
        <v>2333</v>
      </c>
      <c r="CG1786" t="s">
        <v>177</v>
      </c>
      <c r="CH1786" t="s">
        <v>2334</v>
      </c>
      <c r="CI1786" t="s">
        <v>21757</v>
      </c>
      <c r="CJ1786" t="s">
        <v>5467</v>
      </c>
      <c r="CK1786" t="s">
        <v>232</v>
      </c>
      <c r="CL1786" t="s">
        <v>233</v>
      </c>
      <c r="CM1786" t="s">
        <v>21758</v>
      </c>
      <c r="CN1786" t="s">
        <v>486</v>
      </c>
      <c r="CO1786" t="s">
        <v>183</v>
      </c>
      <c r="CP1786" t="s">
        <v>266</v>
      </c>
      <c r="CS1786" t="s">
        <v>198</v>
      </c>
      <c r="CT1786" t="s">
        <v>2959</v>
      </c>
      <c r="CU1786" t="s">
        <v>292</v>
      </c>
      <c r="CV1786" t="s">
        <v>293</v>
      </c>
      <c r="CW1786" t="s">
        <v>21759</v>
      </c>
      <c r="CX1786" t="s">
        <v>482</v>
      </c>
      <c r="CY1786" t="s">
        <v>183</v>
      </c>
      <c r="CZ1786" t="s">
        <v>266</v>
      </c>
      <c r="DC1786" t="s">
        <v>198</v>
      </c>
      <c r="DD1786" t="s">
        <v>3196</v>
      </c>
      <c r="DE1786" t="s">
        <v>267</v>
      </c>
      <c r="DF1786" t="s">
        <v>268</v>
      </c>
      <c r="DG1786" t="s">
        <v>21760</v>
      </c>
      <c r="DH1786" t="s">
        <v>482</v>
      </c>
      <c r="DI1786" t="s">
        <v>183</v>
      </c>
      <c r="DJ1786" t="s">
        <v>266</v>
      </c>
      <c r="DM1786" t="s">
        <v>198</v>
      </c>
      <c r="DN1786" t="s">
        <v>21761</v>
      </c>
      <c r="DO1786" t="s">
        <v>273</v>
      </c>
      <c r="DP1786" t="s">
        <v>274</v>
      </c>
      <c r="DQ1786" t="s">
        <v>21762</v>
      </c>
      <c r="DR1786" t="s">
        <v>235</v>
      </c>
      <c r="DS1786" t="s">
        <v>183</v>
      </c>
      <c r="DT1786" t="s">
        <v>266</v>
      </c>
      <c r="DW1786" t="s">
        <v>198</v>
      </c>
      <c r="DX1786" t="s">
        <v>17470</v>
      </c>
      <c r="DY1786" t="s">
        <v>302</v>
      </c>
      <c r="DZ1786" t="s">
        <v>303</v>
      </c>
      <c r="EA1786" t="s">
        <v>21763</v>
      </c>
      <c r="EB1786" t="s">
        <v>1615</v>
      </c>
      <c r="EC1786" t="s">
        <v>183</v>
      </c>
      <c r="ED1786" t="s">
        <v>266</v>
      </c>
      <c r="EG1786" t="s">
        <v>198</v>
      </c>
      <c r="EH1786" t="s">
        <v>21764</v>
      </c>
      <c r="EI1786" t="s">
        <v>238</v>
      </c>
      <c r="EJ1786" t="s">
        <v>239</v>
      </c>
      <c r="EK1786" t="s">
        <v>18706</v>
      </c>
      <c r="EL1786" t="s">
        <v>440</v>
      </c>
      <c r="EM1786" t="s">
        <v>183</v>
      </c>
      <c r="EN1786" t="s">
        <v>266</v>
      </c>
      <c r="EQ1786" t="s">
        <v>198</v>
      </c>
      <c r="ER1786" t="s">
        <v>21765</v>
      </c>
      <c r="ES1786" t="s">
        <v>346</v>
      </c>
      <c r="ET1786" t="s">
        <v>347</v>
      </c>
      <c r="EU1786" t="s">
        <v>8194</v>
      </c>
      <c r="EV1786" t="s">
        <v>278</v>
      </c>
      <c r="EW1786" t="s">
        <v>183</v>
      </c>
      <c r="EX1786" t="s">
        <v>266</v>
      </c>
      <c r="FA1786" t="s">
        <v>198</v>
      </c>
      <c r="FK1786" t="s">
        <v>198</v>
      </c>
      <c r="FU1786" t="s">
        <v>198</v>
      </c>
    </row>
    <row r="1787" spans="1:177">
      <c r="A1787" s="1" t="str">
        <f>HYPERLINK("http://digipan.lumentumllc.com/apps/getLink/index.php?t=PropLink&amp;p=5248032","PL")</f>
        <v>PL</v>
      </c>
      <c r="B1787" s="1" t="str">
        <f>HYPERLINK("http://digipan.lumentumllc.com/apps/getLink/index.php?t=TaxLink&amp;p=5248032","TL")</f>
        <v>TL</v>
      </c>
      <c r="C1787" s="1" t="str">
        <f>HYPERLINK("http://digipan.lumentumllc.com/apps/getMap/index.php?p=5248032","Map")</f>
        <v>Map</v>
      </c>
      <c r="E1787" t="s">
        <v>177</v>
      </c>
      <c r="F1787" t="s">
        <v>178</v>
      </c>
      <c r="L1787" t="s">
        <v>21766</v>
      </c>
      <c r="N1787" t="s">
        <v>21766</v>
      </c>
      <c r="O1787" t="s">
        <v>21766</v>
      </c>
      <c r="P1787" t="s">
        <v>21767</v>
      </c>
      <c r="Q1787" t="s">
        <v>21766</v>
      </c>
      <c r="V1787">
        <v>2038</v>
      </c>
      <c r="W1787">
        <v>7</v>
      </c>
      <c r="X1787">
        <v>2017</v>
      </c>
      <c r="Y1787">
        <v>2018</v>
      </c>
      <c r="Z1787">
        <v>441.32</v>
      </c>
      <c r="AB1787" t="s">
        <v>181</v>
      </c>
      <c r="AC1787" t="s">
        <v>182</v>
      </c>
      <c r="AD1787" t="s">
        <v>183</v>
      </c>
      <c r="AE1787">
        <v>0</v>
      </c>
      <c r="AF1787">
        <v>4</v>
      </c>
      <c r="AG1787" t="s">
        <v>381</v>
      </c>
      <c r="AH1787">
        <v>100</v>
      </c>
      <c r="AK1787">
        <v>0</v>
      </c>
      <c r="AL1787">
        <v>25000</v>
      </c>
      <c r="AM1787">
        <v>25000</v>
      </c>
      <c r="AN1787">
        <v>0</v>
      </c>
      <c r="AO1787">
        <v>384</v>
      </c>
      <c r="AP1787">
        <v>2016</v>
      </c>
      <c r="AQ1787">
        <v>1.77</v>
      </c>
      <c r="AS1787" t="s">
        <v>21768</v>
      </c>
      <c r="AT1787" t="s">
        <v>15040</v>
      </c>
      <c r="AU1787" t="s">
        <v>177</v>
      </c>
      <c r="AV1787" t="s">
        <v>371</v>
      </c>
      <c r="AW1787" t="s">
        <v>182</v>
      </c>
      <c r="AX1787">
        <v>0</v>
      </c>
      <c r="AY1787" t="s">
        <v>312</v>
      </c>
      <c r="AZ1787" t="s">
        <v>199</v>
      </c>
      <c r="BA1787" t="s">
        <v>313</v>
      </c>
      <c r="BB1787" t="s">
        <v>191</v>
      </c>
      <c r="BC1787" t="s">
        <v>182</v>
      </c>
      <c r="BD1787" t="s">
        <v>182</v>
      </c>
      <c r="BE1787" t="s">
        <v>7278</v>
      </c>
      <c r="BF1787">
        <v>0</v>
      </c>
      <c r="BG1787">
        <v>0</v>
      </c>
      <c r="BH1787">
        <v>0</v>
      </c>
      <c r="BI1787" t="s">
        <v>199</v>
      </c>
      <c r="BJ1787" t="s">
        <v>194</v>
      </c>
      <c r="BL1787" t="s">
        <v>1310</v>
      </c>
      <c r="BM1787" t="s">
        <v>325</v>
      </c>
      <c r="BN1787" t="s">
        <v>182</v>
      </c>
      <c r="BO1787" t="s">
        <v>198</v>
      </c>
      <c r="BP1787" t="s">
        <v>198</v>
      </c>
      <c r="BQ1787" t="s">
        <v>198</v>
      </c>
      <c r="BR1787" t="s">
        <v>198</v>
      </c>
      <c r="BS1787" t="s">
        <v>198</v>
      </c>
      <c r="BT1787" t="s">
        <v>198</v>
      </c>
      <c r="BU1787" t="s">
        <v>182</v>
      </c>
      <c r="BV1787" t="s">
        <v>198</v>
      </c>
      <c r="BW1787" t="s">
        <v>198</v>
      </c>
      <c r="BX1787" t="s">
        <v>199</v>
      </c>
      <c r="BY1787" t="s">
        <v>198</v>
      </c>
      <c r="BZ1787" t="s">
        <v>199</v>
      </c>
      <c r="CA1787" t="s">
        <v>199</v>
      </c>
      <c r="CB1787" t="s">
        <v>21769</v>
      </c>
      <c r="CC1787" t="s">
        <v>201</v>
      </c>
      <c r="CD1787" t="s">
        <v>202</v>
      </c>
      <c r="CE1787" t="s">
        <v>21770</v>
      </c>
      <c r="CF1787" t="s">
        <v>2333</v>
      </c>
      <c r="CG1787" t="s">
        <v>177</v>
      </c>
      <c r="CH1787" t="s">
        <v>2334</v>
      </c>
      <c r="CI1787" t="s">
        <v>21771</v>
      </c>
      <c r="CJ1787" t="s">
        <v>14826</v>
      </c>
      <c r="CK1787" t="s">
        <v>232</v>
      </c>
      <c r="CL1787" t="s">
        <v>233</v>
      </c>
      <c r="CM1787" t="s">
        <v>5636</v>
      </c>
      <c r="CN1787" t="s">
        <v>305</v>
      </c>
      <c r="CO1787" t="s">
        <v>183</v>
      </c>
      <c r="CP1787" t="s">
        <v>211</v>
      </c>
      <c r="CQ1787" t="s">
        <v>290</v>
      </c>
      <c r="CS1787" t="s">
        <v>11996</v>
      </c>
      <c r="CT1787" t="s">
        <v>10159</v>
      </c>
      <c r="CU1787" t="s">
        <v>292</v>
      </c>
      <c r="CV1787" t="s">
        <v>293</v>
      </c>
      <c r="CW1787" t="s">
        <v>12408</v>
      </c>
      <c r="CX1787" t="s">
        <v>333</v>
      </c>
      <c r="CY1787" t="s">
        <v>183</v>
      </c>
      <c r="CZ1787" t="s">
        <v>211</v>
      </c>
      <c r="DA1787" t="s">
        <v>342</v>
      </c>
      <c r="DC1787" t="s">
        <v>9277</v>
      </c>
      <c r="DD1787" t="s">
        <v>21772</v>
      </c>
      <c r="DE1787" t="s">
        <v>346</v>
      </c>
      <c r="DF1787" t="s">
        <v>347</v>
      </c>
      <c r="DG1787" t="s">
        <v>21773</v>
      </c>
      <c r="DH1787" t="s">
        <v>278</v>
      </c>
      <c r="DI1787" t="s">
        <v>183</v>
      </c>
      <c r="DJ1787" t="s">
        <v>211</v>
      </c>
      <c r="DK1787" t="s">
        <v>270</v>
      </c>
      <c r="DM1787" t="s">
        <v>9603</v>
      </c>
      <c r="DN1787" t="s">
        <v>21774</v>
      </c>
      <c r="DO1787" t="s">
        <v>207</v>
      </c>
      <c r="DP1787" t="s">
        <v>208</v>
      </c>
      <c r="DQ1787" t="s">
        <v>21775</v>
      </c>
      <c r="DR1787" t="s">
        <v>482</v>
      </c>
      <c r="DS1787" t="s">
        <v>183</v>
      </c>
      <c r="DT1787" t="s">
        <v>211</v>
      </c>
      <c r="DU1787" t="s">
        <v>199</v>
      </c>
      <c r="DW1787" t="s">
        <v>2023</v>
      </c>
      <c r="EG1787" t="s">
        <v>198</v>
      </c>
      <c r="EQ1787" t="s">
        <v>198</v>
      </c>
      <c r="FA1787" t="s">
        <v>198</v>
      </c>
      <c r="FK1787" t="s">
        <v>198</v>
      </c>
      <c r="FU1787" t="s">
        <v>198</v>
      </c>
    </row>
    <row r="1788" spans="1:177">
      <c r="A1788" s="1" t="str">
        <f>HYPERLINK("http://digipan.lumentumllc.com/apps/getLink/index.php?t=PropLink&amp;p=15759870","PL")</f>
        <v>PL</v>
      </c>
      <c r="B1788" s="1" t="str">
        <f>HYPERLINK("http://digipan.lumentumllc.com/apps/getLink/index.php?t=TaxLink&amp;p=15759870","TL")</f>
        <v>TL</v>
      </c>
      <c r="C1788" s="1" t="str">
        <f>HYPERLINK("http://digipan.lumentumllc.com/apps/getMap/index.php?p=15759870","Map")</f>
        <v>Map</v>
      </c>
      <c r="E1788" t="s">
        <v>177</v>
      </c>
      <c r="F1788" t="s">
        <v>178</v>
      </c>
      <c r="L1788" t="s">
        <v>21776</v>
      </c>
      <c r="N1788" t="s">
        <v>21776</v>
      </c>
      <c r="O1788" t="s">
        <v>21776</v>
      </c>
      <c r="Q1788" t="s">
        <v>21776</v>
      </c>
      <c r="V1788">
        <v>2039</v>
      </c>
      <c r="W1788">
        <v>7</v>
      </c>
      <c r="X1788">
        <v>2017</v>
      </c>
      <c r="Y1788">
        <v>2018</v>
      </c>
      <c r="Z1788">
        <v>726.21</v>
      </c>
      <c r="AG1788" t="s">
        <v>184</v>
      </c>
      <c r="AH1788">
        <v>0</v>
      </c>
      <c r="AK1788">
        <v>0</v>
      </c>
      <c r="AL1788">
        <v>45931</v>
      </c>
      <c r="AM1788">
        <v>20000</v>
      </c>
      <c r="AN1788">
        <v>25931</v>
      </c>
      <c r="AO1788">
        <v>554</v>
      </c>
      <c r="AP1788">
        <v>2016</v>
      </c>
      <c r="AQ1788">
        <v>1.58</v>
      </c>
      <c r="AS1788" t="s">
        <v>21777</v>
      </c>
      <c r="AT1788" t="s">
        <v>3210</v>
      </c>
      <c r="AU1788" t="s">
        <v>177</v>
      </c>
      <c r="AV1788" t="s">
        <v>2334</v>
      </c>
      <c r="AW1788" t="s">
        <v>182</v>
      </c>
      <c r="AX1788">
        <v>2</v>
      </c>
      <c r="AY1788" t="s">
        <v>188</v>
      </c>
      <c r="AZ1788" t="s">
        <v>189</v>
      </c>
      <c r="BA1788" t="s">
        <v>190</v>
      </c>
      <c r="BB1788" t="s">
        <v>191</v>
      </c>
      <c r="BC1788" t="s">
        <v>182</v>
      </c>
      <c r="BD1788" t="s">
        <v>182</v>
      </c>
      <c r="BE1788" t="s">
        <v>6618</v>
      </c>
      <c r="BF1788">
        <v>1</v>
      </c>
      <c r="BG1788">
        <v>1</v>
      </c>
      <c r="BH1788">
        <v>1976</v>
      </c>
      <c r="BI1788" t="s">
        <v>3043</v>
      </c>
      <c r="BJ1788" t="s">
        <v>194</v>
      </c>
      <c r="BK1788" t="s">
        <v>195</v>
      </c>
      <c r="BL1788" t="s">
        <v>7671</v>
      </c>
      <c r="BM1788" t="s">
        <v>286</v>
      </c>
      <c r="BN1788" t="s">
        <v>182</v>
      </c>
      <c r="BO1788" t="s">
        <v>21778</v>
      </c>
      <c r="BP1788" t="s">
        <v>8860</v>
      </c>
      <c r="BQ1788" t="s">
        <v>226</v>
      </c>
      <c r="BR1788" t="s">
        <v>227</v>
      </c>
      <c r="BS1788" t="s">
        <v>198</v>
      </c>
      <c r="BT1788" t="s">
        <v>21779</v>
      </c>
      <c r="BU1788" t="s">
        <v>182</v>
      </c>
      <c r="BV1788" t="s">
        <v>198</v>
      </c>
      <c r="BW1788" t="s">
        <v>198</v>
      </c>
      <c r="BX1788" t="s">
        <v>199</v>
      </c>
      <c r="BY1788" t="s">
        <v>198</v>
      </c>
      <c r="BZ1788" t="s">
        <v>199</v>
      </c>
      <c r="CA1788" t="s">
        <v>199</v>
      </c>
      <c r="CB1788" t="s">
        <v>17178</v>
      </c>
      <c r="CC1788" t="s">
        <v>1407</v>
      </c>
      <c r="CD1788" t="s">
        <v>202</v>
      </c>
      <c r="CE1788" t="s">
        <v>17179</v>
      </c>
      <c r="CF1788" t="s">
        <v>5331</v>
      </c>
      <c r="CG1788" t="s">
        <v>177</v>
      </c>
      <c r="CH1788" t="s">
        <v>371</v>
      </c>
      <c r="CI1788" t="s">
        <v>21780</v>
      </c>
      <c r="CS1788" t="s">
        <v>198</v>
      </c>
      <c r="DC1788" t="s">
        <v>198</v>
      </c>
      <c r="DM1788" t="s">
        <v>198</v>
      </c>
      <c r="DW1788" t="s">
        <v>198</v>
      </c>
      <c r="EG1788" t="s">
        <v>198</v>
      </c>
      <c r="EQ1788" t="s">
        <v>198</v>
      </c>
      <c r="FA1788" t="s">
        <v>198</v>
      </c>
      <c r="FK1788" t="s">
        <v>198</v>
      </c>
      <c r="FU1788" t="s">
        <v>198</v>
      </c>
    </row>
    <row r="1789" spans="1:177">
      <c r="A1789" s="1" t="str">
        <f>HYPERLINK("http://digipan.lumentumllc.com/apps/getLink/index.php?t=PropLink&amp;p=6462073","PL")</f>
        <v>PL</v>
      </c>
      <c r="B1789" s="1" t="str">
        <f>HYPERLINK("http://digipan.lumentumllc.com/apps/getLink/index.php?t=TaxLink&amp;p=6462073","TL")</f>
        <v>TL</v>
      </c>
      <c r="C1789" s="1" t="str">
        <f>HYPERLINK("http://digipan.lumentumllc.com/apps/getMap/index.php?p=6462073","Map")</f>
        <v>Map</v>
      </c>
      <c r="E1789" t="s">
        <v>177</v>
      </c>
      <c r="F1789" t="s">
        <v>178</v>
      </c>
      <c r="L1789" t="s">
        <v>21781</v>
      </c>
      <c r="N1789" t="s">
        <v>21781</v>
      </c>
      <c r="O1789" t="s">
        <v>21781</v>
      </c>
      <c r="P1789" t="s">
        <v>21782</v>
      </c>
      <c r="Q1789" t="s">
        <v>21781</v>
      </c>
      <c r="V1789">
        <v>2040</v>
      </c>
      <c r="W1789">
        <v>7</v>
      </c>
      <c r="X1789">
        <v>2017</v>
      </c>
      <c r="Y1789">
        <v>2018</v>
      </c>
      <c r="Z1789">
        <v>441.32</v>
      </c>
      <c r="AB1789" t="s">
        <v>181</v>
      </c>
      <c r="AC1789" t="s">
        <v>182</v>
      </c>
      <c r="AD1789" t="s">
        <v>183</v>
      </c>
      <c r="AE1789">
        <v>0</v>
      </c>
      <c r="AF1789">
        <v>4</v>
      </c>
      <c r="AG1789" t="s">
        <v>744</v>
      </c>
      <c r="AH1789">
        <v>100</v>
      </c>
      <c r="AK1789">
        <v>0</v>
      </c>
      <c r="AL1789">
        <v>25000</v>
      </c>
      <c r="AM1789">
        <v>25000</v>
      </c>
      <c r="AN1789">
        <v>0</v>
      </c>
      <c r="AO1789">
        <v>384</v>
      </c>
      <c r="AP1789">
        <v>2016</v>
      </c>
      <c r="AQ1789">
        <v>1.77</v>
      </c>
      <c r="AS1789" t="s">
        <v>21783</v>
      </c>
      <c r="AT1789" t="s">
        <v>3210</v>
      </c>
      <c r="AU1789" t="s">
        <v>177</v>
      </c>
      <c r="AV1789" t="s">
        <v>2334</v>
      </c>
      <c r="AW1789" t="s">
        <v>182</v>
      </c>
      <c r="AX1789">
        <v>0</v>
      </c>
      <c r="AY1789" t="s">
        <v>312</v>
      </c>
      <c r="AZ1789" t="s">
        <v>199</v>
      </c>
      <c r="BA1789" t="s">
        <v>313</v>
      </c>
      <c r="BB1789" t="s">
        <v>191</v>
      </c>
      <c r="BC1789" t="s">
        <v>182</v>
      </c>
      <c r="BD1789" t="s">
        <v>182</v>
      </c>
      <c r="BE1789" t="s">
        <v>383</v>
      </c>
      <c r="BF1789">
        <v>0</v>
      </c>
      <c r="BG1789">
        <v>0</v>
      </c>
      <c r="BH1789">
        <v>0</v>
      </c>
      <c r="BI1789" t="s">
        <v>199</v>
      </c>
      <c r="BJ1789" t="s">
        <v>248</v>
      </c>
      <c r="BL1789" t="s">
        <v>199</v>
      </c>
      <c r="BM1789" t="s">
        <v>292</v>
      </c>
      <c r="BN1789" t="s">
        <v>182</v>
      </c>
      <c r="BO1789" t="s">
        <v>198</v>
      </c>
      <c r="BP1789" t="s">
        <v>198</v>
      </c>
      <c r="BQ1789" t="s">
        <v>198</v>
      </c>
      <c r="BR1789" t="s">
        <v>198</v>
      </c>
      <c r="BS1789" t="s">
        <v>198</v>
      </c>
      <c r="BT1789" t="s">
        <v>198</v>
      </c>
      <c r="BU1789" t="s">
        <v>182</v>
      </c>
      <c r="BV1789" t="s">
        <v>198</v>
      </c>
      <c r="BW1789" t="s">
        <v>198</v>
      </c>
      <c r="BX1789" t="s">
        <v>199</v>
      </c>
      <c r="BY1789" t="s">
        <v>198</v>
      </c>
      <c r="BZ1789" t="s">
        <v>199</v>
      </c>
      <c r="CA1789" t="s">
        <v>199</v>
      </c>
      <c r="CB1789" t="s">
        <v>21784</v>
      </c>
      <c r="CC1789" t="s">
        <v>201</v>
      </c>
      <c r="CD1789" t="s">
        <v>182</v>
      </c>
      <c r="CE1789" t="s">
        <v>21785</v>
      </c>
      <c r="CF1789" t="s">
        <v>2333</v>
      </c>
      <c r="CG1789" t="s">
        <v>177</v>
      </c>
      <c r="CH1789" t="s">
        <v>2334</v>
      </c>
      <c r="CI1789" t="s">
        <v>21786</v>
      </c>
      <c r="CJ1789" t="s">
        <v>11543</v>
      </c>
      <c r="CK1789" t="s">
        <v>232</v>
      </c>
      <c r="CL1789" t="s">
        <v>233</v>
      </c>
      <c r="CM1789" t="s">
        <v>5636</v>
      </c>
      <c r="CN1789" t="s">
        <v>305</v>
      </c>
      <c r="CO1789" t="s">
        <v>183</v>
      </c>
      <c r="CP1789" t="s">
        <v>211</v>
      </c>
      <c r="CQ1789" t="s">
        <v>206</v>
      </c>
      <c r="CS1789" t="s">
        <v>21787</v>
      </c>
      <c r="CT1789" t="s">
        <v>11610</v>
      </c>
      <c r="CU1789" t="s">
        <v>292</v>
      </c>
      <c r="CV1789" t="s">
        <v>293</v>
      </c>
      <c r="CW1789" t="s">
        <v>5046</v>
      </c>
      <c r="CX1789" t="s">
        <v>235</v>
      </c>
      <c r="CY1789" t="s">
        <v>183</v>
      </c>
      <c r="CZ1789" t="s">
        <v>211</v>
      </c>
      <c r="DA1789" t="s">
        <v>342</v>
      </c>
      <c r="DC1789" t="s">
        <v>2917</v>
      </c>
      <c r="DD1789" t="s">
        <v>11870</v>
      </c>
      <c r="DE1789" t="s">
        <v>267</v>
      </c>
      <c r="DF1789" t="s">
        <v>268</v>
      </c>
      <c r="DG1789" t="s">
        <v>21788</v>
      </c>
      <c r="DH1789" t="s">
        <v>1491</v>
      </c>
      <c r="DI1789" t="s">
        <v>183</v>
      </c>
      <c r="DJ1789" t="s">
        <v>211</v>
      </c>
      <c r="DK1789" t="s">
        <v>290</v>
      </c>
      <c r="DM1789" t="s">
        <v>5561</v>
      </c>
      <c r="DN1789" t="s">
        <v>15938</v>
      </c>
      <c r="DO1789" t="s">
        <v>302</v>
      </c>
      <c r="DP1789" t="s">
        <v>303</v>
      </c>
      <c r="DQ1789" t="s">
        <v>21789</v>
      </c>
      <c r="DR1789" t="s">
        <v>331</v>
      </c>
      <c r="DS1789" t="s">
        <v>183</v>
      </c>
      <c r="DT1789" t="s">
        <v>211</v>
      </c>
      <c r="DU1789" t="s">
        <v>270</v>
      </c>
      <c r="DW1789" t="s">
        <v>18489</v>
      </c>
      <c r="EG1789" t="s">
        <v>198</v>
      </c>
      <c r="EQ1789" t="s">
        <v>198</v>
      </c>
      <c r="FA1789" t="s">
        <v>198</v>
      </c>
      <c r="FK1789" t="s">
        <v>198</v>
      </c>
      <c r="FU1789" t="s">
        <v>198</v>
      </c>
    </row>
    <row r="1790" spans="1:177">
      <c r="A1790" s="1" t="str">
        <f>HYPERLINK("http://digipan.lumentumllc.com/apps/getLink/index.php?t=PropLink&amp;p=5248034","PL")</f>
        <v>PL</v>
      </c>
      <c r="B1790" s="1" t="str">
        <f>HYPERLINK("http://digipan.lumentumllc.com/apps/getLink/index.php?t=TaxLink&amp;p=5248034","TL")</f>
        <v>TL</v>
      </c>
      <c r="C1790" s="1" t="str">
        <f>HYPERLINK("http://digipan.lumentumllc.com/apps/getMap/index.php?p=5248034","Map")</f>
        <v>Map</v>
      </c>
      <c r="E1790" t="s">
        <v>177</v>
      </c>
      <c r="F1790" t="s">
        <v>178</v>
      </c>
      <c r="L1790" t="s">
        <v>21790</v>
      </c>
      <c r="N1790" t="s">
        <v>21790</v>
      </c>
      <c r="O1790" t="s">
        <v>21790</v>
      </c>
      <c r="P1790" t="s">
        <v>21791</v>
      </c>
      <c r="Q1790" t="s">
        <v>21790</v>
      </c>
      <c r="V1790">
        <v>2041</v>
      </c>
      <c r="W1790">
        <v>7</v>
      </c>
      <c r="X1790">
        <v>2017</v>
      </c>
      <c r="Y1790">
        <v>2018</v>
      </c>
      <c r="Z1790">
        <v>1357.73</v>
      </c>
      <c r="AB1790" t="s">
        <v>181</v>
      </c>
      <c r="AC1790" t="s">
        <v>202</v>
      </c>
      <c r="AD1790" t="s">
        <v>183</v>
      </c>
      <c r="AE1790">
        <v>0</v>
      </c>
      <c r="AF1790">
        <v>5</v>
      </c>
      <c r="AG1790" t="s">
        <v>3266</v>
      </c>
      <c r="AH1790">
        <v>100</v>
      </c>
      <c r="AK1790">
        <v>0</v>
      </c>
      <c r="AL1790">
        <v>135183</v>
      </c>
      <c r="AM1790">
        <v>25000</v>
      </c>
      <c r="AN1790">
        <v>110183</v>
      </c>
      <c r="AO1790">
        <v>1208</v>
      </c>
      <c r="AP1790">
        <v>2016</v>
      </c>
      <c r="AQ1790">
        <v>1</v>
      </c>
      <c r="AS1790" t="s">
        <v>21792</v>
      </c>
      <c r="AT1790" t="s">
        <v>3210</v>
      </c>
      <c r="AU1790" t="s">
        <v>177</v>
      </c>
      <c r="AV1790" t="s">
        <v>2334</v>
      </c>
      <c r="AW1790" t="s">
        <v>202</v>
      </c>
      <c r="AX1790">
        <v>1</v>
      </c>
      <c r="AY1790" t="s">
        <v>188</v>
      </c>
      <c r="AZ1790" t="s">
        <v>206</v>
      </c>
      <c r="BA1790" t="s">
        <v>355</v>
      </c>
      <c r="BB1790" t="s">
        <v>191</v>
      </c>
      <c r="BC1790" t="s">
        <v>182</v>
      </c>
      <c r="BD1790" t="s">
        <v>182</v>
      </c>
      <c r="BE1790" t="s">
        <v>383</v>
      </c>
      <c r="BF1790">
        <v>1</v>
      </c>
      <c r="BG1790">
        <v>1</v>
      </c>
      <c r="BH1790">
        <v>1993</v>
      </c>
      <c r="BI1790" t="s">
        <v>16370</v>
      </c>
      <c r="BJ1790" t="s">
        <v>194</v>
      </c>
      <c r="BK1790" t="s">
        <v>195</v>
      </c>
      <c r="BL1790" t="s">
        <v>199</v>
      </c>
      <c r="BM1790" t="s">
        <v>302</v>
      </c>
      <c r="BN1790" t="s">
        <v>182</v>
      </c>
      <c r="BO1790" t="s">
        <v>198</v>
      </c>
      <c r="BP1790" t="s">
        <v>198</v>
      </c>
      <c r="BQ1790" t="s">
        <v>198</v>
      </c>
      <c r="BR1790" t="s">
        <v>198</v>
      </c>
      <c r="BS1790" t="s">
        <v>198</v>
      </c>
      <c r="BT1790" t="s">
        <v>198</v>
      </c>
      <c r="BU1790" t="s">
        <v>182</v>
      </c>
      <c r="BV1790" t="s">
        <v>198</v>
      </c>
      <c r="BW1790" t="s">
        <v>198</v>
      </c>
      <c r="BX1790" t="s">
        <v>199</v>
      </c>
      <c r="BY1790" t="s">
        <v>198</v>
      </c>
      <c r="BZ1790" t="s">
        <v>199</v>
      </c>
      <c r="CA1790" t="s">
        <v>199</v>
      </c>
      <c r="CB1790" t="s">
        <v>21793</v>
      </c>
      <c r="CC1790" t="s">
        <v>201</v>
      </c>
      <c r="CD1790" t="s">
        <v>202</v>
      </c>
      <c r="CE1790" t="s">
        <v>21792</v>
      </c>
      <c r="CF1790" t="s">
        <v>2333</v>
      </c>
      <c r="CG1790" t="s">
        <v>177</v>
      </c>
      <c r="CH1790" t="s">
        <v>2334</v>
      </c>
      <c r="CI1790" t="s">
        <v>21794</v>
      </c>
      <c r="CJ1790" t="s">
        <v>11625</v>
      </c>
      <c r="CK1790" t="s">
        <v>292</v>
      </c>
      <c r="CL1790" t="s">
        <v>293</v>
      </c>
      <c r="CM1790" t="s">
        <v>21795</v>
      </c>
      <c r="CN1790" t="s">
        <v>235</v>
      </c>
      <c r="CO1790" t="s">
        <v>183</v>
      </c>
      <c r="CP1790" t="s">
        <v>211</v>
      </c>
      <c r="CQ1790" t="s">
        <v>270</v>
      </c>
      <c r="CS1790" t="s">
        <v>13826</v>
      </c>
      <c r="CT1790" t="s">
        <v>21796</v>
      </c>
      <c r="CU1790" t="s">
        <v>267</v>
      </c>
      <c r="CV1790" t="s">
        <v>268</v>
      </c>
      <c r="CW1790" t="s">
        <v>21797</v>
      </c>
      <c r="CX1790" t="s">
        <v>235</v>
      </c>
      <c r="CY1790" t="s">
        <v>183</v>
      </c>
      <c r="CZ1790" t="s">
        <v>211</v>
      </c>
      <c r="DA1790" t="s">
        <v>270</v>
      </c>
      <c r="DC1790" t="s">
        <v>13620</v>
      </c>
      <c r="DD1790" t="s">
        <v>15952</v>
      </c>
      <c r="DE1790" t="s">
        <v>302</v>
      </c>
      <c r="DF1790" t="s">
        <v>303</v>
      </c>
      <c r="DG1790" t="s">
        <v>21798</v>
      </c>
      <c r="DH1790" t="s">
        <v>235</v>
      </c>
      <c r="DI1790" t="s">
        <v>183</v>
      </c>
      <c r="DJ1790" t="s">
        <v>211</v>
      </c>
      <c r="DK1790" t="s">
        <v>212</v>
      </c>
      <c r="DL1790" t="s">
        <v>271</v>
      </c>
      <c r="DM1790" t="s">
        <v>1413</v>
      </c>
      <c r="DN1790" t="s">
        <v>21799</v>
      </c>
      <c r="DO1790" t="s">
        <v>238</v>
      </c>
      <c r="DP1790" t="s">
        <v>239</v>
      </c>
      <c r="DQ1790" t="s">
        <v>21800</v>
      </c>
      <c r="DR1790" t="s">
        <v>235</v>
      </c>
      <c r="DS1790" t="s">
        <v>183</v>
      </c>
      <c r="DT1790" t="s">
        <v>211</v>
      </c>
      <c r="DV1790" t="s">
        <v>271</v>
      </c>
      <c r="DW1790" t="s">
        <v>198</v>
      </c>
      <c r="DX1790" t="s">
        <v>9472</v>
      </c>
      <c r="DY1790" t="s">
        <v>346</v>
      </c>
      <c r="DZ1790" t="s">
        <v>347</v>
      </c>
      <c r="EA1790" t="s">
        <v>21801</v>
      </c>
      <c r="EB1790" t="s">
        <v>235</v>
      </c>
      <c r="EC1790" t="s">
        <v>183</v>
      </c>
      <c r="ED1790" t="s">
        <v>211</v>
      </c>
      <c r="EE1790" t="s">
        <v>337</v>
      </c>
      <c r="EG1790" t="s">
        <v>1352</v>
      </c>
      <c r="EQ1790" t="s">
        <v>198</v>
      </c>
      <c r="FA1790" t="s">
        <v>198</v>
      </c>
      <c r="FK1790" t="s">
        <v>198</v>
      </c>
      <c r="FU1790" t="s">
        <v>198</v>
      </c>
    </row>
    <row r="1791" spans="1:177">
      <c r="A1791" s="1" t="str">
        <f>HYPERLINK("http://digipan.lumentumllc.com/apps/getLink/index.php?t=PropLink&amp;p=6462074","PL")</f>
        <v>PL</v>
      </c>
      <c r="B1791" s="1" t="str">
        <f>HYPERLINK("http://digipan.lumentumllc.com/apps/getLink/index.php?t=TaxLink&amp;p=6462074","TL")</f>
        <v>TL</v>
      </c>
      <c r="C1791" s="1" t="str">
        <f>HYPERLINK("http://digipan.lumentumllc.com/apps/getMap/index.php?p=6462074","Map")</f>
        <v>Map</v>
      </c>
      <c r="E1791" t="s">
        <v>177</v>
      </c>
      <c r="F1791" t="s">
        <v>178</v>
      </c>
      <c r="L1791" t="s">
        <v>21802</v>
      </c>
      <c r="N1791" t="s">
        <v>21802</v>
      </c>
      <c r="O1791" t="s">
        <v>21802</v>
      </c>
      <c r="P1791" t="s">
        <v>21803</v>
      </c>
      <c r="Q1791" t="s">
        <v>21802</v>
      </c>
      <c r="V1791">
        <v>2042</v>
      </c>
      <c r="W1791">
        <v>7</v>
      </c>
      <c r="X1791">
        <v>2017</v>
      </c>
      <c r="Y1791">
        <v>2018</v>
      </c>
      <c r="Z1791">
        <v>494.54</v>
      </c>
      <c r="AB1791" t="s">
        <v>181</v>
      </c>
      <c r="AC1791" t="s">
        <v>182</v>
      </c>
      <c r="AD1791" t="s">
        <v>183</v>
      </c>
      <c r="AE1791">
        <v>0</v>
      </c>
      <c r="AF1791">
        <v>1</v>
      </c>
      <c r="AG1791" t="s">
        <v>821</v>
      </c>
      <c r="AH1791">
        <v>100</v>
      </c>
      <c r="AK1791">
        <v>0</v>
      </c>
      <c r="AL1791">
        <v>28250</v>
      </c>
      <c r="AM1791">
        <v>28250</v>
      </c>
      <c r="AN1791">
        <v>0</v>
      </c>
      <c r="AO1791">
        <v>434</v>
      </c>
      <c r="AP1791">
        <v>2016</v>
      </c>
      <c r="AQ1791">
        <v>1.75</v>
      </c>
      <c r="AS1791" t="s">
        <v>21804</v>
      </c>
      <c r="AT1791" t="s">
        <v>3210</v>
      </c>
      <c r="AU1791" t="s">
        <v>177</v>
      </c>
      <c r="AV1791" t="s">
        <v>2334</v>
      </c>
      <c r="AW1791" t="s">
        <v>182</v>
      </c>
      <c r="AX1791">
        <v>0</v>
      </c>
      <c r="AY1791" t="s">
        <v>312</v>
      </c>
      <c r="AZ1791" t="s">
        <v>199</v>
      </c>
      <c r="BA1791" t="s">
        <v>313</v>
      </c>
      <c r="BB1791" t="s">
        <v>191</v>
      </c>
      <c r="BC1791" t="s">
        <v>182</v>
      </c>
      <c r="BD1791" t="s">
        <v>182</v>
      </c>
      <c r="BE1791" t="s">
        <v>18120</v>
      </c>
      <c r="BF1791">
        <v>0</v>
      </c>
      <c r="BG1791">
        <v>0</v>
      </c>
      <c r="BH1791">
        <v>0</v>
      </c>
      <c r="BI1791" t="s">
        <v>199</v>
      </c>
      <c r="BJ1791" t="s">
        <v>315</v>
      </c>
      <c r="BL1791" t="s">
        <v>199</v>
      </c>
      <c r="BM1791" t="s">
        <v>292</v>
      </c>
      <c r="BN1791" t="s">
        <v>182</v>
      </c>
      <c r="BO1791" t="s">
        <v>198</v>
      </c>
      <c r="BP1791" t="s">
        <v>198</v>
      </c>
      <c r="BQ1791" t="s">
        <v>198</v>
      </c>
      <c r="BR1791" t="s">
        <v>198</v>
      </c>
      <c r="BS1791" t="s">
        <v>198</v>
      </c>
      <c r="BT1791" t="s">
        <v>198</v>
      </c>
      <c r="BU1791" t="s">
        <v>182</v>
      </c>
      <c r="BV1791" t="s">
        <v>198</v>
      </c>
      <c r="BW1791" t="s">
        <v>198</v>
      </c>
      <c r="BX1791" t="s">
        <v>199</v>
      </c>
      <c r="BY1791" t="s">
        <v>198</v>
      </c>
      <c r="BZ1791" t="s">
        <v>199</v>
      </c>
      <c r="CA1791" t="s">
        <v>199</v>
      </c>
      <c r="CB1791" t="s">
        <v>21748</v>
      </c>
      <c r="CC1791" t="s">
        <v>201</v>
      </c>
      <c r="CD1791" t="s">
        <v>182</v>
      </c>
      <c r="CE1791" t="s">
        <v>21749</v>
      </c>
      <c r="CF1791" t="s">
        <v>2333</v>
      </c>
      <c r="CG1791" t="s">
        <v>177</v>
      </c>
      <c r="CH1791" t="s">
        <v>2334</v>
      </c>
      <c r="CI1791" t="s">
        <v>21805</v>
      </c>
      <c r="CJ1791" t="s">
        <v>15965</v>
      </c>
      <c r="CK1791" t="s">
        <v>302</v>
      </c>
      <c r="CL1791" t="s">
        <v>303</v>
      </c>
      <c r="CM1791" t="s">
        <v>17019</v>
      </c>
      <c r="CN1791" t="s">
        <v>331</v>
      </c>
      <c r="CO1791" t="s">
        <v>183</v>
      </c>
      <c r="CP1791" t="s">
        <v>211</v>
      </c>
      <c r="CQ1791" t="s">
        <v>199</v>
      </c>
      <c r="CS1791" t="s">
        <v>6165</v>
      </c>
      <c r="DC1791" t="s">
        <v>198</v>
      </c>
      <c r="DM1791" t="s">
        <v>198</v>
      </c>
      <c r="DW1791" t="s">
        <v>198</v>
      </c>
      <c r="EG1791" t="s">
        <v>198</v>
      </c>
      <c r="EQ1791" t="s">
        <v>198</v>
      </c>
      <c r="FA1791" t="s">
        <v>198</v>
      </c>
      <c r="FK1791" t="s">
        <v>198</v>
      </c>
      <c r="FU1791" t="s">
        <v>198</v>
      </c>
    </row>
    <row r="1792" spans="1:177">
      <c r="A1792" s="1" t="str">
        <f>HYPERLINK("http://digipan.lumentumllc.com/apps/getLink/index.php?t=PropLink&amp;p=5248041","PL")</f>
        <v>PL</v>
      </c>
      <c r="B1792" s="1" t="str">
        <f>HYPERLINK("http://digipan.lumentumllc.com/apps/getLink/index.php?t=TaxLink&amp;p=5248041","TL")</f>
        <v>TL</v>
      </c>
      <c r="C1792" s="1" t="str">
        <f>HYPERLINK("http://digipan.lumentumllc.com/apps/getMap/index.php?p=5248041","Map")</f>
        <v>Map</v>
      </c>
      <c r="E1792" t="s">
        <v>177</v>
      </c>
      <c r="F1792" t="s">
        <v>178</v>
      </c>
      <c r="L1792" t="s">
        <v>21806</v>
      </c>
      <c r="N1792" t="s">
        <v>21806</v>
      </c>
      <c r="O1792" t="s">
        <v>21806</v>
      </c>
      <c r="P1792" t="s">
        <v>21807</v>
      </c>
      <c r="Q1792" t="s">
        <v>21806</v>
      </c>
      <c r="V1792">
        <v>2043</v>
      </c>
      <c r="W1792">
        <v>7</v>
      </c>
      <c r="X1792">
        <v>2017</v>
      </c>
      <c r="Y1792">
        <v>2018</v>
      </c>
      <c r="Z1792">
        <v>3117.52</v>
      </c>
      <c r="AB1792" t="s">
        <v>181</v>
      </c>
      <c r="AC1792" t="s">
        <v>182</v>
      </c>
      <c r="AD1792" t="s">
        <v>183</v>
      </c>
      <c r="AE1792">
        <v>2</v>
      </c>
      <c r="AF1792">
        <v>6</v>
      </c>
      <c r="AG1792" t="s">
        <v>794</v>
      </c>
      <c r="AH1792">
        <v>71</v>
      </c>
      <c r="AI1792">
        <v>6452.2</v>
      </c>
      <c r="AJ1792">
        <v>322.61</v>
      </c>
      <c r="AK1792">
        <v>6774.81</v>
      </c>
      <c r="AL1792">
        <v>188456</v>
      </c>
      <c r="AM1792">
        <v>78750</v>
      </c>
      <c r="AN1792">
        <v>109706</v>
      </c>
      <c r="AO1792">
        <v>2910</v>
      </c>
      <c r="AP1792">
        <v>2016</v>
      </c>
      <c r="AQ1792">
        <v>1.65</v>
      </c>
      <c r="AR1792">
        <v>3.59</v>
      </c>
      <c r="AS1792" t="s">
        <v>21808</v>
      </c>
      <c r="AT1792" t="s">
        <v>3210</v>
      </c>
      <c r="AU1792" t="s">
        <v>177</v>
      </c>
      <c r="AV1792" t="s">
        <v>2334</v>
      </c>
      <c r="AW1792" t="s">
        <v>182</v>
      </c>
      <c r="AX1792">
        <v>12</v>
      </c>
      <c r="AY1792" t="s">
        <v>3641</v>
      </c>
      <c r="AZ1792" t="s">
        <v>427</v>
      </c>
      <c r="BA1792" t="s">
        <v>7093</v>
      </c>
      <c r="BB1792" t="s">
        <v>1868</v>
      </c>
      <c r="BC1792" t="s">
        <v>182</v>
      </c>
      <c r="BD1792" t="s">
        <v>182</v>
      </c>
      <c r="BE1792" t="s">
        <v>13050</v>
      </c>
      <c r="BF1792">
        <v>1</v>
      </c>
      <c r="BG1792">
        <v>0</v>
      </c>
      <c r="BH1792">
        <v>1977</v>
      </c>
      <c r="BI1792" t="s">
        <v>21809</v>
      </c>
      <c r="BJ1792" t="s">
        <v>194</v>
      </c>
      <c r="BK1792" t="s">
        <v>840</v>
      </c>
      <c r="BL1792" t="s">
        <v>17030</v>
      </c>
      <c r="BM1792" t="s">
        <v>1156</v>
      </c>
      <c r="BN1792" t="s">
        <v>182</v>
      </c>
      <c r="BO1792" t="s">
        <v>21810</v>
      </c>
      <c r="BP1792" t="s">
        <v>8325</v>
      </c>
      <c r="BS1792" t="s">
        <v>7129</v>
      </c>
      <c r="BT1792" t="s">
        <v>198</v>
      </c>
      <c r="BU1792" t="s">
        <v>182</v>
      </c>
      <c r="BV1792" t="s">
        <v>198</v>
      </c>
      <c r="BW1792" t="s">
        <v>198</v>
      </c>
      <c r="BX1792" t="s">
        <v>199</v>
      </c>
      <c r="BY1792" t="s">
        <v>198</v>
      </c>
      <c r="BZ1792" t="s">
        <v>199</v>
      </c>
      <c r="CA1792" t="s">
        <v>199</v>
      </c>
      <c r="CB1792" t="s">
        <v>21811</v>
      </c>
      <c r="CC1792" t="s">
        <v>201</v>
      </c>
      <c r="CD1792" t="s">
        <v>182</v>
      </c>
      <c r="CE1792" t="s">
        <v>21812</v>
      </c>
      <c r="CF1792" t="s">
        <v>2333</v>
      </c>
      <c r="CG1792" t="s">
        <v>177</v>
      </c>
      <c r="CH1792" t="s">
        <v>2334</v>
      </c>
      <c r="CI1792" t="s">
        <v>21813</v>
      </c>
      <c r="CJ1792" t="s">
        <v>2959</v>
      </c>
      <c r="CK1792" t="s">
        <v>232</v>
      </c>
      <c r="CL1792" t="s">
        <v>233</v>
      </c>
      <c r="CM1792" t="s">
        <v>21814</v>
      </c>
      <c r="CN1792" t="s">
        <v>235</v>
      </c>
      <c r="CO1792" t="s">
        <v>183</v>
      </c>
      <c r="CP1792" t="s">
        <v>266</v>
      </c>
      <c r="CS1792" t="s">
        <v>198</v>
      </c>
      <c r="CT1792" t="s">
        <v>11647</v>
      </c>
      <c r="CU1792" t="s">
        <v>292</v>
      </c>
      <c r="CV1792" t="s">
        <v>293</v>
      </c>
      <c r="CW1792" t="s">
        <v>21815</v>
      </c>
      <c r="CX1792" t="s">
        <v>235</v>
      </c>
      <c r="CY1792" t="s">
        <v>183</v>
      </c>
      <c r="CZ1792" t="s">
        <v>266</v>
      </c>
      <c r="DC1792" t="s">
        <v>198</v>
      </c>
      <c r="DD1792" t="s">
        <v>14765</v>
      </c>
      <c r="DE1792" t="s">
        <v>267</v>
      </c>
      <c r="DF1792" t="s">
        <v>268</v>
      </c>
      <c r="DG1792" t="s">
        <v>21816</v>
      </c>
      <c r="DH1792" t="s">
        <v>235</v>
      </c>
      <c r="DI1792" t="s">
        <v>183</v>
      </c>
      <c r="DJ1792" t="s">
        <v>211</v>
      </c>
      <c r="DK1792" t="s">
        <v>444</v>
      </c>
      <c r="DM1792" t="s">
        <v>4218</v>
      </c>
      <c r="DN1792" t="s">
        <v>15614</v>
      </c>
      <c r="DO1792" t="s">
        <v>273</v>
      </c>
      <c r="DP1792" t="s">
        <v>274</v>
      </c>
      <c r="DQ1792" t="s">
        <v>21817</v>
      </c>
      <c r="DR1792" t="s">
        <v>235</v>
      </c>
      <c r="DS1792" t="s">
        <v>183</v>
      </c>
      <c r="DT1792" t="s">
        <v>211</v>
      </c>
      <c r="DU1792" t="s">
        <v>298</v>
      </c>
      <c r="DW1792" t="s">
        <v>1069</v>
      </c>
      <c r="DX1792" t="s">
        <v>15987</v>
      </c>
      <c r="DY1792" t="s">
        <v>302</v>
      </c>
      <c r="DZ1792" t="s">
        <v>303</v>
      </c>
      <c r="EA1792" t="s">
        <v>21818</v>
      </c>
      <c r="EB1792" t="s">
        <v>235</v>
      </c>
      <c r="EC1792" t="s">
        <v>183</v>
      </c>
      <c r="ED1792" t="s">
        <v>211</v>
      </c>
      <c r="EE1792" t="s">
        <v>808</v>
      </c>
      <c r="EG1792" t="s">
        <v>17128</v>
      </c>
      <c r="EH1792" t="s">
        <v>21819</v>
      </c>
      <c r="EI1792" t="s">
        <v>238</v>
      </c>
      <c r="EJ1792" t="s">
        <v>239</v>
      </c>
      <c r="EK1792" t="s">
        <v>21820</v>
      </c>
      <c r="EL1792" t="s">
        <v>235</v>
      </c>
      <c r="EM1792" t="s">
        <v>183</v>
      </c>
      <c r="EN1792" t="s">
        <v>211</v>
      </c>
      <c r="EO1792" t="s">
        <v>487</v>
      </c>
      <c r="EQ1792" t="s">
        <v>18306</v>
      </c>
      <c r="ER1792" t="s">
        <v>21821</v>
      </c>
      <c r="ES1792" t="s">
        <v>346</v>
      </c>
      <c r="ET1792" t="s">
        <v>347</v>
      </c>
      <c r="EU1792" t="s">
        <v>21822</v>
      </c>
      <c r="EV1792" t="s">
        <v>331</v>
      </c>
      <c r="EW1792" t="s">
        <v>183</v>
      </c>
      <c r="EX1792" t="s">
        <v>211</v>
      </c>
      <c r="EY1792" t="s">
        <v>270</v>
      </c>
      <c r="FA1792" t="s">
        <v>10786</v>
      </c>
      <c r="FB1792" t="s">
        <v>21823</v>
      </c>
      <c r="FC1792" t="s">
        <v>207</v>
      </c>
      <c r="FD1792" t="s">
        <v>208</v>
      </c>
      <c r="FE1792" t="s">
        <v>21824</v>
      </c>
      <c r="FF1792" t="s">
        <v>816</v>
      </c>
      <c r="FG1792" t="s">
        <v>183</v>
      </c>
      <c r="FH1792" t="s">
        <v>211</v>
      </c>
      <c r="FI1792" t="s">
        <v>296</v>
      </c>
      <c r="FK1792" t="s">
        <v>21825</v>
      </c>
      <c r="FU1792" t="s">
        <v>198</v>
      </c>
    </row>
    <row r="1793" spans="1:177">
      <c r="A1793" s="1" t="str">
        <f>HYPERLINK("http://digipan.lumentumllc.com/apps/getLink/index.php?t=PropLink&amp;p=15759985","PL")</f>
        <v>PL</v>
      </c>
      <c r="B1793" s="1" t="str">
        <f>HYPERLINK("http://digipan.lumentumllc.com/apps/getLink/index.php?t=TaxLink&amp;p=15759985","TL")</f>
        <v>TL</v>
      </c>
      <c r="C1793" s="1" t="str">
        <f>HYPERLINK("http://digipan.lumentumllc.com/apps/getMap/index.php?p=15759985","Map")</f>
        <v>Map</v>
      </c>
      <c r="E1793" t="s">
        <v>177</v>
      </c>
      <c r="F1793" t="s">
        <v>178</v>
      </c>
      <c r="L1793" t="s">
        <v>21826</v>
      </c>
      <c r="N1793" t="s">
        <v>21826</v>
      </c>
      <c r="O1793" t="s">
        <v>21826</v>
      </c>
      <c r="Q1793" t="s">
        <v>21826</v>
      </c>
      <c r="V1793">
        <v>2044</v>
      </c>
      <c r="W1793">
        <v>7</v>
      </c>
      <c r="X1793">
        <v>2017</v>
      </c>
      <c r="Y1793">
        <v>2018</v>
      </c>
      <c r="Z1793">
        <v>284.83999999999997</v>
      </c>
      <c r="AG1793" t="s">
        <v>184</v>
      </c>
      <c r="AH1793">
        <v>0</v>
      </c>
      <c r="AK1793">
        <v>0</v>
      </c>
      <c r="AL1793">
        <v>15500</v>
      </c>
      <c r="AM1793">
        <v>12500</v>
      </c>
      <c r="AN1793">
        <v>3000</v>
      </c>
      <c r="AO1793">
        <v>215</v>
      </c>
      <c r="AP1793">
        <v>2016</v>
      </c>
      <c r="AQ1793">
        <v>1.84</v>
      </c>
      <c r="AS1793" t="s">
        <v>21827</v>
      </c>
      <c r="AT1793" t="s">
        <v>3210</v>
      </c>
      <c r="AU1793" t="s">
        <v>177</v>
      </c>
      <c r="AV1793" t="s">
        <v>2334</v>
      </c>
      <c r="AW1793" t="s">
        <v>182</v>
      </c>
      <c r="AX1793">
        <v>0</v>
      </c>
      <c r="AY1793" t="s">
        <v>312</v>
      </c>
      <c r="AZ1793" t="s">
        <v>199</v>
      </c>
      <c r="BA1793" t="s">
        <v>313</v>
      </c>
      <c r="BB1793" t="s">
        <v>191</v>
      </c>
      <c r="BC1793" t="s">
        <v>182</v>
      </c>
      <c r="BD1793" t="s">
        <v>182</v>
      </c>
      <c r="BE1793" t="s">
        <v>383</v>
      </c>
      <c r="BF1793">
        <v>1</v>
      </c>
      <c r="BG1793">
        <v>0</v>
      </c>
      <c r="BH1793">
        <v>0</v>
      </c>
      <c r="BI1793" t="s">
        <v>199</v>
      </c>
      <c r="BJ1793" t="s">
        <v>248</v>
      </c>
      <c r="BL1793" t="s">
        <v>2395</v>
      </c>
      <c r="BM1793" t="s">
        <v>679</v>
      </c>
      <c r="BN1793" t="s">
        <v>182</v>
      </c>
      <c r="BO1793" t="s">
        <v>18455</v>
      </c>
      <c r="BP1793" t="s">
        <v>8925</v>
      </c>
      <c r="BQ1793" t="s">
        <v>800</v>
      </c>
      <c r="BR1793" t="s">
        <v>563</v>
      </c>
      <c r="BS1793" t="s">
        <v>198</v>
      </c>
      <c r="BT1793" t="s">
        <v>21828</v>
      </c>
      <c r="BU1793" t="s">
        <v>182</v>
      </c>
      <c r="BV1793" t="s">
        <v>198</v>
      </c>
      <c r="BW1793" t="s">
        <v>198</v>
      </c>
      <c r="BX1793" t="s">
        <v>199</v>
      </c>
      <c r="BY1793" t="s">
        <v>198</v>
      </c>
      <c r="BZ1793" t="s">
        <v>199</v>
      </c>
      <c r="CA1793" t="s">
        <v>199</v>
      </c>
      <c r="CB1793" t="s">
        <v>21829</v>
      </c>
      <c r="CC1793" t="s">
        <v>201</v>
      </c>
      <c r="CD1793" t="s">
        <v>202</v>
      </c>
      <c r="CE1793" t="s">
        <v>21830</v>
      </c>
      <c r="CF1793" t="s">
        <v>2333</v>
      </c>
      <c r="CG1793" t="s">
        <v>177</v>
      </c>
      <c r="CH1793" t="s">
        <v>2334</v>
      </c>
      <c r="CI1793" t="s">
        <v>21831</v>
      </c>
      <c r="CS1793" t="s">
        <v>198</v>
      </c>
      <c r="DC1793" t="s">
        <v>198</v>
      </c>
      <c r="DM1793" t="s">
        <v>198</v>
      </c>
      <c r="DW1793" t="s">
        <v>198</v>
      </c>
      <c r="EG1793" t="s">
        <v>198</v>
      </c>
      <c r="EQ1793" t="s">
        <v>198</v>
      </c>
      <c r="FA1793" t="s">
        <v>198</v>
      </c>
      <c r="FK1793" t="s">
        <v>198</v>
      </c>
      <c r="FU1793" t="s">
        <v>198</v>
      </c>
    </row>
    <row r="1794" spans="1:177">
      <c r="A1794" s="1" t="str">
        <f>HYPERLINK("http://digipan.lumentumllc.com/apps/getLink/index.php?t=PropLink&amp;p=6462078","PL")</f>
        <v>PL</v>
      </c>
      <c r="B1794" s="1" t="str">
        <f>HYPERLINK("http://digipan.lumentumllc.com/apps/getLink/index.php?t=TaxLink&amp;p=6462078","TL")</f>
        <v>TL</v>
      </c>
      <c r="C1794" s="1" t="str">
        <f>HYPERLINK("http://digipan.lumentumllc.com/apps/getMap/index.php?p=6462078","Map")</f>
        <v>Map</v>
      </c>
      <c r="E1794" t="s">
        <v>177</v>
      </c>
      <c r="F1794" t="s">
        <v>178</v>
      </c>
      <c r="L1794" t="s">
        <v>21832</v>
      </c>
      <c r="N1794" t="s">
        <v>21832</v>
      </c>
      <c r="O1794" t="s">
        <v>21832</v>
      </c>
      <c r="P1794" t="s">
        <v>21833</v>
      </c>
      <c r="Q1794" t="s">
        <v>21832</v>
      </c>
      <c r="V1794">
        <v>2045</v>
      </c>
      <c r="W1794">
        <v>7</v>
      </c>
      <c r="X1794">
        <v>2017</v>
      </c>
      <c r="Y1794">
        <v>2018</v>
      </c>
      <c r="Z1794">
        <v>838.49</v>
      </c>
      <c r="AB1794" t="s">
        <v>181</v>
      </c>
      <c r="AC1794" t="s">
        <v>182</v>
      </c>
      <c r="AD1794" t="s">
        <v>183</v>
      </c>
      <c r="AE1794">
        <v>0</v>
      </c>
      <c r="AF1794">
        <v>5</v>
      </c>
      <c r="AG1794" t="s">
        <v>3266</v>
      </c>
      <c r="AH1794">
        <v>100</v>
      </c>
      <c r="AK1794">
        <v>0</v>
      </c>
      <c r="AL1794">
        <v>51060</v>
      </c>
      <c r="AM1794">
        <v>32200</v>
      </c>
      <c r="AN1794">
        <v>18860</v>
      </c>
      <c r="AO1794">
        <v>668</v>
      </c>
      <c r="AP1794">
        <v>2016</v>
      </c>
      <c r="AQ1794">
        <v>1.64</v>
      </c>
      <c r="AS1794" t="s">
        <v>21834</v>
      </c>
      <c r="AT1794" t="s">
        <v>3210</v>
      </c>
      <c r="AU1794" t="s">
        <v>177</v>
      </c>
      <c r="AV1794" t="s">
        <v>2334</v>
      </c>
      <c r="AW1794" t="s">
        <v>182</v>
      </c>
      <c r="AX1794">
        <v>2</v>
      </c>
      <c r="AY1794" t="s">
        <v>188</v>
      </c>
      <c r="AZ1794" t="s">
        <v>189</v>
      </c>
      <c r="BA1794" t="s">
        <v>190</v>
      </c>
      <c r="BB1794" t="s">
        <v>191</v>
      </c>
      <c r="BC1794" t="s">
        <v>182</v>
      </c>
      <c r="BD1794" t="s">
        <v>182</v>
      </c>
      <c r="BE1794" t="s">
        <v>17310</v>
      </c>
      <c r="BF1794">
        <v>1</v>
      </c>
      <c r="BG1794">
        <v>1</v>
      </c>
      <c r="BH1794">
        <v>1989</v>
      </c>
      <c r="BI1794" t="s">
        <v>6235</v>
      </c>
      <c r="BJ1794" t="s">
        <v>285</v>
      </c>
      <c r="BL1794" t="s">
        <v>21835</v>
      </c>
      <c r="BM1794" t="s">
        <v>302</v>
      </c>
      <c r="BN1794" t="s">
        <v>182</v>
      </c>
      <c r="BO1794" t="s">
        <v>21836</v>
      </c>
      <c r="BP1794" t="s">
        <v>21837</v>
      </c>
      <c r="BQ1794" t="s">
        <v>226</v>
      </c>
      <c r="BR1794" t="s">
        <v>227</v>
      </c>
      <c r="BS1794" t="s">
        <v>198</v>
      </c>
      <c r="BT1794" t="s">
        <v>21838</v>
      </c>
      <c r="BU1794" t="s">
        <v>182</v>
      </c>
      <c r="BV1794" t="s">
        <v>198</v>
      </c>
      <c r="BW1794" t="s">
        <v>198</v>
      </c>
      <c r="BX1794" t="s">
        <v>199</v>
      </c>
      <c r="BY1794" t="s">
        <v>198</v>
      </c>
      <c r="BZ1794" t="s">
        <v>199</v>
      </c>
      <c r="CA1794" t="s">
        <v>199</v>
      </c>
      <c r="CB1794" t="s">
        <v>21839</v>
      </c>
      <c r="CC1794" t="s">
        <v>201</v>
      </c>
      <c r="CD1794" t="s">
        <v>182</v>
      </c>
      <c r="CE1794" t="s">
        <v>21840</v>
      </c>
      <c r="CF1794" t="s">
        <v>2333</v>
      </c>
      <c r="CG1794" t="s">
        <v>177</v>
      </c>
      <c r="CH1794" t="s">
        <v>3178</v>
      </c>
      <c r="CI1794" t="s">
        <v>21841</v>
      </c>
      <c r="CJ1794" t="s">
        <v>11595</v>
      </c>
      <c r="CK1794" t="s">
        <v>232</v>
      </c>
      <c r="CL1794" t="s">
        <v>233</v>
      </c>
      <c r="CM1794" t="s">
        <v>21842</v>
      </c>
      <c r="CN1794" t="s">
        <v>235</v>
      </c>
      <c r="CO1794" t="s">
        <v>183</v>
      </c>
      <c r="CP1794" t="s">
        <v>211</v>
      </c>
      <c r="CQ1794" t="s">
        <v>189</v>
      </c>
      <c r="CS1794" t="s">
        <v>1501</v>
      </c>
      <c r="CT1794" t="s">
        <v>20664</v>
      </c>
      <c r="CU1794" t="s">
        <v>292</v>
      </c>
      <c r="CV1794" t="s">
        <v>293</v>
      </c>
      <c r="CW1794" t="s">
        <v>21843</v>
      </c>
      <c r="CX1794" t="s">
        <v>235</v>
      </c>
      <c r="CY1794" t="s">
        <v>183</v>
      </c>
      <c r="CZ1794" t="s">
        <v>211</v>
      </c>
      <c r="DA1794" t="s">
        <v>460</v>
      </c>
      <c r="DC1794" t="s">
        <v>1501</v>
      </c>
      <c r="DD1794" t="s">
        <v>11933</v>
      </c>
      <c r="DE1794" t="s">
        <v>267</v>
      </c>
      <c r="DF1794" t="s">
        <v>268</v>
      </c>
      <c r="DG1794" t="s">
        <v>21844</v>
      </c>
      <c r="DH1794" t="s">
        <v>235</v>
      </c>
      <c r="DI1794" t="s">
        <v>183</v>
      </c>
      <c r="DJ1794" t="s">
        <v>211</v>
      </c>
      <c r="DK1794" t="s">
        <v>206</v>
      </c>
      <c r="DM1794" t="s">
        <v>21845</v>
      </c>
      <c r="DN1794" t="s">
        <v>21846</v>
      </c>
      <c r="DO1794" t="s">
        <v>273</v>
      </c>
      <c r="DP1794" t="s">
        <v>274</v>
      </c>
      <c r="DQ1794" t="s">
        <v>21847</v>
      </c>
      <c r="DR1794" t="s">
        <v>235</v>
      </c>
      <c r="DS1794" t="s">
        <v>183</v>
      </c>
      <c r="DT1794" t="s">
        <v>211</v>
      </c>
      <c r="DU1794" t="s">
        <v>306</v>
      </c>
      <c r="DW1794" t="s">
        <v>21845</v>
      </c>
      <c r="DX1794" t="s">
        <v>15525</v>
      </c>
      <c r="DY1794" t="s">
        <v>302</v>
      </c>
      <c r="DZ1794" t="s">
        <v>303</v>
      </c>
      <c r="EA1794" t="s">
        <v>21848</v>
      </c>
      <c r="EB1794" t="s">
        <v>235</v>
      </c>
      <c r="EC1794" t="s">
        <v>183</v>
      </c>
      <c r="ED1794" t="s">
        <v>211</v>
      </c>
      <c r="EE1794" t="s">
        <v>345</v>
      </c>
      <c r="EG1794" t="s">
        <v>3762</v>
      </c>
      <c r="EQ1794" t="s">
        <v>198</v>
      </c>
      <c r="FA1794" t="s">
        <v>198</v>
      </c>
      <c r="FK1794" t="s">
        <v>198</v>
      </c>
      <c r="FU1794" t="s">
        <v>198</v>
      </c>
    </row>
    <row r="1795" spans="1:177">
      <c r="A1795" s="1" t="str">
        <f>HYPERLINK("http://digipan.lumentumllc.com/apps/getLink/index.php?t=PropLink&amp;p=5248059","PL")</f>
        <v>PL</v>
      </c>
      <c r="B1795" s="1" t="str">
        <f>HYPERLINK("http://digipan.lumentumllc.com/apps/getLink/index.php?t=TaxLink&amp;p=5248059","TL")</f>
        <v>TL</v>
      </c>
      <c r="C1795" s="1" t="str">
        <f>HYPERLINK("http://digipan.lumentumllc.com/apps/getMap/index.php?p=5248059","Map")</f>
        <v>Map</v>
      </c>
      <c r="E1795" t="s">
        <v>177</v>
      </c>
      <c r="F1795" t="s">
        <v>178</v>
      </c>
      <c r="L1795" t="s">
        <v>21849</v>
      </c>
      <c r="N1795" t="s">
        <v>21849</v>
      </c>
      <c r="O1795" t="s">
        <v>21849</v>
      </c>
      <c r="P1795" t="s">
        <v>21850</v>
      </c>
      <c r="Q1795" t="s">
        <v>21849</v>
      </c>
      <c r="V1795">
        <v>2047</v>
      </c>
      <c r="W1795">
        <v>7</v>
      </c>
      <c r="X1795">
        <v>2017</v>
      </c>
      <c r="Y1795">
        <v>2018</v>
      </c>
      <c r="Z1795">
        <v>359.45</v>
      </c>
      <c r="AB1795" t="s">
        <v>181</v>
      </c>
      <c r="AC1795" t="s">
        <v>202</v>
      </c>
      <c r="AD1795" t="s">
        <v>183</v>
      </c>
      <c r="AE1795">
        <v>1</v>
      </c>
      <c r="AF1795">
        <v>7</v>
      </c>
      <c r="AG1795" t="s">
        <v>418</v>
      </c>
      <c r="AH1795">
        <v>86</v>
      </c>
      <c r="AI1795">
        <v>359.04</v>
      </c>
      <c r="AJ1795">
        <v>17.95</v>
      </c>
      <c r="AK1795">
        <v>376.99</v>
      </c>
      <c r="AL1795">
        <v>20000</v>
      </c>
      <c r="AM1795">
        <v>20000</v>
      </c>
      <c r="AN1795">
        <v>0</v>
      </c>
      <c r="AO1795">
        <v>307</v>
      </c>
      <c r="AP1795">
        <v>2016</v>
      </c>
      <c r="AQ1795">
        <v>1.8</v>
      </c>
      <c r="AR1795">
        <v>1.88</v>
      </c>
      <c r="AS1795" t="s">
        <v>21851</v>
      </c>
      <c r="AT1795" t="s">
        <v>3210</v>
      </c>
      <c r="AU1795" t="s">
        <v>177</v>
      </c>
      <c r="AV1795" t="s">
        <v>2334</v>
      </c>
      <c r="AW1795" t="s">
        <v>182</v>
      </c>
      <c r="AX1795">
        <v>0</v>
      </c>
      <c r="AY1795" t="s">
        <v>312</v>
      </c>
      <c r="AZ1795" t="s">
        <v>199</v>
      </c>
      <c r="BA1795" t="s">
        <v>313</v>
      </c>
      <c r="BB1795" t="s">
        <v>191</v>
      </c>
      <c r="BC1795" t="s">
        <v>182</v>
      </c>
      <c r="BD1795" t="s">
        <v>182</v>
      </c>
      <c r="BE1795" t="s">
        <v>365</v>
      </c>
      <c r="BF1795">
        <v>0</v>
      </c>
      <c r="BG1795">
        <v>0</v>
      </c>
      <c r="BH1795">
        <v>0</v>
      </c>
      <c r="BI1795" t="s">
        <v>199</v>
      </c>
      <c r="BJ1795" t="s">
        <v>315</v>
      </c>
      <c r="BL1795" t="s">
        <v>21655</v>
      </c>
      <c r="BM1795" t="s">
        <v>533</v>
      </c>
      <c r="BN1795" t="s">
        <v>182</v>
      </c>
      <c r="BO1795" t="s">
        <v>198</v>
      </c>
      <c r="BP1795" t="s">
        <v>198</v>
      </c>
      <c r="BQ1795" t="s">
        <v>198</v>
      </c>
      <c r="BR1795" t="s">
        <v>198</v>
      </c>
      <c r="BS1795" t="s">
        <v>198</v>
      </c>
      <c r="BT1795" t="s">
        <v>198</v>
      </c>
      <c r="BU1795" t="s">
        <v>182</v>
      </c>
      <c r="BV1795" t="s">
        <v>198</v>
      </c>
      <c r="BW1795" t="s">
        <v>198</v>
      </c>
      <c r="BX1795" t="s">
        <v>199</v>
      </c>
      <c r="BY1795" t="s">
        <v>198</v>
      </c>
      <c r="BZ1795" t="s">
        <v>199</v>
      </c>
      <c r="CA1795" t="s">
        <v>199</v>
      </c>
      <c r="CB1795" t="s">
        <v>21852</v>
      </c>
      <c r="CC1795" t="s">
        <v>201</v>
      </c>
      <c r="CD1795" t="s">
        <v>182</v>
      </c>
      <c r="CE1795" t="s">
        <v>3817</v>
      </c>
      <c r="CF1795" t="s">
        <v>1029</v>
      </c>
      <c r="CG1795" t="s">
        <v>177</v>
      </c>
      <c r="CH1795" t="s">
        <v>1030</v>
      </c>
      <c r="CI1795" t="s">
        <v>21853</v>
      </c>
      <c r="CJ1795" t="s">
        <v>11610</v>
      </c>
      <c r="CK1795" t="s">
        <v>232</v>
      </c>
      <c r="CL1795" t="s">
        <v>233</v>
      </c>
      <c r="CM1795" t="s">
        <v>10395</v>
      </c>
      <c r="CN1795" t="s">
        <v>331</v>
      </c>
      <c r="CO1795" t="s">
        <v>183</v>
      </c>
      <c r="CP1795" t="s">
        <v>266</v>
      </c>
      <c r="CS1795" t="s">
        <v>198</v>
      </c>
      <c r="CT1795" t="s">
        <v>19377</v>
      </c>
      <c r="CU1795" t="s">
        <v>292</v>
      </c>
      <c r="CV1795" t="s">
        <v>293</v>
      </c>
      <c r="CW1795" t="s">
        <v>13539</v>
      </c>
      <c r="CX1795" t="s">
        <v>235</v>
      </c>
      <c r="CY1795" t="s">
        <v>183</v>
      </c>
      <c r="CZ1795" t="s">
        <v>211</v>
      </c>
      <c r="DA1795" t="s">
        <v>298</v>
      </c>
      <c r="DC1795" t="s">
        <v>1641</v>
      </c>
      <c r="DD1795" t="s">
        <v>15453</v>
      </c>
      <c r="DE1795" t="s">
        <v>267</v>
      </c>
      <c r="DF1795" t="s">
        <v>268</v>
      </c>
      <c r="DG1795" t="s">
        <v>21854</v>
      </c>
      <c r="DH1795" t="s">
        <v>235</v>
      </c>
      <c r="DI1795" t="s">
        <v>183</v>
      </c>
      <c r="DJ1795" t="s">
        <v>211</v>
      </c>
      <c r="DK1795" t="s">
        <v>199</v>
      </c>
      <c r="DL1795" t="s">
        <v>271</v>
      </c>
      <c r="DM1795" t="s">
        <v>604</v>
      </c>
      <c r="DN1795" t="s">
        <v>19393</v>
      </c>
      <c r="DO1795" t="s">
        <v>273</v>
      </c>
      <c r="DP1795" t="s">
        <v>274</v>
      </c>
      <c r="DQ1795" t="s">
        <v>21855</v>
      </c>
      <c r="DR1795" t="s">
        <v>235</v>
      </c>
      <c r="DS1795" t="s">
        <v>183</v>
      </c>
      <c r="DT1795" t="s">
        <v>211</v>
      </c>
      <c r="DU1795" t="s">
        <v>427</v>
      </c>
      <c r="DV1795" t="s">
        <v>271</v>
      </c>
      <c r="DW1795" t="s">
        <v>604</v>
      </c>
      <c r="DX1795" t="s">
        <v>21856</v>
      </c>
      <c r="DY1795" t="s">
        <v>302</v>
      </c>
      <c r="DZ1795" t="s">
        <v>303</v>
      </c>
      <c r="EA1795" t="s">
        <v>21857</v>
      </c>
      <c r="EB1795" t="s">
        <v>511</v>
      </c>
      <c r="EC1795" t="s">
        <v>183</v>
      </c>
      <c r="ED1795" t="s">
        <v>211</v>
      </c>
      <c r="EF1795" t="s">
        <v>271</v>
      </c>
      <c r="EG1795" t="s">
        <v>198</v>
      </c>
      <c r="EH1795" t="s">
        <v>20793</v>
      </c>
      <c r="EI1795" t="s">
        <v>238</v>
      </c>
      <c r="EJ1795" t="s">
        <v>239</v>
      </c>
      <c r="EK1795" t="s">
        <v>21858</v>
      </c>
      <c r="EL1795" t="s">
        <v>331</v>
      </c>
      <c r="EM1795" t="s">
        <v>183</v>
      </c>
      <c r="EN1795" t="s">
        <v>211</v>
      </c>
      <c r="EO1795" t="s">
        <v>345</v>
      </c>
      <c r="EQ1795" t="s">
        <v>3825</v>
      </c>
      <c r="ER1795" t="s">
        <v>21859</v>
      </c>
      <c r="ES1795" t="s">
        <v>346</v>
      </c>
      <c r="ET1795" t="s">
        <v>347</v>
      </c>
      <c r="EU1795" t="s">
        <v>21860</v>
      </c>
      <c r="EV1795" t="s">
        <v>278</v>
      </c>
      <c r="EW1795" t="s">
        <v>183</v>
      </c>
      <c r="EX1795" t="s">
        <v>211</v>
      </c>
      <c r="EY1795" t="s">
        <v>298</v>
      </c>
      <c r="FA1795" t="s">
        <v>2756</v>
      </c>
      <c r="FB1795" t="s">
        <v>21861</v>
      </c>
      <c r="FC1795" t="s">
        <v>207</v>
      </c>
      <c r="FD1795" t="s">
        <v>208</v>
      </c>
      <c r="FE1795" t="s">
        <v>21862</v>
      </c>
      <c r="FF1795" t="s">
        <v>341</v>
      </c>
      <c r="FG1795" t="s">
        <v>183</v>
      </c>
      <c r="FH1795" t="s">
        <v>211</v>
      </c>
      <c r="FI1795" t="s">
        <v>298</v>
      </c>
      <c r="FK1795" t="s">
        <v>474</v>
      </c>
      <c r="FU1795" t="s">
        <v>198</v>
      </c>
    </row>
    <row r="1796" spans="1:177">
      <c r="A1796" s="1" t="str">
        <f>HYPERLINK("http://digipan.lumentumllc.com/apps/getLink/index.php?t=PropLink&amp;p=5248145","PL")</f>
        <v>PL</v>
      </c>
      <c r="B1796" s="1" t="str">
        <f>HYPERLINK("http://digipan.lumentumllc.com/apps/getLink/index.php?t=TaxLink&amp;p=5248145","TL")</f>
        <v>TL</v>
      </c>
      <c r="C1796" s="1" t="str">
        <f>HYPERLINK("http://digipan.lumentumllc.com/apps/getMap/index.php?p=5248145","Map")</f>
        <v>Map</v>
      </c>
      <c r="E1796" t="s">
        <v>177</v>
      </c>
      <c r="F1796" t="s">
        <v>178</v>
      </c>
      <c r="L1796" t="s">
        <v>21863</v>
      </c>
      <c r="N1796" t="s">
        <v>21863</v>
      </c>
      <c r="O1796" t="s">
        <v>21863</v>
      </c>
      <c r="P1796" t="s">
        <v>21864</v>
      </c>
      <c r="Q1796" t="s">
        <v>21863</v>
      </c>
      <c r="V1796">
        <v>2048</v>
      </c>
      <c r="W1796">
        <v>7</v>
      </c>
      <c r="X1796">
        <v>2017</v>
      </c>
      <c r="Y1796">
        <v>2018</v>
      </c>
      <c r="Z1796">
        <v>298.06</v>
      </c>
      <c r="AB1796" t="s">
        <v>181</v>
      </c>
      <c r="AC1796" t="s">
        <v>182</v>
      </c>
      <c r="AD1796" t="s">
        <v>183</v>
      </c>
      <c r="AE1796">
        <v>0</v>
      </c>
      <c r="AF1796">
        <v>3</v>
      </c>
      <c r="AG1796" t="s">
        <v>381</v>
      </c>
      <c r="AH1796">
        <v>100</v>
      </c>
      <c r="AK1796">
        <v>0</v>
      </c>
      <c r="AL1796">
        <v>16250</v>
      </c>
      <c r="AM1796">
        <v>16250</v>
      </c>
      <c r="AN1796">
        <v>0</v>
      </c>
      <c r="AO1796">
        <v>249</v>
      </c>
      <c r="AP1796">
        <v>2016</v>
      </c>
      <c r="AQ1796">
        <v>1.83</v>
      </c>
      <c r="AS1796" t="s">
        <v>21865</v>
      </c>
      <c r="AT1796" t="s">
        <v>3210</v>
      </c>
      <c r="AU1796" t="s">
        <v>177</v>
      </c>
      <c r="AV1796" t="s">
        <v>2334</v>
      </c>
      <c r="AW1796" t="s">
        <v>182</v>
      </c>
      <c r="AX1796">
        <v>0</v>
      </c>
      <c r="AY1796" t="s">
        <v>312</v>
      </c>
      <c r="AZ1796" t="s">
        <v>199</v>
      </c>
      <c r="BA1796" t="s">
        <v>313</v>
      </c>
      <c r="BB1796" t="s">
        <v>191</v>
      </c>
      <c r="BC1796" t="s">
        <v>182</v>
      </c>
      <c r="BD1796" t="s">
        <v>182</v>
      </c>
      <c r="BE1796" t="s">
        <v>8898</v>
      </c>
      <c r="BF1796">
        <v>0</v>
      </c>
      <c r="BG1796">
        <v>0</v>
      </c>
      <c r="BH1796">
        <v>0</v>
      </c>
      <c r="BI1796" t="s">
        <v>199</v>
      </c>
      <c r="BJ1796" t="s">
        <v>396</v>
      </c>
      <c r="BL1796" t="s">
        <v>199</v>
      </c>
      <c r="BM1796" t="s">
        <v>302</v>
      </c>
      <c r="BN1796" t="s">
        <v>182</v>
      </c>
      <c r="BO1796" t="s">
        <v>198</v>
      </c>
      <c r="BP1796" t="s">
        <v>198</v>
      </c>
      <c r="BQ1796" t="s">
        <v>198</v>
      </c>
      <c r="BR1796" t="s">
        <v>198</v>
      </c>
      <c r="BS1796" t="s">
        <v>198</v>
      </c>
      <c r="BT1796" t="s">
        <v>198</v>
      </c>
      <c r="BU1796" t="s">
        <v>182</v>
      </c>
      <c r="BV1796" t="s">
        <v>198</v>
      </c>
      <c r="BW1796" t="s">
        <v>198</v>
      </c>
      <c r="BX1796" t="s">
        <v>199</v>
      </c>
      <c r="BY1796" t="s">
        <v>198</v>
      </c>
      <c r="BZ1796" t="s">
        <v>199</v>
      </c>
      <c r="CA1796" t="s">
        <v>199</v>
      </c>
      <c r="CB1796" t="s">
        <v>21866</v>
      </c>
      <c r="CC1796" t="s">
        <v>201</v>
      </c>
      <c r="CD1796" t="s">
        <v>182</v>
      </c>
      <c r="CE1796" t="s">
        <v>21867</v>
      </c>
      <c r="CF1796" t="s">
        <v>2333</v>
      </c>
      <c r="CG1796" t="s">
        <v>177</v>
      </c>
      <c r="CH1796" t="s">
        <v>2334</v>
      </c>
      <c r="CI1796" t="s">
        <v>21805</v>
      </c>
      <c r="CJ1796" t="s">
        <v>7202</v>
      </c>
      <c r="CK1796" t="s">
        <v>232</v>
      </c>
      <c r="CL1796" t="s">
        <v>233</v>
      </c>
      <c r="CM1796" t="s">
        <v>12306</v>
      </c>
      <c r="CN1796" t="s">
        <v>576</v>
      </c>
      <c r="CO1796" t="s">
        <v>183</v>
      </c>
      <c r="CP1796" t="s">
        <v>211</v>
      </c>
      <c r="CQ1796" t="s">
        <v>270</v>
      </c>
      <c r="CS1796" t="s">
        <v>21868</v>
      </c>
      <c r="CT1796" t="s">
        <v>19391</v>
      </c>
      <c r="CU1796" t="s">
        <v>292</v>
      </c>
      <c r="CV1796" t="s">
        <v>293</v>
      </c>
      <c r="CW1796" t="s">
        <v>21869</v>
      </c>
      <c r="CX1796" t="s">
        <v>389</v>
      </c>
      <c r="CY1796" t="s">
        <v>183</v>
      </c>
      <c r="CZ1796" t="s">
        <v>211</v>
      </c>
      <c r="DA1796" t="s">
        <v>337</v>
      </c>
      <c r="DC1796" t="s">
        <v>21868</v>
      </c>
      <c r="DD1796" t="s">
        <v>21870</v>
      </c>
      <c r="DE1796" t="s">
        <v>267</v>
      </c>
      <c r="DF1796" t="s">
        <v>268</v>
      </c>
      <c r="DG1796" t="s">
        <v>21871</v>
      </c>
      <c r="DH1796" t="s">
        <v>331</v>
      </c>
      <c r="DI1796" t="s">
        <v>183</v>
      </c>
      <c r="DJ1796" t="s">
        <v>211</v>
      </c>
      <c r="DK1796" t="s">
        <v>345</v>
      </c>
      <c r="DM1796" t="s">
        <v>3125</v>
      </c>
      <c r="DW1796" t="s">
        <v>198</v>
      </c>
      <c r="EG1796" t="s">
        <v>198</v>
      </c>
      <c r="EQ1796" t="s">
        <v>198</v>
      </c>
      <c r="FA1796" t="s">
        <v>198</v>
      </c>
      <c r="FK1796" t="s">
        <v>198</v>
      </c>
      <c r="FU1796" t="s">
        <v>198</v>
      </c>
    </row>
    <row r="1797" spans="1:177">
      <c r="A1797" s="1" t="str">
        <f>HYPERLINK("http://digipan.lumentumllc.com/apps/getLink/index.php?t=PropLink&amp;p=6129542","PL")</f>
        <v>PL</v>
      </c>
      <c r="B1797" s="1" t="str">
        <f>HYPERLINK("http://digipan.lumentumllc.com/apps/getLink/index.php?t=TaxLink&amp;p=6129542","TL")</f>
        <v>TL</v>
      </c>
      <c r="C1797" s="1" t="str">
        <f>HYPERLINK("http://digipan.lumentumllc.com/apps/getMap/index.php?p=6129542","Map")</f>
        <v>Map</v>
      </c>
      <c r="E1797" t="s">
        <v>177</v>
      </c>
      <c r="F1797" t="s">
        <v>178</v>
      </c>
      <c r="L1797" t="s">
        <v>21872</v>
      </c>
      <c r="N1797" t="s">
        <v>21872</v>
      </c>
      <c r="O1797" t="s">
        <v>21872</v>
      </c>
      <c r="P1797" t="s">
        <v>21873</v>
      </c>
      <c r="Q1797" t="s">
        <v>21872</v>
      </c>
      <c r="V1797">
        <v>2049</v>
      </c>
      <c r="W1797">
        <v>7</v>
      </c>
      <c r="X1797">
        <v>2017</v>
      </c>
      <c r="Y1797">
        <v>2018</v>
      </c>
      <c r="Z1797">
        <v>978</v>
      </c>
      <c r="AB1797" t="s">
        <v>181</v>
      </c>
      <c r="AC1797" t="s">
        <v>202</v>
      </c>
      <c r="AD1797" t="s">
        <v>183</v>
      </c>
      <c r="AE1797">
        <v>0</v>
      </c>
      <c r="AF1797">
        <v>5</v>
      </c>
      <c r="AG1797" t="s">
        <v>3266</v>
      </c>
      <c r="AH1797">
        <v>100</v>
      </c>
      <c r="AK1797">
        <v>0</v>
      </c>
      <c r="AL1797">
        <v>57779</v>
      </c>
      <c r="AM1797">
        <v>39825</v>
      </c>
      <c r="AN1797">
        <v>17954</v>
      </c>
      <c r="AO1797">
        <v>904</v>
      </c>
      <c r="AP1797">
        <v>2016</v>
      </c>
      <c r="AQ1797">
        <v>1.69</v>
      </c>
      <c r="AS1797" t="s">
        <v>21874</v>
      </c>
      <c r="AT1797" t="s">
        <v>3210</v>
      </c>
      <c r="AU1797" t="s">
        <v>177</v>
      </c>
      <c r="AV1797" t="s">
        <v>2334</v>
      </c>
      <c r="AW1797" t="s">
        <v>182</v>
      </c>
      <c r="AX1797">
        <v>2</v>
      </c>
      <c r="AY1797" t="s">
        <v>188</v>
      </c>
      <c r="AZ1797" t="s">
        <v>189</v>
      </c>
      <c r="BA1797" t="s">
        <v>190</v>
      </c>
      <c r="BB1797" t="s">
        <v>191</v>
      </c>
      <c r="BC1797" t="s">
        <v>182</v>
      </c>
      <c r="BD1797" t="s">
        <v>182</v>
      </c>
      <c r="BE1797" t="s">
        <v>7154</v>
      </c>
      <c r="BF1797">
        <v>1</v>
      </c>
      <c r="BG1797">
        <v>1</v>
      </c>
      <c r="BH1797">
        <v>1985</v>
      </c>
      <c r="BI1797" t="s">
        <v>8072</v>
      </c>
      <c r="BJ1797" t="s">
        <v>194</v>
      </c>
      <c r="BK1797" t="s">
        <v>195</v>
      </c>
      <c r="BL1797" t="s">
        <v>2115</v>
      </c>
      <c r="BM1797" t="s">
        <v>501</v>
      </c>
      <c r="BN1797" t="s">
        <v>182</v>
      </c>
      <c r="BO1797" t="s">
        <v>198</v>
      </c>
      <c r="BP1797" t="s">
        <v>198</v>
      </c>
      <c r="BQ1797" t="s">
        <v>198</v>
      </c>
      <c r="BR1797" t="s">
        <v>198</v>
      </c>
      <c r="BS1797" t="s">
        <v>198</v>
      </c>
      <c r="BT1797" t="s">
        <v>198</v>
      </c>
      <c r="BU1797" t="s">
        <v>182</v>
      </c>
      <c r="BV1797" t="s">
        <v>198</v>
      </c>
      <c r="BW1797" t="s">
        <v>198</v>
      </c>
      <c r="BX1797" t="s">
        <v>199</v>
      </c>
      <c r="BY1797" t="s">
        <v>198</v>
      </c>
      <c r="BZ1797" t="s">
        <v>199</v>
      </c>
      <c r="CA1797" t="s">
        <v>199</v>
      </c>
      <c r="CB1797" t="s">
        <v>21875</v>
      </c>
      <c r="CC1797" t="s">
        <v>201</v>
      </c>
      <c r="CD1797" t="s">
        <v>182</v>
      </c>
      <c r="CE1797" t="s">
        <v>21876</v>
      </c>
      <c r="CF1797" t="s">
        <v>21877</v>
      </c>
      <c r="CG1797" t="s">
        <v>177</v>
      </c>
      <c r="CH1797" t="s">
        <v>21878</v>
      </c>
      <c r="CI1797" t="s">
        <v>21879</v>
      </c>
      <c r="CJ1797" t="s">
        <v>9651</v>
      </c>
      <c r="CK1797" t="s">
        <v>292</v>
      </c>
      <c r="CL1797" t="s">
        <v>293</v>
      </c>
      <c r="CM1797" t="s">
        <v>21880</v>
      </c>
      <c r="CN1797" t="s">
        <v>235</v>
      </c>
      <c r="CO1797" t="s">
        <v>183</v>
      </c>
      <c r="CP1797" t="s">
        <v>211</v>
      </c>
      <c r="CQ1797" t="s">
        <v>329</v>
      </c>
      <c r="CS1797" t="s">
        <v>459</v>
      </c>
      <c r="CT1797" t="s">
        <v>10295</v>
      </c>
      <c r="CU1797" t="s">
        <v>267</v>
      </c>
      <c r="CV1797" t="s">
        <v>268</v>
      </c>
      <c r="CW1797" t="s">
        <v>21881</v>
      </c>
      <c r="CX1797" t="s">
        <v>331</v>
      </c>
      <c r="CY1797" t="s">
        <v>183</v>
      </c>
      <c r="CZ1797" t="s">
        <v>211</v>
      </c>
      <c r="DA1797" t="s">
        <v>199</v>
      </c>
      <c r="DB1797" t="s">
        <v>271</v>
      </c>
      <c r="DC1797" t="s">
        <v>604</v>
      </c>
      <c r="DD1797" t="s">
        <v>10953</v>
      </c>
      <c r="DE1797" t="s">
        <v>273</v>
      </c>
      <c r="DF1797" t="s">
        <v>274</v>
      </c>
      <c r="DG1797" t="s">
        <v>21882</v>
      </c>
      <c r="DH1797" t="s">
        <v>235</v>
      </c>
      <c r="DI1797" t="s">
        <v>183</v>
      </c>
      <c r="DJ1797" t="s">
        <v>211</v>
      </c>
      <c r="DK1797" t="s">
        <v>427</v>
      </c>
      <c r="DL1797" t="s">
        <v>271</v>
      </c>
      <c r="DM1797" t="s">
        <v>604</v>
      </c>
      <c r="DN1797" t="s">
        <v>21883</v>
      </c>
      <c r="DO1797" t="s">
        <v>302</v>
      </c>
      <c r="DP1797" t="s">
        <v>303</v>
      </c>
      <c r="DQ1797" t="s">
        <v>21884</v>
      </c>
      <c r="DR1797" t="s">
        <v>235</v>
      </c>
      <c r="DS1797" t="s">
        <v>183</v>
      </c>
      <c r="DT1797" t="s">
        <v>211</v>
      </c>
      <c r="DV1797" t="s">
        <v>271</v>
      </c>
      <c r="DW1797" t="s">
        <v>198</v>
      </c>
      <c r="DX1797" t="s">
        <v>21885</v>
      </c>
      <c r="DY1797" t="s">
        <v>238</v>
      </c>
      <c r="DZ1797" t="s">
        <v>239</v>
      </c>
      <c r="EA1797" t="s">
        <v>21886</v>
      </c>
      <c r="EB1797" t="s">
        <v>440</v>
      </c>
      <c r="EC1797" t="s">
        <v>183</v>
      </c>
      <c r="ED1797" t="s">
        <v>211</v>
      </c>
      <c r="EE1797" t="s">
        <v>296</v>
      </c>
      <c r="EG1797" t="s">
        <v>15459</v>
      </c>
      <c r="EQ1797" t="s">
        <v>198</v>
      </c>
      <c r="FA1797" t="s">
        <v>198</v>
      </c>
      <c r="FK1797" t="s">
        <v>198</v>
      </c>
      <c r="FU1797" t="s">
        <v>198</v>
      </c>
    </row>
    <row r="1798" spans="1:177">
      <c r="A1798" s="1" t="str">
        <f>HYPERLINK("http://digipan.lumentumllc.com/apps/getLink/index.php?t=PropLink&amp;p=5248149","PL")</f>
        <v>PL</v>
      </c>
      <c r="B1798" s="1" t="str">
        <f>HYPERLINK("http://digipan.lumentumllc.com/apps/getLink/index.php?t=TaxLink&amp;p=5248149","TL")</f>
        <v>TL</v>
      </c>
      <c r="C1798" s="1" t="str">
        <f>HYPERLINK("http://digipan.lumentumllc.com/apps/getMap/index.php?p=5248149","Map")</f>
        <v>Map</v>
      </c>
      <c r="E1798" t="s">
        <v>177</v>
      </c>
      <c r="F1798" t="s">
        <v>178</v>
      </c>
      <c r="L1798" t="s">
        <v>21887</v>
      </c>
      <c r="N1798" t="s">
        <v>21887</v>
      </c>
      <c r="O1798" t="s">
        <v>21887</v>
      </c>
      <c r="P1798" t="s">
        <v>21888</v>
      </c>
      <c r="Q1798" t="s">
        <v>21887</v>
      </c>
      <c r="V1798">
        <v>2050</v>
      </c>
      <c r="W1798">
        <v>7</v>
      </c>
      <c r="X1798">
        <v>2017</v>
      </c>
      <c r="Y1798">
        <v>2018</v>
      </c>
      <c r="Z1798">
        <v>1004.08</v>
      </c>
      <c r="AB1798" t="s">
        <v>181</v>
      </c>
      <c r="AC1798" t="s">
        <v>182</v>
      </c>
      <c r="AD1798" t="s">
        <v>183</v>
      </c>
      <c r="AE1798">
        <v>7</v>
      </c>
      <c r="AF1798">
        <v>1</v>
      </c>
      <c r="AG1798" t="s">
        <v>1038</v>
      </c>
      <c r="AH1798">
        <v>0</v>
      </c>
      <c r="AI1798">
        <v>7557.44</v>
      </c>
      <c r="AJ1798">
        <v>2332.81</v>
      </c>
      <c r="AK1798">
        <v>9890.25</v>
      </c>
      <c r="AL1798">
        <v>59372</v>
      </c>
      <c r="AM1798">
        <v>59372</v>
      </c>
      <c r="AN1798">
        <v>0</v>
      </c>
      <c r="AO1798">
        <v>911</v>
      </c>
      <c r="AP1798">
        <v>2016</v>
      </c>
      <c r="AQ1798">
        <v>1.69</v>
      </c>
      <c r="AR1798">
        <v>16.66</v>
      </c>
      <c r="AS1798" t="s">
        <v>21889</v>
      </c>
      <c r="AT1798" t="s">
        <v>3210</v>
      </c>
      <c r="AU1798" t="s">
        <v>177</v>
      </c>
      <c r="AV1798" t="s">
        <v>2334</v>
      </c>
      <c r="AW1798" t="s">
        <v>182</v>
      </c>
      <c r="AX1798">
        <v>0</v>
      </c>
      <c r="AY1798" t="s">
        <v>312</v>
      </c>
      <c r="AZ1798" t="s">
        <v>199</v>
      </c>
      <c r="BA1798" t="s">
        <v>313</v>
      </c>
      <c r="BB1798" t="s">
        <v>191</v>
      </c>
      <c r="BC1798" t="s">
        <v>182</v>
      </c>
      <c r="BD1798" t="s">
        <v>182</v>
      </c>
      <c r="BE1798" t="s">
        <v>4722</v>
      </c>
      <c r="BF1798">
        <v>0</v>
      </c>
      <c r="BG1798">
        <v>0</v>
      </c>
      <c r="BH1798">
        <v>0</v>
      </c>
      <c r="BI1798" t="s">
        <v>199</v>
      </c>
      <c r="BJ1798" t="s">
        <v>315</v>
      </c>
      <c r="BL1798" t="s">
        <v>199</v>
      </c>
      <c r="BM1798" t="s">
        <v>325</v>
      </c>
      <c r="BN1798" t="s">
        <v>182</v>
      </c>
      <c r="BO1798" t="s">
        <v>3842</v>
      </c>
      <c r="BP1798" t="s">
        <v>21890</v>
      </c>
      <c r="BS1798" t="s">
        <v>21891</v>
      </c>
      <c r="BT1798" t="s">
        <v>198</v>
      </c>
      <c r="BU1798" t="s">
        <v>182</v>
      </c>
      <c r="BV1798" t="s">
        <v>198</v>
      </c>
      <c r="BW1798" t="s">
        <v>198</v>
      </c>
      <c r="BX1798" t="s">
        <v>199</v>
      </c>
      <c r="BY1798" t="s">
        <v>198</v>
      </c>
      <c r="BZ1798" t="s">
        <v>199</v>
      </c>
      <c r="CA1798" t="s">
        <v>199</v>
      </c>
      <c r="CB1798" t="s">
        <v>21892</v>
      </c>
      <c r="CC1798" t="s">
        <v>201</v>
      </c>
      <c r="CD1798" t="s">
        <v>182</v>
      </c>
      <c r="CE1798" t="s">
        <v>21893</v>
      </c>
      <c r="CF1798" t="s">
        <v>2333</v>
      </c>
      <c r="CG1798" t="s">
        <v>177</v>
      </c>
      <c r="CH1798" t="s">
        <v>2334</v>
      </c>
      <c r="CI1798" t="s">
        <v>21894</v>
      </c>
      <c r="CJ1798" t="s">
        <v>19391</v>
      </c>
      <c r="CK1798" t="s">
        <v>232</v>
      </c>
      <c r="CL1798" t="s">
        <v>233</v>
      </c>
      <c r="CM1798" t="s">
        <v>21895</v>
      </c>
      <c r="CN1798" t="s">
        <v>436</v>
      </c>
      <c r="CO1798" t="s">
        <v>183</v>
      </c>
      <c r="CP1798" t="s">
        <v>266</v>
      </c>
      <c r="CS1798" t="s">
        <v>198</v>
      </c>
      <c r="CT1798" t="s">
        <v>4895</v>
      </c>
      <c r="CU1798" t="s">
        <v>292</v>
      </c>
      <c r="CV1798" t="s">
        <v>293</v>
      </c>
      <c r="CW1798" t="s">
        <v>21896</v>
      </c>
      <c r="CX1798" t="s">
        <v>482</v>
      </c>
      <c r="CY1798" t="s">
        <v>183</v>
      </c>
      <c r="CZ1798" t="s">
        <v>266</v>
      </c>
      <c r="DC1798" t="s">
        <v>198</v>
      </c>
      <c r="DD1798" t="s">
        <v>7960</v>
      </c>
      <c r="DE1798" t="s">
        <v>267</v>
      </c>
      <c r="DF1798" t="s">
        <v>268</v>
      </c>
      <c r="DG1798" t="s">
        <v>21897</v>
      </c>
      <c r="DH1798" t="s">
        <v>482</v>
      </c>
      <c r="DI1798" t="s">
        <v>183</v>
      </c>
      <c r="DJ1798" t="s">
        <v>266</v>
      </c>
      <c r="DM1798" t="s">
        <v>198</v>
      </c>
      <c r="DN1798" t="s">
        <v>3474</v>
      </c>
      <c r="DO1798" t="s">
        <v>273</v>
      </c>
      <c r="DP1798" t="s">
        <v>274</v>
      </c>
      <c r="DQ1798" t="s">
        <v>21898</v>
      </c>
      <c r="DR1798" t="s">
        <v>235</v>
      </c>
      <c r="DS1798" t="s">
        <v>183</v>
      </c>
      <c r="DT1798" t="s">
        <v>266</v>
      </c>
      <c r="DW1798" t="s">
        <v>198</v>
      </c>
      <c r="DX1798" t="s">
        <v>21899</v>
      </c>
      <c r="DY1798" t="s">
        <v>302</v>
      </c>
      <c r="DZ1798" t="s">
        <v>303</v>
      </c>
      <c r="EA1798" t="s">
        <v>21900</v>
      </c>
      <c r="EB1798" t="s">
        <v>511</v>
      </c>
      <c r="EC1798" t="s">
        <v>183</v>
      </c>
      <c r="ED1798" t="s">
        <v>266</v>
      </c>
      <c r="EG1798" t="s">
        <v>198</v>
      </c>
      <c r="EH1798" t="s">
        <v>6221</v>
      </c>
      <c r="EI1798" t="s">
        <v>238</v>
      </c>
      <c r="EJ1798" t="s">
        <v>239</v>
      </c>
      <c r="EK1798" t="s">
        <v>21901</v>
      </c>
      <c r="EL1798" t="s">
        <v>469</v>
      </c>
      <c r="EM1798" t="s">
        <v>183</v>
      </c>
      <c r="EN1798" t="s">
        <v>266</v>
      </c>
      <c r="EQ1798" t="s">
        <v>198</v>
      </c>
      <c r="ER1798" t="s">
        <v>21902</v>
      </c>
      <c r="ES1798" t="s">
        <v>346</v>
      </c>
      <c r="ET1798" t="s">
        <v>347</v>
      </c>
      <c r="EU1798" t="s">
        <v>21903</v>
      </c>
      <c r="EV1798" t="s">
        <v>278</v>
      </c>
      <c r="EW1798" t="s">
        <v>183</v>
      </c>
      <c r="EX1798" t="s">
        <v>266</v>
      </c>
      <c r="FA1798" t="s">
        <v>198</v>
      </c>
      <c r="FB1798" t="s">
        <v>20751</v>
      </c>
      <c r="FC1798" t="s">
        <v>207</v>
      </c>
      <c r="FD1798" t="s">
        <v>208</v>
      </c>
      <c r="FE1798" t="s">
        <v>21904</v>
      </c>
      <c r="FF1798" t="s">
        <v>341</v>
      </c>
      <c r="FG1798" t="s">
        <v>183</v>
      </c>
      <c r="FH1798" t="s">
        <v>211</v>
      </c>
      <c r="FI1798" t="s">
        <v>334</v>
      </c>
      <c r="FK1798" t="s">
        <v>21905</v>
      </c>
      <c r="FU1798" t="s">
        <v>198</v>
      </c>
    </row>
    <row r="1799" spans="1:177">
      <c r="A1799" s="1" t="str">
        <f>HYPERLINK("http://digipan.lumentumllc.com/apps/getLink/index.php?t=PropLink&amp;p=5248198","PL")</f>
        <v>PL</v>
      </c>
      <c r="B1799" s="1" t="str">
        <f>HYPERLINK("http://digipan.lumentumllc.com/apps/getLink/index.php?t=TaxLink&amp;p=5248198","TL")</f>
        <v>TL</v>
      </c>
      <c r="C1799" s="1" t="str">
        <f>HYPERLINK("http://digipan.lumentumllc.com/apps/getMap/index.php?p=5248198","Map")</f>
        <v>Map</v>
      </c>
      <c r="E1799" t="s">
        <v>177</v>
      </c>
      <c r="F1799" t="s">
        <v>178</v>
      </c>
      <c r="L1799" t="s">
        <v>21906</v>
      </c>
      <c r="N1799" t="s">
        <v>21906</v>
      </c>
      <c r="O1799" t="s">
        <v>21906</v>
      </c>
      <c r="P1799" t="s">
        <v>21907</v>
      </c>
      <c r="Q1799" t="s">
        <v>21906</v>
      </c>
      <c r="V1799">
        <v>2051</v>
      </c>
      <c r="W1799">
        <v>7</v>
      </c>
      <c r="X1799">
        <v>2017</v>
      </c>
      <c r="Y1799">
        <v>2018</v>
      </c>
      <c r="Z1799">
        <v>605.04999999999995</v>
      </c>
      <c r="AB1799" t="s">
        <v>181</v>
      </c>
      <c r="AC1799" t="s">
        <v>182</v>
      </c>
      <c r="AD1799" t="s">
        <v>183</v>
      </c>
      <c r="AE1799">
        <v>0</v>
      </c>
      <c r="AF1799">
        <v>2</v>
      </c>
      <c r="AG1799" t="s">
        <v>821</v>
      </c>
      <c r="AH1799">
        <v>100</v>
      </c>
      <c r="AK1799">
        <v>0</v>
      </c>
      <c r="AL1799">
        <v>35000</v>
      </c>
      <c r="AM1799">
        <v>35000</v>
      </c>
      <c r="AN1799">
        <v>0</v>
      </c>
      <c r="AO1799">
        <v>390</v>
      </c>
      <c r="AP1799">
        <v>2016</v>
      </c>
      <c r="AQ1799">
        <v>1.73</v>
      </c>
      <c r="AS1799" t="s">
        <v>21908</v>
      </c>
      <c r="AT1799" t="s">
        <v>3210</v>
      </c>
      <c r="AU1799" t="s">
        <v>177</v>
      </c>
      <c r="AV1799" t="s">
        <v>2334</v>
      </c>
      <c r="AW1799" t="s">
        <v>182</v>
      </c>
      <c r="AX1799">
        <v>0</v>
      </c>
      <c r="AY1799" t="s">
        <v>312</v>
      </c>
      <c r="AZ1799" t="s">
        <v>199</v>
      </c>
      <c r="BA1799" t="s">
        <v>313</v>
      </c>
      <c r="BB1799" t="s">
        <v>191</v>
      </c>
      <c r="BC1799" t="s">
        <v>182</v>
      </c>
      <c r="BD1799" t="s">
        <v>182</v>
      </c>
      <c r="BE1799" t="s">
        <v>6523</v>
      </c>
      <c r="BF1799">
        <v>0</v>
      </c>
      <c r="BG1799">
        <v>0</v>
      </c>
      <c r="BH1799">
        <v>0</v>
      </c>
      <c r="BI1799" t="s">
        <v>199</v>
      </c>
      <c r="BJ1799" t="s">
        <v>396</v>
      </c>
      <c r="BL1799" t="s">
        <v>21909</v>
      </c>
      <c r="BM1799" t="s">
        <v>197</v>
      </c>
      <c r="BN1799" t="s">
        <v>182</v>
      </c>
      <c r="BO1799" t="s">
        <v>21910</v>
      </c>
      <c r="BP1799" t="s">
        <v>21911</v>
      </c>
      <c r="BQ1799" t="s">
        <v>800</v>
      </c>
      <c r="BR1799" t="s">
        <v>4682</v>
      </c>
      <c r="BS1799" t="s">
        <v>198</v>
      </c>
      <c r="BT1799" t="s">
        <v>21912</v>
      </c>
      <c r="BU1799" t="s">
        <v>182</v>
      </c>
      <c r="BV1799" t="s">
        <v>198</v>
      </c>
      <c r="BW1799" t="s">
        <v>198</v>
      </c>
      <c r="BX1799" t="s">
        <v>199</v>
      </c>
      <c r="BY1799" t="s">
        <v>198</v>
      </c>
      <c r="BZ1799" t="s">
        <v>199</v>
      </c>
      <c r="CA1799" t="s">
        <v>199</v>
      </c>
      <c r="CB1799" t="s">
        <v>21913</v>
      </c>
      <c r="CC1799" t="s">
        <v>201</v>
      </c>
      <c r="CD1799" t="s">
        <v>202</v>
      </c>
      <c r="CE1799" t="s">
        <v>21914</v>
      </c>
      <c r="CF1799" t="s">
        <v>21915</v>
      </c>
      <c r="CG1799" t="s">
        <v>177</v>
      </c>
      <c r="CH1799" t="s">
        <v>21916</v>
      </c>
      <c r="CI1799" t="s">
        <v>3818</v>
      </c>
      <c r="CJ1799" t="s">
        <v>21185</v>
      </c>
      <c r="CK1799" t="s">
        <v>346</v>
      </c>
      <c r="CL1799" t="s">
        <v>347</v>
      </c>
      <c r="CM1799" t="s">
        <v>21598</v>
      </c>
      <c r="CN1799" t="s">
        <v>278</v>
      </c>
      <c r="CO1799" t="s">
        <v>183</v>
      </c>
      <c r="CP1799" t="s">
        <v>211</v>
      </c>
      <c r="CQ1799" t="s">
        <v>250</v>
      </c>
      <c r="CS1799" t="s">
        <v>18626</v>
      </c>
      <c r="CT1799" t="s">
        <v>21159</v>
      </c>
      <c r="CU1799" t="s">
        <v>207</v>
      </c>
      <c r="CV1799" t="s">
        <v>208</v>
      </c>
      <c r="CW1799" t="s">
        <v>8195</v>
      </c>
      <c r="CX1799" t="s">
        <v>1966</v>
      </c>
      <c r="CY1799" t="s">
        <v>183</v>
      </c>
      <c r="CZ1799" t="s">
        <v>211</v>
      </c>
      <c r="DA1799" t="s">
        <v>199</v>
      </c>
      <c r="DC1799" t="s">
        <v>7835</v>
      </c>
      <c r="DM1799" t="s">
        <v>198</v>
      </c>
      <c r="DW1799" t="s">
        <v>198</v>
      </c>
      <c r="EG1799" t="s">
        <v>198</v>
      </c>
      <c r="EQ1799" t="s">
        <v>198</v>
      </c>
      <c r="FA1799" t="s">
        <v>198</v>
      </c>
      <c r="FK1799" t="s">
        <v>198</v>
      </c>
      <c r="FU1799" t="s">
        <v>198</v>
      </c>
    </row>
    <row r="1800" spans="1:177">
      <c r="A1800" s="1" t="str">
        <f>HYPERLINK("http://digipan.lumentumllc.com/apps/getLink/index.php?t=PropLink&amp;p=15760802","PL")</f>
        <v>PL</v>
      </c>
      <c r="B1800" s="1" t="str">
        <f>HYPERLINK("http://digipan.lumentumllc.com/apps/getLink/index.php?t=TaxLink&amp;p=15760802","TL")</f>
        <v>TL</v>
      </c>
      <c r="C1800" s="1" t="str">
        <f>HYPERLINK("http://digipan.lumentumllc.com/apps/getMap/index.php?p=15760802","Map")</f>
        <v>Map</v>
      </c>
      <c r="E1800" t="s">
        <v>177</v>
      </c>
      <c r="F1800" t="s">
        <v>178</v>
      </c>
      <c r="L1800" t="s">
        <v>21917</v>
      </c>
      <c r="N1800" t="s">
        <v>21917</v>
      </c>
      <c r="O1800" t="s">
        <v>21917</v>
      </c>
      <c r="Q1800" t="s">
        <v>21917</v>
      </c>
      <c r="V1800">
        <v>2052</v>
      </c>
      <c r="W1800">
        <v>7</v>
      </c>
      <c r="X1800">
        <v>2017</v>
      </c>
      <c r="Y1800">
        <v>2018</v>
      </c>
      <c r="Z1800">
        <v>2097.48</v>
      </c>
      <c r="AB1800" t="s">
        <v>181</v>
      </c>
      <c r="AC1800" t="s">
        <v>182</v>
      </c>
      <c r="AD1800" t="s">
        <v>183</v>
      </c>
      <c r="AE1800">
        <v>0</v>
      </c>
      <c r="AF1800">
        <v>1</v>
      </c>
      <c r="AG1800" t="s">
        <v>821</v>
      </c>
      <c r="AH1800">
        <v>100</v>
      </c>
      <c r="AK1800">
        <v>0</v>
      </c>
      <c r="AL1800">
        <v>151155</v>
      </c>
      <c r="AM1800">
        <v>47600</v>
      </c>
      <c r="AN1800">
        <v>103555</v>
      </c>
      <c r="AO1800">
        <v>1938</v>
      </c>
      <c r="AP1800">
        <v>2016</v>
      </c>
      <c r="AQ1800">
        <v>1.39</v>
      </c>
      <c r="AS1800" t="s">
        <v>21918</v>
      </c>
      <c r="AT1800" t="s">
        <v>3210</v>
      </c>
      <c r="AU1800" t="s">
        <v>177</v>
      </c>
      <c r="AV1800" t="s">
        <v>2334</v>
      </c>
      <c r="AW1800" t="s">
        <v>202</v>
      </c>
      <c r="AX1800">
        <v>1</v>
      </c>
      <c r="AY1800" t="s">
        <v>188</v>
      </c>
      <c r="AZ1800" t="s">
        <v>206</v>
      </c>
      <c r="BA1800" t="s">
        <v>355</v>
      </c>
      <c r="BB1800" t="s">
        <v>191</v>
      </c>
      <c r="BC1800" t="s">
        <v>182</v>
      </c>
      <c r="BD1800" t="s">
        <v>182</v>
      </c>
      <c r="BE1800" t="s">
        <v>12750</v>
      </c>
      <c r="BF1800">
        <v>1</v>
      </c>
      <c r="BG1800">
        <v>1</v>
      </c>
      <c r="BH1800">
        <v>1993</v>
      </c>
      <c r="BI1800" t="s">
        <v>17839</v>
      </c>
      <c r="BJ1800" t="s">
        <v>194</v>
      </c>
      <c r="BK1800" t="s">
        <v>195</v>
      </c>
      <c r="BL1800" t="s">
        <v>199</v>
      </c>
      <c r="BM1800" t="s">
        <v>1825</v>
      </c>
      <c r="BN1800" t="s">
        <v>182</v>
      </c>
      <c r="BO1800" t="s">
        <v>198</v>
      </c>
      <c r="BP1800" t="s">
        <v>198</v>
      </c>
      <c r="BQ1800" t="s">
        <v>198</v>
      </c>
      <c r="BR1800" t="s">
        <v>198</v>
      </c>
      <c r="BS1800" t="s">
        <v>198</v>
      </c>
      <c r="BT1800" t="s">
        <v>198</v>
      </c>
      <c r="BU1800" t="s">
        <v>182</v>
      </c>
      <c r="BV1800" t="s">
        <v>198</v>
      </c>
      <c r="BW1800" t="s">
        <v>198</v>
      </c>
      <c r="BX1800" t="s">
        <v>199</v>
      </c>
      <c r="BY1800" t="s">
        <v>198</v>
      </c>
      <c r="BZ1800" t="s">
        <v>199</v>
      </c>
      <c r="CA1800" t="s">
        <v>199</v>
      </c>
      <c r="CB1800" t="s">
        <v>21919</v>
      </c>
      <c r="CC1800" t="s">
        <v>201</v>
      </c>
      <c r="CD1800" t="s">
        <v>202</v>
      </c>
      <c r="CE1800" t="s">
        <v>21920</v>
      </c>
      <c r="CF1800" t="s">
        <v>2333</v>
      </c>
      <c r="CG1800" t="s">
        <v>177</v>
      </c>
      <c r="CH1800" t="s">
        <v>2334</v>
      </c>
      <c r="CI1800" t="s">
        <v>21921</v>
      </c>
      <c r="CJ1800" t="s">
        <v>21922</v>
      </c>
      <c r="CK1800" t="s">
        <v>232</v>
      </c>
      <c r="CL1800" t="s">
        <v>233</v>
      </c>
      <c r="CM1800" t="s">
        <v>21923</v>
      </c>
      <c r="CN1800" t="s">
        <v>235</v>
      </c>
      <c r="CO1800" t="s">
        <v>183</v>
      </c>
      <c r="CP1800" t="s">
        <v>211</v>
      </c>
      <c r="CQ1800" t="s">
        <v>206</v>
      </c>
      <c r="CS1800" t="s">
        <v>5602</v>
      </c>
      <c r="DC1800" t="s">
        <v>198</v>
      </c>
      <c r="DM1800" t="s">
        <v>198</v>
      </c>
      <c r="DW1800" t="s">
        <v>198</v>
      </c>
      <c r="EG1800" t="s">
        <v>198</v>
      </c>
      <c r="EQ1800" t="s">
        <v>198</v>
      </c>
      <c r="FA1800" t="s">
        <v>198</v>
      </c>
      <c r="FK1800" t="s">
        <v>198</v>
      </c>
      <c r="FU1800" t="s">
        <v>198</v>
      </c>
    </row>
    <row r="1801" spans="1:177">
      <c r="A1801" s="1" t="str">
        <f>HYPERLINK("http://digipan.lumentumllc.com/apps/getLink/index.php?t=PropLink&amp;p=5248243","PL")</f>
        <v>PL</v>
      </c>
      <c r="B1801" s="1" t="str">
        <f>HYPERLINK("http://digipan.lumentumllc.com/apps/getLink/index.php?t=TaxLink&amp;p=5248243","TL")</f>
        <v>TL</v>
      </c>
      <c r="C1801" s="1" t="str">
        <f>HYPERLINK("http://digipan.lumentumllc.com/apps/getMap/index.php?p=5248243","Map")</f>
        <v>Map</v>
      </c>
      <c r="E1801" t="s">
        <v>177</v>
      </c>
      <c r="F1801" t="s">
        <v>178</v>
      </c>
      <c r="L1801" t="s">
        <v>21924</v>
      </c>
      <c r="N1801" t="s">
        <v>21924</v>
      </c>
      <c r="O1801" t="s">
        <v>21924</v>
      </c>
      <c r="P1801" t="s">
        <v>21925</v>
      </c>
      <c r="Q1801" t="s">
        <v>21924</v>
      </c>
      <c r="V1801">
        <v>2053</v>
      </c>
      <c r="W1801">
        <v>7</v>
      </c>
      <c r="X1801">
        <v>2017</v>
      </c>
      <c r="Y1801">
        <v>2018</v>
      </c>
      <c r="Z1801">
        <v>490.44</v>
      </c>
      <c r="AB1801" t="s">
        <v>181</v>
      </c>
      <c r="AC1801" t="s">
        <v>202</v>
      </c>
      <c r="AD1801" t="s">
        <v>183</v>
      </c>
      <c r="AE1801">
        <v>0</v>
      </c>
      <c r="AF1801">
        <v>5</v>
      </c>
      <c r="AG1801" t="s">
        <v>744</v>
      </c>
      <c r="AH1801">
        <v>100</v>
      </c>
      <c r="AK1801">
        <v>0</v>
      </c>
      <c r="AL1801">
        <v>28000</v>
      </c>
      <c r="AM1801">
        <v>28000</v>
      </c>
      <c r="AN1801">
        <v>0</v>
      </c>
      <c r="AO1801">
        <v>430</v>
      </c>
      <c r="AP1801">
        <v>2016</v>
      </c>
      <c r="AQ1801">
        <v>1.75</v>
      </c>
      <c r="AS1801" t="s">
        <v>21926</v>
      </c>
      <c r="AT1801" t="s">
        <v>3210</v>
      </c>
      <c r="AU1801" t="s">
        <v>177</v>
      </c>
      <c r="AV1801" t="s">
        <v>2334</v>
      </c>
      <c r="AW1801" t="s">
        <v>182</v>
      </c>
      <c r="AX1801">
        <v>0</v>
      </c>
      <c r="AY1801" t="s">
        <v>312</v>
      </c>
      <c r="AZ1801" t="s">
        <v>199</v>
      </c>
      <c r="BA1801" t="s">
        <v>313</v>
      </c>
      <c r="BB1801" t="s">
        <v>191</v>
      </c>
      <c r="BC1801" t="s">
        <v>182</v>
      </c>
      <c r="BD1801" t="s">
        <v>182</v>
      </c>
      <c r="BE1801" t="s">
        <v>6557</v>
      </c>
      <c r="BF1801">
        <v>0</v>
      </c>
      <c r="BG1801">
        <v>0</v>
      </c>
      <c r="BH1801">
        <v>0</v>
      </c>
      <c r="BI1801" t="s">
        <v>199</v>
      </c>
      <c r="BJ1801" t="s">
        <v>315</v>
      </c>
      <c r="BL1801" t="s">
        <v>17914</v>
      </c>
      <c r="BM1801" t="s">
        <v>232</v>
      </c>
      <c r="BN1801" t="s">
        <v>182</v>
      </c>
      <c r="BO1801" t="s">
        <v>198</v>
      </c>
      <c r="BP1801" t="s">
        <v>198</v>
      </c>
      <c r="BQ1801" t="s">
        <v>198</v>
      </c>
      <c r="BR1801" t="s">
        <v>198</v>
      </c>
      <c r="BS1801" t="s">
        <v>198</v>
      </c>
      <c r="BT1801" t="s">
        <v>198</v>
      </c>
      <c r="BU1801" t="s">
        <v>182</v>
      </c>
      <c r="BV1801" t="s">
        <v>198</v>
      </c>
      <c r="BW1801" t="s">
        <v>198</v>
      </c>
      <c r="BX1801" t="s">
        <v>199</v>
      </c>
      <c r="BY1801" t="s">
        <v>198</v>
      </c>
      <c r="BZ1801" t="s">
        <v>199</v>
      </c>
      <c r="CA1801" t="s">
        <v>199</v>
      </c>
      <c r="CB1801" t="s">
        <v>21927</v>
      </c>
      <c r="CC1801" t="s">
        <v>201</v>
      </c>
      <c r="CD1801" t="s">
        <v>202</v>
      </c>
      <c r="CE1801" t="s">
        <v>21928</v>
      </c>
      <c r="CF1801" t="s">
        <v>21929</v>
      </c>
      <c r="CG1801" t="s">
        <v>18836</v>
      </c>
      <c r="CH1801" t="s">
        <v>21930</v>
      </c>
      <c r="CI1801" t="s">
        <v>1364</v>
      </c>
      <c r="CJ1801" t="s">
        <v>15897</v>
      </c>
      <c r="CK1801" t="s">
        <v>273</v>
      </c>
      <c r="CL1801" t="s">
        <v>274</v>
      </c>
      <c r="CM1801" t="s">
        <v>11413</v>
      </c>
      <c r="CN1801" t="s">
        <v>235</v>
      </c>
      <c r="CO1801" t="s">
        <v>183</v>
      </c>
      <c r="CP1801" t="s">
        <v>211</v>
      </c>
      <c r="CR1801" t="s">
        <v>6042</v>
      </c>
      <c r="CS1801" t="s">
        <v>198</v>
      </c>
      <c r="CT1801" t="s">
        <v>16640</v>
      </c>
      <c r="CU1801" t="s">
        <v>302</v>
      </c>
      <c r="CV1801" t="s">
        <v>303</v>
      </c>
      <c r="CW1801" t="s">
        <v>10990</v>
      </c>
      <c r="CX1801" t="s">
        <v>511</v>
      </c>
      <c r="CY1801" t="s">
        <v>183</v>
      </c>
      <c r="CZ1801" t="s">
        <v>211</v>
      </c>
      <c r="DA1801" t="s">
        <v>337</v>
      </c>
      <c r="DB1801" t="s">
        <v>6042</v>
      </c>
      <c r="DC1801" t="s">
        <v>2244</v>
      </c>
      <c r="DD1801" t="s">
        <v>21931</v>
      </c>
      <c r="DE1801" t="s">
        <v>238</v>
      </c>
      <c r="DF1801" t="s">
        <v>239</v>
      </c>
      <c r="DG1801" t="s">
        <v>21932</v>
      </c>
      <c r="DH1801" t="s">
        <v>482</v>
      </c>
      <c r="DI1801" t="s">
        <v>183</v>
      </c>
      <c r="DJ1801" t="s">
        <v>211</v>
      </c>
      <c r="DK1801" t="s">
        <v>909</v>
      </c>
      <c r="DL1801" t="s">
        <v>6042</v>
      </c>
      <c r="DM1801" t="s">
        <v>2244</v>
      </c>
      <c r="DN1801" t="s">
        <v>21933</v>
      </c>
      <c r="DO1801" t="s">
        <v>346</v>
      </c>
      <c r="DP1801" t="s">
        <v>347</v>
      </c>
      <c r="DQ1801" t="s">
        <v>21598</v>
      </c>
      <c r="DR1801" t="s">
        <v>1056</v>
      </c>
      <c r="DS1801" t="s">
        <v>183</v>
      </c>
      <c r="DT1801" t="s">
        <v>211</v>
      </c>
      <c r="DU1801" t="s">
        <v>1128</v>
      </c>
      <c r="DV1801" t="s">
        <v>6042</v>
      </c>
      <c r="DW1801" t="s">
        <v>2244</v>
      </c>
      <c r="DX1801" t="s">
        <v>21934</v>
      </c>
      <c r="DY1801" t="s">
        <v>207</v>
      </c>
      <c r="DZ1801" t="s">
        <v>208</v>
      </c>
      <c r="EA1801" t="s">
        <v>21935</v>
      </c>
      <c r="EB1801" t="s">
        <v>391</v>
      </c>
      <c r="EC1801" t="s">
        <v>183</v>
      </c>
      <c r="ED1801" t="s">
        <v>211</v>
      </c>
      <c r="EF1801" t="s">
        <v>6042</v>
      </c>
      <c r="EG1801" t="s">
        <v>198</v>
      </c>
      <c r="EQ1801" t="s">
        <v>198</v>
      </c>
      <c r="FA1801" t="s">
        <v>198</v>
      </c>
      <c r="FK1801" t="s">
        <v>198</v>
      </c>
      <c r="FU1801" t="s">
        <v>198</v>
      </c>
    </row>
    <row r="1802" spans="1:177">
      <c r="A1802" s="1" t="str">
        <f>HYPERLINK("http://digipan.lumentumllc.com/apps/getLink/index.php?t=PropLink&amp;p=5248244","PL")</f>
        <v>PL</v>
      </c>
      <c r="B1802" s="1" t="str">
        <f>HYPERLINK("http://digipan.lumentumllc.com/apps/getLink/index.php?t=TaxLink&amp;p=5248244","TL")</f>
        <v>TL</v>
      </c>
      <c r="C1802" s="1" t="str">
        <f>HYPERLINK("http://digipan.lumentumllc.com/apps/getMap/index.php?p=5248244","Map")</f>
        <v>Map</v>
      </c>
      <c r="E1802" t="s">
        <v>177</v>
      </c>
      <c r="F1802" t="s">
        <v>178</v>
      </c>
      <c r="L1802" t="s">
        <v>21936</v>
      </c>
      <c r="N1802" t="s">
        <v>21936</v>
      </c>
      <c r="O1802" t="s">
        <v>21936</v>
      </c>
      <c r="P1802" t="s">
        <v>21937</v>
      </c>
      <c r="Q1802" t="s">
        <v>21936</v>
      </c>
      <c r="V1802">
        <v>2055</v>
      </c>
      <c r="W1802">
        <v>7</v>
      </c>
      <c r="X1802">
        <v>2017</v>
      </c>
      <c r="Y1802">
        <v>2018</v>
      </c>
      <c r="Z1802">
        <v>1262.8599999999999</v>
      </c>
      <c r="AG1802" t="s">
        <v>184</v>
      </c>
      <c r="AH1802">
        <v>0</v>
      </c>
      <c r="AK1802">
        <v>0</v>
      </c>
      <c r="AL1802">
        <v>126092</v>
      </c>
      <c r="AM1802">
        <v>28000</v>
      </c>
      <c r="AN1802">
        <v>98092</v>
      </c>
      <c r="AO1802">
        <v>1121</v>
      </c>
      <c r="AP1802">
        <v>2016</v>
      </c>
      <c r="AQ1802">
        <v>1</v>
      </c>
      <c r="AS1802" t="s">
        <v>21938</v>
      </c>
      <c r="AT1802" t="s">
        <v>3210</v>
      </c>
      <c r="AU1802" t="s">
        <v>177</v>
      </c>
      <c r="AV1802" t="s">
        <v>2334</v>
      </c>
      <c r="AW1802" t="s">
        <v>202</v>
      </c>
      <c r="AX1802">
        <v>1</v>
      </c>
      <c r="AY1802" t="s">
        <v>188</v>
      </c>
      <c r="AZ1802" t="s">
        <v>206</v>
      </c>
      <c r="BA1802" t="s">
        <v>355</v>
      </c>
      <c r="BB1802" t="s">
        <v>191</v>
      </c>
      <c r="BC1802" t="s">
        <v>182</v>
      </c>
      <c r="BD1802" t="s">
        <v>182</v>
      </c>
      <c r="BE1802" t="s">
        <v>16160</v>
      </c>
      <c r="BF1802">
        <v>1</v>
      </c>
      <c r="BG1802">
        <v>1</v>
      </c>
      <c r="BH1802">
        <v>2000</v>
      </c>
      <c r="BI1802" t="s">
        <v>14461</v>
      </c>
      <c r="BJ1802" t="s">
        <v>194</v>
      </c>
      <c r="BK1802" t="s">
        <v>195</v>
      </c>
      <c r="BL1802" t="s">
        <v>4009</v>
      </c>
      <c r="BM1802" t="s">
        <v>1332</v>
      </c>
      <c r="BN1802" t="s">
        <v>182</v>
      </c>
      <c r="BO1802" t="s">
        <v>198</v>
      </c>
      <c r="BP1802" t="s">
        <v>198</v>
      </c>
      <c r="BQ1802" t="s">
        <v>198</v>
      </c>
      <c r="BR1802" t="s">
        <v>198</v>
      </c>
      <c r="BS1802" t="s">
        <v>198</v>
      </c>
      <c r="BT1802" t="s">
        <v>198</v>
      </c>
      <c r="BU1802" t="s">
        <v>182</v>
      </c>
      <c r="BV1802" t="s">
        <v>198</v>
      </c>
      <c r="BW1802" t="s">
        <v>198</v>
      </c>
      <c r="BX1802" t="s">
        <v>199</v>
      </c>
      <c r="BY1802" t="s">
        <v>198</v>
      </c>
      <c r="BZ1802" t="s">
        <v>199</v>
      </c>
      <c r="CA1802" t="s">
        <v>199</v>
      </c>
      <c r="CB1802" t="s">
        <v>21939</v>
      </c>
      <c r="CC1802" t="s">
        <v>201</v>
      </c>
      <c r="CD1802" t="s">
        <v>182</v>
      </c>
      <c r="CE1802" t="s">
        <v>21940</v>
      </c>
      <c r="CF1802" t="s">
        <v>2333</v>
      </c>
      <c r="CG1802" t="s">
        <v>177</v>
      </c>
      <c r="CH1802" t="s">
        <v>2334</v>
      </c>
      <c r="CI1802" t="s">
        <v>21941</v>
      </c>
      <c r="CS1802" t="s">
        <v>198</v>
      </c>
      <c r="DC1802" t="s">
        <v>198</v>
      </c>
      <c r="DM1802" t="s">
        <v>198</v>
      </c>
      <c r="DW1802" t="s">
        <v>198</v>
      </c>
      <c r="EG1802" t="s">
        <v>198</v>
      </c>
      <c r="EQ1802" t="s">
        <v>198</v>
      </c>
      <c r="FA1802" t="s">
        <v>198</v>
      </c>
      <c r="FK1802" t="s">
        <v>198</v>
      </c>
      <c r="FU1802" t="s">
        <v>198</v>
      </c>
    </row>
    <row r="1803" spans="1:177">
      <c r="A1803" s="1" t="str">
        <f>HYPERLINK("http://digipan.lumentumllc.com/apps/getLink/index.php?t=PropLink&amp;p=7112587","PL")</f>
        <v>PL</v>
      </c>
      <c r="B1803" s="1" t="str">
        <f>HYPERLINK("http://digipan.lumentumllc.com/apps/getLink/index.php?t=TaxLink&amp;p=7112587","TL")</f>
        <v>TL</v>
      </c>
      <c r="C1803" s="1" t="str">
        <f>HYPERLINK("http://digipan.lumentumllc.com/apps/getMap/index.php?p=7112587","Map")</f>
        <v>Map</v>
      </c>
      <c r="E1803" t="s">
        <v>177</v>
      </c>
      <c r="F1803" t="s">
        <v>178</v>
      </c>
      <c r="L1803" t="s">
        <v>21942</v>
      </c>
      <c r="N1803" t="s">
        <v>21942</v>
      </c>
      <c r="O1803" t="s">
        <v>21942</v>
      </c>
      <c r="P1803" t="s">
        <v>21943</v>
      </c>
      <c r="Q1803" t="s">
        <v>21942</v>
      </c>
      <c r="V1803">
        <v>2056</v>
      </c>
      <c r="W1803">
        <v>7</v>
      </c>
      <c r="X1803">
        <v>2017</v>
      </c>
      <c r="Y1803">
        <v>2018</v>
      </c>
      <c r="Z1803">
        <v>913.43</v>
      </c>
      <c r="AG1803" t="s">
        <v>184</v>
      </c>
      <c r="AH1803">
        <v>0</v>
      </c>
      <c r="AK1803">
        <v>0</v>
      </c>
      <c r="AL1803">
        <v>97279</v>
      </c>
      <c r="AM1803">
        <v>28000</v>
      </c>
      <c r="AN1803">
        <v>69279</v>
      </c>
      <c r="AO1803">
        <v>800</v>
      </c>
      <c r="AP1803">
        <v>2016</v>
      </c>
      <c r="AQ1803">
        <v>0.94</v>
      </c>
      <c r="AS1803" t="s">
        <v>21944</v>
      </c>
      <c r="AT1803" t="s">
        <v>3210</v>
      </c>
      <c r="AU1803" t="s">
        <v>177</v>
      </c>
      <c r="AV1803" t="s">
        <v>2334</v>
      </c>
      <c r="AW1803" t="s">
        <v>202</v>
      </c>
      <c r="AX1803">
        <v>1</v>
      </c>
      <c r="AY1803" t="s">
        <v>188</v>
      </c>
      <c r="AZ1803" t="s">
        <v>206</v>
      </c>
      <c r="BA1803" t="s">
        <v>355</v>
      </c>
      <c r="BB1803" t="s">
        <v>191</v>
      </c>
      <c r="BC1803" t="s">
        <v>182</v>
      </c>
      <c r="BD1803" t="s">
        <v>182</v>
      </c>
      <c r="BE1803" t="s">
        <v>18053</v>
      </c>
      <c r="BF1803">
        <v>1</v>
      </c>
      <c r="BG1803">
        <v>1</v>
      </c>
      <c r="BH1803">
        <v>1983</v>
      </c>
      <c r="BI1803" t="s">
        <v>13514</v>
      </c>
      <c r="BJ1803" t="s">
        <v>194</v>
      </c>
      <c r="BK1803" t="s">
        <v>195</v>
      </c>
      <c r="BL1803" t="s">
        <v>14306</v>
      </c>
      <c r="BM1803" t="s">
        <v>267</v>
      </c>
      <c r="BN1803" t="s">
        <v>182</v>
      </c>
      <c r="BO1803" t="s">
        <v>21945</v>
      </c>
      <c r="BP1803" t="s">
        <v>2421</v>
      </c>
      <c r="BS1803" t="s">
        <v>2266</v>
      </c>
      <c r="BT1803" t="s">
        <v>198</v>
      </c>
      <c r="BU1803" t="s">
        <v>182</v>
      </c>
      <c r="BV1803" t="s">
        <v>198</v>
      </c>
      <c r="BW1803" t="s">
        <v>198</v>
      </c>
      <c r="BX1803" t="s">
        <v>199</v>
      </c>
      <c r="BY1803" t="s">
        <v>198</v>
      </c>
      <c r="BZ1803" t="s">
        <v>199</v>
      </c>
      <c r="CA1803" t="s">
        <v>199</v>
      </c>
      <c r="CB1803" t="s">
        <v>21946</v>
      </c>
      <c r="CC1803" t="s">
        <v>201</v>
      </c>
      <c r="CD1803" t="s">
        <v>182</v>
      </c>
      <c r="CE1803" t="s">
        <v>21947</v>
      </c>
      <c r="CF1803" t="s">
        <v>2333</v>
      </c>
      <c r="CG1803" t="s">
        <v>177</v>
      </c>
      <c r="CH1803" t="s">
        <v>2334</v>
      </c>
      <c r="CI1803" t="s">
        <v>15218</v>
      </c>
      <c r="CS1803" t="s">
        <v>198</v>
      </c>
      <c r="DC1803" t="s">
        <v>198</v>
      </c>
      <c r="DM1803" t="s">
        <v>198</v>
      </c>
      <c r="DW1803" t="s">
        <v>198</v>
      </c>
      <c r="EG1803" t="s">
        <v>198</v>
      </c>
      <c r="EQ1803" t="s">
        <v>198</v>
      </c>
      <c r="FA1803" t="s">
        <v>198</v>
      </c>
      <c r="FK1803" t="s">
        <v>198</v>
      </c>
      <c r="FU1803" t="s">
        <v>198</v>
      </c>
    </row>
    <row r="1804" spans="1:177">
      <c r="A1804" s="1" t="str">
        <f>HYPERLINK("http://digipan.lumentumllc.com/apps/getLink/index.php?t=PropLink&amp;p=6129550","PL")</f>
        <v>PL</v>
      </c>
      <c r="B1804" s="1" t="str">
        <f>HYPERLINK("http://digipan.lumentumllc.com/apps/getLink/index.php?t=TaxLink&amp;p=6129550","TL")</f>
        <v>TL</v>
      </c>
      <c r="C1804" s="1" t="str">
        <f>HYPERLINK("http://digipan.lumentumllc.com/apps/getMap/index.php?p=6129550","Map")</f>
        <v>Map</v>
      </c>
      <c r="E1804" t="s">
        <v>177</v>
      </c>
      <c r="F1804" t="s">
        <v>178</v>
      </c>
      <c r="L1804" t="s">
        <v>21948</v>
      </c>
      <c r="N1804" t="s">
        <v>21948</v>
      </c>
      <c r="O1804" t="s">
        <v>21948</v>
      </c>
      <c r="P1804" t="s">
        <v>21949</v>
      </c>
      <c r="Q1804" t="s">
        <v>21948</v>
      </c>
      <c r="V1804">
        <v>2057</v>
      </c>
      <c r="W1804">
        <v>7</v>
      </c>
      <c r="X1804">
        <v>2017</v>
      </c>
      <c r="Y1804">
        <v>2018</v>
      </c>
      <c r="Z1804">
        <v>3327.99</v>
      </c>
      <c r="AB1804" t="s">
        <v>181</v>
      </c>
      <c r="AC1804" t="s">
        <v>182</v>
      </c>
      <c r="AD1804" t="s">
        <v>183</v>
      </c>
      <c r="AE1804">
        <v>1</v>
      </c>
      <c r="AF1804">
        <v>1</v>
      </c>
      <c r="AG1804" t="s">
        <v>2222</v>
      </c>
      <c r="AH1804">
        <v>50</v>
      </c>
      <c r="AI1804">
        <v>3374.96</v>
      </c>
      <c r="AJ1804">
        <v>168.75</v>
      </c>
      <c r="AK1804">
        <v>3543.71</v>
      </c>
      <c r="AL1804">
        <v>201311</v>
      </c>
      <c r="AM1804">
        <v>95000</v>
      </c>
      <c r="AN1804">
        <v>106311</v>
      </c>
      <c r="AO1804">
        <v>3096</v>
      </c>
      <c r="AP1804">
        <v>2016</v>
      </c>
      <c r="AQ1804">
        <v>1.65</v>
      </c>
      <c r="AR1804">
        <v>1.76</v>
      </c>
      <c r="AS1804" t="s">
        <v>21950</v>
      </c>
      <c r="AT1804" t="s">
        <v>3210</v>
      </c>
      <c r="AU1804" t="s">
        <v>177</v>
      </c>
      <c r="AV1804" t="s">
        <v>2334</v>
      </c>
      <c r="AW1804" t="s">
        <v>182</v>
      </c>
      <c r="AX1804">
        <v>1</v>
      </c>
      <c r="AY1804" t="s">
        <v>188</v>
      </c>
      <c r="AZ1804" t="s">
        <v>206</v>
      </c>
      <c r="BA1804" t="s">
        <v>355</v>
      </c>
      <c r="BB1804" t="s">
        <v>191</v>
      </c>
      <c r="BC1804" t="s">
        <v>182</v>
      </c>
      <c r="BD1804" t="s">
        <v>182</v>
      </c>
      <c r="BE1804" t="s">
        <v>1912</v>
      </c>
      <c r="BF1804">
        <v>1</v>
      </c>
      <c r="BG1804">
        <v>1</v>
      </c>
      <c r="BH1804">
        <v>1984</v>
      </c>
      <c r="BI1804" t="s">
        <v>21436</v>
      </c>
      <c r="BJ1804" t="s">
        <v>194</v>
      </c>
      <c r="BK1804" t="s">
        <v>195</v>
      </c>
      <c r="BL1804" t="s">
        <v>21951</v>
      </c>
      <c r="BM1804" t="s">
        <v>232</v>
      </c>
      <c r="BN1804" t="s">
        <v>182</v>
      </c>
      <c r="BO1804" t="s">
        <v>560</v>
      </c>
      <c r="BP1804" t="s">
        <v>21952</v>
      </c>
      <c r="BQ1804" t="s">
        <v>562</v>
      </c>
      <c r="BR1804" t="s">
        <v>563</v>
      </c>
      <c r="BS1804" t="s">
        <v>21953</v>
      </c>
      <c r="BT1804" t="s">
        <v>7436</v>
      </c>
      <c r="BU1804" t="s">
        <v>182</v>
      </c>
      <c r="BV1804" t="s">
        <v>198</v>
      </c>
      <c r="BW1804" t="s">
        <v>198</v>
      </c>
      <c r="BX1804" t="s">
        <v>199</v>
      </c>
      <c r="BY1804" t="s">
        <v>198</v>
      </c>
      <c r="BZ1804" t="s">
        <v>199</v>
      </c>
      <c r="CA1804" t="s">
        <v>199</v>
      </c>
      <c r="CB1804" t="s">
        <v>21954</v>
      </c>
      <c r="CC1804" t="s">
        <v>201</v>
      </c>
      <c r="CD1804" t="s">
        <v>202</v>
      </c>
      <c r="CE1804" t="s">
        <v>21955</v>
      </c>
      <c r="CF1804" t="s">
        <v>2333</v>
      </c>
      <c r="CG1804" t="s">
        <v>177</v>
      </c>
      <c r="CH1804" t="s">
        <v>2334</v>
      </c>
      <c r="CI1804" t="s">
        <v>7898</v>
      </c>
      <c r="CJ1804" t="s">
        <v>14438</v>
      </c>
      <c r="CK1804" t="s">
        <v>232</v>
      </c>
      <c r="CL1804" t="s">
        <v>233</v>
      </c>
      <c r="CM1804" t="s">
        <v>21956</v>
      </c>
      <c r="CN1804" t="s">
        <v>235</v>
      </c>
      <c r="CO1804" t="s">
        <v>183</v>
      </c>
      <c r="CP1804" t="s">
        <v>266</v>
      </c>
      <c r="CS1804" t="s">
        <v>198</v>
      </c>
      <c r="CT1804" t="s">
        <v>21957</v>
      </c>
      <c r="CU1804" t="s">
        <v>238</v>
      </c>
      <c r="CV1804" t="s">
        <v>239</v>
      </c>
      <c r="CW1804" t="s">
        <v>21958</v>
      </c>
      <c r="CX1804" t="s">
        <v>235</v>
      </c>
      <c r="CY1804" t="s">
        <v>183</v>
      </c>
      <c r="CZ1804" t="s">
        <v>211</v>
      </c>
      <c r="DA1804" t="s">
        <v>206</v>
      </c>
      <c r="DC1804" t="s">
        <v>4149</v>
      </c>
      <c r="DM1804" t="s">
        <v>198</v>
      </c>
      <c r="DW1804" t="s">
        <v>198</v>
      </c>
      <c r="EG1804" t="s">
        <v>198</v>
      </c>
      <c r="EQ1804" t="s">
        <v>198</v>
      </c>
      <c r="FA1804" t="s">
        <v>198</v>
      </c>
      <c r="FK1804" t="s">
        <v>198</v>
      </c>
      <c r="FU1804" t="s">
        <v>198</v>
      </c>
    </row>
    <row r="1805" spans="1:177">
      <c r="A1805" s="1" t="str">
        <f>HYPERLINK("http://digipan.lumentumllc.com/apps/getLink/index.php?t=PropLink&amp;p=6129551","PL")</f>
        <v>PL</v>
      </c>
      <c r="B1805" s="1" t="str">
        <f>HYPERLINK("http://digipan.lumentumllc.com/apps/getLink/index.php?t=TaxLink&amp;p=6129551","TL")</f>
        <v>TL</v>
      </c>
      <c r="C1805" s="1" t="str">
        <f>HYPERLINK("http://digipan.lumentumllc.com/apps/getMap/index.php?p=6129551","Map")</f>
        <v>Map</v>
      </c>
      <c r="E1805" t="s">
        <v>177</v>
      </c>
      <c r="F1805" t="s">
        <v>178</v>
      </c>
      <c r="L1805" t="s">
        <v>21959</v>
      </c>
      <c r="N1805" t="s">
        <v>21959</v>
      </c>
      <c r="O1805" t="s">
        <v>21959</v>
      </c>
      <c r="P1805" t="s">
        <v>21960</v>
      </c>
      <c r="Q1805" t="s">
        <v>21959</v>
      </c>
      <c r="V1805">
        <v>2058</v>
      </c>
      <c r="W1805">
        <v>7</v>
      </c>
      <c r="X1805">
        <v>2017</v>
      </c>
      <c r="Y1805">
        <v>2018</v>
      </c>
      <c r="Z1805">
        <v>3301.66</v>
      </c>
      <c r="AB1805" t="s">
        <v>181</v>
      </c>
      <c r="AC1805" t="s">
        <v>182</v>
      </c>
      <c r="AD1805" t="s">
        <v>183</v>
      </c>
      <c r="AE1805">
        <v>0</v>
      </c>
      <c r="AF1805">
        <v>6</v>
      </c>
      <c r="AG1805" t="s">
        <v>528</v>
      </c>
      <c r="AH1805">
        <v>100</v>
      </c>
      <c r="AK1805">
        <v>0</v>
      </c>
      <c r="AL1805">
        <v>199703</v>
      </c>
      <c r="AM1805">
        <v>95000</v>
      </c>
      <c r="AN1805">
        <v>104703</v>
      </c>
      <c r="AO1805">
        <v>2995</v>
      </c>
      <c r="AP1805">
        <v>2016</v>
      </c>
      <c r="AQ1805">
        <v>1.65</v>
      </c>
      <c r="AS1805" t="s">
        <v>21961</v>
      </c>
      <c r="AT1805" t="s">
        <v>3210</v>
      </c>
      <c r="AU1805" t="s">
        <v>177</v>
      </c>
      <c r="AV1805" t="s">
        <v>2334</v>
      </c>
      <c r="AW1805" t="s">
        <v>182</v>
      </c>
      <c r="AX1805">
        <v>1</v>
      </c>
      <c r="AY1805" t="s">
        <v>188</v>
      </c>
      <c r="AZ1805" t="s">
        <v>206</v>
      </c>
      <c r="BA1805" t="s">
        <v>355</v>
      </c>
      <c r="BB1805" t="s">
        <v>191</v>
      </c>
      <c r="BC1805" t="s">
        <v>182</v>
      </c>
      <c r="BD1805" t="s">
        <v>182</v>
      </c>
      <c r="BE1805" t="s">
        <v>21509</v>
      </c>
      <c r="BF1805">
        <v>1</v>
      </c>
      <c r="BG1805">
        <v>1</v>
      </c>
      <c r="BH1805">
        <v>1997</v>
      </c>
      <c r="BI1805" t="s">
        <v>679</v>
      </c>
      <c r="BJ1805" t="s">
        <v>194</v>
      </c>
      <c r="BK1805" t="s">
        <v>195</v>
      </c>
      <c r="BL1805" t="s">
        <v>199</v>
      </c>
      <c r="BM1805" t="s">
        <v>207</v>
      </c>
      <c r="BN1805" t="s">
        <v>182</v>
      </c>
      <c r="BO1805" t="s">
        <v>198</v>
      </c>
      <c r="BP1805" t="s">
        <v>198</v>
      </c>
      <c r="BQ1805" t="s">
        <v>198</v>
      </c>
      <c r="BR1805" t="s">
        <v>198</v>
      </c>
      <c r="BS1805" t="s">
        <v>198</v>
      </c>
      <c r="BT1805" t="s">
        <v>198</v>
      </c>
      <c r="BU1805" t="s">
        <v>182</v>
      </c>
      <c r="BV1805" t="s">
        <v>198</v>
      </c>
      <c r="BW1805" t="s">
        <v>198</v>
      </c>
      <c r="BX1805" t="s">
        <v>199</v>
      </c>
      <c r="BY1805" t="s">
        <v>198</v>
      </c>
      <c r="BZ1805" t="s">
        <v>199</v>
      </c>
      <c r="CA1805" t="s">
        <v>199</v>
      </c>
      <c r="CB1805" t="s">
        <v>21962</v>
      </c>
      <c r="CC1805" t="s">
        <v>1407</v>
      </c>
      <c r="CD1805" t="s">
        <v>202</v>
      </c>
      <c r="CE1805" t="s">
        <v>21963</v>
      </c>
      <c r="CF1805" t="s">
        <v>2333</v>
      </c>
      <c r="CG1805" t="s">
        <v>177</v>
      </c>
      <c r="CH1805" t="s">
        <v>2334</v>
      </c>
      <c r="CI1805" t="s">
        <v>4045</v>
      </c>
      <c r="CJ1805" t="s">
        <v>14449</v>
      </c>
      <c r="CK1805" t="s">
        <v>232</v>
      </c>
      <c r="CL1805" t="s">
        <v>233</v>
      </c>
      <c r="CM1805" t="s">
        <v>21964</v>
      </c>
      <c r="CN1805" t="s">
        <v>235</v>
      </c>
      <c r="CO1805" t="s">
        <v>183</v>
      </c>
      <c r="CP1805" t="s">
        <v>211</v>
      </c>
      <c r="CQ1805" t="s">
        <v>342</v>
      </c>
      <c r="CS1805" t="s">
        <v>2177</v>
      </c>
      <c r="CT1805" t="s">
        <v>7653</v>
      </c>
      <c r="CU1805" t="s">
        <v>292</v>
      </c>
      <c r="CV1805" t="s">
        <v>293</v>
      </c>
      <c r="CW1805" t="s">
        <v>21965</v>
      </c>
      <c r="CX1805" t="s">
        <v>235</v>
      </c>
      <c r="CY1805" t="s">
        <v>183</v>
      </c>
      <c r="CZ1805" t="s">
        <v>211</v>
      </c>
      <c r="DA1805" t="s">
        <v>342</v>
      </c>
      <c r="DC1805" t="s">
        <v>8069</v>
      </c>
      <c r="DD1805" t="s">
        <v>9670</v>
      </c>
      <c r="DE1805" t="s">
        <v>267</v>
      </c>
      <c r="DF1805" t="s">
        <v>268</v>
      </c>
      <c r="DG1805" t="s">
        <v>21966</v>
      </c>
      <c r="DH1805" t="s">
        <v>235</v>
      </c>
      <c r="DI1805" t="s">
        <v>183</v>
      </c>
      <c r="DJ1805" t="s">
        <v>211</v>
      </c>
      <c r="DK1805" t="s">
        <v>342</v>
      </c>
      <c r="DM1805" t="s">
        <v>4483</v>
      </c>
      <c r="DN1805" t="s">
        <v>3581</v>
      </c>
      <c r="DO1805" t="s">
        <v>273</v>
      </c>
      <c r="DP1805" t="s">
        <v>274</v>
      </c>
      <c r="DQ1805" t="s">
        <v>21967</v>
      </c>
      <c r="DR1805" t="s">
        <v>235</v>
      </c>
      <c r="DS1805" t="s">
        <v>183</v>
      </c>
      <c r="DT1805" t="s">
        <v>211</v>
      </c>
      <c r="DU1805" t="s">
        <v>342</v>
      </c>
      <c r="DW1805" t="s">
        <v>2490</v>
      </c>
      <c r="DX1805" t="s">
        <v>16868</v>
      </c>
      <c r="DY1805" t="s">
        <v>302</v>
      </c>
      <c r="DZ1805" t="s">
        <v>303</v>
      </c>
      <c r="EA1805" t="s">
        <v>21968</v>
      </c>
      <c r="EB1805" t="s">
        <v>235</v>
      </c>
      <c r="EC1805" t="s">
        <v>183</v>
      </c>
      <c r="ED1805" t="s">
        <v>211</v>
      </c>
      <c r="EE1805" t="s">
        <v>329</v>
      </c>
      <c r="EG1805" t="s">
        <v>9167</v>
      </c>
      <c r="EH1805" t="s">
        <v>21969</v>
      </c>
      <c r="EI1805" t="s">
        <v>238</v>
      </c>
      <c r="EJ1805" t="s">
        <v>239</v>
      </c>
      <c r="EK1805" t="s">
        <v>21970</v>
      </c>
      <c r="EL1805" t="s">
        <v>235</v>
      </c>
      <c r="EM1805" t="s">
        <v>183</v>
      </c>
      <c r="EN1805" t="s">
        <v>211</v>
      </c>
      <c r="EO1805" t="s">
        <v>270</v>
      </c>
      <c r="EQ1805" t="s">
        <v>21971</v>
      </c>
      <c r="FA1805" t="s">
        <v>198</v>
      </c>
      <c r="FK1805" t="s">
        <v>198</v>
      </c>
      <c r="FU1805" t="s">
        <v>198</v>
      </c>
    </row>
    <row r="1806" spans="1:177">
      <c r="A1806" s="1" t="str">
        <f>HYPERLINK("http://digipan.lumentumllc.com/apps/getLink/index.php?t=PropLink&amp;p=6886857","PL")</f>
        <v>PL</v>
      </c>
      <c r="B1806" s="1" t="str">
        <f>HYPERLINK("http://digipan.lumentumllc.com/apps/getLink/index.php?t=TaxLink&amp;p=6886857","TL")</f>
        <v>TL</v>
      </c>
      <c r="C1806" s="1" t="str">
        <f>HYPERLINK("http://digipan.lumentumllc.com/apps/getMap/index.php?p=6886857","Map")</f>
        <v>Map</v>
      </c>
      <c r="E1806" t="s">
        <v>177</v>
      </c>
      <c r="F1806" t="s">
        <v>178</v>
      </c>
      <c r="L1806" t="s">
        <v>21972</v>
      </c>
      <c r="N1806" t="s">
        <v>21972</v>
      </c>
      <c r="O1806" t="s">
        <v>21972</v>
      </c>
      <c r="P1806" t="s">
        <v>21973</v>
      </c>
      <c r="Q1806" t="s">
        <v>21972</v>
      </c>
      <c r="V1806">
        <v>2059</v>
      </c>
      <c r="W1806">
        <v>7</v>
      </c>
      <c r="X1806">
        <v>2017</v>
      </c>
      <c r="Y1806">
        <v>2018</v>
      </c>
      <c r="Z1806">
        <v>2752.85</v>
      </c>
      <c r="AB1806" t="s">
        <v>181</v>
      </c>
      <c r="AC1806" t="s">
        <v>182</v>
      </c>
      <c r="AD1806" t="s">
        <v>183</v>
      </c>
      <c r="AE1806">
        <v>0</v>
      </c>
      <c r="AF1806">
        <v>2</v>
      </c>
      <c r="AG1806" t="s">
        <v>216</v>
      </c>
      <c r="AH1806">
        <v>100</v>
      </c>
      <c r="AK1806">
        <v>0</v>
      </c>
      <c r="AL1806">
        <v>166183</v>
      </c>
      <c r="AM1806">
        <v>95000</v>
      </c>
      <c r="AN1806">
        <v>71183</v>
      </c>
      <c r="AO1806">
        <v>2429</v>
      </c>
      <c r="AP1806">
        <v>2016</v>
      </c>
      <c r="AQ1806">
        <v>1.66</v>
      </c>
      <c r="AS1806" t="s">
        <v>21974</v>
      </c>
      <c r="AT1806" t="s">
        <v>3210</v>
      </c>
      <c r="AU1806" t="s">
        <v>177</v>
      </c>
      <c r="AV1806" t="s">
        <v>2334</v>
      </c>
      <c r="AW1806" t="s">
        <v>182</v>
      </c>
      <c r="AX1806">
        <v>1</v>
      </c>
      <c r="AY1806" t="s">
        <v>188</v>
      </c>
      <c r="AZ1806" t="s">
        <v>206</v>
      </c>
      <c r="BA1806" t="s">
        <v>355</v>
      </c>
      <c r="BB1806" t="s">
        <v>191</v>
      </c>
      <c r="BC1806" t="s">
        <v>182</v>
      </c>
      <c r="BD1806" t="s">
        <v>182</v>
      </c>
      <c r="BE1806" t="s">
        <v>21975</v>
      </c>
      <c r="BF1806">
        <v>1</v>
      </c>
      <c r="BG1806">
        <v>1</v>
      </c>
      <c r="BH1806">
        <v>1976</v>
      </c>
      <c r="BI1806" t="s">
        <v>15315</v>
      </c>
      <c r="BJ1806" t="s">
        <v>194</v>
      </c>
      <c r="BK1806" t="s">
        <v>195</v>
      </c>
      <c r="BL1806" t="s">
        <v>21976</v>
      </c>
      <c r="BM1806" t="s">
        <v>273</v>
      </c>
      <c r="BN1806" t="s">
        <v>182</v>
      </c>
      <c r="BO1806" t="s">
        <v>21977</v>
      </c>
      <c r="BP1806" t="s">
        <v>2911</v>
      </c>
      <c r="BS1806" t="s">
        <v>9106</v>
      </c>
      <c r="BT1806" t="s">
        <v>198</v>
      </c>
      <c r="BU1806" t="s">
        <v>182</v>
      </c>
      <c r="BV1806" t="s">
        <v>198</v>
      </c>
      <c r="BW1806" t="s">
        <v>198</v>
      </c>
      <c r="BX1806" t="s">
        <v>199</v>
      </c>
      <c r="BY1806" t="s">
        <v>198</v>
      </c>
      <c r="BZ1806" t="s">
        <v>199</v>
      </c>
      <c r="CA1806" t="s">
        <v>199</v>
      </c>
      <c r="CB1806" t="s">
        <v>21978</v>
      </c>
      <c r="CC1806" t="s">
        <v>201</v>
      </c>
      <c r="CD1806" t="s">
        <v>182</v>
      </c>
      <c r="CE1806" t="s">
        <v>21979</v>
      </c>
      <c r="CF1806" t="s">
        <v>11739</v>
      </c>
      <c r="CG1806" t="s">
        <v>1602</v>
      </c>
      <c r="CH1806" t="s">
        <v>11740</v>
      </c>
      <c r="CI1806" t="s">
        <v>1364</v>
      </c>
      <c r="CJ1806" t="s">
        <v>13953</v>
      </c>
      <c r="CK1806" t="s">
        <v>232</v>
      </c>
      <c r="CL1806" t="s">
        <v>233</v>
      </c>
      <c r="CM1806" t="s">
        <v>21980</v>
      </c>
      <c r="CN1806" t="s">
        <v>235</v>
      </c>
      <c r="CO1806" t="s">
        <v>183</v>
      </c>
      <c r="CP1806" t="s">
        <v>211</v>
      </c>
      <c r="CQ1806" t="s">
        <v>264</v>
      </c>
      <c r="CS1806" t="s">
        <v>21981</v>
      </c>
      <c r="CT1806" t="s">
        <v>14935</v>
      </c>
      <c r="CU1806" t="s">
        <v>267</v>
      </c>
      <c r="CV1806" t="s">
        <v>268</v>
      </c>
      <c r="CW1806" t="s">
        <v>21982</v>
      </c>
      <c r="CX1806" t="s">
        <v>235</v>
      </c>
      <c r="CY1806" t="s">
        <v>183</v>
      </c>
      <c r="CZ1806" t="s">
        <v>211</v>
      </c>
      <c r="DA1806" t="s">
        <v>270</v>
      </c>
      <c r="DC1806" t="s">
        <v>2488</v>
      </c>
      <c r="DM1806" t="s">
        <v>198</v>
      </c>
      <c r="DW1806" t="s">
        <v>198</v>
      </c>
      <c r="EG1806" t="s">
        <v>198</v>
      </c>
      <c r="EQ1806" t="s">
        <v>198</v>
      </c>
      <c r="FA1806" t="s">
        <v>198</v>
      </c>
      <c r="FK1806" t="s">
        <v>198</v>
      </c>
      <c r="FU1806" t="s">
        <v>198</v>
      </c>
    </row>
    <row r="1807" spans="1:177">
      <c r="A1807" s="1" t="str">
        <f>HYPERLINK("http://digipan.lumentumllc.com/apps/getLink/index.php?t=PropLink&amp;p=15760942","PL")</f>
        <v>PL</v>
      </c>
      <c r="B1807" s="1" t="str">
        <f>HYPERLINK("http://digipan.lumentumllc.com/apps/getLink/index.php?t=TaxLink&amp;p=15760942","TL")</f>
        <v>TL</v>
      </c>
      <c r="C1807" s="1" t="str">
        <f>HYPERLINK("http://digipan.lumentumllc.com/apps/getMap/index.php?p=15760942","Map")</f>
        <v>Map</v>
      </c>
      <c r="E1807" t="s">
        <v>177</v>
      </c>
      <c r="F1807" t="s">
        <v>178</v>
      </c>
      <c r="L1807" t="s">
        <v>21983</v>
      </c>
      <c r="N1807" t="s">
        <v>21983</v>
      </c>
      <c r="O1807" t="s">
        <v>21983</v>
      </c>
      <c r="Q1807" t="s">
        <v>21983</v>
      </c>
      <c r="V1807">
        <v>2060</v>
      </c>
      <c r="W1807">
        <v>7</v>
      </c>
      <c r="X1807">
        <v>2017</v>
      </c>
      <c r="Y1807">
        <v>2018</v>
      </c>
      <c r="Z1807">
        <v>2181.5</v>
      </c>
      <c r="AG1807" t="s">
        <v>184</v>
      </c>
      <c r="AH1807">
        <v>0</v>
      </c>
      <c r="AK1807">
        <v>0</v>
      </c>
      <c r="AL1807">
        <v>206864</v>
      </c>
      <c r="AM1807">
        <v>95000</v>
      </c>
      <c r="AN1807">
        <v>111864</v>
      </c>
      <c r="AO1807">
        <v>1964</v>
      </c>
      <c r="AP1807">
        <v>2016</v>
      </c>
      <c r="AQ1807">
        <v>1.05</v>
      </c>
      <c r="AS1807" t="s">
        <v>21984</v>
      </c>
      <c r="AT1807" t="s">
        <v>3210</v>
      </c>
      <c r="AU1807" t="s">
        <v>177</v>
      </c>
      <c r="AV1807" t="s">
        <v>2334</v>
      </c>
      <c r="AW1807" t="s">
        <v>202</v>
      </c>
      <c r="AX1807">
        <v>1</v>
      </c>
      <c r="AY1807" t="s">
        <v>188</v>
      </c>
      <c r="AZ1807" t="s">
        <v>206</v>
      </c>
      <c r="BA1807" t="s">
        <v>355</v>
      </c>
      <c r="BB1807" t="s">
        <v>191</v>
      </c>
      <c r="BC1807" t="s">
        <v>182</v>
      </c>
      <c r="BD1807" t="s">
        <v>182</v>
      </c>
      <c r="BE1807" t="s">
        <v>3897</v>
      </c>
      <c r="BF1807">
        <v>1</v>
      </c>
      <c r="BG1807">
        <v>1</v>
      </c>
      <c r="BH1807">
        <v>2000</v>
      </c>
      <c r="BI1807" t="s">
        <v>21985</v>
      </c>
      <c r="BJ1807" t="s">
        <v>194</v>
      </c>
      <c r="BK1807" t="s">
        <v>195</v>
      </c>
      <c r="BL1807" t="s">
        <v>5912</v>
      </c>
      <c r="BM1807" t="s">
        <v>1311</v>
      </c>
      <c r="BN1807" t="s">
        <v>182</v>
      </c>
      <c r="BO1807" t="s">
        <v>15874</v>
      </c>
      <c r="BP1807" t="s">
        <v>21986</v>
      </c>
      <c r="BQ1807" t="s">
        <v>800</v>
      </c>
      <c r="BR1807" t="s">
        <v>582</v>
      </c>
      <c r="BS1807" t="s">
        <v>198</v>
      </c>
      <c r="BT1807" t="s">
        <v>21987</v>
      </c>
      <c r="BU1807" t="s">
        <v>182</v>
      </c>
      <c r="BV1807" t="s">
        <v>198</v>
      </c>
      <c r="BW1807" t="s">
        <v>198</v>
      </c>
      <c r="BX1807" t="s">
        <v>199</v>
      </c>
      <c r="BY1807" t="s">
        <v>198</v>
      </c>
      <c r="BZ1807" t="s">
        <v>199</v>
      </c>
      <c r="CA1807" t="s">
        <v>199</v>
      </c>
      <c r="CB1807" t="s">
        <v>21988</v>
      </c>
      <c r="CC1807" t="s">
        <v>201</v>
      </c>
      <c r="CD1807" t="s">
        <v>182</v>
      </c>
      <c r="CE1807" t="s">
        <v>21989</v>
      </c>
      <c r="CF1807" t="s">
        <v>2333</v>
      </c>
      <c r="CG1807" t="s">
        <v>177</v>
      </c>
      <c r="CH1807" t="s">
        <v>2334</v>
      </c>
      <c r="CI1807" t="s">
        <v>10240</v>
      </c>
      <c r="CS1807" t="s">
        <v>198</v>
      </c>
      <c r="DC1807" t="s">
        <v>198</v>
      </c>
      <c r="DM1807" t="s">
        <v>198</v>
      </c>
      <c r="DW1807" t="s">
        <v>198</v>
      </c>
      <c r="EG1807" t="s">
        <v>198</v>
      </c>
      <c r="EQ1807" t="s">
        <v>198</v>
      </c>
      <c r="FA1807" t="s">
        <v>198</v>
      </c>
      <c r="FK1807" t="s">
        <v>198</v>
      </c>
      <c r="FU1807" t="s">
        <v>198</v>
      </c>
    </row>
    <row r="1808" spans="1:177">
      <c r="A1808" s="1" t="str">
        <f>HYPERLINK("http://digipan.lumentumllc.com/apps/getLink/index.php?t=PropLink&amp;p=5248245","PL")</f>
        <v>PL</v>
      </c>
      <c r="B1808" s="1" t="str">
        <f>HYPERLINK("http://digipan.lumentumllc.com/apps/getLink/index.php?t=TaxLink&amp;p=5248245","TL")</f>
        <v>TL</v>
      </c>
      <c r="C1808" s="1" t="str">
        <f>HYPERLINK("http://digipan.lumentumllc.com/apps/getMap/index.php?p=5248245","Map")</f>
        <v>Map</v>
      </c>
      <c r="E1808" t="s">
        <v>177</v>
      </c>
      <c r="F1808" t="s">
        <v>178</v>
      </c>
      <c r="L1808" t="s">
        <v>21990</v>
      </c>
      <c r="N1808" t="s">
        <v>21990</v>
      </c>
      <c r="O1808" t="s">
        <v>21990</v>
      </c>
      <c r="P1808" t="s">
        <v>21991</v>
      </c>
      <c r="Q1808" t="s">
        <v>21990</v>
      </c>
      <c r="V1808">
        <v>2061</v>
      </c>
      <c r="W1808">
        <v>7</v>
      </c>
      <c r="X1808">
        <v>2017</v>
      </c>
      <c r="Y1808">
        <v>2018</v>
      </c>
      <c r="Z1808">
        <v>1447.56</v>
      </c>
      <c r="AB1808" t="s">
        <v>181</v>
      </c>
      <c r="AC1808" t="s">
        <v>182</v>
      </c>
      <c r="AD1808" t="s">
        <v>183</v>
      </c>
      <c r="AE1808">
        <v>0</v>
      </c>
      <c r="AF1808">
        <v>8</v>
      </c>
      <c r="AG1808" t="s">
        <v>1059</v>
      </c>
      <c r="AH1808">
        <v>100</v>
      </c>
      <c r="AK1808">
        <v>0</v>
      </c>
      <c r="AL1808">
        <v>95000</v>
      </c>
      <c r="AM1808">
        <v>95000</v>
      </c>
      <c r="AN1808">
        <v>0</v>
      </c>
      <c r="AO1808">
        <v>1267</v>
      </c>
      <c r="AP1808">
        <v>2016</v>
      </c>
      <c r="AQ1808">
        <v>1.52</v>
      </c>
      <c r="AS1808" t="s">
        <v>21992</v>
      </c>
      <c r="AT1808" t="s">
        <v>3210</v>
      </c>
      <c r="AU1808" t="s">
        <v>177</v>
      </c>
      <c r="AV1808" t="s">
        <v>2334</v>
      </c>
      <c r="AW1808" t="s">
        <v>182</v>
      </c>
      <c r="AX1808">
        <v>0</v>
      </c>
      <c r="AY1808" t="s">
        <v>312</v>
      </c>
      <c r="AZ1808" t="s">
        <v>199</v>
      </c>
      <c r="BA1808" t="s">
        <v>313</v>
      </c>
      <c r="BB1808" t="s">
        <v>191</v>
      </c>
      <c r="BC1808" t="s">
        <v>182</v>
      </c>
      <c r="BD1808" t="s">
        <v>182</v>
      </c>
      <c r="BE1808" t="s">
        <v>21425</v>
      </c>
      <c r="BF1808">
        <v>0</v>
      </c>
      <c r="BG1808">
        <v>0</v>
      </c>
      <c r="BH1808">
        <v>0</v>
      </c>
      <c r="BI1808" t="s">
        <v>199</v>
      </c>
      <c r="BJ1808" t="s">
        <v>248</v>
      </c>
      <c r="BL1808" t="s">
        <v>199</v>
      </c>
      <c r="BM1808" t="s">
        <v>1311</v>
      </c>
      <c r="BN1808" t="s">
        <v>182</v>
      </c>
      <c r="BO1808" t="s">
        <v>2328</v>
      </c>
      <c r="BP1808" t="s">
        <v>21993</v>
      </c>
      <c r="BS1808" t="s">
        <v>2146</v>
      </c>
      <c r="BT1808" t="s">
        <v>198</v>
      </c>
      <c r="BU1808" t="s">
        <v>182</v>
      </c>
      <c r="BV1808" t="s">
        <v>198</v>
      </c>
      <c r="BW1808" t="s">
        <v>198</v>
      </c>
      <c r="BX1808" t="s">
        <v>199</v>
      </c>
      <c r="BY1808" t="s">
        <v>198</v>
      </c>
      <c r="BZ1808" t="s">
        <v>199</v>
      </c>
      <c r="CA1808" t="s">
        <v>199</v>
      </c>
      <c r="CB1808" t="s">
        <v>21994</v>
      </c>
      <c r="CC1808" t="s">
        <v>201</v>
      </c>
      <c r="CD1808" t="s">
        <v>182</v>
      </c>
      <c r="CE1808" t="s">
        <v>17122</v>
      </c>
      <c r="CF1808" t="s">
        <v>2333</v>
      </c>
      <c r="CG1808" t="s">
        <v>177</v>
      </c>
      <c r="CH1808" t="s">
        <v>2334</v>
      </c>
      <c r="CI1808" t="s">
        <v>2796</v>
      </c>
      <c r="CJ1808" t="s">
        <v>14461</v>
      </c>
      <c r="CK1808" t="s">
        <v>232</v>
      </c>
      <c r="CL1808" t="s">
        <v>233</v>
      </c>
      <c r="CM1808" t="s">
        <v>21995</v>
      </c>
      <c r="CN1808" t="s">
        <v>235</v>
      </c>
      <c r="CO1808" t="s">
        <v>183</v>
      </c>
      <c r="CP1808" t="s">
        <v>211</v>
      </c>
      <c r="CQ1808" t="s">
        <v>199</v>
      </c>
      <c r="CS1808" t="s">
        <v>15194</v>
      </c>
      <c r="CT1808" t="s">
        <v>21084</v>
      </c>
      <c r="CU1808" t="s">
        <v>292</v>
      </c>
      <c r="CV1808" t="s">
        <v>293</v>
      </c>
      <c r="CW1808" t="s">
        <v>21996</v>
      </c>
      <c r="CX1808" t="s">
        <v>235</v>
      </c>
      <c r="CY1808" t="s">
        <v>183</v>
      </c>
      <c r="CZ1808" t="s">
        <v>211</v>
      </c>
      <c r="DA1808" t="s">
        <v>296</v>
      </c>
      <c r="DC1808" t="s">
        <v>4218</v>
      </c>
      <c r="DD1808" t="s">
        <v>15593</v>
      </c>
      <c r="DE1808" t="s">
        <v>267</v>
      </c>
      <c r="DF1808" t="s">
        <v>268</v>
      </c>
      <c r="DG1808" t="s">
        <v>21997</v>
      </c>
      <c r="DH1808" t="s">
        <v>235</v>
      </c>
      <c r="DI1808" t="s">
        <v>183</v>
      </c>
      <c r="DJ1808" t="s">
        <v>211</v>
      </c>
      <c r="DK1808" t="s">
        <v>206</v>
      </c>
      <c r="DM1808" t="s">
        <v>17128</v>
      </c>
      <c r="DN1808" t="s">
        <v>12110</v>
      </c>
      <c r="DO1808" t="s">
        <v>273</v>
      </c>
      <c r="DP1808" t="s">
        <v>274</v>
      </c>
      <c r="DQ1808" t="s">
        <v>4162</v>
      </c>
      <c r="DR1808" t="s">
        <v>235</v>
      </c>
      <c r="DS1808" t="s">
        <v>183</v>
      </c>
      <c r="DT1808" t="s">
        <v>211</v>
      </c>
      <c r="DU1808" t="s">
        <v>296</v>
      </c>
      <c r="DW1808" t="s">
        <v>4786</v>
      </c>
      <c r="DX1808" t="s">
        <v>21998</v>
      </c>
      <c r="DY1808" t="s">
        <v>302</v>
      </c>
      <c r="DZ1808" t="s">
        <v>303</v>
      </c>
      <c r="EA1808" t="s">
        <v>21999</v>
      </c>
      <c r="EB1808" t="s">
        <v>235</v>
      </c>
      <c r="EC1808" t="s">
        <v>183</v>
      </c>
      <c r="ED1808" t="s">
        <v>211</v>
      </c>
      <c r="EE1808" t="s">
        <v>250</v>
      </c>
      <c r="EG1808" t="s">
        <v>18306</v>
      </c>
      <c r="EH1808" t="s">
        <v>21607</v>
      </c>
      <c r="EI1808" t="s">
        <v>238</v>
      </c>
      <c r="EJ1808" t="s">
        <v>239</v>
      </c>
      <c r="EK1808" t="s">
        <v>22000</v>
      </c>
      <c r="EL1808" t="s">
        <v>440</v>
      </c>
      <c r="EM1808" t="s">
        <v>183</v>
      </c>
      <c r="EN1808" t="s">
        <v>211</v>
      </c>
      <c r="EO1808" t="s">
        <v>296</v>
      </c>
      <c r="EQ1808" t="s">
        <v>17134</v>
      </c>
      <c r="ER1808" t="s">
        <v>22001</v>
      </c>
      <c r="ES1808" t="s">
        <v>346</v>
      </c>
      <c r="ET1808" t="s">
        <v>347</v>
      </c>
      <c r="EU1808" t="s">
        <v>19630</v>
      </c>
      <c r="EV1808" t="s">
        <v>278</v>
      </c>
      <c r="EW1808" t="s">
        <v>183</v>
      </c>
      <c r="EX1808" t="s">
        <v>211</v>
      </c>
      <c r="EY1808" t="s">
        <v>296</v>
      </c>
      <c r="FA1808" t="s">
        <v>5220</v>
      </c>
      <c r="FB1808" t="s">
        <v>22002</v>
      </c>
      <c r="FC1808" t="s">
        <v>207</v>
      </c>
      <c r="FD1808" t="s">
        <v>208</v>
      </c>
      <c r="FE1808" t="s">
        <v>15751</v>
      </c>
      <c r="FF1808" t="s">
        <v>1966</v>
      </c>
      <c r="FG1808" t="s">
        <v>183</v>
      </c>
      <c r="FH1808" t="s">
        <v>211</v>
      </c>
      <c r="FI1808" t="s">
        <v>206</v>
      </c>
      <c r="FK1808" t="s">
        <v>11276</v>
      </c>
      <c r="FU1808" t="s">
        <v>198</v>
      </c>
    </row>
    <row r="1809" spans="1:177">
      <c r="A1809" s="1" t="str">
        <f>HYPERLINK("http://digipan.lumentumllc.com/apps/getLink/index.php?t=PropLink&amp;p=15760966","PL")</f>
        <v>PL</v>
      </c>
      <c r="B1809" s="1" t="str">
        <f>HYPERLINK("http://digipan.lumentumllc.com/apps/getLink/index.php?t=TaxLink&amp;p=15760966","TL")</f>
        <v>TL</v>
      </c>
      <c r="C1809" s="1" t="str">
        <f>HYPERLINK("http://digipan.lumentumllc.com/apps/getMap/index.php?p=15760966","Map")</f>
        <v>Map</v>
      </c>
      <c r="E1809" t="s">
        <v>177</v>
      </c>
      <c r="F1809" t="s">
        <v>178</v>
      </c>
      <c r="L1809" t="s">
        <v>22003</v>
      </c>
      <c r="N1809" t="s">
        <v>22003</v>
      </c>
      <c r="O1809" t="s">
        <v>22003</v>
      </c>
      <c r="Q1809" t="s">
        <v>22003</v>
      </c>
      <c r="V1809">
        <v>2062</v>
      </c>
      <c r="W1809">
        <v>7</v>
      </c>
      <c r="X1809">
        <v>2017</v>
      </c>
      <c r="Y1809">
        <v>2018</v>
      </c>
      <c r="Z1809">
        <v>1414.47</v>
      </c>
      <c r="AG1809" t="s">
        <v>184</v>
      </c>
      <c r="AH1809">
        <v>0</v>
      </c>
      <c r="AK1809">
        <v>0</v>
      </c>
      <c r="AL1809">
        <v>154356</v>
      </c>
      <c r="AM1809">
        <v>60000</v>
      </c>
      <c r="AN1809">
        <v>94356</v>
      </c>
      <c r="AO1809">
        <v>1260</v>
      </c>
      <c r="AP1809">
        <v>2016</v>
      </c>
      <c r="AQ1809">
        <v>0.92</v>
      </c>
      <c r="AS1809" t="s">
        <v>22004</v>
      </c>
      <c r="AT1809" t="s">
        <v>3210</v>
      </c>
      <c r="AU1809" t="s">
        <v>177</v>
      </c>
      <c r="AV1809" t="s">
        <v>2334</v>
      </c>
      <c r="AW1809" t="s">
        <v>202</v>
      </c>
      <c r="AX1809">
        <v>1</v>
      </c>
      <c r="AY1809" t="s">
        <v>188</v>
      </c>
      <c r="AZ1809" t="s">
        <v>206</v>
      </c>
      <c r="BA1809" t="s">
        <v>355</v>
      </c>
      <c r="BB1809" t="s">
        <v>191</v>
      </c>
      <c r="BC1809" t="s">
        <v>182</v>
      </c>
      <c r="BD1809" t="s">
        <v>182</v>
      </c>
      <c r="BE1809" t="s">
        <v>16160</v>
      </c>
      <c r="BF1809">
        <v>1</v>
      </c>
      <c r="BG1809">
        <v>1</v>
      </c>
      <c r="BH1809">
        <v>1994</v>
      </c>
      <c r="BI1809" t="s">
        <v>4554</v>
      </c>
      <c r="BJ1809" t="s">
        <v>194</v>
      </c>
      <c r="BK1809" t="s">
        <v>195</v>
      </c>
      <c r="BL1809" t="s">
        <v>841</v>
      </c>
      <c r="BM1809" t="s">
        <v>4973</v>
      </c>
      <c r="BN1809" t="s">
        <v>182</v>
      </c>
      <c r="BO1809" t="s">
        <v>198</v>
      </c>
      <c r="BP1809" t="s">
        <v>198</v>
      </c>
      <c r="BQ1809" t="s">
        <v>198</v>
      </c>
      <c r="BR1809" t="s">
        <v>198</v>
      </c>
      <c r="BS1809" t="s">
        <v>198</v>
      </c>
      <c r="BT1809" t="s">
        <v>198</v>
      </c>
      <c r="BU1809" t="s">
        <v>182</v>
      </c>
      <c r="BV1809" t="s">
        <v>198</v>
      </c>
      <c r="BW1809" t="s">
        <v>198</v>
      </c>
      <c r="BX1809" t="s">
        <v>199</v>
      </c>
      <c r="BY1809" t="s">
        <v>198</v>
      </c>
      <c r="BZ1809" t="s">
        <v>199</v>
      </c>
      <c r="CA1809" t="s">
        <v>199</v>
      </c>
      <c r="CB1809" t="s">
        <v>22005</v>
      </c>
      <c r="CC1809" t="s">
        <v>201</v>
      </c>
      <c r="CD1809" t="s">
        <v>182</v>
      </c>
      <c r="CE1809" t="s">
        <v>22006</v>
      </c>
      <c r="CF1809" t="s">
        <v>2333</v>
      </c>
      <c r="CG1809" t="s">
        <v>177</v>
      </c>
      <c r="CH1809" t="s">
        <v>2334</v>
      </c>
      <c r="CI1809" t="s">
        <v>1170</v>
      </c>
      <c r="CS1809" t="s">
        <v>198</v>
      </c>
      <c r="DC1809" t="s">
        <v>198</v>
      </c>
      <c r="DM1809" t="s">
        <v>198</v>
      </c>
      <c r="DW1809" t="s">
        <v>198</v>
      </c>
      <c r="EG1809" t="s">
        <v>198</v>
      </c>
      <c r="EQ1809" t="s">
        <v>198</v>
      </c>
      <c r="FA1809" t="s">
        <v>198</v>
      </c>
      <c r="FK1809" t="s">
        <v>198</v>
      </c>
      <c r="FU1809" t="s">
        <v>198</v>
      </c>
    </row>
    <row r="1810" spans="1:177">
      <c r="A1810" s="1" t="str">
        <f>HYPERLINK("http://digipan.lumentumllc.com/apps/getLink/index.php?t=PropLink&amp;p=6594383","PL")</f>
        <v>PL</v>
      </c>
      <c r="B1810" s="1" t="str">
        <f>HYPERLINK("http://digipan.lumentumllc.com/apps/getLink/index.php?t=TaxLink&amp;p=6594383","TL")</f>
        <v>TL</v>
      </c>
      <c r="C1810" s="1" t="str">
        <f>HYPERLINK("http://digipan.lumentumllc.com/apps/getMap/index.php?p=6594383","Map")</f>
        <v>Map</v>
      </c>
      <c r="E1810" t="s">
        <v>177</v>
      </c>
      <c r="F1810" t="s">
        <v>178</v>
      </c>
      <c r="L1810" t="s">
        <v>22007</v>
      </c>
      <c r="N1810" t="s">
        <v>22007</v>
      </c>
      <c r="O1810" t="s">
        <v>22007</v>
      </c>
      <c r="P1810" t="s">
        <v>22008</v>
      </c>
      <c r="Q1810" t="s">
        <v>22007</v>
      </c>
      <c r="V1810">
        <v>2063</v>
      </c>
      <c r="W1810">
        <v>7</v>
      </c>
      <c r="X1810">
        <v>2017</v>
      </c>
      <c r="Y1810">
        <v>2018</v>
      </c>
      <c r="Z1810">
        <v>2140.4299999999998</v>
      </c>
      <c r="AB1810" t="s">
        <v>181</v>
      </c>
      <c r="AC1810" t="s">
        <v>182</v>
      </c>
      <c r="AD1810" t="s">
        <v>183</v>
      </c>
      <c r="AE1810">
        <v>1</v>
      </c>
      <c r="AF1810">
        <v>2</v>
      </c>
      <c r="AG1810" t="s">
        <v>363</v>
      </c>
      <c r="AH1810">
        <v>67</v>
      </c>
      <c r="AI1810">
        <v>2169.66</v>
      </c>
      <c r="AJ1810">
        <v>108.48</v>
      </c>
      <c r="AK1810">
        <v>2278.14</v>
      </c>
      <c r="AL1810">
        <v>128778</v>
      </c>
      <c r="AM1810">
        <v>60000</v>
      </c>
      <c r="AN1810">
        <v>68778</v>
      </c>
      <c r="AO1810">
        <v>1981</v>
      </c>
      <c r="AP1810">
        <v>2016</v>
      </c>
      <c r="AQ1810">
        <v>1.66</v>
      </c>
      <c r="AR1810">
        <v>1.77</v>
      </c>
      <c r="AS1810" t="s">
        <v>22009</v>
      </c>
      <c r="AT1810" t="s">
        <v>3210</v>
      </c>
      <c r="AU1810" t="s">
        <v>177</v>
      </c>
      <c r="AV1810" t="s">
        <v>2334</v>
      </c>
      <c r="AW1810" t="s">
        <v>182</v>
      </c>
      <c r="AX1810">
        <v>1</v>
      </c>
      <c r="AY1810" t="s">
        <v>188</v>
      </c>
      <c r="AZ1810" t="s">
        <v>206</v>
      </c>
      <c r="BA1810" t="s">
        <v>355</v>
      </c>
      <c r="BB1810" t="s">
        <v>191</v>
      </c>
      <c r="BC1810" t="s">
        <v>182</v>
      </c>
      <c r="BD1810" t="s">
        <v>182</v>
      </c>
      <c r="BE1810" t="s">
        <v>21425</v>
      </c>
      <c r="BF1810">
        <v>1</v>
      </c>
      <c r="BG1810">
        <v>1</v>
      </c>
      <c r="BH1810">
        <v>1976</v>
      </c>
      <c r="BI1810" t="s">
        <v>13812</v>
      </c>
      <c r="BJ1810" t="s">
        <v>194</v>
      </c>
      <c r="BK1810" t="s">
        <v>195</v>
      </c>
      <c r="BL1810" t="s">
        <v>22010</v>
      </c>
      <c r="BM1810" t="s">
        <v>1598</v>
      </c>
      <c r="BN1810" t="s">
        <v>182</v>
      </c>
      <c r="BO1810" t="s">
        <v>198</v>
      </c>
      <c r="BP1810" t="s">
        <v>198</v>
      </c>
      <c r="BQ1810" t="s">
        <v>198</v>
      </c>
      <c r="BR1810" t="s">
        <v>198</v>
      </c>
      <c r="BS1810" t="s">
        <v>198</v>
      </c>
      <c r="BT1810" t="s">
        <v>198</v>
      </c>
      <c r="BU1810" t="s">
        <v>182</v>
      </c>
      <c r="BV1810" t="s">
        <v>198</v>
      </c>
      <c r="BW1810" t="s">
        <v>198</v>
      </c>
      <c r="BX1810" t="s">
        <v>199</v>
      </c>
      <c r="BY1810" t="s">
        <v>198</v>
      </c>
      <c r="BZ1810" t="s">
        <v>199</v>
      </c>
      <c r="CA1810" t="s">
        <v>199</v>
      </c>
      <c r="CB1810" t="s">
        <v>22011</v>
      </c>
      <c r="CC1810" t="s">
        <v>201</v>
      </c>
      <c r="CD1810" t="s">
        <v>202</v>
      </c>
      <c r="CE1810" t="s">
        <v>22012</v>
      </c>
      <c r="CF1810" t="s">
        <v>18608</v>
      </c>
      <c r="CG1810" t="s">
        <v>1602</v>
      </c>
      <c r="CH1810" t="s">
        <v>18609</v>
      </c>
      <c r="CI1810" t="s">
        <v>19134</v>
      </c>
      <c r="CJ1810" t="s">
        <v>11767</v>
      </c>
      <c r="CK1810" t="s">
        <v>232</v>
      </c>
      <c r="CL1810" t="s">
        <v>233</v>
      </c>
      <c r="CM1810" t="s">
        <v>22013</v>
      </c>
      <c r="CN1810" t="s">
        <v>235</v>
      </c>
      <c r="CO1810" t="s">
        <v>183</v>
      </c>
      <c r="CP1810" t="s">
        <v>266</v>
      </c>
      <c r="CS1810" t="s">
        <v>198</v>
      </c>
      <c r="CT1810" t="s">
        <v>900</v>
      </c>
      <c r="CU1810" t="s">
        <v>292</v>
      </c>
      <c r="CV1810" t="s">
        <v>293</v>
      </c>
      <c r="CW1810" t="s">
        <v>22014</v>
      </c>
      <c r="CX1810" t="s">
        <v>235</v>
      </c>
      <c r="CY1810" t="s">
        <v>183</v>
      </c>
      <c r="CZ1810" t="s">
        <v>211</v>
      </c>
      <c r="DA1810" t="s">
        <v>298</v>
      </c>
      <c r="DC1810" t="s">
        <v>8314</v>
      </c>
      <c r="DD1810" t="s">
        <v>12174</v>
      </c>
      <c r="DE1810" t="s">
        <v>273</v>
      </c>
      <c r="DF1810" t="s">
        <v>274</v>
      </c>
      <c r="DG1810" t="s">
        <v>22015</v>
      </c>
      <c r="DH1810" t="s">
        <v>235</v>
      </c>
      <c r="DI1810" t="s">
        <v>183</v>
      </c>
      <c r="DJ1810" t="s">
        <v>211</v>
      </c>
      <c r="DK1810" t="s">
        <v>342</v>
      </c>
      <c r="DM1810" t="s">
        <v>1372</v>
      </c>
      <c r="DW1810" t="s">
        <v>198</v>
      </c>
      <c r="EG1810" t="s">
        <v>198</v>
      </c>
      <c r="EQ1810" t="s">
        <v>198</v>
      </c>
      <c r="FA1810" t="s">
        <v>198</v>
      </c>
      <c r="FK1810" t="s">
        <v>198</v>
      </c>
      <c r="FU1810" t="s">
        <v>198</v>
      </c>
    </row>
    <row r="1811" spans="1:177">
      <c r="A1811" s="1" t="str">
        <f>HYPERLINK("http://digipan.lumentumllc.com/apps/getLink/index.php?t=PropLink&amp;p=15760973","PL")</f>
        <v>PL</v>
      </c>
      <c r="B1811" s="1" t="str">
        <f>HYPERLINK("http://digipan.lumentumllc.com/apps/getLink/index.php?t=TaxLink&amp;p=15760973","TL")</f>
        <v>TL</v>
      </c>
      <c r="C1811" s="1" t="str">
        <f>HYPERLINK("http://digipan.lumentumllc.com/apps/getMap/index.php?p=15760973","Map")</f>
        <v>Map</v>
      </c>
      <c r="E1811" t="s">
        <v>177</v>
      </c>
      <c r="F1811" t="s">
        <v>178</v>
      </c>
      <c r="L1811" t="s">
        <v>22016</v>
      </c>
      <c r="N1811" t="s">
        <v>22016</v>
      </c>
      <c r="O1811" t="s">
        <v>22016</v>
      </c>
      <c r="Q1811" t="s">
        <v>22016</v>
      </c>
      <c r="V1811">
        <v>2064</v>
      </c>
      <c r="W1811">
        <v>7</v>
      </c>
      <c r="X1811">
        <v>2017</v>
      </c>
      <c r="Y1811">
        <v>2018</v>
      </c>
      <c r="Z1811">
        <v>2946.21</v>
      </c>
      <c r="AG1811" t="s">
        <v>184</v>
      </c>
      <c r="AH1811">
        <v>0</v>
      </c>
      <c r="AK1811">
        <v>0</v>
      </c>
      <c r="AL1811">
        <v>221696</v>
      </c>
      <c r="AM1811">
        <v>90000</v>
      </c>
      <c r="AN1811">
        <v>131696</v>
      </c>
      <c r="AO1811">
        <v>2666</v>
      </c>
      <c r="AP1811">
        <v>2016</v>
      </c>
      <c r="AQ1811">
        <v>1.33</v>
      </c>
      <c r="AS1811" t="s">
        <v>22017</v>
      </c>
      <c r="AT1811" t="s">
        <v>3210</v>
      </c>
      <c r="AU1811" t="s">
        <v>177</v>
      </c>
      <c r="AV1811" t="s">
        <v>2334</v>
      </c>
      <c r="AW1811" t="s">
        <v>202</v>
      </c>
      <c r="AX1811">
        <v>1</v>
      </c>
      <c r="AY1811" t="s">
        <v>188</v>
      </c>
      <c r="AZ1811" t="s">
        <v>206</v>
      </c>
      <c r="BA1811" t="s">
        <v>355</v>
      </c>
      <c r="BB1811" t="s">
        <v>191</v>
      </c>
      <c r="BC1811" t="s">
        <v>182</v>
      </c>
      <c r="BD1811" t="s">
        <v>182</v>
      </c>
      <c r="BE1811" t="s">
        <v>1869</v>
      </c>
      <c r="BF1811">
        <v>1</v>
      </c>
      <c r="BG1811">
        <v>1</v>
      </c>
      <c r="BH1811">
        <v>2001</v>
      </c>
      <c r="BI1811" t="s">
        <v>18044</v>
      </c>
      <c r="BJ1811" t="s">
        <v>194</v>
      </c>
      <c r="BK1811" t="s">
        <v>195</v>
      </c>
      <c r="BL1811" t="s">
        <v>22018</v>
      </c>
      <c r="BM1811" t="s">
        <v>1825</v>
      </c>
      <c r="BN1811" t="s">
        <v>182</v>
      </c>
      <c r="BO1811" t="s">
        <v>19833</v>
      </c>
      <c r="BP1811" t="s">
        <v>22019</v>
      </c>
      <c r="BQ1811" t="s">
        <v>800</v>
      </c>
      <c r="BR1811" t="s">
        <v>563</v>
      </c>
      <c r="BS1811" t="s">
        <v>198</v>
      </c>
      <c r="BT1811" t="s">
        <v>22020</v>
      </c>
      <c r="BU1811" t="s">
        <v>182</v>
      </c>
      <c r="BV1811" t="s">
        <v>198</v>
      </c>
      <c r="BW1811" t="s">
        <v>198</v>
      </c>
      <c r="BX1811" t="s">
        <v>199</v>
      </c>
      <c r="BY1811" t="s">
        <v>198</v>
      </c>
      <c r="BZ1811" t="s">
        <v>199</v>
      </c>
      <c r="CA1811" t="s">
        <v>199</v>
      </c>
      <c r="CB1811" t="s">
        <v>22021</v>
      </c>
      <c r="CC1811" t="s">
        <v>201</v>
      </c>
      <c r="CD1811" t="s">
        <v>182</v>
      </c>
      <c r="CE1811" t="s">
        <v>22022</v>
      </c>
      <c r="CF1811" t="s">
        <v>2333</v>
      </c>
      <c r="CG1811" t="s">
        <v>177</v>
      </c>
      <c r="CH1811" t="s">
        <v>2334</v>
      </c>
      <c r="CI1811" t="s">
        <v>22023</v>
      </c>
      <c r="CS1811" t="s">
        <v>198</v>
      </c>
      <c r="DC1811" t="s">
        <v>198</v>
      </c>
      <c r="DM1811" t="s">
        <v>198</v>
      </c>
      <c r="DW1811" t="s">
        <v>198</v>
      </c>
      <c r="EG1811" t="s">
        <v>198</v>
      </c>
      <c r="EQ1811" t="s">
        <v>198</v>
      </c>
      <c r="FA1811" t="s">
        <v>198</v>
      </c>
      <c r="FK1811" t="s">
        <v>198</v>
      </c>
      <c r="FU1811" t="s">
        <v>198</v>
      </c>
    </row>
    <row r="1812" spans="1:177">
      <c r="A1812" s="1" t="str">
        <f>HYPERLINK("http://digipan.lumentumllc.com/apps/getLink/index.php?t=PropLink&amp;p=5248250","PL")</f>
        <v>PL</v>
      </c>
      <c r="B1812" s="1" t="str">
        <f>HYPERLINK("http://digipan.lumentumllc.com/apps/getLink/index.php?t=TaxLink&amp;p=5248250","TL")</f>
        <v>TL</v>
      </c>
      <c r="C1812" s="1" t="str">
        <f>HYPERLINK("http://digipan.lumentumllc.com/apps/getMap/index.php?p=5248250","Map")</f>
        <v>Map</v>
      </c>
      <c r="E1812" t="s">
        <v>177</v>
      </c>
      <c r="F1812" t="s">
        <v>178</v>
      </c>
      <c r="L1812" t="s">
        <v>22024</v>
      </c>
      <c r="N1812" t="s">
        <v>22024</v>
      </c>
      <c r="O1812" t="s">
        <v>22024</v>
      </c>
      <c r="P1812" t="s">
        <v>22025</v>
      </c>
      <c r="Q1812" t="s">
        <v>22024</v>
      </c>
      <c r="V1812">
        <v>2065</v>
      </c>
      <c r="W1812">
        <v>7</v>
      </c>
      <c r="X1812">
        <v>2017</v>
      </c>
      <c r="Y1812">
        <v>2018</v>
      </c>
      <c r="Z1812">
        <v>763.45</v>
      </c>
      <c r="AB1812" t="s">
        <v>181</v>
      </c>
      <c r="AC1812" t="s">
        <v>182</v>
      </c>
      <c r="AD1812" t="s">
        <v>183</v>
      </c>
      <c r="AE1812">
        <v>1</v>
      </c>
      <c r="AF1812">
        <v>5</v>
      </c>
      <c r="AG1812" t="s">
        <v>951</v>
      </c>
      <c r="AH1812">
        <v>80</v>
      </c>
      <c r="AI1812">
        <v>742.92</v>
      </c>
      <c r="AJ1812">
        <v>37.15</v>
      </c>
      <c r="AK1812">
        <v>780.07</v>
      </c>
      <c r="AL1812">
        <v>108258</v>
      </c>
      <c r="AM1812">
        <v>28000</v>
      </c>
      <c r="AN1812">
        <v>80258</v>
      </c>
      <c r="AO1812">
        <v>662</v>
      </c>
      <c r="AP1812">
        <v>2016</v>
      </c>
      <c r="AQ1812">
        <v>0.71</v>
      </c>
      <c r="AR1812">
        <v>0.72</v>
      </c>
      <c r="AS1812" t="s">
        <v>22026</v>
      </c>
      <c r="AT1812" t="s">
        <v>3210</v>
      </c>
      <c r="AU1812" t="s">
        <v>177</v>
      </c>
      <c r="AV1812" t="s">
        <v>2334</v>
      </c>
      <c r="AW1812" t="s">
        <v>202</v>
      </c>
      <c r="AX1812">
        <v>1</v>
      </c>
      <c r="AY1812" t="s">
        <v>188</v>
      </c>
      <c r="AZ1812" t="s">
        <v>206</v>
      </c>
      <c r="BA1812" t="s">
        <v>355</v>
      </c>
      <c r="BB1812" t="s">
        <v>191</v>
      </c>
      <c r="BC1812" t="s">
        <v>182</v>
      </c>
      <c r="BD1812" t="s">
        <v>182</v>
      </c>
      <c r="BE1812" t="s">
        <v>15971</v>
      </c>
      <c r="BF1812">
        <v>1</v>
      </c>
      <c r="BG1812">
        <v>1</v>
      </c>
      <c r="BH1812">
        <v>1972</v>
      </c>
      <c r="BI1812" t="s">
        <v>2199</v>
      </c>
      <c r="BJ1812" t="s">
        <v>194</v>
      </c>
      <c r="BK1812" t="s">
        <v>195</v>
      </c>
      <c r="BL1812" t="s">
        <v>199</v>
      </c>
      <c r="BM1812" t="s">
        <v>1003</v>
      </c>
      <c r="BN1812" t="s">
        <v>182</v>
      </c>
      <c r="BO1812" t="s">
        <v>198</v>
      </c>
      <c r="BP1812" t="s">
        <v>198</v>
      </c>
      <c r="BQ1812" t="s">
        <v>198</v>
      </c>
      <c r="BR1812" t="s">
        <v>198</v>
      </c>
      <c r="BS1812" t="s">
        <v>198</v>
      </c>
      <c r="BT1812" t="s">
        <v>198</v>
      </c>
      <c r="BU1812" t="s">
        <v>182</v>
      </c>
      <c r="BV1812" t="s">
        <v>198</v>
      </c>
      <c r="BW1812" t="s">
        <v>198</v>
      </c>
      <c r="BX1812" t="s">
        <v>199</v>
      </c>
      <c r="BY1812" t="s">
        <v>198</v>
      </c>
      <c r="BZ1812" t="s">
        <v>199</v>
      </c>
      <c r="CA1812" t="s">
        <v>199</v>
      </c>
      <c r="CB1812" t="s">
        <v>22027</v>
      </c>
      <c r="CC1812" t="s">
        <v>201</v>
      </c>
      <c r="CD1812" t="s">
        <v>182</v>
      </c>
      <c r="CE1812" t="s">
        <v>22028</v>
      </c>
      <c r="CF1812" t="s">
        <v>2333</v>
      </c>
      <c r="CG1812" t="s">
        <v>177</v>
      </c>
      <c r="CH1812" t="s">
        <v>2334</v>
      </c>
      <c r="CI1812" t="s">
        <v>22029</v>
      </c>
      <c r="CJ1812" t="s">
        <v>11779</v>
      </c>
      <c r="CK1812" t="s">
        <v>232</v>
      </c>
      <c r="CL1812" t="s">
        <v>233</v>
      </c>
      <c r="CM1812" t="s">
        <v>22030</v>
      </c>
      <c r="CN1812" t="s">
        <v>235</v>
      </c>
      <c r="CO1812" t="s">
        <v>183</v>
      </c>
      <c r="CP1812" t="s">
        <v>266</v>
      </c>
      <c r="CS1812" t="s">
        <v>198</v>
      </c>
      <c r="CT1812" t="s">
        <v>6574</v>
      </c>
      <c r="CU1812" t="s">
        <v>267</v>
      </c>
      <c r="CV1812" t="s">
        <v>268</v>
      </c>
      <c r="CW1812" t="s">
        <v>22031</v>
      </c>
      <c r="CX1812" t="s">
        <v>235</v>
      </c>
      <c r="CY1812" t="s">
        <v>183</v>
      </c>
      <c r="CZ1812" t="s">
        <v>211</v>
      </c>
      <c r="DA1812" t="s">
        <v>329</v>
      </c>
      <c r="DC1812" t="s">
        <v>1645</v>
      </c>
      <c r="DD1812" t="s">
        <v>22032</v>
      </c>
      <c r="DE1812" t="s">
        <v>273</v>
      </c>
      <c r="DF1812" t="s">
        <v>274</v>
      </c>
      <c r="DG1812" t="s">
        <v>22033</v>
      </c>
      <c r="DH1812" t="s">
        <v>235</v>
      </c>
      <c r="DI1812" t="s">
        <v>183</v>
      </c>
      <c r="DJ1812" t="s">
        <v>211</v>
      </c>
      <c r="DK1812" t="s">
        <v>199</v>
      </c>
      <c r="DM1812" t="s">
        <v>9175</v>
      </c>
      <c r="DN1812" t="s">
        <v>18720</v>
      </c>
      <c r="DO1812" t="s">
        <v>238</v>
      </c>
      <c r="DP1812" t="s">
        <v>239</v>
      </c>
      <c r="DQ1812" t="s">
        <v>22034</v>
      </c>
      <c r="DR1812" t="s">
        <v>235</v>
      </c>
      <c r="DS1812" t="s">
        <v>183</v>
      </c>
      <c r="DT1812" t="s">
        <v>211</v>
      </c>
      <c r="DU1812" t="s">
        <v>270</v>
      </c>
      <c r="DW1812" t="s">
        <v>22035</v>
      </c>
      <c r="DX1812" t="s">
        <v>22036</v>
      </c>
      <c r="DY1812" t="s">
        <v>346</v>
      </c>
      <c r="DZ1812" t="s">
        <v>347</v>
      </c>
      <c r="EA1812" t="s">
        <v>22037</v>
      </c>
      <c r="EB1812" t="s">
        <v>331</v>
      </c>
      <c r="EC1812" t="s">
        <v>183</v>
      </c>
      <c r="ED1812" t="s">
        <v>211</v>
      </c>
      <c r="EE1812" t="s">
        <v>298</v>
      </c>
      <c r="EG1812" t="s">
        <v>1100</v>
      </c>
      <c r="EH1812" t="s">
        <v>22038</v>
      </c>
      <c r="EI1812" t="s">
        <v>207</v>
      </c>
      <c r="EJ1812" t="s">
        <v>208</v>
      </c>
      <c r="EK1812" t="s">
        <v>22039</v>
      </c>
      <c r="EL1812" t="s">
        <v>688</v>
      </c>
      <c r="EM1812" t="s">
        <v>183</v>
      </c>
      <c r="EN1812" t="s">
        <v>211</v>
      </c>
      <c r="EO1812" t="s">
        <v>298</v>
      </c>
      <c r="EQ1812" t="s">
        <v>1167</v>
      </c>
      <c r="FA1812" t="s">
        <v>198</v>
      </c>
      <c r="FK1812" t="s">
        <v>198</v>
      </c>
      <c r="FU1812" t="s">
        <v>198</v>
      </c>
    </row>
    <row r="1813" spans="1:177">
      <c r="A1813" s="1" t="str">
        <f>HYPERLINK("http://digipan.lumentumllc.com/apps/getLink/index.php?t=PropLink&amp;p=15760999","PL")</f>
        <v>PL</v>
      </c>
      <c r="B1813" s="1" t="str">
        <f>HYPERLINK("http://digipan.lumentumllc.com/apps/getLink/index.php?t=TaxLink&amp;p=15760999","TL")</f>
        <v>TL</v>
      </c>
      <c r="C1813" s="1" t="str">
        <f>HYPERLINK("http://digipan.lumentumllc.com/apps/getMap/index.php?p=15760999","Map")</f>
        <v>Map</v>
      </c>
      <c r="E1813" t="s">
        <v>177</v>
      </c>
      <c r="F1813" t="s">
        <v>178</v>
      </c>
      <c r="L1813" t="s">
        <v>22040</v>
      </c>
      <c r="N1813" t="s">
        <v>22040</v>
      </c>
      <c r="O1813" t="s">
        <v>22040</v>
      </c>
      <c r="Q1813" t="s">
        <v>22040</v>
      </c>
      <c r="V1813">
        <v>2066</v>
      </c>
      <c r="W1813">
        <v>7</v>
      </c>
      <c r="X1813">
        <v>2017</v>
      </c>
      <c r="Y1813">
        <v>2018</v>
      </c>
      <c r="Z1813">
        <v>1884.24</v>
      </c>
      <c r="AG1813" t="s">
        <v>184</v>
      </c>
      <c r="AH1813">
        <v>0</v>
      </c>
      <c r="AK1813">
        <v>0</v>
      </c>
      <c r="AL1813">
        <v>164297</v>
      </c>
      <c r="AM1813">
        <v>28000</v>
      </c>
      <c r="AN1813">
        <v>136297</v>
      </c>
      <c r="AO1813">
        <v>1691</v>
      </c>
      <c r="AP1813">
        <v>2016</v>
      </c>
      <c r="AQ1813">
        <v>1.1499999999999999</v>
      </c>
      <c r="AS1813" t="s">
        <v>22041</v>
      </c>
      <c r="AT1813" t="s">
        <v>3210</v>
      </c>
      <c r="AU1813" t="s">
        <v>177</v>
      </c>
      <c r="AV1813" t="s">
        <v>2334</v>
      </c>
      <c r="AW1813" t="s">
        <v>202</v>
      </c>
      <c r="AX1813">
        <v>1</v>
      </c>
      <c r="AY1813" t="s">
        <v>188</v>
      </c>
      <c r="AZ1813" t="s">
        <v>206</v>
      </c>
      <c r="BA1813" t="s">
        <v>355</v>
      </c>
      <c r="BB1813" t="s">
        <v>191</v>
      </c>
      <c r="BC1813" t="s">
        <v>182</v>
      </c>
      <c r="BD1813" t="s">
        <v>182</v>
      </c>
      <c r="BE1813" t="s">
        <v>6557</v>
      </c>
      <c r="BF1813">
        <v>1</v>
      </c>
      <c r="BG1813">
        <v>1</v>
      </c>
      <c r="BH1813">
        <v>2000</v>
      </c>
      <c r="BI1813" t="s">
        <v>18325</v>
      </c>
      <c r="BJ1813" t="s">
        <v>194</v>
      </c>
      <c r="BK1813" t="s">
        <v>195</v>
      </c>
      <c r="BL1813" t="s">
        <v>199</v>
      </c>
      <c r="BM1813" t="s">
        <v>501</v>
      </c>
      <c r="BN1813" t="s">
        <v>182</v>
      </c>
      <c r="BO1813" t="s">
        <v>5326</v>
      </c>
      <c r="BP1813" t="s">
        <v>4714</v>
      </c>
      <c r="BQ1813" t="s">
        <v>1285</v>
      </c>
      <c r="BR1813" t="s">
        <v>582</v>
      </c>
      <c r="BS1813" t="s">
        <v>198</v>
      </c>
      <c r="BT1813" t="s">
        <v>22042</v>
      </c>
      <c r="BU1813" t="s">
        <v>182</v>
      </c>
      <c r="BV1813" t="s">
        <v>198</v>
      </c>
      <c r="BW1813" t="s">
        <v>198</v>
      </c>
      <c r="BX1813" t="s">
        <v>199</v>
      </c>
      <c r="BY1813" t="s">
        <v>198</v>
      </c>
      <c r="BZ1813" t="s">
        <v>199</v>
      </c>
      <c r="CA1813" t="s">
        <v>199</v>
      </c>
      <c r="CB1813" t="s">
        <v>22043</v>
      </c>
      <c r="CC1813" t="s">
        <v>201</v>
      </c>
      <c r="CD1813" t="s">
        <v>182</v>
      </c>
      <c r="CE1813" t="s">
        <v>22044</v>
      </c>
      <c r="CF1813" t="s">
        <v>2333</v>
      </c>
      <c r="CG1813" t="s">
        <v>177</v>
      </c>
      <c r="CH1813" t="s">
        <v>3178</v>
      </c>
      <c r="CI1813" t="s">
        <v>4843</v>
      </c>
      <c r="CS1813" t="s">
        <v>198</v>
      </c>
      <c r="DC1813" t="s">
        <v>198</v>
      </c>
      <c r="DM1813" t="s">
        <v>198</v>
      </c>
      <c r="DW1813" t="s">
        <v>198</v>
      </c>
      <c r="EG1813" t="s">
        <v>198</v>
      </c>
      <c r="EQ1813" t="s">
        <v>198</v>
      </c>
      <c r="FA1813" t="s">
        <v>198</v>
      </c>
      <c r="FK1813" t="s">
        <v>198</v>
      </c>
      <c r="FU1813" t="s">
        <v>198</v>
      </c>
    </row>
    <row r="1814" spans="1:177">
      <c r="A1814" s="1" t="str">
        <f>HYPERLINK("http://digipan.lumentumllc.com/apps/getLink/index.php?t=PropLink&amp;p=7112592","PL")</f>
        <v>PL</v>
      </c>
      <c r="B1814" s="1" t="str">
        <f>HYPERLINK("http://digipan.lumentumllc.com/apps/getLink/index.php?t=TaxLink&amp;p=7112592","TL")</f>
        <v>TL</v>
      </c>
      <c r="C1814" s="1" t="str">
        <f>HYPERLINK("http://digipan.lumentumllc.com/apps/getMap/index.php?p=7112592","Map")</f>
        <v>Map</v>
      </c>
      <c r="E1814" t="s">
        <v>177</v>
      </c>
      <c r="F1814" t="s">
        <v>178</v>
      </c>
      <c r="L1814" t="s">
        <v>22045</v>
      </c>
      <c r="N1814" t="s">
        <v>22045</v>
      </c>
      <c r="O1814" t="s">
        <v>22045</v>
      </c>
      <c r="P1814" t="s">
        <v>22046</v>
      </c>
      <c r="Q1814" t="s">
        <v>22045</v>
      </c>
      <c r="V1814">
        <v>2067</v>
      </c>
      <c r="W1814">
        <v>7</v>
      </c>
      <c r="X1814">
        <v>2017</v>
      </c>
      <c r="Y1814">
        <v>2018</v>
      </c>
      <c r="Z1814">
        <v>1662.99</v>
      </c>
      <c r="AB1814" t="s">
        <v>181</v>
      </c>
      <c r="AC1814" t="s">
        <v>182</v>
      </c>
      <c r="AD1814" t="s">
        <v>183</v>
      </c>
      <c r="AE1814">
        <v>1</v>
      </c>
      <c r="AF1814">
        <v>1</v>
      </c>
      <c r="AG1814" t="s">
        <v>2222</v>
      </c>
      <c r="AH1814">
        <v>50</v>
      </c>
      <c r="AI1814">
        <v>762.19</v>
      </c>
      <c r="AJ1814">
        <v>38.11</v>
      </c>
      <c r="AK1814">
        <v>800.3</v>
      </c>
      <c r="AL1814">
        <v>99617</v>
      </c>
      <c r="AM1814">
        <v>25000</v>
      </c>
      <c r="AN1814">
        <v>74617</v>
      </c>
      <c r="AO1814">
        <v>680</v>
      </c>
      <c r="AP1814">
        <v>2016</v>
      </c>
      <c r="AQ1814">
        <v>1.67</v>
      </c>
      <c r="AR1814">
        <v>0.8</v>
      </c>
      <c r="AS1814" t="s">
        <v>22047</v>
      </c>
      <c r="AT1814" t="s">
        <v>3210</v>
      </c>
      <c r="AU1814" t="s">
        <v>177</v>
      </c>
      <c r="AV1814" t="s">
        <v>2334</v>
      </c>
      <c r="AW1814" t="s">
        <v>182</v>
      </c>
      <c r="AX1814">
        <v>1</v>
      </c>
      <c r="AY1814" t="s">
        <v>188</v>
      </c>
      <c r="AZ1814" t="s">
        <v>206</v>
      </c>
      <c r="BA1814" t="s">
        <v>355</v>
      </c>
      <c r="BB1814" t="s">
        <v>191</v>
      </c>
      <c r="BC1814" t="s">
        <v>182</v>
      </c>
      <c r="BD1814" t="s">
        <v>182</v>
      </c>
      <c r="BE1814" t="s">
        <v>383</v>
      </c>
      <c r="BF1814">
        <v>1</v>
      </c>
      <c r="BG1814">
        <v>1</v>
      </c>
      <c r="BH1814">
        <v>1974</v>
      </c>
      <c r="BI1814" t="s">
        <v>7189</v>
      </c>
      <c r="BJ1814" t="s">
        <v>194</v>
      </c>
      <c r="BK1814" t="s">
        <v>195</v>
      </c>
      <c r="BL1814" t="s">
        <v>2801</v>
      </c>
      <c r="BM1814" t="s">
        <v>197</v>
      </c>
      <c r="BN1814" t="s">
        <v>182</v>
      </c>
      <c r="BO1814" t="s">
        <v>22048</v>
      </c>
      <c r="BP1814" t="s">
        <v>22049</v>
      </c>
      <c r="BR1814" t="s">
        <v>2318</v>
      </c>
      <c r="BS1814" t="s">
        <v>22050</v>
      </c>
      <c r="BT1814" t="s">
        <v>198</v>
      </c>
      <c r="BU1814" t="s">
        <v>182</v>
      </c>
      <c r="BV1814" t="s">
        <v>198</v>
      </c>
      <c r="BW1814" t="s">
        <v>198</v>
      </c>
      <c r="BX1814" t="s">
        <v>199</v>
      </c>
      <c r="BY1814" t="s">
        <v>198</v>
      </c>
      <c r="BZ1814" t="s">
        <v>199</v>
      </c>
      <c r="CA1814" t="s">
        <v>199</v>
      </c>
      <c r="CB1814" t="s">
        <v>22051</v>
      </c>
      <c r="CC1814" t="s">
        <v>201</v>
      </c>
      <c r="CD1814" t="s">
        <v>202</v>
      </c>
      <c r="CE1814" t="s">
        <v>22052</v>
      </c>
      <c r="CF1814" t="s">
        <v>2333</v>
      </c>
      <c r="CG1814" t="s">
        <v>177</v>
      </c>
      <c r="CH1814" t="s">
        <v>2334</v>
      </c>
      <c r="CI1814" t="s">
        <v>4843</v>
      </c>
      <c r="CJ1814" t="s">
        <v>11791</v>
      </c>
      <c r="CK1814" t="s">
        <v>232</v>
      </c>
      <c r="CL1814" t="s">
        <v>233</v>
      </c>
      <c r="CM1814" t="s">
        <v>22053</v>
      </c>
      <c r="CN1814" t="s">
        <v>235</v>
      </c>
      <c r="CO1814" t="s">
        <v>183</v>
      </c>
      <c r="CP1814" t="s">
        <v>266</v>
      </c>
      <c r="CS1814" t="s">
        <v>198</v>
      </c>
      <c r="CT1814" t="s">
        <v>1080</v>
      </c>
      <c r="CU1814" t="s">
        <v>292</v>
      </c>
      <c r="CV1814" t="s">
        <v>293</v>
      </c>
      <c r="CW1814" t="s">
        <v>22054</v>
      </c>
      <c r="CX1814" t="s">
        <v>235</v>
      </c>
      <c r="CY1814" t="s">
        <v>183</v>
      </c>
      <c r="CZ1814" t="s">
        <v>211</v>
      </c>
      <c r="DA1814" t="s">
        <v>212</v>
      </c>
      <c r="DC1814" t="s">
        <v>10445</v>
      </c>
      <c r="DM1814" t="s">
        <v>198</v>
      </c>
      <c r="DW1814" t="s">
        <v>198</v>
      </c>
      <c r="EG1814" t="s">
        <v>198</v>
      </c>
      <c r="EQ1814" t="s">
        <v>198</v>
      </c>
      <c r="FA1814" t="s">
        <v>198</v>
      </c>
      <c r="FK1814" t="s">
        <v>198</v>
      </c>
      <c r="FU1814" t="s">
        <v>198</v>
      </c>
    </row>
    <row r="1815" spans="1:177">
      <c r="A1815" s="1" t="str">
        <f>HYPERLINK("http://digipan.lumentumllc.com/apps/getLink/index.php?t=PropLink&amp;p=15761060","PL")</f>
        <v>PL</v>
      </c>
      <c r="B1815" s="1" t="str">
        <f>HYPERLINK("http://digipan.lumentumllc.com/apps/getLink/index.php?t=TaxLink&amp;p=15761060","TL")</f>
        <v>TL</v>
      </c>
      <c r="C1815" s="1" t="str">
        <f>HYPERLINK("http://digipan.lumentumllc.com/apps/getMap/index.php?p=15761060","Map")</f>
        <v>Map</v>
      </c>
      <c r="E1815" t="s">
        <v>177</v>
      </c>
      <c r="F1815" t="s">
        <v>178</v>
      </c>
      <c r="L1815" t="s">
        <v>22055</v>
      </c>
      <c r="N1815" t="s">
        <v>22055</v>
      </c>
      <c r="O1815" t="s">
        <v>22055</v>
      </c>
      <c r="Q1815" t="s">
        <v>22055</v>
      </c>
      <c r="V1815">
        <v>2068</v>
      </c>
      <c r="W1815">
        <v>7</v>
      </c>
      <c r="X1815">
        <v>2017</v>
      </c>
      <c r="Y1815">
        <v>2018</v>
      </c>
      <c r="Z1815">
        <v>1405.95</v>
      </c>
      <c r="AB1815" t="s">
        <v>181</v>
      </c>
      <c r="AC1815" t="s">
        <v>182</v>
      </c>
      <c r="AD1815" t="s">
        <v>183</v>
      </c>
      <c r="AE1815">
        <v>0</v>
      </c>
      <c r="AF1815">
        <v>1</v>
      </c>
      <c r="AG1815" t="s">
        <v>821</v>
      </c>
      <c r="AH1815">
        <v>100</v>
      </c>
      <c r="AK1815">
        <v>0</v>
      </c>
      <c r="AL1815">
        <v>83917</v>
      </c>
      <c r="AM1815">
        <v>25000</v>
      </c>
      <c r="AN1815">
        <v>58917</v>
      </c>
      <c r="AO1815">
        <v>1294</v>
      </c>
      <c r="AP1815">
        <v>2016</v>
      </c>
      <c r="AQ1815">
        <v>1.68</v>
      </c>
      <c r="AS1815" t="s">
        <v>22056</v>
      </c>
      <c r="AT1815" t="s">
        <v>3210</v>
      </c>
      <c r="AU1815" t="s">
        <v>177</v>
      </c>
      <c r="AV1815" t="s">
        <v>2334</v>
      </c>
      <c r="AW1815" t="s">
        <v>182</v>
      </c>
      <c r="AX1815">
        <v>1</v>
      </c>
      <c r="AY1815" t="s">
        <v>188</v>
      </c>
      <c r="AZ1815" t="s">
        <v>206</v>
      </c>
      <c r="BA1815" t="s">
        <v>355</v>
      </c>
      <c r="BB1815" t="s">
        <v>191</v>
      </c>
      <c r="BC1815" t="s">
        <v>182</v>
      </c>
      <c r="BD1815" t="s">
        <v>182</v>
      </c>
      <c r="BE1815" t="s">
        <v>383</v>
      </c>
      <c r="BF1815">
        <v>1</v>
      </c>
      <c r="BG1815">
        <v>1</v>
      </c>
      <c r="BH1815">
        <v>1973</v>
      </c>
      <c r="BI1815" t="s">
        <v>517</v>
      </c>
      <c r="BJ1815" t="s">
        <v>194</v>
      </c>
      <c r="BK1815" t="s">
        <v>195</v>
      </c>
      <c r="BL1815" t="s">
        <v>22057</v>
      </c>
      <c r="BM1815" t="s">
        <v>232</v>
      </c>
      <c r="BN1815" t="s">
        <v>182</v>
      </c>
      <c r="BO1815" t="s">
        <v>198</v>
      </c>
      <c r="BP1815" t="s">
        <v>198</v>
      </c>
      <c r="BQ1815" t="s">
        <v>198</v>
      </c>
      <c r="BR1815" t="s">
        <v>198</v>
      </c>
      <c r="BS1815" t="s">
        <v>198</v>
      </c>
      <c r="BT1815" t="s">
        <v>198</v>
      </c>
      <c r="BU1815" t="s">
        <v>182</v>
      </c>
      <c r="BV1815" t="s">
        <v>198</v>
      </c>
      <c r="BW1815" t="s">
        <v>198</v>
      </c>
      <c r="BX1815" t="s">
        <v>199</v>
      </c>
      <c r="BY1815" t="s">
        <v>198</v>
      </c>
      <c r="BZ1815" t="s">
        <v>199</v>
      </c>
      <c r="CA1815" t="s">
        <v>199</v>
      </c>
      <c r="CB1815" t="s">
        <v>22058</v>
      </c>
      <c r="CC1815" t="s">
        <v>201</v>
      </c>
      <c r="CD1815" t="s">
        <v>202</v>
      </c>
      <c r="CE1815" t="s">
        <v>22059</v>
      </c>
      <c r="CF1815" t="s">
        <v>2333</v>
      </c>
      <c r="CG1815" t="s">
        <v>177</v>
      </c>
      <c r="CH1815" t="s">
        <v>2334</v>
      </c>
      <c r="CI1815" t="s">
        <v>22060</v>
      </c>
      <c r="CJ1815" t="s">
        <v>21084</v>
      </c>
      <c r="CK1815" t="s">
        <v>232</v>
      </c>
      <c r="CL1815" t="s">
        <v>233</v>
      </c>
      <c r="CM1815" t="s">
        <v>22061</v>
      </c>
      <c r="CN1815" t="s">
        <v>235</v>
      </c>
      <c r="CO1815" t="s">
        <v>183</v>
      </c>
      <c r="CP1815" t="s">
        <v>211</v>
      </c>
      <c r="CQ1815" t="s">
        <v>342</v>
      </c>
      <c r="CS1815" t="s">
        <v>20934</v>
      </c>
      <c r="DC1815" t="s">
        <v>198</v>
      </c>
      <c r="DM1815" t="s">
        <v>198</v>
      </c>
      <c r="DW1815" t="s">
        <v>198</v>
      </c>
      <c r="EG1815" t="s">
        <v>198</v>
      </c>
      <c r="EQ1815" t="s">
        <v>198</v>
      </c>
      <c r="FA1815" t="s">
        <v>198</v>
      </c>
      <c r="FK1815" t="s">
        <v>198</v>
      </c>
      <c r="FU1815" t="s">
        <v>198</v>
      </c>
    </row>
    <row r="1816" spans="1:177">
      <c r="A1816" s="1" t="str">
        <f>HYPERLINK("http://digipan.lumentumllc.com/apps/getLink/index.php?t=PropLink&amp;p=15761397","PL")</f>
        <v>PL</v>
      </c>
      <c r="B1816" s="1" t="str">
        <f>HYPERLINK("http://digipan.lumentumllc.com/apps/getLink/index.php?t=TaxLink&amp;p=15761397","TL")</f>
        <v>TL</v>
      </c>
      <c r="C1816" s="1" t="str">
        <f>HYPERLINK("http://digipan.lumentumllc.com/apps/getMap/index.php?p=15761397","Map")</f>
        <v>Map</v>
      </c>
      <c r="E1816" t="s">
        <v>177</v>
      </c>
      <c r="F1816" t="s">
        <v>178</v>
      </c>
      <c r="L1816" t="s">
        <v>22062</v>
      </c>
      <c r="N1816" t="s">
        <v>22062</v>
      </c>
      <c r="O1816" t="s">
        <v>22062</v>
      </c>
      <c r="Q1816" t="s">
        <v>22062</v>
      </c>
      <c r="V1816">
        <v>2069</v>
      </c>
      <c r="W1816">
        <v>7</v>
      </c>
      <c r="X1816">
        <v>2017</v>
      </c>
      <c r="Y1816">
        <v>2018</v>
      </c>
      <c r="Z1816">
        <v>1515.48</v>
      </c>
      <c r="AG1816" t="s">
        <v>184</v>
      </c>
      <c r="AH1816">
        <v>0</v>
      </c>
      <c r="AK1816">
        <v>0</v>
      </c>
      <c r="AL1816">
        <v>90608</v>
      </c>
      <c r="AM1816">
        <v>20000</v>
      </c>
      <c r="AN1816">
        <v>70608</v>
      </c>
      <c r="AO1816">
        <v>1411</v>
      </c>
      <c r="AP1816">
        <v>2016</v>
      </c>
      <c r="AQ1816">
        <v>1.67</v>
      </c>
      <c r="AS1816" t="s">
        <v>22063</v>
      </c>
      <c r="AT1816" t="s">
        <v>3210</v>
      </c>
      <c r="AU1816" t="s">
        <v>177</v>
      </c>
      <c r="AV1816" t="s">
        <v>2334</v>
      </c>
      <c r="AW1816" t="s">
        <v>182</v>
      </c>
      <c r="AX1816">
        <v>1</v>
      </c>
      <c r="AY1816" t="s">
        <v>188</v>
      </c>
      <c r="AZ1816" t="s">
        <v>206</v>
      </c>
      <c r="BA1816" t="s">
        <v>355</v>
      </c>
      <c r="BB1816" t="s">
        <v>191</v>
      </c>
      <c r="BC1816" t="s">
        <v>182</v>
      </c>
      <c r="BD1816" t="s">
        <v>182</v>
      </c>
      <c r="BE1816" t="s">
        <v>6618</v>
      </c>
      <c r="BF1816">
        <v>1</v>
      </c>
      <c r="BG1816">
        <v>1</v>
      </c>
      <c r="BH1816">
        <v>1974</v>
      </c>
      <c r="BI1816" t="s">
        <v>5043</v>
      </c>
      <c r="BJ1816" t="s">
        <v>194</v>
      </c>
      <c r="BK1816" t="s">
        <v>195</v>
      </c>
      <c r="BL1816" t="s">
        <v>6286</v>
      </c>
      <c r="BM1816" t="s">
        <v>232</v>
      </c>
      <c r="BN1816" t="s">
        <v>182</v>
      </c>
      <c r="BO1816" t="s">
        <v>1855</v>
      </c>
      <c r="BP1816" t="s">
        <v>22064</v>
      </c>
      <c r="BQ1816" t="s">
        <v>800</v>
      </c>
      <c r="BR1816" t="s">
        <v>2318</v>
      </c>
      <c r="BS1816" t="s">
        <v>198</v>
      </c>
      <c r="BT1816" t="s">
        <v>22065</v>
      </c>
      <c r="BU1816" t="s">
        <v>182</v>
      </c>
      <c r="BV1816" t="s">
        <v>198</v>
      </c>
      <c r="BW1816" t="s">
        <v>198</v>
      </c>
      <c r="BX1816" t="s">
        <v>199</v>
      </c>
      <c r="BY1816" t="s">
        <v>198</v>
      </c>
      <c r="BZ1816" t="s">
        <v>199</v>
      </c>
      <c r="CA1816" t="s">
        <v>199</v>
      </c>
      <c r="CB1816" t="s">
        <v>22066</v>
      </c>
      <c r="CC1816" t="s">
        <v>201</v>
      </c>
      <c r="CD1816" t="s">
        <v>202</v>
      </c>
      <c r="CE1816" t="s">
        <v>22067</v>
      </c>
      <c r="CF1816" t="s">
        <v>19320</v>
      </c>
      <c r="CG1816" t="s">
        <v>177</v>
      </c>
      <c r="CH1816" t="s">
        <v>19321</v>
      </c>
      <c r="CI1816" t="s">
        <v>22068</v>
      </c>
      <c r="CS1816" t="s">
        <v>198</v>
      </c>
      <c r="DC1816" t="s">
        <v>198</v>
      </c>
      <c r="DM1816" t="s">
        <v>198</v>
      </c>
      <c r="DW1816" t="s">
        <v>198</v>
      </c>
      <c r="EG1816" t="s">
        <v>198</v>
      </c>
      <c r="EQ1816" t="s">
        <v>198</v>
      </c>
      <c r="FA1816" t="s">
        <v>198</v>
      </c>
      <c r="FK1816" t="s">
        <v>198</v>
      </c>
      <c r="FU1816" t="s">
        <v>198</v>
      </c>
    </row>
    <row r="1817" spans="1:177">
      <c r="A1817" s="1" t="str">
        <f>HYPERLINK("http://digipan.lumentumllc.com/apps/getLink/index.php?t=PropLink&amp;p=15761540","PL")</f>
        <v>PL</v>
      </c>
      <c r="B1817" s="1" t="str">
        <f>HYPERLINK("http://digipan.lumentumllc.com/apps/getLink/index.php?t=TaxLink&amp;p=15761540","TL")</f>
        <v>TL</v>
      </c>
      <c r="C1817" s="1" t="str">
        <f>HYPERLINK("http://digipan.lumentumllc.com/apps/getMap/index.php?p=15761540","Map")</f>
        <v>Map</v>
      </c>
      <c r="E1817" t="s">
        <v>177</v>
      </c>
      <c r="F1817" t="s">
        <v>178</v>
      </c>
      <c r="L1817" t="s">
        <v>22069</v>
      </c>
      <c r="N1817" t="s">
        <v>22069</v>
      </c>
      <c r="O1817" t="s">
        <v>22069</v>
      </c>
      <c r="Q1817" t="s">
        <v>22069</v>
      </c>
      <c r="V1817">
        <v>2071</v>
      </c>
      <c r="W1817">
        <v>7</v>
      </c>
      <c r="X1817">
        <v>2017</v>
      </c>
      <c r="Y1817">
        <v>2018</v>
      </c>
      <c r="Z1817">
        <v>641.5</v>
      </c>
      <c r="AB1817" t="s">
        <v>181</v>
      </c>
      <c r="AC1817" t="s">
        <v>182</v>
      </c>
      <c r="AD1817" t="s">
        <v>183</v>
      </c>
      <c r="AE1817">
        <v>1</v>
      </c>
      <c r="AF1817">
        <v>0</v>
      </c>
      <c r="AG1817" t="s">
        <v>1200</v>
      </c>
      <c r="AH1817">
        <v>0</v>
      </c>
      <c r="AI1817">
        <v>1184.76</v>
      </c>
      <c r="AJ1817">
        <v>59.24</v>
      </c>
      <c r="AK1817">
        <v>1244</v>
      </c>
      <c r="AL1817">
        <v>76331</v>
      </c>
      <c r="AM1817">
        <v>25750</v>
      </c>
      <c r="AN1817">
        <v>50581</v>
      </c>
      <c r="AO1817">
        <v>1071</v>
      </c>
      <c r="AP1817">
        <v>2016</v>
      </c>
      <c r="AQ1817">
        <v>0.84</v>
      </c>
      <c r="AR1817">
        <v>1.63</v>
      </c>
      <c r="AS1817" t="s">
        <v>22070</v>
      </c>
      <c r="AT1817" t="s">
        <v>3210</v>
      </c>
      <c r="AU1817" t="s">
        <v>177</v>
      </c>
      <c r="AV1817" t="s">
        <v>2334</v>
      </c>
      <c r="AW1817" t="s">
        <v>202</v>
      </c>
      <c r="AX1817">
        <v>2</v>
      </c>
      <c r="AY1817" t="s">
        <v>188</v>
      </c>
      <c r="AZ1817" t="s">
        <v>189</v>
      </c>
      <c r="BA1817" t="s">
        <v>190</v>
      </c>
      <c r="BB1817" t="s">
        <v>191</v>
      </c>
      <c r="BC1817" t="s">
        <v>182</v>
      </c>
      <c r="BD1817" t="s">
        <v>182</v>
      </c>
      <c r="BE1817" t="s">
        <v>1385</v>
      </c>
      <c r="BF1817">
        <v>1</v>
      </c>
      <c r="BG1817">
        <v>1</v>
      </c>
      <c r="BH1817">
        <v>1999</v>
      </c>
      <c r="BI1817" t="s">
        <v>2604</v>
      </c>
      <c r="BJ1817" t="s">
        <v>194</v>
      </c>
      <c r="BK1817" t="s">
        <v>195</v>
      </c>
      <c r="BL1817" t="s">
        <v>1720</v>
      </c>
      <c r="BM1817" t="s">
        <v>292</v>
      </c>
      <c r="BN1817" t="s">
        <v>182</v>
      </c>
      <c r="BO1817" t="s">
        <v>4995</v>
      </c>
      <c r="BP1817" t="s">
        <v>22071</v>
      </c>
      <c r="BQ1817" t="s">
        <v>2227</v>
      </c>
      <c r="BR1817" t="s">
        <v>1857</v>
      </c>
      <c r="BS1817" t="s">
        <v>198</v>
      </c>
      <c r="BT1817" t="s">
        <v>228</v>
      </c>
      <c r="BU1817" t="s">
        <v>182</v>
      </c>
      <c r="BV1817" t="s">
        <v>198</v>
      </c>
      <c r="BW1817" t="s">
        <v>198</v>
      </c>
      <c r="BX1817" t="s">
        <v>199</v>
      </c>
      <c r="BY1817" t="s">
        <v>198</v>
      </c>
      <c r="BZ1817" t="s">
        <v>199</v>
      </c>
      <c r="CA1817" t="s">
        <v>199</v>
      </c>
      <c r="CB1817" t="s">
        <v>22072</v>
      </c>
      <c r="CC1817" t="s">
        <v>201</v>
      </c>
      <c r="CD1817" t="s">
        <v>182</v>
      </c>
      <c r="CE1817" t="s">
        <v>22073</v>
      </c>
      <c r="CF1817" t="s">
        <v>2333</v>
      </c>
      <c r="CG1817" t="s">
        <v>177</v>
      </c>
      <c r="CH1817" t="s">
        <v>2334</v>
      </c>
      <c r="CI1817" t="s">
        <v>1364</v>
      </c>
      <c r="CJ1817" t="s">
        <v>5627</v>
      </c>
      <c r="CK1817" t="s">
        <v>232</v>
      </c>
      <c r="CL1817" t="s">
        <v>233</v>
      </c>
      <c r="CM1817" t="s">
        <v>22074</v>
      </c>
      <c r="CN1817" t="s">
        <v>235</v>
      </c>
      <c r="CO1817" t="s">
        <v>183</v>
      </c>
      <c r="CP1817" t="s">
        <v>266</v>
      </c>
      <c r="CS1817" t="s">
        <v>198</v>
      </c>
      <c r="DC1817" t="s">
        <v>198</v>
      </c>
      <c r="DM1817" t="s">
        <v>198</v>
      </c>
      <c r="DW1817" t="s">
        <v>198</v>
      </c>
      <c r="EG1817" t="s">
        <v>198</v>
      </c>
      <c r="EQ1817" t="s">
        <v>198</v>
      </c>
      <c r="FA1817" t="s">
        <v>198</v>
      </c>
      <c r="FK1817" t="s">
        <v>198</v>
      </c>
      <c r="FU1817" t="s">
        <v>198</v>
      </c>
    </row>
    <row r="1818" spans="1:177">
      <c r="A1818" s="1" t="str">
        <f>HYPERLINK("http://digipan.lumentumllc.com/apps/getLink/index.php?t=PropLink&amp;p=5248313","PL")</f>
        <v>PL</v>
      </c>
      <c r="B1818" s="1" t="str">
        <f>HYPERLINK("http://digipan.lumentumllc.com/apps/getLink/index.php?t=TaxLink&amp;p=5248313","TL")</f>
        <v>TL</v>
      </c>
      <c r="C1818" s="1" t="str">
        <f>HYPERLINK("http://digipan.lumentumllc.com/apps/getMap/index.php?p=5248313","Map")</f>
        <v>Map</v>
      </c>
      <c r="E1818" t="s">
        <v>177</v>
      </c>
      <c r="F1818" t="s">
        <v>178</v>
      </c>
      <c r="L1818" t="s">
        <v>22075</v>
      </c>
      <c r="N1818" t="s">
        <v>22075</v>
      </c>
      <c r="O1818" t="s">
        <v>22075</v>
      </c>
      <c r="P1818" t="s">
        <v>22076</v>
      </c>
      <c r="Q1818" t="s">
        <v>22075</v>
      </c>
      <c r="V1818">
        <v>2073</v>
      </c>
      <c r="W1818">
        <v>7</v>
      </c>
      <c r="X1818">
        <v>2017</v>
      </c>
      <c r="Y1818">
        <v>2018</v>
      </c>
      <c r="Z1818">
        <v>442.92</v>
      </c>
      <c r="AB1818" t="s">
        <v>181</v>
      </c>
      <c r="AC1818" t="s">
        <v>202</v>
      </c>
      <c r="AD1818" t="s">
        <v>183</v>
      </c>
      <c r="AE1818">
        <v>0</v>
      </c>
      <c r="AF1818">
        <v>8</v>
      </c>
      <c r="AG1818" t="s">
        <v>1059</v>
      </c>
      <c r="AH1818">
        <v>100</v>
      </c>
      <c r="AK1818">
        <v>0</v>
      </c>
      <c r="AL1818">
        <v>55699</v>
      </c>
      <c r="AM1818">
        <v>25250</v>
      </c>
      <c r="AN1818">
        <v>30449</v>
      </c>
      <c r="AO1818">
        <v>371</v>
      </c>
      <c r="AP1818">
        <v>2016</v>
      </c>
      <c r="AQ1818">
        <v>0.8</v>
      </c>
      <c r="AS1818" t="s">
        <v>22077</v>
      </c>
      <c r="AT1818" t="s">
        <v>3210</v>
      </c>
      <c r="AU1818" t="s">
        <v>177</v>
      </c>
      <c r="AV1818" t="s">
        <v>2334</v>
      </c>
      <c r="AW1818" t="s">
        <v>202</v>
      </c>
      <c r="AX1818">
        <v>2</v>
      </c>
      <c r="AY1818" t="s">
        <v>188</v>
      </c>
      <c r="AZ1818" t="s">
        <v>189</v>
      </c>
      <c r="BA1818" t="s">
        <v>190</v>
      </c>
      <c r="BB1818" t="s">
        <v>191</v>
      </c>
      <c r="BC1818" t="s">
        <v>182</v>
      </c>
      <c r="BD1818" t="s">
        <v>182</v>
      </c>
      <c r="BE1818" t="s">
        <v>899</v>
      </c>
      <c r="BF1818">
        <v>1</v>
      </c>
      <c r="BG1818">
        <v>1</v>
      </c>
      <c r="BH1818">
        <v>1995</v>
      </c>
      <c r="BI1818" t="s">
        <v>1291</v>
      </c>
      <c r="BJ1818" t="s">
        <v>194</v>
      </c>
      <c r="BK1818" t="s">
        <v>195</v>
      </c>
      <c r="BL1818" t="s">
        <v>196</v>
      </c>
      <c r="BM1818" t="s">
        <v>1332</v>
      </c>
      <c r="BN1818" t="s">
        <v>182</v>
      </c>
      <c r="BO1818" t="s">
        <v>2328</v>
      </c>
      <c r="BP1818" t="s">
        <v>22078</v>
      </c>
      <c r="BS1818" t="s">
        <v>22079</v>
      </c>
      <c r="BT1818" t="s">
        <v>198</v>
      </c>
      <c r="BU1818" t="s">
        <v>182</v>
      </c>
      <c r="BV1818" t="s">
        <v>198</v>
      </c>
      <c r="BW1818" t="s">
        <v>198</v>
      </c>
      <c r="BX1818" t="s">
        <v>199</v>
      </c>
      <c r="BY1818" t="s">
        <v>198</v>
      </c>
      <c r="BZ1818" t="s">
        <v>199</v>
      </c>
      <c r="CA1818" t="s">
        <v>199</v>
      </c>
      <c r="CB1818" t="s">
        <v>22080</v>
      </c>
      <c r="CC1818" t="s">
        <v>201</v>
      </c>
      <c r="CD1818" t="s">
        <v>202</v>
      </c>
      <c r="CE1818" t="s">
        <v>22081</v>
      </c>
      <c r="CF1818" t="s">
        <v>2333</v>
      </c>
      <c r="CG1818" t="s">
        <v>177</v>
      </c>
      <c r="CH1818" t="s">
        <v>2334</v>
      </c>
      <c r="CI1818" t="s">
        <v>4059</v>
      </c>
      <c r="CJ1818" t="s">
        <v>11855</v>
      </c>
      <c r="CK1818" t="s">
        <v>232</v>
      </c>
      <c r="CL1818" t="s">
        <v>233</v>
      </c>
      <c r="CM1818" t="s">
        <v>22082</v>
      </c>
      <c r="CN1818" t="s">
        <v>235</v>
      </c>
      <c r="CO1818" t="s">
        <v>183</v>
      </c>
      <c r="CP1818" t="s">
        <v>211</v>
      </c>
      <c r="CQ1818" t="s">
        <v>206</v>
      </c>
      <c r="CR1818" t="s">
        <v>271</v>
      </c>
      <c r="CS1818" t="s">
        <v>10327</v>
      </c>
      <c r="CT1818" t="s">
        <v>21674</v>
      </c>
      <c r="CU1818" t="s">
        <v>292</v>
      </c>
      <c r="CV1818" t="s">
        <v>293</v>
      </c>
      <c r="CW1818" t="s">
        <v>22083</v>
      </c>
      <c r="CX1818" t="s">
        <v>235</v>
      </c>
      <c r="CY1818" t="s">
        <v>183</v>
      </c>
      <c r="CZ1818" t="s">
        <v>211</v>
      </c>
      <c r="DB1818" t="s">
        <v>271</v>
      </c>
      <c r="DC1818" t="s">
        <v>198</v>
      </c>
      <c r="DD1818" t="s">
        <v>19393</v>
      </c>
      <c r="DE1818" t="s">
        <v>267</v>
      </c>
      <c r="DF1818" t="s">
        <v>268</v>
      </c>
      <c r="DG1818" t="s">
        <v>22084</v>
      </c>
      <c r="DH1818" t="s">
        <v>235</v>
      </c>
      <c r="DI1818" t="s">
        <v>183</v>
      </c>
      <c r="DJ1818" t="s">
        <v>211</v>
      </c>
      <c r="DL1818" t="s">
        <v>271</v>
      </c>
      <c r="DM1818" t="s">
        <v>198</v>
      </c>
      <c r="DN1818" t="s">
        <v>16049</v>
      </c>
      <c r="DO1818" t="s">
        <v>273</v>
      </c>
      <c r="DP1818" t="s">
        <v>274</v>
      </c>
      <c r="DQ1818" t="s">
        <v>6952</v>
      </c>
      <c r="DR1818" t="s">
        <v>235</v>
      </c>
      <c r="DS1818" t="s">
        <v>183</v>
      </c>
      <c r="DT1818" t="s">
        <v>211</v>
      </c>
      <c r="DU1818" t="s">
        <v>189</v>
      </c>
      <c r="DW1818" t="s">
        <v>14150</v>
      </c>
      <c r="DX1818" t="s">
        <v>10274</v>
      </c>
      <c r="DY1818" t="s">
        <v>302</v>
      </c>
      <c r="DZ1818" t="s">
        <v>303</v>
      </c>
      <c r="EA1818" t="s">
        <v>22085</v>
      </c>
      <c r="EB1818" t="s">
        <v>235</v>
      </c>
      <c r="EC1818" t="s">
        <v>183</v>
      </c>
      <c r="ED1818" t="s">
        <v>211</v>
      </c>
      <c r="EE1818" t="s">
        <v>460</v>
      </c>
      <c r="EG1818" t="s">
        <v>14150</v>
      </c>
      <c r="EH1818" t="s">
        <v>22086</v>
      </c>
      <c r="EI1818" t="s">
        <v>238</v>
      </c>
      <c r="EJ1818" t="s">
        <v>239</v>
      </c>
      <c r="EK1818" t="s">
        <v>22087</v>
      </c>
      <c r="EL1818" t="s">
        <v>278</v>
      </c>
      <c r="EM1818" t="s">
        <v>183</v>
      </c>
      <c r="EN1818" t="s">
        <v>211</v>
      </c>
      <c r="EO1818" t="s">
        <v>847</v>
      </c>
      <c r="EQ1818" t="s">
        <v>14150</v>
      </c>
      <c r="ER1818" t="s">
        <v>1225</v>
      </c>
      <c r="ES1818" t="s">
        <v>346</v>
      </c>
      <c r="ET1818" t="s">
        <v>347</v>
      </c>
      <c r="EU1818" t="s">
        <v>22088</v>
      </c>
      <c r="EV1818" t="s">
        <v>440</v>
      </c>
      <c r="EW1818" t="s">
        <v>183</v>
      </c>
      <c r="EX1818" t="s">
        <v>211</v>
      </c>
      <c r="EY1818" t="s">
        <v>345</v>
      </c>
      <c r="FA1818" t="s">
        <v>5179</v>
      </c>
      <c r="FB1818" t="s">
        <v>22089</v>
      </c>
      <c r="FC1818" t="s">
        <v>207</v>
      </c>
      <c r="FD1818" t="s">
        <v>208</v>
      </c>
      <c r="FE1818" t="s">
        <v>22090</v>
      </c>
      <c r="FF1818" t="s">
        <v>1966</v>
      </c>
      <c r="FG1818" t="s">
        <v>183</v>
      </c>
      <c r="FH1818" t="s">
        <v>211</v>
      </c>
      <c r="FI1818" t="s">
        <v>337</v>
      </c>
      <c r="FK1818" t="s">
        <v>2786</v>
      </c>
      <c r="FU1818" t="s">
        <v>198</v>
      </c>
    </row>
    <row r="1819" spans="1:177">
      <c r="A1819" s="1" t="str">
        <f>HYPERLINK("http://digipan.lumentumllc.com/apps/getLink/index.php?t=PropLink&amp;p=5248389","PL")</f>
        <v>PL</v>
      </c>
      <c r="B1819" s="1" t="str">
        <f>HYPERLINK("http://digipan.lumentumllc.com/apps/getLink/index.php?t=TaxLink&amp;p=5248389","TL")</f>
        <v>TL</v>
      </c>
      <c r="C1819" s="1" t="str">
        <f>HYPERLINK("http://digipan.lumentumllc.com/apps/getMap/index.php?p=5248389","Map")</f>
        <v>Map</v>
      </c>
      <c r="E1819" t="s">
        <v>177</v>
      </c>
      <c r="F1819" t="s">
        <v>178</v>
      </c>
      <c r="L1819" t="s">
        <v>22091</v>
      </c>
      <c r="N1819" t="s">
        <v>22091</v>
      </c>
      <c r="O1819" t="s">
        <v>22091</v>
      </c>
      <c r="P1819" t="s">
        <v>22092</v>
      </c>
      <c r="Q1819" t="s">
        <v>22091</v>
      </c>
      <c r="V1819">
        <v>2074</v>
      </c>
      <c r="W1819">
        <v>7</v>
      </c>
      <c r="X1819">
        <v>2017</v>
      </c>
      <c r="Y1819">
        <v>2018</v>
      </c>
      <c r="Z1819">
        <v>348.23</v>
      </c>
      <c r="AG1819" t="s">
        <v>184</v>
      </c>
      <c r="AH1819">
        <v>0</v>
      </c>
      <c r="AK1819">
        <v>0</v>
      </c>
      <c r="AL1819">
        <v>90803</v>
      </c>
      <c r="AM1819">
        <v>90803</v>
      </c>
      <c r="AN1819">
        <v>0</v>
      </c>
      <c r="AO1819">
        <v>1580</v>
      </c>
      <c r="AP1819">
        <v>2016</v>
      </c>
      <c r="AQ1819">
        <v>0.38</v>
      </c>
      <c r="AS1819" t="s">
        <v>22093</v>
      </c>
      <c r="AT1819" t="s">
        <v>3210</v>
      </c>
      <c r="AU1819" t="s">
        <v>177</v>
      </c>
      <c r="AV1819" t="s">
        <v>2334</v>
      </c>
      <c r="AW1819" t="s">
        <v>182</v>
      </c>
      <c r="AX1819">
        <v>0</v>
      </c>
      <c r="AY1819" t="s">
        <v>312</v>
      </c>
      <c r="AZ1819" t="s">
        <v>199</v>
      </c>
      <c r="BA1819" t="s">
        <v>313</v>
      </c>
      <c r="BB1819" t="s">
        <v>191</v>
      </c>
      <c r="BC1819" t="s">
        <v>182</v>
      </c>
      <c r="BD1819" t="s">
        <v>182</v>
      </c>
      <c r="BE1819" t="s">
        <v>22094</v>
      </c>
      <c r="BF1819">
        <v>0</v>
      </c>
      <c r="BG1819">
        <v>0</v>
      </c>
      <c r="BH1819">
        <v>0</v>
      </c>
      <c r="BI1819" t="s">
        <v>199</v>
      </c>
      <c r="BJ1819" t="s">
        <v>315</v>
      </c>
      <c r="BL1819" t="s">
        <v>199</v>
      </c>
      <c r="BM1819" t="s">
        <v>559</v>
      </c>
      <c r="BN1819" t="s">
        <v>182</v>
      </c>
      <c r="BO1819" t="s">
        <v>198</v>
      </c>
      <c r="BP1819" t="s">
        <v>198</v>
      </c>
      <c r="BQ1819" t="s">
        <v>198</v>
      </c>
      <c r="BR1819" t="s">
        <v>198</v>
      </c>
      <c r="BS1819" t="s">
        <v>198</v>
      </c>
      <c r="BT1819" t="s">
        <v>198</v>
      </c>
      <c r="BU1819" t="s">
        <v>182</v>
      </c>
      <c r="BV1819" t="s">
        <v>198</v>
      </c>
      <c r="BW1819" t="s">
        <v>198</v>
      </c>
      <c r="BX1819" t="s">
        <v>199</v>
      </c>
      <c r="BY1819" t="s">
        <v>198</v>
      </c>
      <c r="BZ1819" t="s">
        <v>199</v>
      </c>
      <c r="CA1819" t="s">
        <v>199</v>
      </c>
      <c r="CB1819" t="s">
        <v>22095</v>
      </c>
      <c r="CC1819" t="s">
        <v>201</v>
      </c>
      <c r="CD1819" t="s">
        <v>182</v>
      </c>
      <c r="CE1819" t="s">
        <v>22096</v>
      </c>
      <c r="CF1819" t="s">
        <v>2333</v>
      </c>
      <c r="CG1819" t="s">
        <v>177</v>
      </c>
      <c r="CH1819" t="s">
        <v>3178</v>
      </c>
      <c r="CI1819" t="s">
        <v>22097</v>
      </c>
      <c r="CS1819" t="s">
        <v>198</v>
      </c>
      <c r="DC1819" t="s">
        <v>198</v>
      </c>
      <c r="DM1819" t="s">
        <v>198</v>
      </c>
      <c r="DW1819" t="s">
        <v>198</v>
      </c>
      <c r="EG1819" t="s">
        <v>198</v>
      </c>
      <c r="EQ1819" t="s">
        <v>198</v>
      </c>
      <c r="FA1819" t="s">
        <v>198</v>
      </c>
      <c r="FK1819" t="s">
        <v>198</v>
      </c>
      <c r="FU1819" t="s">
        <v>198</v>
      </c>
    </row>
    <row r="1820" spans="1:177">
      <c r="A1820" s="1" t="str">
        <f>HYPERLINK("http://digipan.lumentumllc.com/apps/getLink/index.php?t=PropLink&amp;p=15761979","PL")</f>
        <v>PL</v>
      </c>
      <c r="B1820" s="1" t="str">
        <f>HYPERLINK("http://digipan.lumentumllc.com/apps/getLink/index.php?t=TaxLink&amp;p=15761979","TL")</f>
        <v>TL</v>
      </c>
      <c r="C1820" s="1" t="str">
        <f>HYPERLINK("http://digipan.lumentumllc.com/apps/getMap/index.php?p=15761979","Map")</f>
        <v>Map</v>
      </c>
      <c r="E1820" t="s">
        <v>177</v>
      </c>
      <c r="F1820" t="s">
        <v>178</v>
      </c>
      <c r="L1820" t="s">
        <v>22098</v>
      </c>
      <c r="N1820" t="s">
        <v>22098</v>
      </c>
      <c r="O1820" t="s">
        <v>22098</v>
      </c>
      <c r="Q1820" t="s">
        <v>22098</v>
      </c>
      <c r="V1820">
        <v>2075</v>
      </c>
      <c r="W1820">
        <v>7</v>
      </c>
      <c r="X1820">
        <v>2017</v>
      </c>
      <c r="Y1820">
        <v>2018</v>
      </c>
      <c r="Z1820">
        <v>3634.38</v>
      </c>
      <c r="AB1820" t="s">
        <v>181</v>
      </c>
      <c r="AC1820" t="s">
        <v>182</v>
      </c>
      <c r="AD1820" t="s">
        <v>183</v>
      </c>
      <c r="AE1820">
        <v>0</v>
      </c>
      <c r="AF1820">
        <v>1</v>
      </c>
      <c r="AG1820" t="s">
        <v>821</v>
      </c>
      <c r="AH1820">
        <v>100</v>
      </c>
      <c r="AK1820">
        <v>0</v>
      </c>
      <c r="AL1820">
        <v>220025</v>
      </c>
      <c r="AM1820">
        <v>220025</v>
      </c>
      <c r="AN1820">
        <v>0</v>
      </c>
      <c r="AO1820">
        <v>1919</v>
      </c>
      <c r="AP1820">
        <v>2016</v>
      </c>
      <c r="AQ1820">
        <v>1.65</v>
      </c>
      <c r="AS1820" t="s">
        <v>22099</v>
      </c>
      <c r="AT1820" t="s">
        <v>3210</v>
      </c>
      <c r="AU1820" t="s">
        <v>177</v>
      </c>
      <c r="AV1820" t="s">
        <v>2334</v>
      </c>
      <c r="AW1820" t="s">
        <v>182</v>
      </c>
      <c r="AX1820">
        <v>0</v>
      </c>
      <c r="AY1820" t="s">
        <v>312</v>
      </c>
      <c r="AZ1820" t="s">
        <v>199</v>
      </c>
      <c r="BA1820" t="s">
        <v>313</v>
      </c>
      <c r="BB1820" t="s">
        <v>191</v>
      </c>
      <c r="BC1820" t="s">
        <v>182</v>
      </c>
      <c r="BD1820" t="s">
        <v>182</v>
      </c>
      <c r="BE1820" t="s">
        <v>22100</v>
      </c>
      <c r="BF1820">
        <v>0</v>
      </c>
      <c r="BG1820">
        <v>0</v>
      </c>
      <c r="BH1820">
        <v>0</v>
      </c>
      <c r="BI1820" t="s">
        <v>199</v>
      </c>
      <c r="BJ1820" t="s">
        <v>248</v>
      </c>
      <c r="BL1820" t="s">
        <v>22101</v>
      </c>
      <c r="BM1820" t="s">
        <v>232</v>
      </c>
      <c r="BN1820" t="s">
        <v>182</v>
      </c>
      <c r="BO1820" t="s">
        <v>22102</v>
      </c>
      <c r="BP1820" t="s">
        <v>22103</v>
      </c>
      <c r="BQ1820" t="s">
        <v>226</v>
      </c>
      <c r="BR1820" t="s">
        <v>227</v>
      </c>
      <c r="BS1820" t="s">
        <v>198</v>
      </c>
      <c r="BT1820" t="s">
        <v>22104</v>
      </c>
      <c r="BU1820" t="s">
        <v>182</v>
      </c>
      <c r="BV1820" t="s">
        <v>198</v>
      </c>
      <c r="BW1820" t="s">
        <v>198</v>
      </c>
      <c r="BX1820" t="s">
        <v>199</v>
      </c>
      <c r="BY1820" t="s">
        <v>198</v>
      </c>
      <c r="BZ1820" t="s">
        <v>199</v>
      </c>
      <c r="CA1820" t="s">
        <v>199</v>
      </c>
      <c r="CB1820" t="s">
        <v>22105</v>
      </c>
      <c r="CC1820" t="s">
        <v>201</v>
      </c>
      <c r="CD1820" t="s">
        <v>202</v>
      </c>
      <c r="CE1820" t="s">
        <v>22106</v>
      </c>
      <c r="CF1820" t="s">
        <v>5331</v>
      </c>
      <c r="CG1820" t="s">
        <v>177</v>
      </c>
      <c r="CH1820" t="s">
        <v>371</v>
      </c>
      <c r="CI1820" t="s">
        <v>22107</v>
      </c>
      <c r="CJ1820" t="s">
        <v>1080</v>
      </c>
      <c r="CK1820" t="s">
        <v>232</v>
      </c>
      <c r="CL1820" t="s">
        <v>233</v>
      </c>
      <c r="CM1820" t="s">
        <v>22108</v>
      </c>
      <c r="CN1820" t="s">
        <v>235</v>
      </c>
      <c r="CO1820" t="s">
        <v>183</v>
      </c>
      <c r="CP1820" t="s">
        <v>211</v>
      </c>
      <c r="CQ1820" t="s">
        <v>270</v>
      </c>
      <c r="CS1820" t="s">
        <v>18297</v>
      </c>
      <c r="DC1820" t="s">
        <v>198</v>
      </c>
      <c r="DM1820" t="s">
        <v>198</v>
      </c>
      <c r="DW1820" t="s">
        <v>198</v>
      </c>
      <c r="EG1820" t="s">
        <v>198</v>
      </c>
      <c r="EQ1820" t="s">
        <v>198</v>
      </c>
      <c r="FA1820" t="s">
        <v>198</v>
      </c>
      <c r="FK1820" t="s">
        <v>198</v>
      </c>
      <c r="FU1820" t="s">
        <v>198</v>
      </c>
    </row>
    <row r="1821" spans="1:177">
      <c r="A1821" s="1" t="str">
        <f>HYPERLINK("http://digipan.lumentumllc.com/apps/getLink/index.php?t=PropLink&amp;p=15762470","PL")</f>
        <v>PL</v>
      </c>
      <c r="B1821" s="1" t="str">
        <f>HYPERLINK("http://digipan.lumentumllc.com/apps/getLink/index.php?t=TaxLink&amp;p=15762470","TL")</f>
        <v>TL</v>
      </c>
      <c r="C1821" s="1" t="str">
        <f>HYPERLINK("http://digipan.lumentumllc.com/apps/getMap/index.php?p=15762470","Map")</f>
        <v>Map</v>
      </c>
      <c r="E1821" t="s">
        <v>177</v>
      </c>
      <c r="F1821" t="s">
        <v>178</v>
      </c>
      <c r="L1821" t="s">
        <v>22109</v>
      </c>
      <c r="N1821" t="s">
        <v>22109</v>
      </c>
      <c r="O1821" t="s">
        <v>22109</v>
      </c>
      <c r="Q1821" t="s">
        <v>22109</v>
      </c>
      <c r="V1821">
        <v>2076</v>
      </c>
      <c r="W1821">
        <v>7</v>
      </c>
      <c r="X1821">
        <v>2017</v>
      </c>
      <c r="Y1821">
        <v>2018</v>
      </c>
      <c r="Z1821">
        <v>252.04</v>
      </c>
      <c r="AG1821" t="s">
        <v>184</v>
      </c>
      <c r="AH1821">
        <v>0</v>
      </c>
      <c r="AK1821">
        <v>0</v>
      </c>
      <c r="AL1821">
        <v>13440</v>
      </c>
      <c r="AM1821">
        <v>13440</v>
      </c>
      <c r="AN1821">
        <v>0</v>
      </c>
      <c r="AO1821">
        <v>206</v>
      </c>
      <c r="AP1821">
        <v>2016</v>
      </c>
      <c r="AQ1821">
        <v>1.88</v>
      </c>
      <c r="AS1821" t="s">
        <v>20245</v>
      </c>
      <c r="AT1821" t="s">
        <v>15040</v>
      </c>
      <c r="AU1821" t="s">
        <v>177</v>
      </c>
      <c r="AV1821" t="s">
        <v>371</v>
      </c>
      <c r="AW1821" t="s">
        <v>182</v>
      </c>
      <c r="AX1821">
        <v>0</v>
      </c>
      <c r="AY1821" t="s">
        <v>312</v>
      </c>
      <c r="AZ1821" t="s">
        <v>199</v>
      </c>
      <c r="BA1821" t="s">
        <v>313</v>
      </c>
      <c r="BB1821" t="s">
        <v>191</v>
      </c>
      <c r="BC1821" t="s">
        <v>182</v>
      </c>
      <c r="BD1821" t="s">
        <v>182</v>
      </c>
      <c r="BE1821" t="s">
        <v>21425</v>
      </c>
      <c r="BF1821">
        <v>0</v>
      </c>
      <c r="BG1821">
        <v>0</v>
      </c>
      <c r="BH1821">
        <v>0</v>
      </c>
      <c r="BI1821" t="s">
        <v>199</v>
      </c>
      <c r="BJ1821" t="s">
        <v>315</v>
      </c>
      <c r="BL1821" t="s">
        <v>199</v>
      </c>
      <c r="BM1821" t="s">
        <v>238</v>
      </c>
      <c r="BN1821" t="s">
        <v>182</v>
      </c>
      <c r="BO1821" t="s">
        <v>22110</v>
      </c>
      <c r="BP1821" t="s">
        <v>14262</v>
      </c>
      <c r="BQ1821" t="s">
        <v>581</v>
      </c>
      <c r="BR1821" t="s">
        <v>582</v>
      </c>
      <c r="BS1821" t="s">
        <v>198</v>
      </c>
      <c r="BT1821" t="s">
        <v>22111</v>
      </c>
      <c r="BU1821" t="s">
        <v>182</v>
      </c>
      <c r="BV1821" t="s">
        <v>198</v>
      </c>
      <c r="BW1821" t="s">
        <v>198</v>
      </c>
      <c r="BX1821" t="s">
        <v>199</v>
      </c>
      <c r="BY1821" t="s">
        <v>198</v>
      </c>
      <c r="BZ1821" t="s">
        <v>199</v>
      </c>
      <c r="CA1821" t="s">
        <v>199</v>
      </c>
      <c r="CB1821" t="s">
        <v>22112</v>
      </c>
      <c r="CC1821" t="s">
        <v>201</v>
      </c>
      <c r="CD1821" t="s">
        <v>202</v>
      </c>
      <c r="CE1821" t="s">
        <v>22113</v>
      </c>
      <c r="CF1821" t="s">
        <v>7175</v>
      </c>
      <c r="CG1821" t="s">
        <v>177</v>
      </c>
      <c r="CH1821" t="s">
        <v>20290</v>
      </c>
      <c r="CI1821" t="s">
        <v>22114</v>
      </c>
      <c r="CS1821" t="s">
        <v>198</v>
      </c>
      <c r="DC1821" t="s">
        <v>198</v>
      </c>
      <c r="DM1821" t="s">
        <v>198</v>
      </c>
      <c r="DW1821" t="s">
        <v>198</v>
      </c>
      <c r="EG1821" t="s">
        <v>198</v>
      </c>
      <c r="EQ1821" t="s">
        <v>198</v>
      </c>
      <c r="FA1821" t="s">
        <v>198</v>
      </c>
      <c r="FK1821" t="s">
        <v>198</v>
      </c>
      <c r="FU1821" t="s">
        <v>198</v>
      </c>
    </row>
    <row r="1822" spans="1:177">
      <c r="A1822" s="1" t="str">
        <f>HYPERLINK("http://digipan.lumentumllc.com/apps/getLink/index.php?t=PropLink&amp;p=15762480","PL")</f>
        <v>PL</v>
      </c>
      <c r="B1822" s="1" t="str">
        <f>HYPERLINK("http://digipan.lumentumllc.com/apps/getLink/index.php?t=TaxLink&amp;p=15762480","TL")</f>
        <v>TL</v>
      </c>
      <c r="C1822" s="1" t="str">
        <f>HYPERLINK("http://digipan.lumentumllc.com/apps/getMap/index.php?p=15762480","Map")</f>
        <v>Map</v>
      </c>
      <c r="E1822" t="s">
        <v>177</v>
      </c>
      <c r="F1822" t="s">
        <v>178</v>
      </c>
      <c r="L1822" t="s">
        <v>22115</v>
      </c>
      <c r="N1822" t="s">
        <v>22115</v>
      </c>
      <c r="O1822" t="s">
        <v>22115</v>
      </c>
      <c r="Q1822" t="s">
        <v>22115</v>
      </c>
      <c r="V1822">
        <v>2077</v>
      </c>
      <c r="W1822">
        <v>7</v>
      </c>
      <c r="X1822">
        <v>2017</v>
      </c>
      <c r="Y1822">
        <v>2018</v>
      </c>
      <c r="Z1822">
        <v>8002.19</v>
      </c>
      <c r="AB1822" t="s">
        <v>181</v>
      </c>
      <c r="AC1822" t="s">
        <v>182</v>
      </c>
      <c r="AD1822" t="s">
        <v>183</v>
      </c>
      <c r="AE1822">
        <v>1</v>
      </c>
      <c r="AF1822">
        <v>0</v>
      </c>
      <c r="AG1822" t="s">
        <v>1200</v>
      </c>
      <c r="AH1822">
        <v>0</v>
      </c>
      <c r="AI1822">
        <v>8901.94</v>
      </c>
      <c r="AJ1822">
        <v>445.1</v>
      </c>
      <c r="AK1822">
        <v>9347.0400000000009</v>
      </c>
      <c r="AL1822">
        <v>486800</v>
      </c>
      <c r="AM1822">
        <v>321000</v>
      </c>
      <c r="AN1822">
        <v>165800</v>
      </c>
      <c r="AO1822">
        <v>8206</v>
      </c>
      <c r="AP1822">
        <v>2016</v>
      </c>
      <c r="AQ1822">
        <v>1.64</v>
      </c>
      <c r="AR1822">
        <v>1.92</v>
      </c>
      <c r="AS1822" t="s">
        <v>22116</v>
      </c>
      <c r="AT1822" t="s">
        <v>15040</v>
      </c>
      <c r="AU1822" t="s">
        <v>177</v>
      </c>
      <c r="AV1822" t="s">
        <v>371</v>
      </c>
      <c r="AW1822" t="s">
        <v>182</v>
      </c>
      <c r="AX1822">
        <v>1</v>
      </c>
      <c r="AY1822" t="s">
        <v>188</v>
      </c>
      <c r="AZ1822" t="s">
        <v>206</v>
      </c>
      <c r="BA1822" t="s">
        <v>355</v>
      </c>
      <c r="BB1822" t="s">
        <v>191</v>
      </c>
      <c r="BC1822" t="s">
        <v>182</v>
      </c>
      <c r="BD1822" t="s">
        <v>182</v>
      </c>
      <c r="BE1822" t="s">
        <v>14734</v>
      </c>
      <c r="BF1822">
        <v>1</v>
      </c>
      <c r="BG1822">
        <v>1</v>
      </c>
      <c r="BH1822">
        <v>1988</v>
      </c>
      <c r="BI1822" t="s">
        <v>22117</v>
      </c>
      <c r="BJ1822" t="s">
        <v>194</v>
      </c>
      <c r="BK1822" t="s">
        <v>195</v>
      </c>
      <c r="BL1822" t="s">
        <v>22118</v>
      </c>
      <c r="BM1822" t="s">
        <v>232</v>
      </c>
      <c r="BN1822" t="s">
        <v>182</v>
      </c>
      <c r="BO1822" t="s">
        <v>8682</v>
      </c>
      <c r="BP1822" t="s">
        <v>22119</v>
      </c>
      <c r="BQ1822" t="s">
        <v>800</v>
      </c>
      <c r="BR1822" t="s">
        <v>1897</v>
      </c>
      <c r="BS1822" t="s">
        <v>198</v>
      </c>
      <c r="BT1822" t="s">
        <v>3245</v>
      </c>
      <c r="BU1822" t="s">
        <v>182</v>
      </c>
      <c r="BV1822" t="s">
        <v>198</v>
      </c>
      <c r="BW1822" t="s">
        <v>198</v>
      </c>
      <c r="BX1822" t="s">
        <v>199</v>
      </c>
      <c r="BY1822" t="s">
        <v>198</v>
      </c>
      <c r="BZ1822" t="s">
        <v>199</v>
      </c>
      <c r="CA1822" t="s">
        <v>199</v>
      </c>
      <c r="CB1822" t="s">
        <v>22120</v>
      </c>
      <c r="CC1822" t="s">
        <v>201</v>
      </c>
      <c r="CD1822" t="s">
        <v>202</v>
      </c>
      <c r="CE1822" t="s">
        <v>22121</v>
      </c>
      <c r="CF1822" t="s">
        <v>5331</v>
      </c>
      <c r="CG1822" t="s">
        <v>177</v>
      </c>
      <c r="CH1822" t="s">
        <v>371</v>
      </c>
      <c r="CI1822" t="s">
        <v>22122</v>
      </c>
      <c r="CJ1822" t="s">
        <v>19623</v>
      </c>
      <c r="CK1822" t="s">
        <v>232</v>
      </c>
      <c r="CL1822" t="s">
        <v>233</v>
      </c>
      <c r="CM1822" t="s">
        <v>22123</v>
      </c>
      <c r="CN1822" t="s">
        <v>235</v>
      </c>
      <c r="CO1822" t="s">
        <v>183</v>
      </c>
      <c r="CP1822" t="s">
        <v>266</v>
      </c>
      <c r="CS1822" t="s">
        <v>198</v>
      </c>
      <c r="DC1822" t="s">
        <v>198</v>
      </c>
      <c r="DM1822" t="s">
        <v>198</v>
      </c>
      <c r="DW1822" t="s">
        <v>198</v>
      </c>
      <c r="EG1822" t="s">
        <v>198</v>
      </c>
      <c r="EQ1822" t="s">
        <v>198</v>
      </c>
      <c r="FA1822" t="s">
        <v>198</v>
      </c>
      <c r="FK1822" t="s">
        <v>198</v>
      </c>
      <c r="FU1822" t="s">
        <v>198</v>
      </c>
    </row>
    <row r="1823" spans="1:177">
      <c r="A1823" s="1" t="str">
        <f>HYPERLINK("http://digipan.lumentumllc.com/apps/getLink/index.php?t=PropLink&amp;p=15762483","PL")</f>
        <v>PL</v>
      </c>
      <c r="B1823" s="1" t="str">
        <f>HYPERLINK("http://digipan.lumentumllc.com/apps/getLink/index.php?t=TaxLink&amp;p=15762483","TL")</f>
        <v>TL</v>
      </c>
      <c r="C1823" s="1" t="str">
        <f>HYPERLINK("http://digipan.lumentumllc.com/apps/getMap/index.php?p=15762483","Map")</f>
        <v>Map</v>
      </c>
      <c r="E1823" t="s">
        <v>177</v>
      </c>
      <c r="F1823" t="s">
        <v>178</v>
      </c>
      <c r="L1823" t="s">
        <v>22124</v>
      </c>
      <c r="N1823" t="s">
        <v>22124</v>
      </c>
      <c r="O1823" t="s">
        <v>22124</v>
      </c>
      <c r="Q1823" t="s">
        <v>22124</v>
      </c>
      <c r="V1823">
        <v>2078</v>
      </c>
      <c r="W1823">
        <v>7</v>
      </c>
      <c r="X1823">
        <v>2017</v>
      </c>
      <c r="Y1823">
        <v>2018</v>
      </c>
      <c r="Z1823">
        <v>3930.62</v>
      </c>
      <c r="AG1823" t="s">
        <v>184</v>
      </c>
      <c r="AH1823">
        <v>0</v>
      </c>
      <c r="AK1823">
        <v>0</v>
      </c>
      <c r="AL1823">
        <v>330318</v>
      </c>
      <c r="AM1823">
        <v>75000</v>
      </c>
      <c r="AN1823">
        <v>255318</v>
      </c>
      <c r="AO1823">
        <v>3570</v>
      </c>
      <c r="AP1823">
        <v>2016</v>
      </c>
      <c r="AQ1823">
        <v>1.19</v>
      </c>
      <c r="AS1823" t="s">
        <v>22125</v>
      </c>
      <c r="AT1823" t="s">
        <v>15040</v>
      </c>
      <c r="AU1823" t="s">
        <v>177</v>
      </c>
      <c r="AV1823" t="s">
        <v>371</v>
      </c>
      <c r="AW1823" t="s">
        <v>202</v>
      </c>
      <c r="AX1823">
        <v>1</v>
      </c>
      <c r="AY1823" t="s">
        <v>188</v>
      </c>
      <c r="AZ1823" t="s">
        <v>206</v>
      </c>
      <c r="BA1823" t="s">
        <v>355</v>
      </c>
      <c r="BB1823" t="s">
        <v>191</v>
      </c>
      <c r="BC1823" t="s">
        <v>182</v>
      </c>
      <c r="BD1823" t="s">
        <v>182</v>
      </c>
      <c r="BE1823" t="s">
        <v>3831</v>
      </c>
      <c r="BF1823">
        <v>1</v>
      </c>
      <c r="BG1823">
        <v>1</v>
      </c>
      <c r="BH1823">
        <v>1998</v>
      </c>
      <c r="BI1823" t="s">
        <v>22126</v>
      </c>
      <c r="BJ1823" t="s">
        <v>1945</v>
      </c>
      <c r="BK1823" t="s">
        <v>195</v>
      </c>
      <c r="BL1823" t="s">
        <v>22127</v>
      </c>
      <c r="BM1823" t="s">
        <v>1041</v>
      </c>
      <c r="BN1823" t="s">
        <v>182</v>
      </c>
      <c r="BO1823" t="s">
        <v>1855</v>
      </c>
      <c r="BP1823" t="s">
        <v>22128</v>
      </c>
      <c r="BQ1823" t="s">
        <v>800</v>
      </c>
      <c r="BR1823" t="s">
        <v>582</v>
      </c>
      <c r="BS1823" t="s">
        <v>198</v>
      </c>
      <c r="BT1823" t="s">
        <v>22129</v>
      </c>
      <c r="BU1823" t="s">
        <v>182</v>
      </c>
      <c r="BV1823" t="s">
        <v>198</v>
      </c>
      <c r="BW1823" t="s">
        <v>198</v>
      </c>
      <c r="BX1823" t="s">
        <v>199</v>
      </c>
      <c r="BY1823" t="s">
        <v>198</v>
      </c>
      <c r="BZ1823" t="s">
        <v>199</v>
      </c>
      <c r="CA1823" t="s">
        <v>199</v>
      </c>
      <c r="CB1823" t="s">
        <v>17178</v>
      </c>
      <c r="CC1823" t="s">
        <v>1407</v>
      </c>
      <c r="CD1823" t="s">
        <v>202</v>
      </c>
      <c r="CE1823" t="s">
        <v>17179</v>
      </c>
      <c r="CF1823" t="s">
        <v>5331</v>
      </c>
      <c r="CG1823" t="s">
        <v>177</v>
      </c>
      <c r="CH1823" t="s">
        <v>371</v>
      </c>
      <c r="CI1823" t="s">
        <v>1955</v>
      </c>
      <c r="CS1823" t="s">
        <v>198</v>
      </c>
      <c r="DC1823" t="s">
        <v>198</v>
      </c>
      <c r="DM1823" t="s">
        <v>198</v>
      </c>
      <c r="DW1823" t="s">
        <v>198</v>
      </c>
      <c r="EG1823" t="s">
        <v>198</v>
      </c>
      <c r="EQ1823" t="s">
        <v>198</v>
      </c>
      <c r="FA1823" t="s">
        <v>198</v>
      </c>
      <c r="FK1823" t="s">
        <v>198</v>
      </c>
      <c r="FU1823" t="s">
        <v>198</v>
      </c>
    </row>
    <row r="1824" spans="1:177">
      <c r="A1824" s="1" t="str">
        <f>HYPERLINK("http://digipan.lumentumllc.com/apps/getLink/index.php?t=PropLink&amp;p=15762484","PL")</f>
        <v>PL</v>
      </c>
      <c r="B1824" s="1" t="str">
        <f>HYPERLINK("http://digipan.lumentumllc.com/apps/getLink/index.php?t=TaxLink&amp;p=15762484","TL")</f>
        <v>TL</v>
      </c>
      <c r="C1824" s="1" t="str">
        <f>HYPERLINK("http://digipan.lumentumllc.com/apps/getMap/index.php?p=15762484","Map")</f>
        <v>Map</v>
      </c>
      <c r="E1824" t="s">
        <v>177</v>
      </c>
      <c r="F1824" t="s">
        <v>178</v>
      </c>
      <c r="L1824" t="s">
        <v>22130</v>
      </c>
      <c r="N1824" t="s">
        <v>22130</v>
      </c>
      <c r="O1824" t="s">
        <v>22130</v>
      </c>
      <c r="Q1824" t="s">
        <v>22130</v>
      </c>
      <c r="V1824">
        <v>2079</v>
      </c>
      <c r="W1824">
        <v>7</v>
      </c>
      <c r="X1824">
        <v>2017</v>
      </c>
      <c r="Y1824">
        <v>2018</v>
      </c>
      <c r="Z1824">
        <v>1181.9000000000001</v>
      </c>
      <c r="AG1824" t="s">
        <v>184</v>
      </c>
      <c r="AH1824">
        <v>0</v>
      </c>
      <c r="AK1824">
        <v>0</v>
      </c>
      <c r="AL1824">
        <v>75000</v>
      </c>
      <c r="AM1824">
        <v>75000</v>
      </c>
      <c r="AN1824">
        <v>0</v>
      </c>
      <c r="AO1824">
        <v>1027</v>
      </c>
      <c r="AP1824">
        <v>2016</v>
      </c>
      <c r="AQ1824">
        <v>1.58</v>
      </c>
      <c r="AS1824" t="s">
        <v>22131</v>
      </c>
      <c r="AT1824" t="s">
        <v>15040</v>
      </c>
      <c r="AU1824" t="s">
        <v>177</v>
      </c>
      <c r="AV1824" t="s">
        <v>371</v>
      </c>
      <c r="AW1824" t="s">
        <v>182</v>
      </c>
      <c r="AX1824">
        <v>0</v>
      </c>
      <c r="AY1824" t="s">
        <v>312</v>
      </c>
      <c r="AZ1824" t="s">
        <v>199</v>
      </c>
      <c r="BA1824" t="s">
        <v>313</v>
      </c>
      <c r="BB1824" t="s">
        <v>191</v>
      </c>
      <c r="BC1824" t="s">
        <v>182</v>
      </c>
      <c r="BD1824" t="s">
        <v>182</v>
      </c>
      <c r="BE1824" t="s">
        <v>8096</v>
      </c>
      <c r="BF1824">
        <v>0</v>
      </c>
      <c r="BG1824">
        <v>0</v>
      </c>
      <c r="BH1824">
        <v>0</v>
      </c>
      <c r="BI1824" t="s">
        <v>199</v>
      </c>
      <c r="BJ1824" t="s">
        <v>396</v>
      </c>
      <c r="BL1824" t="s">
        <v>8387</v>
      </c>
      <c r="BM1824" t="s">
        <v>679</v>
      </c>
      <c r="BN1824" t="s">
        <v>182</v>
      </c>
      <c r="BO1824" t="s">
        <v>22132</v>
      </c>
      <c r="BP1824" t="s">
        <v>4714</v>
      </c>
      <c r="BQ1824" t="s">
        <v>800</v>
      </c>
      <c r="BR1824" t="s">
        <v>1897</v>
      </c>
      <c r="BS1824" t="s">
        <v>198</v>
      </c>
      <c r="BT1824" t="s">
        <v>10338</v>
      </c>
      <c r="BU1824" t="s">
        <v>182</v>
      </c>
      <c r="BV1824" t="s">
        <v>198</v>
      </c>
      <c r="BW1824" t="s">
        <v>198</v>
      </c>
      <c r="BX1824" t="s">
        <v>199</v>
      </c>
      <c r="BY1824" t="s">
        <v>198</v>
      </c>
      <c r="BZ1824" t="s">
        <v>199</v>
      </c>
      <c r="CA1824" t="s">
        <v>199</v>
      </c>
      <c r="CB1824" t="s">
        <v>17178</v>
      </c>
      <c r="CC1824" t="s">
        <v>1407</v>
      </c>
      <c r="CD1824" t="s">
        <v>202</v>
      </c>
      <c r="CE1824" t="s">
        <v>22133</v>
      </c>
      <c r="CF1824" t="s">
        <v>5331</v>
      </c>
      <c r="CG1824" t="s">
        <v>177</v>
      </c>
      <c r="CH1824" t="s">
        <v>371</v>
      </c>
      <c r="CI1824" t="s">
        <v>1972</v>
      </c>
      <c r="CS1824" t="s">
        <v>198</v>
      </c>
      <c r="DC1824" t="s">
        <v>198</v>
      </c>
      <c r="DM1824" t="s">
        <v>198</v>
      </c>
      <c r="DW1824" t="s">
        <v>198</v>
      </c>
      <c r="EG1824" t="s">
        <v>198</v>
      </c>
      <c r="EQ1824" t="s">
        <v>198</v>
      </c>
      <c r="FA1824" t="s">
        <v>198</v>
      </c>
      <c r="FK1824" t="s">
        <v>198</v>
      </c>
      <c r="FU1824" t="s">
        <v>198</v>
      </c>
    </row>
    <row r="1825" spans="1:177">
      <c r="A1825" s="1" t="str">
        <f>HYPERLINK("http://digipan.lumentumllc.com/apps/getLink/index.php?t=PropLink&amp;p=5248436","PL")</f>
        <v>PL</v>
      </c>
      <c r="B1825" s="1" t="str">
        <f>HYPERLINK("http://digipan.lumentumllc.com/apps/getLink/index.php?t=TaxLink&amp;p=5248436","TL")</f>
        <v>TL</v>
      </c>
      <c r="C1825" s="1" t="str">
        <f>HYPERLINK("http://digipan.lumentumllc.com/apps/getMap/index.php?p=5248436","Map")</f>
        <v>Map</v>
      </c>
      <c r="E1825" t="s">
        <v>177</v>
      </c>
      <c r="F1825" t="s">
        <v>178</v>
      </c>
      <c r="L1825" t="s">
        <v>22134</v>
      </c>
      <c r="N1825" t="s">
        <v>22134</v>
      </c>
      <c r="O1825" t="s">
        <v>22134</v>
      </c>
      <c r="P1825" t="s">
        <v>22135</v>
      </c>
      <c r="Q1825" t="s">
        <v>22134</v>
      </c>
      <c r="V1825">
        <v>2080</v>
      </c>
      <c r="W1825">
        <v>7</v>
      </c>
      <c r="X1825">
        <v>2017</v>
      </c>
      <c r="Y1825">
        <v>2018</v>
      </c>
      <c r="Z1825">
        <v>1410.2</v>
      </c>
      <c r="AB1825" t="s">
        <v>181</v>
      </c>
      <c r="AC1825" t="s">
        <v>202</v>
      </c>
      <c r="AD1825" t="s">
        <v>183</v>
      </c>
      <c r="AE1825">
        <v>0</v>
      </c>
      <c r="AF1825">
        <v>7</v>
      </c>
      <c r="AG1825" t="s">
        <v>528</v>
      </c>
      <c r="AH1825">
        <v>100</v>
      </c>
      <c r="AK1825">
        <v>0</v>
      </c>
      <c r="AL1825">
        <v>177601</v>
      </c>
      <c r="AM1825">
        <v>40000</v>
      </c>
      <c r="AN1825">
        <v>137601</v>
      </c>
      <c r="AO1825">
        <v>1256</v>
      </c>
      <c r="AP1825">
        <v>2016</v>
      </c>
      <c r="AQ1825">
        <v>0.79</v>
      </c>
      <c r="AS1825" t="s">
        <v>22136</v>
      </c>
      <c r="AT1825" t="s">
        <v>15040</v>
      </c>
      <c r="AU1825" t="s">
        <v>177</v>
      </c>
      <c r="AV1825" t="s">
        <v>371</v>
      </c>
      <c r="AW1825" t="s">
        <v>202</v>
      </c>
      <c r="AX1825">
        <v>1</v>
      </c>
      <c r="AY1825" t="s">
        <v>188</v>
      </c>
      <c r="AZ1825" t="s">
        <v>206</v>
      </c>
      <c r="BA1825" t="s">
        <v>355</v>
      </c>
      <c r="BB1825" t="s">
        <v>191</v>
      </c>
      <c r="BC1825" t="s">
        <v>182</v>
      </c>
      <c r="BD1825" t="s">
        <v>182</v>
      </c>
      <c r="BE1825" t="s">
        <v>6618</v>
      </c>
      <c r="BF1825">
        <v>1</v>
      </c>
      <c r="BG1825">
        <v>1</v>
      </c>
      <c r="BH1825">
        <v>1998</v>
      </c>
      <c r="BI1825" t="s">
        <v>17159</v>
      </c>
      <c r="BJ1825" t="s">
        <v>194</v>
      </c>
      <c r="BK1825" t="s">
        <v>195</v>
      </c>
      <c r="BL1825" t="s">
        <v>22137</v>
      </c>
      <c r="BM1825" t="s">
        <v>501</v>
      </c>
      <c r="BN1825" t="s">
        <v>182</v>
      </c>
      <c r="BO1825" t="s">
        <v>22138</v>
      </c>
      <c r="BP1825" t="s">
        <v>383</v>
      </c>
      <c r="BR1825" t="s">
        <v>2318</v>
      </c>
      <c r="BS1825" t="s">
        <v>7788</v>
      </c>
      <c r="BT1825" t="s">
        <v>198</v>
      </c>
      <c r="BU1825" t="s">
        <v>182</v>
      </c>
      <c r="BV1825" t="s">
        <v>198</v>
      </c>
      <c r="BW1825" t="s">
        <v>198</v>
      </c>
      <c r="BX1825" t="s">
        <v>199</v>
      </c>
      <c r="BY1825" t="s">
        <v>198</v>
      </c>
      <c r="BZ1825" t="s">
        <v>199</v>
      </c>
      <c r="CA1825" t="s">
        <v>199</v>
      </c>
      <c r="CB1825" t="s">
        <v>22139</v>
      </c>
      <c r="CC1825" t="s">
        <v>201</v>
      </c>
      <c r="CD1825" t="s">
        <v>182</v>
      </c>
      <c r="CE1825" t="s">
        <v>22140</v>
      </c>
      <c r="CF1825" t="s">
        <v>5331</v>
      </c>
      <c r="CG1825" t="s">
        <v>177</v>
      </c>
      <c r="CH1825" t="s">
        <v>371</v>
      </c>
      <c r="CI1825" t="s">
        <v>1955</v>
      </c>
      <c r="CJ1825" t="s">
        <v>21674</v>
      </c>
      <c r="CK1825" t="s">
        <v>232</v>
      </c>
      <c r="CL1825" t="s">
        <v>233</v>
      </c>
      <c r="CM1825" t="s">
        <v>22141</v>
      </c>
      <c r="CN1825" t="s">
        <v>235</v>
      </c>
      <c r="CO1825" t="s">
        <v>183</v>
      </c>
      <c r="CP1825" t="s">
        <v>211</v>
      </c>
      <c r="CQ1825" t="s">
        <v>189</v>
      </c>
      <c r="CS1825" t="s">
        <v>22142</v>
      </c>
      <c r="CT1825" t="s">
        <v>12347</v>
      </c>
      <c r="CU1825" t="s">
        <v>292</v>
      </c>
      <c r="CV1825" t="s">
        <v>293</v>
      </c>
      <c r="CW1825" t="s">
        <v>22143</v>
      </c>
      <c r="CX1825" t="s">
        <v>235</v>
      </c>
      <c r="CY1825" t="s">
        <v>183</v>
      </c>
      <c r="CZ1825" t="s">
        <v>211</v>
      </c>
      <c r="DA1825" t="s">
        <v>270</v>
      </c>
      <c r="DC1825" t="s">
        <v>4800</v>
      </c>
      <c r="DD1825" t="s">
        <v>22144</v>
      </c>
      <c r="DE1825" t="s">
        <v>273</v>
      </c>
      <c r="DF1825" t="s">
        <v>274</v>
      </c>
      <c r="DG1825" t="s">
        <v>22145</v>
      </c>
      <c r="DH1825" t="s">
        <v>235</v>
      </c>
      <c r="DI1825" t="s">
        <v>183</v>
      </c>
      <c r="DJ1825" t="s">
        <v>211</v>
      </c>
      <c r="DK1825" t="s">
        <v>270</v>
      </c>
      <c r="DL1825" t="s">
        <v>271</v>
      </c>
      <c r="DM1825" t="s">
        <v>4984</v>
      </c>
      <c r="DN1825" t="s">
        <v>19939</v>
      </c>
      <c r="DO1825" t="s">
        <v>302</v>
      </c>
      <c r="DP1825" t="s">
        <v>303</v>
      </c>
      <c r="DQ1825" t="s">
        <v>22146</v>
      </c>
      <c r="DR1825" t="s">
        <v>235</v>
      </c>
      <c r="DS1825" t="s">
        <v>183</v>
      </c>
      <c r="DT1825" t="s">
        <v>211</v>
      </c>
      <c r="DV1825" t="s">
        <v>271</v>
      </c>
      <c r="DW1825" t="s">
        <v>198</v>
      </c>
      <c r="DX1825" t="s">
        <v>16858</v>
      </c>
      <c r="DY1825" t="s">
        <v>238</v>
      </c>
      <c r="DZ1825" t="s">
        <v>239</v>
      </c>
      <c r="EA1825" t="s">
        <v>22147</v>
      </c>
      <c r="EB1825" t="s">
        <v>235</v>
      </c>
      <c r="EC1825" t="s">
        <v>183</v>
      </c>
      <c r="ED1825" t="s">
        <v>211</v>
      </c>
      <c r="EE1825" t="s">
        <v>298</v>
      </c>
      <c r="EG1825" t="s">
        <v>7527</v>
      </c>
      <c r="EH1825" t="s">
        <v>12556</v>
      </c>
      <c r="EI1825" t="s">
        <v>346</v>
      </c>
      <c r="EJ1825" t="s">
        <v>347</v>
      </c>
      <c r="EK1825" t="s">
        <v>22148</v>
      </c>
      <c r="EL1825" t="s">
        <v>235</v>
      </c>
      <c r="EM1825" t="s">
        <v>183</v>
      </c>
      <c r="EN1825" t="s">
        <v>211</v>
      </c>
      <c r="EO1825" t="s">
        <v>199</v>
      </c>
      <c r="EQ1825" t="s">
        <v>6142</v>
      </c>
      <c r="ER1825" t="s">
        <v>22149</v>
      </c>
      <c r="ES1825" t="s">
        <v>207</v>
      </c>
      <c r="ET1825" t="s">
        <v>208</v>
      </c>
      <c r="EU1825" t="s">
        <v>22150</v>
      </c>
      <c r="EV1825" t="s">
        <v>235</v>
      </c>
      <c r="EW1825" t="s">
        <v>183</v>
      </c>
      <c r="EX1825" t="s">
        <v>211</v>
      </c>
      <c r="EY1825" t="s">
        <v>250</v>
      </c>
      <c r="FA1825" t="s">
        <v>2163</v>
      </c>
      <c r="FK1825" t="s">
        <v>198</v>
      </c>
      <c r="FU1825" t="s">
        <v>198</v>
      </c>
    </row>
    <row r="1826" spans="1:177">
      <c r="A1826" s="1" t="str">
        <f>HYPERLINK("http://digipan.lumentumllc.com/apps/getLink/index.php?t=PropLink&amp;p=6129596","PL")</f>
        <v>PL</v>
      </c>
      <c r="B1826" s="1" t="str">
        <f>HYPERLINK("http://digipan.lumentumllc.com/apps/getLink/index.php?t=TaxLink&amp;p=6129596","TL")</f>
        <v>TL</v>
      </c>
      <c r="C1826" s="1" t="str">
        <f>HYPERLINK("http://digipan.lumentumllc.com/apps/getMap/index.php?p=6129596","Map")</f>
        <v>Map</v>
      </c>
      <c r="E1826" t="s">
        <v>177</v>
      </c>
      <c r="F1826" t="s">
        <v>178</v>
      </c>
      <c r="L1826" t="s">
        <v>22151</v>
      </c>
      <c r="N1826" t="s">
        <v>22151</v>
      </c>
      <c r="O1826" t="s">
        <v>22151</v>
      </c>
      <c r="P1826" t="s">
        <v>22152</v>
      </c>
      <c r="Q1826" t="s">
        <v>22151</v>
      </c>
      <c r="V1826">
        <v>2081</v>
      </c>
      <c r="W1826">
        <v>7</v>
      </c>
      <c r="X1826">
        <v>2017</v>
      </c>
      <c r="Y1826">
        <v>2018</v>
      </c>
      <c r="Z1826">
        <v>2090.54</v>
      </c>
      <c r="AB1826" t="s">
        <v>181</v>
      </c>
      <c r="AC1826" t="s">
        <v>202</v>
      </c>
      <c r="AD1826" t="s">
        <v>183</v>
      </c>
      <c r="AE1826">
        <v>0</v>
      </c>
      <c r="AF1826">
        <v>3</v>
      </c>
      <c r="AG1826" t="s">
        <v>381</v>
      </c>
      <c r="AH1826">
        <v>100</v>
      </c>
      <c r="AK1826">
        <v>0</v>
      </c>
      <c r="AL1826">
        <v>246524</v>
      </c>
      <c r="AM1826">
        <v>80000</v>
      </c>
      <c r="AN1826">
        <v>166524</v>
      </c>
      <c r="AO1826">
        <v>1881</v>
      </c>
      <c r="AP1826">
        <v>2016</v>
      </c>
      <c r="AQ1826">
        <v>0.85</v>
      </c>
      <c r="AS1826" t="s">
        <v>22153</v>
      </c>
      <c r="AT1826" t="s">
        <v>15040</v>
      </c>
      <c r="AU1826" t="s">
        <v>177</v>
      </c>
      <c r="AV1826" t="s">
        <v>371</v>
      </c>
      <c r="AW1826" t="s">
        <v>202</v>
      </c>
      <c r="AX1826">
        <v>1</v>
      </c>
      <c r="AY1826" t="s">
        <v>188</v>
      </c>
      <c r="AZ1826" t="s">
        <v>206</v>
      </c>
      <c r="BA1826" t="s">
        <v>355</v>
      </c>
      <c r="BB1826" t="s">
        <v>191</v>
      </c>
      <c r="BC1826" t="s">
        <v>182</v>
      </c>
      <c r="BD1826" t="s">
        <v>182</v>
      </c>
      <c r="BE1826" t="s">
        <v>17667</v>
      </c>
      <c r="BF1826">
        <v>1</v>
      </c>
      <c r="BG1826">
        <v>1</v>
      </c>
      <c r="BH1826">
        <v>2000</v>
      </c>
      <c r="BI1826" t="s">
        <v>10305</v>
      </c>
      <c r="BJ1826" t="s">
        <v>194</v>
      </c>
      <c r="BK1826" t="s">
        <v>195</v>
      </c>
      <c r="BL1826" t="s">
        <v>8617</v>
      </c>
      <c r="BM1826" t="s">
        <v>325</v>
      </c>
      <c r="BN1826" t="s">
        <v>182</v>
      </c>
      <c r="BO1826" t="s">
        <v>22154</v>
      </c>
      <c r="BP1826" t="s">
        <v>5459</v>
      </c>
      <c r="BQ1826" t="s">
        <v>2227</v>
      </c>
      <c r="BS1826" t="s">
        <v>198</v>
      </c>
      <c r="BT1826" t="s">
        <v>18314</v>
      </c>
      <c r="BU1826" t="s">
        <v>182</v>
      </c>
      <c r="BV1826" t="s">
        <v>198</v>
      </c>
      <c r="BW1826" t="s">
        <v>198</v>
      </c>
      <c r="BX1826" t="s">
        <v>199</v>
      </c>
      <c r="BY1826" t="s">
        <v>198</v>
      </c>
      <c r="BZ1826" t="s">
        <v>199</v>
      </c>
      <c r="CA1826" t="s">
        <v>199</v>
      </c>
      <c r="CB1826" t="s">
        <v>22155</v>
      </c>
      <c r="CC1826" t="s">
        <v>1407</v>
      </c>
      <c r="CD1826" t="s">
        <v>202</v>
      </c>
      <c r="CE1826" t="s">
        <v>22156</v>
      </c>
      <c r="CF1826" t="s">
        <v>5331</v>
      </c>
      <c r="CG1826" t="s">
        <v>177</v>
      </c>
      <c r="CH1826" t="s">
        <v>371</v>
      </c>
      <c r="CI1826" t="s">
        <v>9154</v>
      </c>
      <c r="CJ1826" t="s">
        <v>3474</v>
      </c>
      <c r="CK1826" t="s">
        <v>267</v>
      </c>
      <c r="CL1826" t="s">
        <v>268</v>
      </c>
      <c r="CM1826" t="s">
        <v>22157</v>
      </c>
      <c r="CN1826" t="s">
        <v>235</v>
      </c>
      <c r="CO1826" t="s">
        <v>183</v>
      </c>
      <c r="CP1826" t="s">
        <v>211</v>
      </c>
      <c r="CQ1826" t="s">
        <v>290</v>
      </c>
      <c r="CS1826" t="s">
        <v>12087</v>
      </c>
      <c r="CT1826" t="s">
        <v>19958</v>
      </c>
      <c r="CU1826" t="s">
        <v>302</v>
      </c>
      <c r="CV1826" t="s">
        <v>303</v>
      </c>
      <c r="CW1826" t="s">
        <v>22158</v>
      </c>
      <c r="CX1826" t="s">
        <v>235</v>
      </c>
      <c r="CY1826" t="s">
        <v>183</v>
      </c>
      <c r="CZ1826" t="s">
        <v>211</v>
      </c>
      <c r="DA1826" t="s">
        <v>270</v>
      </c>
      <c r="DB1826" t="s">
        <v>271</v>
      </c>
      <c r="DC1826" t="s">
        <v>2971</v>
      </c>
      <c r="DD1826" t="s">
        <v>22159</v>
      </c>
      <c r="DE1826" t="s">
        <v>238</v>
      </c>
      <c r="DF1826" t="s">
        <v>239</v>
      </c>
      <c r="DG1826" t="s">
        <v>22160</v>
      </c>
      <c r="DH1826" t="s">
        <v>235</v>
      </c>
      <c r="DI1826" t="s">
        <v>183</v>
      </c>
      <c r="DJ1826" t="s">
        <v>211</v>
      </c>
      <c r="DL1826" t="s">
        <v>271</v>
      </c>
      <c r="DM1826" t="s">
        <v>198</v>
      </c>
      <c r="DW1826" t="s">
        <v>198</v>
      </c>
      <c r="EG1826" t="s">
        <v>198</v>
      </c>
      <c r="EQ1826" t="s">
        <v>198</v>
      </c>
      <c r="FA1826" t="s">
        <v>198</v>
      </c>
      <c r="FK1826" t="s">
        <v>198</v>
      </c>
      <c r="FU1826" t="s">
        <v>198</v>
      </c>
    </row>
    <row r="1827" spans="1:177">
      <c r="A1827" s="1" t="str">
        <f>HYPERLINK("http://digipan.lumentumllc.com/apps/getLink/index.php?t=PropLink&amp;p=6129598","PL")</f>
        <v>PL</v>
      </c>
      <c r="B1827" s="1" t="str">
        <f>HYPERLINK("http://digipan.lumentumllc.com/apps/getLink/index.php?t=TaxLink&amp;p=6129598","TL")</f>
        <v>TL</v>
      </c>
      <c r="C1827" s="1" t="str">
        <f>HYPERLINK("http://digipan.lumentumllc.com/apps/getMap/index.php?p=6129598","Map")</f>
        <v>Map</v>
      </c>
      <c r="E1827" t="s">
        <v>177</v>
      </c>
      <c r="F1827" t="s">
        <v>178</v>
      </c>
      <c r="L1827" t="s">
        <v>22161</v>
      </c>
      <c r="N1827" t="s">
        <v>22161</v>
      </c>
      <c r="O1827" t="s">
        <v>22161</v>
      </c>
      <c r="P1827" t="s">
        <v>22162</v>
      </c>
      <c r="Q1827" t="s">
        <v>22161</v>
      </c>
      <c r="V1827">
        <v>2082</v>
      </c>
      <c r="W1827">
        <v>7</v>
      </c>
      <c r="X1827">
        <v>2017</v>
      </c>
      <c r="Y1827">
        <v>2018</v>
      </c>
      <c r="Z1827">
        <v>4376.72</v>
      </c>
      <c r="AB1827" t="s">
        <v>181</v>
      </c>
      <c r="AC1827" t="s">
        <v>182</v>
      </c>
      <c r="AD1827" t="s">
        <v>183</v>
      </c>
      <c r="AE1827">
        <v>0</v>
      </c>
      <c r="AF1827">
        <v>3</v>
      </c>
      <c r="AG1827" t="s">
        <v>381</v>
      </c>
      <c r="AH1827">
        <v>100</v>
      </c>
      <c r="AK1827">
        <v>0</v>
      </c>
      <c r="AL1827">
        <v>372775</v>
      </c>
      <c r="AM1827">
        <v>70000</v>
      </c>
      <c r="AN1827">
        <v>302775</v>
      </c>
      <c r="AO1827">
        <v>3980</v>
      </c>
      <c r="AP1827">
        <v>2016</v>
      </c>
      <c r="AQ1827">
        <v>1.17</v>
      </c>
      <c r="AS1827" t="s">
        <v>22163</v>
      </c>
      <c r="AT1827" t="s">
        <v>15040</v>
      </c>
      <c r="AU1827" t="s">
        <v>177</v>
      </c>
      <c r="AV1827" t="s">
        <v>371</v>
      </c>
      <c r="AW1827" t="s">
        <v>202</v>
      </c>
      <c r="AX1827">
        <v>1</v>
      </c>
      <c r="AY1827" t="s">
        <v>188</v>
      </c>
      <c r="AZ1827" t="s">
        <v>206</v>
      </c>
      <c r="BA1827" t="s">
        <v>355</v>
      </c>
      <c r="BB1827" t="s">
        <v>191</v>
      </c>
      <c r="BC1827" t="s">
        <v>182</v>
      </c>
      <c r="BD1827" t="s">
        <v>182</v>
      </c>
      <c r="BE1827" t="s">
        <v>11576</v>
      </c>
      <c r="BF1827">
        <v>1</v>
      </c>
      <c r="BG1827">
        <v>1</v>
      </c>
      <c r="BH1827">
        <v>2005</v>
      </c>
      <c r="BI1827" t="s">
        <v>22164</v>
      </c>
      <c r="BJ1827" t="s">
        <v>396</v>
      </c>
      <c r="BK1827" t="s">
        <v>195</v>
      </c>
      <c r="BL1827" t="s">
        <v>22165</v>
      </c>
      <c r="BM1827" t="s">
        <v>207</v>
      </c>
      <c r="BN1827" t="s">
        <v>182</v>
      </c>
      <c r="BO1827" t="s">
        <v>22166</v>
      </c>
      <c r="BP1827" t="s">
        <v>22167</v>
      </c>
      <c r="BS1827" t="s">
        <v>22168</v>
      </c>
      <c r="BT1827" t="s">
        <v>198</v>
      </c>
      <c r="BU1827" t="s">
        <v>182</v>
      </c>
      <c r="BV1827" t="s">
        <v>198</v>
      </c>
      <c r="BW1827" t="s">
        <v>198</v>
      </c>
      <c r="BX1827" t="s">
        <v>199</v>
      </c>
      <c r="BY1827" t="s">
        <v>198</v>
      </c>
      <c r="BZ1827" t="s">
        <v>199</v>
      </c>
      <c r="CA1827" t="s">
        <v>199</v>
      </c>
      <c r="CB1827" t="s">
        <v>22169</v>
      </c>
      <c r="CC1827" t="s">
        <v>201</v>
      </c>
      <c r="CD1827" t="s">
        <v>182</v>
      </c>
      <c r="CE1827" t="s">
        <v>22170</v>
      </c>
      <c r="CF1827" t="s">
        <v>5331</v>
      </c>
      <c r="CG1827" t="s">
        <v>177</v>
      </c>
      <c r="CH1827" t="s">
        <v>371</v>
      </c>
      <c r="CI1827" t="s">
        <v>4843</v>
      </c>
      <c r="CJ1827" t="s">
        <v>21680</v>
      </c>
      <c r="CK1827" t="s">
        <v>232</v>
      </c>
      <c r="CL1827" t="s">
        <v>233</v>
      </c>
      <c r="CM1827" t="s">
        <v>22171</v>
      </c>
      <c r="CN1827" t="s">
        <v>235</v>
      </c>
      <c r="CO1827" t="s">
        <v>183</v>
      </c>
      <c r="CP1827" t="s">
        <v>211</v>
      </c>
      <c r="CQ1827" t="s">
        <v>206</v>
      </c>
      <c r="CS1827" t="s">
        <v>8846</v>
      </c>
      <c r="CT1827" t="s">
        <v>14668</v>
      </c>
      <c r="CU1827" t="s">
        <v>292</v>
      </c>
      <c r="CV1827" t="s">
        <v>293</v>
      </c>
      <c r="CW1827" t="s">
        <v>22172</v>
      </c>
      <c r="CX1827" t="s">
        <v>235</v>
      </c>
      <c r="CY1827" t="s">
        <v>183</v>
      </c>
      <c r="CZ1827" t="s">
        <v>211</v>
      </c>
      <c r="DA1827" t="s">
        <v>306</v>
      </c>
      <c r="DC1827" t="s">
        <v>8846</v>
      </c>
      <c r="DD1827" t="s">
        <v>18506</v>
      </c>
      <c r="DE1827" t="s">
        <v>302</v>
      </c>
      <c r="DF1827" t="s">
        <v>303</v>
      </c>
      <c r="DG1827" t="s">
        <v>22173</v>
      </c>
      <c r="DH1827" t="s">
        <v>235</v>
      </c>
      <c r="DI1827" t="s">
        <v>183</v>
      </c>
      <c r="DJ1827" t="s">
        <v>211</v>
      </c>
      <c r="DK1827" t="s">
        <v>270</v>
      </c>
      <c r="DM1827" t="s">
        <v>5315</v>
      </c>
      <c r="DW1827" t="s">
        <v>198</v>
      </c>
      <c r="EG1827" t="s">
        <v>198</v>
      </c>
      <c r="EQ1827" t="s">
        <v>198</v>
      </c>
      <c r="FA1827" t="s">
        <v>198</v>
      </c>
      <c r="FK1827" t="s">
        <v>198</v>
      </c>
      <c r="FU1827" t="s">
        <v>198</v>
      </c>
    </row>
    <row r="1828" spans="1:177">
      <c r="A1828" s="1" t="str">
        <f>HYPERLINK("http://digipan.lumentumllc.com/apps/getLink/index.php?t=PropLink&amp;p=7112606","PL")</f>
        <v>PL</v>
      </c>
      <c r="B1828" s="1" t="str">
        <f>HYPERLINK("http://digipan.lumentumllc.com/apps/getLink/index.php?t=TaxLink&amp;p=7112606","TL")</f>
        <v>TL</v>
      </c>
      <c r="C1828" s="1" t="str">
        <f>HYPERLINK("http://digipan.lumentumllc.com/apps/getMap/index.php?p=7112606","Map")</f>
        <v>Map</v>
      </c>
      <c r="E1828" t="s">
        <v>177</v>
      </c>
      <c r="F1828" t="s">
        <v>178</v>
      </c>
      <c r="L1828" t="s">
        <v>22174</v>
      </c>
      <c r="N1828" t="s">
        <v>22174</v>
      </c>
      <c r="O1828" t="s">
        <v>22174</v>
      </c>
      <c r="P1828" t="s">
        <v>22175</v>
      </c>
      <c r="Q1828" t="s">
        <v>22174</v>
      </c>
      <c r="V1828">
        <v>2083</v>
      </c>
      <c r="W1828">
        <v>7</v>
      </c>
      <c r="X1828">
        <v>2017</v>
      </c>
      <c r="Y1828">
        <v>2018</v>
      </c>
      <c r="Z1828">
        <v>2155.58</v>
      </c>
      <c r="AB1828" t="s">
        <v>181</v>
      </c>
      <c r="AC1828" t="s">
        <v>182</v>
      </c>
      <c r="AD1828" t="s">
        <v>183</v>
      </c>
      <c r="AE1828">
        <v>0</v>
      </c>
      <c r="AF1828">
        <v>2</v>
      </c>
      <c r="AG1828" t="s">
        <v>216</v>
      </c>
      <c r="AH1828">
        <v>100</v>
      </c>
      <c r="AK1828">
        <v>0</v>
      </c>
      <c r="AL1828">
        <v>178996</v>
      </c>
      <c r="AM1828">
        <v>53760</v>
      </c>
      <c r="AN1828">
        <v>125236</v>
      </c>
      <c r="AO1828">
        <v>1940</v>
      </c>
      <c r="AP1828">
        <v>2016</v>
      </c>
      <c r="AQ1828">
        <v>1.2</v>
      </c>
      <c r="AS1828" t="s">
        <v>22176</v>
      </c>
      <c r="AT1828" t="s">
        <v>15040</v>
      </c>
      <c r="AU1828" t="s">
        <v>177</v>
      </c>
      <c r="AV1828" t="s">
        <v>371</v>
      </c>
      <c r="AW1828" t="s">
        <v>202</v>
      </c>
      <c r="AX1828">
        <v>1</v>
      </c>
      <c r="AY1828" t="s">
        <v>188</v>
      </c>
      <c r="AZ1828" t="s">
        <v>206</v>
      </c>
      <c r="BA1828" t="s">
        <v>355</v>
      </c>
      <c r="BB1828" t="s">
        <v>191</v>
      </c>
      <c r="BC1828" t="s">
        <v>182</v>
      </c>
      <c r="BD1828" t="s">
        <v>182</v>
      </c>
      <c r="BE1828" t="s">
        <v>2135</v>
      </c>
      <c r="BF1828">
        <v>2</v>
      </c>
      <c r="BG1828">
        <v>2</v>
      </c>
      <c r="BH1828">
        <v>1990</v>
      </c>
      <c r="BI1828" t="s">
        <v>22177</v>
      </c>
      <c r="BJ1828" t="s">
        <v>194</v>
      </c>
      <c r="BK1828" t="s">
        <v>195</v>
      </c>
      <c r="BL1828" t="s">
        <v>199</v>
      </c>
      <c r="BM1828" t="s">
        <v>346</v>
      </c>
      <c r="BN1828" t="s">
        <v>182</v>
      </c>
      <c r="BO1828" t="s">
        <v>198</v>
      </c>
      <c r="BP1828" t="s">
        <v>198</v>
      </c>
      <c r="BQ1828" t="s">
        <v>198</v>
      </c>
      <c r="BR1828" t="s">
        <v>198</v>
      </c>
      <c r="BS1828" t="s">
        <v>198</v>
      </c>
      <c r="BT1828" t="s">
        <v>198</v>
      </c>
      <c r="BU1828" t="s">
        <v>182</v>
      </c>
      <c r="BV1828" t="s">
        <v>198</v>
      </c>
      <c r="BW1828" t="s">
        <v>198</v>
      </c>
      <c r="BX1828" t="s">
        <v>199</v>
      </c>
      <c r="BY1828" t="s">
        <v>198</v>
      </c>
      <c r="BZ1828" t="s">
        <v>199</v>
      </c>
      <c r="CA1828" t="s">
        <v>199</v>
      </c>
      <c r="CB1828" t="s">
        <v>22178</v>
      </c>
      <c r="CC1828" t="s">
        <v>201</v>
      </c>
      <c r="CD1828" t="s">
        <v>202</v>
      </c>
      <c r="CE1828" t="s">
        <v>22176</v>
      </c>
      <c r="CF1828" t="s">
        <v>5331</v>
      </c>
      <c r="CG1828" t="s">
        <v>177</v>
      </c>
      <c r="CH1828" t="s">
        <v>371</v>
      </c>
      <c r="CI1828" t="s">
        <v>1955</v>
      </c>
      <c r="CJ1828" t="s">
        <v>15324</v>
      </c>
      <c r="CK1828" t="s">
        <v>232</v>
      </c>
      <c r="CL1828" t="s">
        <v>233</v>
      </c>
      <c r="CM1828" t="s">
        <v>22179</v>
      </c>
      <c r="CN1828" t="s">
        <v>235</v>
      </c>
      <c r="CO1828" t="s">
        <v>183</v>
      </c>
      <c r="CP1828" t="s">
        <v>211</v>
      </c>
      <c r="CQ1828" t="s">
        <v>342</v>
      </c>
      <c r="CS1828" t="s">
        <v>1609</v>
      </c>
      <c r="CT1828" t="s">
        <v>21724</v>
      </c>
      <c r="CU1828" t="s">
        <v>292</v>
      </c>
      <c r="CV1828" t="s">
        <v>293</v>
      </c>
      <c r="CW1828" t="s">
        <v>22180</v>
      </c>
      <c r="CX1828" t="s">
        <v>235</v>
      </c>
      <c r="CY1828" t="s">
        <v>183</v>
      </c>
      <c r="CZ1828" t="s">
        <v>211</v>
      </c>
      <c r="DA1828" t="s">
        <v>270</v>
      </c>
      <c r="DC1828" t="s">
        <v>10768</v>
      </c>
      <c r="DM1828" t="s">
        <v>198</v>
      </c>
      <c r="DW1828" t="s">
        <v>198</v>
      </c>
      <c r="EG1828" t="s">
        <v>198</v>
      </c>
      <c r="EQ1828" t="s">
        <v>198</v>
      </c>
      <c r="FA1828" t="s">
        <v>198</v>
      </c>
      <c r="FK1828" t="s">
        <v>198</v>
      </c>
      <c r="FU1828" t="s">
        <v>198</v>
      </c>
    </row>
    <row r="1829" spans="1:177">
      <c r="A1829" s="1" t="str">
        <f>HYPERLINK("http://digipan.lumentumllc.com/apps/getLink/index.php?t=PropLink&amp;p=5248443","PL")</f>
        <v>PL</v>
      </c>
      <c r="B1829" s="1" t="str">
        <f>HYPERLINK("http://digipan.lumentumllc.com/apps/getLink/index.php?t=TaxLink&amp;p=5248443","TL")</f>
        <v>TL</v>
      </c>
      <c r="C1829" s="1" t="str">
        <f>HYPERLINK("http://digipan.lumentumllc.com/apps/getMap/index.php?p=5248443","Map")</f>
        <v>Map</v>
      </c>
      <c r="E1829" t="s">
        <v>177</v>
      </c>
      <c r="F1829" t="s">
        <v>178</v>
      </c>
      <c r="L1829" t="s">
        <v>22181</v>
      </c>
      <c r="N1829" t="s">
        <v>22181</v>
      </c>
      <c r="O1829" t="s">
        <v>22181</v>
      </c>
      <c r="P1829" t="s">
        <v>22182</v>
      </c>
      <c r="Q1829" t="s">
        <v>22181</v>
      </c>
      <c r="V1829">
        <v>2084</v>
      </c>
      <c r="W1829">
        <v>7</v>
      </c>
      <c r="X1829">
        <v>2017</v>
      </c>
      <c r="Y1829">
        <v>2018</v>
      </c>
      <c r="Z1829">
        <v>1237.78</v>
      </c>
      <c r="AB1829" t="s">
        <v>181</v>
      </c>
      <c r="AC1829" t="s">
        <v>182</v>
      </c>
      <c r="AD1829" t="s">
        <v>183</v>
      </c>
      <c r="AE1829">
        <v>1</v>
      </c>
      <c r="AF1829">
        <v>7</v>
      </c>
      <c r="AG1829" t="s">
        <v>418</v>
      </c>
      <c r="AH1829">
        <v>86</v>
      </c>
      <c r="AI1829">
        <v>1188.8599999999999</v>
      </c>
      <c r="AJ1829">
        <v>59.44</v>
      </c>
      <c r="AK1829">
        <v>1248.3</v>
      </c>
      <c r="AL1829">
        <v>75000</v>
      </c>
      <c r="AM1829">
        <v>75000</v>
      </c>
      <c r="AN1829">
        <v>0</v>
      </c>
      <c r="AO1829">
        <v>1074</v>
      </c>
      <c r="AP1829">
        <v>2016</v>
      </c>
      <c r="AQ1829">
        <v>1.65</v>
      </c>
      <c r="AR1829">
        <v>1.66</v>
      </c>
      <c r="AS1829" t="s">
        <v>22183</v>
      </c>
      <c r="AT1829" t="s">
        <v>15040</v>
      </c>
      <c r="AU1829" t="s">
        <v>177</v>
      </c>
      <c r="AV1829" t="s">
        <v>371</v>
      </c>
      <c r="AW1829" t="s">
        <v>182</v>
      </c>
      <c r="AX1829">
        <v>0</v>
      </c>
      <c r="AY1829" t="s">
        <v>312</v>
      </c>
      <c r="AZ1829" t="s">
        <v>199</v>
      </c>
      <c r="BA1829" t="s">
        <v>313</v>
      </c>
      <c r="BB1829" t="s">
        <v>191</v>
      </c>
      <c r="BC1829" t="s">
        <v>182</v>
      </c>
      <c r="BD1829" t="s">
        <v>182</v>
      </c>
      <c r="BE1829" t="s">
        <v>10639</v>
      </c>
      <c r="BF1829">
        <v>0</v>
      </c>
      <c r="BG1829">
        <v>0</v>
      </c>
      <c r="BH1829">
        <v>0</v>
      </c>
      <c r="BI1829" t="s">
        <v>199</v>
      </c>
      <c r="BJ1829" t="s">
        <v>315</v>
      </c>
      <c r="BL1829" t="s">
        <v>199</v>
      </c>
      <c r="BM1829" t="s">
        <v>267</v>
      </c>
      <c r="BN1829" t="s">
        <v>182</v>
      </c>
      <c r="BO1829" t="s">
        <v>15599</v>
      </c>
      <c r="BP1829" t="s">
        <v>22184</v>
      </c>
      <c r="BS1829" t="s">
        <v>2803</v>
      </c>
      <c r="BT1829" t="s">
        <v>198</v>
      </c>
      <c r="BU1829" t="s">
        <v>182</v>
      </c>
      <c r="BV1829" t="s">
        <v>198</v>
      </c>
      <c r="BW1829" t="s">
        <v>198</v>
      </c>
      <c r="BX1829" t="s">
        <v>199</v>
      </c>
      <c r="BY1829" t="s">
        <v>198</v>
      </c>
      <c r="BZ1829" t="s">
        <v>199</v>
      </c>
      <c r="CA1829" t="s">
        <v>199</v>
      </c>
      <c r="CB1829" t="s">
        <v>22185</v>
      </c>
      <c r="CC1829" t="s">
        <v>201</v>
      </c>
      <c r="CD1829" t="s">
        <v>182</v>
      </c>
      <c r="CE1829" t="s">
        <v>22186</v>
      </c>
      <c r="CF1829" t="s">
        <v>5331</v>
      </c>
      <c r="CG1829" t="s">
        <v>177</v>
      </c>
      <c r="CH1829" t="s">
        <v>371</v>
      </c>
      <c r="CI1829" t="s">
        <v>1972</v>
      </c>
      <c r="CJ1829" t="s">
        <v>10462</v>
      </c>
      <c r="CK1829" t="s">
        <v>232</v>
      </c>
      <c r="CL1829" t="s">
        <v>233</v>
      </c>
      <c r="CM1829" t="s">
        <v>22187</v>
      </c>
      <c r="CN1829" t="s">
        <v>235</v>
      </c>
      <c r="CO1829" t="s">
        <v>183</v>
      </c>
      <c r="CP1829" t="s">
        <v>266</v>
      </c>
      <c r="CS1829" t="s">
        <v>198</v>
      </c>
      <c r="CT1829" t="s">
        <v>3196</v>
      </c>
      <c r="CU1829" t="s">
        <v>292</v>
      </c>
      <c r="CV1829" t="s">
        <v>293</v>
      </c>
      <c r="CW1829" t="s">
        <v>16736</v>
      </c>
      <c r="CX1829" t="s">
        <v>331</v>
      </c>
      <c r="CY1829" t="s">
        <v>183</v>
      </c>
      <c r="CZ1829" t="s">
        <v>211</v>
      </c>
      <c r="DA1829" t="s">
        <v>298</v>
      </c>
      <c r="DC1829" t="s">
        <v>8314</v>
      </c>
      <c r="DD1829" t="s">
        <v>15029</v>
      </c>
      <c r="DE1829" t="s">
        <v>267</v>
      </c>
      <c r="DF1829" t="s">
        <v>268</v>
      </c>
      <c r="DG1829" t="s">
        <v>21997</v>
      </c>
      <c r="DH1829" t="s">
        <v>235</v>
      </c>
      <c r="DI1829" t="s">
        <v>183</v>
      </c>
      <c r="DJ1829" t="s">
        <v>211</v>
      </c>
      <c r="DK1829" t="s">
        <v>298</v>
      </c>
      <c r="DM1829" t="s">
        <v>459</v>
      </c>
      <c r="DN1829" t="s">
        <v>16232</v>
      </c>
      <c r="DO1829" t="s">
        <v>273</v>
      </c>
      <c r="DP1829" t="s">
        <v>274</v>
      </c>
      <c r="DQ1829" t="s">
        <v>22188</v>
      </c>
      <c r="DR1829" t="s">
        <v>235</v>
      </c>
      <c r="DS1829" t="s">
        <v>183</v>
      </c>
      <c r="DT1829" t="s">
        <v>211</v>
      </c>
      <c r="DU1829" t="s">
        <v>345</v>
      </c>
      <c r="DW1829" t="s">
        <v>392</v>
      </c>
      <c r="DX1829" t="s">
        <v>22189</v>
      </c>
      <c r="DY1829" t="s">
        <v>302</v>
      </c>
      <c r="DZ1829" t="s">
        <v>303</v>
      </c>
      <c r="EA1829" t="s">
        <v>22190</v>
      </c>
      <c r="EB1829" t="s">
        <v>838</v>
      </c>
      <c r="EC1829" t="s">
        <v>183</v>
      </c>
      <c r="ED1829" t="s">
        <v>211</v>
      </c>
      <c r="EE1829" t="s">
        <v>290</v>
      </c>
      <c r="EG1829" t="s">
        <v>22191</v>
      </c>
      <c r="EH1829" t="s">
        <v>22192</v>
      </c>
      <c r="EI1829" t="s">
        <v>238</v>
      </c>
      <c r="EJ1829" t="s">
        <v>239</v>
      </c>
      <c r="EK1829" t="s">
        <v>22193</v>
      </c>
      <c r="EL1829" t="s">
        <v>331</v>
      </c>
      <c r="EM1829" t="s">
        <v>183</v>
      </c>
      <c r="EN1829" t="s">
        <v>211</v>
      </c>
      <c r="EO1829" t="s">
        <v>487</v>
      </c>
      <c r="EQ1829" t="s">
        <v>22194</v>
      </c>
      <c r="ER1829" t="s">
        <v>12588</v>
      </c>
      <c r="ES1829" t="s">
        <v>346</v>
      </c>
      <c r="ET1829" t="s">
        <v>347</v>
      </c>
      <c r="EU1829" t="s">
        <v>22195</v>
      </c>
      <c r="EV1829" t="s">
        <v>278</v>
      </c>
      <c r="EW1829" t="s">
        <v>183</v>
      </c>
      <c r="EX1829" t="s">
        <v>211</v>
      </c>
      <c r="EY1829" t="s">
        <v>264</v>
      </c>
      <c r="FA1829" t="s">
        <v>2274</v>
      </c>
      <c r="FB1829" t="s">
        <v>14038</v>
      </c>
      <c r="FC1829" t="s">
        <v>207</v>
      </c>
      <c r="FD1829" t="s">
        <v>208</v>
      </c>
      <c r="FE1829" t="s">
        <v>22196</v>
      </c>
      <c r="FF1829" t="s">
        <v>1296</v>
      </c>
      <c r="FG1829" t="s">
        <v>183</v>
      </c>
      <c r="FH1829" t="s">
        <v>211</v>
      </c>
      <c r="FI1829" t="s">
        <v>296</v>
      </c>
      <c r="FK1829" t="s">
        <v>22197</v>
      </c>
      <c r="FU1829" t="s">
        <v>198</v>
      </c>
    </row>
    <row r="1830" spans="1:177">
      <c r="A1830" s="1" t="str">
        <f>HYPERLINK("http://digipan.lumentumllc.com/apps/getLink/index.php?t=PropLink&amp;p=5248444","PL")</f>
        <v>PL</v>
      </c>
      <c r="B1830" s="1" t="str">
        <f>HYPERLINK("http://digipan.lumentumllc.com/apps/getLink/index.php?t=TaxLink&amp;p=5248444","TL")</f>
        <v>TL</v>
      </c>
      <c r="C1830" s="1" t="str">
        <f>HYPERLINK("http://digipan.lumentumllc.com/apps/getMap/index.php?p=5248444","Map")</f>
        <v>Map</v>
      </c>
      <c r="E1830" t="s">
        <v>177</v>
      </c>
      <c r="F1830" t="s">
        <v>178</v>
      </c>
      <c r="L1830" t="s">
        <v>22198</v>
      </c>
      <c r="N1830" t="s">
        <v>22198</v>
      </c>
      <c r="O1830" t="s">
        <v>22198</v>
      </c>
      <c r="P1830" t="s">
        <v>22199</v>
      </c>
      <c r="Q1830" t="s">
        <v>22198</v>
      </c>
      <c r="V1830">
        <v>2085</v>
      </c>
      <c r="W1830">
        <v>7</v>
      </c>
      <c r="X1830">
        <v>2017</v>
      </c>
      <c r="Y1830">
        <v>2018</v>
      </c>
      <c r="Z1830">
        <v>7449.47</v>
      </c>
      <c r="AB1830" t="s">
        <v>181</v>
      </c>
      <c r="AC1830" t="s">
        <v>182</v>
      </c>
      <c r="AD1830" t="s">
        <v>183</v>
      </c>
      <c r="AE1830">
        <v>1</v>
      </c>
      <c r="AF1830">
        <v>7</v>
      </c>
      <c r="AG1830" t="s">
        <v>418</v>
      </c>
      <c r="AH1830">
        <v>86</v>
      </c>
      <c r="AI1830">
        <v>7383.14</v>
      </c>
      <c r="AJ1830">
        <v>369.16</v>
      </c>
      <c r="AK1830">
        <v>7752.3</v>
      </c>
      <c r="AL1830">
        <v>584544</v>
      </c>
      <c r="AM1830">
        <v>220000</v>
      </c>
      <c r="AN1830">
        <v>364544</v>
      </c>
      <c r="AO1830">
        <v>6802</v>
      </c>
      <c r="AP1830">
        <v>2016</v>
      </c>
      <c r="AQ1830">
        <v>1.27</v>
      </c>
      <c r="AR1830">
        <v>1.33</v>
      </c>
      <c r="AS1830" t="s">
        <v>22200</v>
      </c>
      <c r="AT1830" t="s">
        <v>15040</v>
      </c>
      <c r="AU1830" t="s">
        <v>177</v>
      </c>
      <c r="AV1830" t="s">
        <v>371</v>
      </c>
      <c r="AW1830" t="s">
        <v>202</v>
      </c>
      <c r="AX1830">
        <v>1</v>
      </c>
      <c r="AY1830" t="s">
        <v>188</v>
      </c>
      <c r="AZ1830" t="s">
        <v>206</v>
      </c>
      <c r="BA1830" t="s">
        <v>355</v>
      </c>
      <c r="BB1830" t="s">
        <v>191</v>
      </c>
      <c r="BC1830" t="s">
        <v>182</v>
      </c>
      <c r="BD1830" t="s">
        <v>182</v>
      </c>
      <c r="BE1830" t="s">
        <v>7625</v>
      </c>
      <c r="BF1830">
        <v>1</v>
      </c>
      <c r="BG1830">
        <v>1</v>
      </c>
      <c r="BH1830">
        <v>1997</v>
      </c>
      <c r="BI1830" t="s">
        <v>22201</v>
      </c>
      <c r="BJ1830" t="s">
        <v>194</v>
      </c>
      <c r="BK1830" t="s">
        <v>195</v>
      </c>
      <c r="BL1830" t="s">
        <v>199</v>
      </c>
      <c r="BM1830" t="s">
        <v>267</v>
      </c>
      <c r="BN1830" t="s">
        <v>182</v>
      </c>
      <c r="BO1830" t="s">
        <v>15599</v>
      </c>
      <c r="BP1830" t="s">
        <v>22202</v>
      </c>
      <c r="BR1830" t="s">
        <v>1461</v>
      </c>
      <c r="BS1830" t="s">
        <v>22203</v>
      </c>
      <c r="BT1830" t="s">
        <v>198</v>
      </c>
      <c r="BU1830" t="s">
        <v>182</v>
      </c>
      <c r="BV1830" t="s">
        <v>198</v>
      </c>
      <c r="BW1830" t="s">
        <v>198</v>
      </c>
      <c r="BX1830" t="s">
        <v>199</v>
      </c>
      <c r="BY1830" t="s">
        <v>198</v>
      </c>
      <c r="BZ1830" t="s">
        <v>199</v>
      </c>
      <c r="CA1830" t="s">
        <v>199</v>
      </c>
      <c r="CB1830" t="s">
        <v>22185</v>
      </c>
      <c r="CC1830" t="s">
        <v>201</v>
      </c>
      <c r="CD1830" t="s">
        <v>182</v>
      </c>
      <c r="CE1830" t="s">
        <v>22204</v>
      </c>
      <c r="CF1830" t="s">
        <v>5331</v>
      </c>
      <c r="CG1830" t="s">
        <v>177</v>
      </c>
      <c r="CH1830" t="s">
        <v>371</v>
      </c>
      <c r="CI1830" t="s">
        <v>22205</v>
      </c>
      <c r="CJ1830" t="s">
        <v>15331</v>
      </c>
      <c r="CK1830" t="s">
        <v>232</v>
      </c>
      <c r="CL1830" t="s">
        <v>233</v>
      </c>
      <c r="CM1830" t="s">
        <v>22206</v>
      </c>
      <c r="CN1830" t="s">
        <v>235</v>
      </c>
      <c r="CO1830" t="s">
        <v>183</v>
      </c>
      <c r="CP1830" t="s">
        <v>266</v>
      </c>
      <c r="CS1830" t="s">
        <v>198</v>
      </c>
      <c r="CT1830" t="s">
        <v>14730</v>
      </c>
      <c r="CU1830" t="s">
        <v>292</v>
      </c>
      <c r="CV1830" t="s">
        <v>293</v>
      </c>
      <c r="CW1830" t="s">
        <v>22207</v>
      </c>
      <c r="CX1830" t="s">
        <v>235</v>
      </c>
      <c r="CY1830" t="s">
        <v>183</v>
      </c>
      <c r="CZ1830" t="s">
        <v>211</v>
      </c>
      <c r="DA1830" t="s">
        <v>345</v>
      </c>
      <c r="DC1830" t="s">
        <v>1609</v>
      </c>
      <c r="DD1830" t="s">
        <v>19485</v>
      </c>
      <c r="DE1830" t="s">
        <v>267</v>
      </c>
      <c r="DF1830" t="s">
        <v>268</v>
      </c>
      <c r="DG1830" t="s">
        <v>22208</v>
      </c>
      <c r="DH1830" t="s">
        <v>235</v>
      </c>
      <c r="DI1830" t="s">
        <v>183</v>
      </c>
      <c r="DJ1830" t="s">
        <v>211</v>
      </c>
      <c r="DK1830" t="s">
        <v>298</v>
      </c>
      <c r="DM1830" t="s">
        <v>459</v>
      </c>
      <c r="DN1830" t="s">
        <v>16246</v>
      </c>
      <c r="DO1830" t="s">
        <v>273</v>
      </c>
      <c r="DP1830" t="s">
        <v>274</v>
      </c>
      <c r="DQ1830" t="s">
        <v>22209</v>
      </c>
      <c r="DR1830" t="s">
        <v>235</v>
      </c>
      <c r="DS1830" t="s">
        <v>183</v>
      </c>
      <c r="DT1830" t="s">
        <v>211</v>
      </c>
      <c r="DU1830" t="s">
        <v>345</v>
      </c>
      <c r="DW1830" t="s">
        <v>392</v>
      </c>
      <c r="DX1830" t="s">
        <v>5404</v>
      </c>
      <c r="DY1830" t="s">
        <v>302</v>
      </c>
      <c r="DZ1830" t="s">
        <v>303</v>
      </c>
      <c r="EA1830" t="s">
        <v>22210</v>
      </c>
      <c r="EB1830" t="s">
        <v>235</v>
      </c>
      <c r="EC1830" t="s">
        <v>183</v>
      </c>
      <c r="ED1830" t="s">
        <v>211</v>
      </c>
      <c r="EE1830" t="s">
        <v>345</v>
      </c>
      <c r="EG1830" t="s">
        <v>2432</v>
      </c>
      <c r="EH1830" t="s">
        <v>22211</v>
      </c>
      <c r="EI1830" t="s">
        <v>238</v>
      </c>
      <c r="EJ1830" t="s">
        <v>239</v>
      </c>
      <c r="EK1830" t="s">
        <v>22212</v>
      </c>
      <c r="EL1830" t="s">
        <v>235</v>
      </c>
      <c r="EM1830" t="s">
        <v>183</v>
      </c>
      <c r="EN1830" t="s">
        <v>211</v>
      </c>
      <c r="EO1830" t="s">
        <v>345</v>
      </c>
      <c r="EQ1830" t="s">
        <v>3825</v>
      </c>
      <c r="ER1830" t="s">
        <v>12599</v>
      </c>
      <c r="ES1830" t="s">
        <v>346</v>
      </c>
      <c r="ET1830" t="s">
        <v>347</v>
      </c>
      <c r="EU1830" t="s">
        <v>22213</v>
      </c>
      <c r="EV1830" t="s">
        <v>235</v>
      </c>
      <c r="EW1830" t="s">
        <v>183</v>
      </c>
      <c r="EX1830" t="s">
        <v>211</v>
      </c>
      <c r="EY1830" t="s">
        <v>345</v>
      </c>
      <c r="FA1830" t="s">
        <v>5179</v>
      </c>
      <c r="FB1830" t="s">
        <v>14054</v>
      </c>
      <c r="FC1830" t="s">
        <v>207</v>
      </c>
      <c r="FD1830" t="s">
        <v>208</v>
      </c>
      <c r="FE1830" t="s">
        <v>22214</v>
      </c>
      <c r="FF1830" t="s">
        <v>235</v>
      </c>
      <c r="FG1830" t="s">
        <v>183</v>
      </c>
      <c r="FH1830" t="s">
        <v>211</v>
      </c>
      <c r="FI1830" t="s">
        <v>471</v>
      </c>
      <c r="FK1830" t="s">
        <v>2274</v>
      </c>
      <c r="FU1830" t="s">
        <v>198</v>
      </c>
    </row>
    <row r="1831" spans="1:177">
      <c r="A1831" s="1" t="str">
        <f>HYPERLINK("http://digipan.lumentumllc.com/apps/getLink/index.php?t=PropLink&amp;p=6129604","PL")</f>
        <v>PL</v>
      </c>
      <c r="B1831" s="1" t="str">
        <f>HYPERLINK("http://digipan.lumentumllc.com/apps/getLink/index.php?t=TaxLink&amp;p=6129604","TL")</f>
        <v>TL</v>
      </c>
      <c r="C1831" s="1" t="str">
        <f>HYPERLINK("http://digipan.lumentumllc.com/apps/getMap/index.php?p=6129604","Map")</f>
        <v>Map</v>
      </c>
      <c r="E1831" t="s">
        <v>177</v>
      </c>
      <c r="F1831" t="s">
        <v>178</v>
      </c>
      <c r="L1831" t="s">
        <v>22215</v>
      </c>
      <c r="N1831" t="s">
        <v>22215</v>
      </c>
      <c r="O1831" t="s">
        <v>22215</v>
      </c>
      <c r="P1831" t="s">
        <v>22216</v>
      </c>
      <c r="Q1831" t="s">
        <v>22215</v>
      </c>
      <c r="V1831">
        <v>2088</v>
      </c>
      <c r="W1831">
        <v>7</v>
      </c>
      <c r="X1831">
        <v>2017</v>
      </c>
      <c r="Y1831">
        <v>2018</v>
      </c>
      <c r="Z1831">
        <v>2391.91</v>
      </c>
      <c r="AB1831" t="s">
        <v>181</v>
      </c>
      <c r="AC1831" t="s">
        <v>182</v>
      </c>
      <c r="AD1831" t="s">
        <v>183</v>
      </c>
      <c r="AE1831">
        <v>0</v>
      </c>
      <c r="AF1831">
        <v>2</v>
      </c>
      <c r="AG1831" t="s">
        <v>216</v>
      </c>
      <c r="AH1831">
        <v>100</v>
      </c>
      <c r="AK1831">
        <v>0</v>
      </c>
      <c r="AL1831">
        <v>183242</v>
      </c>
      <c r="AM1831">
        <v>47250</v>
      </c>
      <c r="AN1831">
        <v>135992</v>
      </c>
      <c r="AO1831">
        <v>2305</v>
      </c>
      <c r="AP1831">
        <v>2016</v>
      </c>
      <c r="AQ1831">
        <v>1.31</v>
      </c>
      <c r="AS1831" t="s">
        <v>22217</v>
      </c>
      <c r="AT1831" t="s">
        <v>15040</v>
      </c>
      <c r="AU1831" t="s">
        <v>177</v>
      </c>
      <c r="AV1831" t="s">
        <v>371</v>
      </c>
      <c r="AW1831" t="s">
        <v>202</v>
      </c>
      <c r="AX1831">
        <v>1</v>
      </c>
      <c r="AY1831" t="s">
        <v>188</v>
      </c>
      <c r="AZ1831" t="s">
        <v>206</v>
      </c>
      <c r="BA1831" t="s">
        <v>355</v>
      </c>
      <c r="BB1831" t="s">
        <v>191</v>
      </c>
      <c r="BC1831" t="s">
        <v>182</v>
      </c>
      <c r="BD1831" t="s">
        <v>182</v>
      </c>
      <c r="BE1831" t="s">
        <v>5948</v>
      </c>
      <c r="BF1831">
        <v>1</v>
      </c>
      <c r="BG1831">
        <v>1</v>
      </c>
      <c r="BH1831">
        <v>1999</v>
      </c>
      <c r="BI1831" t="s">
        <v>16651</v>
      </c>
      <c r="BJ1831" t="s">
        <v>248</v>
      </c>
      <c r="BK1831" t="s">
        <v>195</v>
      </c>
      <c r="BL1831" t="s">
        <v>3487</v>
      </c>
      <c r="BM1831" t="s">
        <v>197</v>
      </c>
      <c r="BN1831" t="s">
        <v>182</v>
      </c>
      <c r="BO1831" t="s">
        <v>198</v>
      </c>
      <c r="BP1831" t="s">
        <v>198</v>
      </c>
      <c r="BQ1831" t="s">
        <v>198</v>
      </c>
      <c r="BR1831" t="s">
        <v>198</v>
      </c>
      <c r="BS1831" t="s">
        <v>198</v>
      </c>
      <c r="BT1831" t="s">
        <v>198</v>
      </c>
      <c r="BU1831" t="s">
        <v>182</v>
      </c>
      <c r="BV1831" t="s">
        <v>198</v>
      </c>
      <c r="BW1831" t="s">
        <v>198</v>
      </c>
      <c r="BX1831" t="s">
        <v>199</v>
      </c>
      <c r="BY1831" t="s">
        <v>198</v>
      </c>
      <c r="BZ1831" t="s">
        <v>199</v>
      </c>
      <c r="CA1831" t="s">
        <v>199</v>
      </c>
      <c r="CB1831" t="s">
        <v>22218</v>
      </c>
      <c r="CC1831" t="s">
        <v>201</v>
      </c>
      <c r="CD1831" t="s">
        <v>202</v>
      </c>
      <c r="CE1831" t="s">
        <v>22219</v>
      </c>
      <c r="CF1831" t="s">
        <v>5331</v>
      </c>
      <c r="CG1831" t="s">
        <v>177</v>
      </c>
      <c r="CH1831" t="s">
        <v>371</v>
      </c>
      <c r="CI1831" t="s">
        <v>4622</v>
      </c>
      <c r="CJ1831" t="s">
        <v>20189</v>
      </c>
      <c r="CK1831" t="s">
        <v>302</v>
      </c>
      <c r="CL1831" t="s">
        <v>303</v>
      </c>
      <c r="CM1831" t="s">
        <v>22220</v>
      </c>
      <c r="CN1831" t="s">
        <v>235</v>
      </c>
      <c r="CO1831" t="s">
        <v>183</v>
      </c>
      <c r="CP1831" t="s">
        <v>211</v>
      </c>
      <c r="CQ1831" t="s">
        <v>206</v>
      </c>
      <c r="CS1831" t="s">
        <v>22221</v>
      </c>
      <c r="CT1831" t="s">
        <v>22222</v>
      </c>
      <c r="CU1831" t="s">
        <v>238</v>
      </c>
      <c r="CV1831" t="s">
        <v>239</v>
      </c>
      <c r="CW1831" t="s">
        <v>22223</v>
      </c>
      <c r="CX1831" t="s">
        <v>235</v>
      </c>
      <c r="CY1831" t="s">
        <v>183</v>
      </c>
      <c r="CZ1831" t="s">
        <v>211</v>
      </c>
      <c r="DA1831" t="s">
        <v>206</v>
      </c>
      <c r="DC1831" t="s">
        <v>15663</v>
      </c>
      <c r="DM1831" t="s">
        <v>198</v>
      </c>
      <c r="DW1831" t="s">
        <v>198</v>
      </c>
      <c r="EG1831" t="s">
        <v>198</v>
      </c>
      <c r="EQ1831" t="s">
        <v>198</v>
      </c>
      <c r="FA1831" t="s">
        <v>198</v>
      </c>
      <c r="FK1831" t="s">
        <v>198</v>
      </c>
      <c r="FU1831" t="s">
        <v>198</v>
      </c>
    </row>
    <row r="1832" spans="1:177">
      <c r="A1832" s="1" t="str">
        <f>HYPERLINK("http://digipan.lumentumllc.com/apps/getLink/index.php?t=PropLink&amp;p=15762884","PL")</f>
        <v>PL</v>
      </c>
      <c r="B1832" s="1" t="str">
        <f>HYPERLINK("http://digipan.lumentumllc.com/apps/getLink/index.php?t=TaxLink&amp;p=15762884","TL")</f>
        <v>TL</v>
      </c>
      <c r="C1832" s="1" t="str">
        <f>HYPERLINK("http://digipan.lumentumllc.com/apps/getMap/index.php?p=15762884","Map")</f>
        <v>Map</v>
      </c>
      <c r="E1832" t="s">
        <v>177</v>
      </c>
      <c r="F1832" t="s">
        <v>178</v>
      </c>
      <c r="L1832" t="s">
        <v>22224</v>
      </c>
      <c r="N1832" t="s">
        <v>22224</v>
      </c>
      <c r="O1832" t="s">
        <v>22224</v>
      </c>
      <c r="Q1832" t="s">
        <v>22224</v>
      </c>
      <c r="V1832">
        <v>2089</v>
      </c>
      <c r="W1832">
        <v>7</v>
      </c>
      <c r="X1832">
        <v>2017</v>
      </c>
      <c r="Y1832">
        <v>2018</v>
      </c>
      <c r="Z1832">
        <v>719.63</v>
      </c>
      <c r="AG1832" t="s">
        <v>184</v>
      </c>
      <c r="AH1832">
        <v>0</v>
      </c>
      <c r="AK1832">
        <v>0</v>
      </c>
      <c r="AL1832">
        <v>42000</v>
      </c>
      <c r="AM1832">
        <v>42000</v>
      </c>
      <c r="AN1832">
        <v>0</v>
      </c>
      <c r="AO1832">
        <v>645</v>
      </c>
      <c r="AP1832">
        <v>2016</v>
      </c>
      <c r="AQ1832">
        <v>1.71</v>
      </c>
      <c r="AS1832" t="s">
        <v>22225</v>
      </c>
      <c r="AT1832" t="s">
        <v>15040</v>
      </c>
      <c r="AU1832" t="s">
        <v>177</v>
      </c>
      <c r="AV1832" t="s">
        <v>371</v>
      </c>
      <c r="AW1832" t="s">
        <v>182</v>
      </c>
      <c r="AX1832">
        <v>0</v>
      </c>
      <c r="AY1832" t="s">
        <v>312</v>
      </c>
      <c r="AZ1832" t="s">
        <v>199</v>
      </c>
      <c r="BA1832" t="s">
        <v>313</v>
      </c>
      <c r="BB1832" t="s">
        <v>191</v>
      </c>
      <c r="BC1832" t="s">
        <v>182</v>
      </c>
      <c r="BD1832" t="s">
        <v>182</v>
      </c>
      <c r="BE1832" t="s">
        <v>18053</v>
      </c>
      <c r="BF1832">
        <v>0</v>
      </c>
      <c r="BG1832">
        <v>0</v>
      </c>
      <c r="BH1832">
        <v>0</v>
      </c>
      <c r="BI1832" t="s">
        <v>199</v>
      </c>
      <c r="BJ1832" t="s">
        <v>396</v>
      </c>
      <c r="BL1832" t="s">
        <v>1720</v>
      </c>
      <c r="BM1832" t="s">
        <v>197</v>
      </c>
      <c r="BN1832" t="s">
        <v>182</v>
      </c>
      <c r="BO1832" t="s">
        <v>22226</v>
      </c>
      <c r="BP1832" t="s">
        <v>1574</v>
      </c>
      <c r="BQ1832" t="s">
        <v>904</v>
      </c>
      <c r="BR1832" t="s">
        <v>16290</v>
      </c>
      <c r="BS1832" t="s">
        <v>198</v>
      </c>
      <c r="BT1832" t="s">
        <v>228</v>
      </c>
      <c r="BU1832" t="s">
        <v>182</v>
      </c>
      <c r="BV1832" t="s">
        <v>198</v>
      </c>
      <c r="BW1832" t="s">
        <v>198</v>
      </c>
      <c r="BX1832" t="s">
        <v>199</v>
      </c>
      <c r="BY1832" t="s">
        <v>198</v>
      </c>
      <c r="BZ1832" t="s">
        <v>199</v>
      </c>
      <c r="CA1832" t="s">
        <v>199</v>
      </c>
      <c r="CB1832" t="s">
        <v>22227</v>
      </c>
      <c r="CC1832" t="s">
        <v>201</v>
      </c>
      <c r="CD1832" t="s">
        <v>202</v>
      </c>
      <c r="CE1832" t="s">
        <v>20289</v>
      </c>
      <c r="CF1832" t="s">
        <v>7175</v>
      </c>
      <c r="CG1832" t="s">
        <v>177</v>
      </c>
      <c r="CH1832" t="s">
        <v>20290</v>
      </c>
      <c r="CI1832" t="s">
        <v>610</v>
      </c>
      <c r="CS1832" t="s">
        <v>198</v>
      </c>
      <c r="DC1832" t="s">
        <v>198</v>
      </c>
      <c r="DM1832" t="s">
        <v>198</v>
      </c>
      <c r="DW1832" t="s">
        <v>198</v>
      </c>
      <c r="EG1832" t="s">
        <v>198</v>
      </c>
      <c r="EQ1832" t="s">
        <v>198</v>
      </c>
      <c r="FA1832" t="s">
        <v>198</v>
      </c>
      <c r="FK1832" t="s">
        <v>198</v>
      </c>
      <c r="FU1832" t="s">
        <v>198</v>
      </c>
    </row>
    <row r="1833" spans="1:177">
      <c r="A1833" s="1" t="str">
        <f>HYPERLINK("http://digipan.lumentumllc.com/apps/getLink/index.php?t=PropLink&amp;p=15762933","PL")</f>
        <v>PL</v>
      </c>
      <c r="B1833" s="1" t="str">
        <f>HYPERLINK("http://digipan.lumentumllc.com/apps/getLink/index.php?t=TaxLink&amp;p=15762933","TL")</f>
        <v>TL</v>
      </c>
      <c r="C1833" s="1" t="str">
        <f>HYPERLINK("http://digipan.lumentumllc.com/apps/getMap/index.php?p=15762933","Map")</f>
        <v>Map</v>
      </c>
      <c r="E1833" t="s">
        <v>177</v>
      </c>
      <c r="F1833" t="s">
        <v>178</v>
      </c>
      <c r="L1833" t="s">
        <v>22228</v>
      </c>
      <c r="N1833" t="s">
        <v>22228</v>
      </c>
      <c r="O1833" t="s">
        <v>22228</v>
      </c>
      <c r="Q1833" t="s">
        <v>22228</v>
      </c>
      <c r="V1833">
        <v>2090</v>
      </c>
      <c r="W1833">
        <v>7</v>
      </c>
      <c r="X1833">
        <v>2017</v>
      </c>
      <c r="Y1833">
        <v>2018</v>
      </c>
      <c r="Z1833">
        <v>2611.73</v>
      </c>
      <c r="AG1833" t="s">
        <v>184</v>
      </c>
      <c r="AH1833">
        <v>0</v>
      </c>
      <c r="AK1833">
        <v>0</v>
      </c>
      <c r="AL1833">
        <v>200000</v>
      </c>
      <c r="AM1833">
        <v>200000</v>
      </c>
      <c r="AN1833">
        <v>0</v>
      </c>
      <c r="AO1833">
        <v>2262</v>
      </c>
      <c r="AP1833">
        <v>2016</v>
      </c>
      <c r="AQ1833">
        <v>1.31</v>
      </c>
      <c r="AS1833" t="s">
        <v>22229</v>
      </c>
      <c r="AT1833" t="s">
        <v>15040</v>
      </c>
      <c r="AU1833" t="s">
        <v>177</v>
      </c>
      <c r="AV1833" t="s">
        <v>371</v>
      </c>
      <c r="AW1833" t="s">
        <v>182</v>
      </c>
      <c r="AX1833">
        <v>0</v>
      </c>
      <c r="AY1833" t="s">
        <v>312</v>
      </c>
      <c r="AZ1833" t="s">
        <v>199</v>
      </c>
      <c r="BA1833" t="s">
        <v>313</v>
      </c>
      <c r="BB1833" t="s">
        <v>191</v>
      </c>
      <c r="BC1833" t="s">
        <v>182</v>
      </c>
      <c r="BD1833" t="s">
        <v>182</v>
      </c>
      <c r="BE1833" t="s">
        <v>1385</v>
      </c>
      <c r="BF1833">
        <v>0</v>
      </c>
      <c r="BG1833">
        <v>0</v>
      </c>
      <c r="BH1833">
        <v>0</v>
      </c>
      <c r="BI1833" t="s">
        <v>199</v>
      </c>
      <c r="BJ1833" t="s">
        <v>396</v>
      </c>
      <c r="BL1833" t="s">
        <v>22230</v>
      </c>
      <c r="BM1833" t="s">
        <v>197</v>
      </c>
      <c r="BN1833" t="s">
        <v>182</v>
      </c>
      <c r="BO1833" t="s">
        <v>22231</v>
      </c>
      <c r="BP1833" t="s">
        <v>22232</v>
      </c>
      <c r="BQ1833" t="s">
        <v>226</v>
      </c>
      <c r="BR1833" t="s">
        <v>227</v>
      </c>
      <c r="BS1833" t="s">
        <v>198</v>
      </c>
      <c r="BT1833" t="s">
        <v>228</v>
      </c>
      <c r="BU1833" t="s">
        <v>182</v>
      </c>
      <c r="BV1833" t="s">
        <v>198</v>
      </c>
      <c r="BW1833" t="s">
        <v>198</v>
      </c>
      <c r="BX1833" t="s">
        <v>199</v>
      </c>
      <c r="BY1833" t="s">
        <v>198</v>
      </c>
      <c r="BZ1833" t="s">
        <v>199</v>
      </c>
      <c r="CA1833" t="s">
        <v>199</v>
      </c>
      <c r="CB1833" t="s">
        <v>22233</v>
      </c>
      <c r="CC1833" t="s">
        <v>201</v>
      </c>
      <c r="CD1833" t="s">
        <v>202</v>
      </c>
      <c r="CE1833" t="s">
        <v>22234</v>
      </c>
      <c r="CF1833" t="s">
        <v>413</v>
      </c>
      <c r="CG1833" t="s">
        <v>177</v>
      </c>
      <c r="CH1833" t="s">
        <v>782</v>
      </c>
      <c r="CI1833" t="s">
        <v>20920</v>
      </c>
      <c r="CS1833" t="s">
        <v>198</v>
      </c>
      <c r="DC1833" t="s">
        <v>198</v>
      </c>
      <c r="DM1833" t="s">
        <v>198</v>
      </c>
      <c r="DW1833" t="s">
        <v>198</v>
      </c>
      <c r="EG1833" t="s">
        <v>198</v>
      </c>
      <c r="EQ1833" t="s">
        <v>198</v>
      </c>
      <c r="FA1833" t="s">
        <v>198</v>
      </c>
      <c r="FK1833" t="s">
        <v>198</v>
      </c>
      <c r="FU1833" t="s">
        <v>198</v>
      </c>
    </row>
    <row r="1834" spans="1:177">
      <c r="A1834" s="1" t="str">
        <f>HYPERLINK("http://digipan.lumentumllc.com/apps/getLink/index.php?t=PropLink&amp;p=15763294","PL")</f>
        <v>PL</v>
      </c>
      <c r="B1834" s="1" t="str">
        <f>HYPERLINK("http://digipan.lumentumllc.com/apps/getLink/index.php?t=TaxLink&amp;p=15763294","TL")</f>
        <v>TL</v>
      </c>
      <c r="C1834" s="1" t="str">
        <f>HYPERLINK("http://digipan.lumentumllc.com/apps/getMap/index.php?p=15763294","Map")</f>
        <v>Map</v>
      </c>
      <c r="E1834" t="s">
        <v>177</v>
      </c>
      <c r="F1834" t="s">
        <v>178</v>
      </c>
      <c r="L1834" t="s">
        <v>22235</v>
      </c>
      <c r="N1834" t="s">
        <v>22235</v>
      </c>
      <c r="O1834" t="s">
        <v>22235</v>
      </c>
      <c r="Q1834" t="s">
        <v>22235</v>
      </c>
      <c r="V1834">
        <v>2093</v>
      </c>
      <c r="W1834">
        <v>7</v>
      </c>
      <c r="X1834">
        <v>2017</v>
      </c>
      <c r="Y1834">
        <v>2018</v>
      </c>
      <c r="Z1834">
        <v>611.29999999999995</v>
      </c>
      <c r="AB1834" t="s">
        <v>181</v>
      </c>
      <c r="AC1834" t="s">
        <v>182</v>
      </c>
      <c r="AD1834" t="s">
        <v>183</v>
      </c>
      <c r="AE1834">
        <v>0</v>
      </c>
      <c r="AF1834">
        <v>1</v>
      </c>
      <c r="AG1834" t="s">
        <v>821</v>
      </c>
      <c r="AH1834">
        <v>100</v>
      </c>
      <c r="AK1834">
        <v>0</v>
      </c>
      <c r="AL1834">
        <v>95377</v>
      </c>
      <c r="AM1834">
        <v>20000</v>
      </c>
      <c r="AN1834">
        <v>75377</v>
      </c>
      <c r="AO1834">
        <v>535</v>
      </c>
      <c r="AP1834">
        <v>2016</v>
      </c>
      <c r="AQ1834">
        <v>0.64</v>
      </c>
      <c r="AS1834" t="s">
        <v>22236</v>
      </c>
      <c r="AT1834" t="s">
        <v>3210</v>
      </c>
      <c r="AU1834" t="s">
        <v>177</v>
      </c>
      <c r="AV1834" t="s">
        <v>2334</v>
      </c>
      <c r="AW1834" t="s">
        <v>202</v>
      </c>
      <c r="AX1834">
        <v>2</v>
      </c>
      <c r="AY1834" t="s">
        <v>188</v>
      </c>
      <c r="AZ1834" t="s">
        <v>189</v>
      </c>
      <c r="BA1834" t="s">
        <v>190</v>
      </c>
      <c r="BB1834" t="s">
        <v>191</v>
      </c>
      <c r="BC1834" t="s">
        <v>182</v>
      </c>
      <c r="BD1834" t="s">
        <v>182</v>
      </c>
      <c r="BE1834" t="s">
        <v>8875</v>
      </c>
      <c r="BF1834">
        <v>1</v>
      </c>
      <c r="BG1834">
        <v>1</v>
      </c>
      <c r="BH1834">
        <v>2001</v>
      </c>
      <c r="BI1834" t="s">
        <v>19250</v>
      </c>
      <c r="BJ1834" t="s">
        <v>194</v>
      </c>
      <c r="BK1834" t="s">
        <v>195</v>
      </c>
      <c r="BL1834" t="s">
        <v>884</v>
      </c>
      <c r="BM1834" t="s">
        <v>679</v>
      </c>
      <c r="BN1834" t="s">
        <v>182</v>
      </c>
      <c r="BO1834" t="s">
        <v>198</v>
      </c>
      <c r="BP1834" t="s">
        <v>198</v>
      </c>
      <c r="BQ1834" t="s">
        <v>198</v>
      </c>
      <c r="BR1834" t="s">
        <v>198</v>
      </c>
      <c r="BS1834" t="s">
        <v>198</v>
      </c>
      <c r="BT1834" t="s">
        <v>198</v>
      </c>
      <c r="BU1834" t="s">
        <v>182</v>
      </c>
      <c r="BV1834" t="s">
        <v>198</v>
      </c>
      <c r="BW1834" t="s">
        <v>198</v>
      </c>
      <c r="BX1834" t="s">
        <v>199</v>
      </c>
      <c r="BY1834" t="s">
        <v>198</v>
      </c>
      <c r="BZ1834" t="s">
        <v>199</v>
      </c>
      <c r="CA1834" t="s">
        <v>199</v>
      </c>
      <c r="CB1834" t="s">
        <v>22237</v>
      </c>
      <c r="CC1834" t="s">
        <v>201</v>
      </c>
      <c r="CD1834" t="s">
        <v>182</v>
      </c>
      <c r="CE1834" t="s">
        <v>22238</v>
      </c>
      <c r="CF1834" t="s">
        <v>2333</v>
      </c>
      <c r="CG1834" t="s">
        <v>177</v>
      </c>
      <c r="CH1834" t="s">
        <v>2334</v>
      </c>
      <c r="CI1834" t="s">
        <v>22239</v>
      </c>
      <c r="CJ1834" t="s">
        <v>15361</v>
      </c>
      <c r="CK1834" t="s">
        <v>232</v>
      </c>
      <c r="CL1834" t="s">
        <v>233</v>
      </c>
      <c r="CM1834" t="s">
        <v>22240</v>
      </c>
      <c r="CN1834" t="s">
        <v>235</v>
      </c>
      <c r="CO1834" t="s">
        <v>183</v>
      </c>
      <c r="CP1834" t="s">
        <v>211</v>
      </c>
      <c r="CQ1834" t="s">
        <v>189</v>
      </c>
      <c r="CS1834" t="s">
        <v>9578</v>
      </c>
      <c r="DC1834" t="s">
        <v>198</v>
      </c>
      <c r="DM1834" t="s">
        <v>198</v>
      </c>
      <c r="DW1834" t="s">
        <v>198</v>
      </c>
      <c r="EG1834" t="s">
        <v>198</v>
      </c>
      <c r="EQ1834" t="s">
        <v>198</v>
      </c>
      <c r="FA1834" t="s">
        <v>198</v>
      </c>
      <c r="FK1834" t="s">
        <v>198</v>
      </c>
      <c r="FU1834" t="s">
        <v>198</v>
      </c>
    </row>
    <row r="1835" spans="1:177">
      <c r="A1835" s="1" t="str">
        <f>HYPERLINK("http://digipan.lumentumllc.com/apps/getLink/index.php?t=PropLink&amp;p=5248512","PL")</f>
        <v>PL</v>
      </c>
      <c r="B1835" s="1" t="str">
        <f>HYPERLINK("http://digipan.lumentumllc.com/apps/getLink/index.php?t=TaxLink&amp;p=5248512","TL")</f>
        <v>TL</v>
      </c>
      <c r="C1835" s="1" t="str">
        <f>HYPERLINK("http://digipan.lumentumllc.com/apps/getMap/index.php?p=5248512","Map")</f>
        <v>Map</v>
      </c>
      <c r="E1835" t="s">
        <v>177</v>
      </c>
      <c r="F1835" t="s">
        <v>178</v>
      </c>
      <c r="L1835" t="s">
        <v>22241</v>
      </c>
      <c r="N1835" t="s">
        <v>22241</v>
      </c>
      <c r="O1835" t="s">
        <v>22241</v>
      </c>
      <c r="P1835" t="s">
        <v>22242</v>
      </c>
      <c r="Q1835" t="s">
        <v>22241</v>
      </c>
      <c r="V1835">
        <v>2095</v>
      </c>
      <c r="W1835">
        <v>7</v>
      </c>
      <c r="X1835">
        <v>2017</v>
      </c>
      <c r="Y1835">
        <v>2018</v>
      </c>
      <c r="Z1835">
        <v>776.95</v>
      </c>
      <c r="AB1835" t="s">
        <v>181</v>
      </c>
      <c r="AC1835" t="s">
        <v>182</v>
      </c>
      <c r="AD1835" t="s">
        <v>183</v>
      </c>
      <c r="AE1835">
        <v>1</v>
      </c>
      <c r="AF1835">
        <v>5</v>
      </c>
      <c r="AG1835" t="s">
        <v>951</v>
      </c>
      <c r="AH1835">
        <v>80</v>
      </c>
      <c r="AI1835">
        <v>757.47</v>
      </c>
      <c r="AJ1835">
        <v>37.869999999999997</v>
      </c>
      <c r="AK1835">
        <v>795.34</v>
      </c>
      <c r="AL1835">
        <v>45500</v>
      </c>
      <c r="AM1835">
        <v>42500</v>
      </c>
      <c r="AN1835">
        <v>3000</v>
      </c>
      <c r="AO1835">
        <v>675</v>
      </c>
      <c r="AP1835">
        <v>2016</v>
      </c>
      <c r="AQ1835">
        <v>1.71</v>
      </c>
      <c r="AR1835">
        <v>1.75</v>
      </c>
      <c r="AS1835" t="s">
        <v>22243</v>
      </c>
      <c r="AT1835" t="s">
        <v>3210</v>
      </c>
      <c r="AU1835" t="s">
        <v>177</v>
      </c>
      <c r="AV1835" t="s">
        <v>2334</v>
      </c>
      <c r="AW1835" t="s">
        <v>182</v>
      </c>
      <c r="AX1835">
        <v>0</v>
      </c>
      <c r="AY1835" t="s">
        <v>312</v>
      </c>
      <c r="AZ1835" t="s">
        <v>199</v>
      </c>
      <c r="BA1835" t="s">
        <v>313</v>
      </c>
      <c r="BB1835" t="s">
        <v>191</v>
      </c>
      <c r="BC1835" t="s">
        <v>182</v>
      </c>
      <c r="BD1835" t="s">
        <v>182</v>
      </c>
      <c r="BE1835" t="s">
        <v>365</v>
      </c>
      <c r="BF1835">
        <v>0</v>
      </c>
      <c r="BG1835">
        <v>0</v>
      </c>
      <c r="BH1835">
        <v>0</v>
      </c>
      <c r="BI1835" t="s">
        <v>199</v>
      </c>
      <c r="BJ1835" t="s">
        <v>248</v>
      </c>
      <c r="BL1835" t="s">
        <v>199</v>
      </c>
      <c r="BM1835" t="s">
        <v>273</v>
      </c>
      <c r="BN1835" t="s">
        <v>182</v>
      </c>
      <c r="BO1835" t="s">
        <v>198</v>
      </c>
      <c r="BP1835" t="s">
        <v>198</v>
      </c>
      <c r="BQ1835" t="s">
        <v>198</v>
      </c>
      <c r="BR1835" t="s">
        <v>198</v>
      </c>
      <c r="BS1835" t="s">
        <v>198</v>
      </c>
      <c r="BT1835" t="s">
        <v>198</v>
      </c>
      <c r="BU1835" t="s">
        <v>182</v>
      </c>
      <c r="BV1835" t="s">
        <v>198</v>
      </c>
      <c r="BW1835" t="s">
        <v>198</v>
      </c>
      <c r="BX1835" t="s">
        <v>199</v>
      </c>
      <c r="BY1835" t="s">
        <v>198</v>
      </c>
      <c r="BZ1835" t="s">
        <v>199</v>
      </c>
      <c r="CA1835" t="s">
        <v>199</v>
      </c>
      <c r="CB1835" t="s">
        <v>22244</v>
      </c>
      <c r="CC1835" t="s">
        <v>201</v>
      </c>
      <c r="CD1835" t="s">
        <v>182</v>
      </c>
      <c r="CE1835" t="s">
        <v>22245</v>
      </c>
      <c r="CF1835" t="s">
        <v>2333</v>
      </c>
      <c r="CG1835" t="s">
        <v>177</v>
      </c>
      <c r="CH1835" t="s">
        <v>2334</v>
      </c>
      <c r="CI1835" t="s">
        <v>22246</v>
      </c>
      <c r="CJ1835" t="s">
        <v>21724</v>
      </c>
      <c r="CK1835" t="s">
        <v>232</v>
      </c>
      <c r="CL1835" t="s">
        <v>233</v>
      </c>
      <c r="CM1835" t="s">
        <v>22247</v>
      </c>
      <c r="CN1835" t="s">
        <v>331</v>
      </c>
      <c r="CO1835" t="s">
        <v>183</v>
      </c>
      <c r="CP1835" t="s">
        <v>266</v>
      </c>
      <c r="CS1835" t="s">
        <v>198</v>
      </c>
      <c r="CT1835" t="s">
        <v>11916</v>
      </c>
      <c r="CU1835" t="s">
        <v>292</v>
      </c>
      <c r="CV1835" t="s">
        <v>293</v>
      </c>
      <c r="CW1835" t="s">
        <v>22248</v>
      </c>
      <c r="CX1835" t="s">
        <v>331</v>
      </c>
      <c r="CY1835" t="s">
        <v>183</v>
      </c>
      <c r="CZ1835" t="s">
        <v>211</v>
      </c>
      <c r="DA1835" t="s">
        <v>298</v>
      </c>
      <c r="DC1835" t="s">
        <v>4023</v>
      </c>
      <c r="DD1835" t="s">
        <v>3004</v>
      </c>
      <c r="DE1835" t="s">
        <v>267</v>
      </c>
      <c r="DF1835" t="s">
        <v>268</v>
      </c>
      <c r="DG1835" t="s">
        <v>9870</v>
      </c>
      <c r="DH1835" t="s">
        <v>484</v>
      </c>
      <c r="DI1835" t="s">
        <v>183</v>
      </c>
      <c r="DJ1835" t="s">
        <v>211</v>
      </c>
      <c r="DK1835" t="s">
        <v>345</v>
      </c>
      <c r="DM1835" t="s">
        <v>3125</v>
      </c>
      <c r="DN1835" t="s">
        <v>883</v>
      </c>
      <c r="DO1835" t="s">
        <v>273</v>
      </c>
      <c r="DP1835" t="s">
        <v>268</v>
      </c>
      <c r="DQ1835" t="s">
        <v>22249</v>
      </c>
      <c r="DR1835" t="s">
        <v>1615</v>
      </c>
      <c r="DS1835" t="s">
        <v>183</v>
      </c>
      <c r="DT1835" t="s">
        <v>211</v>
      </c>
      <c r="DU1835" t="s">
        <v>329</v>
      </c>
      <c r="DW1835" t="s">
        <v>3408</v>
      </c>
      <c r="DX1835" t="s">
        <v>12689</v>
      </c>
      <c r="DY1835" t="s">
        <v>346</v>
      </c>
      <c r="DZ1835" t="s">
        <v>347</v>
      </c>
      <c r="EA1835" t="s">
        <v>22250</v>
      </c>
      <c r="EB1835" t="s">
        <v>278</v>
      </c>
      <c r="EC1835" t="s">
        <v>183</v>
      </c>
      <c r="ED1835" t="s">
        <v>211</v>
      </c>
      <c r="EE1835" t="s">
        <v>345</v>
      </c>
      <c r="EG1835" t="s">
        <v>8421</v>
      </c>
      <c r="EH1835" t="s">
        <v>20581</v>
      </c>
      <c r="EI1835" t="s">
        <v>207</v>
      </c>
      <c r="EJ1835" t="s">
        <v>208</v>
      </c>
      <c r="EK1835" t="s">
        <v>22251</v>
      </c>
      <c r="EL1835" t="s">
        <v>341</v>
      </c>
      <c r="EM1835" t="s">
        <v>183</v>
      </c>
      <c r="EN1835" t="s">
        <v>211</v>
      </c>
      <c r="EO1835" t="s">
        <v>298</v>
      </c>
      <c r="EQ1835" t="s">
        <v>446</v>
      </c>
      <c r="FA1835" t="s">
        <v>198</v>
      </c>
      <c r="FK1835" t="s">
        <v>198</v>
      </c>
      <c r="FU1835" t="s">
        <v>198</v>
      </c>
    </row>
    <row r="1836" spans="1:177">
      <c r="A1836" s="1" t="str">
        <f>HYPERLINK("http://digipan.lumentumllc.com/apps/getLink/index.php?t=PropLink&amp;p=5248513","PL")</f>
        <v>PL</v>
      </c>
      <c r="B1836" s="1" t="str">
        <f>HYPERLINK("http://digipan.lumentumllc.com/apps/getLink/index.php?t=TaxLink&amp;p=5248513","TL")</f>
        <v>TL</v>
      </c>
      <c r="C1836" s="1" t="str">
        <f>HYPERLINK("http://digipan.lumentumllc.com/apps/getMap/index.php?p=5248513","Map")</f>
        <v>Map</v>
      </c>
      <c r="E1836" t="s">
        <v>177</v>
      </c>
      <c r="F1836" t="s">
        <v>178</v>
      </c>
      <c r="L1836" t="s">
        <v>22252</v>
      </c>
      <c r="N1836" t="s">
        <v>22252</v>
      </c>
      <c r="O1836" t="s">
        <v>22252</v>
      </c>
      <c r="P1836" t="s">
        <v>22253</v>
      </c>
      <c r="Q1836" t="s">
        <v>22252</v>
      </c>
      <c r="V1836">
        <v>2096</v>
      </c>
      <c r="W1836">
        <v>7</v>
      </c>
      <c r="X1836">
        <v>2017</v>
      </c>
      <c r="Y1836">
        <v>2018</v>
      </c>
      <c r="Z1836">
        <v>1827.67</v>
      </c>
      <c r="AB1836" t="s">
        <v>181</v>
      </c>
      <c r="AC1836" t="s">
        <v>182</v>
      </c>
      <c r="AD1836" t="s">
        <v>183</v>
      </c>
      <c r="AE1836">
        <v>1</v>
      </c>
      <c r="AF1836">
        <v>5</v>
      </c>
      <c r="AG1836" t="s">
        <v>951</v>
      </c>
      <c r="AH1836">
        <v>80</v>
      </c>
      <c r="AI1836">
        <v>1799.81</v>
      </c>
      <c r="AJ1836">
        <v>89.99</v>
      </c>
      <c r="AK1836">
        <v>1889.8</v>
      </c>
      <c r="AL1836">
        <v>167439</v>
      </c>
      <c r="AM1836">
        <v>40000</v>
      </c>
      <c r="AN1836">
        <v>127439</v>
      </c>
      <c r="AO1836">
        <v>1639</v>
      </c>
      <c r="AP1836">
        <v>2016</v>
      </c>
      <c r="AQ1836">
        <v>1.0900000000000001</v>
      </c>
      <c r="AR1836">
        <v>1.1299999999999999</v>
      </c>
      <c r="AS1836" t="s">
        <v>22254</v>
      </c>
      <c r="AT1836" t="s">
        <v>3210</v>
      </c>
      <c r="AU1836" t="s">
        <v>177</v>
      </c>
      <c r="AV1836" t="s">
        <v>2334</v>
      </c>
      <c r="AW1836" t="s">
        <v>202</v>
      </c>
      <c r="AX1836">
        <v>1</v>
      </c>
      <c r="AY1836" t="s">
        <v>188</v>
      </c>
      <c r="AZ1836" t="s">
        <v>206</v>
      </c>
      <c r="BA1836" t="s">
        <v>355</v>
      </c>
      <c r="BB1836" t="s">
        <v>191</v>
      </c>
      <c r="BC1836" t="s">
        <v>182</v>
      </c>
      <c r="BD1836" t="s">
        <v>182</v>
      </c>
      <c r="BE1836" t="s">
        <v>365</v>
      </c>
      <c r="BF1836">
        <v>1</v>
      </c>
      <c r="BG1836">
        <v>1</v>
      </c>
      <c r="BH1836">
        <v>2008</v>
      </c>
      <c r="BI1836" t="s">
        <v>19939</v>
      </c>
      <c r="BJ1836" t="s">
        <v>194</v>
      </c>
      <c r="BK1836" t="s">
        <v>195</v>
      </c>
      <c r="BL1836" t="s">
        <v>199</v>
      </c>
      <c r="BM1836" t="s">
        <v>325</v>
      </c>
      <c r="BN1836" t="s">
        <v>182</v>
      </c>
      <c r="BO1836" t="s">
        <v>198</v>
      </c>
      <c r="BP1836" t="s">
        <v>198</v>
      </c>
      <c r="BQ1836" t="s">
        <v>198</v>
      </c>
      <c r="BR1836" t="s">
        <v>198</v>
      </c>
      <c r="BS1836" t="s">
        <v>198</v>
      </c>
      <c r="BT1836" t="s">
        <v>198</v>
      </c>
      <c r="BU1836" t="s">
        <v>182</v>
      </c>
      <c r="BV1836" t="s">
        <v>198</v>
      </c>
      <c r="BW1836" t="s">
        <v>198</v>
      </c>
      <c r="BX1836" t="s">
        <v>199</v>
      </c>
      <c r="BY1836" t="s">
        <v>198</v>
      </c>
      <c r="BZ1836" t="s">
        <v>199</v>
      </c>
      <c r="CA1836" t="s">
        <v>199</v>
      </c>
      <c r="CB1836" t="s">
        <v>22255</v>
      </c>
      <c r="CC1836" t="s">
        <v>201</v>
      </c>
      <c r="CD1836" t="s">
        <v>182</v>
      </c>
      <c r="CE1836" t="s">
        <v>22245</v>
      </c>
      <c r="CF1836" t="s">
        <v>2333</v>
      </c>
      <c r="CG1836" t="s">
        <v>177</v>
      </c>
      <c r="CH1836" t="s">
        <v>2334</v>
      </c>
      <c r="CI1836" t="s">
        <v>22246</v>
      </c>
      <c r="CJ1836" t="s">
        <v>1634</v>
      </c>
      <c r="CK1836" t="s">
        <v>232</v>
      </c>
      <c r="CL1836" t="s">
        <v>233</v>
      </c>
      <c r="CM1836" t="s">
        <v>22256</v>
      </c>
      <c r="CN1836" t="s">
        <v>235</v>
      </c>
      <c r="CO1836" t="s">
        <v>183</v>
      </c>
      <c r="CP1836" t="s">
        <v>266</v>
      </c>
      <c r="CS1836" t="s">
        <v>198</v>
      </c>
      <c r="CT1836" t="s">
        <v>11933</v>
      </c>
      <c r="CU1836" t="s">
        <v>292</v>
      </c>
      <c r="CV1836" t="s">
        <v>293</v>
      </c>
      <c r="CW1836" t="s">
        <v>22257</v>
      </c>
      <c r="CX1836" t="s">
        <v>235</v>
      </c>
      <c r="CY1836" t="s">
        <v>183</v>
      </c>
      <c r="CZ1836" t="s">
        <v>211</v>
      </c>
      <c r="DA1836" t="s">
        <v>298</v>
      </c>
      <c r="DC1836" t="s">
        <v>457</v>
      </c>
      <c r="DD1836" t="s">
        <v>22258</v>
      </c>
      <c r="DE1836" t="s">
        <v>267</v>
      </c>
      <c r="DF1836" t="s">
        <v>268</v>
      </c>
      <c r="DG1836" t="s">
        <v>22259</v>
      </c>
      <c r="DH1836" t="s">
        <v>235</v>
      </c>
      <c r="DI1836" t="s">
        <v>183</v>
      </c>
      <c r="DJ1836" t="s">
        <v>211</v>
      </c>
      <c r="DK1836" t="s">
        <v>345</v>
      </c>
      <c r="DM1836" t="s">
        <v>3125</v>
      </c>
      <c r="DN1836" t="s">
        <v>22260</v>
      </c>
      <c r="DO1836" t="s">
        <v>273</v>
      </c>
      <c r="DP1836" t="s">
        <v>268</v>
      </c>
      <c r="DQ1836" t="s">
        <v>22261</v>
      </c>
      <c r="DR1836" t="s">
        <v>235</v>
      </c>
      <c r="DS1836" t="s">
        <v>183</v>
      </c>
      <c r="DT1836" t="s">
        <v>211</v>
      </c>
      <c r="DU1836" t="s">
        <v>329</v>
      </c>
      <c r="DW1836" t="s">
        <v>3408</v>
      </c>
      <c r="DX1836" t="s">
        <v>12704</v>
      </c>
      <c r="DY1836" t="s">
        <v>346</v>
      </c>
      <c r="DZ1836" t="s">
        <v>347</v>
      </c>
      <c r="EA1836" t="s">
        <v>22262</v>
      </c>
      <c r="EB1836" t="s">
        <v>511</v>
      </c>
      <c r="EC1836" t="s">
        <v>183</v>
      </c>
      <c r="ED1836" t="s">
        <v>211</v>
      </c>
      <c r="EE1836" t="s">
        <v>345</v>
      </c>
      <c r="EG1836" t="s">
        <v>8421</v>
      </c>
      <c r="EH1836" t="s">
        <v>22263</v>
      </c>
      <c r="EI1836" t="s">
        <v>207</v>
      </c>
      <c r="EJ1836" t="s">
        <v>208</v>
      </c>
      <c r="EK1836" t="s">
        <v>22264</v>
      </c>
      <c r="EL1836" t="s">
        <v>235</v>
      </c>
      <c r="EM1836" t="s">
        <v>183</v>
      </c>
      <c r="EN1836" t="s">
        <v>211</v>
      </c>
      <c r="EO1836" t="s">
        <v>298</v>
      </c>
      <c r="EQ1836" t="s">
        <v>446</v>
      </c>
      <c r="FA1836" t="s">
        <v>198</v>
      </c>
      <c r="FK1836" t="s">
        <v>198</v>
      </c>
      <c r="FU1836" t="s">
        <v>198</v>
      </c>
    </row>
    <row r="1837" spans="1:177">
      <c r="A1837" s="1" t="str">
        <f>HYPERLINK("http://digipan.lumentumllc.com/apps/getLink/index.php?t=PropLink&amp;p=5248520","PL")</f>
        <v>PL</v>
      </c>
      <c r="B1837" s="1" t="str">
        <f>HYPERLINK("http://digipan.lumentumllc.com/apps/getLink/index.php?t=TaxLink&amp;p=5248520","TL")</f>
        <v>TL</v>
      </c>
      <c r="C1837" s="1" t="str">
        <f>HYPERLINK("http://digipan.lumentumllc.com/apps/getMap/index.php?p=5248520","Map")</f>
        <v>Map</v>
      </c>
      <c r="E1837" t="s">
        <v>177</v>
      </c>
      <c r="F1837" t="s">
        <v>178</v>
      </c>
      <c r="L1837" t="s">
        <v>22265</v>
      </c>
      <c r="N1837" t="s">
        <v>22265</v>
      </c>
      <c r="O1837" t="s">
        <v>22265</v>
      </c>
      <c r="P1837" t="s">
        <v>22266</v>
      </c>
      <c r="Q1837" t="s">
        <v>22265</v>
      </c>
      <c r="V1837">
        <v>2097</v>
      </c>
      <c r="W1837">
        <v>7</v>
      </c>
      <c r="X1837">
        <v>2017</v>
      </c>
      <c r="Y1837">
        <v>2018</v>
      </c>
      <c r="Z1837">
        <v>554.52</v>
      </c>
      <c r="AB1837" t="s">
        <v>181</v>
      </c>
      <c r="AC1837" t="s">
        <v>182</v>
      </c>
      <c r="AD1837" t="s">
        <v>183</v>
      </c>
      <c r="AE1837">
        <v>0</v>
      </c>
      <c r="AF1837">
        <v>3</v>
      </c>
      <c r="AG1837" t="s">
        <v>216</v>
      </c>
      <c r="AH1837">
        <v>100</v>
      </c>
      <c r="AK1837">
        <v>0</v>
      </c>
      <c r="AL1837">
        <v>31915</v>
      </c>
      <c r="AM1837">
        <v>15925</v>
      </c>
      <c r="AN1837">
        <v>15990</v>
      </c>
      <c r="AO1837">
        <v>514</v>
      </c>
      <c r="AP1837">
        <v>2016</v>
      </c>
      <c r="AQ1837">
        <v>1.74</v>
      </c>
      <c r="AS1837" t="s">
        <v>22267</v>
      </c>
      <c r="AT1837" t="s">
        <v>3210</v>
      </c>
      <c r="AU1837" t="s">
        <v>177</v>
      </c>
      <c r="AV1837" t="s">
        <v>2334</v>
      </c>
      <c r="AW1837" t="s">
        <v>182</v>
      </c>
      <c r="AX1837">
        <v>2</v>
      </c>
      <c r="AY1837" t="s">
        <v>188</v>
      </c>
      <c r="AZ1837" t="s">
        <v>189</v>
      </c>
      <c r="BA1837" t="s">
        <v>190</v>
      </c>
      <c r="BB1837" t="s">
        <v>191</v>
      </c>
      <c r="BC1837" t="s">
        <v>182</v>
      </c>
      <c r="BD1837" t="s">
        <v>182</v>
      </c>
      <c r="BE1837" t="s">
        <v>8792</v>
      </c>
      <c r="BF1837">
        <v>1</v>
      </c>
      <c r="BG1837">
        <v>1</v>
      </c>
      <c r="BH1837">
        <v>1972</v>
      </c>
      <c r="BI1837" t="s">
        <v>7993</v>
      </c>
      <c r="BJ1837" t="s">
        <v>194</v>
      </c>
      <c r="BK1837" t="s">
        <v>195</v>
      </c>
      <c r="BL1837" t="s">
        <v>10047</v>
      </c>
      <c r="BM1837" t="s">
        <v>679</v>
      </c>
      <c r="BN1837" t="s">
        <v>182</v>
      </c>
      <c r="BO1837" t="s">
        <v>22268</v>
      </c>
      <c r="BP1837" t="s">
        <v>22269</v>
      </c>
      <c r="BQ1837" t="s">
        <v>226</v>
      </c>
      <c r="BR1837" t="s">
        <v>227</v>
      </c>
      <c r="BS1837" t="s">
        <v>198</v>
      </c>
      <c r="BT1837" t="s">
        <v>22270</v>
      </c>
      <c r="BU1837" t="s">
        <v>182</v>
      </c>
      <c r="BV1837" t="s">
        <v>198</v>
      </c>
      <c r="BW1837" t="s">
        <v>198</v>
      </c>
      <c r="BX1837" t="s">
        <v>199</v>
      </c>
      <c r="BY1837" t="s">
        <v>198</v>
      </c>
      <c r="BZ1837" t="s">
        <v>199</v>
      </c>
      <c r="CA1837" t="s">
        <v>199</v>
      </c>
      <c r="CB1837" t="s">
        <v>22271</v>
      </c>
      <c r="CC1837" t="s">
        <v>201</v>
      </c>
      <c r="CD1837" t="s">
        <v>182</v>
      </c>
      <c r="CE1837" t="s">
        <v>22272</v>
      </c>
      <c r="CF1837" t="s">
        <v>2333</v>
      </c>
      <c r="CG1837" t="s">
        <v>177</v>
      </c>
      <c r="CH1837" t="s">
        <v>2334</v>
      </c>
      <c r="CI1837" t="s">
        <v>22273</v>
      </c>
      <c r="CJ1837" t="s">
        <v>3196</v>
      </c>
      <c r="CK1837" t="s">
        <v>232</v>
      </c>
      <c r="CL1837" t="s">
        <v>233</v>
      </c>
      <c r="CM1837" t="s">
        <v>22274</v>
      </c>
      <c r="CN1837" t="s">
        <v>235</v>
      </c>
      <c r="CO1837" t="s">
        <v>183</v>
      </c>
      <c r="CP1837" t="s">
        <v>211</v>
      </c>
      <c r="CQ1837" t="s">
        <v>199</v>
      </c>
      <c r="CS1837" t="s">
        <v>2149</v>
      </c>
      <c r="CT1837" t="s">
        <v>22275</v>
      </c>
      <c r="CU1837" t="s">
        <v>346</v>
      </c>
      <c r="CV1837" t="s">
        <v>347</v>
      </c>
      <c r="CW1837" t="s">
        <v>22276</v>
      </c>
      <c r="CX1837" t="s">
        <v>278</v>
      </c>
      <c r="CY1837" t="s">
        <v>183</v>
      </c>
      <c r="CZ1837" t="s">
        <v>211</v>
      </c>
      <c r="DA1837" t="s">
        <v>342</v>
      </c>
      <c r="DC1837" t="s">
        <v>4520</v>
      </c>
      <c r="DD1837" t="s">
        <v>12131</v>
      </c>
      <c r="DE1837" t="s">
        <v>207</v>
      </c>
      <c r="DF1837" t="s">
        <v>208</v>
      </c>
      <c r="DG1837" t="s">
        <v>22277</v>
      </c>
      <c r="DH1837" t="s">
        <v>1966</v>
      </c>
      <c r="DI1837" t="s">
        <v>183</v>
      </c>
      <c r="DJ1837" t="s">
        <v>211</v>
      </c>
      <c r="DK1837" t="s">
        <v>298</v>
      </c>
      <c r="DM1837" t="s">
        <v>5492</v>
      </c>
      <c r="DW1837" t="s">
        <v>198</v>
      </c>
      <c r="EG1837" t="s">
        <v>198</v>
      </c>
      <c r="EQ1837" t="s">
        <v>198</v>
      </c>
      <c r="FA1837" t="s">
        <v>198</v>
      </c>
      <c r="FK1837" t="s">
        <v>198</v>
      </c>
      <c r="FU1837" t="s">
        <v>198</v>
      </c>
    </row>
    <row r="1838" spans="1:177">
      <c r="A1838" s="1" t="str">
        <f>HYPERLINK("http://digipan.lumentumllc.com/apps/getLink/index.php?t=PropLink&amp;p=7112617","PL")</f>
        <v>PL</v>
      </c>
      <c r="B1838" s="1" t="str">
        <f>HYPERLINK("http://digipan.lumentumllc.com/apps/getLink/index.php?t=TaxLink&amp;p=7112617","TL")</f>
        <v>TL</v>
      </c>
      <c r="C1838" s="1" t="str">
        <f>HYPERLINK("http://digipan.lumentumllc.com/apps/getMap/index.php?p=7112617","Map")</f>
        <v>Map</v>
      </c>
      <c r="E1838" t="s">
        <v>177</v>
      </c>
      <c r="F1838" t="s">
        <v>178</v>
      </c>
      <c r="L1838" t="s">
        <v>22278</v>
      </c>
      <c r="N1838" t="s">
        <v>22278</v>
      </c>
      <c r="O1838" t="s">
        <v>22278</v>
      </c>
      <c r="P1838" t="s">
        <v>22279</v>
      </c>
      <c r="Q1838" t="s">
        <v>22278</v>
      </c>
      <c r="V1838">
        <v>2098</v>
      </c>
      <c r="W1838">
        <v>7</v>
      </c>
      <c r="X1838">
        <v>2017</v>
      </c>
      <c r="Y1838">
        <v>2018</v>
      </c>
      <c r="Z1838">
        <v>564.12</v>
      </c>
      <c r="AB1838" t="s">
        <v>181</v>
      </c>
      <c r="AC1838" t="s">
        <v>182</v>
      </c>
      <c r="AD1838" t="s">
        <v>183</v>
      </c>
      <c r="AE1838">
        <v>0</v>
      </c>
      <c r="AF1838">
        <v>2</v>
      </c>
      <c r="AG1838" t="s">
        <v>216</v>
      </c>
      <c r="AH1838">
        <v>100</v>
      </c>
      <c r="AK1838">
        <v>0</v>
      </c>
      <c r="AL1838">
        <v>32500</v>
      </c>
      <c r="AM1838">
        <v>25000</v>
      </c>
      <c r="AN1838">
        <v>7500</v>
      </c>
      <c r="AO1838">
        <v>461</v>
      </c>
      <c r="AP1838">
        <v>2016</v>
      </c>
      <c r="AQ1838">
        <v>1.74</v>
      </c>
      <c r="AS1838" t="s">
        <v>18990</v>
      </c>
      <c r="AT1838" t="s">
        <v>3210</v>
      </c>
      <c r="AU1838" t="s">
        <v>177</v>
      </c>
      <c r="AV1838" t="s">
        <v>2334</v>
      </c>
      <c r="AW1838" t="s">
        <v>182</v>
      </c>
      <c r="AX1838">
        <v>0</v>
      </c>
      <c r="AY1838" t="s">
        <v>312</v>
      </c>
      <c r="AZ1838" t="s">
        <v>199</v>
      </c>
      <c r="BA1838" t="s">
        <v>313</v>
      </c>
      <c r="BB1838" t="s">
        <v>191</v>
      </c>
      <c r="BC1838" t="s">
        <v>182</v>
      </c>
      <c r="BD1838" t="s">
        <v>182</v>
      </c>
      <c r="BE1838" t="s">
        <v>498</v>
      </c>
      <c r="BF1838">
        <v>0</v>
      </c>
      <c r="BG1838">
        <v>0</v>
      </c>
      <c r="BH1838">
        <v>0</v>
      </c>
      <c r="BI1838" t="s">
        <v>199</v>
      </c>
      <c r="BJ1838" t="s">
        <v>315</v>
      </c>
      <c r="BL1838" t="s">
        <v>199</v>
      </c>
      <c r="BM1838" t="s">
        <v>325</v>
      </c>
      <c r="BN1838" t="s">
        <v>182</v>
      </c>
      <c r="BO1838" t="s">
        <v>198</v>
      </c>
      <c r="BP1838" t="s">
        <v>198</v>
      </c>
      <c r="BQ1838" t="s">
        <v>198</v>
      </c>
      <c r="BR1838" t="s">
        <v>198</v>
      </c>
      <c r="BS1838" t="s">
        <v>198</v>
      </c>
      <c r="BT1838" t="s">
        <v>198</v>
      </c>
      <c r="BU1838" t="s">
        <v>182</v>
      </c>
      <c r="BV1838" t="s">
        <v>198</v>
      </c>
      <c r="BW1838" t="s">
        <v>198</v>
      </c>
      <c r="BX1838" t="s">
        <v>199</v>
      </c>
      <c r="BY1838" t="s">
        <v>198</v>
      </c>
      <c r="BZ1838" t="s">
        <v>199</v>
      </c>
      <c r="CA1838" t="s">
        <v>199</v>
      </c>
      <c r="CB1838" t="s">
        <v>22021</v>
      </c>
      <c r="CC1838" t="s">
        <v>201</v>
      </c>
      <c r="CD1838" t="s">
        <v>182</v>
      </c>
      <c r="CE1838" t="s">
        <v>22022</v>
      </c>
      <c r="CF1838" t="s">
        <v>2333</v>
      </c>
      <c r="CG1838" t="s">
        <v>177</v>
      </c>
      <c r="CH1838" t="s">
        <v>2334</v>
      </c>
      <c r="CI1838" t="s">
        <v>22280</v>
      </c>
      <c r="CJ1838" t="s">
        <v>11870</v>
      </c>
      <c r="CK1838" t="s">
        <v>232</v>
      </c>
      <c r="CL1838" t="s">
        <v>233</v>
      </c>
      <c r="CM1838" t="s">
        <v>5760</v>
      </c>
      <c r="CN1838" t="s">
        <v>576</v>
      </c>
      <c r="CO1838" t="s">
        <v>183</v>
      </c>
      <c r="CP1838" t="s">
        <v>211</v>
      </c>
      <c r="CQ1838" t="s">
        <v>250</v>
      </c>
      <c r="CS1838" t="s">
        <v>9778</v>
      </c>
      <c r="CT1838" t="s">
        <v>11955</v>
      </c>
      <c r="CU1838" t="s">
        <v>292</v>
      </c>
      <c r="CV1838" t="s">
        <v>293</v>
      </c>
      <c r="CW1838" t="s">
        <v>22281</v>
      </c>
      <c r="CX1838" t="s">
        <v>1491</v>
      </c>
      <c r="CY1838" t="s">
        <v>183</v>
      </c>
      <c r="CZ1838" t="s">
        <v>211</v>
      </c>
      <c r="DA1838" t="s">
        <v>487</v>
      </c>
      <c r="DC1838" t="s">
        <v>9778</v>
      </c>
      <c r="DM1838" t="s">
        <v>198</v>
      </c>
      <c r="DW1838" t="s">
        <v>198</v>
      </c>
      <c r="EG1838" t="s">
        <v>198</v>
      </c>
      <c r="EQ1838" t="s">
        <v>198</v>
      </c>
      <c r="FA1838" t="s">
        <v>198</v>
      </c>
      <c r="FK1838" t="s">
        <v>198</v>
      </c>
      <c r="FU1838" t="s">
        <v>198</v>
      </c>
    </row>
    <row r="1839" spans="1:177">
      <c r="A1839" s="1" t="str">
        <f>HYPERLINK("http://digipan.lumentumllc.com/apps/getLink/index.php?t=PropLink&amp;p=5248522","PL")</f>
        <v>PL</v>
      </c>
      <c r="B1839" s="1" t="str">
        <f>HYPERLINK("http://digipan.lumentumllc.com/apps/getLink/index.php?t=TaxLink&amp;p=5248522","TL")</f>
        <v>TL</v>
      </c>
      <c r="C1839" s="1" t="str">
        <f>HYPERLINK("http://digipan.lumentumllc.com/apps/getMap/index.php?p=5248522","Map")</f>
        <v>Map</v>
      </c>
      <c r="E1839" t="s">
        <v>177</v>
      </c>
      <c r="F1839" t="s">
        <v>178</v>
      </c>
      <c r="L1839" t="s">
        <v>22282</v>
      </c>
      <c r="N1839" t="s">
        <v>22282</v>
      </c>
      <c r="O1839" t="s">
        <v>22282</v>
      </c>
      <c r="P1839" t="s">
        <v>22283</v>
      </c>
      <c r="Q1839" t="s">
        <v>22282</v>
      </c>
      <c r="V1839">
        <v>2099</v>
      </c>
      <c r="W1839">
        <v>7</v>
      </c>
      <c r="X1839">
        <v>2017</v>
      </c>
      <c r="Y1839">
        <v>2018</v>
      </c>
      <c r="Z1839">
        <v>559.87</v>
      </c>
      <c r="AB1839" t="s">
        <v>181</v>
      </c>
      <c r="AC1839" t="s">
        <v>202</v>
      </c>
      <c r="AD1839" t="s">
        <v>183</v>
      </c>
      <c r="AE1839">
        <v>0</v>
      </c>
      <c r="AF1839">
        <v>8</v>
      </c>
      <c r="AG1839" t="s">
        <v>1059</v>
      </c>
      <c r="AH1839">
        <v>100</v>
      </c>
      <c r="AK1839">
        <v>0</v>
      </c>
      <c r="AL1839">
        <v>32241</v>
      </c>
      <c r="AM1839">
        <v>25250</v>
      </c>
      <c r="AN1839">
        <v>6991</v>
      </c>
      <c r="AO1839">
        <v>599</v>
      </c>
      <c r="AP1839">
        <v>2016</v>
      </c>
      <c r="AQ1839">
        <v>1.74</v>
      </c>
      <c r="AS1839" t="s">
        <v>22284</v>
      </c>
      <c r="AT1839" t="s">
        <v>3210</v>
      </c>
      <c r="AU1839" t="s">
        <v>177</v>
      </c>
      <c r="AV1839" t="s">
        <v>2334</v>
      </c>
      <c r="AW1839" t="s">
        <v>182</v>
      </c>
      <c r="AX1839">
        <v>1</v>
      </c>
      <c r="AY1839" t="s">
        <v>188</v>
      </c>
      <c r="AZ1839" t="s">
        <v>206</v>
      </c>
      <c r="BA1839" t="s">
        <v>355</v>
      </c>
      <c r="BB1839" t="s">
        <v>191</v>
      </c>
      <c r="BC1839" t="s">
        <v>182</v>
      </c>
      <c r="BD1839" t="s">
        <v>182</v>
      </c>
      <c r="BE1839" t="s">
        <v>899</v>
      </c>
      <c r="BF1839">
        <v>1</v>
      </c>
      <c r="BG1839">
        <v>1</v>
      </c>
      <c r="BH1839">
        <v>1974</v>
      </c>
      <c r="BI1839" t="s">
        <v>7189</v>
      </c>
      <c r="BJ1839" t="s">
        <v>315</v>
      </c>
      <c r="BK1839" t="s">
        <v>195</v>
      </c>
      <c r="BL1839" t="s">
        <v>22285</v>
      </c>
      <c r="BM1839" t="s">
        <v>232</v>
      </c>
      <c r="BN1839" t="s">
        <v>182</v>
      </c>
      <c r="BO1839" t="s">
        <v>198</v>
      </c>
      <c r="BP1839" t="s">
        <v>198</v>
      </c>
      <c r="BQ1839" t="s">
        <v>198</v>
      </c>
      <c r="BR1839" t="s">
        <v>198</v>
      </c>
      <c r="BS1839" t="s">
        <v>198</v>
      </c>
      <c r="BT1839" t="s">
        <v>198</v>
      </c>
      <c r="BU1839" t="s">
        <v>182</v>
      </c>
      <c r="BV1839" t="s">
        <v>198</v>
      </c>
      <c r="BW1839" t="s">
        <v>198</v>
      </c>
      <c r="BX1839" t="s">
        <v>199</v>
      </c>
      <c r="BY1839" t="s">
        <v>198</v>
      </c>
      <c r="BZ1839" t="s">
        <v>199</v>
      </c>
      <c r="CA1839" t="s">
        <v>199</v>
      </c>
      <c r="CB1839" t="s">
        <v>22286</v>
      </c>
      <c r="CC1839" t="s">
        <v>201</v>
      </c>
      <c r="CD1839" t="s">
        <v>202</v>
      </c>
      <c r="CE1839" t="s">
        <v>22287</v>
      </c>
      <c r="CF1839" t="s">
        <v>2333</v>
      </c>
      <c r="CG1839" t="s">
        <v>177</v>
      </c>
      <c r="CH1839" t="s">
        <v>2334</v>
      </c>
      <c r="CI1839" t="s">
        <v>22288</v>
      </c>
      <c r="CJ1839" t="s">
        <v>21796</v>
      </c>
      <c r="CK1839" t="s">
        <v>232</v>
      </c>
      <c r="CL1839" t="s">
        <v>233</v>
      </c>
      <c r="CM1839" t="s">
        <v>22289</v>
      </c>
      <c r="CN1839" t="s">
        <v>436</v>
      </c>
      <c r="CO1839" t="s">
        <v>183</v>
      </c>
      <c r="CP1839" t="s">
        <v>211</v>
      </c>
      <c r="CQ1839" t="s">
        <v>296</v>
      </c>
      <c r="CS1839" t="s">
        <v>16278</v>
      </c>
      <c r="CT1839" t="s">
        <v>15453</v>
      </c>
      <c r="CU1839" t="s">
        <v>292</v>
      </c>
      <c r="CV1839" t="s">
        <v>293</v>
      </c>
      <c r="CW1839" t="s">
        <v>22290</v>
      </c>
      <c r="CX1839" t="s">
        <v>235</v>
      </c>
      <c r="CY1839" t="s">
        <v>183</v>
      </c>
      <c r="CZ1839" t="s">
        <v>211</v>
      </c>
      <c r="DA1839" t="s">
        <v>427</v>
      </c>
      <c r="DC1839" t="s">
        <v>2149</v>
      </c>
      <c r="DD1839" t="s">
        <v>22291</v>
      </c>
      <c r="DE1839" t="s">
        <v>267</v>
      </c>
      <c r="DF1839" t="s">
        <v>268</v>
      </c>
      <c r="DG1839" t="s">
        <v>22292</v>
      </c>
      <c r="DH1839" t="s">
        <v>1551</v>
      </c>
      <c r="DI1839" t="s">
        <v>183</v>
      </c>
      <c r="DJ1839" t="s">
        <v>211</v>
      </c>
      <c r="DK1839" t="s">
        <v>296</v>
      </c>
      <c r="DL1839" t="s">
        <v>6042</v>
      </c>
      <c r="DM1839" t="s">
        <v>13087</v>
      </c>
      <c r="DN1839" t="s">
        <v>22293</v>
      </c>
      <c r="DO1839" t="s">
        <v>273</v>
      </c>
      <c r="DP1839" t="s">
        <v>268</v>
      </c>
      <c r="DQ1839" t="s">
        <v>22294</v>
      </c>
      <c r="DR1839" t="s">
        <v>482</v>
      </c>
      <c r="DS1839" t="s">
        <v>183</v>
      </c>
      <c r="DT1839" t="s">
        <v>211</v>
      </c>
      <c r="DU1839" t="s">
        <v>296</v>
      </c>
      <c r="DV1839" t="s">
        <v>6042</v>
      </c>
      <c r="DW1839" t="s">
        <v>13087</v>
      </c>
      <c r="DX1839" t="s">
        <v>13313</v>
      </c>
      <c r="DY1839" t="s">
        <v>302</v>
      </c>
      <c r="DZ1839" t="s">
        <v>303</v>
      </c>
      <c r="EA1839" t="s">
        <v>22295</v>
      </c>
      <c r="EB1839" t="s">
        <v>511</v>
      </c>
      <c r="EC1839" t="s">
        <v>183</v>
      </c>
      <c r="ED1839" t="s">
        <v>211</v>
      </c>
      <c r="EF1839" t="s">
        <v>6042</v>
      </c>
      <c r="EG1839" t="s">
        <v>198</v>
      </c>
      <c r="EH1839" t="s">
        <v>22296</v>
      </c>
      <c r="EI1839" t="s">
        <v>238</v>
      </c>
      <c r="EJ1839" t="s">
        <v>239</v>
      </c>
      <c r="EK1839" t="s">
        <v>22297</v>
      </c>
      <c r="EL1839" t="s">
        <v>1966</v>
      </c>
      <c r="EM1839" t="s">
        <v>183</v>
      </c>
      <c r="EN1839" t="s">
        <v>211</v>
      </c>
      <c r="EO1839" t="s">
        <v>988</v>
      </c>
      <c r="EP1839" t="s">
        <v>6042</v>
      </c>
      <c r="EQ1839" t="s">
        <v>13087</v>
      </c>
      <c r="ER1839" t="s">
        <v>18162</v>
      </c>
      <c r="ES1839" t="s">
        <v>346</v>
      </c>
      <c r="ET1839" t="s">
        <v>347</v>
      </c>
      <c r="EU1839" t="s">
        <v>22298</v>
      </c>
      <c r="EV1839" t="s">
        <v>688</v>
      </c>
      <c r="EW1839" t="s">
        <v>183</v>
      </c>
      <c r="EX1839" t="s">
        <v>211</v>
      </c>
      <c r="EY1839" t="s">
        <v>1190</v>
      </c>
      <c r="EZ1839" t="s">
        <v>6042</v>
      </c>
      <c r="FA1839" t="s">
        <v>13087</v>
      </c>
      <c r="FB1839" t="s">
        <v>21676</v>
      </c>
      <c r="FC1839" t="s">
        <v>207</v>
      </c>
      <c r="FD1839" t="s">
        <v>208</v>
      </c>
      <c r="FE1839" t="s">
        <v>22299</v>
      </c>
      <c r="FF1839" t="s">
        <v>235</v>
      </c>
      <c r="FG1839" t="s">
        <v>183</v>
      </c>
      <c r="FH1839" t="s">
        <v>211</v>
      </c>
      <c r="FI1839" t="s">
        <v>1365</v>
      </c>
      <c r="FJ1839" t="s">
        <v>6042</v>
      </c>
      <c r="FK1839" t="s">
        <v>13087</v>
      </c>
      <c r="FU1839" t="s">
        <v>198</v>
      </c>
    </row>
    <row r="1840" spans="1:177">
      <c r="A1840" s="1" t="str">
        <f>HYPERLINK("http://digipan.lumentumllc.com/apps/getLink/index.php?t=PropLink&amp;p=5248523","PL")</f>
        <v>PL</v>
      </c>
      <c r="B1840" s="1" t="str">
        <f>HYPERLINK("http://digipan.lumentumllc.com/apps/getLink/index.php?t=TaxLink&amp;p=5248523","TL")</f>
        <v>TL</v>
      </c>
      <c r="C1840" s="1" t="str">
        <f>HYPERLINK("http://digipan.lumentumllc.com/apps/getMap/index.php?p=5248523","Map")</f>
        <v>Map</v>
      </c>
      <c r="E1840" t="s">
        <v>177</v>
      </c>
      <c r="F1840" t="s">
        <v>178</v>
      </c>
      <c r="L1840" t="s">
        <v>22300</v>
      </c>
      <c r="N1840" t="s">
        <v>22300</v>
      </c>
      <c r="O1840" t="s">
        <v>22300</v>
      </c>
      <c r="P1840" t="s">
        <v>22301</v>
      </c>
      <c r="Q1840" t="s">
        <v>22300</v>
      </c>
      <c r="V1840">
        <v>2100</v>
      </c>
      <c r="W1840">
        <v>7</v>
      </c>
      <c r="X1840">
        <v>2017</v>
      </c>
      <c r="Y1840">
        <v>2018</v>
      </c>
      <c r="Z1840">
        <v>367.9</v>
      </c>
      <c r="AB1840" t="s">
        <v>181</v>
      </c>
      <c r="AC1840" t="s">
        <v>182</v>
      </c>
      <c r="AD1840" t="s">
        <v>183</v>
      </c>
      <c r="AE1840">
        <v>0</v>
      </c>
      <c r="AF1840">
        <v>7</v>
      </c>
      <c r="AG1840" t="s">
        <v>528</v>
      </c>
      <c r="AH1840">
        <v>100</v>
      </c>
      <c r="AK1840">
        <v>0</v>
      </c>
      <c r="AL1840">
        <v>20514</v>
      </c>
      <c r="AM1840">
        <v>16500</v>
      </c>
      <c r="AN1840">
        <v>4014</v>
      </c>
      <c r="AO1840">
        <v>305</v>
      </c>
      <c r="AP1840">
        <v>2016</v>
      </c>
      <c r="AQ1840">
        <v>1.79</v>
      </c>
      <c r="AS1840" t="s">
        <v>22302</v>
      </c>
      <c r="AT1840" t="s">
        <v>3210</v>
      </c>
      <c r="AU1840" t="s">
        <v>177</v>
      </c>
      <c r="AV1840" t="s">
        <v>2334</v>
      </c>
      <c r="AW1840" t="s">
        <v>182</v>
      </c>
      <c r="AX1840">
        <v>0</v>
      </c>
      <c r="AY1840" t="s">
        <v>312</v>
      </c>
      <c r="AZ1840" t="s">
        <v>199</v>
      </c>
      <c r="BA1840" t="s">
        <v>313</v>
      </c>
      <c r="BB1840" t="s">
        <v>191</v>
      </c>
      <c r="BC1840" t="s">
        <v>182</v>
      </c>
      <c r="BD1840" t="s">
        <v>182</v>
      </c>
      <c r="BE1840" t="s">
        <v>15971</v>
      </c>
      <c r="BF1840">
        <v>0</v>
      </c>
      <c r="BG1840">
        <v>0</v>
      </c>
      <c r="BH1840">
        <v>0</v>
      </c>
      <c r="BI1840" t="s">
        <v>199</v>
      </c>
      <c r="BJ1840" t="s">
        <v>248</v>
      </c>
      <c r="BL1840" t="s">
        <v>199</v>
      </c>
      <c r="BM1840" t="s">
        <v>267</v>
      </c>
      <c r="BN1840" t="s">
        <v>182</v>
      </c>
      <c r="BO1840" t="s">
        <v>198</v>
      </c>
      <c r="BP1840" t="s">
        <v>198</v>
      </c>
      <c r="BQ1840" t="s">
        <v>198</v>
      </c>
      <c r="BR1840" t="s">
        <v>198</v>
      </c>
      <c r="BS1840" t="s">
        <v>198</v>
      </c>
      <c r="BT1840" t="s">
        <v>198</v>
      </c>
      <c r="BU1840" t="s">
        <v>182</v>
      </c>
      <c r="BV1840" t="s">
        <v>198</v>
      </c>
      <c r="BW1840" t="s">
        <v>198</v>
      </c>
      <c r="BX1840" t="s">
        <v>199</v>
      </c>
      <c r="BY1840" t="s">
        <v>198</v>
      </c>
      <c r="BZ1840" t="s">
        <v>199</v>
      </c>
      <c r="CA1840" t="s">
        <v>199</v>
      </c>
      <c r="CB1840" t="s">
        <v>22286</v>
      </c>
      <c r="CC1840" t="s">
        <v>201</v>
      </c>
      <c r="CD1840" t="s">
        <v>182</v>
      </c>
      <c r="CE1840" t="s">
        <v>22287</v>
      </c>
      <c r="CF1840" t="s">
        <v>2333</v>
      </c>
      <c r="CG1840" t="s">
        <v>177</v>
      </c>
      <c r="CH1840" t="s">
        <v>2334</v>
      </c>
      <c r="CI1840" t="s">
        <v>22303</v>
      </c>
      <c r="CJ1840" t="s">
        <v>8830</v>
      </c>
      <c r="CK1840" t="s">
        <v>232</v>
      </c>
      <c r="CL1840" t="s">
        <v>233</v>
      </c>
      <c r="CM1840" t="s">
        <v>22304</v>
      </c>
      <c r="CN1840" t="s">
        <v>305</v>
      </c>
      <c r="CO1840" t="s">
        <v>183</v>
      </c>
      <c r="CP1840" t="s">
        <v>211</v>
      </c>
      <c r="CQ1840" t="s">
        <v>296</v>
      </c>
      <c r="CS1840" t="s">
        <v>16278</v>
      </c>
      <c r="CT1840" t="s">
        <v>8043</v>
      </c>
      <c r="CU1840" t="s">
        <v>267</v>
      </c>
      <c r="CV1840" t="s">
        <v>268</v>
      </c>
      <c r="CW1840" t="s">
        <v>20936</v>
      </c>
      <c r="CX1840" t="s">
        <v>484</v>
      </c>
      <c r="CY1840" t="s">
        <v>183</v>
      </c>
      <c r="CZ1840" t="s">
        <v>211</v>
      </c>
      <c r="DA1840" t="s">
        <v>329</v>
      </c>
      <c r="DC1840" t="s">
        <v>3727</v>
      </c>
      <c r="DD1840" t="s">
        <v>16348</v>
      </c>
      <c r="DE1840" t="s">
        <v>273</v>
      </c>
      <c r="DF1840" t="s">
        <v>274</v>
      </c>
      <c r="DG1840" t="s">
        <v>22305</v>
      </c>
      <c r="DH1840" t="s">
        <v>235</v>
      </c>
      <c r="DI1840" t="s">
        <v>183</v>
      </c>
      <c r="DJ1840" t="s">
        <v>211</v>
      </c>
      <c r="DK1840" t="s">
        <v>296</v>
      </c>
      <c r="DM1840" t="s">
        <v>22306</v>
      </c>
      <c r="DN1840" t="s">
        <v>2920</v>
      </c>
      <c r="DO1840" t="s">
        <v>302</v>
      </c>
      <c r="DP1840" t="s">
        <v>303</v>
      </c>
      <c r="DQ1840" t="s">
        <v>22307</v>
      </c>
      <c r="DR1840" t="s">
        <v>511</v>
      </c>
      <c r="DS1840" t="s">
        <v>183</v>
      </c>
      <c r="DT1840" t="s">
        <v>211</v>
      </c>
      <c r="DU1840" t="s">
        <v>444</v>
      </c>
      <c r="DW1840" t="s">
        <v>22306</v>
      </c>
      <c r="DX1840" t="s">
        <v>22308</v>
      </c>
      <c r="DY1840" t="s">
        <v>238</v>
      </c>
      <c r="DZ1840" t="s">
        <v>239</v>
      </c>
      <c r="EA1840" t="s">
        <v>22309</v>
      </c>
      <c r="EB1840" t="s">
        <v>440</v>
      </c>
      <c r="EC1840" t="s">
        <v>183</v>
      </c>
      <c r="ED1840" t="s">
        <v>211</v>
      </c>
      <c r="EE1840" t="s">
        <v>635</v>
      </c>
      <c r="EG1840" t="s">
        <v>22306</v>
      </c>
      <c r="EH1840" t="s">
        <v>22310</v>
      </c>
      <c r="EI1840" t="s">
        <v>346</v>
      </c>
      <c r="EJ1840" t="s">
        <v>347</v>
      </c>
      <c r="EK1840" t="s">
        <v>22311</v>
      </c>
      <c r="EL1840" t="s">
        <v>278</v>
      </c>
      <c r="EM1840" t="s">
        <v>183</v>
      </c>
      <c r="EN1840" t="s">
        <v>211</v>
      </c>
      <c r="EO1840" t="s">
        <v>345</v>
      </c>
      <c r="EQ1840" t="s">
        <v>15652</v>
      </c>
      <c r="ER1840" t="s">
        <v>21681</v>
      </c>
      <c r="ES1840" t="s">
        <v>207</v>
      </c>
      <c r="ET1840" t="s">
        <v>208</v>
      </c>
      <c r="EU1840" t="s">
        <v>22312</v>
      </c>
      <c r="EV1840" t="s">
        <v>341</v>
      </c>
      <c r="EW1840" t="s">
        <v>183</v>
      </c>
      <c r="EX1840" t="s">
        <v>211</v>
      </c>
      <c r="EY1840" t="s">
        <v>306</v>
      </c>
      <c r="FA1840" t="s">
        <v>14253</v>
      </c>
      <c r="FK1840" t="s">
        <v>198</v>
      </c>
      <c r="FU1840" t="s">
        <v>198</v>
      </c>
    </row>
    <row r="1841" spans="1:177">
      <c r="A1841" s="1" t="str">
        <f>HYPERLINK("http://digipan.lumentumllc.com/apps/getLink/index.php?t=PropLink&amp;p=5248531","PL")</f>
        <v>PL</v>
      </c>
      <c r="B1841" s="1" t="str">
        <f>HYPERLINK("http://digipan.lumentumllc.com/apps/getLink/index.php?t=TaxLink&amp;p=5248531","TL")</f>
        <v>TL</v>
      </c>
      <c r="C1841" s="1" t="str">
        <f>HYPERLINK("http://digipan.lumentumllc.com/apps/getMap/index.php?p=5248531","Map")</f>
        <v>Map</v>
      </c>
      <c r="E1841" t="s">
        <v>177</v>
      </c>
      <c r="F1841" t="s">
        <v>178</v>
      </c>
      <c r="L1841" t="s">
        <v>22313</v>
      </c>
      <c r="N1841" t="s">
        <v>22313</v>
      </c>
      <c r="O1841" t="s">
        <v>22313</v>
      </c>
      <c r="P1841" t="s">
        <v>22314</v>
      </c>
      <c r="Q1841" t="s">
        <v>22313</v>
      </c>
      <c r="V1841">
        <v>2102</v>
      </c>
      <c r="W1841">
        <v>7</v>
      </c>
      <c r="X1841">
        <v>2017</v>
      </c>
      <c r="Y1841">
        <v>2018</v>
      </c>
      <c r="Z1841">
        <v>943.33</v>
      </c>
      <c r="AB1841" t="s">
        <v>181</v>
      </c>
      <c r="AC1841" t="s">
        <v>182</v>
      </c>
      <c r="AD1841" t="s">
        <v>183</v>
      </c>
      <c r="AE1841">
        <v>0</v>
      </c>
      <c r="AF1841">
        <v>6</v>
      </c>
      <c r="AG1841" t="s">
        <v>3266</v>
      </c>
      <c r="AH1841">
        <v>100</v>
      </c>
      <c r="AK1841">
        <v>0</v>
      </c>
      <c r="AL1841">
        <v>57763</v>
      </c>
      <c r="AM1841">
        <v>21250</v>
      </c>
      <c r="AN1841">
        <v>36513</v>
      </c>
      <c r="AO1841">
        <v>754</v>
      </c>
      <c r="AP1841">
        <v>2016</v>
      </c>
      <c r="AQ1841">
        <v>1.63</v>
      </c>
      <c r="AS1841" t="s">
        <v>22315</v>
      </c>
      <c r="AT1841" t="s">
        <v>3210</v>
      </c>
      <c r="AU1841" t="s">
        <v>177</v>
      </c>
      <c r="AV1841" t="s">
        <v>2334</v>
      </c>
      <c r="AW1841" t="s">
        <v>182</v>
      </c>
      <c r="AX1841">
        <v>2</v>
      </c>
      <c r="AY1841" t="s">
        <v>188</v>
      </c>
      <c r="AZ1841" t="s">
        <v>189</v>
      </c>
      <c r="BA1841" t="s">
        <v>190</v>
      </c>
      <c r="BB1841" t="s">
        <v>191</v>
      </c>
      <c r="BC1841" t="s">
        <v>182</v>
      </c>
      <c r="BD1841" t="s">
        <v>182</v>
      </c>
      <c r="BE1841" t="s">
        <v>6618</v>
      </c>
      <c r="BF1841">
        <v>1</v>
      </c>
      <c r="BG1841">
        <v>1</v>
      </c>
      <c r="BH1841">
        <v>2002</v>
      </c>
      <c r="BI1841" t="s">
        <v>5539</v>
      </c>
      <c r="BJ1841" t="s">
        <v>194</v>
      </c>
      <c r="BK1841" t="s">
        <v>195</v>
      </c>
      <c r="BL1841" t="s">
        <v>199</v>
      </c>
      <c r="BM1841" t="s">
        <v>232</v>
      </c>
      <c r="BN1841" t="s">
        <v>182</v>
      </c>
      <c r="BO1841" t="s">
        <v>198</v>
      </c>
      <c r="BP1841" t="s">
        <v>198</v>
      </c>
      <c r="BQ1841" t="s">
        <v>198</v>
      </c>
      <c r="BR1841" t="s">
        <v>198</v>
      </c>
      <c r="BS1841" t="s">
        <v>198</v>
      </c>
      <c r="BT1841" t="s">
        <v>198</v>
      </c>
      <c r="BU1841" t="s">
        <v>182</v>
      </c>
      <c r="BV1841" t="s">
        <v>198</v>
      </c>
      <c r="BW1841" t="s">
        <v>198</v>
      </c>
      <c r="BX1841" t="s">
        <v>199</v>
      </c>
      <c r="BY1841" t="s">
        <v>198</v>
      </c>
      <c r="BZ1841" t="s">
        <v>199</v>
      </c>
      <c r="CA1841" t="s">
        <v>199</v>
      </c>
      <c r="CB1841" t="s">
        <v>22316</v>
      </c>
      <c r="CC1841" t="s">
        <v>201</v>
      </c>
      <c r="CD1841" t="s">
        <v>182</v>
      </c>
      <c r="CE1841" t="s">
        <v>22317</v>
      </c>
      <c r="CF1841" t="s">
        <v>2333</v>
      </c>
      <c r="CG1841" t="s">
        <v>177</v>
      </c>
      <c r="CH1841" t="s">
        <v>2334</v>
      </c>
      <c r="CI1841" t="s">
        <v>22318</v>
      </c>
      <c r="CJ1841" t="s">
        <v>11916</v>
      </c>
      <c r="CK1841" t="s">
        <v>232</v>
      </c>
      <c r="CL1841" t="s">
        <v>233</v>
      </c>
      <c r="CM1841" t="s">
        <v>22319</v>
      </c>
      <c r="CN1841" t="s">
        <v>235</v>
      </c>
      <c r="CO1841" t="s">
        <v>183</v>
      </c>
      <c r="CP1841" t="s">
        <v>211</v>
      </c>
      <c r="CQ1841" t="s">
        <v>199</v>
      </c>
      <c r="CS1841" t="s">
        <v>2774</v>
      </c>
      <c r="CT1841" t="s">
        <v>22320</v>
      </c>
      <c r="CU1841" t="s">
        <v>267</v>
      </c>
      <c r="CV1841" t="s">
        <v>268</v>
      </c>
      <c r="CW1841" t="s">
        <v>22321</v>
      </c>
      <c r="CX1841" t="s">
        <v>235</v>
      </c>
      <c r="CY1841" t="s">
        <v>183</v>
      </c>
      <c r="CZ1841" t="s">
        <v>211</v>
      </c>
      <c r="DA1841" t="s">
        <v>206</v>
      </c>
      <c r="DC1841" t="s">
        <v>22322</v>
      </c>
      <c r="DD1841" t="s">
        <v>357</v>
      </c>
      <c r="DE1841" t="s">
        <v>302</v>
      </c>
      <c r="DF1841" t="s">
        <v>303</v>
      </c>
      <c r="DG1841" t="s">
        <v>22323</v>
      </c>
      <c r="DH1841" t="s">
        <v>235</v>
      </c>
      <c r="DI1841" t="s">
        <v>183</v>
      </c>
      <c r="DJ1841" t="s">
        <v>211</v>
      </c>
      <c r="DK1841" t="s">
        <v>342</v>
      </c>
      <c r="DM1841" t="s">
        <v>1375</v>
      </c>
      <c r="DN1841" t="s">
        <v>22324</v>
      </c>
      <c r="DO1841" t="s">
        <v>238</v>
      </c>
      <c r="DP1841" t="s">
        <v>239</v>
      </c>
      <c r="DQ1841" t="s">
        <v>22325</v>
      </c>
      <c r="DR1841" t="s">
        <v>440</v>
      </c>
      <c r="DS1841" t="s">
        <v>183</v>
      </c>
      <c r="DT1841" t="s">
        <v>211</v>
      </c>
      <c r="DU1841" t="s">
        <v>460</v>
      </c>
      <c r="DW1841" t="s">
        <v>15916</v>
      </c>
      <c r="DX1841" t="s">
        <v>22326</v>
      </c>
      <c r="DY1841" t="s">
        <v>346</v>
      </c>
      <c r="DZ1841" t="s">
        <v>347</v>
      </c>
      <c r="EA1841" t="s">
        <v>22327</v>
      </c>
      <c r="EB1841" t="s">
        <v>278</v>
      </c>
      <c r="EC1841" t="s">
        <v>183</v>
      </c>
      <c r="ED1841" t="s">
        <v>211</v>
      </c>
      <c r="EE1841" t="s">
        <v>345</v>
      </c>
      <c r="EG1841" t="s">
        <v>3391</v>
      </c>
      <c r="EH1841" t="s">
        <v>20699</v>
      </c>
      <c r="EI1841" t="s">
        <v>207</v>
      </c>
      <c r="EJ1841" t="s">
        <v>208</v>
      </c>
      <c r="EK1841" t="s">
        <v>22328</v>
      </c>
      <c r="EL1841" t="s">
        <v>254</v>
      </c>
      <c r="EM1841" t="s">
        <v>183</v>
      </c>
      <c r="EN1841" t="s">
        <v>211</v>
      </c>
      <c r="EO1841" t="s">
        <v>865</v>
      </c>
      <c r="EQ1841" t="s">
        <v>3391</v>
      </c>
      <c r="FA1841" t="s">
        <v>198</v>
      </c>
      <c r="FK1841" t="s">
        <v>198</v>
      </c>
      <c r="FU1841" t="s">
        <v>198</v>
      </c>
    </row>
    <row r="1842" spans="1:177">
      <c r="A1842" s="1" t="str">
        <f>HYPERLINK("http://digipan.lumentumllc.com/apps/getLink/index.php?t=PropLink&amp;p=5248534","PL")</f>
        <v>PL</v>
      </c>
      <c r="B1842" s="1" t="str">
        <f>HYPERLINK("http://digipan.lumentumllc.com/apps/getLink/index.php?t=TaxLink&amp;p=5248534","TL")</f>
        <v>TL</v>
      </c>
      <c r="C1842" s="1" t="str">
        <f>HYPERLINK("http://digipan.lumentumllc.com/apps/getMap/index.php?p=5248534","Map")</f>
        <v>Map</v>
      </c>
      <c r="E1842" t="s">
        <v>177</v>
      </c>
      <c r="F1842" t="s">
        <v>178</v>
      </c>
      <c r="L1842" t="s">
        <v>22329</v>
      </c>
      <c r="N1842" t="s">
        <v>22329</v>
      </c>
      <c r="O1842" t="s">
        <v>22329</v>
      </c>
      <c r="P1842" t="s">
        <v>22330</v>
      </c>
      <c r="Q1842" t="s">
        <v>22329</v>
      </c>
      <c r="V1842">
        <v>2103</v>
      </c>
      <c r="W1842">
        <v>7</v>
      </c>
      <c r="X1842">
        <v>2017</v>
      </c>
      <c r="Y1842">
        <v>2018</v>
      </c>
      <c r="Z1842">
        <v>948.48</v>
      </c>
      <c r="AB1842" t="s">
        <v>181</v>
      </c>
      <c r="AC1842" t="s">
        <v>182</v>
      </c>
      <c r="AD1842" t="s">
        <v>183</v>
      </c>
      <c r="AE1842">
        <v>0</v>
      </c>
      <c r="AF1842">
        <v>6</v>
      </c>
      <c r="AG1842" t="s">
        <v>528</v>
      </c>
      <c r="AH1842">
        <v>100</v>
      </c>
      <c r="AK1842">
        <v>0</v>
      </c>
      <c r="AL1842">
        <v>228935</v>
      </c>
      <c r="AM1842">
        <v>210050</v>
      </c>
      <c r="AN1842">
        <v>18885</v>
      </c>
      <c r="AO1842">
        <v>832</v>
      </c>
      <c r="AP1842">
        <v>2016</v>
      </c>
      <c r="AQ1842">
        <v>0.41</v>
      </c>
      <c r="AS1842" t="s">
        <v>22331</v>
      </c>
      <c r="AT1842" t="s">
        <v>3210</v>
      </c>
      <c r="AU1842" t="s">
        <v>177</v>
      </c>
      <c r="AV1842" t="s">
        <v>2334</v>
      </c>
      <c r="AW1842" t="s">
        <v>202</v>
      </c>
      <c r="AX1842">
        <v>2</v>
      </c>
      <c r="AY1842" t="s">
        <v>188</v>
      </c>
      <c r="AZ1842" t="s">
        <v>189</v>
      </c>
      <c r="BA1842" t="s">
        <v>190</v>
      </c>
      <c r="BB1842" t="s">
        <v>191</v>
      </c>
      <c r="BC1842" t="s">
        <v>182</v>
      </c>
      <c r="BD1842" t="s">
        <v>182</v>
      </c>
      <c r="BE1842" t="s">
        <v>383</v>
      </c>
      <c r="BF1842">
        <v>1</v>
      </c>
      <c r="BG1842">
        <v>1</v>
      </c>
      <c r="BH1842">
        <v>1967</v>
      </c>
      <c r="BI1842" t="s">
        <v>19824</v>
      </c>
      <c r="BJ1842" t="s">
        <v>194</v>
      </c>
      <c r="BK1842" t="s">
        <v>195</v>
      </c>
      <c r="BL1842" t="s">
        <v>2603</v>
      </c>
      <c r="BM1842" t="s">
        <v>1156</v>
      </c>
      <c r="BN1842" t="s">
        <v>182</v>
      </c>
      <c r="BO1842" t="s">
        <v>3184</v>
      </c>
      <c r="BP1842" t="s">
        <v>22332</v>
      </c>
      <c r="BS1842" t="s">
        <v>22333</v>
      </c>
      <c r="BT1842" t="s">
        <v>198</v>
      </c>
      <c r="BU1842" t="s">
        <v>182</v>
      </c>
      <c r="BV1842" t="s">
        <v>198</v>
      </c>
      <c r="BW1842" t="s">
        <v>198</v>
      </c>
      <c r="BX1842" t="s">
        <v>199</v>
      </c>
      <c r="BY1842" t="s">
        <v>198</v>
      </c>
      <c r="BZ1842" t="s">
        <v>199</v>
      </c>
      <c r="CA1842" t="s">
        <v>199</v>
      </c>
      <c r="CB1842" t="s">
        <v>22334</v>
      </c>
      <c r="CC1842" t="s">
        <v>201</v>
      </c>
      <c r="CD1842" t="s">
        <v>202</v>
      </c>
      <c r="CE1842" t="s">
        <v>22335</v>
      </c>
      <c r="CF1842" t="s">
        <v>2333</v>
      </c>
      <c r="CG1842" t="s">
        <v>177</v>
      </c>
      <c r="CH1842" t="s">
        <v>2334</v>
      </c>
      <c r="CI1842" t="s">
        <v>22336</v>
      </c>
      <c r="CJ1842" t="s">
        <v>11933</v>
      </c>
      <c r="CK1842" t="s">
        <v>232</v>
      </c>
      <c r="CL1842" t="s">
        <v>233</v>
      </c>
      <c r="CM1842" t="s">
        <v>22337</v>
      </c>
      <c r="CN1842" t="s">
        <v>235</v>
      </c>
      <c r="CO1842" t="s">
        <v>183</v>
      </c>
      <c r="CP1842" t="s">
        <v>211</v>
      </c>
      <c r="CQ1842" t="s">
        <v>189</v>
      </c>
      <c r="CS1842" t="s">
        <v>1501</v>
      </c>
      <c r="CT1842" t="s">
        <v>21870</v>
      </c>
      <c r="CU1842" t="s">
        <v>292</v>
      </c>
      <c r="CV1842" t="s">
        <v>293</v>
      </c>
      <c r="CW1842" t="s">
        <v>22338</v>
      </c>
      <c r="CX1842" t="s">
        <v>235</v>
      </c>
      <c r="CY1842" t="s">
        <v>183</v>
      </c>
      <c r="CZ1842" t="s">
        <v>211</v>
      </c>
      <c r="DA1842" t="s">
        <v>460</v>
      </c>
      <c r="DC1842" t="s">
        <v>1501</v>
      </c>
      <c r="DD1842" t="s">
        <v>12013</v>
      </c>
      <c r="DE1842" t="s">
        <v>267</v>
      </c>
      <c r="DF1842" t="s">
        <v>268</v>
      </c>
      <c r="DG1842" t="s">
        <v>9114</v>
      </c>
      <c r="DH1842" t="s">
        <v>235</v>
      </c>
      <c r="DI1842" t="s">
        <v>183</v>
      </c>
      <c r="DJ1842" t="s">
        <v>211</v>
      </c>
      <c r="DK1842" t="s">
        <v>487</v>
      </c>
      <c r="DM1842" t="s">
        <v>22339</v>
      </c>
      <c r="DN1842" t="s">
        <v>16931</v>
      </c>
      <c r="DO1842" t="s">
        <v>273</v>
      </c>
      <c r="DP1842" t="s">
        <v>274</v>
      </c>
      <c r="DQ1842" t="s">
        <v>22340</v>
      </c>
      <c r="DR1842" t="s">
        <v>235</v>
      </c>
      <c r="DS1842" t="s">
        <v>183</v>
      </c>
      <c r="DT1842" t="s">
        <v>211</v>
      </c>
      <c r="DU1842" t="s">
        <v>339</v>
      </c>
      <c r="DW1842" t="s">
        <v>17657</v>
      </c>
      <c r="DX1842" t="s">
        <v>3373</v>
      </c>
      <c r="DY1842" t="s">
        <v>302</v>
      </c>
      <c r="DZ1842" t="s">
        <v>303</v>
      </c>
      <c r="EA1842" t="s">
        <v>22341</v>
      </c>
      <c r="EB1842" t="s">
        <v>235</v>
      </c>
      <c r="EC1842" t="s">
        <v>183</v>
      </c>
      <c r="ED1842" t="s">
        <v>211</v>
      </c>
      <c r="EE1842" t="s">
        <v>493</v>
      </c>
      <c r="EG1842" t="s">
        <v>17657</v>
      </c>
      <c r="EH1842" t="s">
        <v>22342</v>
      </c>
      <c r="EI1842" t="s">
        <v>346</v>
      </c>
      <c r="EJ1842" t="s">
        <v>347</v>
      </c>
      <c r="EK1842" t="s">
        <v>22343</v>
      </c>
      <c r="EL1842" t="s">
        <v>440</v>
      </c>
      <c r="EM1842" t="s">
        <v>183</v>
      </c>
      <c r="EN1842" t="s">
        <v>211</v>
      </c>
      <c r="EO1842" t="s">
        <v>329</v>
      </c>
      <c r="EQ1842" t="s">
        <v>1324</v>
      </c>
      <c r="FA1842" t="s">
        <v>198</v>
      </c>
      <c r="FK1842" t="s">
        <v>198</v>
      </c>
      <c r="FU1842" t="s">
        <v>198</v>
      </c>
    </row>
    <row r="1843" spans="1:177">
      <c r="A1843" s="1" t="str">
        <f>HYPERLINK("http://digipan.lumentumllc.com/apps/getLink/index.php?t=PropLink&amp;p=6462124","PL")</f>
        <v>PL</v>
      </c>
      <c r="B1843" s="1" t="str">
        <f>HYPERLINK("http://digipan.lumentumllc.com/apps/getLink/index.php?t=TaxLink&amp;p=6462124","TL")</f>
        <v>TL</v>
      </c>
      <c r="C1843" s="1" t="str">
        <f>HYPERLINK("http://digipan.lumentumllc.com/apps/getMap/index.php?p=6462124","Map")</f>
        <v>Map</v>
      </c>
      <c r="E1843" t="s">
        <v>177</v>
      </c>
      <c r="F1843" t="s">
        <v>178</v>
      </c>
      <c r="L1843" t="s">
        <v>22344</v>
      </c>
      <c r="N1843" t="s">
        <v>22344</v>
      </c>
      <c r="O1843" t="s">
        <v>22344</v>
      </c>
      <c r="P1843" t="s">
        <v>22345</v>
      </c>
      <c r="Q1843" t="s">
        <v>22344</v>
      </c>
      <c r="V1843">
        <v>2104</v>
      </c>
      <c r="W1843">
        <v>7</v>
      </c>
      <c r="X1843">
        <v>2017</v>
      </c>
      <c r="Y1843">
        <v>2018</v>
      </c>
      <c r="Z1843">
        <v>731.94</v>
      </c>
      <c r="AB1843" t="s">
        <v>181</v>
      </c>
      <c r="AC1843" t="s">
        <v>182</v>
      </c>
      <c r="AD1843" t="s">
        <v>183</v>
      </c>
      <c r="AE1843">
        <v>0</v>
      </c>
      <c r="AF1843">
        <v>3</v>
      </c>
      <c r="AG1843" t="s">
        <v>381</v>
      </c>
      <c r="AH1843">
        <v>100</v>
      </c>
      <c r="AK1843">
        <v>0</v>
      </c>
      <c r="AL1843">
        <v>42750</v>
      </c>
      <c r="AM1843">
        <v>42750</v>
      </c>
      <c r="AN1843">
        <v>0</v>
      </c>
      <c r="AO1843">
        <v>656</v>
      </c>
      <c r="AP1843">
        <v>2016</v>
      </c>
      <c r="AQ1843">
        <v>1.71</v>
      </c>
      <c r="AS1843" t="s">
        <v>22346</v>
      </c>
      <c r="AT1843" t="s">
        <v>3210</v>
      </c>
      <c r="AU1843" t="s">
        <v>177</v>
      </c>
      <c r="AV1843" t="s">
        <v>2334</v>
      </c>
      <c r="AW1843" t="s">
        <v>182</v>
      </c>
      <c r="AX1843">
        <v>0</v>
      </c>
      <c r="AY1843" t="s">
        <v>312</v>
      </c>
      <c r="AZ1843" t="s">
        <v>199</v>
      </c>
      <c r="BA1843" t="s">
        <v>313</v>
      </c>
      <c r="BB1843" t="s">
        <v>191</v>
      </c>
      <c r="BC1843" t="s">
        <v>182</v>
      </c>
      <c r="BD1843" t="s">
        <v>182</v>
      </c>
      <c r="BE1843" t="s">
        <v>11471</v>
      </c>
      <c r="BF1843">
        <v>0</v>
      </c>
      <c r="BG1843">
        <v>0</v>
      </c>
      <c r="BH1843">
        <v>0</v>
      </c>
      <c r="BI1843" t="s">
        <v>199</v>
      </c>
      <c r="BJ1843" t="s">
        <v>248</v>
      </c>
      <c r="BL1843" t="s">
        <v>4994</v>
      </c>
      <c r="BM1843" t="s">
        <v>197</v>
      </c>
      <c r="BN1843" t="s">
        <v>182</v>
      </c>
      <c r="BO1843" t="s">
        <v>1855</v>
      </c>
      <c r="BP1843" t="s">
        <v>22347</v>
      </c>
      <c r="BQ1843" t="s">
        <v>800</v>
      </c>
      <c r="BR1843" t="s">
        <v>227</v>
      </c>
      <c r="BS1843" t="s">
        <v>198</v>
      </c>
      <c r="BT1843" t="s">
        <v>22348</v>
      </c>
      <c r="BU1843" t="s">
        <v>182</v>
      </c>
      <c r="BV1843" t="s">
        <v>198</v>
      </c>
      <c r="BW1843" t="s">
        <v>198</v>
      </c>
      <c r="BX1843" t="s">
        <v>199</v>
      </c>
      <c r="BY1843" t="s">
        <v>198</v>
      </c>
      <c r="BZ1843" t="s">
        <v>199</v>
      </c>
      <c r="CA1843" t="s">
        <v>199</v>
      </c>
      <c r="CB1843" t="s">
        <v>22349</v>
      </c>
      <c r="CC1843" t="s">
        <v>201</v>
      </c>
      <c r="CD1843" t="s">
        <v>202</v>
      </c>
      <c r="CE1843" t="s">
        <v>22350</v>
      </c>
      <c r="CF1843" t="s">
        <v>5331</v>
      </c>
      <c r="CG1843" t="s">
        <v>177</v>
      </c>
      <c r="CH1843" t="s">
        <v>371</v>
      </c>
      <c r="CI1843" t="s">
        <v>22351</v>
      </c>
      <c r="CJ1843" t="s">
        <v>10295</v>
      </c>
      <c r="CK1843" t="s">
        <v>292</v>
      </c>
      <c r="CL1843" t="s">
        <v>293</v>
      </c>
      <c r="CM1843" t="s">
        <v>22352</v>
      </c>
      <c r="CN1843" t="s">
        <v>331</v>
      </c>
      <c r="CO1843" t="s">
        <v>183</v>
      </c>
      <c r="CP1843" t="s">
        <v>211</v>
      </c>
      <c r="CQ1843" t="s">
        <v>342</v>
      </c>
      <c r="CS1843" t="s">
        <v>4509</v>
      </c>
      <c r="CT1843" t="s">
        <v>12047</v>
      </c>
      <c r="CU1843" t="s">
        <v>267</v>
      </c>
      <c r="CV1843" t="s">
        <v>268</v>
      </c>
      <c r="CW1843" t="s">
        <v>22353</v>
      </c>
      <c r="CX1843" t="s">
        <v>235</v>
      </c>
      <c r="CY1843" t="s">
        <v>183</v>
      </c>
      <c r="CZ1843" t="s">
        <v>211</v>
      </c>
      <c r="DA1843" t="s">
        <v>345</v>
      </c>
      <c r="DC1843" t="s">
        <v>4509</v>
      </c>
      <c r="DD1843" t="s">
        <v>7714</v>
      </c>
      <c r="DE1843" t="s">
        <v>302</v>
      </c>
      <c r="DF1843" t="s">
        <v>303</v>
      </c>
      <c r="DG1843" t="s">
        <v>22354</v>
      </c>
      <c r="DH1843" t="s">
        <v>235</v>
      </c>
      <c r="DI1843" t="s">
        <v>183</v>
      </c>
      <c r="DJ1843" t="s">
        <v>211</v>
      </c>
      <c r="DK1843" t="s">
        <v>460</v>
      </c>
      <c r="DM1843" t="s">
        <v>1835</v>
      </c>
      <c r="DW1843" t="s">
        <v>198</v>
      </c>
      <c r="EG1843" t="s">
        <v>198</v>
      </c>
      <c r="EQ1843" t="s">
        <v>198</v>
      </c>
      <c r="FA1843" t="s">
        <v>198</v>
      </c>
      <c r="FK1843" t="s">
        <v>198</v>
      </c>
      <c r="FU1843" t="s">
        <v>198</v>
      </c>
    </row>
    <row r="1844" spans="1:177">
      <c r="A1844" s="1" t="str">
        <f>HYPERLINK("http://digipan.lumentumllc.com/apps/getLink/index.php?t=PropLink&amp;p=15763724","PL")</f>
        <v>PL</v>
      </c>
      <c r="B1844" s="1" t="str">
        <f>HYPERLINK("http://digipan.lumentumllc.com/apps/getLink/index.php?t=TaxLink&amp;p=15763724","TL")</f>
        <v>TL</v>
      </c>
      <c r="C1844" s="1" t="str">
        <f>HYPERLINK("http://digipan.lumentumllc.com/apps/getMap/index.php?p=15763724","Map")</f>
        <v>Map</v>
      </c>
      <c r="E1844" t="s">
        <v>177</v>
      </c>
      <c r="F1844" t="s">
        <v>178</v>
      </c>
      <c r="L1844" t="s">
        <v>22355</v>
      </c>
      <c r="N1844" t="s">
        <v>22355</v>
      </c>
      <c r="O1844" t="s">
        <v>22355</v>
      </c>
      <c r="Q1844" t="s">
        <v>22355</v>
      </c>
      <c r="V1844">
        <v>2105</v>
      </c>
      <c r="W1844">
        <v>7</v>
      </c>
      <c r="X1844">
        <v>2017</v>
      </c>
      <c r="Y1844">
        <v>2018</v>
      </c>
      <c r="Z1844">
        <v>13098.52</v>
      </c>
      <c r="AG1844" t="s">
        <v>184</v>
      </c>
      <c r="AH1844">
        <v>0</v>
      </c>
      <c r="AK1844">
        <v>0</v>
      </c>
      <c r="AL1844">
        <v>843085</v>
      </c>
      <c r="AM1844">
        <v>240000</v>
      </c>
      <c r="AN1844">
        <v>603085</v>
      </c>
      <c r="AO1844">
        <v>12043</v>
      </c>
      <c r="AP1844">
        <v>2016</v>
      </c>
      <c r="AQ1844">
        <v>1.55</v>
      </c>
      <c r="AS1844" t="s">
        <v>22356</v>
      </c>
      <c r="AT1844" t="s">
        <v>3210</v>
      </c>
      <c r="AU1844" t="s">
        <v>177</v>
      </c>
      <c r="AV1844" t="s">
        <v>2334</v>
      </c>
      <c r="AW1844" t="s">
        <v>202</v>
      </c>
      <c r="AX1844">
        <v>1</v>
      </c>
      <c r="AY1844" t="s">
        <v>188</v>
      </c>
      <c r="AZ1844" t="s">
        <v>206</v>
      </c>
      <c r="BA1844" t="s">
        <v>355</v>
      </c>
      <c r="BB1844" t="s">
        <v>191</v>
      </c>
      <c r="BC1844" t="s">
        <v>182</v>
      </c>
      <c r="BD1844" t="s">
        <v>182</v>
      </c>
      <c r="BE1844" t="s">
        <v>17310</v>
      </c>
      <c r="BF1844">
        <v>2</v>
      </c>
      <c r="BG1844">
        <v>2</v>
      </c>
      <c r="BH1844">
        <v>1981</v>
      </c>
      <c r="BI1844" t="s">
        <v>22357</v>
      </c>
      <c r="BJ1844" t="s">
        <v>396</v>
      </c>
      <c r="BK1844" t="s">
        <v>195</v>
      </c>
      <c r="BL1844" t="s">
        <v>19131</v>
      </c>
      <c r="BM1844" t="s">
        <v>1041</v>
      </c>
      <c r="BN1844" t="s">
        <v>182</v>
      </c>
      <c r="BO1844" t="s">
        <v>5458</v>
      </c>
      <c r="BP1844" t="s">
        <v>22358</v>
      </c>
      <c r="BQ1844" t="s">
        <v>562</v>
      </c>
      <c r="BR1844" t="s">
        <v>563</v>
      </c>
      <c r="BS1844" t="s">
        <v>198</v>
      </c>
      <c r="BT1844" t="s">
        <v>22359</v>
      </c>
      <c r="BU1844" t="s">
        <v>182</v>
      </c>
      <c r="BV1844" t="s">
        <v>198</v>
      </c>
      <c r="BW1844" t="s">
        <v>198</v>
      </c>
      <c r="BX1844" t="s">
        <v>199</v>
      </c>
      <c r="BY1844" t="s">
        <v>198</v>
      </c>
      <c r="BZ1844" t="s">
        <v>199</v>
      </c>
      <c r="CA1844" t="s">
        <v>199</v>
      </c>
      <c r="CB1844" t="s">
        <v>22360</v>
      </c>
      <c r="CC1844" t="s">
        <v>201</v>
      </c>
      <c r="CD1844" t="s">
        <v>182</v>
      </c>
      <c r="CE1844" t="s">
        <v>22361</v>
      </c>
      <c r="CF1844" t="s">
        <v>2333</v>
      </c>
      <c r="CG1844" t="s">
        <v>177</v>
      </c>
      <c r="CH1844" t="s">
        <v>2334</v>
      </c>
      <c r="CI1844" t="s">
        <v>22362</v>
      </c>
      <c r="CS1844" t="s">
        <v>198</v>
      </c>
      <c r="DC1844" t="s">
        <v>198</v>
      </c>
      <c r="DM1844" t="s">
        <v>198</v>
      </c>
      <c r="DW1844" t="s">
        <v>198</v>
      </c>
      <c r="EG1844" t="s">
        <v>198</v>
      </c>
      <c r="EQ1844" t="s">
        <v>198</v>
      </c>
      <c r="FA1844" t="s">
        <v>198</v>
      </c>
      <c r="FK1844" t="s">
        <v>198</v>
      </c>
      <c r="FU1844" t="s">
        <v>198</v>
      </c>
    </row>
    <row r="1845" spans="1:177">
      <c r="A1845" s="1" t="str">
        <f>HYPERLINK("http://digipan.lumentumllc.com/apps/getLink/index.php?t=PropLink&amp;p=6594415","PL")</f>
        <v>PL</v>
      </c>
      <c r="B1845" s="1" t="str">
        <f>HYPERLINK("http://digipan.lumentumllc.com/apps/getLink/index.php?t=TaxLink&amp;p=6594415","TL")</f>
        <v>TL</v>
      </c>
      <c r="C1845" s="1" t="str">
        <f>HYPERLINK("http://digipan.lumentumllc.com/apps/getMap/index.php?p=6594415","Map")</f>
        <v>Map</v>
      </c>
      <c r="E1845" t="s">
        <v>177</v>
      </c>
      <c r="F1845" t="s">
        <v>178</v>
      </c>
      <c r="L1845" t="s">
        <v>22363</v>
      </c>
      <c r="N1845" t="s">
        <v>22363</v>
      </c>
      <c r="O1845" t="s">
        <v>22363</v>
      </c>
      <c r="P1845" t="s">
        <v>22364</v>
      </c>
      <c r="Q1845" t="s">
        <v>22363</v>
      </c>
      <c r="V1845">
        <v>2106</v>
      </c>
      <c r="W1845">
        <v>7</v>
      </c>
      <c r="X1845">
        <v>2017</v>
      </c>
      <c r="Y1845">
        <v>2018</v>
      </c>
      <c r="Z1845">
        <v>795.21</v>
      </c>
      <c r="AB1845" t="s">
        <v>181</v>
      </c>
      <c r="AC1845" t="s">
        <v>182</v>
      </c>
      <c r="AD1845" t="s">
        <v>183</v>
      </c>
      <c r="AE1845">
        <v>0</v>
      </c>
      <c r="AF1845">
        <v>1</v>
      </c>
      <c r="AG1845" t="s">
        <v>821</v>
      </c>
      <c r="AH1845">
        <v>100</v>
      </c>
      <c r="AK1845">
        <v>0</v>
      </c>
      <c r="AL1845">
        <v>50000</v>
      </c>
      <c r="AM1845">
        <v>50000</v>
      </c>
      <c r="AN1845">
        <v>0</v>
      </c>
      <c r="AO1845">
        <v>614</v>
      </c>
      <c r="AP1845">
        <v>2016</v>
      </c>
      <c r="AQ1845">
        <v>1.59</v>
      </c>
      <c r="AS1845" t="s">
        <v>22365</v>
      </c>
      <c r="AT1845" t="s">
        <v>3210</v>
      </c>
      <c r="AU1845" t="s">
        <v>177</v>
      </c>
      <c r="AV1845" t="s">
        <v>2334</v>
      </c>
      <c r="AW1845" t="s">
        <v>182</v>
      </c>
      <c r="AX1845">
        <v>0</v>
      </c>
      <c r="AY1845" t="s">
        <v>312</v>
      </c>
      <c r="AZ1845" t="s">
        <v>199</v>
      </c>
      <c r="BA1845" t="s">
        <v>313</v>
      </c>
      <c r="BB1845" t="s">
        <v>191</v>
      </c>
      <c r="BC1845" t="s">
        <v>182</v>
      </c>
      <c r="BD1845" t="s">
        <v>182</v>
      </c>
      <c r="BE1845" t="s">
        <v>11478</v>
      </c>
      <c r="BF1845">
        <v>0</v>
      </c>
      <c r="BG1845">
        <v>0</v>
      </c>
      <c r="BH1845">
        <v>0</v>
      </c>
      <c r="BI1845" t="s">
        <v>199</v>
      </c>
      <c r="BJ1845" t="s">
        <v>248</v>
      </c>
      <c r="BL1845" t="s">
        <v>824</v>
      </c>
      <c r="BM1845" t="s">
        <v>197</v>
      </c>
      <c r="BN1845" t="s">
        <v>182</v>
      </c>
      <c r="BO1845" t="s">
        <v>198</v>
      </c>
      <c r="BP1845" t="s">
        <v>198</v>
      </c>
      <c r="BQ1845" t="s">
        <v>198</v>
      </c>
      <c r="BR1845" t="s">
        <v>198</v>
      </c>
      <c r="BS1845" t="s">
        <v>198</v>
      </c>
      <c r="BT1845" t="s">
        <v>198</v>
      </c>
      <c r="BU1845" t="s">
        <v>182</v>
      </c>
      <c r="BV1845" t="s">
        <v>198</v>
      </c>
      <c r="BW1845" t="s">
        <v>198</v>
      </c>
      <c r="BX1845" t="s">
        <v>199</v>
      </c>
      <c r="BY1845" t="s">
        <v>198</v>
      </c>
      <c r="BZ1845" t="s">
        <v>199</v>
      </c>
      <c r="CA1845" t="s">
        <v>199</v>
      </c>
      <c r="CB1845" t="s">
        <v>22366</v>
      </c>
      <c r="CC1845" t="s">
        <v>201</v>
      </c>
      <c r="CD1845" t="s">
        <v>202</v>
      </c>
      <c r="CE1845" t="s">
        <v>22367</v>
      </c>
      <c r="CF1845" t="s">
        <v>22368</v>
      </c>
      <c r="CG1845" t="s">
        <v>5791</v>
      </c>
      <c r="CH1845" t="s">
        <v>22369</v>
      </c>
      <c r="CI1845" t="s">
        <v>1127</v>
      </c>
      <c r="CJ1845" t="s">
        <v>20833</v>
      </c>
      <c r="CK1845" t="s">
        <v>273</v>
      </c>
      <c r="CL1845" t="s">
        <v>274</v>
      </c>
      <c r="CM1845" t="s">
        <v>11413</v>
      </c>
      <c r="CN1845" t="s">
        <v>235</v>
      </c>
      <c r="CO1845" t="s">
        <v>183</v>
      </c>
      <c r="CP1845" t="s">
        <v>211</v>
      </c>
      <c r="CQ1845" t="s">
        <v>206</v>
      </c>
      <c r="CS1845" t="s">
        <v>16777</v>
      </c>
      <c r="DC1845" t="s">
        <v>198</v>
      </c>
      <c r="DM1845" t="s">
        <v>198</v>
      </c>
      <c r="DW1845" t="s">
        <v>198</v>
      </c>
      <c r="EG1845" t="s">
        <v>198</v>
      </c>
      <c r="EQ1845" t="s">
        <v>198</v>
      </c>
      <c r="FA1845" t="s">
        <v>198</v>
      </c>
      <c r="FK1845" t="s">
        <v>198</v>
      </c>
      <c r="FU1845" t="s">
        <v>198</v>
      </c>
    </row>
    <row r="1846" spans="1:177">
      <c r="A1846" s="1" t="str">
        <f>HYPERLINK("http://digipan.lumentumllc.com/apps/getLink/index.php?t=PropLink&amp;p=41030478","PL")</f>
        <v>PL</v>
      </c>
      <c r="B1846" s="1" t="str">
        <f>HYPERLINK("http://digipan.lumentumllc.com/apps/getLink/index.php?t=TaxLink&amp;p=41030478","TL")</f>
        <v>TL</v>
      </c>
      <c r="C1846" s="1" t="str">
        <f t="shared" ref="C1846:C1855" si="0">HYPERLINK("","")</f>
        <v/>
      </c>
      <c r="E1846" t="s">
        <v>177</v>
      </c>
      <c r="F1846" t="s">
        <v>178</v>
      </c>
      <c r="L1846" t="s">
        <v>22370</v>
      </c>
      <c r="N1846" t="s">
        <v>22370</v>
      </c>
      <c r="O1846" t="s">
        <v>22370</v>
      </c>
      <c r="Q1846" t="s">
        <v>22370</v>
      </c>
      <c r="V1846">
        <v>2107</v>
      </c>
      <c r="W1846">
        <v>7</v>
      </c>
      <c r="X1846">
        <v>2017</v>
      </c>
      <c r="Y1846">
        <v>2018</v>
      </c>
      <c r="Z1846">
        <v>176.08</v>
      </c>
      <c r="AG1846" t="s">
        <v>184</v>
      </c>
      <c r="AH1846">
        <v>0</v>
      </c>
      <c r="AK1846">
        <v>0</v>
      </c>
      <c r="AL1846">
        <v>8800</v>
      </c>
      <c r="AM1846">
        <v>8800</v>
      </c>
      <c r="AN1846">
        <v>0</v>
      </c>
      <c r="AQ1846">
        <v>2</v>
      </c>
      <c r="AS1846" t="s">
        <v>22371</v>
      </c>
      <c r="AT1846" t="s">
        <v>3210</v>
      </c>
      <c r="AU1846" t="s">
        <v>177</v>
      </c>
      <c r="AV1846" t="s">
        <v>2334</v>
      </c>
      <c r="AW1846" t="s">
        <v>182</v>
      </c>
      <c r="AX1846">
        <v>0</v>
      </c>
      <c r="AY1846" t="s">
        <v>312</v>
      </c>
      <c r="AZ1846" t="s">
        <v>199</v>
      </c>
      <c r="BA1846" t="s">
        <v>313</v>
      </c>
      <c r="BB1846" t="s">
        <v>191</v>
      </c>
      <c r="BC1846" t="s">
        <v>202</v>
      </c>
      <c r="BD1846" t="s">
        <v>182</v>
      </c>
      <c r="BE1846" t="s">
        <v>6673</v>
      </c>
      <c r="BI1846" t="s">
        <v>199</v>
      </c>
      <c r="BL1846" t="s">
        <v>1854</v>
      </c>
      <c r="BM1846" t="s">
        <v>197</v>
      </c>
      <c r="BN1846" t="s">
        <v>182</v>
      </c>
      <c r="BO1846" t="s">
        <v>198</v>
      </c>
      <c r="BP1846" t="s">
        <v>198</v>
      </c>
      <c r="BQ1846" t="s">
        <v>198</v>
      </c>
      <c r="BR1846" t="s">
        <v>198</v>
      </c>
      <c r="BS1846" t="s">
        <v>198</v>
      </c>
      <c r="BT1846" t="s">
        <v>198</v>
      </c>
      <c r="BU1846" t="s">
        <v>182</v>
      </c>
      <c r="BV1846" t="s">
        <v>198</v>
      </c>
      <c r="BW1846" t="s">
        <v>198</v>
      </c>
      <c r="BX1846" t="s">
        <v>199</v>
      </c>
      <c r="BY1846" t="s">
        <v>198</v>
      </c>
      <c r="CB1846" t="s">
        <v>19179</v>
      </c>
      <c r="CC1846" t="s">
        <v>201</v>
      </c>
      <c r="CD1846" t="s">
        <v>182</v>
      </c>
      <c r="CE1846" t="s">
        <v>22372</v>
      </c>
      <c r="CF1846" t="s">
        <v>3714</v>
      </c>
      <c r="CG1846" t="s">
        <v>177</v>
      </c>
      <c r="CH1846" t="s">
        <v>19182</v>
      </c>
      <c r="CI1846" t="s">
        <v>1955</v>
      </c>
      <c r="CS1846" t="s">
        <v>198</v>
      </c>
      <c r="DC1846" t="s">
        <v>198</v>
      </c>
      <c r="DM1846" t="s">
        <v>198</v>
      </c>
      <c r="DW1846" t="s">
        <v>198</v>
      </c>
      <c r="EG1846" t="s">
        <v>198</v>
      </c>
      <c r="EQ1846" t="s">
        <v>198</v>
      </c>
      <c r="FA1846" t="s">
        <v>198</v>
      </c>
      <c r="FK1846" t="s">
        <v>198</v>
      </c>
      <c r="FU1846" t="s">
        <v>198</v>
      </c>
    </row>
    <row r="1847" spans="1:177">
      <c r="A1847" s="1" t="str">
        <f>HYPERLINK("http://digipan.lumentumllc.com/apps/getLink/index.php?t=PropLink&amp;p=41030482","PL")</f>
        <v>PL</v>
      </c>
      <c r="B1847" s="1" t="str">
        <f>HYPERLINK("http://digipan.lumentumllc.com/apps/getLink/index.php?t=TaxLink&amp;p=41030482","TL")</f>
        <v>TL</v>
      </c>
      <c r="C1847" s="1" t="str">
        <f t="shared" si="0"/>
        <v/>
      </c>
      <c r="E1847" t="s">
        <v>177</v>
      </c>
      <c r="F1847" t="s">
        <v>178</v>
      </c>
      <c r="L1847" t="s">
        <v>22373</v>
      </c>
      <c r="N1847" t="s">
        <v>22373</v>
      </c>
      <c r="O1847" t="s">
        <v>22373</v>
      </c>
      <c r="Q1847" t="s">
        <v>22373</v>
      </c>
      <c r="V1847">
        <v>2108</v>
      </c>
      <c r="W1847">
        <v>7</v>
      </c>
      <c r="X1847">
        <v>2017</v>
      </c>
      <c r="Y1847">
        <v>2018</v>
      </c>
      <c r="Z1847">
        <v>176.08</v>
      </c>
      <c r="AG1847" t="s">
        <v>184</v>
      </c>
      <c r="AH1847">
        <v>0</v>
      </c>
      <c r="AK1847">
        <v>0</v>
      </c>
      <c r="AL1847">
        <v>8800</v>
      </c>
      <c r="AM1847">
        <v>8800</v>
      </c>
      <c r="AN1847">
        <v>0</v>
      </c>
      <c r="AQ1847">
        <v>2</v>
      </c>
      <c r="AS1847" t="s">
        <v>22374</v>
      </c>
      <c r="AT1847" t="s">
        <v>3210</v>
      </c>
      <c r="AU1847" t="s">
        <v>177</v>
      </c>
      <c r="AV1847" t="s">
        <v>2334</v>
      </c>
      <c r="AW1847" t="s">
        <v>182</v>
      </c>
      <c r="AX1847">
        <v>0</v>
      </c>
      <c r="AY1847" t="s">
        <v>312</v>
      </c>
      <c r="AZ1847" t="s">
        <v>199</v>
      </c>
      <c r="BA1847" t="s">
        <v>313</v>
      </c>
      <c r="BB1847" t="s">
        <v>191</v>
      </c>
      <c r="BC1847" t="s">
        <v>202</v>
      </c>
      <c r="BD1847" t="s">
        <v>182</v>
      </c>
      <c r="BE1847" t="s">
        <v>11735</v>
      </c>
      <c r="BI1847" t="s">
        <v>199</v>
      </c>
      <c r="BL1847" t="s">
        <v>15230</v>
      </c>
      <c r="BM1847" t="s">
        <v>197</v>
      </c>
      <c r="BN1847" t="s">
        <v>182</v>
      </c>
      <c r="BO1847" t="s">
        <v>198</v>
      </c>
      <c r="BP1847" t="s">
        <v>198</v>
      </c>
      <c r="BQ1847" t="s">
        <v>198</v>
      </c>
      <c r="BR1847" t="s">
        <v>198</v>
      </c>
      <c r="BS1847" t="s">
        <v>198</v>
      </c>
      <c r="BT1847" t="s">
        <v>198</v>
      </c>
      <c r="BU1847" t="s">
        <v>182</v>
      </c>
      <c r="BV1847" t="s">
        <v>198</v>
      </c>
      <c r="BW1847" t="s">
        <v>198</v>
      </c>
      <c r="BX1847" t="s">
        <v>199</v>
      </c>
      <c r="BY1847" t="s">
        <v>198</v>
      </c>
      <c r="CB1847" t="s">
        <v>19179</v>
      </c>
      <c r="CC1847" t="s">
        <v>201</v>
      </c>
      <c r="CD1847" t="s">
        <v>182</v>
      </c>
      <c r="CE1847" t="s">
        <v>22375</v>
      </c>
      <c r="CF1847" t="s">
        <v>19181</v>
      </c>
      <c r="CG1847" t="s">
        <v>177</v>
      </c>
      <c r="CH1847" t="s">
        <v>19182</v>
      </c>
      <c r="CI1847" t="s">
        <v>4099</v>
      </c>
      <c r="CS1847" t="s">
        <v>198</v>
      </c>
      <c r="DC1847" t="s">
        <v>198</v>
      </c>
      <c r="DM1847" t="s">
        <v>198</v>
      </c>
      <c r="DW1847" t="s">
        <v>198</v>
      </c>
      <c r="EG1847" t="s">
        <v>198</v>
      </c>
      <c r="EQ1847" t="s">
        <v>198</v>
      </c>
      <c r="FA1847" t="s">
        <v>198</v>
      </c>
      <c r="FK1847" t="s">
        <v>198</v>
      </c>
      <c r="FU1847" t="s">
        <v>198</v>
      </c>
    </row>
    <row r="1848" spans="1:177">
      <c r="A1848" s="1" t="str">
        <f>HYPERLINK("http://digipan.lumentumllc.com/apps/getLink/index.php?t=PropLink&amp;p=41030484","PL")</f>
        <v>PL</v>
      </c>
      <c r="B1848" s="1" t="str">
        <f>HYPERLINK("http://digipan.lumentumllc.com/apps/getLink/index.php?t=TaxLink&amp;p=41030484","TL")</f>
        <v>TL</v>
      </c>
      <c r="C1848" s="1" t="str">
        <f t="shared" si="0"/>
        <v/>
      </c>
      <c r="E1848" t="s">
        <v>177</v>
      </c>
      <c r="F1848" t="s">
        <v>178</v>
      </c>
      <c r="L1848" t="s">
        <v>22376</v>
      </c>
      <c r="N1848" t="s">
        <v>22376</v>
      </c>
      <c r="O1848" t="s">
        <v>22376</v>
      </c>
      <c r="Q1848" t="s">
        <v>22376</v>
      </c>
      <c r="V1848">
        <v>2109</v>
      </c>
      <c r="W1848">
        <v>7</v>
      </c>
      <c r="X1848">
        <v>2017</v>
      </c>
      <c r="Y1848">
        <v>2018</v>
      </c>
      <c r="Z1848">
        <v>176.08</v>
      </c>
      <c r="AG1848" t="s">
        <v>184</v>
      </c>
      <c r="AH1848">
        <v>0</v>
      </c>
      <c r="AK1848">
        <v>0</v>
      </c>
      <c r="AL1848">
        <v>8800</v>
      </c>
      <c r="AM1848">
        <v>8800</v>
      </c>
      <c r="AN1848">
        <v>0</v>
      </c>
      <c r="AQ1848">
        <v>2</v>
      </c>
      <c r="AS1848" t="s">
        <v>22377</v>
      </c>
      <c r="AT1848" t="s">
        <v>3210</v>
      </c>
      <c r="AU1848" t="s">
        <v>177</v>
      </c>
      <c r="AV1848" t="s">
        <v>2334</v>
      </c>
      <c r="AW1848" t="s">
        <v>182</v>
      </c>
      <c r="AX1848">
        <v>0</v>
      </c>
      <c r="AY1848" t="s">
        <v>312</v>
      </c>
      <c r="AZ1848" t="s">
        <v>199</v>
      </c>
      <c r="BA1848" t="s">
        <v>313</v>
      </c>
      <c r="BB1848" t="s">
        <v>191</v>
      </c>
      <c r="BC1848" t="s">
        <v>202</v>
      </c>
      <c r="BD1848" t="s">
        <v>182</v>
      </c>
      <c r="BE1848" t="s">
        <v>5689</v>
      </c>
      <c r="BI1848" t="s">
        <v>199</v>
      </c>
      <c r="BL1848" t="s">
        <v>1854</v>
      </c>
      <c r="BM1848" t="s">
        <v>197</v>
      </c>
      <c r="BN1848" t="s">
        <v>182</v>
      </c>
      <c r="BO1848" t="s">
        <v>198</v>
      </c>
      <c r="BP1848" t="s">
        <v>198</v>
      </c>
      <c r="BQ1848" t="s">
        <v>198</v>
      </c>
      <c r="BR1848" t="s">
        <v>198</v>
      </c>
      <c r="BS1848" t="s">
        <v>198</v>
      </c>
      <c r="BT1848" t="s">
        <v>198</v>
      </c>
      <c r="BU1848" t="s">
        <v>182</v>
      </c>
      <c r="BV1848" t="s">
        <v>198</v>
      </c>
      <c r="BW1848" t="s">
        <v>198</v>
      </c>
      <c r="BX1848" t="s">
        <v>199</v>
      </c>
      <c r="BY1848" t="s">
        <v>198</v>
      </c>
      <c r="CB1848" t="s">
        <v>19179</v>
      </c>
      <c r="CC1848" t="s">
        <v>201</v>
      </c>
      <c r="CD1848" t="s">
        <v>182</v>
      </c>
      <c r="CE1848" t="s">
        <v>22372</v>
      </c>
      <c r="CF1848" t="s">
        <v>3714</v>
      </c>
      <c r="CG1848" t="s">
        <v>177</v>
      </c>
      <c r="CH1848" t="s">
        <v>19182</v>
      </c>
      <c r="CI1848" t="s">
        <v>2399</v>
      </c>
      <c r="CS1848" t="s">
        <v>198</v>
      </c>
      <c r="DC1848" t="s">
        <v>198</v>
      </c>
      <c r="DM1848" t="s">
        <v>198</v>
      </c>
      <c r="DW1848" t="s">
        <v>198</v>
      </c>
      <c r="EG1848" t="s">
        <v>198</v>
      </c>
      <c r="EQ1848" t="s">
        <v>198</v>
      </c>
      <c r="FA1848" t="s">
        <v>198</v>
      </c>
      <c r="FK1848" t="s">
        <v>198</v>
      </c>
      <c r="FU1848" t="s">
        <v>198</v>
      </c>
    </row>
    <row r="1849" spans="1:177">
      <c r="A1849" s="1" t="str">
        <f>HYPERLINK("http://digipan.lumentumllc.com/apps/getLink/index.php?t=PropLink&amp;p=41030485","PL")</f>
        <v>PL</v>
      </c>
      <c r="B1849" s="1" t="str">
        <f>HYPERLINK("http://digipan.lumentumllc.com/apps/getLink/index.php?t=TaxLink&amp;p=41030485","TL")</f>
        <v>TL</v>
      </c>
      <c r="C1849" s="1" t="str">
        <f t="shared" si="0"/>
        <v/>
      </c>
      <c r="E1849" t="s">
        <v>177</v>
      </c>
      <c r="F1849" t="s">
        <v>178</v>
      </c>
      <c r="L1849" t="s">
        <v>22378</v>
      </c>
      <c r="N1849" t="s">
        <v>22378</v>
      </c>
      <c r="O1849" t="s">
        <v>22378</v>
      </c>
      <c r="Q1849" t="s">
        <v>22378</v>
      </c>
      <c r="V1849">
        <v>2110</v>
      </c>
      <c r="W1849">
        <v>7</v>
      </c>
      <c r="X1849">
        <v>2017</v>
      </c>
      <c r="Y1849">
        <v>2018</v>
      </c>
      <c r="Z1849">
        <v>176.08</v>
      </c>
      <c r="AG1849" t="s">
        <v>184</v>
      </c>
      <c r="AH1849">
        <v>0</v>
      </c>
      <c r="AK1849">
        <v>0</v>
      </c>
      <c r="AL1849">
        <v>8800</v>
      </c>
      <c r="AM1849">
        <v>8800</v>
      </c>
      <c r="AN1849">
        <v>0</v>
      </c>
      <c r="AQ1849">
        <v>2</v>
      </c>
      <c r="AS1849" t="s">
        <v>22379</v>
      </c>
      <c r="AT1849" t="s">
        <v>3210</v>
      </c>
      <c r="AU1849" t="s">
        <v>177</v>
      </c>
      <c r="AV1849" t="s">
        <v>2334</v>
      </c>
      <c r="AW1849" t="s">
        <v>182</v>
      </c>
      <c r="AX1849">
        <v>0</v>
      </c>
      <c r="AY1849" t="s">
        <v>312</v>
      </c>
      <c r="AZ1849" t="s">
        <v>199</v>
      </c>
      <c r="BA1849" t="s">
        <v>313</v>
      </c>
      <c r="BB1849" t="s">
        <v>191</v>
      </c>
      <c r="BC1849" t="s">
        <v>202</v>
      </c>
      <c r="BD1849" t="s">
        <v>182</v>
      </c>
      <c r="BE1849" t="s">
        <v>5608</v>
      </c>
      <c r="BI1849" t="s">
        <v>199</v>
      </c>
      <c r="BL1849" t="s">
        <v>15230</v>
      </c>
      <c r="BM1849" t="s">
        <v>197</v>
      </c>
      <c r="BN1849" t="s">
        <v>182</v>
      </c>
      <c r="BO1849" t="s">
        <v>198</v>
      </c>
      <c r="BP1849" t="s">
        <v>198</v>
      </c>
      <c r="BQ1849" t="s">
        <v>198</v>
      </c>
      <c r="BR1849" t="s">
        <v>198</v>
      </c>
      <c r="BS1849" t="s">
        <v>198</v>
      </c>
      <c r="BT1849" t="s">
        <v>198</v>
      </c>
      <c r="BU1849" t="s">
        <v>182</v>
      </c>
      <c r="BV1849" t="s">
        <v>198</v>
      </c>
      <c r="BW1849" t="s">
        <v>198</v>
      </c>
      <c r="BX1849" t="s">
        <v>199</v>
      </c>
      <c r="BY1849" t="s">
        <v>198</v>
      </c>
      <c r="CB1849" t="s">
        <v>19179</v>
      </c>
      <c r="CC1849" t="s">
        <v>201</v>
      </c>
      <c r="CD1849" t="s">
        <v>182</v>
      </c>
      <c r="CE1849" t="s">
        <v>22380</v>
      </c>
      <c r="CF1849" t="s">
        <v>19181</v>
      </c>
      <c r="CG1849" t="s">
        <v>177</v>
      </c>
      <c r="CH1849" t="s">
        <v>19182</v>
      </c>
      <c r="CI1849" t="s">
        <v>4843</v>
      </c>
      <c r="CS1849" t="s">
        <v>198</v>
      </c>
      <c r="DC1849" t="s">
        <v>198</v>
      </c>
      <c r="DM1849" t="s">
        <v>198</v>
      </c>
      <c r="DW1849" t="s">
        <v>198</v>
      </c>
      <c r="EG1849" t="s">
        <v>198</v>
      </c>
      <c r="EQ1849" t="s">
        <v>198</v>
      </c>
      <c r="FA1849" t="s">
        <v>198</v>
      </c>
      <c r="FK1849" t="s">
        <v>198</v>
      </c>
      <c r="FU1849" t="s">
        <v>198</v>
      </c>
    </row>
    <row r="1850" spans="1:177">
      <c r="A1850" s="1" t="str">
        <f>HYPERLINK("http://digipan.lumentumllc.com/apps/getLink/index.php?t=PropLink&amp;p=41030492","PL")</f>
        <v>PL</v>
      </c>
      <c r="B1850" s="1" t="str">
        <f>HYPERLINK("http://digipan.lumentumllc.com/apps/getLink/index.php?t=TaxLink&amp;p=41030492","TL")</f>
        <v>TL</v>
      </c>
      <c r="C1850" s="1" t="str">
        <f t="shared" si="0"/>
        <v/>
      </c>
      <c r="E1850" t="s">
        <v>177</v>
      </c>
      <c r="F1850" t="s">
        <v>178</v>
      </c>
      <c r="L1850" t="s">
        <v>22381</v>
      </c>
      <c r="N1850" t="s">
        <v>22381</v>
      </c>
      <c r="O1850" t="s">
        <v>22381</v>
      </c>
      <c r="Q1850" t="s">
        <v>22381</v>
      </c>
      <c r="V1850">
        <v>2111</v>
      </c>
      <c r="W1850">
        <v>7</v>
      </c>
      <c r="X1850">
        <v>2017</v>
      </c>
      <c r="Y1850">
        <v>2018</v>
      </c>
      <c r="Z1850">
        <v>176.08</v>
      </c>
      <c r="AG1850" t="s">
        <v>184</v>
      </c>
      <c r="AH1850">
        <v>0</v>
      </c>
      <c r="AK1850">
        <v>0</v>
      </c>
      <c r="AL1850">
        <v>8800</v>
      </c>
      <c r="AM1850">
        <v>8800</v>
      </c>
      <c r="AN1850">
        <v>0</v>
      </c>
      <c r="AQ1850">
        <v>2</v>
      </c>
      <c r="AS1850" t="s">
        <v>22382</v>
      </c>
      <c r="AT1850" t="s">
        <v>3210</v>
      </c>
      <c r="AU1850" t="s">
        <v>177</v>
      </c>
      <c r="AV1850" t="s">
        <v>2334</v>
      </c>
      <c r="AW1850" t="s">
        <v>182</v>
      </c>
      <c r="AX1850">
        <v>0</v>
      </c>
      <c r="AY1850" t="s">
        <v>312</v>
      </c>
      <c r="AZ1850" t="s">
        <v>199</v>
      </c>
      <c r="BA1850" t="s">
        <v>313</v>
      </c>
      <c r="BB1850" t="s">
        <v>191</v>
      </c>
      <c r="BC1850" t="s">
        <v>202</v>
      </c>
      <c r="BD1850" t="s">
        <v>182</v>
      </c>
      <c r="BE1850" t="s">
        <v>6673</v>
      </c>
      <c r="BI1850" t="s">
        <v>199</v>
      </c>
      <c r="BL1850" t="s">
        <v>15230</v>
      </c>
      <c r="BM1850" t="s">
        <v>197</v>
      </c>
      <c r="BN1850" t="s">
        <v>182</v>
      </c>
      <c r="BO1850" t="s">
        <v>198</v>
      </c>
      <c r="BP1850" t="s">
        <v>198</v>
      </c>
      <c r="BQ1850" t="s">
        <v>198</v>
      </c>
      <c r="BR1850" t="s">
        <v>198</v>
      </c>
      <c r="BS1850" t="s">
        <v>198</v>
      </c>
      <c r="BT1850" t="s">
        <v>198</v>
      </c>
      <c r="BU1850" t="s">
        <v>182</v>
      </c>
      <c r="BV1850" t="s">
        <v>198</v>
      </c>
      <c r="BW1850" t="s">
        <v>198</v>
      </c>
      <c r="BX1850" t="s">
        <v>199</v>
      </c>
      <c r="BY1850" t="s">
        <v>198</v>
      </c>
      <c r="CB1850" t="s">
        <v>19179</v>
      </c>
      <c r="CC1850" t="s">
        <v>201</v>
      </c>
      <c r="CD1850" t="s">
        <v>182</v>
      </c>
      <c r="CE1850" t="s">
        <v>22380</v>
      </c>
      <c r="CF1850" t="s">
        <v>19181</v>
      </c>
      <c r="CG1850" t="s">
        <v>177</v>
      </c>
      <c r="CH1850" t="s">
        <v>19182</v>
      </c>
      <c r="CI1850" t="s">
        <v>1114</v>
      </c>
      <c r="CS1850" t="s">
        <v>198</v>
      </c>
      <c r="DC1850" t="s">
        <v>198</v>
      </c>
      <c r="DM1850" t="s">
        <v>198</v>
      </c>
      <c r="DW1850" t="s">
        <v>198</v>
      </c>
      <c r="EG1850" t="s">
        <v>198</v>
      </c>
      <c r="EQ1850" t="s">
        <v>198</v>
      </c>
      <c r="FA1850" t="s">
        <v>198</v>
      </c>
      <c r="FK1850" t="s">
        <v>198</v>
      </c>
      <c r="FU1850" t="s">
        <v>198</v>
      </c>
    </row>
    <row r="1851" spans="1:177">
      <c r="A1851" s="1" t="str">
        <f>HYPERLINK("http://digipan.lumentumllc.com/apps/getLink/index.php?t=PropLink&amp;p=41030493","PL")</f>
        <v>PL</v>
      </c>
      <c r="B1851" s="1" t="str">
        <f>HYPERLINK("http://digipan.lumentumllc.com/apps/getLink/index.php?t=TaxLink&amp;p=41030493","TL")</f>
        <v>TL</v>
      </c>
      <c r="C1851" s="1" t="str">
        <f t="shared" si="0"/>
        <v/>
      </c>
      <c r="E1851" t="s">
        <v>177</v>
      </c>
      <c r="F1851" t="s">
        <v>178</v>
      </c>
      <c r="L1851" t="s">
        <v>22383</v>
      </c>
      <c r="N1851" t="s">
        <v>22383</v>
      </c>
      <c r="O1851" t="s">
        <v>22383</v>
      </c>
      <c r="Q1851" t="s">
        <v>22383</v>
      </c>
      <c r="V1851">
        <v>2112</v>
      </c>
      <c r="W1851">
        <v>7</v>
      </c>
      <c r="X1851">
        <v>2017</v>
      </c>
      <c r="Y1851">
        <v>2018</v>
      </c>
      <c r="Z1851">
        <v>176.08</v>
      </c>
      <c r="AG1851" t="s">
        <v>184</v>
      </c>
      <c r="AH1851">
        <v>0</v>
      </c>
      <c r="AK1851">
        <v>0</v>
      </c>
      <c r="AL1851">
        <v>8800</v>
      </c>
      <c r="AM1851">
        <v>8800</v>
      </c>
      <c r="AN1851">
        <v>0</v>
      </c>
      <c r="AQ1851">
        <v>2</v>
      </c>
      <c r="AS1851" t="s">
        <v>22384</v>
      </c>
      <c r="AT1851" t="s">
        <v>3210</v>
      </c>
      <c r="AU1851" t="s">
        <v>177</v>
      </c>
      <c r="AV1851" t="s">
        <v>2334</v>
      </c>
      <c r="AW1851" t="s">
        <v>182</v>
      </c>
      <c r="AX1851">
        <v>0</v>
      </c>
      <c r="AY1851" t="s">
        <v>312</v>
      </c>
      <c r="AZ1851" t="s">
        <v>199</v>
      </c>
      <c r="BA1851" t="s">
        <v>313</v>
      </c>
      <c r="BB1851" t="s">
        <v>191</v>
      </c>
      <c r="BC1851" t="s">
        <v>202</v>
      </c>
      <c r="BD1851" t="s">
        <v>182</v>
      </c>
      <c r="BE1851" t="s">
        <v>5608</v>
      </c>
      <c r="BI1851" t="s">
        <v>199</v>
      </c>
      <c r="BL1851" t="s">
        <v>1854</v>
      </c>
      <c r="BM1851" t="s">
        <v>197</v>
      </c>
      <c r="BN1851" t="s">
        <v>182</v>
      </c>
      <c r="BO1851" t="s">
        <v>198</v>
      </c>
      <c r="BP1851" t="s">
        <v>198</v>
      </c>
      <c r="BQ1851" t="s">
        <v>198</v>
      </c>
      <c r="BR1851" t="s">
        <v>198</v>
      </c>
      <c r="BS1851" t="s">
        <v>198</v>
      </c>
      <c r="BT1851" t="s">
        <v>198</v>
      </c>
      <c r="BU1851" t="s">
        <v>182</v>
      </c>
      <c r="BV1851" t="s">
        <v>198</v>
      </c>
      <c r="BW1851" t="s">
        <v>198</v>
      </c>
      <c r="BX1851" t="s">
        <v>199</v>
      </c>
      <c r="BY1851" t="s">
        <v>198</v>
      </c>
      <c r="CB1851" t="s">
        <v>19179</v>
      </c>
      <c r="CC1851" t="s">
        <v>201</v>
      </c>
      <c r="CD1851" t="s">
        <v>182</v>
      </c>
      <c r="CE1851" t="s">
        <v>22385</v>
      </c>
      <c r="CF1851" t="s">
        <v>19181</v>
      </c>
      <c r="CG1851" t="s">
        <v>177</v>
      </c>
      <c r="CH1851" t="s">
        <v>19182</v>
      </c>
      <c r="CI1851" t="s">
        <v>9154</v>
      </c>
      <c r="CS1851" t="s">
        <v>198</v>
      </c>
      <c r="DC1851" t="s">
        <v>198</v>
      </c>
      <c r="DM1851" t="s">
        <v>198</v>
      </c>
      <c r="DW1851" t="s">
        <v>198</v>
      </c>
      <c r="EG1851" t="s">
        <v>198</v>
      </c>
      <c r="EQ1851" t="s">
        <v>198</v>
      </c>
      <c r="FA1851" t="s">
        <v>198</v>
      </c>
      <c r="FK1851" t="s">
        <v>198</v>
      </c>
      <c r="FU1851" t="s">
        <v>198</v>
      </c>
    </row>
    <row r="1852" spans="1:177">
      <c r="A1852" s="1" t="str">
        <f>HYPERLINK("http://digipan.lumentumllc.com/apps/getLink/index.php?t=PropLink&amp;p=41030494","PL")</f>
        <v>PL</v>
      </c>
      <c r="B1852" s="1" t="str">
        <f>HYPERLINK("http://digipan.lumentumllc.com/apps/getLink/index.php?t=TaxLink&amp;p=41030494","TL")</f>
        <v>TL</v>
      </c>
      <c r="C1852" s="1" t="str">
        <f t="shared" si="0"/>
        <v/>
      </c>
      <c r="E1852" t="s">
        <v>177</v>
      </c>
      <c r="F1852" t="s">
        <v>178</v>
      </c>
      <c r="L1852" t="s">
        <v>22386</v>
      </c>
      <c r="N1852" t="s">
        <v>22386</v>
      </c>
      <c r="O1852" t="s">
        <v>22386</v>
      </c>
      <c r="Q1852" t="s">
        <v>22386</v>
      </c>
      <c r="V1852">
        <v>2113</v>
      </c>
      <c r="W1852">
        <v>7</v>
      </c>
      <c r="X1852">
        <v>2017</v>
      </c>
      <c r="Y1852">
        <v>2018</v>
      </c>
      <c r="Z1852">
        <v>176.08</v>
      </c>
      <c r="AG1852" t="s">
        <v>184</v>
      </c>
      <c r="AH1852">
        <v>0</v>
      </c>
      <c r="AK1852">
        <v>0</v>
      </c>
      <c r="AL1852">
        <v>8800</v>
      </c>
      <c r="AM1852">
        <v>8800</v>
      </c>
      <c r="AN1852">
        <v>0</v>
      </c>
      <c r="AQ1852">
        <v>2</v>
      </c>
      <c r="AS1852" t="s">
        <v>22387</v>
      </c>
      <c r="AT1852" t="s">
        <v>3210</v>
      </c>
      <c r="AU1852" t="s">
        <v>177</v>
      </c>
      <c r="AV1852" t="s">
        <v>2334</v>
      </c>
      <c r="AW1852" t="s">
        <v>182</v>
      </c>
      <c r="AX1852">
        <v>0</v>
      </c>
      <c r="AY1852" t="s">
        <v>312</v>
      </c>
      <c r="AZ1852" t="s">
        <v>199</v>
      </c>
      <c r="BA1852" t="s">
        <v>313</v>
      </c>
      <c r="BB1852" t="s">
        <v>191</v>
      </c>
      <c r="BC1852" t="s">
        <v>202</v>
      </c>
      <c r="BD1852" t="s">
        <v>182</v>
      </c>
      <c r="BE1852" t="s">
        <v>5608</v>
      </c>
      <c r="BI1852" t="s">
        <v>199</v>
      </c>
      <c r="BL1852" t="s">
        <v>15230</v>
      </c>
      <c r="BM1852" t="s">
        <v>197</v>
      </c>
      <c r="BN1852" t="s">
        <v>182</v>
      </c>
      <c r="BO1852" t="s">
        <v>198</v>
      </c>
      <c r="BP1852" t="s">
        <v>198</v>
      </c>
      <c r="BQ1852" t="s">
        <v>198</v>
      </c>
      <c r="BR1852" t="s">
        <v>198</v>
      </c>
      <c r="BS1852" t="s">
        <v>198</v>
      </c>
      <c r="BT1852" t="s">
        <v>198</v>
      </c>
      <c r="BU1852" t="s">
        <v>182</v>
      </c>
      <c r="BV1852" t="s">
        <v>198</v>
      </c>
      <c r="BW1852" t="s">
        <v>198</v>
      </c>
      <c r="BX1852" t="s">
        <v>199</v>
      </c>
      <c r="BY1852" t="s">
        <v>198</v>
      </c>
      <c r="CB1852" t="s">
        <v>19179</v>
      </c>
      <c r="CC1852" t="s">
        <v>201</v>
      </c>
      <c r="CD1852" t="s">
        <v>182</v>
      </c>
      <c r="CE1852" t="s">
        <v>22380</v>
      </c>
      <c r="CF1852" t="s">
        <v>22388</v>
      </c>
      <c r="CG1852" t="s">
        <v>177</v>
      </c>
      <c r="CH1852" t="s">
        <v>19182</v>
      </c>
      <c r="CI1852" t="s">
        <v>1127</v>
      </c>
      <c r="CS1852" t="s">
        <v>198</v>
      </c>
      <c r="DC1852" t="s">
        <v>198</v>
      </c>
      <c r="DM1852" t="s">
        <v>198</v>
      </c>
      <c r="DW1852" t="s">
        <v>198</v>
      </c>
      <c r="EG1852" t="s">
        <v>198</v>
      </c>
      <c r="EQ1852" t="s">
        <v>198</v>
      </c>
      <c r="FA1852" t="s">
        <v>198</v>
      </c>
      <c r="FK1852" t="s">
        <v>198</v>
      </c>
      <c r="FU1852" t="s">
        <v>198</v>
      </c>
    </row>
    <row r="1853" spans="1:177">
      <c r="A1853" s="1" t="str">
        <f>HYPERLINK("http://digipan.lumentumllc.com/apps/getLink/index.php?t=PropLink&amp;p=41030495","PL")</f>
        <v>PL</v>
      </c>
      <c r="B1853" s="1" t="str">
        <f>HYPERLINK("http://digipan.lumentumllc.com/apps/getLink/index.php?t=TaxLink&amp;p=41030495","TL")</f>
        <v>TL</v>
      </c>
      <c r="C1853" s="1" t="str">
        <f t="shared" si="0"/>
        <v/>
      </c>
      <c r="E1853" t="s">
        <v>177</v>
      </c>
      <c r="F1853" t="s">
        <v>178</v>
      </c>
      <c r="L1853" t="s">
        <v>22389</v>
      </c>
      <c r="N1853" t="s">
        <v>22389</v>
      </c>
      <c r="O1853" t="s">
        <v>22389</v>
      </c>
      <c r="Q1853" t="s">
        <v>22389</v>
      </c>
      <c r="V1853">
        <v>2114</v>
      </c>
      <c r="W1853">
        <v>7</v>
      </c>
      <c r="X1853">
        <v>2017</v>
      </c>
      <c r="Y1853">
        <v>2018</v>
      </c>
      <c r="Z1853">
        <v>176.08</v>
      </c>
      <c r="AG1853" t="s">
        <v>184</v>
      </c>
      <c r="AH1853">
        <v>0</v>
      </c>
      <c r="AK1853">
        <v>0</v>
      </c>
      <c r="AL1853">
        <v>8800</v>
      </c>
      <c r="AM1853">
        <v>8800</v>
      </c>
      <c r="AN1853">
        <v>0</v>
      </c>
      <c r="AQ1853">
        <v>2</v>
      </c>
      <c r="AS1853" t="s">
        <v>22390</v>
      </c>
      <c r="AT1853" t="s">
        <v>3210</v>
      </c>
      <c r="AU1853" t="s">
        <v>177</v>
      </c>
      <c r="AV1853" t="s">
        <v>2334</v>
      </c>
      <c r="AW1853" t="s">
        <v>182</v>
      </c>
      <c r="AX1853">
        <v>0</v>
      </c>
      <c r="AY1853" t="s">
        <v>312</v>
      </c>
      <c r="AZ1853" t="s">
        <v>199</v>
      </c>
      <c r="BA1853" t="s">
        <v>313</v>
      </c>
      <c r="BB1853" t="s">
        <v>191</v>
      </c>
      <c r="BC1853" t="s">
        <v>202</v>
      </c>
      <c r="BD1853" t="s">
        <v>182</v>
      </c>
      <c r="BE1853" t="s">
        <v>5608</v>
      </c>
      <c r="BI1853" t="s">
        <v>199</v>
      </c>
      <c r="BN1853" t="s">
        <v>182</v>
      </c>
      <c r="BO1853" t="s">
        <v>198</v>
      </c>
      <c r="BP1853" t="s">
        <v>198</v>
      </c>
      <c r="BQ1853" t="s">
        <v>198</v>
      </c>
      <c r="BR1853" t="s">
        <v>198</v>
      </c>
      <c r="BS1853" t="s">
        <v>198</v>
      </c>
      <c r="BT1853" t="s">
        <v>198</v>
      </c>
      <c r="BU1853" t="s">
        <v>182</v>
      </c>
      <c r="BV1853" t="s">
        <v>198</v>
      </c>
      <c r="BW1853" t="s">
        <v>198</v>
      </c>
      <c r="BX1853" t="s">
        <v>199</v>
      </c>
      <c r="BY1853" t="s">
        <v>198</v>
      </c>
      <c r="CB1853" t="s">
        <v>22391</v>
      </c>
      <c r="CC1853" t="s">
        <v>201</v>
      </c>
      <c r="CD1853" t="s">
        <v>182</v>
      </c>
      <c r="CE1853" t="s">
        <v>22392</v>
      </c>
      <c r="CF1853" t="s">
        <v>413</v>
      </c>
      <c r="CG1853" t="s">
        <v>177</v>
      </c>
      <c r="CH1853" t="s">
        <v>7604</v>
      </c>
      <c r="CI1853" t="s">
        <v>16352</v>
      </c>
      <c r="CS1853" t="s">
        <v>198</v>
      </c>
      <c r="DC1853" t="s">
        <v>198</v>
      </c>
      <c r="DM1853" t="s">
        <v>198</v>
      </c>
      <c r="DW1853" t="s">
        <v>198</v>
      </c>
      <c r="EG1853" t="s">
        <v>198</v>
      </c>
      <c r="EQ1853" t="s">
        <v>198</v>
      </c>
      <c r="FA1853" t="s">
        <v>198</v>
      </c>
      <c r="FK1853" t="s">
        <v>198</v>
      </c>
      <c r="FU1853" t="s">
        <v>198</v>
      </c>
    </row>
    <row r="1854" spans="1:177">
      <c r="A1854" s="1" t="str">
        <f>HYPERLINK("http://digipan.lumentumllc.com/apps/getLink/index.php?t=PropLink&amp;p=41030496","PL")</f>
        <v>PL</v>
      </c>
      <c r="B1854" s="1" t="str">
        <f>HYPERLINK("http://digipan.lumentumllc.com/apps/getLink/index.php?t=TaxLink&amp;p=41030496","TL")</f>
        <v>TL</v>
      </c>
      <c r="C1854" s="1" t="str">
        <f t="shared" si="0"/>
        <v/>
      </c>
      <c r="E1854" t="s">
        <v>177</v>
      </c>
      <c r="F1854" t="s">
        <v>178</v>
      </c>
      <c r="L1854" t="s">
        <v>22393</v>
      </c>
      <c r="N1854" t="s">
        <v>22393</v>
      </c>
      <c r="O1854" t="s">
        <v>22393</v>
      </c>
      <c r="Q1854" t="s">
        <v>22393</v>
      </c>
      <c r="V1854">
        <v>2115</v>
      </c>
      <c r="W1854">
        <v>7</v>
      </c>
      <c r="X1854">
        <v>2017</v>
      </c>
      <c r="Y1854">
        <v>2018</v>
      </c>
      <c r="Z1854">
        <v>176.08</v>
      </c>
      <c r="AG1854" t="s">
        <v>184</v>
      </c>
      <c r="AH1854">
        <v>0</v>
      </c>
      <c r="AK1854">
        <v>0</v>
      </c>
      <c r="AL1854">
        <v>8800</v>
      </c>
      <c r="AM1854">
        <v>8800</v>
      </c>
      <c r="AN1854">
        <v>0</v>
      </c>
      <c r="AQ1854">
        <v>2</v>
      </c>
      <c r="AS1854" t="s">
        <v>22394</v>
      </c>
      <c r="AT1854" t="s">
        <v>3210</v>
      </c>
      <c r="AU1854" t="s">
        <v>177</v>
      </c>
      <c r="AV1854" t="s">
        <v>2334</v>
      </c>
      <c r="AW1854" t="s">
        <v>182</v>
      </c>
      <c r="AX1854">
        <v>0</v>
      </c>
      <c r="AY1854" t="s">
        <v>312</v>
      </c>
      <c r="AZ1854" t="s">
        <v>199</v>
      </c>
      <c r="BA1854" t="s">
        <v>313</v>
      </c>
      <c r="BB1854" t="s">
        <v>191</v>
      </c>
      <c r="BC1854" t="s">
        <v>202</v>
      </c>
      <c r="BD1854" t="s">
        <v>182</v>
      </c>
      <c r="BE1854" t="s">
        <v>5608</v>
      </c>
      <c r="BI1854" t="s">
        <v>199</v>
      </c>
      <c r="BL1854" t="s">
        <v>15230</v>
      </c>
      <c r="BM1854" t="s">
        <v>197</v>
      </c>
      <c r="BN1854" t="s">
        <v>182</v>
      </c>
      <c r="BO1854" t="s">
        <v>198</v>
      </c>
      <c r="BP1854" t="s">
        <v>198</v>
      </c>
      <c r="BQ1854" t="s">
        <v>198</v>
      </c>
      <c r="BR1854" t="s">
        <v>198</v>
      </c>
      <c r="BS1854" t="s">
        <v>198</v>
      </c>
      <c r="BT1854" t="s">
        <v>198</v>
      </c>
      <c r="BU1854" t="s">
        <v>182</v>
      </c>
      <c r="BV1854" t="s">
        <v>198</v>
      </c>
      <c r="BW1854" t="s">
        <v>198</v>
      </c>
      <c r="BX1854" t="s">
        <v>199</v>
      </c>
      <c r="BY1854" t="s">
        <v>198</v>
      </c>
      <c r="CB1854" t="s">
        <v>19179</v>
      </c>
      <c r="CC1854" t="s">
        <v>201</v>
      </c>
      <c r="CD1854" t="s">
        <v>182</v>
      </c>
      <c r="CE1854" t="s">
        <v>22380</v>
      </c>
      <c r="CF1854" t="s">
        <v>19181</v>
      </c>
      <c r="CG1854" t="s">
        <v>177</v>
      </c>
      <c r="CH1854" t="s">
        <v>19182</v>
      </c>
      <c r="CI1854" t="s">
        <v>15503</v>
      </c>
      <c r="CS1854" t="s">
        <v>198</v>
      </c>
      <c r="DC1854" t="s">
        <v>198</v>
      </c>
      <c r="DM1854" t="s">
        <v>198</v>
      </c>
      <c r="DW1854" t="s">
        <v>198</v>
      </c>
      <c r="EG1854" t="s">
        <v>198</v>
      </c>
      <c r="EQ1854" t="s">
        <v>198</v>
      </c>
      <c r="FA1854" t="s">
        <v>198</v>
      </c>
      <c r="FK1854" t="s">
        <v>198</v>
      </c>
      <c r="FU1854" t="s">
        <v>198</v>
      </c>
    </row>
    <row r="1855" spans="1:177">
      <c r="A1855" s="1" t="str">
        <f>HYPERLINK("http://digipan.lumentumllc.com/apps/getLink/index.php?t=PropLink&amp;p=41030497","PL")</f>
        <v>PL</v>
      </c>
      <c r="B1855" s="1" t="str">
        <f>HYPERLINK("http://digipan.lumentumllc.com/apps/getLink/index.php?t=TaxLink&amp;p=41030497","TL")</f>
        <v>TL</v>
      </c>
      <c r="C1855" s="1" t="str">
        <f t="shared" si="0"/>
        <v/>
      </c>
      <c r="E1855" t="s">
        <v>177</v>
      </c>
      <c r="F1855" t="s">
        <v>178</v>
      </c>
      <c r="L1855" t="s">
        <v>22395</v>
      </c>
      <c r="N1855" t="s">
        <v>22395</v>
      </c>
      <c r="O1855" t="s">
        <v>22395</v>
      </c>
      <c r="Q1855" t="s">
        <v>22395</v>
      </c>
      <c r="V1855">
        <v>2116</v>
      </c>
      <c r="W1855">
        <v>7</v>
      </c>
      <c r="X1855">
        <v>2017</v>
      </c>
      <c r="Y1855">
        <v>2018</v>
      </c>
      <c r="Z1855">
        <v>176.08</v>
      </c>
      <c r="AG1855" t="s">
        <v>184</v>
      </c>
      <c r="AH1855">
        <v>0</v>
      </c>
      <c r="AK1855">
        <v>0</v>
      </c>
      <c r="AL1855">
        <v>8800</v>
      </c>
      <c r="AM1855">
        <v>8800</v>
      </c>
      <c r="AN1855">
        <v>0</v>
      </c>
      <c r="AQ1855">
        <v>2</v>
      </c>
      <c r="AS1855" t="s">
        <v>22396</v>
      </c>
      <c r="AT1855" t="s">
        <v>3210</v>
      </c>
      <c r="AU1855" t="s">
        <v>177</v>
      </c>
      <c r="AV1855" t="s">
        <v>2334</v>
      </c>
      <c r="AW1855" t="s">
        <v>182</v>
      </c>
      <c r="AX1855">
        <v>0</v>
      </c>
      <c r="AY1855" t="s">
        <v>312</v>
      </c>
      <c r="AZ1855" t="s">
        <v>199</v>
      </c>
      <c r="BA1855" t="s">
        <v>313</v>
      </c>
      <c r="BB1855" t="s">
        <v>191</v>
      </c>
      <c r="BC1855" t="s">
        <v>202</v>
      </c>
      <c r="BD1855" t="s">
        <v>182</v>
      </c>
      <c r="BE1855" t="s">
        <v>5608</v>
      </c>
      <c r="BI1855" t="s">
        <v>199</v>
      </c>
      <c r="BN1855" t="s">
        <v>182</v>
      </c>
      <c r="BO1855" t="s">
        <v>198</v>
      </c>
      <c r="BP1855" t="s">
        <v>198</v>
      </c>
      <c r="BQ1855" t="s">
        <v>198</v>
      </c>
      <c r="BR1855" t="s">
        <v>198</v>
      </c>
      <c r="BS1855" t="s">
        <v>198</v>
      </c>
      <c r="BT1855" t="s">
        <v>198</v>
      </c>
      <c r="BU1855" t="s">
        <v>182</v>
      </c>
      <c r="BV1855" t="s">
        <v>198</v>
      </c>
      <c r="BW1855" t="s">
        <v>198</v>
      </c>
      <c r="BX1855" t="s">
        <v>199</v>
      </c>
      <c r="BY1855" t="s">
        <v>198</v>
      </c>
      <c r="CB1855" t="s">
        <v>22391</v>
      </c>
      <c r="CC1855" t="s">
        <v>201</v>
      </c>
      <c r="CD1855" t="s">
        <v>182</v>
      </c>
      <c r="CE1855" t="s">
        <v>22392</v>
      </c>
      <c r="CF1855" t="s">
        <v>413</v>
      </c>
      <c r="CG1855" t="s">
        <v>177</v>
      </c>
      <c r="CH1855" t="s">
        <v>7604</v>
      </c>
      <c r="CI1855" t="s">
        <v>4059</v>
      </c>
      <c r="CS1855" t="s">
        <v>198</v>
      </c>
      <c r="DC1855" t="s">
        <v>198</v>
      </c>
      <c r="DM1855" t="s">
        <v>198</v>
      </c>
      <c r="DW1855" t="s">
        <v>198</v>
      </c>
      <c r="EG1855" t="s">
        <v>198</v>
      </c>
      <c r="EQ1855" t="s">
        <v>198</v>
      </c>
      <c r="FA1855" t="s">
        <v>198</v>
      </c>
      <c r="FK1855" t="s">
        <v>198</v>
      </c>
      <c r="FU1855" t="s">
        <v>198</v>
      </c>
    </row>
    <row r="1856" spans="1:177">
      <c r="A1856" s="1" t="str">
        <f>HYPERLINK("http://digipan.lumentumllc.com/apps/getLink/index.php?t=PropLink&amp;p=15763797","PL")</f>
        <v>PL</v>
      </c>
      <c r="B1856" s="1" t="str">
        <f>HYPERLINK("http://digipan.lumentumllc.com/apps/getLink/index.php?t=TaxLink&amp;p=15763797","TL")</f>
        <v>TL</v>
      </c>
      <c r="C1856" s="1" t="str">
        <f>HYPERLINK("http://digipan.lumentumllc.com/apps/getMap/index.php?p=15763797","Map")</f>
        <v>Map</v>
      </c>
      <c r="E1856" t="s">
        <v>177</v>
      </c>
      <c r="F1856" t="s">
        <v>178</v>
      </c>
      <c r="L1856" t="s">
        <v>22397</v>
      </c>
      <c r="N1856" t="s">
        <v>22397</v>
      </c>
      <c r="O1856" t="s">
        <v>22397</v>
      </c>
      <c r="Q1856" t="s">
        <v>22397</v>
      </c>
      <c r="V1856">
        <v>2117</v>
      </c>
      <c r="W1856">
        <v>7</v>
      </c>
      <c r="X1856">
        <v>2017</v>
      </c>
      <c r="Y1856">
        <v>2018</v>
      </c>
      <c r="Z1856">
        <v>1164.3900000000001</v>
      </c>
      <c r="AB1856" t="s">
        <v>181</v>
      </c>
      <c r="AC1856" t="s">
        <v>182</v>
      </c>
      <c r="AD1856" t="s">
        <v>183</v>
      </c>
      <c r="AE1856">
        <v>1</v>
      </c>
      <c r="AF1856">
        <v>0</v>
      </c>
      <c r="AG1856" t="s">
        <v>1200</v>
      </c>
      <c r="AH1856">
        <v>0</v>
      </c>
      <c r="AI1856">
        <v>1141.08</v>
      </c>
      <c r="AJ1856">
        <v>57.05</v>
      </c>
      <c r="AK1856">
        <v>1198.1300000000001</v>
      </c>
      <c r="AL1856">
        <v>134845</v>
      </c>
      <c r="AM1856">
        <v>30450</v>
      </c>
      <c r="AN1856">
        <v>104395</v>
      </c>
      <c r="AO1856">
        <v>1030</v>
      </c>
      <c r="AP1856">
        <v>2016</v>
      </c>
      <c r="AQ1856">
        <v>0.86</v>
      </c>
      <c r="AR1856">
        <v>0.89</v>
      </c>
      <c r="AS1856" t="s">
        <v>22398</v>
      </c>
      <c r="AT1856" t="s">
        <v>3210</v>
      </c>
      <c r="AU1856" t="s">
        <v>177</v>
      </c>
      <c r="AV1856" t="s">
        <v>2334</v>
      </c>
      <c r="AW1856" t="s">
        <v>202</v>
      </c>
      <c r="AX1856">
        <v>1</v>
      </c>
      <c r="AY1856" t="s">
        <v>188</v>
      </c>
      <c r="AZ1856" t="s">
        <v>206</v>
      </c>
      <c r="BA1856" t="s">
        <v>355</v>
      </c>
      <c r="BB1856" t="s">
        <v>191</v>
      </c>
      <c r="BC1856" t="s">
        <v>182</v>
      </c>
      <c r="BD1856" t="s">
        <v>182</v>
      </c>
      <c r="BE1856" t="s">
        <v>22100</v>
      </c>
      <c r="BF1856">
        <v>1</v>
      </c>
      <c r="BG1856">
        <v>1</v>
      </c>
      <c r="BH1856">
        <v>1990</v>
      </c>
      <c r="BI1856" t="s">
        <v>10217</v>
      </c>
      <c r="BJ1856" t="s">
        <v>194</v>
      </c>
      <c r="BK1856" t="s">
        <v>195</v>
      </c>
      <c r="BL1856" t="s">
        <v>2281</v>
      </c>
      <c r="BM1856" t="s">
        <v>1474</v>
      </c>
      <c r="BN1856" t="s">
        <v>182</v>
      </c>
      <c r="BO1856" t="s">
        <v>198</v>
      </c>
      <c r="BP1856" t="s">
        <v>198</v>
      </c>
      <c r="BQ1856" t="s">
        <v>198</v>
      </c>
      <c r="BR1856" t="s">
        <v>198</v>
      </c>
      <c r="BS1856" t="s">
        <v>198</v>
      </c>
      <c r="BT1856" t="s">
        <v>198</v>
      </c>
      <c r="BU1856" t="s">
        <v>182</v>
      </c>
      <c r="BV1856" t="s">
        <v>198</v>
      </c>
      <c r="BW1856" t="s">
        <v>198</v>
      </c>
      <c r="BX1856" t="s">
        <v>199</v>
      </c>
      <c r="BY1856" t="s">
        <v>198</v>
      </c>
      <c r="BZ1856" t="s">
        <v>199</v>
      </c>
      <c r="CA1856" t="s">
        <v>199</v>
      </c>
      <c r="CB1856" t="s">
        <v>22399</v>
      </c>
      <c r="CC1856" t="s">
        <v>201</v>
      </c>
      <c r="CD1856" t="s">
        <v>182</v>
      </c>
      <c r="CE1856" t="s">
        <v>22400</v>
      </c>
      <c r="CF1856" t="s">
        <v>5331</v>
      </c>
      <c r="CG1856" t="s">
        <v>177</v>
      </c>
      <c r="CH1856" t="s">
        <v>5332</v>
      </c>
      <c r="CI1856" t="s">
        <v>4843</v>
      </c>
      <c r="CJ1856" t="s">
        <v>11955</v>
      </c>
      <c r="CK1856" t="s">
        <v>232</v>
      </c>
      <c r="CL1856" t="s">
        <v>233</v>
      </c>
      <c r="CM1856" t="s">
        <v>22401</v>
      </c>
      <c r="CN1856" t="s">
        <v>235</v>
      </c>
      <c r="CO1856" t="s">
        <v>183</v>
      </c>
      <c r="CP1856" t="s">
        <v>266</v>
      </c>
      <c r="CS1856" t="s">
        <v>198</v>
      </c>
      <c r="DC1856" t="s">
        <v>198</v>
      </c>
      <c r="DM1856" t="s">
        <v>198</v>
      </c>
      <c r="DW1856" t="s">
        <v>198</v>
      </c>
      <c r="EG1856" t="s">
        <v>198</v>
      </c>
      <c r="EQ1856" t="s">
        <v>198</v>
      </c>
      <c r="FA1856" t="s">
        <v>198</v>
      </c>
      <c r="FK1856" t="s">
        <v>198</v>
      </c>
      <c r="FU1856" t="s">
        <v>198</v>
      </c>
    </row>
    <row r="1857" spans="1:177">
      <c r="A1857" s="1" t="str">
        <f>HYPERLINK("http://digipan.lumentumllc.com/apps/getLink/index.php?t=PropLink&amp;p=5248695","PL")</f>
        <v>PL</v>
      </c>
      <c r="B1857" s="1" t="str">
        <f>HYPERLINK("http://digipan.lumentumllc.com/apps/getLink/index.php?t=TaxLink&amp;p=5248695","TL")</f>
        <v>TL</v>
      </c>
      <c r="C1857" s="1" t="str">
        <f>HYPERLINK("http://digipan.lumentumllc.com/apps/getMap/index.php?p=5248695","Map")</f>
        <v>Map</v>
      </c>
      <c r="E1857" t="s">
        <v>177</v>
      </c>
      <c r="F1857" t="s">
        <v>178</v>
      </c>
      <c r="L1857" t="s">
        <v>22402</v>
      </c>
      <c r="N1857" t="s">
        <v>22402</v>
      </c>
      <c r="O1857" t="s">
        <v>22402</v>
      </c>
      <c r="P1857" t="s">
        <v>22403</v>
      </c>
      <c r="Q1857" t="s">
        <v>22402</v>
      </c>
      <c r="V1857">
        <v>2118</v>
      </c>
      <c r="W1857">
        <v>7</v>
      </c>
      <c r="X1857">
        <v>2017</v>
      </c>
      <c r="Y1857">
        <v>2018</v>
      </c>
      <c r="Z1857">
        <v>106.51</v>
      </c>
      <c r="AB1857" t="s">
        <v>181</v>
      </c>
      <c r="AC1857" t="s">
        <v>202</v>
      </c>
      <c r="AD1857" t="s">
        <v>1037</v>
      </c>
      <c r="AE1857">
        <v>1</v>
      </c>
      <c r="AF1857">
        <v>6</v>
      </c>
      <c r="AG1857" t="s">
        <v>322</v>
      </c>
      <c r="AH1857">
        <v>83</v>
      </c>
      <c r="AI1857">
        <v>102.55</v>
      </c>
      <c r="AJ1857">
        <v>10</v>
      </c>
      <c r="AK1857">
        <v>112.55</v>
      </c>
      <c r="AL1857">
        <v>4550</v>
      </c>
      <c r="AM1857">
        <v>4550</v>
      </c>
      <c r="AN1857">
        <v>0</v>
      </c>
      <c r="AO1857">
        <v>70</v>
      </c>
      <c r="AP1857">
        <v>2016</v>
      </c>
      <c r="AQ1857">
        <v>2.34</v>
      </c>
      <c r="AR1857">
        <v>2.4700000000000002</v>
      </c>
      <c r="AS1857" t="s">
        <v>20121</v>
      </c>
      <c r="AT1857" t="s">
        <v>15040</v>
      </c>
      <c r="AU1857" t="s">
        <v>177</v>
      </c>
      <c r="AV1857" t="s">
        <v>371</v>
      </c>
      <c r="AW1857" t="s">
        <v>182</v>
      </c>
      <c r="AX1857">
        <v>96</v>
      </c>
      <c r="AY1857" t="s">
        <v>1575</v>
      </c>
      <c r="AZ1857" t="s">
        <v>790</v>
      </c>
      <c r="BA1857" t="s">
        <v>15682</v>
      </c>
      <c r="BB1857" t="s">
        <v>191</v>
      </c>
      <c r="BC1857" t="s">
        <v>182</v>
      </c>
      <c r="BD1857" t="s">
        <v>182</v>
      </c>
      <c r="BE1857" t="s">
        <v>8347</v>
      </c>
      <c r="BF1857">
        <v>0</v>
      </c>
      <c r="BG1857">
        <v>0</v>
      </c>
      <c r="BH1857">
        <v>0</v>
      </c>
      <c r="BI1857" t="s">
        <v>199</v>
      </c>
      <c r="BJ1857" t="s">
        <v>315</v>
      </c>
      <c r="BL1857" t="s">
        <v>19926</v>
      </c>
      <c r="BM1857" t="s">
        <v>559</v>
      </c>
      <c r="BN1857" t="s">
        <v>182</v>
      </c>
      <c r="BO1857" t="s">
        <v>198</v>
      </c>
      <c r="BP1857" t="s">
        <v>198</v>
      </c>
      <c r="BQ1857" t="s">
        <v>198</v>
      </c>
      <c r="BR1857" t="s">
        <v>198</v>
      </c>
      <c r="BS1857" t="s">
        <v>198</v>
      </c>
      <c r="BT1857" t="s">
        <v>198</v>
      </c>
      <c r="BU1857" t="s">
        <v>182</v>
      </c>
      <c r="BV1857" t="s">
        <v>198</v>
      </c>
      <c r="BW1857" t="s">
        <v>198</v>
      </c>
      <c r="BX1857" t="s">
        <v>199</v>
      </c>
      <c r="BY1857" t="s">
        <v>198</v>
      </c>
      <c r="BZ1857" t="s">
        <v>199</v>
      </c>
      <c r="CA1857" t="s">
        <v>199</v>
      </c>
      <c r="CB1857" t="s">
        <v>19927</v>
      </c>
      <c r="CC1857" t="s">
        <v>201</v>
      </c>
      <c r="CD1857" t="s">
        <v>182</v>
      </c>
      <c r="CE1857" t="s">
        <v>22404</v>
      </c>
      <c r="CF1857" t="s">
        <v>413</v>
      </c>
      <c r="CG1857" t="s">
        <v>177</v>
      </c>
      <c r="CH1857" t="s">
        <v>685</v>
      </c>
      <c r="CI1857" t="s">
        <v>22405</v>
      </c>
      <c r="CJ1857" t="s">
        <v>15453</v>
      </c>
      <c r="CK1857" t="s">
        <v>232</v>
      </c>
      <c r="CL1857" t="s">
        <v>233</v>
      </c>
      <c r="CM1857" t="s">
        <v>22406</v>
      </c>
      <c r="CN1857" t="s">
        <v>341</v>
      </c>
      <c r="CO1857" t="s">
        <v>183</v>
      </c>
      <c r="CP1857" t="s">
        <v>266</v>
      </c>
      <c r="CS1857" t="s">
        <v>198</v>
      </c>
      <c r="CT1857" t="s">
        <v>15897</v>
      </c>
      <c r="CU1857" t="s">
        <v>267</v>
      </c>
      <c r="CV1857" t="s">
        <v>268</v>
      </c>
      <c r="CW1857" t="s">
        <v>22407</v>
      </c>
      <c r="CX1857" t="s">
        <v>482</v>
      </c>
      <c r="CY1857" t="s">
        <v>5</v>
      </c>
      <c r="CZ1857" t="s">
        <v>211</v>
      </c>
      <c r="DA1857" t="s">
        <v>212</v>
      </c>
      <c r="DB1857" t="s">
        <v>271</v>
      </c>
      <c r="DC1857" t="s">
        <v>8848</v>
      </c>
      <c r="DD1857" t="s">
        <v>18707</v>
      </c>
      <c r="DE1857" t="s">
        <v>273</v>
      </c>
      <c r="DF1857" t="s">
        <v>268</v>
      </c>
      <c r="DG1857" t="s">
        <v>22408</v>
      </c>
      <c r="DH1857" t="s">
        <v>436</v>
      </c>
      <c r="DI1857" t="s">
        <v>183</v>
      </c>
      <c r="DJ1857" t="s">
        <v>211</v>
      </c>
      <c r="DK1857" t="s">
        <v>212</v>
      </c>
      <c r="DL1857" t="s">
        <v>271</v>
      </c>
      <c r="DM1857" t="s">
        <v>8848</v>
      </c>
      <c r="DN1857" t="s">
        <v>22409</v>
      </c>
      <c r="DO1857" t="s">
        <v>302</v>
      </c>
      <c r="DP1857" t="s">
        <v>303</v>
      </c>
      <c r="DQ1857" t="s">
        <v>14595</v>
      </c>
      <c r="DR1857" t="s">
        <v>1615</v>
      </c>
      <c r="DS1857" t="s">
        <v>183</v>
      </c>
      <c r="DT1857" t="s">
        <v>211</v>
      </c>
      <c r="DU1857" t="s">
        <v>1067</v>
      </c>
      <c r="DV1857" t="s">
        <v>271</v>
      </c>
      <c r="DW1857" t="s">
        <v>8848</v>
      </c>
      <c r="DX1857" t="s">
        <v>22410</v>
      </c>
      <c r="DY1857" t="s">
        <v>238</v>
      </c>
      <c r="DZ1857" t="s">
        <v>239</v>
      </c>
      <c r="EA1857" t="s">
        <v>22411</v>
      </c>
      <c r="EB1857" t="s">
        <v>482</v>
      </c>
      <c r="EC1857" t="s">
        <v>183</v>
      </c>
      <c r="ED1857" t="s">
        <v>211</v>
      </c>
      <c r="EE1857" t="s">
        <v>1368</v>
      </c>
      <c r="EF1857" t="s">
        <v>271</v>
      </c>
      <c r="EG1857" t="s">
        <v>8848</v>
      </c>
      <c r="EH1857" t="s">
        <v>22412</v>
      </c>
      <c r="EI1857" t="s">
        <v>346</v>
      </c>
      <c r="EJ1857" t="s">
        <v>347</v>
      </c>
      <c r="EK1857" t="s">
        <v>22413</v>
      </c>
      <c r="EL1857" t="s">
        <v>235</v>
      </c>
      <c r="EM1857" t="s">
        <v>183</v>
      </c>
      <c r="EN1857" t="s">
        <v>211</v>
      </c>
      <c r="EP1857" t="s">
        <v>271</v>
      </c>
      <c r="EQ1857" t="s">
        <v>198</v>
      </c>
      <c r="ER1857" t="s">
        <v>22414</v>
      </c>
      <c r="ES1857" t="s">
        <v>207</v>
      </c>
      <c r="ET1857" t="s">
        <v>208</v>
      </c>
      <c r="EU1857" t="s">
        <v>22415</v>
      </c>
      <c r="EV1857" t="s">
        <v>351</v>
      </c>
      <c r="EW1857" t="s">
        <v>183</v>
      </c>
      <c r="EX1857" t="s">
        <v>211</v>
      </c>
      <c r="EZ1857" t="s">
        <v>271</v>
      </c>
      <c r="FA1857" t="s">
        <v>198</v>
      </c>
      <c r="FK1857" t="s">
        <v>198</v>
      </c>
      <c r="FU1857" t="s">
        <v>198</v>
      </c>
    </row>
    <row r="1858" spans="1:177">
      <c r="A1858" s="1" t="str">
        <f>HYPERLINK("http://digipan.lumentumllc.com/apps/getLink/index.php?t=PropLink&amp;p=5248696","PL")</f>
        <v>PL</v>
      </c>
      <c r="B1858" s="1" t="str">
        <f>HYPERLINK("http://digipan.lumentumllc.com/apps/getLink/index.php?t=TaxLink&amp;p=5248696","TL")</f>
        <v>TL</v>
      </c>
      <c r="C1858" s="1" t="str">
        <f>HYPERLINK("http://digipan.lumentumllc.com/apps/getMap/index.php?p=5248696","Map")</f>
        <v>Map</v>
      </c>
      <c r="E1858" t="s">
        <v>177</v>
      </c>
      <c r="F1858" t="s">
        <v>178</v>
      </c>
      <c r="L1858" t="s">
        <v>22416</v>
      </c>
      <c r="N1858" t="s">
        <v>22416</v>
      </c>
      <c r="O1858" t="s">
        <v>22416</v>
      </c>
      <c r="P1858" t="s">
        <v>22417</v>
      </c>
      <c r="Q1858" t="s">
        <v>22416</v>
      </c>
      <c r="V1858">
        <v>2119</v>
      </c>
      <c r="W1858">
        <v>7</v>
      </c>
      <c r="X1858">
        <v>2017</v>
      </c>
      <c r="Y1858">
        <v>2018</v>
      </c>
      <c r="Z1858">
        <v>266.14999999999998</v>
      </c>
      <c r="AB1858" t="s">
        <v>181</v>
      </c>
      <c r="AC1858" t="s">
        <v>182</v>
      </c>
      <c r="AD1858" t="s">
        <v>183</v>
      </c>
      <c r="AE1858">
        <v>1</v>
      </c>
      <c r="AF1858">
        <v>0</v>
      </c>
      <c r="AG1858" t="s">
        <v>1200</v>
      </c>
      <c r="AH1858">
        <v>0</v>
      </c>
      <c r="AI1858">
        <v>264.43</v>
      </c>
      <c r="AJ1858">
        <v>13.22</v>
      </c>
      <c r="AK1858">
        <v>277.64999999999998</v>
      </c>
      <c r="AL1858">
        <v>14300</v>
      </c>
      <c r="AM1858">
        <v>14300</v>
      </c>
      <c r="AN1858">
        <v>0</v>
      </c>
      <c r="AO1858">
        <v>220</v>
      </c>
      <c r="AP1858">
        <v>2016</v>
      </c>
      <c r="AQ1858">
        <v>1.86</v>
      </c>
      <c r="AR1858">
        <v>1.94</v>
      </c>
      <c r="AS1858" t="s">
        <v>12535</v>
      </c>
      <c r="AT1858" t="s">
        <v>15040</v>
      </c>
      <c r="AU1858" t="s">
        <v>177</v>
      </c>
      <c r="AV1858" t="s">
        <v>371</v>
      </c>
      <c r="AW1858" t="s">
        <v>182</v>
      </c>
      <c r="AX1858">
        <v>96</v>
      </c>
      <c r="AY1858" t="s">
        <v>1575</v>
      </c>
      <c r="AZ1858" t="s">
        <v>790</v>
      </c>
      <c r="BA1858" t="s">
        <v>15682</v>
      </c>
      <c r="BB1858" t="s">
        <v>191</v>
      </c>
      <c r="BC1858" t="s">
        <v>182</v>
      </c>
      <c r="BD1858" t="s">
        <v>182</v>
      </c>
      <c r="BE1858" t="s">
        <v>22418</v>
      </c>
      <c r="BF1858">
        <v>0</v>
      </c>
      <c r="BG1858">
        <v>0</v>
      </c>
      <c r="BH1858">
        <v>0</v>
      </c>
      <c r="BI1858" t="s">
        <v>199</v>
      </c>
      <c r="BJ1858" t="s">
        <v>315</v>
      </c>
      <c r="BL1858" t="s">
        <v>199</v>
      </c>
      <c r="BM1858" t="s">
        <v>358</v>
      </c>
      <c r="BN1858" t="s">
        <v>182</v>
      </c>
      <c r="BO1858" t="s">
        <v>198</v>
      </c>
      <c r="BP1858" t="s">
        <v>198</v>
      </c>
      <c r="BQ1858" t="s">
        <v>198</v>
      </c>
      <c r="BR1858" t="s">
        <v>198</v>
      </c>
      <c r="BS1858" t="s">
        <v>198</v>
      </c>
      <c r="BT1858" t="s">
        <v>198</v>
      </c>
      <c r="BU1858" t="s">
        <v>182</v>
      </c>
      <c r="BV1858" t="s">
        <v>198</v>
      </c>
      <c r="BW1858" t="s">
        <v>198</v>
      </c>
      <c r="BX1858" t="s">
        <v>199</v>
      </c>
      <c r="BY1858" t="s">
        <v>198</v>
      </c>
      <c r="BZ1858" t="s">
        <v>199</v>
      </c>
      <c r="CA1858" t="s">
        <v>199</v>
      </c>
      <c r="CB1858" t="s">
        <v>22419</v>
      </c>
      <c r="CC1858" t="s">
        <v>201</v>
      </c>
      <c r="CD1858" t="s">
        <v>202</v>
      </c>
      <c r="CE1858" t="s">
        <v>22420</v>
      </c>
      <c r="CF1858" t="s">
        <v>22421</v>
      </c>
      <c r="CG1858" t="s">
        <v>9098</v>
      </c>
      <c r="CH1858" t="s">
        <v>22422</v>
      </c>
      <c r="CI1858" t="s">
        <v>22423</v>
      </c>
      <c r="CJ1858" t="s">
        <v>15473</v>
      </c>
      <c r="CK1858" t="s">
        <v>232</v>
      </c>
      <c r="CL1858" t="s">
        <v>233</v>
      </c>
      <c r="CM1858" t="s">
        <v>22424</v>
      </c>
      <c r="CN1858" t="s">
        <v>436</v>
      </c>
      <c r="CO1858" t="s">
        <v>183</v>
      </c>
      <c r="CP1858" t="s">
        <v>266</v>
      </c>
      <c r="CS1858" t="s">
        <v>198</v>
      </c>
      <c r="DC1858" t="s">
        <v>198</v>
      </c>
      <c r="DM1858" t="s">
        <v>198</v>
      </c>
      <c r="DW1858" t="s">
        <v>198</v>
      </c>
      <c r="EG1858" t="s">
        <v>198</v>
      </c>
      <c r="EQ1858" t="s">
        <v>198</v>
      </c>
      <c r="FA1858" t="s">
        <v>198</v>
      </c>
      <c r="FK1858" t="s">
        <v>198</v>
      </c>
      <c r="FU1858" t="s">
        <v>198</v>
      </c>
    </row>
    <row r="1859" spans="1:177">
      <c r="A1859" s="1" t="str">
        <f>HYPERLINK("http://digipan.lumentumllc.com/apps/getLink/index.php?t=PropLink&amp;p=5245452","PL")</f>
        <v>PL</v>
      </c>
      <c r="B1859" s="1" t="str">
        <f>HYPERLINK("http://digipan.lumentumllc.com/apps/getLink/index.php?t=TaxLink&amp;p=5245452","TL")</f>
        <v>TL</v>
      </c>
      <c r="C1859" s="1" t="str">
        <f>HYPERLINK("http://digipan.lumentumllc.com/apps/getMap/index.php?p=5245452","Map")</f>
        <v>Map</v>
      </c>
      <c r="E1859" t="s">
        <v>177</v>
      </c>
      <c r="F1859" t="s">
        <v>178</v>
      </c>
      <c r="L1859" t="s">
        <v>22425</v>
      </c>
      <c r="N1859" t="s">
        <v>22425</v>
      </c>
      <c r="O1859" t="s">
        <v>22425</v>
      </c>
      <c r="P1859" t="s">
        <v>22426</v>
      </c>
      <c r="Q1859" t="s">
        <v>22425</v>
      </c>
      <c r="V1859">
        <v>2120</v>
      </c>
      <c r="W1859">
        <v>7</v>
      </c>
      <c r="X1859">
        <v>2017</v>
      </c>
      <c r="Y1859">
        <v>2018</v>
      </c>
      <c r="Z1859">
        <v>4473.8</v>
      </c>
      <c r="AB1859" t="s">
        <v>181</v>
      </c>
      <c r="AC1859" t="s">
        <v>182</v>
      </c>
      <c r="AD1859" t="s">
        <v>183</v>
      </c>
      <c r="AE1859">
        <v>0</v>
      </c>
      <c r="AF1859">
        <v>3</v>
      </c>
      <c r="AG1859" t="s">
        <v>381</v>
      </c>
      <c r="AH1859">
        <v>100</v>
      </c>
      <c r="AK1859">
        <v>0</v>
      </c>
      <c r="AL1859">
        <v>206068</v>
      </c>
      <c r="AM1859">
        <v>92450</v>
      </c>
      <c r="AN1859">
        <v>113618</v>
      </c>
      <c r="AO1859">
        <v>3950</v>
      </c>
      <c r="AP1859">
        <v>2016</v>
      </c>
      <c r="AQ1859">
        <v>2.17</v>
      </c>
      <c r="AS1859" t="s">
        <v>22427</v>
      </c>
      <c r="AT1859" t="s">
        <v>15040</v>
      </c>
      <c r="AU1859" t="s">
        <v>177</v>
      </c>
      <c r="AV1859" t="s">
        <v>371</v>
      </c>
      <c r="AW1859" t="s">
        <v>182</v>
      </c>
      <c r="AX1859">
        <v>8</v>
      </c>
      <c r="AY1859" t="s">
        <v>188</v>
      </c>
      <c r="AZ1859" t="s">
        <v>329</v>
      </c>
      <c r="BA1859" t="s">
        <v>6773</v>
      </c>
      <c r="BB1859" t="s">
        <v>191</v>
      </c>
      <c r="BC1859" t="s">
        <v>182</v>
      </c>
      <c r="BD1859" t="s">
        <v>182</v>
      </c>
      <c r="BE1859" t="s">
        <v>235</v>
      </c>
      <c r="BF1859">
        <v>1</v>
      </c>
      <c r="BG1859">
        <v>1</v>
      </c>
      <c r="BH1859">
        <v>1973</v>
      </c>
      <c r="BI1859" t="s">
        <v>11647</v>
      </c>
      <c r="BJ1859" t="s">
        <v>194</v>
      </c>
      <c r="BK1859" t="s">
        <v>840</v>
      </c>
      <c r="BL1859" t="s">
        <v>5405</v>
      </c>
      <c r="BM1859" t="s">
        <v>410</v>
      </c>
      <c r="BN1859" t="s">
        <v>182</v>
      </c>
      <c r="BO1859" t="s">
        <v>22428</v>
      </c>
      <c r="BP1859" t="s">
        <v>22429</v>
      </c>
      <c r="BR1859" t="s">
        <v>1723</v>
      </c>
      <c r="BS1859" t="s">
        <v>22430</v>
      </c>
      <c r="BT1859" t="s">
        <v>22431</v>
      </c>
      <c r="BU1859" t="s">
        <v>182</v>
      </c>
      <c r="BV1859" t="s">
        <v>198</v>
      </c>
      <c r="BW1859" t="s">
        <v>198</v>
      </c>
      <c r="BX1859" t="s">
        <v>199</v>
      </c>
      <c r="BY1859" t="s">
        <v>198</v>
      </c>
      <c r="BZ1859" t="s">
        <v>199</v>
      </c>
      <c r="CA1859" t="s">
        <v>199</v>
      </c>
      <c r="CB1859" t="s">
        <v>22432</v>
      </c>
      <c r="CC1859" t="s">
        <v>201</v>
      </c>
      <c r="CD1859" t="s">
        <v>182</v>
      </c>
      <c r="CE1859" t="s">
        <v>22433</v>
      </c>
      <c r="CF1859" t="s">
        <v>2333</v>
      </c>
      <c r="CG1859" t="s">
        <v>177</v>
      </c>
      <c r="CH1859" t="s">
        <v>2334</v>
      </c>
      <c r="CI1859" t="s">
        <v>22434</v>
      </c>
      <c r="CJ1859" t="s">
        <v>22435</v>
      </c>
      <c r="CK1859" t="s">
        <v>302</v>
      </c>
      <c r="CL1859" t="s">
        <v>303</v>
      </c>
      <c r="CM1859" t="s">
        <v>22436</v>
      </c>
      <c r="CN1859" t="s">
        <v>235</v>
      </c>
      <c r="CO1859" t="s">
        <v>183</v>
      </c>
      <c r="CP1859" t="s">
        <v>211</v>
      </c>
      <c r="CQ1859" t="s">
        <v>212</v>
      </c>
      <c r="CS1859" t="s">
        <v>4986</v>
      </c>
      <c r="CT1859" t="s">
        <v>4122</v>
      </c>
      <c r="CU1859" t="s">
        <v>238</v>
      </c>
      <c r="CV1859" t="s">
        <v>239</v>
      </c>
      <c r="CW1859" t="s">
        <v>22437</v>
      </c>
      <c r="CX1859" t="s">
        <v>235</v>
      </c>
      <c r="CY1859" t="s">
        <v>183</v>
      </c>
      <c r="CZ1859" t="s">
        <v>211</v>
      </c>
      <c r="DA1859" t="s">
        <v>298</v>
      </c>
      <c r="DC1859" t="s">
        <v>441</v>
      </c>
      <c r="DD1859" t="s">
        <v>22438</v>
      </c>
      <c r="DE1859" t="s">
        <v>346</v>
      </c>
      <c r="DF1859" t="s">
        <v>347</v>
      </c>
      <c r="DG1859" t="s">
        <v>22439</v>
      </c>
      <c r="DH1859" t="s">
        <v>235</v>
      </c>
      <c r="DI1859" t="s">
        <v>183</v>
      </c>
      <c r="DJ1859" t="s">
        <v>211</v>
      </c>
      <c r="DK1859" t="s">
        <v>298</v>
      </c>
      <c r="DM1859" t="s">
        <v>2699</v>
      </c>
      <c r="DW1859" t="s">
        <v>198</v>
      </c>
      <c r="EG1859" t="s">
        <v>198</v>
      </c>
      <c r="EQ1859" t="s">
        <v>198</v>
      </c>
      <c r="FA1859" t="s">
        <v>198</v>
      </c>
      <c r="FK1859" t="s">
        <v>198</v>
      </c>
      <c r="FU1859" t="s">
        <v>198</v>
      </c>
    </row>
    <row r="1860" spans="1:177">
      <c r="A1860" s="1" t="str">
        <f>HYPERLINK("http://digipan.lumentumllc.com/apps/getLink/index.php?t=PropLink&amp;p=15737417","PL")</f>
        <v>PL</v>
      </c>
      <c r="B1860" s="1" t="str">
        <f>HYPERLINK("http://digipan.lumentumllc.com/apps/getLink/index.php?t=TaxLink&amp;p=15737417","TL")</f>
        <v>TL</v>
      </c>
      <c r="C1860" s="1" t="str">
        <f>HYPERLINK("http://digipan.lumentumllc.com/apps/getMap/index.php?p=15737417","Map")</f>
        <v>Map</v>
      </c>
      <c r="E1860" t="s">
        <v>177</v>
      </c>
      <c r="F1860" t="s">
        <v>178</v>
      </c>
      <c r="L1860" t="s">
        <v>22440</v>
      </c>
      <c r="N1860" t="s">
        <v>22440</v>
      </c>
      <c r="O1860" t="s">
        <v>22440</v>
      </c>
      <c r="Q1860" t="s">
        <v>22440</v>
      </c>
      <c r="V1860">
        <v>2121</v>
      </c>
      <c r="W1860">
        <v>7</v>
      </c>
      <c r="X1860">
        <v>2017</v>
      </c>
      <c r="Y1860">
        <v>2018</v>
      </c>
      <c r="Z1860">
        <v>7334.67</v>
      </c>
      <c r="AG1860" t="s">
        <v>184</v>
      </c>
      <c r="AH1860">
        <v>0</v>
      </c>
      <c r="AK1860">
        <v>0</v>
      </c>
      <c r="AL1860">
        <v>426095</v>
      </c>
      <c r="AM1860">
        <v>225000</v>
      </c>
      <c r="AN1860">
        <v>201095</v>
      </c>
      <c r="AO1860">
        <v>5384</v>
      </c>
      <c r="AP1860">
        <v>2016</v>
      </c>
      <c r="AQ1860">
        <v>1.72</v>
      </c>
      <c r="AS1860" t="s">
        <v>22441</v>
      </c>
      <c r="AT1860" t="s">
        <v>15040</v>
      </c>
      <c r="AU1860" t="s">
        <v>177</v>
      </c>
      <c r="AV1860" t="s">
        <v>371</v>
      </c>
      <c r="AW1860" t="s">
        <v>182</v>
      </c>
      <c r="AX1860">
        <v>1</v>
      </c>
      <c r="AY1860" t="s">
        <v>188</v>
      </c>
      <c r="AZ1860" t="s">
        <v>206</v>
      </c>
      <c r="BA1860" t="s">
        <v>355</v>
      </c>
      <c r="BB1860" t="s">
        <v>191</v>
      </c>
      <c r="BC1860" t="s">
        <v>182</v>
      </c>
      <c r="BD1860" t="s">
        <v>182</v>
      </c>
      <c r="BE1860" t="s">
        <v>11735</v>
      </c>
      <c r="BF1860">
        <v>1</v>
      </c>
      <c r="BG1860">
        <v>1</v>
      </c>
      <c r="BH1860">
        <v>1991</v>
      </c>
      <c r="BI1860" t="s">
        <v>22442</v>
      </c>
      <c r="BJ1860" t="s">
        <v>396</v>
      </c>
      <c r="BK1860" t="s">
        <v>195</v>
      </c>
      <c r="BL1860" t="s">
        <v>21192</v>
      </c>
      <c r="BM1860" t="s">
        <v>232</v>
      </c>
      <c r="BN1860" t="s">
        <v>182</v>
      </c>
      <c r="BO1860" t="s">
        <v>9979</v>
      </c>
      <c r="BP1860" t="s">
        <v>12362</v>
      </c>
      <c r="BQ1860" t="s">
        <v>800</v>
      </c>
      <c r="BS1860" t="s">
        <v>198</v>
      </c>
      <c r="BT1860" t="s">
        <v>22443</v>
      </c>
      <c r="BU1860" t="s">
        <v>182</v>
      </c>
      <c r="BV1860" t="s">
        <v>198</v>
      </c>
      <c r="BW1860" t="s">
        <v>198</v>
      </c>
      <c r="BX1860" t="s">
        <v>199</v>
      </c>
      <c r="BY1860" t="s">
        <v>198</v>
      </c>
      <c r="BZ1860" t="s">
        <v>199</v>
      </c>
      <c r="CA1860" t="s">
        <v>199</v>
      </c>
      <c r="CB1860" t="s">
        <v>22444</v>
      </c>
      <c r="CC1860" t="s">
        <v>201</v>
      </c>
      <c r="CD1860" t="s">
        <v>202</v>
      </c>
      <c r="CE1860" t="s">
        <v>22445</v>
      </c>
      <c r="CF1860" t="s">
        <v>22446</v>
      </c>
      <c r="CG1860" t="s">
        <v>6826</v>
      </c>
      <c r="CH1860" t="s">
        <v>22447</v>
      </c>
      <c r="CI1860" t="s">
        <v>12031</v>
      </c>
      <c r="CS1860" t="s">
        <v>198</v>
      </c>
      <c r="DC1860" t="s">
        <v>198</v>
      </c>
      <c r="DM1860" t="s">
        <v>198</v>
      </c>
      <c r="DW1860" t="s">
        <v>198</v>
      </c>
      <c r="EG1860" t="s">
        <v>198</v>
      </c>
      <c r="EQ1860" t="s">
        <v>198</v>
      </c>
      <c r="FA1860" t="s">
        <v>198</v>
      </c>
      <c r="FK1860" t="s">
        <v>198</v>
      </c>
      <c r="FU1860" t="s">
        <v>198</v>
      </c>
    </row>
    <row r="1861" spans="1:177">
      <c r="A1861" s="1" t="str">
        <f>HYPERLINK("http://digipan.lumentumllc.com/apps/getLink/index.php?t=PropLink&amp;p=7112345","PL")</f>
        <v>PL</v>
      </c>
      <c r="B1861" s="1" t="str">
        <f>HYPERLINK("http://digipan.lumentumllc.com/apps/getLink/index.php?t=TaxLink&amp;p=7112345","TL")</f>
        <v>TL</v>
      </c>
      <c r="C1861" s="1" t="str">
        <f>HYPERLINK("http://digipan.lumentumllc.com/apps/getMap/index.php?p=7112345","Map")</f>
        <v>Map</v>
      </c>
      <c r="E1861" t="s">
        <v>177</v>
      </c>
      <c r="F1861" t="s">
        <v>178</v>
      </c>
      <c r="L1861" t="s">
        <v>22448</v>
      </c>
      <c r="N1861" t="s">
        <v>22448</v>
      </c>
      <c r="O1861" t="s">
        <v>22448</v>
      </c>
      <c r="P1861" t="s">
        <v>22449</v>
      </c>
      <c r="Q1861" t="s">
        <v>22448</v>
      </c>
      <c r="V1861">
        <v>2122</v>
      </c>
      <c r="W1861">
        <v>7</v>
      </c>
      <c r="X1861">
        <v>2017</v>
      </c>
      <c r="Y1861">
        <v>2018</v>
      </c>
      <c r="Z1861">
        <v>12085.98</v>
      </c>
      <c r="AG1861" t="s">
        <v>184</v>
      </c>
      <c r="AH1861">
        <v>0</v>
      </c>
      <c r="AK1861">
        <v>0</v>
      </c>
      <c r="AL1861">
        <v>706000</v>
      </c>
      <c r="AM1861">
        <v>0</v>
      </c>
      <c r="AN1861">
        <v>706000</v>
      </c>
      <c r="AO1861">
        <v>11001</v>
      </c>
      <c r="AP1861">
        <v>2016</v>
      </c>
      <c r="AQ1861">
        <v>1.71</v>
      </c>
      <c r="AS1861" t="s">
        <v>22450</v>
      </c>
      <c r="AT1861" t="s">
        <v>15040</v>
      </c>
      <c r="AU1861" t="s">
        <v>177</v>
      </c>
      <c r="AV1861" t="s">
        <v>371</v>
      </c>
      <c r="AW1861" t="s">
        <v>182</v>
      </c>
      <c r="AX1861">
        <v>4</v>
      </c>
      <c r="AY1861" t="s">
        <v>188</v>
      </c>
      <c r="AZ1861" t="s">
        <v>296</v>
      </c>
      <c r="BA1861" t="s">
        <v>19069</v>
      </c>
      <c r="BB1861" t="s">
        <v>191</v>
      </c>
      <c r="BC1861" t="s">
        <v>182</v>
      </c>
      <c r="BD1861" t="s">
        <v>182</v>
      </c>
      <c r="BE1861" t="s">
        <v>1722</v>
      </c>
      <c r="BF1861">
        <v>1</v>
      </c>
      <c r="BG1861">
        <v>1</v>
      </c>
      <c r="BH1861">
        <v>1998</v>
      </c>
      <c r="BI1861" t="s">
        <v>22451</v>
      </c>
      <c r="BJ1861" t="s">
        <v>396</v>
      </c>
      <c r="BL1861" t="s">
        <v>22452</v>
      </c>
      <c r="BM1861" t="s">
        <v>325</v>
      </c>
      <c r="BN1861" t="s">
        <v>182</v>
      </c>
      <c r="BO1861" t="s">
        <v>22453</v>
      </c>
      <c r="BP1861" t="s">
        <v>22454</v>
      </c>
      <c r="BQ1861" t="s">
        <v>562</v>
      </c>
      <c r="BR1861" t="s">
        <v>563</v>
      </c>
      <c r="BS1861" t="s">
        <v>198</v>
      </c>
      <c r="BT1861" t="s">
        <v>20666</v>
      </c>
      <c r="BU1861" t="s">
        <v>182</v>
      </c>
      <c r="BV1861" t="s">
        <v>198</v>
      </c>
      <c r="BW1861" t="s">
        <v>198</v>
      </c>
      <c r="BX1861" t="s">
        <v>199</v>
      </c>
      <c r="BY1861" t="s">
        <v>198</v>
      </c>
      <c r="BZ1861" t="s">
        <v>199</v>
      </c>
      <c r="CA1861" t="s">
        <v>199</v>
      </c>
      <c r="CB1861" t="s">
        <v>22455</v>
      </c>
      <c r="CC1861" t="s">
        <v>201</v>
      </c>
      <c r="CD1861" t="s">
        <v>182</v>
      </c>
      <c r="CE1861" t="s">
        <v>22456</v>
      </c>
      <c r="CF1861" t="s">
        <v>22457</v>
      </c>
      <c r="CG1861" t="s">
        <v>22458</v>
      </c>
      <c r="CH1861" t="s">
        <v>22459</v>
      </c>
      <c r="CI1861" t="s">
        <v>22460</v>
      </c>
      <c r="CS1861" t="s">
        <v>198</v>
      </c>
      <c r="DC1861" t="s">
        <v>198</v>
      </c>
      <c r="DM1861" t="s">
        <v>198</v>
      </c>
      <c r="DW1861" t="s">
        <v>198</v>
      </c>
      <c r="EG1861" t="s">
        <v>198</v>
      </c>
      <c r="EQ1861" t="s">
        <v>198</v>
      </c>
      <c r="FA1861" t="s">
        <v>198</v>
      </c>
      <c r="FK1861" t="s">
        <v>198</v>
      </c>
      <c r="FU1861" t="s">
        <v>198</v>
      </c>
    </row>
    <row r="1862" spans="1:177">
      <c r="A1862" s="1" t="str">
        <f>HYPERLINK("http://digipan.lumentumllc.com/apps/getLink/index.php?t=PropLink&amp;p=15737933","PL")</f>
        <v>PL</v>
      </c>
      <c r="B1862" s="1" t="str">
        <f>HYPERLINK("http://digipan.lumentumllc.com/apps/getLink/index.php?t=TaxLink&amp;p=15737933","TL")</f>
        <v>TL</v>
      </c>
      <c r="C1862" s="1" t="str">
        <f>HYPERLINK("http://digipan.lumentumllc.com/apps/getMap/index.php?p=15737933","Map")</f>
        <v>Map</v>
      </c>
      <c r="E1862" t="s">
        <v>177</v>
      </c>
      <c r="F1862" t="s">
        <v>178</v>
      </c>
      <c r="L1862" t="s">
        <v>22461</v>
      </c>
      <c r="N1862" t="s">
        <v>22461</v>
      </c>
      <c r="O1862" t="s">
        <v>22461</v>
      </c>
      <c r="Q1862" t="s">
        <v>22461</v>
      </c>
      <c r="V1862">
        <v>2123</v>
      </c>
      <c r="W1862">
        <v>7</v>
      </c>
      <c r="X1862">
        <v>2017</v>
      </c>
      <c r="Y1862">
        <v>2018</v>
      </c>
      <c r="Z1862">
        <v>15634.19</v>
      </c>
      <c r="AG1862" t="s">
        <v>184</v>
      </c>
      <c r="AH1862">
        <v>0</v>
      </c>
      <c r="AK1862">
        <v>0</v>
      </c>
      <c r="AL1862">
        <v>917800</v>
      </c>
      <c r="AM1862">
        <v>0</v>
      </c>
      <c r="AN1862">
        <v>917800</v>
      </c>
      <c r="AO1862">
        <v>13711</v>
      </c>
      <c r="AP1862">
        <v>2016</v>
      </c>
      <c r="AQ1862">
        <v>1.7</v>
      </c>
      <c r="AS1862" t="s">
        <v>22462</v>
      </c>
      <c r="AT1862" t="s">
        <v>15040</v>
      </c>
      <c r="AU1862" t="s">
        <v>177</v>
      </c>
      <c r="AV1862" t="s">
        <v>371</v>
      </c>
      <c r="AW1862" t="s">
        <v>182</v>
      </c>
      <c r="AX1862">
        <v>4</v>
      </c>
      <c r="AY1862" t="s">
        <v>188</v>
      </c>
      <c r="AZ1862" t="s">
        <v>296</v>
      </c>
      <c r="BA1862" t="s">
        <v>19069</v>
      </c>
      <c r="BB1862" t="s">
        <v>191</v>
      </c>
      <c r="BC1862" t="s">
        <v>182</v>
      </c>
      <c r="BD1862" t="s">
        <v>182</v>
      </c>
      <c r="BE1862" t="s">
        <v>1722</v>
      </c>
      <c r="BF1862">
        <v>1</v>
      </c>
      <c r="BG1862">
        <v>1</v>
      </c>
      <c r="BH1862">
        <v>1998</v>
      </c>
      <c r="BI1862" t="s">
        <v>22451</v>
      </c>
      <c r="BJ1862" t="s">
        <v>396</v>
      </c>
      <c r="BL1862" t="s">
        <v>199</v>
      </c>
      <c r="BM1862" t="s">
        <v>292</v>
      </c>
      <c r="BN1862" t="s">
        <v>182</v>
      </c>
      <c r="BO1862" t="s">
        <v>17481</v>
      </c>
      <c r="BP1862" t="s">
        <v>22202</v>
      </c>
      <c r="BQ1862" t="s">
        <v>800</v>
      </c>
      <c r="BR1862" t="s">
        <v>563</v>
      </c>
      <c r="BS1862" t="s">
        <v>198</v>
      </c>
      <c r="BT1862" t="s">
        <v>22463</v>
      </c>
      <c r="BU1862" t="s">
        <v>182</v>
      </c>
      <c r="BV1862" t="s">
        <v>198</v>
      </c>
      <c r="BW1862" t="s">
        <v>198</v>
      </c>
      <c r="BX1862" t="s">
        <v>199</v>
      </c>
      <c r="BY1862" t="s">
        <v>198</v>
      </c>
      <c r="BZ1862" t="s">
        <v>199</v>
      </c>
      <c r="CA1862" t="s">
        <v>199</v>
      </c>
      <c r="CB1862" t="s">
        <v>22464</v>
      </c>
      <c r="CC1862" t="s">
        <v>201</v>
      </c>
      <c r="CD1862" t="s">
        <v>202</v>
      </c>
      <c r="CE1862" t="s">
        <v>22465</v>
      </c>
      <c r="CF1862" t="s">
        <v>6417</v>
      </c>
      <c r="CG1862" t="s">
        <v>9693</v>
      </c>
      <c r="CH1862" t="s">
        <v>22466</v>
      </c>
      <c r="CI1862" t="s">
        <v>22467</v>
      </c>
      <c r="CS1862" t="s">
        <v>198</v>
      </c>
      <c r="DC1862" t="s">
        <v>198</v>
      </c>
      <c r="DM1862" t="s">
        <v>198</v>
      </c>
      <c r="DW1862" t="s">
        <v>198</v>
      </c>
      <c r="EG1862" t="s">
        <v>198</v>
      </c>
      <c r="EQ1862" t="s">
        <v>198</v>
      </c>
      <c r="FA1862" t="s">
        <v>198</v>
      </c>
      <c r="FK1862" t="s">
        <v>198</v>
      </c>
      <c r="FU1862" t="s">
        <v>198</v>
      </c>
    </row>
    <row r="1863" spans="1:177">
      <c r="A1863" s="1" t="str">
        <f>HYPERLINK("http://digipan.lumentumllc.com/apps/getLink/index.php?t=PropLink&amp;p=6461740","PL")</f>
        <v>PL</v>
      </c>
      <c r="B1863" s="1" t="str">
        <f>HYPERLINK("http://digipan.lumentumllc.com/apps/getLink/index.php?t=TaxLink&amp;p=6461740","TL")</f>
        <v>TL</v>
      </c>
      <c r="C1863" s="1" t="str">
        <f>HYPERLINK("http://digipan.lumentumllc.com/apps/getMap/index.php?p=6461740","Map")</f>
        <v>Map</v>
      </c>
      <c r="E1863" t="s">
        <v>177</v>
      </c>
      <c r="F1863" t="s">
        <v>178</v>
      </c>
      <c r="L1863" t="s">
        <v>22468</v>
      </c>
      <c r="N1863" t="s">
        <v>22468</v>
      </c>
      <c r="O1863" t="s">
        <v>22468</v>
      </c>
      <c r="P1863" t="s">
        <v>22469</v>
      </c>
      <c r="Q1863" t="s">
        <v>22468</v>
      </c>
      <c r="V1863">
        <v>2124</v>
      </c>
      <c r="W1863">
        <v>7</v>
      </c>
      <c r="X1863">
        <v>2017</v>
      </c>
      <c r="Y1863">
        <v>2018</v>
      </c>
      <c r="Z1863">
        <v>3330.27</v>
      </c>
      <c r="AG1863" t="s">
        <v>184</v>
      </c>
      <c r="AH1863">
        <v>0</v>
      </c>
      <c r="AK1863">
        <v>0</v>
      </c>
      <c r="AL1863">
        <v>190000</v>
      </c>
      <c r="AM1863">
        <v>0</v>
      </c>
      <c r="AN1863">
        <v>190000</v>
      </c>
      <c r="AO1863">
        <v>2733</v>
      </c>
      <c r="AP1863">
        <v>2016</v>
      </c>
      <c r="AQ1863">
        <v>1.75</v>
      </c>
      <c r="AS1863" t="s">
        <v>22470</v>
      </c>
      <c r="AT1863" t="s">
        <v>15040</v>
      </c>
      <c r="AU1863" t="s">
        <v>177</v>
      </c>
      <c r="AV1863" t="s">
        <v>371</v>
      </c>
      <c r="AW1863" t="s">
        <v>182</v>
      </c>
      <c r="AX1863">
        <v>4</v>
      </c>
      <c r="AY1863" t="s">
        <v>188</v>
      </c>
      <c r="AZ1863" t="s">
        <v>296</v>
      </c>
      <c r="BA1863" t="s">
        <v>19069</v>
      </c>
      <c r="BB1863" t="s">
        <v>191</v>
      </c>
      <c r="BC1863" t="s">
        <v>182</v>
      </c>
      <c r="BD1863" t="s">
        <v>182</v>
      </c>
      <c r="BE1863" t="s">
        <v>1722</v>
      </c>
      <c r="BF1863">
        <v>1</v>
      </c>
      <c r="BG1863">
        <v>1</v>
      </c>
      <c r="BH1863">
        <v>1974</v>
      </c>
      <c r="BI1863" t="s">
        <v>20743</v>
      </c>
      <c r="BJ1863" t="s">
        <v>194</v>
      </c>
      <c r="BL1863" t="s">
        <v>22471</v>
      </c>
      <c r="BM1863" t="s">
        <v>533</v>
      </c>
      <c r="BN1863" t="s">
        <v>182</v>
      </c>
      <c r="BO1863" t="s">
        <v>22472</v>
      </c>
      <c r="BP1863" t="s">
        <v>22473</v>
      </c>
      <c r="BQ1863" t="s">
        <v>904</v>
      </c>
      <c r="BR1863" t="s">
        <v>563</v>
      </c>
      <c r="BS1863" t="s">
        <v>22474</v>
      </c>
      <c r="BT1863" t="s">
        <v>22475</v>
      </c>
      <c r="BU1863" t="s">
        <v>182</v>
      </c>
      <c r="BV1863" t="s">
        <v>198</v>
      </c>
      <c r="BW1863" t="s">
        <v>198</v>
      </c>
      <c r="BX1863" t="s">
        <v>199</v>
      </c>
      <c r="BY1863" t="s">
        <v>198</v>
      </c>
      <c r="BZ1863" t="s">
        <v>199</v>
      </c>
      <c r="CA1863" t="s">
        <v>199</v>
      </c>
      <c r="CB1863" t="s">
        <v>22476</v>
      </c>
      <c r="CC1863" t="s">
        <v>201</v>
      </c>
      <c r="CD1863" t="s">
        <v>182</v>
      </c>
      <c r="CE1863" t="s">
        <v>22477</v>
      </c>
      <c r="CF1863" t="s">
        <v>4225</v>
      </c>
      <c r="CG1863" t="s">
        <v>1602</v>
      </c>
      <c r="CH1863" t="s">
        <v>4226</v>
      </c>
      <c r="CI1863" t="s">
        <v>22478</v>
      </c>
      <c r="CS1863" t="s">
        <v>198</v>
      </c>
      <c r="DC1863" t="s">
        <v>198</v>
      </c>
      <c r="DM1863" t="s">
        <v>198</v>
      </c>
      <c r="DW1863" t="s">
        <v>198</v>
      </c>
      <c r="EG1863" t="s">
        <v>198</v>
      </c>
      <c r="EQ1863" t="s">
        <v>198</v>
      </c>
      <c r="FA1863" t="s">
        <v>198</v>
      </c>
      <c r="FK1863" t="s">
        <v>198</v>
      </c>
      <c r="FU1863" t="s">
        <v>198</v>
      </c>
    </row>
    <row r="1864" spans="1:177">
      <c r="A1864" s="1" t="str">
        <f>HYPERLINK("http://digipan.lumentumllc.com/apps/getLink/index.php?t=PropLink&amp;p=7112346","PL")</f>
        <v>PL</v>
      </c>
      <c r="B1864" s="1" t="str">
        <f>HYPERLINK("http://digipan.lumentumllc.com/apps/getLink/index.php?t=TaxLink&amp;p=7112346","TL")</f>
        <v>TL</v>
      </c>
      <c r="C1864" s="1" t="str">
        <f>HYPERLINK("http://digipan.lumentumllc.com/apps/getMap/index.php?p=7112346","Map")</f>
        <v>Map</v>
      </c>
      <c r="E1864" t="s">
        <v>177</v>
      </c>
      <c r="F1864" t="s">
        <v>178</v>
      </c>
      <c r="L1864" t="s">
        <v>22479</v>
      </c>
      <c r="N1864" t="s">
        <v>22479</v>
      </c>
      <c r="O1864" t="s">
        <v>22479</v>
      </c>
      <c r="P1864" t="s">
        <v>22480</v>
      </c>
      <c r="Q1864" t="s">
        <v>22479</v>
      </c>
      <c r="V1864">
        <v>2125</v>
      </c>
      <c r="W1864">
        <v>7</v>
      </c>
      <c r="X1864">
        <v>2017</v>
      </c>
      <c r="Y1864">
        <v>2018</v>
      </c>
      <c r="Z1864">
        <v>3564.01</v>
      </c>
      <c r="AB1864" t="s">
        <v>181</v>
      </c>
      <c r="AC1864" t="s">
        <v>182</v>
      </c>
      <c r="AD1864" t="s">
        <v>183</v>
      </c>
      <c r="AE1864">
        <v>1</v>
      </c>
      <c r="AF1864">
        <v>1</v>
      </c>
      <c r="AG1864" t="s">
        <v>2222</v>
      </c>
      <c r="AH1864">
        <v>50</v>
      </c>
      <c r="AI1864">
        <v>3130.45</v>
      </c>
      <c r="AJ1864">
        <v>156.52000000000001</v>
      </c>
      <c r="AK1864">
        <v>3286.97</v>
      </c>
      <c r="AL1864">
        <v>200000</v>
      </c>
      <c r="AM1864">
        <v>0</v>
      </c>
      <c r="AN1864">
        <v>200000</v>
      </c>
      <c r="AO1864">
        <v>2870</v>
      </c>
      <c r="AP1864">
        <v>2016</v>
      </c>
      <c r="AQ1864">
        <v>1.78</v>
      </c>
      <c r="AR1864">
        <v>1.64</v>
      </c>
      <c r="AS1864" t="s">
        <v>22481</v>
      </c>
      <c r="AT1864" t="s">
        <v>15040</v>
      </c>
      <c r="AU1864" t="s">
        <v>177</v>
      </c>
      <c r="AV1864" t="s">
        <v>371</v>
      </c>
      <c r="AW1864" t="s">
        <v>182</v>
      </c>
      <c r="AX1864">
        <v>4</v>
      </c>
      <c r="AY1864" t="s">
        <v>188</v>
      </c>
      <c r="AZ1864" t="s">
        <v>296</v>
      </c>
      <c r="BA1864" t="s">
        <v>19069</v>
      </c>
      <c r="BB1864" t="s">
        <v>191</v>
      </c>
      <c r="BC1864" t="s">
        <v>182</v>
      </c>
      <c r="BD1864" t="s">
        <v>182</v>
      </c>
      <c r="BE1864" t="s">
        <v>1722</v>
      </c>
      <c r="BF1864">
        <v>1</v>
      </c>
      <c r="BG1864">
        <v>1</v>
      </c>
      <c r="BH1864">
        <v>1974</v>
      </c>
      <c r="BI1864" t="s">
        <v>20743</v>
      </c>
      <c r="BJ1864" t="s">
        <v>194</v>
      </c>
      <c r="BL1864" t="s">
        <v>199</v>
      </c>
      <c r="BM1864" t="s">
        <v>232</v>
      </c>
      <c r="BN1864" t="s">
        <v>182</v>
      </c>
      <c r="BO1864" t="s">
        <v>198</v>
      </c>
      <c r="BP1864" t="s">
        <v>198</v>
      </c>
      <c r="BQ1864" t="s">
        <v>198</v>
      </c>
      <c r="BR1864" t="s">
        <v>198</v>
      </c>
      <c r="BS1864" t="s">
        <v>198</v>
      </c>
      <c r="BT1864" t="s">
        <v>198</v>
      </c>
      <c r="BU1864" t="s">
        <v>182</v>
      </c>
      <c r="BV1864" t="s">
        <v>198</v>
      </c>
      <c r="BW1864" t="s">
        <v>198</v>
      </c>
      <c r="BX1864" t="s">
        <v>199</v>
      </c>
      <c r="BY1864" t="s">
        <v>198</v>
      </c>
      <c r="BZ1864" t="s">
        <v>199</v>
      </c>
      <c r="CA1864" t="s">
        <v>199</v>
      </c>
      <c r="CB1864" t="s">
        <v>22482</v>
      </c>
      <c r="CC1864" t="s">
        <v>201</v>
      </c>
      <c r="CD1864" t="s">
        <v>202</v>
      </c>
      <c r="CE1864" t="s">
        <v>22483</v>
      </c>
      <c r="CF1864" t="s">
        <v>2769</v>
      </c>
      <c r="CG1864" t="s">
        <v>2769</v>
      </c>
      <c r="CH1864" t="s">
        <v>22484</v>
      </c>
      <c r="CI1864" t="s">
        <v>22485</v>
      </c>
      <c r="CJ1864" t="s">
        <v>14911</v>
      </c>
      <c r="CK1864" t="s">
        <v>232</v>
      </c>
      <c r="CL1864" t="s">
        <v>233</v>
      </c>
      <c r="CM1864" t="s">
        <v>22486</v>
      </c>
      <c r="CN1864" t="s">
        <v>235</v>
      </c>
      <c r="CO1864" t="s">
        <v>183</v>
      </c>
      <c r="CP1864" t="s">
        <v>266</v>
      </c>
      <c r="CS1864" t="s">
        <v>198</v>
      </c>
      <c r="CT1864" t="s">
        <v>14935</v>
      </c>
      <c r="CU1864" t="s">
        <v>292</v>
      </c>
      <c r="CV1864" t="s">
        <v>293</v>
      </c>
      <c r="CW1864" t="s">
        <v>22487</v>
      </c>
      <c r="CX1864" t="s">
        <v>235</v>
      </c>
      <c r="CY1864" t="s">
        <v>183</v>
      </c>
      <c r="CZ1864" t="s">
        <v>211</v>
      </c>
      <c r="DA1864" t="s">
        <v>199</v>
      </c>
      <c r="DC1864" t="s">
        <v>14036</v>
      </c>
      <c r="DM1864" t="s">
        <v>198</v>
      </c>
      <c r="DW1864" t="s">
        <v>198</v>
      </c>
      <c r="EG1864" t="s">
        <v>198</v>
      </c>
      <c r="EQ1864" t="s">
        <v>198</v>
      </c>
      <c r="FA1864" t="s">
        <v>198</v>
      </c>
      <c r="FK1864" t="s">
        <v>198</v>
      </c>
      <c r="FU1864" t="s">
        <v>198</v>
      </c>
    </row>
    <row r="1865" spans="1:177">
      <c r="A1865" s="1" t="str">
        <f>HYPERLINK("http://digipan.lumentumllc.com/apps/getLink/index.php?t=PropLink&amp;p=6594110","PL")</f>
        <v>PL</v>
      </c>
      <c r="B1865" s="1" t="str">
        <f>HYPERLINK("http://digipan.lumentumllc.com/apps/getLink/index.php?t=TaxLink&amp;p=6594110","TL")</f>
        <v>TL</v>
      </c>
      <c r="C1865" s="1" t="str">
        <f>HYPERLINK("http://digipan.lumentumllc.com/apps/getMap/index.php?p=6594110","Map")</f>
        <v>Map</v>
      </c>
      <c r="E1865" t="s">
        <v>177</v>
      </c>
      <c r="F1865" t="s">
        <v>178</v>
      </c>
      <c r="L1865" t="s">
        <v>22488</v>
      </c>
      <c r="N1865" t="s">
        <v>22488</v>
      </c>
      <c r="O1865" t="s">
        <v>22488</v>
      </c>
      <c r="P1865" t="s">
        <v>22489</v>
      </c>
      <c r="Q1865" t="s">
        <v>22488</v>
      </c>
      <c r="V1865">
        <v>2126</v>
      </c>
      <c r="W1865">
        <v>7</v>
      </c>
      <c r="X1865">
        <v>2017</v>
      </c>
      <c r="Y1865">
        <v>2018</v>
      </c>
      <c r="Z1865">
        <v>3497.28</v>
      </c>
      <c r="AB1865" t="s">
        <v>181</v>
      </c>
      <c r="AC1865" t="s">
        <v>182</v>
      </c>
      <c r="AD1865" t="s">
        <v>183</v>
      </c>
      <c r="AE1865">
        <v>0</v>
      </c>
      <c r="AF1865">
        <v>2</v>
      </c>
      <c r="AG1865" t="s">
        <v>821</v>
      </c>
      <c r="AH1865">
        <v>100</v>
      </c>
      <c r="AK1865">
        <v>0</v>
      </c>
      <c r="AL1865">
        <v>196000</v>
      </c>
      <c r="AM1865">
        <v>0</v>
      </c>
      <c r="AN1865">
        <v>196000</v>
      </c>
      <c r="AO1865">
        <v>3182</v>
      </c>
      <c r="AP1865">
        <v>2016</v>
      </c>
      <c r="AQ1865">
        <v>1.78</v>
      </c>
      <c r="AS1865" t="s">
        <v>22490</v>
      </c>
      <c r="AT1865" t="s">
        <v>15040</v>
      </c>
      <c r="AU1865" t="s">
        <v>177</v>
      </c>
      <c r="AV1865" t="s">
        <v>371</v>
      </c>
      <c r="AW1865" t="s">
        <v>182</v>
      </c>
      <c r="AX1865">
        <v>4</v>
      </c>
      <c r="AY1865" t="s">
        <v>188</v>
      </c>
      <c r="AZ1865" t="s">
        <v>296</v>
      </c>
      <c r="BA1865" t="s">
        <v>19069</v>
      </c>
      <c r="BB1865" t="s">
        <v>191</v>
      </c>
      <c r="BC1865" t="s">
        <v>182</v>
      </c>
      <c r="BD1865" t="s">
        <v>182</v>
      </c>
      <c r="BE1865" t="s">
        <v>1722</v>
      </c>
      <c r="BF1865">
        <v>1</v>
      </c>
      <c r="BG1865">
        <v>1</v>
      </c>
      <c r="BH1865">
        <v>1974</v>
      </c>
      <c r="BI1865" t="s">
        <v>9460</v>
      </c>
      <c r="BJ1865" t="s">
        <v>194</v>
      </c>
      <c r="BL1865" t="s">
        <v>22491</v>
      </c>
      <c r="BM1865" t="s">
        <v>286</v>
      </c>
      <c r="BN1865" t="s">
        <v>182</v>
      </c>
      <c r="BO1865" t="s">
        <v>4813</v>
      </c>
      <c r="BP1865" t="s">
        <v>22492</v>
      </c>
      <c r="BQ1865" t="s">
        <v>5460</v>
      </c>
      <c r="BS1865" t="s">
        <v>22493</v>
      </c>
      <c r="BT1865" t="s">
        <v>198</v>
      </c>
      <c r="BU1865" t="s">
        <v>182</v>
      </c>
      <c r="BV1865" t="s">
        <v>198</v>
      </c>
      <c r="BW1865" t="s">
        <v>198</v>
      </c>
      <c r="BX1865" t="s">
        <v>199</v>
      </c>
      <c r="BY1865" t="s">
        <v>198</v>
      </c>
      <c r="BZ1865" t="s">
        <v>199</v>
      </c>
      <c r="CA1865" t="s">
        <v>199</v>
      </c>
      <c r="CB1865" t="s">
        <v>22494</v>
      </c>
      <c r="CC1865" t="s">
        <v>1407</v>
      </c>
      <c r="CD1865" t="s">
        <v>182</v>
      </c>
      <c r="CE1865" t="s">
        <v>22495</v>
      </c>
      <c r="CF1865" t="s">
        <v>19239</v>
      </c>
      <c r="CG1865" t="s">
        <v>22496</v>
      </c>
      <c r="CH1865" t="s">
        <v>22497</v>
      </c>
      <c r="CI1865" t="s">
        <v>22498</v>
      </c>
      <c r="CJ1865" t="s">
        <v>4513</v>
      </c>
      <c r="CK1865" t="s">
        <v>273</v>
      </c>
      <c r="CL1865" t="s">
        <v>274</v>
      </c>
      <c r="CM1865" t="s">
        <v>22499</v>
      </c>
      <c r="CN1865" t="s">
        <v>235</v>
      </c>
      <c r="CO1865" t="s">
        <v>183</v>
      </c>
      <c r="CP1865" t="s">
        <v>211</v>
      </c>
      <c r="CQ1865" t="s">
        <v>212</v>
      </c>
      <c r="CS1865" t="s">
        <v>4533</v>
      </c>
      <c r="CT1865" t="s">
        <v>3452</v>
      </c>
      <c r="CU1865" t="s">
        <v>207</v>
      </c>
      <c r="CV1865" t="s">
        <v>208</v>
      </c>
      <c r="CW1865" t="s">
        <v>22500</v>
      </c>
      <c r="CX1865" t="s">
        <v>235</v>
      </c>
      <c r="CY1865" t="s">
        <v>183</v>
      </c>
      <c r="CZ1865" t="s">
        <v>211</v>
      </c>
      <c r="DA1865" t="s">
        <v>206</v>
      </c>
      <c r="DC1865" t="s">
        <v>10701</v>
      </c>
      <c r="DM1865" t="s">
        <v>198</v>
      </c>
      <c r="DW1865" t="s">
        <v>198</v>
      </c>
      <c r="EG1865" t="s">
        <v>198</v>
      </c>
      <c r="EQ1865" t="s">
        <v>198</v>
      </c>
      <c r="FA1865" t="s">
        <v>198</v>
      </c>
      <c r="FK1865" t="s">
        <v>198</v>
      </c>
      <c r="FU1865" t="s">
        <v>198</v>
      </c>
    </row>
    <row r="1866" spans="1:177">
      <c r="A1866" s="1" t="str">
        <f>HYPERLINK("http://digipan.lumentumllc.com/apps/getLink/index.php?t=PropLink&amp;p=15738209","PL")</f>
        <v>PL</v>
      </c>
      <c r="B1866" s="1" t="str">
        <f>HYPERLINK("http://digipan.lumentumllc.com/apps/getLink/index.php?t=TaxLink&amp;p=15738209","TL")</f>
        <v>TL</v>
      </c>
      <c r="C1866" s="1" t="str">
        <f>HYPERLINK("http://digipan.lumentumllc.com/apps/getMap/index.php?p=15738209","Map")</f>
        <v>Map</v>
      </c>
      <c r="E1866" t="s">
        <v>177</v>
      </c>
      <c r="F1866" t="s">
        <v>178</v>
      </c>
      <c r="L1866" t="s">
        <v>22501</v>
      </c>
      <c r="N1866" t="s">
        <v>22501</v>
      </c>
      <c r="O1866" t="s">
        <v>22501</v>
      </c>
      <c r="Q1866" t="s">
        <v>22501</v>
      </c>
      <c r="V1866">
        <v>2128</v>
      </c>
      <c r="W1866">
        <v>7</v>
      </c>
      <c r="X1866">
        <v>2017</v>
      </c>
      <c r="Y1866">
        <v>2018</v>
      </c>
      <c r="Z1866">
        <v>8821.94</v>
      </c>
      <c r="AG1866" t="s">
        <v>184</v>
      </c>
      <c r="AH1866">
        <v>0</v>
      </c>
      <c r="AK1866">
        <v>0</v>
      </c>
      <c r="AL1866">
        <v>600000</v>
      </c>
      <c r="AM1866">
        <v>0</v>
      </c>
      <c r="AN1866">
        <v>600000</v>
      </c>
      <c r="AO1866">
        <v>7547</v>
      </c>
      <c r="AP1866">
        <v>2016</v>
      </c>
      <c r="AQ1866">
        <v>1.47</v>
      </c>
      <c r="AS1866" t="s">
        <v>22502</v>
      </c>
      <c r="AT1866" t="s">
        <v>15040</v>
      </c>
      <c r="AU1866" t="s">
        <v>177</v>
      </c>
      <c r="AV1866" t="s">
        <v>371</v>
      </c>
      <c r="AW1866" t="s">
        <v>182</v>
      </c>
      <c r="AX1866">
        <v>4</v>
      </c>
      <c r="AY1866" t="s">
        <v>188</v>
      </c>
      <c r="AZ1866" t="s">
        <v>296</v>
      </c>
      <c r="BA1866" t="s">
        <v>19069</v>
      </c>
      <c r="BB1866" t="s">
        <v>191</v>
      </c>
      <c r="BC1866" t="s">
        <v>182</v>
      </c>
      <c r="BD1866" t="s">
        <v>182</v>
      </c>
      <c r="BE1866" t="s">
        <v>1722</v>
      </c>
      <c r="BF1866">
        <v>1</v>
      </c>
      <c r="BG1866">
        <v>1</v>
      </c>
      <c r="BH1866">
        <v>1974</v>
      </c>
      <c r="BI1866" t="s">
        <v>19650</v>
      </c>
      <c r="BJ1866" t="s">
        <v>194</v>
      </c>
      <c r="BL1866" t="s">
        <v>22503</v>
      </c>
      <c r="BM1866" t="s">
        <v>559</v>
      </c>
      <c r="BN1866" t="s">
        <v>182</v>
      </c>
      <c r="BO1866" t="s">
        <v>22504</v>
      </c>
      <c r="BP1866" t="s">
        <v>22505</v>
      </c>
      <c r="BQ1866" t="s">
        <v>800</v>
      </c>
      <c r="BS1866" t="s">
        <v>198</v>
      </c>
      <c r="BT1866" t="s">
        <v>228</v>
      </c>
      <c r="BU1866" t="s">
        <v>182</v>
      </c>
      <c r="BV1866" t="s">
        <v>198</v>
      </c>
      <c r="BW1866" t="s">
        <v>198</v>
      </c>
      <c r="BX1866" t="s">
        <v>199</v>
      </c>
      <c r="BY1866" t="s">
        <v>198</v>
      </c>
      <c r="BZ1866" t="s">
        <v>199</v>
      </c>
      <c r="CA1866" t="s">
        <v>199</v>
      </c>
      <c r="CB1866" t="s">
        <v>22506</v>
      </c>
      <c r="CC1866" t="s">
        <v>201</v>
      </c>
      <c r="CD1866" t="s">
        <v>182</v>
      </c>
      <c r="CE1866" t="s">
        <v>22507</v>
      </c>
      <c r="CF1866" t="s">
        <v>22508</v>
      </c>
      <c r="CI1866" t="s">
        <v>22509</v>
      </c>
      <c r="CS1866" t="s">
        <v>198</v>
      </c>
      <c r="DC1866" t="s">
        <v>198</v>
      </c>
      <c r="DM1866" t="s">
        <v>198</v>
      </c>
      <c r="DW1866" t="s">
        <v>198</v>
      </c>
      <c r="EG1866" t="s">
        <v>198</v>
      </c>
      <c r="EQ1866" t="s">
        <v>198</v>
      </c>
      <c r="FA1866" t="s">
        <v>198</v>
      </c>
      <c r="FK1866" t="s">
        <v>198</v>
      </c>
      <c r="FU1866" t="s">
        <v>198</v>
      </c>
    </row>
    <row r="1867" spans="1:177">
      <c r="A1867" s="1" t="str">
        <f>HYPERLINK("http://digipan.lumentumllc.com/apps/getLink/index.php?t=PropLink&amp;p=7112348","PL")</f>
        <v>PL</v>
      </c>
      <c r="B1867" s="1" t="str">
        <f>HYPERLINK("http://digipan.lumentumllc.com/apps/getLink/index.php?t=TaxLink&amp;p=7112348","TL")</f>
        <v>TL</v>
      </c>
      <c r="C1867" s="1" t="str">
        <f>HYPERLINK("http://digipan.lumentumllc.com/apps/getMap/index.php?p=7112348","Map")</f>
        <v>Map</v>
      </c>
      <c r="E1867" t="s">
        <v>177</v>
      </c>
      <c r="F1867" t="s">
        <v>178</v>
      </c>
      <c r="L1867" t="s">
        <v>22510</v>
      </c>
      <c r="N1867" t="s">
        <v>22510</v>
      </c>
      <c r="O1867" t="s">
        <v>22510</v>
      </c>
      <c r="P1867" t="s">
        <v>22511</v>
      </c>
      <c r="Q1867" t="s">
        <v>22510</v>
      </c>
      <c r="V1867">
        <v>2129</v>
      </c>
      <c r="W1867">
        <v>7</v>
      </c>
      <c r="X1867">
        <v>2017</v>
      </c>
      <c r="Y1867">
        <v>2018</v>
      </c>
      <c r="Z1867">
        <v>8821.94</v>
      </c>
      <c r="AB1867" t="s">
        <v>181</v>
      </c>
      <c r="AC1867" t="s">
        <v>182</v>
      </c>
      <c r="AD1867" t="s">
        <v>183</v>
      </c>
      <c r="AE1867">
        <v>1</v>
      </c>
      <c r="AF1867">
        <v>1</v>
      </c>
      <c r="AG1867" t="s">
        <v>2222</v>
      </c>
      <c r="AH1867">
        <v>50</v>
      </c>
      <c r="AI1867">
        <v>8189.09</v>
      </c>
      <c r="AJ1867">
        <v>409.45</v>
      </c>
      <c r="AK1867">
        <v>8598.5400000000009</v>
      </c>
      <c r="AL1867">
        <v>600000</v>
      </c>
      <c r="AM1867">
        <v>0</v>
      </c>
      <c r="AN1867">
        <v>600000</v>
      </c>
      <c r="AO1867">
        <v>7547</v>
      </c>
      <c r="AP1867">
        <v>2016</v>
      </c>
      <c r="AQ1867">
        <v>1.47</v>
      </c>
      <c r="AR1867">
        <v>1.43</v>
      </c>
      <c r="AS1867" t="s">
        <v>22512</v>
      </c>
      <c r="AT1867" t="s">
        <v>15040</v>
      </c>
      <c r="AU1867" t="s">
        <v>177</v>
      </c>
      <c r="AV1867" t="s">
        <v>371</v>
      </c>
      <c r="AW1867" t="s">
        <v>182</v>
      </c>
      <c r="AX1867">
        <v>4</v>
      </c>
      <c r="AY1867" t="s">
        <v>188</v>
      </c>
      <c r="AZ1867" t="s">
        <v>296</v>
      </c>
      <c r="BA1867" t="s">
        <v>19069</v>
      </c>
      <c r="BB1867" t="s">
        <v>191</v>
      </c>
      <c r="BC1867" t="s">
        <v>182</v>
      </c>
      <c r="BD1867" t="s">
        <v>182</v>
      </c>
      <c r="BE1867" t="s">
        <v>1722</v>
      </c>
      <c r="BF1867">
        <v>1</v>
      </c>
      <c r="BG1867">
        <v>1</v>
      </c>
      <c r="BH1867">
        <v>1974</v>
      </c>
      <c r="BI1867" t="s">
        <v>19650</v>
      </c>
      <c r="BJ1867" t="s">
        <v>194</v>
      </c>
      <c r="BL1867" t="s">
        <v>22513</v>
      </c>
      <c r="BM1867" t="s">
        <v>368</v>
      </c>
      <c r="BN1867" t="s">
        <v>182</v>
      </c>
      <c r="BO1867" t="s">
        <v>22514</v>
      </c>
      <c r="BP1867" t="s">
        <v>22515</v>
      </c>
      <c r="BS1867" t="s">
        <v>13681</v>
      </c>
      <c r="BT1867" t="s">
        <v>198</v>
      </c>
      <c r="BU1867" t="s">
        <v>182</v>
      </c>
      <c r="BV1867" t="s">
        <v>198</v>
      </c>
      <c r="BW1867" t="s">
        <v>198</v>
      </c>
      <c r="BX1867" t="s">
        <v>199</v>
      </c>
      <c r="BY1867" t="s">
        <v>198</v>
      </c>
      <c r="BZ1867" t="s">
        <v>199</v>
      </c>
      <c r="CA1867" t="s">
        <v>199</v>
      </c>
      <c r="CB1867" t="s">
        <v>22516</v>
      </c>
      <c r="CC1867" t="s">
        <v>201</v>
      </c>
      <c r="CD1867" t="s">
        <v>182</v>
      </c>
      <c r="CE1867" t="s">
        <v>22517</v>
      </c>
      <c r="CF1867" t="s">
        <v>22518</v>
      </c>
      <c r="CG1867" t="s">
        <v>1602</v>
      </c>
      <c r="CH1867" t="s">
        <v>22519</v>
      </c>
      <c r="CI1867" t="s">
        <v>22520</v>
      </c>
      <c r="CJ1867" t="s">
        <v>8255</v>
      </c>
      <c r="CK1867" t="s">
        <v>232</v>
      </c>
      <c r="CL1867" t="s">
        <v>233</v>
      </c>
      <c r="CM1867" t="s">
        <v>22521</v>
      </c>
      <c r="CN1867" t="s">
        <v>235</v>
      </c>
      <c r="CO1867" t="s">
        <v>183</v>
      </c>
      <c r="CP1867" t="s">
        <v>266</v>
      </c>
      <c r="CS1867" t="s">
        <v>198</v>
      </c>
      <c r="CT1867" t="s">
        <v>6574</v>
      </c>
      <c r="CU1867" t="s">
        <v>292</v>
      </c>
      <c r="CV1867" t="s">
        <v>293</v>
      </c>
      <c r="CW1867" t="s">
        <v>22522</v>
      </c>
      <c r="CX1867" t="s">
        <v>235</v>
      </c>
      <c r="CY1867" t="s">
        <v>183</v>
      </c>
      <c r="CZ1867" t="s">
        <v>211</v>
      </c>
      <c r="DA1867" t="s">
        <v>345</v>
      </c>
      <c r="DC1867" t="s">
        <v>11641</v>
      </c>
      <c r="DM1867" t="s">
        <v>198</v>
      </c>
      <c r="DW1867" t="s">
        <v>198</v>
      </c>
      <c r="EG1867" t="s">
        <v>198</v>
      </c>
      <c r="EQ1867" t="s">
        <v>198</v>
      </c>
      <c r="FA1867" t="s">
        <v>198</v>
      </c>
      <c r="FK1867" t="s">
        <v>198</v>
      </c>
      <c r="FU1867" t="s">
        <v>198</v>
      </c>
    </row>
    <row r="1868" spans="1:177">
      <c r="A1868" s="1" t="str">
        <f>HYPERLINK("http://digipan.lumentumllc.com/apps/getLink/index.php?t=PropLink&amp;p=15738408","PL")</f>
        <v>PL</v>
      </c>
      <c r="B1868" s="1" t="str">
        <f>HYPERLINK("http://digipan.lumentumllc.com/apps/getLink/index.php?t=TaxLink&amp;p=15738408","TL")</f>
        <v>TL</v>
      </c>
      <c r="C1868" s="1" t="str">
        <f>HYPERLINK("http://digipan.lumentumllc.com/apps/getMap/index.php?p=15738408","Map")</f>
        <v>Map</v>
      </c>
      <c r="E1868" t="s">
        <v>177</v>
      </c>
      <c r="F1868" t="s">
        <v>178</v>
      </c>
      <c r="L1868" t="s">
        <v>22523</v>
      </c>
      <c r="N1868" t="s">
        <v>22523</v>
      </c>
      <c r="O1868" t="s">
        <v>22523</v>
      </c>
      <c r="Q1868" t="s">
        <v>22523</v>
      </c>
      <c r="V1868">
        <v>2131</v>
      </c>
      <c r="W1868">
        <v>7</v>
      </c>
      <c r="X1868">
        <v>2017</v>
      </c>
      <c r="Y1868">
        <v>2018</v>
      </c>
      <c r="Z1868">
        <v>3078.07</v>
      </c>
      <c r="AG1868" t="s">
        <v>184</v>
      </c>
      <c r="AH1868">
        <v>0</v>
      </c>
      <c r="AK1868">
        <v>0</v>
      </c>
      <c r="AL1868">
        <v>170000</v>
      </c>
      <c r="AM1868">
        <v>0</v>
      </c>
      <c r="AN1868">
        <v>170000</v>
      </c>
      <c r="AO1868">
        <v>2723</v>
      </c>
      <c r="AP1868">
        <v>2016</v>
      </c>
      <c r="AQ1868">
        <v>1.81</v>
      </c>
      <c r="AS1868" t="s">
        <v>22524</v>
      </c>
      <c r="AT1868" t="s">
        <v>15040</v>
      </c>
      <c r="AU1868" t="s">
        <v>177</v>
      </c>
      <c r="AV1868" t="s">
        <v>371</v>
      </c>
      <c r="AW1868" t="s">
        <v>182</v>
      </c>
      <c r="AX1868">
        <v>4</v>
      </c>
      <c r="AY1868" t="s">
        <v>188</v>
      </c>
      <c r="AZ1868" t="s">
        <v>296</v>
      </c>
      <c r="BA1868" t="s">
        <v>19069</v>
      </c>
      <c r="BB1868" t="s">
        <v>191</v>
      </c>
      <c r="BC1868" t="s">
        <v>182</v>
      </c>
      <c r="BD1868" t="s">
        <v>182</v>
      </c>
      <c r="BE1868" t="s">
        <v>1722</v>
      </c>
      <c r="BF1868">
        <v>1</v>
      </c>
      <c r="BG1868">
        <v>1</v>
      </c>
      <c r="BH1868">
        <v>1975</v>
      </c>
      <c r="BI1868" t="s">
        <v>12342</v>
      </c>
      <c r="BJ1868" t="s">
        <v>194</v>
      </c>
      <c r="BL1868" t="s">
        <v>1109</v>
      </c>
      <c r="BM1868" t="s">
        <v>533</v>
      </c>
      <c r="BN1868" t="s">
        <v>182</v>
      </c>
      <c r="BO1868" t="s">
        <v>22525</v>
      </c>
      <c r="BP1868" t="s">
        <v>1574</v>
      </c>
      <c r="BQ1868" t="s">
        <v>581</v>
      </c>
      <c r="BR1868" t="s">
        <v>1897</v>
      </c>
      <c r="BS1868" t="s">
        <v>198</v>
      </c>
      <c r="BT1868" t="s">
        <v>22526</v>
      </c>
      <c r="BU1868" t="s">
        <v>182</v>
      </c>
      <c r="BV1868" t="s">
        <v>198</v>
      </c>
      <c r="BW1868" t="s">
        <v>198</v>
      </c>
      <c r="BX1868" t="s">
        <v>199</v>
      </c>
      <c r="BY1868" t="s">
        <v>198</v>
      </c>
      <c r="BZ1868" t="s">
        <v>199</v>
      </c>
      <c r="CA1868" t="s">
        <v>199</v>
      </c>
      <c r="CB1868" t="s">
        <v>22527</v>
      </c>
      <c r="CC1868" t="s">
        <v>201</v>
      </c>
      <c r="CD1868" t="s">
        <v>182</v>
      </c>
      <c r="CE1868" t="s">
        <v>20384</v>
      </c>
      <c r="CF1868" t="s">
        <v>22528</v>
      </c>
      <c r="CG1868" t="s">
        <v>1602</v>
      </c>
      <c r="CH1868" t="s">
        <v>22529</v>
      </c>
      <c r="CI1868" t="s">
        <v>22530</v>
      </c>
      <c r="CS1868" t="s">
        <v>198</v>
      </c>
      <c r="DC1868" t="s">
        <v>198</v>
      </c>
      <c r="DM1868" t="s">
        <v>198</v>
      </c>
      <c r="DW1868" t="s">
        <v>198</v>
      </c>
      <c r="EG1868" t="s">
        <v>198</v>
      </c>
      <c r="EQ1868" t="s">
        <v>198</v>
      </c>
      <c r="FA1868" t="s">
        <v>198</v>
      </c>
      <c r="FK1868" t="s">
        <v>198</v>
      </c>
      <c r="FU1868" t="s">
        <v>198</v>
      </c>
    </row>
    <row r="1869" spans="1:177">
      <c r="A1869" s="1" t="str">
        <f>HYPERLINK("http://digipan.lumentumllc.com/apps/getLink/index.php?t=PropLink&amp;p=7112354","PL")</f>
        <v>PL</v>
      </c>
      <c r="B1869" s="1" t="str">
        <f>HYPERLINK("http://digipan.lumentumllc.com/apps/getLink/index.php?t=TaxLink&amp;p=7112354","TL")</f>
        <v>TL</v>
      </c>
      <c r="C1869" s="1" t="str">
        <f>HYPERLINK("http://digipan.lumentumllc.com/apps/getMap/index.php?p=7112354","Map")</f>
        <v>Map</v>
      </c>
      <c r="E1869" t="s">
        <v>177</v>
      </c>
      <c r="F1869" t="s">
        <v>178</v>
      </c>
      <c r="L1869" t="s">
        <v>22531</v>
      </c>
      <c r="N1869" t="s">
        <v>22531</v>
      </c>
      <c r="O1869" t="s">
        <v>22531</v>
      </c>
      <c r="P1869" t="s">
        <v>22532</v>
      </c>
      <c r="Q1869" t="s">
        <v>22531</v>
      </c>
      <c r="V1869">
        <v>2132</v>
      </c>
      <c r="W1869">
        <v>7</v>
      </c>
      <c r="X1869">
        <v>2017</v>
      </c>
      <c r="Y1869">
        <v>2018</v>
      </c>
      <c r="Z1869">
        <v>2145.9899999999998</v>
      </c>
      <c r="AB1869" t="s">
        <v>181</v>
      </c>
      <c r="AC1869" t="s">
        <v>182</v>
      </c>
      <c r="AD1869" t="s">
        <v>183</v>
      </c>
      <c r="AE1869">
        <v>0</v>
      </c>
      <c r="AF1869">
        <v>1</v>
      </c>
      <c r="AG1869" t="s">
        <v>821</v>
      </c>
      <c r="AH1869">
        <v>100</v>
      </c>
      <c r="AK1869">
        <v>0</v>
      </c>
      <c r="AL1869">
        <v>238050</v>
      </c>
      <c r="AM1869">
        <v>0</v>
      </c>
      <c r="AN1869">
        <v>238050</v>
      </c>
      <c r="AO1869">
        <v>3885</v>
      </c>
      <c r="AP1869">
        <v>2016</v>
      </c>
      <c r="AQ1869">
        <v>0.9</v>
      </c>
      <c r="AS1869" t="s">
        <v>22533</v>
      </c>
      <c r="AT1869" t="s">
        <v>15040</v>
      </c>
      <c r="AU1869" t="s">
        <v>177</v>
      </c>
      <c r="AV1869" t="s">
        <v>371</v>
      </c>
      <c r="AW1869" t="s">
        <v>182</v>
      </c>
      <c r="AX1869">
        <v>4</v>
      </c>
      <c r="AY1869" t="s">
        <v>188</v>
      </c>
      <c r="AZ1869" t="s">
        <v>296</v>
      </c>
      <c r="BA1869" t="s">
        <v>19069</v>
      </c>
      <c r="BB1869" t="s">
        <v>191</v>
      </c>
      <c r="BC1869" t="s">
        <v>182</v>
      </c>
      <c r="BD1869" t="s">
        <v>182</v>
      </c>
      <c r="BE1869" t="s">
        <v>1722</v>
      </c>
      <c r="BF1869">
        <v>1</v>
      </c>
      <c r="BG1869">
        <v>1</v>
      </c>
      <c r="BH1869">
        <v>1982</v>
      </c>
      <c r="BI1869" t="s">
        <v>12699</v>
      </c>
      <c r="BJ1869" t="s">
        <v>194</v>
      </c>
      <c r="BL1869" t="s">
        <v>10419</v>
      </c>
      <c r="BM1869" t="s">
        <v>207</v>
      </c>
      <c r="BN1869" t="s">
        <v>182</v>
      </c>
      <c r="BO1869" t="s">
        <v>2328</v>
      </c>
      <c r="BP1869" t="s">
        <v>7304</v>
      </c>
      <c r="BS1869" t="s">
        <v>22534</v>
      </c>
      <c r="BT1869" t="s">
        <v>198</v>
      </c>
      <c r="BU1869" t="s">
        <v>182</v>
      </c>
      <c r="BV1869" t="s">
        <v>198</v>
      </c>
      <c r="BW1869" t="s">
        <v>198</v>
      </c>
      <c r="BX1869" t="s">
        <v>199</v>
      </c>
      <c r="BY1869" t="s">
        <v>198</v>
      </c>
      <c r="BZ1869" t="s">
        <v>199</v>
      </c>
      <c r="CA1869" t="s">
        <v>199</v>
      </c>
      <c r="CB1869" t="s">
        <v>22535</v>
      </c>
      <c r="CC1869" t="s">
        <v>201</v>
      </c>
      <c r="CD1869" t="s">
        <v>202</v>
      </c>
      <c r="CE1869" t="s">
        <v>22536</v>
      </c>
      <c r="CF1869" t="s">
        <v>22537</v>
      </c>
      <c r="CG1869" t="s">
        <v>6826</v>
      </c>
      <c r="CH1869" t="s">
        <v>22538</v>
      </c>
      <c r="CI1869" t="s">
        <v>22539</v>
      </c>
      <c r="CJ1869" t="s">
        <v>19393</v>
      </c>
      <c r="CK1869" t="s">
        <v>292</v>
      </c>
      <c r="CL1869" t="s">
        <v>293</v>
      </c>
      <c r="CM1869" t="s">
        <v>22540</v>
      </c>
      <c r="CN1869" t="s">
        <v>235</v>
      </c>
      <c r="CO1869" t="s">
        <v>183</v>
      </c>
      <c r="CP1869" t="s">
        <v>211</v>
      </c>
      <c r="CQ1869" t="s">
        <v>250</v>
      </c>
      <c r="CS1869" t="s">
        <v>22541</v>
      </c>
      <c r="DC1869" t="s">
        <v>198</v>
      </c>
      <c r="DM1869" t="s">
        <v>198</v>
      </c>
      <c r="DW1869" t="s">
        <v>198</v>
      </c>
      <c r="EG1869" t="s">
        <v>198</v>
      </c>
      <c r="EQ1869" t="s">
        <v>198</v>
      </c>
      <c r="FA1869" t="s">
        <v>198</v>
      </c>
      <c r="FK1869" t="s">
        <v>198</v>
      </c>
      <c r="FU1869" t="s">
        <v>198</v>
      </c>
    </row>
    <row r="1870" spans="1:177">
      <c r="A1870" s="1" t="str">
        <f>HYPERLINK("http://digipan.lumentumllc.com/apps/getLink/index.php?t=PropLink&amp;p=6886650","PL")</f>
        <v>PL</v>
      </c>
      <c r="B1870" s="1" t="str">
        <f>HYPERLINK("http://digipan.lumentumllc.com/apps/getLink/index.php?t=TaxLink&amp;p=6886650","TL")</f>
        <v>TL</v>
      </c>
      <c r="C1870" s="1" t="str">
        <f>HYPERLINK("http://digipan.lumentumllc.com/apps/getMap/index.php?p=6886650","Map")</f>
        <v>Map</v>
      </c>
      <c r="E1870" t="s">
        <v>177</v>
      </c>
      <c r="F1870" t="s">
        <v>178</v>
      </c>
      <c r="L1870" t="s">
        <v>22542</v>
      </c>
      <c r="N1870" t="s">
        <v>22542</v>
      </c>
      <c r="O1870" t="s">
        <v>22542</v>
      </c>
      <c r="P1870" t="s">
        <v>22543</v>
      </c>
      <c r="Q1870" t="s">
        <v>22542</v>
      </c>
      <c r="V1870">
        <v>2133</v>
      </c>
      <c r="W1870">
        <v>7</v>
      </c>
      <c r="X1870">
        <v>2017</v>
      </c>
      <c r="Y1870">
        <v>2018</v>
      </c>
      <c r="Z1870">
        <v>88.66</v>
      </c>
      <c r="AB1870" t="s">
        <v>181</v>
      </c>
      <c r="AC1870" t="s">
        <v>182</v>
      </c>
      <c r="AD1870" t="s">
        <v>183</v>
      </c>
      <c r="AE1870">
        <v>3</v>
      </c>
      <c r="AF1870">
        <v>0</v>
      </c>
      <c r="AG1870" t="s">
        <v>6413</v>
      </c>
      <c r="AH1870">
        <v>0</v>
      </c>
      <c r="AI1870">
        <v>255.9</v>
      </c>
      <c r="AJ1870">
        <v>92.43</v>
      </c>
      <c r="AK1870">
        <v>348.33</v>
      </c>
      <c r="AL1870">
        <v>3200</v>
      </c>
      <c r="AM1870">
        <v>3200</v>
      </c>
      <c r="AN1870">
        <v>0</v>
      </c>
      <c r="AO1870">
        <v>52</v>
      </c>
      <c r="AP1870">
        <v>2016</v>
      </c>
      <c r="AQ1870">
        <v>2.77</v>
      </c>
      <c r="AR1870">
        <v>10.89</v>
      </c>
      <c r="AS1870" t="s">
        <v>22544</v>
      </c>
      <c r="AT1870" t="s">
        <v>15040</v>
      </c>
      <c r="AU1870" t="s">
        <v>177</v>
      </c>
      <c r="AV1870" t="s">
        <v>371</v>
      </c>
      <c r="AW1870" t="s">
        <v>182</v>
      </c>
      <c r="AX1870">
        <v>0</v>
      </c>
      <c r="AY1870" t="s">
        <v>312</v>
      </c>
      <c r="AZ1870" t="s">
        <v>199</v>
      </c>
      <c r="BA1870" t="s">
        <v>313</v>
      </c>
      <c r="BB1870" t="s">
        <v>191</v>
      </c>
      <c r="BC1870" t="s">
        <v>182</v>
      </c>
      <c r="BD1870" t="s">
        <v>182</v>
      </c>
      <c r="BE1870" t="s">
        <v>13126</v>
      </c>
      <c r="BF1870">
        <v>0</v>
      </c>
      <c r="BG1870">
        <v>0</v>
      </c>
      <c r="BH1870">
        <v>0</v>
      </c>
      <c r="BI1870" t="s">
        <v>199</v>
      </c>
      <c r="BJ1870" t="s">
        <v>315</v>
      </c>
      <c r="BL1870" t="s">
        <v>22545</v>
      </c>
      <c r="BM1870" t="s">
        <v>4724</v>
      </c>
      <c r="BN1870" t="s">
        <v>182</v>
      </c>
      <c r="BO1870" t="s">
        <v>198</v>
      </c>
      <c r="BP1870" t="s">
        <v>198</v>
      </c>
      <c r="BQ1870" t="s">
        <v>198</v>
      </c>
      <c r="BR1870" t="s">
        <v>198</v>
      </c>
      <c r="BS1870" t="s">
        <v>198</v>
      </c>
      <c r="BT1870" t="s">
        <v>198</v>
      </c>
      <c r="BU1870" t="s">
        <v>182</v>
      </c>
      <c r="BV1870" t="s">
        <v>198</v>
      </c>
      <c r="BW1870" t="s">
        <v>198</v>
      </c>
      <c r="BX1870" t="s">
        <v>199</v>
      </c>
      <c r="BY1870" t="s">
        <v>198</v>
      </c>
      <c r="BZ1870" t="s">
        <v>199</v>
      </c>
      <c r="CA1870" t="s">
        <v>199</v>
      </c>
      <c r="CB1870" t="s">
        <v>22546</v>
      </c>
      <c r="CC1870" t="s">
        <v>201</v>
      </c>
      <c r="CD1870" t="s">
        <v>182</v>
      </c>
      <c r="CE1870" t="s">
        <v>22547</v>
      </c>
      <c r="CF1870" t="s">
        <v>413</v>
      </c>
      <c r="CG1870" t="s">
        <v>177</v>
      </c>
      <c r="CH1870" t="s">
        <v>1044</v>
      </c>
      <c r="CI1870" t="s">
        <v>22548</v>
      </c>
      <c r="CJ1870" t="s">
        <v>15593</v>
      </c>
      <c r="CK1870" t="s">
        <v>232</v>
      </c>
      <c r="CL1870" t="s">
        <v>233</v>
      </c>
      <c r="CM1870" t="s">
        <v>22549</v>
      </c>
      <c r="CN1870" t="s">
        <v>486</v>
      </c>
      <c r="CO1870" t="s">
        <v>183</v>
      </c>
      <c r="CP1870" t="s">
        <v>266</v>
      </c>
      <c r="CS1870" t="s">
        <v>198</v>
      </c>
      <c r="CT1870" t="s">
        <v>15720</v>
      </c>
      <c r="CU1870" t="s">
        <v>292</v>
      </c>
      <c r="CV1870" t="s">
        <v>293</v>
      </c>
      <c r="CW1870" t="s">
        <v>22550</v>
      </c>
      <c r="CX1870" t="s">
        <v>482</v>
      </c>
      <c r="CY1870" t="s">
        <v>183</v>
      </c>
      <c r="CZ1870" t="s">
        <v>266</v>
      </c>
      <c r="DC1870" t="s">
        <v>198</v>
      </c>
      <c r="DD1870" t="s">
        <v>358</v>
      </c>
      <c r="DE1870" t="s">
        <v>267</v>
      </c>
      <c r="DF1870" t="s">
        <v>268</v>
      </c>
      <c r="DG1870" t="s">
        <v>22551</v>
      </c>
      <c r="DH1870" t="s">
        <v>482</v>
      </c>
      <c r="DI1870" t="s">
        <v>183</v>
      </c>
      <c r="DJ1870" t="s">
        <v>266</v>
      </c>
      <c r="DM1870" t="s">
        <v>198</v>
      </c>
      <c r="DW1870" t="s">
        <v>198</v>
      </c>
      <c r="EG1870" t="s">
        <v>198</v>
      </c>
      <c r="EQ1870" t="s">
        <v>198</v>
      </c>
      <c r="FA1870" t="s">
        <v>198</v>
      </c>
      <c r="FK1870" t="s">
        <v>198</v>
      </c>
      <c r="FU1870" t="s">
        <v>198</v>
      </c>
    </row>
    <row r="1871" spans="1:177">
      <c r="A1871" s="1" t="str">
        <f>HYPERLINK("http://digipan.lumentumllc.com/apps/getLink/index.php?t=PropLink&amp;p=15739135","PL")</f>
        <v>PL</v>
      </c>
      <c r="B1871" s="1" t="str">
        <f>HYPERLINK("http://digipan.lumentumllc.com/apps/getLink/index.php?t=TaxLink&amp;p=15739135","TL")</f>
        <v>TL</v>
      </c>
      <c r="C1871" s="1" t="str">
        <f>HYPERLINK("http://digipan.lumentumllc.com/apps/getMap/index.php?p=15739135","Map")</f>
        <v>Map</v>
      </c>
      <c r="E1871" t="s">
        <v>177</v>
      </c>
      <c r="F1871" t="s">
        <v>178</v>
      </c>
      <c r="L1871" t="s">
        <v>22552</v>
      </c>
      <c r="N1871" t="s">
        <v>22552</v>
      </c>
      <c r="O1871" t="s">
        <v>22552</v>
      </c>
      <c r="Q1871" t="s">
        <v>22552</v>
      </c>
      <c r="V1871">
        <v>2134</v>
      </c>
      <c r="W1871">
        <v>7</v>
      </c>
      <c r="X1871">
        <v>2017</v>
      </c>
      <c r="Y1871">
        <v>2018</v>
      </c>
      <c r="Z1871">
        <v>6725.11</v>
      </c>
      <c r="AG1871" t="s">
        <v>184</v>
      </c>
      <c r="AH1871">
        <v>0</v>
      </c>
      <c r="AK1871">
        <v>0</v>
      </c>
      <c r="AL1871">
        <v>386000</v>
      </c>
      <c r="AM1871">
        <v>0</v>
      </c>
      <c r="AN1871">
        <v>386000</v>
      </c>
      <c r="AO1871">
        <v>5897</v>
      </c>
      <c r="AP1871">
        <v>2016</v>
      </c>
      <c r="AQ1871">
        <v>1.74</v>
      </c>
      <c r="AS1871" t="s">
        <v>22553</v>
      </c>
      <c r="AT1871" t="s">
        <v>15040</v>
      </c>
      <c r="AU1871" t="s">
        <v>177</v>
      </c>
      <c r="AV1871" t="s">
        <v>371</v>
      </c>
      <c r="AW1871" t="s">
        <v>182</v>
      </c>
      <c r="AX1871">
        <v>4</v>
      </c>
      <c r="AY1871" t="s">
        <v>188</v>
      </c>
      <c r="AZ1871" t="s">
        <v>296</v>
      </c>
      <c r="BA1871" t="s">
        <v>19069</v>
      </c>
      <c r="BB1871" t="s">
        <v>191</v>
      </c>
      <c r="BC1871" t="s">
        <v>182</v>
      </c>
      <c r="BD1871" t="s">
        <v>182</v>
      </c>
      <c r="BE1871" t="s">
        <v>1722</v>
      </c>
      <c r="BF1871">
        <v>1</v>
      </c>
      <c r="BG1871">
        <v>1</v>
      </c>
      <c r="BH1871">
        <v>1984</v>
      </c>
      <c r="BI1871" t="s">
        <v>13840</v>
      </c>
      <c r="BJ1871" t="s">
        <v>396</v>
      </c>
      <c r="BL1871" t="s">
        <v>199</v>
      </c>
      <c r="BM1871" t="s">
        <v>292</v>
      </c>
      <c r="BN1871" t="s">
        <v>182</v>
      </c>
      <c r="BO1871" t="s">
        <v>198</v>
      </c>
      <c r="BP1871" t="s">
        <v>198</v>
      </c>
      <c r="BQ1871" t="s">
        <v>198</v>
      </c>
      <c r="BR1871" t="s">
        <v>198</v>
      </c>
      <c r="BS1871" t="s">
        <v>198</v>
      </c>
      <c r="BT1871" t="s">
        <v>198</v>
      </c>
      <c r="BU1871" t="s">
        <v>182</v>
      </c>
      <c r="BV1871" t="s">
        <v>198</v>
      </c>
      <c r="BW1871" t="s">
        <v>198</v>
      </c>
      <c r="BX1871" t="s">
        <v>199</v>
      </c>
      <c r="BY1871" t="s">
        <v>198</v>
      </c>
      <c r="BZ1871" t="s">
        <v>199</v>
      </c>
      <c r="CA1871" t="s">
        <v>199</v>
      </c>
      <c r="CB1871" t="s">
        <v>22554</v>
      </c>
      <c r="CC1871" t="s">
        <v>1407</v>
      </c>
      <c r="CD1871" t="s">
        <v>182</v>
      </c>
      <c r="CE1871" t="s">
        <v>22555</v>
      </c>
      <c r="CF1871" t="s">
        <v>22556</v>
      </c>
      <c r="CG1871" t="s">
        <v>18872</v>
      </c>
      <c r="CH1871" t="s">
        <v>22557</v>
      </c>
      <c r="CI1871" t="s">
        <v>22558</v>
      </c>
      <c r="CS1871" t="s">
        <v>198</v>
      </c>
      <c r="DC1871" t="s">
        <v>198</v>
      </c>
      <c r="DM1871" t="s">
        <v>198</v>
      </c>
      <c r="DW1871" t="s">
        <v>198</v>
      </c>
      <c r="EG1871" t="s">
        <v>198</v>
      </c>
      <c r="EQ1871" t="s">
        <v>198</v>
      </c>
      <c r="FA1871" t="s">
        <v>198</v>
      </c>
      <c r="FK1871" t="s">
        <v>198</v>
      </c>
      <c r="FU1871" t="s">
        <v>198</v>
      </c>
    </row>
    <row r="1872" spans="1:177">
      <c r="A1872" s="1" t="str">
        <f>HYPERLINK("http://digipan.lumentumllc.com/apps/getLink/index.php?t=PropLink&amp;p=5243882","PL")</f>
        <v>PL</v>
      </c>
      <c r="B1872" s="1" t="str">
        <f>HYPERLINK("http://digipan.lumentumllc.com/apps/getLink/index.php?t=TaxLink&amp;p=5243882","TL")</f>
        <v>TL</v>
      </c>
      <c r="C1872" s="1" t="str">
        <f>HYPERLINK("http://digipan.lumentumllc.com/apps/getMap/index.php?p=5243882","Map")</f>
        <v>Map</v>
      </c>
      <c r="E1872" t="s">
        <v>177</v>
      </c>
      <c r="F1872" t="s">
        <v>178</v>
      </c>
      <c r="L1872" t="s">
        <v>22559</v>
      </c>
      <c r="N1872" t="s">
        <v>22559</v>
      </c>
      <c r="O1872" t="s">
        <v>22559</v>
      </c>
      <c r="P1872" t="s">
        <v>22560</v>
      </c>
      <c r="Q1872" t="s">
        <v>22559</v>
      </c>
      <c r="V1872">
        <v>2135</v>
      </c>
      <c r="W1872">
        <v>7</v>
      </c>
      <c r="X1872">
        <v>2017</v>
      </c>
      <c r="Y1872">
        <v>2018</v>
      </c>
      <c r="Z1872">
        <v>618.5</v>
      </c>
      <c r="AB1872" t="s">
        <v>181</v>
      </c>
      <c r="AC1872" t="s">
        <v>182</v>
      </c>
      <c r="AD1872" t="s">
        <v>183</v>
      </c>
      <c r="AE1872">
        <v>0</v>
      </c>
      <c r="AF1872">
        <v>7</v>
      </c>
      <c r="AG1872" t="s">
        <v>528</v>
      </c>
      <c r="AH1872">
        <v>100</v>
      </c>
      <c r="AK1872">
        <v>0</v>
      </c>
      <c r="AL1872">
        <v>91585</v>
      </c>
      <c r="AM1872">
        <v>54450</v>
      </c>
      <c r="AN1872">
        <v>37135</v>
      </c>
      <c r="AO1872">
        <v>542</v>
      </c>
      <c r="AP1872">
        <v>2016</v>
      </c>
      <c r="AQ1872">
        <v>0.68</v>
      </c>
      <c r="AS1872" t="s">
        <v>22561</v>
      </c>
      <c r="AT1872" t="s">
        <v>15040</v>
      </c>
      <c r="AU1872" t="s">
        <v>177</v>
      </c>
      <c r="AV1872" t="s">
        <v>371</v>
      </c>
      <c r="AW1872" t="s">
        <v>202</v>
      </c>
      <c r="AX1872">
        <v>2</v>
      </c>
      <c r="AY1872" t="s">
        <v>188</v>
      </c>
      <c r="AZ1872" t="s">
        <v>189</v>
      </c>
      <c r="BA1872" t="s">
        <v>190</v>
      </c>
      <c r="BB1872" t="s">
        <v>191</v>
      </c>
      <c r="BC1872" t="s">
        <v>182</v>
      </c>
      <c r="BD1872" t="s">
        <v>182</v>
      </c>
      <c r="BE1872" t="s">
        <v>6618</v>
      </c>
      <c r="BF1872">
        <v>1</v>
      </c>
      <c r="BG1872">
        <v>1</v>
      </c>
      <c r="BH1872">
        <v>1998</v>
      </c>
      <c r="BI1872" t="s">
        <v>1291</v>
      </c>
      <c r="BJ1872" t="s">
        <v>194</v>
      </c>
      <c r="BK1872" t="s">
        <v>195</v>
      </c>
      <c r="BL1872" t="s">
        <v>2960</v>
      </c>
      <c r="BM1872" t="s">
        <v>1474</v>
      </c>
      <c r="BN1872" t="s">
        <v>182</v>
      </c>
      <c r="BO1872" t="s">
        <v>198</v>
      </c>
      <c r="BP1872" t="s">
        <v>198</v>
      </c>
      <c r="BQ1872" t="s">
        <v>198</v>
      </c>
      <c r="BR1872" t="s">
        <v>198</v>
      </c>
      <c r="BS1872" t="s">
        <v>198</v>
      </c>
      <c r="BT1872" t="s">
        <v>198</v>
      </c>
      <c r="BU1872" t="s">
        <v>182</v>
      </c>
      <c r="BV1872" t="s">
        <v>198</v>
      </c>
      <c r="BW1872" t="s">
        <v>198</v>
      </c>
      <c r="BX1872" t="s">
        <v>199</v>
      </c>
      <c r="BY1872" t="s">
        <v>198</v>
      </c>
      <c r="BZ1872" t="s">
        <v>199</v>
      </c>
      <c r="CA1872" t="s">
        <v>199</v>
      </c>
      <c r="CB1872" t="s">
        <v>22562</v>
      </c>
      <c r="CC1872" t="s">
        <v>201</v>
      </c>
      <c r="CD1872" t="s">
        <v>182</v>
      </c>
      <c r="CE1872" t="s">
        <v>22563</v>
      </c>
      <c r="CF1872" t="s">
        <v>5331</v>
      </c>
      <c r="CG1872" t="s">
        <v>177</v>
      </c>
      <c r="CH1872" t="s">
        <v>371</v>
      </c>
      <c r="CI1872" t="s">
        <v>22564</v>
      </c>
      <c r="CJ1872" t="s">
        <v>6574</v>
      </c>
      <c r="CK1872" t="s">
        <v>232</v>
      </c>
      <c r="CL1872" t="s">
        <v>233</v>
      </c>
      <c r="CM1872" t="s">
        <v>22565</v>
      </c>
      <c r="CN1872" t="s">
        <v>235</v>
      </c>
      <c r="CO1872" t="s">
        <v>183</v>
      </c>
      <c r="CP1872" t="s">
        <v>211</v>
      </c>
      <c r="CQ1872" t="s">
        <v>199</v>
      </c>
      <c r="CS1872" t="s">
        <v>2219</v>
      </c>
      <c r="CT1872" t="s">
        <v>15008</v>
      </c>
      <c r="CU1872" t="s">
        <v>292</v>
      </c>
      <c r="CV1872" t="s">
        <v>293</v>
      </c>
      <c r="CW1872" t="s">
        <v>22566</v>
      </c>
      <c r="CX1872" t="s">
        <v>235</v>
      </c>
      <c r="CY1872" t="s">
        <v>183</v>
      </c>
      <c r="CZ1872" t="s">
        <v>211</v>
      </c>
      <c r="DA1872" t="s">
        <v>427</v>
      </c>
      <c r="DC1872" t="s">
        <v>2219</v>
      </c>
      <c r="DD1872" t="s">
        <v>22567</v>
      </c>
      <c r="DE1872" t="s">
        <v>267</v>
      </c>
      <c r="DF1872" t="s">
        <v>268</v>
      </c>
      <c r="DG1872" t="s">
        <v>22568</v>
      </c>
      <c r="DH1872" t="s">
        <v>235</v>
      </c>
      <c r="DI1872" t="s">
        <v>183</v>
      </c>
      <c r="DJ1872" t="s">
        <v>211</v>
      </c>
      <c r="DK1872" t="s">
        <v>189</v>
      </c>
      <c r="DM1872" t="s">
        <v>22569</v>
      </c>
      <c r="DN1872" t="s">
        <v>1742</v>
      </c>
      <c r="DO1872" t="s">
        <v>273</v>
      </c>
      <c r="DP1872" t="s">
        <v>274</v>
      </c>
      <c r="DQ1872" t="s">
        <v>22570</v>
      </c>
      <c r="DR1872" t="s">
        <v>235</v>
      </c>
      <c r="DS1872" t="s">
        <v>183</v>
      </c>
      <c r="DT1872" t="s">
        <v>211</v>
      </c>
      <c r="DU1872" t="s">
        <v>460</v>
      </c>
      <c r="DW1872" t="s">
        <v>22569</v>
      </c>
      <c r="DX1872" t="s">
        <v>189</v>
      </c>
      <c r="DY1872" t="s">
        <v>238</v>
      </c>
      <c r="DZ1872" t="s">
        <v>239</v>
      </c>
      <c r="EA1872" t="s">
        <v>22571</v>
      </c>
      <c r="EB1872" t="s">
        <v>331</v>
      </c>
      <c r="EC1872" t="s">
        <v>183</v>
      </c>
      <c r="ED1872" t="s">
        <v>211</v>
      </c>
      <c r="EE1872" t="s">
        <v>444</v>
      </c>
      <c r="EG1872" t="s">
        <v>7737</v>
      </c>
      <c r="EH1872" t="s">
        <v>13054</v>
      </c>
      <c r="EI1872" t="s">
        <v>346</v>
      </c>
      <c r="EJ1872" t="s">
        <v>347</v>
      </c>
      <c r="EK1872" t="s">
        <v>22572</v>
      </c>
      <c r="EL1872" t="s">
        <v>278</v>
      </c>
      <c r="EM1872" t="s">
        <v>183</v>
      </c>
      <c r="EN1872" t="s">
        <v>211</v>
      </c>
      <c r="EO1872" t="s">
        <v>339</v>
      </c>
      <c r="EQ1872" t="s">
        <v>3692</v>
      </c>
      <c r="ER1872" t="s">
        <v>22573</v>
      </c>
      <c r="ES1872" t="s">
        <v>207</v>
      </c>
      <c r="ET1872" t="s">
        <v>208</v>
      </c>
      <c r="EU1872" t="s">
        <v>22574</v>
      </c>
      <c r="EV1872" t="s">
        <v>1676</v>
      </c>
      <c r="EW1872" t="s">
        <v>183</v>
      </c>
      <c r="EX1872" t="s">
        <v>211</v>
      </c>
      <c r="EY1872" t="s">
        <v>339</v>
      </c>
      <c r="FA1872" t="s">
        <v>22575</v>
      </c>
      <c r="FK1872" t="s">
        <v>198</v>
      </c>
      <c r="FU1872" t="s">
        <v>198</v>
      </c>
    </row>
    <row r="1873" spans="1:177">
      <c r="A1873" s="1" t="str">
        <f>HYPERLINK("http://digipan.lumentumllc.com/apps/getLink/index.php?t=PropLink&amp;p=15725123","PL")</f>
        <v>PL</v>
      </c>
      <c r="B1873" s="1" t="str">
        <f>HYPERLINK("http://digipan.lumentumllc.com/apps/getLink/index.php?t=TaxLink&amp;p=15725123","TL")</f>
        <v>TL</v>
      </c>
      <c r="C1873" s="1" t="str">
        <f>HYPERLINK("http://digipan.lumentumllc.com/apps/getMap/index.php?p=15725123","Map")</f>
        <v>Map</v>
      </c>
      <c r="E1873" t="s">
        <v>177</v>
      </c>
      <c r="F1873" t="s">
        <v>178</v>
      </c>
      <c r="L1873" t="s">
        <v>22576</v>
      </c>
      <c r="N1873" t="s">
        <v>22576</v>
      </c>
      <c r="O1873" t="s">
        <v>22576</v>
      </c>
      <c r="Q1873" t="s">
        <v>22576</v>
      </c>
      <c r="V1873">
        <v>2136</v>
      </c>
      <c r="W1873">
        <v>7</v>
      </c>
      <c r="X1873">
        <v>2017</v>
      </c>
      <c r="Y1873">
        <v>2018</v>
      </c>
      <c r="Z1873">
        <v>4449.28</v>
      </c>
      <c r="AG1873" t="s">
        <v>184</v>
      </c>
      <c r="AH1873">
        <v>0</v>
      </c>
      <c r="AK1873">
        <v>0</v>
      </c>
      <c r="AL1873">
        <v>630000</v>
      </c>
      <c r="AM1873">
        <v>0</v>
      </c>
      <c r="AN1873">
        <v>630000</v>
      </c>
      <c r="AO1873">
        <v>3973</v>
      </c>
      <c r="AP1873">
        <v>2016</v>
      </c>
      <c r="AQ1873">
        <v>0.71</v>
      </c>
      <c r="AS1873" t="s">
        <v>22577</v>
      </c>
      <c r="AT1873" t="s">
        <v>15040</v>
      </c>
      <c r="AU1873" t="s">
        <v>177</v>
      </c>
      <c r="AV1873" t="s">
        <v>371</v>
      </c>
      <c r="AW1873" t="s">
        <v>202</v>
      </c>
      <c r="AX1873">
        <v>4</v>
      </c>
      <c r="AY1873" t="s">
        <v>188</v>
      </c>
      <c r="AZ1873" t="s">
        <v>296</v>
      </c>
      <c r="BA1873" t="s">
        <v>19069</v>
      </c>
      <c r="BB1873" t="s">
        <v>191</v>
      </c>
      <c r="BC1873" t="s">
        <v>182</v>
      </c>
      <c r="BD1873" t="s">
        <v>182</v>
      </c>
      <c r="BE1873" t="s">
        <v>1722</v>
      </c>
      <c r="BF1873">
        <v>1</v>
      </c>
      <c r="BG1873">
        <v>1</v>
      </c>
      <c r="BH1873">
        <v>1984</v>
      </c>
      <c r="BI1873" t="s">
        <v>16952</v>
      </c>
      <c r="BJ1873" t="s">
        <v>396</v>
      </c>
      <c r="BL1873" t="s">
        <v>22578</v>
      </c>
      <c r="BM1873" t="s">
        <v>981</v>
      </c>
      <c r="BN1873" t="s">
        <v>182</v>
      </c>
      <c r="BO1873" t="s">
        <v>9979</v>
      </c>
      <c r="BP1873" t="s">
        <v>5899</v>
      </c>
      <c r="BQ1873" t="s">
        <v>800</v>
      </c>
      <c r="BS1873" t="s">
        <v>198</v>
      </c>
      <c r="BT1873" t="s">
        <v>22579</v>
      </c>
      <c r="BU1873" t="s">
        <v>182</v>
      </c>
      <c r="BV1873" t="s">
        <v>198</v>
      </c>
      <c r="BW1873" t="s">
        <v>198</v>
      </c>
      <c r="BX1873" t="s">
        <v>199</v>
      </c>
      <c r="BY1873" t="s">
        <v>198</v>
      </c>
      <c r="BZ1873" t="s">
        <v>199</v>
      </c>
      <c r="CA1873" t="s">
        <v>199</v>
      </c>
      <c r="CB1873" t="s">
        <v>22580</v>
      </c>
      <c r="CC1873" t="s">
        <v>201</v>
      </c>
      <c r="CD1873" t="s">
        <v>182</v>
      </c>
      <c r="CE1873" t="s">
        <v>22581</v>
      </c>
      <c r="CF1873" t="s">
        <v>5331</v>
      </c>
      <c r="CG1873" t="s">
        <v>177</v>
      </c>
      <c r="CH1873" t="s">
        <v>371</v>
      </c>
      <c r="CI1873" t="s">
        <v>22582</v>
      </c>
      <c r="CS1873" t="s">
        <v>198</v>
      </c>
      <c r="DC1873" t="s">
        <v>198</v>
      </c>
      <c r="DM1873" t="s">
        <v>198</v>
      </c>
      <c r="DW1873" t="s">
        <v>198</v>
      </c>
      <c r="EG1873" t="s">
        <v>198</v>
      </c>
      <c r="EQ1873" t="s">
        <v>198</v>
      </c>
      <c r="FA1873" t="s">
        <v>198</v>
      </c>
      <c r="FK1873" t="s">
        <v>198</v>
      </c>
      <c r="FU1873" t="s">
        <v>198</v>
      </c>
    </row>
    <row r="1874" spans="1:177">
      <c r="A1874" s="1" t="str">
        <f>HYPERLINK("http://digipan.lumentumllc.com/apps/getLink/index.php?t=PropLink&amp;p=6594002","PL")</f>
        <v>PL</v>
      </c>
      <c r="B1874" s="1" t="str">
        <f>HYPERLINK("http://digipan.lumentumllc.com/apps/getLink/index.php?t=TaxLink&amp;p=6594002","TL")</f>
        <v>TL</v>
      </c>
      <c r="C1874" s="1" t="str">
        <f>HYPERLINK("http://digipan.lumentumllc.com/apps/getMap/index.php?p=6594002","Map")</f>
        <v>Map</v>
      </c>
      <c r="E1874" t="s">
        <v>177</v>
      </c>
      <c r="F1874" t="s">
        <v>178</v>
      </c>
      <c r="L1874" t="s">
        <v>22583</v>
      </c>
      <c r="N1874" t="s">
        <v>22583</v>
      </c>
      <c r="O1874" t="s">
        <v>22583</v>
      </c>
      <c r="P1874" t="s">
        <v>22584</v>
      </c>
      <c r="Q1874" t="s">
        <v>22583</v>
      </c>
      <c r="V1874">
        <v>2137</v>
      </c>
      <c r="W1874">
        <v>7</v>
      </c>
      <c r="X1874">
        <v>2017</v>
      </c>
      <c r="Y1874">
        <v>2018</v>
      </c>
      <c r="Z1874">
        <v>4659.2299999999996</v>
      </c>
      <c r="AB1874" t="s">
        <v>181</v>
      </c>
      <c r="AC1874" t="s">
        <v>182</v>
      </c>
      <c r="AD1874" t="s">
        <v>183</v>
      </c>
      <c r="AE1874">
        <v>0</v>
      </c>
      <c r="AF1874">
        <v>1</v>
      </c>
      <c r="AG1874" t="s">
        <v>821</v>
      </c>
      <c r="AH1874">
        <v>100</v>
      </c>
      <c r="AK1874">
        <v>0</v>
      </c>
      <c r="AL1874">
        <v>278000</v>
      </c>
      <c r="AM1874">
        <v>0</v>
      </c>
      <c r="AN1874">
        <v>278000</v>
      </c>
      <c r="AO1874">
        <v>4293</v>
      </c>
      <c r="AP1874">
        <v>2016</v>
      </c>
      <c r="AQ1874">
        <v>1.68</v>
      </c>
      <c r="AS1874" t="s">
        <v>22585</v>
      </c>
      <c r="AT1874" t="s">
        <v>15040</v>
      </c>
      <c r="AU1874" t="s">
        <v>177</v>
      </c>
      <c r="AV1874" t="s">
        <v>371</v>
      </c>
      <c r="AW1874" t="s">
        <v>182</v>
      </c>
      <c r="AX1874">
        <v>4</v>
      </c>
      <c r="AY1874" t="s">
        <v>188</v>
      </c>
      <c r="AZ1874" t="s">
        <v>296</v>
      </c>
      <c r="BA1874" t="s">
        <v>19069</v>
      </c>
      <c r="BB1874" t="s">
        <v>191</v>
      </c>
      <c r="BC1874" t="s">
        <v>182</v>
      </c>
      <c r="BD1874" t="s">
        <v>182</v>
      </c>
      <c r="BE1874" t="s">
        <v>1722</v>
      </c>
      <c r="BF1874">
        <v>1</v>
      </c>
      <c r="BG1874">
        <v>1</v>
      </c>
      <c r="BH1874">
        <v>1982</v>
      </c>
      <c r="BI1874" t="s">
        <v>4941</v>
      </c>
      <c r="BJ1874" t="s">
        <v>194</v>
      </c>
      <c r="BL1874" t="s">
        <v>199</v>
      </c>
      <c r="BM1874" t="s">
        <v>238</v>
      </c>
      <c r="BN1874" t="s">
        <v>182</v>
      </c>
      <c r="BO1874" t="s">
        <v>198</v>
      </c>
      <c r="BP1874" t="s">
        <v>198</v>
      </c>
      <c r="BQ1874" t="s">
        <v>198</v>
      </c>
      <c r="BR1874" t="s">
        <v>198</v>
      </c>
      <c r="BS1874" t="s">
        <v>198</v>
      </c>
      <c r="BT1874" t="s">
        <v>198</v>
      </c>
      <c r="BU1874" t="s">
        <v>182</v>
      </c>
      <c r="BV1874" t="s">
        <v>198</v>
      </c>
      <c r="BW1874" t="s">
        <v>198</v>
      </c>
      <c r="BX1874" t="s">
        <v>199</v>
      </c>
      <c r="BY1874" t="s">
        <v>198</v>
      </c>
      <c r="BZ1874" t="s">
        <v>199</v>
      </c>
      <c r="CA1874" t="s">
        <v>199</v>
      </c>
      <c r="CB1874" t="s">
        <v>22586</v>
      </c>
      <c r="CC1874" t="s">
        <v>201</v>
      </c>
      <c r="CD1874" t="s">
        <v>182</v>
      </c>
      <c r="CE1874" t="s">
        <v>22587</v>
      </c>
      <c r="CF1874" t="s">
        <v>22588</v>
      </c>
      <c r="CG1874" t="s">
        <v>1602</v>
      </c>
      <c r="CH1874" t="s">
        <v>22589</v>
      </c>
      <c r="CI1874" t="s">
        <v>22590</v>
      </c>
      <c r="CJ1874" t="s">
        <v>1414</v>
      </c>
      <c r="CK1874" t="s">
        <v>273</v>
      </c>
      <c r="CL1874" t="s">
        <v>274</v>
      </c>
      <c r="CM1874" t="s">
        <v>22591</v>
      </c>
      <c r="CN1874" t="s">
        <v>235</v>
      </c>
      <c r="CO1874" t="s">
        <v>183</v>
      </c>
      <c r="CP1874" t="s">
        <v>211</v>
      </c>
      <c r="CQ1874" t="s">
        <v>206</v>
      </c>
      <c r="CS1874" t="s">
        <v>11832</v>
      </c>
      <c r="DC1874" t="s">
        <v>198</v>
      </c>
      <c r="DM1874" t="s">
        <v>198</v>
      </c>
      <c r="DW1874" t="s">
        <v>198</v>
      </c>
      <c r="EG1874" t="s">
        <v>198</v>
      </c>
      <c r="EQ1874" t="s">
        <v>198</v>
      </c>
      <c r="FA1874" t="s">
        <v>198</v>
      </c>
      <c r="FK1874" t="s">
        <v>198</v>
      </c>
      <c r="FU1874" t="s">
        <v>198</v>
      </c>
    </row>
    <row r="1875" spans="1:177">
      <c r="A1875" s="1" t="str">
        <f>HYPERLINK("http://digipan.lumentumllc.com/apps/getLink/index.php?t=PropLink&amp;p=6128597","PL")</f>
        <v>PL</v>
      </c>
      <c r="B1875" s="1" t="str">
        <f>HYPERLINK("http://digipan.lumentumllc.com/apps/getLink/index.php?t=TaxLink&amp;p=6128597","TL")</f>
        <v>TL</v>
      </c>
      <c r="C1875" s="1" t="str">
        <f>HYPERLINK("http://digipan.lumentumllc.com/apps/getMap/index.php?p=6128597","Map")</f>
        <v>Map</v>
      </c>
      <c r="E1875" t="s">
        <v>177</v>
      </c>
      <c r="F1875" t="s">
        <v>178</v>
      </c>
      <c r="L1875" t="s">
        <v>22592</v>
      </c>
      <c r="N1875" t="s">
        <v>22592</v>
      </c>
      <c r="O1875" t="s">
        <v>22592</v>
      </c>
      <c r="P1875" t="s">
        <v>22593</v>
      </c>
      <c r="Q1875" t="s">
        <v>22592</v>
      </c>
      <c r="V1875">
        <v>2138</v>
      </c>
      <c r="W1875">
        <v>7</v>
      </c>
      <c r="X1875">
        <v>2017</v>
      </c>
      <c r="Y1875">
        <v>2018</v>
      </c>
      <c r="Z1875">
        <v>3712.9</v>
      </c>
      <c r="AB1875" t="s">
        <v>181</v>
      </c>
      <c r="AC1875" t="s">
        <v>182</v>
      </c>
      <c r="AD1875" t="s">
        <v>183</v>
      </c>
      <c r="AE1875">
        <v>0</v>
      </c>
      <c r="AF1875">
        <v>2</v>
      </c>
      <c r="AG1875" t="s">
        <v>216</v>
      </c>
      <c r="AH1875">
        <v>100</v>
      </c>
      <c r="AK1875">
        <v>0</v>
      </c>
      <c r="AL1875">
        <v>230000</v>
      </c>
      <c r="AM1875">
        <v>0</v>
      </c>
      <c r="AN1875">
        <v>230000</v>
      </c>
      <c r="AO1875">
        <v>3044</v>
      </c>
      <c r="AP1875">
        <v>2016</v>
      </c>
      <c r="AQ1875">
        <v>1.61</v>
      </c>
      <c r="AS1875" t="s">
        <v>22594</v>
      </c>
      <c r="AT1875" t="s">
        <v>15040</v>
      </c>
      <c r="AU1875" t="s">
        <v>177</v>
      </c>
      <c r="AV1875" t="s">
        <v>371</v>
      </c>
      <c r="AW1875" t="s">
        <v>182</v>
      </c>
      <c r="AX1875">
        <v>4</v>
      </c>
      <c r="AY1875" t="s">
        <v>188</v>
      </c>
      <c r="AZ1875" t="s">
        <v>296</v>
      </c>
      <c r="BA1875" t="s">
        <v>19069</v>
      </c>
      <c r="BB1875" t="s">
        <v>191</v>
      </c>
      <c r="BC1875" t="s">
        <v>182</v>
      </c>
      <c r="BD1875" t="s">
        <v>182</v>
      </c>
      <c r="BE1875" t="s">
        <v>1722</v>
      </c>
      <c r="BF1875">
        <v>1</v>
      </c>
      <c r="BG1875">
        <v>1</v>
      </c>
      <c r="BH1875">
        <v>1982</v>
      </c>
      <c r="BI1875" t="s">
        <v>11061</v>
      </c>
      <c r="BJ1875" t="s">
        <v>194</v>
      </c>
      <c r="BL1875" t="s">
        <v>22595</v>
      </c>
      <c r="BM1875" t="s">
        <v>238</v>
      </c>
      <c r="BN1875" t="s">
        <v>182</v>
      </c>
      <c r="BO1875" t="s">
        <v>22596</v>
      </c>
      <c r="BP1875" t="s">
        <v>22597</v>
      </c>
      <c r="BQ1875" t="s">
        <v>800</v>
      </c>
      <c r="BS1875" t="s">
        <v>198</v>
      </c>
      <c r="BT1875" t="s">
        <v>801</v>
      </c>
      <c r="BU1875" t="s">
        <v>182</v>
      </c>
      <c r="BV1875" t="s">
        <v>198</v>
      </c>
      <c r="BW1875" t="s">
        <v>198</v>
      </c>
      <c r="BX1875" t="s">
        <v>199</v>
      </c>
      <c r="BY1875" t="s">
        <v>198</v>
      </c>
      <c r="BZ1875" t="s">
        <v>199</v>
      </c>
      <c r="CA1875" t="s">
        <v>199</v>
      </c>
      <c r="CB1875" t="s">
        <v>22598</v>
      </c>
      <c r="CC1875" t="s">
        <v>1407</v>
      </c>
      <c r="CD1875" t="s">
        <v>202</v>
      </c>
      <c r="CE1875" t="s">
        <v>22599</v>
      </c>
      <c r="CF1875" t="s">
        <v>22588</v>
      </c>
      <c r="CG1875" t="s">
        <v>1602</v>
      </c>
      <c r="CH1875" t="s">
        <v>22600</v>
      </c>
      <c r="CI1875" t="s">
        <v>22601</v>
      </c>
      <c r="CJ1875" t="s">
        <v>4724</v>
      </c>
      <c r="CK1875" t="s">
        <v>273</v>
      </c>
      <c r="CL1875" t="s">
        <v>274</v>
      </c>
      <c r="CM1875" t="s">
        <v>22602</v>
      </c>
      <c r="CN1875" t="s">
        <v>235</v>
      </c>
      <c r="CO1875" t="s">
        <v>183</v>
      </c>
      <c r="CP1875" t="s">
        <v>211</v>
      </c>
      <c r="CQ1875" t="s">
        <v>427</v>
      </c>
      <c r="CS1875" t="s">
        <v>5809</v>
      </c>
      <c r="CT1875" t="s">
        <v>250</v>
      </c>
      <c r="CU1875" t="s">
        <v>238</v>
      </c>
      <c r="CV1875" t="s">
        <v>239</v>
      </c>
      <c r="CW1875" t="s">
        <v>22603</v>
      </c>
      <c r="CX1875" t="s">
        <v>235</v>
      </c>
      <c r="CY1875" t="s">
        <v>183</v>
      </c>
      <c r="CZ1875" t="s">
        <v>211</v>
      </c>
      <c r="DA1875" t="s">
        <v>427</v>
      </c>
      <c r="DC1875" t="s">
        <v>3660</v>
      </c>
      <c r="DM1875" t="s">
        <v>198</v>
      </c>
      <c r="DW1875" t="s">
        <v>198</v>
      </c>
      <c r="EG1875" t="s">
        <v>198</v>
      </c>
      <c r="EQ1875" t="s">
        <v>198</v>
      </c>
      <c r="FA1875" t="s">
        <v>198</v>
      </c>
      <c r="FK1875" t="s">
        <v>198</v>
      </c>
      <c r="FU1875" t="s">
        <v>198</v>
      </c>
    </row>
    <row r="1876" spans="1:177">
      <c r="A1876" s="1" t="str">
        <f>HYPERLINK("http://digipan.lumentumllc.com/apps/getLink/index.php?t=PropLink&amp;p=7112252","PL")</f>
        <v>PL</v>
      </c>
      <c r="B1876" s="1" t="str">
        <f>HYPERLINK("http://digipan.lumentumllc.com/apps/getLink/index.php?t=TaxLink&amp;p=7112252","TL")</f>
        <v>TL</v>
      </c>
      <c r="C1876" s="1" t="str">
        <f>HYPERLINK("http://digipan.lumentumllc.com/apps/getMap/index.php?p=7112252","Map")</f>
        <v>Map</v>
      </c>
      <c r="E1876" t="s">
        <v>177</v>
      </c>
      <c r="F1876" t="s">
        <v>178</v>
      </c>
      <c r="L1876" t="s">
        <v>22604</v>
      </c>
      <c r="N1876" t="s">
        <v>22604</v>
      </c>
      <c r="O1876" t="s">
        <v>22604</v>
      </c>
      <c r="P1876" t="s">
        <v>22605</v>
      </c>
      <c r="Q1876" t="s">
        <v>22604</v>
      </c>
      <c r="V1876">
        <v>2139</v>
      </c>
      <c r="W1876">
        <v>7</v>
      </c>
      <c r="X1876">
        <v>2017</v>
      </c>
      <c r="Y1876">
        <v>2018</v>
      </c>
      <c r="Z1876">
        <v>6081.53</v>
      </c>
      <c r="AB1876" t="s">
        <v>181</v>
      </c>
      <c r="AC1876" t="s">
        <v>182</v>
      </c>
      <c r="AD1876" t="s">
        <v>183</v>
      </c>
      <c r="AE1876">
        <v>0</v>
      </c>
      <c r="AF1876">
        <v>1</v>
      </c>
      <c r="AG1876" t="s">
        <v>821</v>
      </c>
      <c r="AH1876">
        <v>100</v>
      </c>
      <c r="AK1876">
        <v>0</v>
      </c>
      <c r="AL1876">
        <v>399794</v>
      </c>
      <c r="AM1876">
        <v>325000</v>
      </c>
      <c r="AN1876">
        <v>74794</v>
      </c>
      <c r="AO1876">
        <v>5221</v>
      </c>
      <c r="AP1876">
        <v>2016</v>
      </c>
      <c r="AQ1876">
        <v>1.52</v>
      </c>
      <c r="AS1876" t="s">
        <v>22606</v>
      </c>
      <c r="AT1876" t="s">
        <v>15040</v>
      </c>
      <c r="AU1876" t="s">
        <v>177</v>
      </c>
      <c r="AV1876" t="s">
        <v>371</v>
      </c>
      <c r="AW1876" t="s">
        <v>182</v>
      </c>
      <c r="AX1876">
        <v>1</v>
      </c>
      <c r="AY1876" t="s">
        <v>188</v>
      </c>
      <c r="AZ1876" t="s">
        <v>206</v>
      </c>
      <c r="BA1876" t="s">
        <v>355</v>
      </c>
      <c r="BB1876" t="s">
        <v>191</v>
      </c>
      <c r="BC1876" t="s">
        <v>182</v>
      </c>
      <c r="BD1876" t="s">
        <v>182</v>
      </c>
      <c r="BE1876" t="s">
        <v>3930</v>
      </c>
      <c r="BF1876">
        <v>1</v>
      </c>
      <c r="BG1876">
        <v>1</v>
      </c>
      <c r="BH1876">
        <v>1948</v>
      </c>
      <c r="BI1876" t="s">
        <v>22607</v>
      </c>
      <c r="BJ1876" t="s">
        <v>285</v>
      </c>
      <c r="BK1876" t="s">
        <v>195</v>
      </c>
      <c r="BL1876" t="s">
        <v>199</v>
      </c>
      <c r="BM1876" t="s">
        <v>346</v>
      </c>
      <c r="BN1876" t="s">
        <v>182</v>
      </c>
      <c r="BO1876" t="s">
        <v>198</v>
      </c>
      <c r="BP1876" t="s">
        <v>198</v>
      </c>
      <c r="BQ1876" t="s">
        <v>198</v>
      </c>
      <c r="BR1876" t="s">
        <v>198</v>
      </c>
      <c r="BS1876" t="s">
        <v>198</v>
      </c>
      <c r="BT1876" t="s">
        <v>198</v>
      </c>
      <c r="BU1876" t="s">
        <v>182</v>
      </c>
      <c r="BV1876" t="s">
        <v>198</v>
      </c>
      <c r="BW1876" t="s">
        <v>198</v>
      </c>
      <c r="BX1876" t="s">
        <v>199</v>
      </c>
      <c r="BY1876" t="s">
        <v>198</v>
      </c>
      <c r="BZ1876" t="s">
        <v>199</v>
      </c>
      <c r="CA1876" t="s">
        <v>199</v>
      </c>
      <c r="CB1876" t="s">
        <v>22608</v>
      </c>
      <c r="CC1876" t="s">
        <v>201</v>
      </c>
      <c r="CD1876" t="s">
        <v>182</v>
      </c>
      <c r="CE1876" t="s">
        <v>22609</v>
      </c>
      <c r="CF1876" t="s">
        <v>15835</v>
      </c>
      <c r="CG1876" t="s">
        <v>1602</v>
      </c>
      <c r="CH1876" t="s">
        <v>22610</v>
      </c>
      <c r="CI1876" t="s">
        <v>10359</v>
      </c>
      <c r="CJ1876" t="s">
        <v>15797</v>
      </c>
      <c r="CK1876" t="s">
        <v>292</v>
      </c>
      <c r="CL1876" t="s">
        <v>293</v>
      </c>
      <c r="CM1876" t="s">
        <v>22611</v>
      </c>
      <c r="CN1876" t="s">
        <v>235</v>
      </c>
      <c r="CO1876" t="s">
        <v>183</v>
      </c>
      <c r="CP1876" t="s">
        <v>211</v>
      </c>
      <c r="CQ1876" t="s">
        <v>296</v>
      </c>
      <c r="CS1876" t="s">
        <v>19331</v>
      </c>
      <c r="DC1876" t="s">
        <v>198</v>
      </c>
      <c r="DM1876" t="s">
        <v>198</v>
      </c>
      <c r="DW1876" t="s">
        <v>198</v>
      </c>
      <c r="EG1876" t="s">
        <v>198</v>
      </c>
      <c r="EQ1876" t="s">
        <v>198</v>
      </c>
      <c r="FA1876" t="s">
        <v>198</v>
      </c>
      <c r="FK1876" t="s">
        <v>198</v>
      </c>
      <c r="FU1876" t="s">
        <v>198</v>
      </c>
    </row>
    <row r="1877" spans="1:177">
      <c r="A1877" s="1" t="str">
        <f>HYPERLINK("http://digipan.lumentumllc.com/apps/getLink/index.php?t=PropLink&amp;p=4636668","PL")</f>
        <v>PL</v>
      </c>
      <c r="B1877" s="1" t="str">
        <f>HYPERLINK("http://digipan.lumentumllc.com/apps/getLink/index.php?t=TaxLink&amp;p=4636668","TL")</f>
        <v>TL</v>
      </c>
      <c r="C1877" s="1" t="str">
        <f>HYPERLINK("http://digipan.lumentumllc.com/apps/getMap/index.php?p=4636668","Map")</f>
        <v>Map</v>
      </c>
      <c r="E1877" t="s">
        <v>177</v>
      </c>
      <c r="F1877" t="s">
        <v>178</v>
      </c>
      <c r="L1877" t="s">
        <v>22612</v>
      </c>
      <c r="N1877" t="s">
        <v>22612</v>
      </c>
      <c r="O1877" t="s">
        <v>22612</v>
      </c>
      <c r="P1877" t="s">
        <v>22613</v>
      </c>
      <c r="Q1877" t="s">
        <v>22612</v>
      </c>
      <c r="V1877">
        <v>2140</v>
      </c>
      <c r="W1877">
        <v>7</v>
      </c>
      <c r="X1877">
        <v>2017</v>
      </c>
      <c r="Y1877">
        <v>2018</v>
      </c>
      <c r="Z1877">
        <v>1402.6</v>
      </c>
      <c r="AB1877" t="s">
        <v>181</v>
      </c>
      <c r="AC1877" t="s">
        <v>182</v>
      </c>
      <c r="AD1877" t="s">
        <v>183</v>
      </c>
      <c r="AE1877">
        <v>1</v>
      </c>
      <c r="AF1877">
        <v>5</v>
      </c>
      <c r="AG1877" t="s">
        <v>322</v>
      </c>
      <c r="AH1877">
        <v>83</v>
      </c>
      <c r="AI1877">
        <v>1312.35</v>
      </c>
      <c r="AJ1877">
        <v>65.62</v>
      </c>
      <c r="AK1877">
        <v>1377.97</v>
      </c>
      <c r="AL1877">
        <v>90488</v>
      </c>
      <c r="AM1877">
        <v>80000</v>
      </c>
      <c r="AN1877">
        <v>10488</v>
      </c>
      <c r="AO1877">
        <v>1188</v>
      </c>
      <c r="AP1877">
        <v>2016</v>
      </c>
      <c r="AQ1877">
        <v>1.55</v>
      </c>
      <c r="AR1877">
        <v>1.52</v>
      </c>
      <c r="AS1877" t="s">
        <v>22614</v>
      </c>
      <c r="AT1877" t="s">
        <v>15040</v>
      </c>
      <c r="AU1877" t="s">
        <v>177</v>
      </c>
      <c r="AV1877" t="s">
        <v>371</v>
      </c>
      <c r="AW1877" t="s">
        <v>182</v>
      </c>
      <c r="AX1877">
        <v>11</v>
      </c>
      <c r="AY1877" t="s">
        <v>3641</v>
      </c>
      <c r="AZ1877" t="s">
        <v>212</v>
      </c>
      <c r="BA1877" t="s">
        <v>5959</v>
      </c>
      <c r="BB1877" t="s">
        <v>191</v>
      </c>
      <c r="BC1877" t="s">
        <v>182</v>
      </c>
      <c r="BD1877" t="s">
        <v>182</v>
      </c>
      <c r="BE1877" t="s">
        <v>11821</v>
      </c>
      <c r="BF1877">
        <v>1</v>
      </c>
      <c r="BG1877">
        <v>0</v>
      </c>
      <c r="BH1877">
        <v>1953</v>
      </c>
      <c r="BI1877" t="s">
        <v>10364</v>
      </c>
      <c r="BJ1877" t="s">
        <v>285</v>
      </c>
      <c r="BK1877" t="s">
        <v>840</v>
      </c>
      <c r="BL1877" t="s">
        <v>199</v>
      </c>
      <c r="BM1877" t="s">
        <v>3957</v>
      </c>
      <c r="BN1877" t="s">
        <v>182</v>
      </c>
      <c r="BO1877" t="s">
        <v>22615</v>
      </c>
      <c r="BP1877" t="s">
        <v>2911</v>
      </c>
      <c r="BS1877" t="s">
        <v>22616</v>
      </c>
      <c r="BT1877" t="s">
        <v>198</v>
      </c>
      <c r="BU1877" t="s">
        <v>182</v>
      </c>
      <c r="BV1877" t="s">
        <v>198</v>
      </c>
      <c r="BW1877" t="s">
        <v>198</v>
      </c>
      <c r="BX1877" t="s">
        <v>199</v>
      </c>
      <c r="BY1877" t="s">
        <v>198</v>
      </c>
      <c r="BZ1877" t="s">
        <v>199</v>
      </c>
      <c r="CA1877" t="s">
        <v>199</v>
      </c>
      <c r="CB1877" t="s">
        <v>22617</v>
      </c>
      <c r="CC1877" t="s">
        <v>201</v>
      </c>
      <c r="CD1877" t="s">
        <v>202</v>
      </c>
      <c r="CE1877" t="s">
        <v>22618</v>
      </c>
      <c r="CF1877" t="s">
        <v>413</v>
      </c>
      <c r="CG1877" t="s">
        <v>177</v>
      </c>
      <c r="CH1877" t="s">
        <v>414</v>
      </c>
      <c r="CI1877" t="s">
        <v>22619</v>
      </c>
      <c r="CJ1877" t="s">
        <v>1309</v>
      </c>
      <c r="CK1877" t="s">
        <v>232</v>
      </c>
      <c r="CL1877" t="s">
        <v>233</v>
      </c>
      <c r="CM1877" t="s">
        <v>22620</v>
      </c>
      <c r="CN1877" t="s">
        <v>235</v>
      </c>
      <c r="CO1877" t="s">
        <v>183</v>
      </c>
      <c r="CP1877" t="s">
        <v>266</v>
      </c>
      <c r="CS1877" t="s">
        <v>198</v>
      </c>
      <c r="CT1877" t="s">
        <v>17689</v>
      </c>
      <c r="CU1877" t="s">
        <v>292</v>
      </c>
      <c r="CV1877" t="s">
        <v>293</v>
      </c>
      <c r="CW1877" t="s">
        <v>22621</v>
      </c>
      <c r="CX1877" t="s">
        <v>235</v>
      </c>
      <c r="CY1877" t="s">
        <v>183</v>
      </c>
      <c r="CZ1877" t="s">
        <v>211</v>
      </c>
      <c r="DA1877" t="s">
        <v>345</v>
      </c>
      <c r="DC1877" t="s">
        <v>2485</v>
      </c>
      <c r="DD1877" t="s">
        <v>22622</v>
      </c>
      <c r="DE1877" t="s">
        <v>267</v>
      </c>
      <c r="DF1877" t="s">
        <v>268</v>
      </c>
      <c r="DG1877" t="s">
        <v>22623</v>
      </c>
      <c r="DH1877" t="s">
        <v>235</v>
      </c>
      <c r="DI1877" t="s">
        <v>183</v>
      </c>
      <c r="DJ1877" t="s">
        <v>211</v>
      </c>
      <c r="DK1877" t="s">
        <v>298</v>
      </c>
      <c r="DM1877" t="s">
        <v>432</v>
      </c>
      <c r="DN1877" t="s">
        <v>22624</v>
      </c>
      <c r="DO1877" t="s">
        <v>302</v>
      </c>
      <c r="DP1877" t="s">
        <v>303</v>
      </c>
      <c r="DQ1877" t="s">
        <v>22625</v>
      </c>
      <c r="DR1877" t="s">
        <v>1586</v>
      </c>
      <c r="DS1877" t="s">
        <v>183</v>
      </c>
      <c r="DT1877" t="s">
        <v>211</v>
      </c>
      <c r="DU1877" t="s">
        <v>270</v>
      </c>
      <c r="DW1877" t="s">
        <v>16208</v>
      </c>
      <c r="DX1877" t="s">
        <v>329</v>
      </c>
      <c r="DY1877" t="s">
        <v>238</v>
      </c>
      <c r="DZ1877" t="s">
        <v>239</v>
      </c>
      <c r="EA1877" t="s">
        <v>22626</v>
      </c>
      <c r="EB1877" t="s">
        <v>816</v>
      </c>
      <c r="EC1877" t="s">
        <v>183</v>
      </c>
      <c r="ED1877" t="s">
        <v>211</v>
      </c>
      <c r="EE1877" t="s">
        <v>337</v>
      </c>
      <c r="EG1877" t="s">
        <v>16208</v>
      </c>
      <c r="EH1877" t="s">
        <v>22627</v>
      </c>
      <c r="EI1877" t="s">
        <v>346</v>
      </c>
      <c r="EJ1877" t="s">
        <v>239</v>
      </c>
      <c r="EK1877" t="s">
        <v>22628</v>
      </c>
      <c r="EL1877" t="s">
        <v>440</v>
      </c>
      <c r="EM1877" t="s">
        <v>183</v>
      </c>
      <c r="EN1877" t="s">
        <v>211</v>
      </c>
      <c r="EO1877" t="s">
        <v>337</v>
      </c>
      <c r="EQ1877" t="s">
        <v>16208</v>
      </c>
      <c r="FA1877" t="s">
        <v>198</v>
      </c>
      <c r="FK1877" t="s">
        <v>198</v>
      </c>
      <c r="FU1877" t="s">
        <v>198</v>
      </c>
    </row>
    <row r="1878" spans="1:177">
      <c r="A1878" s="1" t="str">
        <f>HYPERLINK("http://digipan.lumentumllc.com/apps/getLink/index.php?t=PropLink&amp;p=4636670","PL")</f>
        <v>PL</v>
      </c>
      <c r="B1878" s="1" t="str">
        <f>HYPERLINK("http://digipan.lumentumllc.com/apps/getLink/index.php?t=TaxLink&amp;p=4636670","TL")</f>
        <v>TL</v>
      </c>
      <c r="C1878" s="1" t="str">
        <f>HYPERLINK("http://digipan.lumentumllc.com/apps/getMap/index.php?p=4636670","Map")</f>
        <v>Map</v>
      </c>
      <c r="E1878" t="s">
        <v>177</v>
      </c>
      <c r="F1878" t="s">
        <v>178</v>
      </c>
      <c r="L1878" t="s">
        <v>22629</v>
      </c>
      <c r="N1878" t="s">
        <v>22629</v>
      </c>
      <c r="O1878" t="s">
        <v>22629</v>
      </c>
      <c r="P1878" t="s">
        <v>22630</v>
      </c>
      <c r="Q1878" t="s">
        <v>22629</v>
      </c>
      <c r="V1878">
        <v>2141</v>
      </c>
      <c r="W1878">
        <v>7</v>
      </c>
      <c r="X1878">
        <v>2017</v>
      </c>
      <c r="Y1878">
        <v>2018</v>
      </c>
      <c r="Z1878">
        <v>3127.68</v>
      </c>
      <c r="AB1878" t="s">
        <v>181</v>
      </c>
      <c r="AC1878" t="s">
        <v>182</v>
      </c>
      <c r="AD1878" t="s">
        <v>183</v>
      </c>
      <c r="AE1878">
        <v>1</v>
      </c>
      <c r="AF1878">
        <v>6</v>
      </c>
      <c r="AG1878" t="s">
        <v>322</v>
      </c>
      <c r="AH1878">
        <v>83</v>
      </c>
      <c r="AI1878">
        <v>2973.84</v>
      </c>
      <c r="AJ1878">
        <v>148.69</v>
      </c>
      <c r="AK1878">
        <v>3122.53</v>
      </c>
      <c r="AL1878">
        <v>185986</v>
      </c>
      <c r="AM1878">
        <v>174400</v>
      </c>
      <c r="AN1878">
        <v>11586</v>
      </c>
      <c r="AO1878">
        <v>2725</v>
      </c>
      <c r="AP1878">
        <v>2016</v>
      </c>
      <c r="AQ1878">
        <v>1.68</v>
      </c>
      <c r="AR1878">
        <v>1.68</v>
      </c>
      <c r="AS1878" t="s">
        <v>22631</v>
      </c>
      <c r="AT1878" t="s">
        <v>15040</v>
      </c>
      <c r="AU1878" t="s">
        <v>177</v>
      </c>
      <c r="AV1878" t="s">
        <v>371</v>
      </c>
      <c r="AW1878" t="s">
        <v>182</v>
      </c>
      <c r="AX1878">
        <v>1</v>
      </c>
      <c r="AY1878" t="s">
        <v>188</v>
      </c>
      <c r="AZ1878" t="s">
        <v>206</v>
      </c>
      <c r="BA1878" t="s">
        <v>355</v>
      </c>
      <c r="BB1878" t="s">
        <v>191</v>
      </c>
      <c r="BC1878" t="s">
        <v>182</v>
      </c>
      <c r="BD1878" t="s">
        <v>182</v>
      </c>
      <c r="BE1878" t="s">
        <v>5975</v>
      </c>
      <c r="BF1878">
        <v>1</v>
      </c>
      <c r="BG1878">
        <v>1</v>
      </c>
      <c r="BH1878">
        <v>1948</v>
      </c>
      <c r="BI1878" t="s">
        <v>14254</v>
      </c>
      <c r="BJ1878" t="s">
        <v>315</v>
      </c>
      <c r="BK1878" t="s">
        <v>195</v>
      </c>
      <c r="BL1878" t="s">
        <v>199</v>
      </c>
      <c r="BM1878" t="s">
        <v>679</v>
      </c>
      <c r="BN1878" t="s">
        <v>182</v>
      </c>
      <c r="BO1878" t="s">
        <v>198</v>
      </c>
      <c r="BP1878" t="s">
        <v>198</v>
      </c>
      <c r="BQ1878" t="s">
        <v>198</v>
      </c>
      <c r="BR1878" t="s">
        <v>198</v>
      </c>
      <c r="BS1878" t="s">
        <v>198</v>
      </c>
      <c r="BT1878" t="s">
        <v>198</v>
      </c>
      <c r="BU1878" t="s">
        <v>182</v>
      </c>
      <c r="BV1878" t="s">
        <v>198</v>
      </c>
      <c r="BW1878" t="s">
        <v>198</v>
      </c>
      <c r="BX1878" t="s">
        <v>199</v>
      </c>
      <c r="BY1878" t="s">
        <v>198</v>
      </c>
      <c r="BZ1878" t="s">
        <v>199</v>
      </c>
      <c r="CA1878" t="s">
        <v>199</v>
      </c>
      <c r="CB1878" t="s">
        <v>22632</v>
      </c>
      <c r="CC1878" t="s">
        <v>201</v>
      </c>
      <c r="CD1878" t="s">
        <v>182</v>
      </c>
      <c r="CE1878" t="s">
        <v>22633</v>
      </c>
      <c r="CF1878" t="s">
        <v>413</v>
      </c>
      <c r="CG1878" t="s">
        <v>177</v>
      </c>
      <c r="CH1878" t="s">
        <v>414</v>
      </c>
      <c r="CI1878" t="s">
        <v>22634</v>
      </c>
      <c r="CJ1878" t="s">
        <v>5187</v>
      </c>
      <c r="CK1878" t="s">
        <v>232</v>
      </c>
      <c r="CL1878" t="s">
        <v>233</v>
      </c>
      <c r="CM1878" t="s">
        <v>22635</v>
      </c>
      <c r="CN1878" t="s">
        <v>235</v>
      </c>
      <c r="CO1878" t="s">
        <v>183</v>
      </c>
      <c r="CP1878" t="s">
        <v>266</v>
      </c>
      <c r="CS1878" t="s">
        <v>198</v>
      </c>
      <c r="CT1878" t="s">
        <v>19887</v>
      </c>
      <c r="CU1878" t="s">
        <v>292</v>
      </c>
      <c r="CV1878" t="s">
        <v>293</v>
      </c>
      <c r="CW1878" t="s">
        <v>22636</v>
      </c>
      <c r="CX1878" t="s">
        <v>235</v>
      </c>
      <c r="CY1878" t="s">
        <v>183</v>
      </c>
      <c r="CZ1878" t="s">
        <v>211</v>
      </c>
      <c r="DA1878" t="s">
        <v>298</v>
      </c>
      <c r="DC1878" t="s">
        <v>9409</v>
      </c>
      <c r="DD1878" t="s">
        <v>22637</v>
      </c>
      <c r="DE1878" t="s">
        <v>267</v>
      </c>
      <c r="DF1878" t="s">
        <v>268</v>
      </c>
      <c r="DG1878" t="s">
        <v>22638</v>
      </c>
      <c r="DH1878" t="s">
        <v>235</v>
      </c>
      <c r="DI1878" t="s">
        <v>183</v>
      </c>
      <c r="DJ1878" t="s">
        <v>211</v>
      </c>
      <c r="DK1878" t="s">
        <v>298</v>
      </c>
      <c r="DM1878" t="s">
        <v>432</v>
      </c>
      <c r="DN1878" t="s">
        <v>17929</v>
      </c>
      <c r="DO1878" t="s">
        <v>302</v>
      </c>
      <c r="DP1878" t="s">
        <v>303</v>
      </c>
      <c r="DQ1878" t="s">
        <v>22639</v>
      </c>
      <c r="DR1878" t="s">
        <v>235</v>
      </c>
      <c r="DS1878" t="s">
        <v>183</v>
      </c>
      <c r="DT1878" t="s">
        <v>211</v>
      </c>
      <c r="DU1878" t="s">
        <v>270</v>
      </c>
      <c r="DW1878" t="s">
        <v>5315</v>
      </c>
      <c r="DX1878" t="s">
        <v>270</v>
      </c>
      <c r="DY1878" t="s">
        <v>238</v>
      </c>
      <c r="DZ1878" t="s">
        <v>239</v>
      </c>
      <c r="EA1878" t="s">
        <v>22640</v>
      </c>
      <c r="EB1878" t="s">
        <v>235</v>
      </c>
      <c r="EC1878" t="s">
        <v>183</v>
      </c>
      <c r="ED1878" t="s">
        <v>211</v>
      </c>
      <c r="EE1878" t="s">
        <v>337</v>
      </c>
      <c r="EG1878" t="s">
        <v>5315</v>
      </c>
      <c r="EH1878" t="s">
        <v>14803</v>
      </c>
      <c r="EI1878" t="s">
        <v>346</v>
      </c>
      <c r="EJ1878" t="s">
        <v>239</v>
      </c>
      <c r="EK1878" t="s">
        <v>22641</v>
      </c>
      <c r="EL1878" t="s">
        <v>235</v>
      </c>
      <c r="EM1878" t="s">
        <v>183</v>
      </c>
      <c r="EN1878" t="s">
        <v>211</v>
      </c>
      <c r="EO1878" t="s">
        <v>337</v>
      </c>
      <c r="EQ1878" t="s">
        <v>5315</v>
      </c>
      <c r="ER1878" t="s">
        <v>22642</v>
      </c>
      <c r="ES1878" t="s">
        <v>207</v>
      </c>
      <c r="ET1878" t="s">
        <v>208</v>
      </c>
      <c r="EU1878" t="s">
        <v>22643</v>
      </c>
      <c r="EV1878" t="s">
        <v>235</v>
      </c>
      <c r="EW1878" t="s">
        <v>183</v>
      </c>
      <c r="EX1878" t="s">
        <v>211</v>
      </c>
      <c r="EY1878" t="s">
        <v>345</v>
      </c>
      <c r="FA1878" t="s">
        <v>1355</v>
      </c>
      <c r="FK1878" t="s">
        <v>198</v>
      </c>
      <c r="FU1878" t="s">
        <v>198</v>
      </c>
    </row>
    <row r="1879" spans="1:177">
      <c r="A1879" s="1" t="str">
        <f>HYPERLINK("http://digipan.lumentumllc.com/apps/getLink/index.php?t=PropLink&amp;p=15725322","PL")</f>
        <v>PL</v>
      </c>
      <c r="B1879" s="1" t="str">
        <f>HYPERLINK("http://digipan.lumentumllc.com/apps/getLink/index.php?t=TaxLink&amp;p=15725322","TL")</f>
        <v>TL</v>
      </c>
      <c r="C1879" s="1" t="str">
        <f>HYPERLINK("http://digipan.lumentumllc.com/apps/getMap/index.php?p=15725322","Map")</f>
        <v>Map</v>
      </c>
      <c r="E1879" t="s">
        <v>177</v>
      </c>
      <c r="F1879" t="s">
        <v>178</v>
      </c>
      <c r="L1879" t="s">
        <v>22644</v>
      </c>
      <c r="N1879" t="s">
        <v>22644</v>
      </c>
      <c r="O1879" t="s">
        <v>22644</v>
      </c>
      <c r="Q1879" t="s">
        <v>22644</v>
      </c>
      <c r="V1879">
        <v>2142</v>
      </c>
      <c r="W1879">
        <v>7</v>
      </c>
      <c r="X1879">
        <v>2017</v>
      </c>
      <c r="Y1879">
        <v>2018</v>
      </c>
      <c r="Z1879">
        <v>2767.24</v>
      </c>
      <c r="AG1879" t="s">
        <v>184</v>
      </c>
      <c r="AH1879">
        <v>0</v>
      </c>
      <c r="AK1879">
        <v>0</v>
      </c>
      <c r="AL1879">
        <v>169740</v>
      </c>
      <c r="AM1879">
        <v>110000</v>
      </c>
      <c r="AN1879">
        <v>59740</v>
      </c>
      <c r="AO1879">
        <v>2275</v>
      </c>
      <c r="AP1879">
        <v>2016</v>
      </c>
      <c r="AQ1879">
        <v>1.63</v>
      </c>
      <c r="AS1879" t="s">
        <v>22645</v>
      </c>
      <c r="AT1879" t="s">
        <v>15040</v>
      </c>
      <c r="AU1879" t="s">
        <v>177</v>
      </c>
      <c r="AV1879" t="s">
        <v>371</v>
      </c>
      <c r="AW1879" t="s">
        <v>182</v>
      </c>
      <c r="AX1879">
        <v>1</v>
      </c>
      <c r="AY1879" t="s">
        <v>188</v>
      </c>
      <c r="AZ1879" t="s">
        <v>206</v>
      </c>
      <c r="BA1879" t="s">
        <v>355</v>
      </c>
      <c r="BB1879" t="s">
        <v>191</v>
      </c>
      <c r="BC1879" t="s">
        <v>182</v>
      </c>
      <c r="BD1879" t="s">
        <v>182</v>
      </c>
      <c r="BE1879" t="s">
        <v>11206</v>
      </c>
      <c r="BF1879">
        <v>1</v>
      </c>
      <c r="BG1879">
        <v>1</v>
      </c>
      <c r="BH1879">
        <v>2005</v>
      </c>
      <c r="BI1879" t="s">
        <v>9873</v>
      </c>
      <c r="BJ1879" t="s">
        <v>194</v>
      </c>
      <c r="BK1879" t="s">
        <v>195</v>
      </c>
      <c r="BL1879" t="s">
        <v>9690</v>
      </c>
      <c r="BM1879" t="s">
        <v>197</v>
      </c>
      <c r="BN1879" t="s">
        <v>182</v>
      </c>
      <c r="BO1879" t="s">
        <v>22646</v>
      </c>
      <c r="BP1879" t="s">
        <v>22647</v>
      </c>
      <c r="BQ1879" t="s">
        <v>581</v>
      </c>
      <c r="BR1879" t="s">
        <v>582</v>
      </c>
      <c r="BS1879" t="s">
        <v>198</v>
      </c>
      <c r="BT1879" t="s">
        <v>22648</v>
      </c>
      <c r="BU1879" t="s">
        <v>182</v>
      </c>
      <c r="BV1879" t="s">
        <v>198</v>
      </c>
      <c r="BW1879" t="s">
        <v>198</v>
      </c>
      <c r="BX1879" t="s">
        <v>199</v>
      </c>
      <c r="BY1879" t="s">
        <v>198</v>
      </c>
      <c r="BZ1879" t="s">
        <v>199</v>
      </c>
      <c r="CA1879" t="s">
        <v>199</v>
      </c>
      <c r="CB1879" t="s">
        <v>22649</v>
      </c>
      <c r="CC1879" t="s">
        <v>201</v>
      </c>
      <c r="CD1879" t="s">
        <v>202</v>
      </c>
      <c r="CE1879" t="s">
        <v>22650</v>
      </c>
      <c r="CF1879" t="s">
        <v>413</v>
      </c>
      <c r="CG1879" t="s">
        <v>177</v>
      </c>
      <c r="CH1879" t="s">
        <v>1579</v>
      </c>
      <c r="CI1879" t="s">
        <v>22651</v>
      </c>
      <c r="CS1879" t="s">
        <v>198</v>
      </c>
      <c r="DC1879" t="s">
        <v>198</v>
      </c>
      <c r="DM1879" t="s">
        <v>198</v>
      </c>
      <c r="DW1879" t="s">
        <v>198</v>
      </c>
      <c r="EG1879" t="s">
        <v>198</v>
      </c>
      <c r="EQ1879" t="s">
        <v>198</v>
      </c>
      <c r="FA1879" t="s">
        <v>198</v>
      </c>
      <c r="FK1879" t="s">
        <v>198</v>
      </c>
      <c r="FU1879" t="s">
        <v>198</v>
      </c>
    </row>
    <row r="1880" spans="1:177">
      <c r="A1880" s="1" t="str">
        <f>HYPERLINK("http://digipan.lumentumllc.com/apps/getLink/index.php?t=PropLink&amp;p=5243894","PL")</f>
        <v>PL</v>
      </c>
      <c r="B1880" s="1" t="str">
        <f>HYPERLINK("http://digipan.lumentumllc.com/apps/getLink/index.php?t=TaxLink&amp;p=5243894","TL")</f>
        <v>TL</v>
      </c>
      <c r="C1880" s="1" t="str">
        <f>HYPERLINK("http://digipan.lumentumllc.com/apps/getMap/index.php?p=5243894","Map")</f>
        <v>Map</v>
      </c>
      <c r="E1880" t="s">
        <v>177</v>
      </c>
      <c r="F1880" t="s">
        <v>178</v>
      </c>
      <c r="L1880" t="s">
        <v>22652</v>
      </c>
      <c r="N1880" t="s">
        <v>22652</v>
      </c>
      <c r="O1880" t="s">
        <v>22652</v>
      </c>
      <c r="P1880" t="s">
        <v>22653</v>
      </c>
      <c r="Q1880" t="s">
        <v>22652</v>
      </c>
      <c r="V1880">
        <v>2143</v>
      </c>
      <c r="W1880">
        <v>7</v>
      </c>
      <c r="X1880">
        <v>2017</v>
      </c>
      <c r="Y1880">
        <v>2018</v>
      </c>
      <c r="Z1880">
        <v>1862.92</v>
      </c>
      <c r="AB1880" t="s">
        <v>181</v>
      </c>
      <c r="AC1880" t="s">
        <v>202</v>
      </c>
      <c r="AD1880" t="s">
        <v>183</v>
      </c>
      <c r="AE1880">
        <v>1</v>
      </c>
      <c r="AF1880">
        <v>5</v>
      </c>
      <c r="AG1880" t="s">
        <v>951</v>
      </c>
      <c r="AH1880">
        <v>80</v>
      </c>
      <c r="AI1880">
        <v>1715.41</v>
      </c>
      <c r="AJ1880">
        <v>85.77</v>
      </c>
      <c r="AK1880">
        <v>1801.18</v>
      </c>
      <c r="AL1880">
        <v>110000</v>
      </c>
      <c r="AM1880">
        <v>110000</v>
      </c>
      <c r="AN1880">
        <v>0</v>
      </c>
      <c r="AO1880">
        <v>1561</v>
      </c>
      <c r="AP1880">
        <v>2016</v>
      </c>
      <c r="AQ1880">
        <v>1.69</v>
      </c>
      <c r="AR1880">
        <v>1.64</v>
      </c>
      <c r="AS1880" t="s">
        <v>22654</v>
      </c>
      <c r="AT1880" t="s">
        <v>15040</v>
      </c>
      <c r="AU1880" t="s">
        <v>177</v>
      </c>
      <c r="AV1880" t="s">
        <v>371</v>
      </c>
      <c r="AW1880" t="s">
        <v>182</v>
      </c>
      <c r="AX1880">
        <v>0</v>
      </c>
      <c r="AY1880" t="s">
        <v>312</v>
      </c>
      <c r="AZ1880" t="s">
        <v>199</v>
      </c>
      <c r="BA1880" t="s">
        <v>313</v>
      </c>
      <c r="BB1880" t="s">
        <v>191</v>
      </c>
      <c r="BC1880" t="s">
        <v>182</v>
      </c>
      <c r="BD1880" t="s">
        <v>182</v>
      </c>
      <c r="BE1880" t="s">
        <v>3930</v>
      </c>
      <c r="BF1880">
        <v>0</v>
      </c>
      <c r="BG1880">
        <v>0</v>
      </c>
      <c r="BH1880">
        <v>0</v>
      </c>
      <c r="BI1880" t="s">
        <v>199</v>
      </c>
      <c r="BJ1880" t="s">
        <v>315</v>
      </c>
      <c r="BL1880" t="s">
        <v>18331</v>
      </c>
      <c r="BM1880" t="s">
        <v>1041</v>
      </c>
      <c r="BN1880" t="s">
        <v>182</v>
      </c>
      <c r="BO1880" t="s">
        <v>198</v>
      </c>
      <c r="BP1880" t="s">
        <v>198</v>
      </c>
      <c r="BQ1880" t="s">
        <v>198</v>
      </c>
      <c r="BR1880" t="s">
        <v>198</v>
      </c>
      <c r="BS1880" t="s">
        <v>198</v>
      </c>
      <c r="BT1880" t="s">
        <v>198</v>
      </c>
      <c r="BU1880" t="s">
        <v>182</v>
      </c>
      <c r="BV1880" t="s">
        <v>198</v>
      </c>
      <c r="BW1880" t="s">
        <v>198</v>
      </c>
      <c r="BX1880" t="s">
        <v>199</v>
      </c>
      <c r="BY1880" t="s">
        <v>198</v>
      </c>
      <c r="BZ1880" t="s">
        <v>199</v>
      </c>
      <c r="CA1880" t="s">
        <v>199</v>
      </c>
      <c r="CB1880" t="s">
        <v>18787</v>
      </c>
      <c r="CC1880" t="s">
        <v>201</v>
      </c>
      <c r="CD1880" t="s">
        <v>182</v>
      </c>
      <c r="CE1880" t="s">
        <v>18788</v>
      </c>
      <c r="CF1880" t="s">
        <v>5331</v>
      </c>
      <c r="CG1880" t="s">
        <v>177</v>
      </c>
      <c r="CH1880" t="s">
        <v>371</v>
      </c>
      <c r="CI1880" t="s">
        <v>22655</v>
      </c>
      <c r="CJ1880" t="s">
        <v>15720</v>
      </c>
      <c r="CK1880" t="s">
        <v>232</v>
      </c>
      <c r="CL1880" t="s">
        <v>233</v>
      </c>
      <c r="CM1880" t="s">
        <v>22656</v>
      </c>
      <c r="CN1880" t="s">
        <v>235</v>
      </c>
      <c r="CO1880" t="s">
        <v>183</v>
      </c>
      <c r="CP1880" t="s">
        <v>266</v>
      </c>
      <c r="CS1880" t="s">
        <v>198</v>
      </c>
      <c r="CT1880" t="s">
        <v>15850</v>
      </c>
      <c r="CU1880" t="s">
        <v>267</v>
      </c>
      <c r="CV1880" t="s">
        <v>268</v>
      </c>
      <c r="CW1880" t="s">
        <v>22657</v>
      </c>
      <c r="CX1880" t="s">
        <v>235</v>
      </c>
      <c r="CY1880" t="s">
        <v>183</v>
      </c>
      <c r="CZ1880" t="s">
        <v>211</v>
      </c>
      <c r="DA1880" t="s">
        <v>270</v>
      </c>
      <c r="DB1880" t="s">
        <v>271</v>
      </c>
      <c r="DC1880" t="s">
        <v>272</v>
      </c>
      <c r="DD1880" t="s">
        <v>451</v>
      </c>
      <c r="DE1880" t="s">
        <v>273</v>
      </c>
      <c r="DF1880" t="s">
        <v>274</v>
      </c>
      <c r="DG1880" t="s">
        <v>22658</v>
      </c>
      <c r="DH1880" t="s">
        <v>235</v>
      </c>
      <c r="DI1880" t="s">
        <v>183</v>
      </c>
      <c r="DJ1880" t="s">
        <v>211</v>
      </c>
      <c r="DL1880" t="s">
        <v>271</v>
      </c>
      <c r="DM1880" t="s">
        <v>198</v>
      </c>
      <c r="DN1880" t="s">
        <v>17958</v>
      </c>
      <c r="DO1880" t="s">
        <v>302</v>
      </c>
      <c r="DP1880" t="s">
        <v>303</v>
      </c>
      <c r="DQ1880" t="s">
        <v>20126</v>
      </c>
      <c r="DR1880" t="s">
        <v>7278</v>
      </c>
      <c r="DS1880" t="s">
        <v>183</v>
      </c>
      <c r="DT1880" t="s">
        <v>211</v>
      </c>
      <c r="DU1880" t="s">
        <v>523</v>
      </c>
      <c r="DW1880" t="s">
        <v>6318</v>
      </c>
      <c r="DX1880" t="s">
        <v>13219</v>
      </c>
      <c r="DY1880" t="s">
        <v>346</v>
      </c>
      <c r="DZ1880" t="s">
        <v>347</v>
      </c>
      <c r="EA1880" t="s">
        <v>22659</v>
      </c>
      <c r="EB1880" t="s">
        <v>1491</v>
      </c>
      <c r="EC1880" t="s">
        <v>183</v>
      </c>
      <c r="ED1880" t="s">
        <v>211</v>
      </c>
      <c r="EE1880" t="s">
        <v>212</v>
      </c>
      <c r="EG1880" t="s">
        <v>22660</v>
      </c>
      <c r="EH1880" t="s">
        <v>22661</v>
      </c>
      <c r="EI1880" t="s">
        <v>207</v>
      </c>
      <c r="EJ1880" t="s">
        <v>208</v>
      </c>
      <c r="EK1880" t="s">
        <v>22662</v>
      </c>
      <c r="EL1880" t="s">
        <v>7482</v>
      </c>
      <c r="EM1880" t="s">
        <v>183</v>
      </c>
      <c r="EN1880" t="s">
        <v>211</v>
      </c>
      <c r="EO1880" t="s">
        <v>334</v>
      </c>
      <c r="EQ1880" t="s">
        <v>22660</v>
      </c>
      <c r="FA1880" t="s">
        <v>198</v>
      </c>
      <c r="FK1880" t="s">
        <v>198</v>
      </c>
      <c r="FU1880" t="s">
        <v>198</v>
      </c>
    </row>
    <row r="1881" spans="1:177">
      <c r="A1881" s="1" t="str">
        <f>HYPERLINK("http://digipan.lumentumllc.com/apps/getLink/index.php?t=PropLink&amp;p=6128601","PL")</f>
        <v>PL</v>
      </c>
      <c r="B1881" s="1" t="str">
        <f>HYPERLINK("http://digipan.lumentumllc.com/apps/getLink/index.php?t=TaxLink&amp;p=6128601","TL")</f>
        <v>TL</v>
      </c>
      <c r="C1881" s="1" t="str">
        <f>HYPERLINK("http://digipan.lumentumllc.com/apps/getMap/index.php?p=6128601","Map")</f>
        <v>Map</v>
      </c>
      <c r="E1881" t="s">
        <v>177</v>
      </c>
      <c r="F1881" t="s">
        <v>178</v>
      </c>
      <c r="L1881" t="s">
        <v>22663</v>
      </c>
      <c r="N1881" t="s">
        <v>22663</v>
      </c>
      <c r="O1881" t="s">
        <v>22663</v>
      </c>
      <c r="P1881" t="s">
        <v>22664</v>
      </c>
      <c r="Q1881" t="s">
        <v>22663</v>
      </c>
      <c r="V1881">
        <v>2146</v>
      </c>
      <c r="W1881">
        <v>7</v>
      </c>
      <c r="X1881">
        <v>2017</v>
      </c>
      <c r="Y1881">
        <v>2018</v>
      </c>
      <c r="Z1881">
        <v>2557.08</v>
      </c>
      <c r="AB1881" t="s">
        <v>181</v>
      </c>
      <c r="AC1881" t="s">
        <v>182</v>
      </c>
      <c r="AD1881" t="s">
        <v>183</v>
      </c>
      <c r="AE1881">
        <v>0</v>
      </c>
      <c r="AF1881">
        <v>6</v>
      </c>
      <c r="AG1881" t="s">
        <v>528</v>
      </c>
      <c r="AH1881">
        <v>100</v>
      </c>
      <c r="AK1881">
        <v>0</v>
      </c>
      <c r="AL1881">
        <v>151975</v>
      </c>
      <c r="AM1881">
        <v>50000</v>
      </c>
      <c r="AN1881">
        <v>101975</v>
      </c>
      <c r="AO1881">
        <v>2150</v>
      </c>
      <c r="AP1881">
        <v>2016</v>
      </c>
      <c r="AQ1881">
        <v>1.68</v>
      </c>
      <c r="AS1881" t="s">
        <v>22665</v>
      </c>
      <c r="AT1881" t="s">
        <v>15040</v>
      </c>
      <c r="AU1881" t="s">
        <v>177</v>
      </c>
      <c r="AV1881" t="s">
        <v>371</v>
      </c>
      <c r="AW1881" t="s">
        <v>182</v>
      </c>
      <c r="AX1881">
        <v>1</v>
      </c>
      <c r="AY1881" t="s">
        <v>188</v>
      </c>
      <c r="AZ1881" t="s">
        <v>206</v>
      </c>
      <c r="BA1881" t="s">
        <v>355</v>
      </c>
      <c r="BB1881" t="s">
        <v>191</v>
      </c>
      <c r="BC1881" t="s">
        <v>182</v>
      </c>
      <c r="BD1881" t="s">
        <v>182</v>
      </c>
      <c r="BE1881" t="s">
        <v>3930</v>
      </c>
      <c r="BF1881">
        <v>1</v>
      </c>
      <c r="BG1881">
        <v>1</v>
      </c>
      <c r="BH1881">
        <v>2009</v>
      </c>
      <c r="BI1881" t="s">
        <v>14305</v>
      </c>
      <c r="BJ1881" t="s">
        <v>194</v>
      </c>
      <c r="BK1881" t="s">
        <v>195</v>
      </c>
      <c r="BL1881" t="s">
        <v>199</v>
      </c>
      <c r="BM1881" t="s">
        <v>679</v>
      </c>
      <c r="BN1881" t="s">
        <v>182</v>
      </c>
      <c r="BO1881" t="s">
        <v>14694</v>
      </c>
      <c r="BP1881" t="s">
        <v>22666</v>
      </c>
      <c r="BS1881" t="s">
        <v>22667</v>
      </c>
      <c r="BT1881" t="s">
        <v>198</v>
      </c>
      <c r="BU1881" t="s">
        <v>182</v>
      </c>
      <c r="BV1881" t="s">
        <v>198</v>
      </c>
      <c r="BW1881" t="s">
        <v>198</v>
      </c>
      <c r="BX1881" t="s">
        <v>199</v>
      </c>
      <c r="BY1881" t="s">
        <v>198</v>
      </c>
      <c r="BZ1881" t="s">
        <v>199</v>
      </c>
      <c r="CA1881" t="s">
        <v>199</v>
      </c>
      <c r="CB1881" t="s">
        <v>22668</v>
      </c>
      <c r="CC1881" t="s">
        <v>201</v>
      </c>
      <c r="CD1881" t="s">
        <v>182</v>
      </c>
      <c r="CE1881" t="s">
        <v>22669</v>
      </c>
      <c r="CF1881" t="s">
        <v>22670</v>
      </c>
      <c r="CG1881" t="s">
        <v>1902</v>
      </c>
      <c r="CH1881" t="s">
        <v>22671</v>
      </c>
      <c r="CI1881" t="s">
        <v>22672</v>
      </c>
      <c r="CJ1881" t="s">
        <v>10953</v>
      </c>
      <c r="CK1881" t="s">
        <v>232</v>
      </c>
      <c r="CL1881" t="s">
        <v>233</v>
      </c>
      <c r="CM1881" t="s">
        <v>22673</v>
      </c>
      <c r="CN1881" t="s">
        <v>235</v>
      </c>
      <c r="CO1881" t="s">
        <v>183</v>
      </c>
      <c r="CP1881" t="s">
        <v>211</v>
      </c>
      <c r="CQ1881" t="s">
        <v>264</v>
      </c>
      <c r="CS1881" t="s">
        <v>8584</v>
      </c>
      <c r="CT1881" t="s">
        <v>15827</v>
      </c>
      <c r="CU1881" t="s">
        <v>292</v>
      </c>
      <c r="CV1881" t="s">
        <v>293</v>
      </c>
      <c r="CW1881" t="s">
        <v>22674</v>
      </c>
      <c r="CX1881" t="s">
        <v>235</v>
      </c>
      <c r="CY1881" t="s">
        <v>183</v>
      </c>
      <c r="CZ1881" t="s">
        <v>211</v>
      </c>
      <c r="DA1881" t="s">
        <v>471</v>
      </c>
      <c r="DC1881" t="s">
        <v>2738</v>
      </c>
      <c r="DD1881" t="s">
        <v>20551</v>
      </c>
      <c r="DE1881" t="s">
        <v>267</v>
      </c>
      <c r="DF1881" t="s">
        <v>268</v>
      </c>
      <c r="DG1881" t="s">
        <v>22675</v>
      </c>
      <c r="DH1881" t="s">
        <v>235</v>
      </c>
      <c r="DI1881" t="s">
        <v>183</v>
      </c>
      <c r="DJ1881" t="s">
        <v>211</v>
      </c>
      <c r="DK1881" t="s">
        <v>487</v>
      </c>
      <c r="DM1881" t="s">
        <v>22676</v>
      </c>
      <c r="DN1881" t="s">
        <v>1825</v>
      </c>
      <c r="DO1881" t="s">
        <v>273</v>
      </c>
      <c r="DP1881" t="s">
        <v>274</v>
      </c>
      <c r="DQ1881" t="s">
        <v>22677</v>
      </c>
      <c r="DR1881" t="s">
        <v>235</v>
      </c>
      <c r="DS1881" t="s">
        <v>183</v>
      </c>
      <c r="DT1881" t="s">
        <v>211</v>
      </c>
      <c r="DU1881" t="s">
        <v>189</v>
      </c>
      <c r="DW1881" t="s">
        <v>2470</v>
      </c>
      <c r="DX1881" t="s">
        <v>22678</v>
      </c>
      <c r="DY1881" t="s">
        <v>302</v>
      </c>
      <c r="DZ1881" t="s">
        <v>303</v>
      </c>
      <c r="EA1881" t="s">
        <v>22679</v>
      </c>
      <c r="EB1881" t="s">
        <v>235</v>
      </c>
      <c r="EC1881" t="s">
        <v>183</v>
      </c>
      <c r="ED1881" t="s">
        <v>211</v>
      </c>
      <c r="EE1881" t="s">
        <v>460</v>
      </c>
      <c r="EG1881" t="s">
        <v>2470</v>
      </c>
      <c r="EH1881" t="s">
        <v>523</v>
      </c>
      <c r="EI1881" t="s">
        <v>238</v>
      </c>
      <c r="EJ1881" t="s">
        <v>239</v>
      </c>
      <c r="EK1881" t="s">
        <v>22680</v>
      </c>
      <c r="EL1881" t="s">
        <v>235</v>
      </c>
      <c r="EM1881" t="s">
        <v>183</v>
      </c>
      <c r="EN1881" t="s">
        <v>211</v>
      </c>
      <c r="EO1881" t="s">
        <v>290</v>
      </c>
      <c r="EQ1881" t="s">
        <v>22681</v>
      </c>
      <c r="FA1881" t="s">
        <v>198</v>
      </c>
      <c r="FK1881" t="s">
        <v>198</v>
      </c>
      <c r="FU1881" t="s">
        <v>198</v>
      </c>
    </row>
    <row r="1882" spans="1:177">
      <c r="A1882" s="1" t="str">
        <f>HYPERLINK("http://digipan.lumentumllc.com/apps/getLink/index.php?t=PropLink&amp;p=5243902","PL")</f>
        <v>PL</v>
      </c>
      <c r="B1882" s="1" t="str">
        <f>HYPERLINK("http://digipan.lumentumllc.com/apps/getLink/index.php?t=TaxLink&amp;p=5243902","TL")</f>
        <v>TL</v>
      </c>
      <c r="C1882" s="1" t="str">
        <f>HYPERLINK("http://digipan.lumentumllc.com/apps/getMap/index.php?p=5243902","Map")</f>
        <v>Map</v>
      </c>
      <c r="E1882" t="s">
        <v>177</v>
      </c>
      <c r="F1882" t="s">
        <v>178</v>
      </c>
      <c r="L1882" t="s">
        <v>22682</v>
      </c>
      <c r="N1882" t="s">
        <v>22682</v>
      </c>
      <c r="O1882" t="s">
        <v>22682</v>
      </c>
      <c r="P1882" t="s">
        <v>22683</v>
      </c>
      <c r="Q1882" t="s">
        <v>22682</v>
      </c>
      <c r="V1882">
        <v>2147</v>
      </c>
      <c r="W1882">
        <v>7</v>
      </c>
      <c r="X1882">
        <v>2017</v>
      </c>
      <c r="Y1882">
        <v>2018</v>
      </c>
      <c r="Z1882">
        <v>807.18</v>
      </c>
      <c r="AB1882" t="s">
        <v>181</v>
      </c>
      <c r="AC1882" t="s">
        <v>202</v>
      </c>
      <c r="AD1882" t="s">
        <v>183</v>
      </c>
      <c r="AE1882">
        <v>0</v>
      </c>
      <c r="AF1882">
        <v>7</v>
      </c>
      <c r="AG1882" t="s">
        <v>528</v>
      </c>
      <c r="AH1882">
        <v>100</v>
      </c>
      <c r="AK1882">
        <v>0</v>
      </c>
      <c r="AL1882">
        <v>50000</v>
      </c>
      <c r="AM1882">
        <v>50000</v>
      </c>
      <c r="AN1882">
        <v>0</v>
      </c>
      <c r="AO1882">
        <v>624</v>
      </c>
      <c r="AP1882">
        <v>2016</v>
      </c>
      <c r="AQ1882">
        <v>1.61</v>
      </c>
      <c r="AS1882" t="s">
        <v>22684</v>
      </c>
      <c r="AT1882" t="s">
        <v>15040</v>
      </c>
      <c r="AU1882" t="s">
        <v>177</v>
      </c>
      <c r="AV1882" t="s">
        <v>371</v>
      </c>
      <c r="AW1882" t="s">
        <v>182</v>
      </c>
      <c r="AX1882">
        <v>0</v>
      </c>
      <c r="AY1882" t="s">
        <v>312</v>
      </c>
      <c r="AZ1882" t="s">
        <v>199</v>
      </c>
      <c r="BA1882" t="s">
        <v>313</v>
      </c>
      <c r="BB1882" t="s">
        <v>191</v>
      </c>
      <c r="BC1882" t="s">
        <v>182</v>
      </c>
      <c r="BD1882" t="s">
        <v>182</v>
      </c>
      <c r="BE1882" t="s">
        <v>3930</v>
      </c>
      <c r="BF1882">
        <v>0</v>
      </c>
      <c r="BG1882">
        <v>0</v>
      </c>
      <c r="BH1882">
        <v>0</v>
      </c>
      <c r="BI1882" t="s">
        <v>199</v>
      </c>
      <c r="BJ1882" t="s">
        <v>315</v>
      </c>
      <c r="BL1882" t="s">
        <v>199</v>
      </c>
      <c r="BM1882" t="s">
        <v>4724</v>
      </c>
      <c r="BN1882" t="s">
        <v>182</v>
      </c>
      <c r="BO1882" t="s">
        <v>198</v>
      </c>
      <c r="BP1882" t="s">
        <v>198</v>
      </c>
      <c r="BQ1882" t="s">
        <v>198</v>
      </c>
      <c r="BR1882" t="s">
        <v>198</v>
      </c>
      <c r="BS1882" t="s">
        <v>198</v>
      </c>
      <c r="BT1882" t="s">
        <v>198</v>
      </c>
      <c r="BU1882" t="s">
        <v>182</v>
      </c>
      <c r="BV1882" t="s">
        <v>198</v>
      </c>
      <c r="BW1882" t="s">
        <v>198</v>
      </c>
      <c r="BX1882" t="s">
        <v>199</v>
      </c>
      <c r="BY1882" t="s">
        <v>198</v>
      </c>
      <c r="BZ1882" t="s">
        <v>199</v>
      </c>
      <c r="CA1882" t="s">
        <v>199</v>
      </c>
      <c r="CB1882" t="s">
        <v>22685</v>
      </c>
      <c r="CC1882" t="s">
        <v>201</v>
      </c>
      <c r="CD1882" t="s">
        <v>202</v>
      </c>
      <c r="CE1882" t="s">
        <v>22686</v>
      </c>
      <c r="CF1882" t="s">
        <v>22687</v>
      </c>
      <c r="CG1882" t="s">
        <v>1602</v>
      </c>
      <c r="CH1882" t="s">
        <v>15759</v>
      </c>
      <c r="CI1882" t="s">
        <v>22688</v>
      </c>
      <c r="CJ1882" t="s">
        <v>15008</v>
      </c>
      <c r="CK1882" t="s">
        <v>232</v>
      </c>
      <c r="CL1882" t="s">
        <v>233</v>
      </c>
      <c r="CM1882" t="s">
        <v>22689</v>
      </c>
      <c r="CN1882" t="s">
        <v>235</v>
      </c>
      <c r="CO1882" t="s">
        <v>183</v>
      </c>
      <c r="CP1882" t="s">
        <v>211</v>
      </c>
      <c r="CQ1882" t="s">
        <v>296</v>
      </c>
      <c r="CS1882" t="s">
        <v>22690</v>
      </c>
      <c r="CT1882" t="s">
        <v>9352</v>
      </c>
      <c r="CU1882" t="s">
        <v>292</v>
      </c>
      <c r="CV1882" t="s">
        <v>293</v>
      </c>
      <c r="CW1882" t="s">
        <v>22691</v>
      </c>
      <c r="CX1882" t="s">
        <v>235</v>
      </c>
      <c r="CY1882" t="s">
        <v>183</v>
      </c>
      <c r="CZ1882" t="s">
        <v>211</v>
      </c>
      <c r="DA1882" t="s">
        <v>329</v>
      </c>
      <c r="DC1882" t="s">
        <v>2670</v>
      </c>
      <c r="DD1882" t="s">
        <v>16143</v>
      </c>
      <c r="DE1882" t="s">
        <v>267</v>
      </c>
      <c r="DF1882" t="s">
        <v>268</v>
      </c>
      <c r="DG1882" t="s">
        <v>22692</v>
      </c>
      <c r="DH1882" t="s">
        <v>1676</v>
      </c>
      <c r="DI1882" t="s">
        <v>183</v>
      </c>
      <c r="DJ1882" t="s">
        <v>211</v>
      </c>
      <c r="DK1882" t="s">
        <v>270</v>
      </c>
      <c r="DM1882" t="s">
        <v>4105</v>
      </c>
      <c r="DN1882" t="s">
        <v>22693</v>
      </c>
      <c r="DO1882" t="s">
        <v>302</v>
      </c>
      <c r="DP1882" t="s">
        <v>303</v>
      </c>
      <c r="DQ1882" t="s">
        <v>22694</v>
      </c>
      <c r="DR1882" t="s">
        <v>235</v>
      </c>
      <c r="DS1882" t="s">
        <v>183</v>
      </c>
      <c r="DT1882" t="s">
        <v>211</v>
      </c>
      <c r="DU1882" t="s">
        <v>212</v>
      </c>
      <c r="DV1882" t="s">
        <v>271</v>
      </c>
      <c r="DW1882" t="s">
        <v>15609</v>
      </c>
      <c r="DX1882" t="s">
        <v>298</v>
      </c>
      <c r="DY1882" t="s">
        <v>238</v>
      </c>
      <c r="DZ1882" t="s">
        <v>239</v>
      </c>
      <c r="EA1882" t="s">
        <v>22695</v>
      </c>
      <c r="EB1882" t="s">
        <v>2515</v>
      </c>
      <c r="EC1882" t="s">
        <v>183</v>
      </c>
      <c r="ED1882" t="s">
        <v>211</v>
      </c>
      <c r="EF1882" t="s">
        <v>271</v>
      </c>
      <c r="EG1882" t="s">
        <v>198</v>
      </c>
      <c r="EH1882" t="s">
        <v>22696</v>
      </c>
      <c r="EI1882" t="s">
        <v>346</v>
      </c>
      <c r="EJ1882" t="s">
        <v>347</v>
      </c>
      <c r="EK1882" t="s">
        <v>22697</v>
      </c>
      <c r="EL1882" t="s">
        <v>1491</v>
      </c>
      <c r="EM1882" t="s">
        <v>183</v>
      </c>
      <c r="EN1882" t="s">
        <v>211</v>
      </c>
      <c r="EO1882" t="s">
        <v>633</v>
      </c>
      <c r="EQ1882" t="s">
        <v>2038</v>
      </c>
      <c r="ER1882" t="s">
        <v>22698</v>
      </c>
      <c r="ES1882" t="s">
        <v>207</v>
      </c>
      <c r="ET1882" t="s">
        <v>208</v>
      </c>
      <c r="EU1882" t="s">
        <v>22699</v>
      </c>
      <c r="EV1882" t="s">
        <v>7482</v>
      </c>
      <c r="EW1882" t="s">
        <v>183</v>
      </c>
      <c r="EX1882" t="s">
        <v>211</v>
      </c>
      <c r="EY1882" t="s">
        <v>298</v>
      </c>
      <c r="FA1882" t="s">
        <v>1324</v>
      </c>
      <c r="FK1882" t="s">
        <v>198</v>
      </c>
      <c r="FU1882" t="s">
        <v>198</v>
      </c>
    </row>
    <row r="1883" spans="1:177">
      <c r="A1883" s="1" t="str">
        <f>HYPERLINK("http://digipan.lumentumllc.com/apps/getLink/index.php?t=PropLink&amp;p=5243903","PL")</f>
        <v>PL</v>
      </c>
      <c r="B1883" s="1" t="str">
        <f>HYPERLINK("http://digipan.lumentumllc.com/apps/getLink/index.php?t=TaxLink&amp;p=5243903","TL")</f>
        <v>TL</v>
      </c>
      <c r="C1883" s="1" t="str">
        <f>HYPERLINK("http://digipan.lumentumllc.com/apps/getMap/index.php?p=5243903","Map")</f>
        <v>Map</v>
      </c>
      <c r="E1883" t="s">
        <v>177</v>
      </c>
      <c r="F1883" t="s">
        <v>178</v>
      </c>
      <c r="L1883" t="s">
        <v>22700</v>
      </c>
      <c r="N1883" t="s">
        <v>22700</v>
      </c>
      <c r="O1883" t="s">
        <v>22700</v>
      </c>
      <c r="P1883" t="s">
        <v>22701</v>
      </c>
      <c r="Q1883" t="s">
        <v>22700</v>
      </c>
      <c r="V1883">
        <v>2148</v>
      </c>
      <c r="W1883">
        <v>7</v>
      </c>
      <c r="X1883">
        <v>2017</v>
      </c>
      <c r="Y1883">
        <v>2018</v>
      </c>
      <c r="Z1883">
        <v>807.18</v>
      </c>
      <c r="AB1883" t="s">
        <v>181</v>
      </c>
      <c r="AC1883" t="s">
        <v>182</v>
      </c>
      <c r="AD1883" t="s">
        <v>183</v>
      </c>
      <c r="AE1883">
        <v>0</v>
      </c>
      <c r="AF1883">
        <v>4</v>
      </c>
      <c r="AG1883" t="s">
        <v>381</v>
      </c>
      <c r="AH1883">
        <v>100</v>
      </c>
      <c r="AK1883">
        <v>0</v>
      </c>
      <c r="AL1883">
        <v>50000</v>
      </c>
      <c r="AM1883">
        <v>50000</v>
      </c>
      <c r="AN1883">
        <v>0</v>
      </c>
      <c r="AO1883">
        <v>624</v>
      </c>
      <c r="AP1883">
        <v>2016</v>
      </c>
      <c r="AQ1883">
        <v>1.61</v>
      </c>
      <c r="AS1883" t="s">
        <v>22702</v>
      </c>
      <c r="AT1883" t="s">
        <v>15040</v>
      </c>
      <c r="AU1883" t="s">
        <v>177</v>
      </c>
      <c r="AV1883" t="s">
        <v>371</v>
      </c>
      <c r="AW1883" t="s">
        <v>182</v>
      </c>
      <c r="AX1883">
        <v>0</v>
      </c>
      <c r="AY1883" t="s">
        <v>312</v>
      </c>
      <c r="AZ1883" t="s">
        <v>199</v>
      </c>
      <c r="BA1883" t="s">
        <v>313</v>
      </c>
      <c r="BB1883" t="s">
        <v>191</v>
      </c>
      <c r="BC1883" t="s">
        <v>182</v>
      </c>
      <c r="BD1883" t="s">
        <v>182</v>
      </c>
      <c r="BE1883" t="s">
        <v>3930</v>
      </c>
      <c r="BF1883">
        <v>0</v>
      </c>
      <c r="BG1883">
        <v>0</v>
      </c>
      <c r="BH1883">
        <v>0</v>
      </c>
      <c r="BI1883" t="s">
        <v>199</v>
      </c>
      <c r="BJ1883" t="s">
        <v>396</v>
      </c>
      <c r="BL1883" t="s">
        <v>199</v>
      </c>
      <c r="BM1883" t="s">
        <v>273</v>
      </c>
      <c r="BN1883" t="s">
        <v>182</v>
      </c>
      <c r="BO1883" t="s">
        <v>198</v>
      </c>
      <c r="BP1883" t="s">
        <v>198</v>
      </c>
      <c r="BQ1883" t="s">
        <v>198</v>
      </c>
      <c r="BR1883" t="s">
        <v>198</v>
      </c>
      <c r="BS1883" t="s">
        <v>198</v>
      </c>
      <c r="BT1883" t="s">
        <v>198</v>
      </c>
      <c r="BU1883" t="s">
        <v>182</v>
      </c>
      <c r="BV1883" t="s">
        <v>198</v>
      </c>
      <c r="BW1883" t="s">
        <v>198</v>
      </c>
      <c r="BX1883" t="s">
        <v>199</v>
      </c>
      <c r="BY1883" t="s">
        <v>198</v>
      </c>
      <c r="BZ1883" t="s">
        <v>199</v>
      </c>
      <c r="CA1883" t="s">
        <v>199</v>
      </c>
      <c r="CB1883" t="s">
        <v>22703</v>
      </c>
      <c r="CC1883" t="s">
        <v>1407</v>
      </c>
      <c r="CD1883" t="s">
        <v>202</v>
      </c>
      <c r="CE1883" t="s">
        <v>22704</v>
      </c>
      <c r="CF1883" t="s">
        <v>413</v>
      </c>
      <c r="CG1883" t="s">
        <v>177</v>
      </c>
      <c r="CH1883" t="s">
        <v>5741</v>
      </c>
      <c r="CI1883" t="s">
        <v>22705</v>
      </c>
      <c r="CJ1883" t="s">
        <v>19936</v>
      </c>
      <c r="CK1883" t="s">
        <v>292</v>
      </c>
      <c r="CL1883" t="s">
        <v>293</v>
      </c>
      <c r="CM1883" t="s">
        <v>22691</v>
      </c>
      <c r="CN1883" t="s">
        <v>333</v>
      </c>
      <c r="CO1883" t="s">
        <v>183</v>
      </c>
      <c r="CP1883" t="s">
        <v>211</v>
      </c>
      <c r="CQ1883" t="s">
        <v>212</v>
      </c>
      <c r="CS1883" t="s">
        <v>2776</v>
      </c>
      <c r="CT1883" t="s">
        <v>345</v>
      </c>
      <c r="CU1883" t="s">
        <v>238</v>
      </c>
      <c r="CV1883" t="s">
        <v>239</v>
      </c>
      <c r="CW1883" t="s">
        <v>22695</v>
      </c>
      <c r="CX1883" t="s">
        <v>2515</v>
      </c>
      <c r="CY1883" t="s">
        <v>183</v>
      </c>
      <c r="CZ1883" t="s">
        <v>211</v>
      </c>
      <c r="DA1883" t="s">
        <v>212</v>
      </c>
      <c r="DC1883" t="s">
        <v>279</v>
      </c>
      <c r="DD1883" t="s">
        <v>13296</v>
      </c>
      <c r="DE1883" t="s">
        <v>346</v>
      </c>
      <c r="DF1883" t="s">
        <v>347</v>
      </c>
      <c r="DG1883" t="s">
        <v>22697</v>
      </c>
      <c r="DH1883" t="s">
        <v>1491</v>
      </c>
      <c r="DI1883" t="s">
        <v>183</v>
      </c>
      <c r="DJ1883" t="s">
        <v>211</v>
      </c>
      <c r="DK1883" t="s">
        <v>493</v>
      </c>
      <c r="DM1883" t="s">
        <v>11918</v>
      </c>
      <c r="DN1883" t="s">
        <v>22706</v>
      </c>
      <c r="DO1883" t="s">
        <v>207</v>
      </c>
      <c r="DP1883" t="s">
        <v>208</v>
      </c>
      <c r="DQ1883" t="s">
        <v>22699</v>
      </c>
      <c r="DR1883" t="s">
        <v>7482</v>
      </c>
      <c r="DS1883" t="s">
        <v>183</v>
      </c>
      <c r="DT1883" t="s">
        <v>211</v>
      </c>
      <c r="DU1883" t="s">
        <v>298</v>
      </c>
      <c r="DW1883" t="s">
        <v>4297</v>
      </c>
      <c r="EG1883" t="s">
        <v>198</v>
      </c>
      <c r="EQ1883" t="s">
        <v>198</v>
      </c>
      <c r="FA1883" t="s">
        <v>198</v>
      </c>
      <c r="FK1883" t="s">
        <v>198</v>
      </c>
      <c r="FU1883" t="s">
        <v>198</v>
      </c>
    </row>
    <row r="1884" spans="1:177">
      <c r="A1884" s="1" t="str">
        <f>HYPERLINK("http://digipan.lumentumllc.com/apps/getLink/index.php?t=PropLink&amp;p=15725355","PL")</f>
        <v>PL</v>
      </c>
      <c r="B1884" s="1" t="str">
        <f>HYPERLINK("http://digipan.lumentumllc.com/apps/getLink/index.php?t=TaxLink&amp;p=15725355","TL")</f>
        <v>TL</v>
      </c>
      <c r="C1884" s="1" t="str">
        <f>HYPERLINK("http://digipan.lumentumllc.com/apps/getMap/index.php?p=15725355","Map")</f>
        <v>Map</v>
      </c>
      <c r="E1884" t="s">
        <v>177</v>
      </c>
      <c r="F1884" t="s">
        <v>178</v>
      </c>
      <c r="L1884" t="s">
        <v>22707</v>
      </c>
      <c r="N1884" t="s">
        <v>22707</v>
      </c>
      <c r="O1884" t="s">
        <v>22707</v>
      </c>
      <c r="Q1884" t="s">
        <v>22707</v>
      </c>
      <c r="V1884">
        <v>2149</v>
      </c>
      <c r="W1884">
        <v>7</v>
      </c>
      <c r="X1884">
        <v>2017</v>
      </c>
      <c r="Y1884">
        <v>2018</v>
      </c>
      <c r="Z1884">
        <v>1195.03</v>
      </c>
      <c r="AG1884" t="s">
        <v>184</v>
      </c>
      <c r="AH1884">
        <v>0</v>
      </c>
      <c r="AK1884">
        <v>0</v>
      </c>
      <c r="AL1884">
        <v>69874</v>
      </c>
      <c r="AM1884">
        <v>50000</v>
      </c>
      <c r="AN1884">
        <v>19874</v>
      </c>
      <c r="AO1884">
        <v>999</v>
      </c>
      <c r="AP1884">
        <v>2016</v>
      </c>
      <c r="AQ1884">
        <v>1.71</v>
      </c>
      <c r="AS1884" t="s">
        <v>22708</v>
      </c>
      <c r="AT1884" t="s">
        <v>15040</v>
      </c>
      <c r="AU1884" t="s">
        <v>177</v>
      </c>
      <c r="AV1884" t="s">
        <v>371</v>
      </c>
      <c r="AW1884" t="s">
        <v>182</v>
      </c>
      <c r="AX1884">
        <v>8</v>
      </c>
      <c r="AY1884" t="s">
        <v>188</v>
      </c>
      <c r="AZ1884" t="s">
        <v>329</v>
      </c>
      <c r="BA1884" t="s">
        <v>6773</v>
      </c>
      <c r="BB1884" t="s">
        <v>191</v>
      </c>
      <c r="BC1884" t="s">
        <v>182</v>
      </c>
      <c r="BD1884" t="s">
        <v>182</v>
      </c>
      <c r="BE1884" t="s">
        <v>3907</v>
      </c>
      <c r="BF1884">
        <v>1</v>
      </c>
      <c r="BG1884">
        <v>1</v>
      </c>
      <c r="BH1884">
        <v>1960</v>
      </c>
      <c r="BI1884" t="s">
        <v>22709</v>
      </c>
      <c r="BJ1884" t="s">
        <v>194</v>
      </c>
      <c r="BK1884" t="s">
        <v>840</v>
      </c>
      <c r="BL1884" t="s">
        <v>8387</v>
      </c>
      <c r="BM1884" t="s">
        <v>273</v>
      </c>
      <c r="BN1884" t="s">
        <v>182</v>
      </c>
      <c r="BO1884" t="s">
        <v>22710</v>
      </c>
      <c r="BP1884" t="s">
        <v>3234</v>
      </c>
      <c r="BQ1884" t="s">
        <v>226</v>
      </c>
      <c r="BR1884" t="s">
        <v>227</v>
      </c>
      <c r="BS1884" t="s">
        <v>198</v>
      </c>
      <c r="BT1884" t="s">
        <v>5675</v>
      </c>
      <c r="BU1884" t="s">
        <v>182</v>
      </c>
      <c r="BV1884" t="s">
        <v>198</v>
      </c>
      <c r="BW1884" t="s">
        <v>198</v>
      </c>
      <c r="BX1884" t="s">
        <v>199</v>
      </c>
      <c r="BY1884" t="s">
        <v>198</v>
      </c>
      <c r="BZ1884" t="s">
        <v>199</v>
      </c>
      <c r="CA1884" t="s">
        <v>199</v>
      </c>
      <c r="CB1884" t="s">
        <v>22711</v>
      </c>
      <c r="CC1884" t="s">
        <v>201</v>
      </c>
      <c r="CD1884" t="s">
        <v>182</v>
      </c>
      <c r="CE1884" t="s">
        <v>22712</v>
      </c>
      <c r="CF1884" t="s">
        <v>413</v>
      </c>
      <c r="CG1884" t="s">
        <v>177</v>
      </c>
      <c r="CH1884" t="s">
        <v>22713</v>
      </c>
      <c r="CI1884" t="s">
        <v>22714</v>
      </c>
      <c r="CS1884" t="s">
        <v>198</v>
      </c>
      <c r="DC1884" t="s">
        <v>198</v>
      </c>
      <c r="DM1884" t="s">
        <v>198</v>
      </c>
      <c r="DW1884" t="s">
        <v>198</v>
      </c>
      <c r="EG1884" t="s">
        <v>198</v>
      </c>
      <c r="EQ1884" t="s">
        <v>198</v>
      </c>
      <c r="FA1884" t="s">
        <v>198</v>
      </c>
      <c r="FK1884" t="s">
        <v>198</v>
      </c>
      <c r="FU1884" t="s">
        <v>198</v>
      </c>
    </row>
    <row r="1885" spans="1:177">
      <c r="A1885" s="1" t="str">
        <f>HYPERLINK("http://digipan.lumentumllc.com/apps/getLink/index.php?t=PropLink&amp;p=5243905","PL")</f>
        <v>PL</v>
      </c>
      <c r="B1885" s="1" t="str">
        <f>HYPERLINK("http://digipan.lumentumllc.com/apps/getLink/index.php?t=TaxLink&amp;p=5243905","TL")</f>
        <v>TL</v>
      </c>
      <c r="C1885" s="1" t="str">
        <f>HYPERLINK("http://digipan.lumentumllc.com/apps/getMap/index.php?p=5243905","Map")</f>
        <v>Map</v>
      </c>
      <c r="E1885" t="s">
        <v>177</v>
      </c>
      <c r="F1885" t="s">
        <v>178</v>
      </c>
      <c r="L1885" t="s">
        <v>22715</v>
      </c>
      <c r="N1885" t="s">
        <v>22715</v>
      </c>
      <c r="O1885" t="s">
        <v>22715</v>
      </c>
      <c r="P1885" t="s">
        <v>22716</v>
      </c>
      <c r="Q1885" t="s">
        <v>22715</v>
      </c>
      <c r="V1885">
        <v>2150</v>
      </c>
      <c r="W1885">
        <v>7</v>
      </c>
      <c r="X1885">
        <v>2017</v>
      </c>
      <c r="Y1885">
        <v>2018</v>
      </c>
      <c r="Z1885">
        <v>859.47</v>
      </c>
      <c r="AB1885" t="s">
        <v>181</v>
      </c>
      <c r="AC1885" t="s">
        <v>182</v>
      </c>
      <c r="AD1885" t="s">
        <v>183</v>
      </c>
      <c r="AE1885">
        <v>1</v>
      </c>
      <c r="AF1885">
        <v>7</v>
      </c>
      <c r="AG1885" t="s">
        <v>418</v>
      </c>
      <c r="AH1885">
        <v>86</v>
      </c>
      <c r="AI1885">
        <v>786.78</v>
      </c>
      <c r="AJ1885">
        <v>39.340000000000003</v>
      </c>
      <c r="AK1885">
        <v>826.12</v>
      </c>
      <c r="AL1885">
        <v>50000</v>
      </c>
      <c r="AM1885">
        <v>50000</v>
      </c>
      <c r="AN1885">
        <v>0</v>
      </c>
      <c r="AO1885">
        <v>703</v>
      </c>
      <c r="AP1885">
        <v>2016</v>
      </c>
      <c r="AQ1885">
        <v>1.72</v>
      </c>
      <c r="AR1885">
        <v>1.65</v>
      </c>
      <c r="AS1885" t="s">
        <v>22717</v>
      </c>
      <c r="AT1885" t="s">
        <v>15040</v>
      </c>
      <c r="AU1885" t="s">
        <v>177</v>
      </c>
      <c r="AV1885" t="s">
        <v>371</v>
      </c>
      <c r="AW1885" t="s">
        <v>182</v>
      </c>
      <c r="AX1885">
        <v>0</v>
      </c>
      <c r="AY1885" t="s">
        <v>312</v>
      </c>
      <c r="AZ1885" t="s">
        <v>199</v>
      </c>
      <c r="BA1885" t="s">
        <v>313</v>
      </c>
      <c r="BB1885" t="s">
        <v>191</v>
      </c>
      <c r="BC1885" t="s">
        <v>182</v>
      </c>
      <c r="BD1885" t="s">
        <v>182</v>
      </c>
      <c r="BE1885" t="s">
        <v>3907</v>
      </c>
      <c r="BF1885">
        <v>0</v>
      </c>
      <c r="BG1885">
        <v>0</v>
      </c>
      <c r="BH1885">
        <v>0</v>
      </c>
      <c r="BI1885" t="s">
        <v>199</v>
      </c>
      <c r="BJ1885" t="s">
        <v>315</v>
      </c>
      <c r="BL1885" t="s">
        <v>199</v>
      </c>
      <c r="BM1885" t="s">
        <v>559</v>
      </c>
      <c r="BN1885" t="s">
        <v>182</v>
      </c>
      <c r="BO1885" t="s">
        <v>198</v>
      </c>
      <c r="BP1885" t="s">
        <v>198</v>
      </c>
      <c r="BQ1885" t="s">
        <v>198</v>
      </c>
      <c r="BR1885" t="s">
        <v>198</v>
      </c>
      <c r="BS1885" t="s">
        <v>198</v>
      </c>
      <c r="BT1885" t="s">
        <v>198</v>
      </c>
      <c r="BU1885" t="s">
        <v>182</v>
      </c>
      <c r="BV1885" t="s">
        <v>198</v>
      </c>
      <c r="BW1885" t="s">
        <v>198</v>
      </c>
      <c r="BX1885" t="s">
        <v>199</v>
      </c>
      <c r="BY1885" t="s">
        <v>198</v>
      </c>
      <c r="BZ1885" t="s">
        <v>199</v>
      </c>
      <c r="CA1885" t="s">
        <v>199</v>
      </c>
      <c r="CB1885" t="s">
        <v>22718</v>
      </c>
      <c r="CC1885" t="s">
        <v>201</v>
      </c>
      <c r="CD1885" t="s">
        <v>202</v>
      </c>
      <c r="CE1885" t="s">
        <v>22719</v>
      </c>
      <c r="CF1885" t="s">
        <v>3415</v>
      </c>
      <c r="CG1885" t="s">
        <v>177</v>
      </c>
      <c r="CH1885" t="s">
        <v>22720</v>
      </c>
      <c r="CI1885" t="s">
        <v>22721</v>
      </c>
      <c r="CJ1885" t="s">
        <v>3474</v>
      </c>
      <c r="CK1885" t="s">
        <v>232</v>
      </c>
      <c r="CL1885" t="s">
        <v>233</v>
      </c>
      <c r="CM1885" t="s">
        <v>22722</v>
      </c>
      <c r="CN1885" t="s">
        <v>235</v>
      </c>
      <c r="CO1885" t="s">
        <v>183</v>
      </c>
      <c r="CP1885" t="s">
        <v>266</v>
      </c>
      <c r="CS1885" t="s">
        <v>198</v>
      </c>
      <c r="CT1885" t="s">
        <v>3004</v>
      </c>
      <c r="CU1885" t="s">
        <v>292</v>
      </c>
      <c r="CV1885" t="s">
        <v>293</v>
      </c>
      <c r="CW1885" t="s">
        <v>22723</v>
      </c>
      <c r="CX1885" t="s">
        <v>333</v>
      </c>
      <c r="CY1885" t="s">
        <v>183</v>
      </c>
      <c r="CZ1885" t="s">
        <v>211</v>
      </c>
      <c r="DA1885" t="s">
        <v>345</v>
      </c>
      <c r="DC1885" t="s">
        <v>3095</v>
      </c>
      <c r="DD1885" t="s">
        <v>22144</v>
      </c>
      <c r="DE1885" t="s">
        <v>267</v>
      </c>
      <c r="DF1885" t="s">
        <v>268</v>
      </c>
      <c r="DG1885" t="s">
        <v>22724</v>
      </c>
      <c r="DH1885" t="s">
        <v>235</v>
      </c>
      <c r="DI1885" t="s">
        <v>183</v>
      </c>
      <c r="DJ1885" t="s">
        <v>211</v>
      </c>
      <c r="DK1885" t="s">
        <v>334</v>
      </c>
      <c r="DM1885" t="s">
        <v>22725</v>
      </c>
      <c r="DN1885" t="s">
        <v>1332</v>
      </c>
      <c r="DO1885" t="s">
        <v>273</v>
      </c>
      <c r="DP1885" t="s">
        <v>274</v>
      </c>
      <c r="DQ1885" t="s">
        <v>22726</v>
      </c>
      <c r="DR1885" t="s">
        <v>235</v>
      </c>
      <c r="DS1885" t="s">
        <v>183</v>
      </c>
      <c r="DT1885" t="s">
        <v>211</v>
      </c>
      <c r="DU1885" t="s">
        <v>345</v>
      </c>
      <c r="DW1885" t="s">
        <v>3539</v>
      </c>
      <c r="DX1885" t="s">
        <v>22727</v>
      </c>
      <c r="DY1885" t="s">
        <v>302</v>
      </c>
      <c r="DZ1885" t="s">
        <v>303</v>
      </c>
      <c r="EA1885" t="s">
        <v>22728</v>
      </c>
      <c r="EB1885" t="s">
        <v>511</v>
      </c>
      <c r="EC1885" t="s">
        <v>183</v>
      </c>
      <c r="ED1885" t="s">
        <v>211</v>
      </c>
      <c r="EE1885" t="s">
        <v>345</v>
      </c>
      <c r="EG1885" t="s">
        <v>1372</v>
      </c>
      <c r="EH1885" t="s">
        <v>334</v>
      </c>
      <c r="EI1885" t="s">
        <v>238</v>
      </c>
      <c r="EJ1885" t="s">
        <v>239</v>
      </c>
      <c r="EK1885" t="s">
        <v>22729</v>
      </c>
      <c r="EL1885" t="s">
        <v>2515</v>
      </c>
      <c r="EM1885" t="s">
        <v>183</v>
      </c>
      <c r="EN1885" t="s">
        <v>211</v>
      </c>
      <c r="EO1885" t="s">
        <v>345</v>
      </c>
      <c r="EQ1885" t="s">
        <v>2753</v>
      </c>
      <c r="ER1885" t="s">
        <v>21220</v>
      </c>
      <c r="ES1885" t="s">
        <v>346</v>
      </c>
      <c r="ET1885" t="s">
        <v>347</v>
      </c>
      <c r="EU1885" t="s">
        <v>22730</v>
      </c>
      <c r="EV1885" t="s">
        <v>1491</v>
      </c>
      <c r="EW1885" t="s">
        <v>183</v>
      </c>
      <c r="EX1885" t="s">
        <v>211</v>
      </c>
      <c r="EY1885" t="s">
        <v>345</v>
      </c>
      <c r="FA1885" t="s">
        <v>4897</v>
      </c>
      <c r="FB1885" t="s">
        <v>22731</v>
      </c>
      <c r="FC1885" t="s">
        <v>207</v>
      </c>
      <c r="FD1885" t="s">
        <v>208</v>
      </c>
      <c r="FE1885" t="s">
        <v>22732</v>
      </c>
      <c r="FF1885" t="s">
        <v>1966</v>
      </c>
      <c r="FG1885" t="s">
        <v>183</v>
      </c>
      <c r="FH1885" t="s">
        <v>211</v>
      </c>
      <c r="FI1885" t="s">
        <v>298</v>
      </c>
      <c r="FK1885" t="s">
        <v>5492</v>
      </c>
      <c r="FU1885" t="s">
        <v>198</v>
      </c>
    </row>
    <row r="1886" spans="1:177">
      <c r="A1886" s="1" t="str">
        <f>HYPERLINK("http://digipan.lumentumllc.com/apps/getLink/index.php?t=PropLink&amp;p=5243916","PL")</f>
        <v>PL</v>
      </c>
      <c r="B1886" s="1" t="str">
        <f>HYPERLINK("http://digipan.lumentumllc.com/apps/getLink/index.php?t=TaxLink&amp;p=5243916","TL")</f>
        <v>TL</v>
      </c>
      <c r="C1886" s="1" t="str">
        <f>HYPERLINK("http://digipan.lumentumllc.com/apps/getMap/index.php?p=5243916","Map")</f>
        <v>Map</v>
      </c>
      <c r="E1886" t="s">
        <v>177</v>
      </c>
      <c r="F1886" t="s">
        <v>178</v>
      </c>
      <c r="L1886" t="s">
        <v>22733</v>
      </c>
      <c r="N1886" t="s">
        <v>22733</v>
      </c>
      <c r="O1886" t="s">
        <v>22733</v>
      </c>
      <c r="P1886" t="s">
        <v>22734</v>
      </c>
      <c r="Q1886" t="s">
        <v>22733</v>
      </c>
      <c r="V1886">
        <v>2151</v>
      </c>
      <c r="W1886">
        <v>7</v>
      </c>
      <c r="X1886">
        <v>2017</v>
      </c>
      <c r="Y1886">
        <v>2018</v>
      </c>
      <c r="Z1886">
        <v>1197.1400000000001</v>
      </c>
      <c r="AB1886" t="s">
        <v>181</v>
      </c>
      <c r="AC1886" t="s">
        <v>182</v>
      </c>
      <c r="AD1886" t="s">
        <v>183</v>
      </c>
      <c r="AE1886">
        <v>0</v>
      </c>
      <c r="AF1886">
        <v>5</v>
      </c>
      <c r="AG1886" t="s">
        <v>3266</v>
      </c>
      <c r="AH1886">
        <v>100</v>
      </c>
      <c r="AK1886">
        <v>0</v>
      </c>
      <c r="AL1886">
        <v>70000</v>
      </c>
      <c r="AM1886">
        <v>70000</v>
      </c>
      <c r="AN1886">
        <v>0</v>
      </c>
      <c r="AO1886">
        <v>1052</v>
      </c>
      <c r="AP1886">
        <v>2016</v>
      </c>
      <c r="AQ1886">
        <v>1.71</v>
      </c>
      <c r="AS1886" t="s">
        <v>22735</v>
      </c>
      <c r="AT1886" t="s">
        <v>15040</v>
      </c>
      <c r="AU1886" t="s">
        <v>177</v>
      </c>
      <c r="AV1886" t="s">
        <v>371</v>
      </c>
      <c r="AW1886" t="s">
        <v>182</v>
      </c>
      <c r="AX1886">
        <v>0</v>
      </c>
      <c r="AY1886" t="s">
        <v>312</v>
      </c>
      <c r="AZ1886" t="s">
        <v>199</v>
      </c>
      <c r="BA1886" t="s">
        <v>313</v>
      </c>
      <c r="BB1886" t="s">
        <v>191</v>
      </c>
      <c r="BC1886" t="s">
        <v>182</v>
      </c>
      <c r="BD1886" t="s">
        <v>182</v>
      </c>
      <c r="BE1886" t="s">
        <v>5948</v>
      </c>
      <c r="BF1886">
        <v>0</v>
      </c>
      <c r="BG1886">
        <v>0</v>
      </c>
      <c r="BH1886">
        <v>0</v>
      </c>
      <c r="BI1886" t="s">
        <v>199</v>
      </c>
      <c r="BJ1886" t="s">
        <v>315</v>
      </c>
      <c r="BL1886" t="s">
        <v>11981</v>
      </c>
      <c r="BM1886" t="s">
        <v>232</v>
      </c>
      <c r="BN1886" t="s">
        <v>182</v>
      </c>
      <c r="BO1886" t="s">
        <v>18455</v>
      </c>
      <c r="BP1886" t="s">
        <v>8355</v>
      </c>
      <c r="BQ1886" t="s">
        <v>800</v>
      </c>
      <c r="BR1886" t="s">
        <v>563</v>
      </c>
      <c r="BS1886" t="s">
        <v>198</v>
      </c>
      <c r="BT1886" t="s">
        <v>7867</v>
      </c>
      <c r="BU1886" t="s">
        <v>182</v>
      </c>
      <c r="BV1886" t="s">
        <v>198</v>
      </c>
      <c r="BW1886" t="s">
        <v>198</v>
      </c>
      <c r="BX1886" t="s">
        <v>199</v>
      </c>
      <c r="BY1886" t="s">
        <v>198</v>
      </c>
      <c r="BZ1886" t="s">
        <v>199</v>
      </c>
      <c r="CA1886" t="s">
        <v>199</v>
      </c>
      <c r="CB1886" t="s">
        <v>22736</v>
      </c>
      <c r="CC1886" t="s">
        <v>201</v>
      </c>
      <c r="CD1886" t="s">
        <v>202</v>
      </c>
      <c r="CE1886" t="s">
        <v>22737</v>
      </c>
      <c r="CF1886" t="s">
        <v>413</v>
      </c>
      <c r="CG1886" t="s">
        <v>177</v>
      </c>
      <c r="CH1886" t="s">
        <v>782</v>
      </c>
      <c r="CI1886" t="s">
        <v>22738</v>
      </c>
      <c r="CJ1886" t="s">
        <v>422</v>
      </c>
      <c r="CK1886" t="s">
        <v>267</v>
      </c>
      <c r="CL1886" t="s">
        <v>268</v>
      </c>
      <c r="CM1886" t="s">
        <v>22739</v>
      </c>
      <c r="CN1886" t="s">
        <v>235</v>
      </c>
      <c r="CO1886" t="s">
        <v>183</v>
      </c>
      <c r="CP1886" t="s">
        <v>211</v>
      </c>
      <c r="CQ1886" t="s">
        <v>199</v>
      </c>
      <c r="CS1886" t="s">
        <v>17015</v>
      </c>
      <c r="CT1886" t="s">
        <v>559</v>
      </c>
      <c r="CU1886" t="s">
        <v>273</v>
      </c>
      <c r="CV1886" t="s">
        <v>274</v>
      </c>
      <c r="CW1886" t="s">
        <v>22740</v>
      </c>
      <c r="CX1886" t="s">
        <v>235</v>
      </c>
      <c r="CY1886" t="s">
        <v>183</v>
      </c>
      <c r="CZ1886" t="s">
        <v>211</v>
      </c>
      <c r="DA1886" t="s">
        <v>270</v>
      </c>
      <c r="DC1886" t="s">
        <v>851</v>
      </c>
      <c r="DD1886" t="s">
        <v>22741</v>
      </c>
      <c r="DE1886" t="s">
        <v>302</v>
      </c>
      <c r="DF1886" t="s">
        <v>303</v>
      </c>
      <c r="DG1886" t="s">
        <v>20188</v>
      </c>
      <c r="DH1886" t="s">
        <v>235</v>
      </c>
      <c r="DI1886" t="s">
        <v>183</v>
      </c>
      <c r="DJ1886" t="s">
        <v>211</v>
      </c>
      <c r="DK1886" t="s">
        <v>212</v>
      </c>
      <c r="DM1886" t="s">
        <v>22742</v>
      </c>
      <c r="DN1886" t="s">
        <v>806</v>
      </c>
      <c r="DO1886" t="s">
        <v>238</v>
      </c>
      <c r="DP1886" t="s">
        <v>239</v>
      </c>
      <c r="DQ1886" t="s">
        <v>22743</v>
      </c>
      <c r="DR1886" t="s">
        <v>440</v>
      </c>
      <c r="DS1886" t="s">
        <v>183</v>
      </c>
      <c r="DT1886" t="s">
        <v>211</v>
      </c>
      <c r="DU1886" t="s">
        <v>296</v>
      </c>
      <c r="DW1886" t="s">
        <v>613</v>
      </c>
      <c r="DX1886" t="s">
        <v>22744</v>
      </c>
      <c r="DY1886" t="s">
        <v>346</v>
      </c>
      <c r="DZ1886" t="s">
        <v>347</v>
      </c>
      <c r="EA1886" t="s">
        <v>22745</v>
      </c>
      <c r="EB1886" t="s">
        <v>1491</v>
      </c>
      <c r="EC1886" t="s">
        <v>183</v>
      </c>
      <c r="ED1886" t="s">
        <v>211</v>
      </c>
      <c r="EE1886" t="s">
        <v>339</v>
      </c>
      <c r="EG1886" t="s">
        <v>12842</v>
      </c>
      <c r="EQ1886" t="s">
        <v>198</v>
      </c>
      <c r="FA1886" t="s">
        <v>198</v>
      </c>
      <c r="FK1886" t="s">
        <v>198</v>
      </c>
      <c r="FU1886" t="s">
        <v>198</v>
      </c>
    </row>
    <row r="1887" spans="1:177">
      <c r="A1887" s="1" t="str">
        <f>HYPERLINK("http://digipan.lumentumllc.com/apps/getLink/index.php?t=PropLink&amp;p=5243918","PL")</f>
        <v>PL</v>
      </c>
      <c r="B1887" s="1" t="str">
        <f>HYPERLINK("http://digipan.lumentumllc.com/apps/getLink/index.php?t=TaxLink&amp;p=5243918","TL")</f>
        <v>TL</v>
      </c>
      <c r="C1887" s="1" t="str">
        <f>HYPERLINK("http://digipan.lumentumllc.com/apps/getMap/index.php?p=5243918","Map")</f>
        <v>Map</v>
      </c>
      <c r="E1887" t="s">
        <v>177</v>
      </c>
      <c r="F1887" t="s">
        <v>178</v>
      </c>
      <c r="L1887" t="s">
        <v>22746</v>
      </c>
      <c r="N1887" t="s">
        <v>22746</v>
      </c>
      <c r="O1887" t="s">
        <v>22746</v>
      </c>
      <c r="P1887" t="s">
        <v>22747</v>
      </c>
      <c r="Q1887" t="s">
        <v>22746</v>
      </c>
      <c r="V1887">
        <v>2152</v>
      </c>
      <c r="W1887">
        <v>7</v>
      </c>
      <c r="X1887">
        <v>2017</v>
      </c>
      <c r="Y1887">
        <v>2018</v>
      </c>
      <c r="Z1887">
        <v>614.55999999999995</v>
      </c>
      <c r="AB1887" t="s">
        <v>181</v>
      </c>
      <c r="AC1887" t="s">
        <v>182</v>
      </c>
      <c r="AD1887" t="s">
        <v>183</v>
      </c>
      <c r="AE1887">
        <v>0</v>
      </c>
      <c r="AF1887">
        <v>5</v>
      </c>
      <c r="AG1887" t="s">
        <v>3266</v>
      </c>
      <c r="AH1887">
        <v>100</v>
      </c>
      <c r="AK1887">
        <v>0</v>
      </c>
      <c r="AL1887">
        <v>35000</v>
      </c>
      <c r="AM1887">
        <v>35000</v>
      </c>
      <c r="AN1887">
        <v>0</v>
      </c>
      <c r="AO1887">
        <v>526</v>
      </c>
      <c r="AP1887">
        <v>2016</v>
      </c>
      <c r="AQ1887">
        <v>1.76</v>
      </c>
      <c r="AS1887" t="s">
        <v>22748</v>
      </c>
      <c r="AT1887" t="s">
        <v>15040</v>
      </c>
      <c r="AU1887" t="s">
        <v>177</v>
      </c>
      <c r="AV1887" t="s">
        <v>371</v>
      </c>
      <c r="AW1887" t="s">
        <v>182</v>
      </c>
      <c r="AX1887">
        <v>0</v>
      </c>
      <c r="AY1887" t="s">
        <v>312</v>
      </c>
      <c r="AZ1887" t="s">
        <v>199</v>
      </c>
      <c r="BA1887" t="s">
        <v>313</v>
      </c>
      <c r="BB1887" t="s">
        <v>191</v>
      </c>
      <c r="BC1887" t="s">
        <v>182</v>
      </c>
      <c r="BD1887" t="s">
        <v>182</v>
      </c>
      <c r="BE1887" t="s">
        <v>1722</v>
      </c>
      <c r="BF1887">
        <v>0</v>
      </c>
      <c r="BG1887">
        <v>0</v>
      </c>
      <c r="BH1887">
        <v>0</v>
      </c>
      <c r="BI1887" t="s">
        <v>199</v>
      </c>
      <c r="BJ1887" t="s">
        <v>315</v>
      </c>
      <c r="BL1887" t="s">
        <v>22749</v>
      </c>
      <c r="BM1887" t="s">
        <v>286</v>
      </c>
      <c r="BN1887" t="s">
        <v>182</v>
      </c>
      <c r="BO1887" t="s">
        <v>8618</v>
      </c>
      <c r="BP1887" t="s">
        <v>5459</v>
      </c>
      <c r="BQ1887" t="s">
        <v>581</v>
      </c>
      <c r="BR1887" t="s">
        <v>563</v>
      </c>
      <c r="BS1887" t="s">
        <v>198</v>
      </c>
      <c r="BT1887" t="s">
        <v>228</v>
      </c>
      <c r="BU1887" t="s">
        <v>182</v>
      </c>
      <c r="BV1887" t="s">
        <v>198</v>
      </c>
      <c r="BW1887" t="s">
        <v>198</v>
      </c>
      <c r="BX1887" t="s">
        <v>199</v>
      </c>
      <c r="BY1887" t="s">
        <v>198</v>
      </c>
      <c r="BZ1887" t="s">
        <v>199</v>
      </c>
      <c r="CA1887" t="s">
        <v>199</v>
      </c>
      <c r="CB1887" t="s">
        <v>22736</v>
      </c>
      <c r="CC1887" t="s">
        <v>201</v>
      </c>
      <c r="CD1887" t="s">
        <v>182</v>
      </c>
      <c r="CE1887" t="s">
        <v>22750</v>
      </c>
      <c r="CF1887" t="s">
        <v>413</v>
      </c>
      <c r="CG1887" t="s">
        <v>177</v>
      </c>
      <c r="CH1887" t="s">
        <v>782</v>
      </c>
      <c r="CI1887" t="s">
        <v>22751</v>
      </c>
      <c r="CJ1887" t="s">
        <v>18286</v>
      </c>
      <c r="CK1887" t="s">
        <v>267</v>
      </c>
      <c r="CL1887" t="s">
        <v>268</v>
      </c>
      <c r="CM1887" t="s">
        <v>18029</v>
      </c>
      <c r="CN1887" t="s">
        <v>484</v>
      </c>
      <c r="CO1887" t="s">
        <v>183</v>
      </c>
      <c r="CP1887" t="s">
        <v>211</v>
      </c>
      <c r="CQ1887" t="s">
        <v>199</v>
      </c>
      <c r="CS1887" t="s">
        <v>17015</v>
      </c>
      <c r="CT1887" t="s">
        <v>207</v>
      </c>
      <c r="CU1887" t="s">
        <v>273</v>
      </c>
      <c r="CV1887" t="s">
        <v>274</v>
      </c>
      <c r="CW1887" t="s">
        <v>4072</v>
      </c>
      <c r="CX1887" t="s">
        <v>235</v>
      </c>
      <c r="CY1887" t="s">
        <v>183</v>
      </c>
      <c r="CZ1887" t="s">
        <v>211</v>
      </c>
      <c r="DA1887" t="s">
        <v>270</v>
      </c>
      <c r="DC1887" t="s">
        <v>851</v>
      </c>
      <c r="DD1887" t="s">
        <v>22752</v>
      </c>
      <c r="DE1887" t="s">
        <v>302</v>
      </c>
      <c r="DF1887" t="s">
        <v>303</v>
      </c>
      <c r="DG1887" t="s">
        <v>22694</v>
      </c>
      <c r="DH1887" t="s">
        <v>1586</v>
      </c>
      <c r="DI1887" t="s">
        <v>183</v>
      </c>
      <c r="DJ1887" t="s">
        <v>211</v>
      </c>
      <c r="DK1887" t="s">
        <v>212</v>
      </c>
      <c r="DM1887" t="s">
        <v>22742</v>
      </c>
      <c r="DN1887" t="s">
        <v>865</v>
      </c>
      <c r="DO1887" t="s">
        <v>238</v>
      </c>
      <c r="DP1887" t="s">
        <v>239</v>
      </c>
      <c r="DQ1887" t="s">
        <v>22695</v>
      </c>
      <c r="DR1887" t="s">
        <v>833</v>
      </c>
      <c r="DS1887" t="s">
        <v>183</v>
      </c>
      <c r="DT1887" t="s">
        <v>211</v>
      </c>
      <c r="DU1887" t="s">
        <v>296</v>
      </c>
      <c r="DW1887" t="s">
        <v>613</v>
      </c>
      <c r="DX1887" t="s">
        <v>18323</v>
      </c>
      <c r="DY1887" t="s">
        <v>346</v>
      </c>
      <c r="DZ1887" t="s">
        <v>347</v>
      </c>
      <c r="EA1887" t="s">
        <v>22697</v>
      </c>
      <c r="EB1887" t="s">
        <v>440</v>
      </c>
      <c r="EC1887" t="s">
        <v>183</v>
      </c>
      <c r="ED1887" t="s">
        <v>211</v>
      </c>
      <c r="EE1887" t="s">
        <v>444</v>
      </c>
      <c r="EG1887" t="s">
        <v>613</v>
      </c>
      <c r="EQ1887" t="s">
        <v>198</v>
      </c>
      <c r="FA1887" t="s">
        <v>198</v>
      </c>
      <c r="FK1887" t="s">
        <v>198</v>
      </c>
      <c r="FU1887" t="s">
        <v>198</v>
      </c>
    </row>
    <row r="1888" spans="1:177">
      <c r="A1888" s="1" t="str">
        <f>HYPERLINK("http://digipan.lumentumllc.com/apps/getLink/index.php?t=PropLink&amp;p=5243919","PL")</f>
        <v>PL</v>
      </c>
      <c r="B1888" s="1" t="str">
        <f>HYPERLINK("http://digipan.lumentumllc.com/apps/getLink/index.php?t=TaxLink&amp;p=5243919","TL")</f>
        <v>TL</v>
      </c>
      <c r="C1888" s="1" t="str">
        <f>HYPERLINK("http://digipan.lumentumllc.com/apps/getMap/index.php?p=5243919","Map")</f>
        <v>Map</v>
      </c>
      <c r="E1888" t="s">
        <v>177</v>
      </c>
      <c r="F1888" t="s">
        <v>178</v>
      </c>
      <c r="L1888" t="s">
        <v>22753</v>
      </c>
      <c r="N1888" t="s">
        <v>22753</v>
      </c>
      <c r="O1888" t="s">
        <v>22753</v>
      </c>
      <c r="P1888" t="s">
        <v>22754</v>
      </c>
      <c r="Q1888" t="s">
        <v>22753</v>
      </c>
      <c r="V1888">
        <v>2153</v>
      </c>
      <c r="W1888">
        <v>7</v>
      </c>
      <c r="X1888">
        <v>2017</v>
      </c>
      <c r="Y1888">
        <v>2018</v>
      </c>
      <c r="Z1888">
        <v>614.55999999999995</v>
      </c>
      <c r="AB1888" t="s">
        <v>181</v>
      </c>
      <c r="AC1888" t="s">
        <v>182</v>
      </c>
      <c r="AD1888" t="s">
        <v>183</v>
      </c>
      <c r="AE1888">
        <v>0</v>
      </c>
      <c r="AF1888">
        <v>5</v>
      </c>
      <c r="AG1888" t="s">
        <v>3266</v>
      </c>
      <c r="AH1888">
        <v>100</v>
      </c>
      <c r="AK1888">
        <v>0</v>
      </c>
      <c r="AL1888">
        <v>35000</v>
      </c>
      <c r="AM1888">
        <v>35000</v>
      </c>
      <c r="AN1888">
        <v>0</v>
      </c>
      <c r="AO1888">
        <v>526</v>
      </c>
      <c r="AP1888">
        <v>2016</v>
      </c>
      <c r="AQ1888">
        <v>1.76</v>
      </c>
      <c r="AS1888" t="s">
        <v>22748</v>
      </c>
      <c r="AT1888" t="s">
        <v>15040</v>
      </c>
      <c r="AU1888" t="s">
        <v>177</v>
      </c>
      <c r="AV1888" t="s">
        <v>371</v>
      </c>
      <c r="AW1888" t="s">
        <v>182</v>
      </c>
      <c r="AX1888">
        <v>0</v>
      </c>
      <c r="AY1888" t="s">
        <v>312</v>
      </c>
      <c r="AZ1888" t="s">
        <v>199</v>
      </c>
      <c r="BA1888" t="s">
        <v>313</v>
      </c>
      <c r="BB1888" t="s">
        <v>191</v>
      </c>
      <c r="BC1888" t="s">
        <v>182</v>
      </c>
      <c r="BD1888" t="s">
        <v>182</v>
      </c>
      <c r="BE1888" t="s">
        <v>3930</v>
      </c>
      <c r="BF1888">
        <v>0</v>
      </c>
      <c r="BG1888">
        <v>0</v>
      </c>
      <c r="BH1888">
        <v>0</v>
      </c>
      <c r="BI1888" t="s">
        <v>199</v>
      </c>
      <c r="BJ1888" t="s">
        <v>315</v>
      </c>
      <c r="BL1888" t="s">
        <v>5504</v>
      </c>
      <c r="BM1888" t="s">
        <v>559</v>
      </c>
      <c r="BN1888" t="s">
        <v>182</v>
      </c>
      <c r="BO1888" t="s">
        <v>198</v>
      </c>
      <c r="BP1888" t="s">
        <v>198</v>
      </c>
      <c r="BQ1888" t="s">
        <v>198</v>
      </c>
      <c r="BR1888" t="s">
        <v>198</v>
      </c>
      <c r="BS1888" t="s">
        <v>198</v>
      </c>
      <c r="BT1888" t="s">
        <v>198</v>
      </c>
      <c r="BU1888" t="s">
        <v>182</v>
      </c>
      <c r="BV1888" t="s">
        <v>198</v>
      </c>
      <c r="BW1888" t="s">
        <v>198</v>
      </c>
      <c r="BX1888" t="s">
        <v>199</v>
      </c>
      <c r="BY1888" t="s">
        <v>198</v>
      </c>
      <c r="BZ1888" t="s">
        <v>199</v>
      </c>
      <c r="CA1888" t="s">
        <v>199</v>
      </c>
      <c r="CB1888" t="s">
        <v>22755</v>
      </c>
      <c r="CC1888" t="s">
        <v>201</v>
      </c>
      <c r="CD1888" t="s">
        <v>182</v>
      </c>
      <c r="CE1888" t="s">
        <v>22750</v>
      </c>
      <c r="CF1888" t="s">
        <v>413</v>
      </c>
      <c r="CG1888" t="s">
        <v>177</v>
      </c>
      <c r="CH1888" t="s">
        <v>782</v>
      </c>
      <c r="CI1888" t="s">
        <v>22756</v>
      </c>
      <c r="CJ1888" t="s">
        <v>20637</v>
      </c>
      <c r="CK1888" t="s">
        <v>267</v>
      </c>
      <c r="CL1888" t="s">
        <v>268</v>
      </c>
      <c r="CM1888" t="s">
        <v>18029</v>
      </c>
      <c r="CN1888" t="s">
        <v>484</v>
      </c>
      <c r="CO1888" t="s">
        <v>183</v>
      </c>
      <c r="CP1888" t="s">
        <v>211</v>
      </c>
      <c r="CQ1888" t="s">
        <v>199</v>
      </c>
      <c r="CS1888" t="s">
        <v>17015</v>
      </c>
      <c r="CT1888" t="s">
        <v>346</v>
      </c>
      <c r="CU1888" t="s">
        <v>273</v>
      </c>
      <c r="CV1888" t="s">
        <v>274</v>
      </c>
      <c r="CW1888" t="s">
        <v>4072</v>
      </c>
      <c r="CX1888" t="s">
        <v>235</v>
      </c>
      <c r="CY1888" t="s">
        <v>183</v>
      </c>
      <c r="CZ1888" t="s">
        <v>211</v>
      </c>
      <c r="DA1888" t="s">
        <v>270</v>
      </c>
      <c r="DC1888" t="s">
        <v>851</v>
      </c>
      <c r="DD1888" t="s">
        <v>22757</v>
      </c>
      <c r="DE1888" t="s">
        <v>302</v>
      </c>
      <c r="DF1888" t="s">
        <v>303</v>
      </c>
      <c r="DG1888" t="s">
        <v>22694</v>
      </c>
      <c r="DH1888" t="s">
        <v>1586</v>
      </c>
      <c r="DI1888" t="s">
        <v>183</v>
      </c>
      <c r="DJ1888" t="s">
        <v>211</v>
      </c>
      <c r="DK1888" t="s">
        <v>212</v>
      </c>
      <c r="DM1888" t="s">
        <v>22742</v>
      </c>
      <c r="DN1888" t="s">
        <v>909</v>
      </c>
      <c r="DO1888" t="s">
        <v>238</v>
      </c>
      <c r="DP1888" t="s">
        <v>239</v>
      </c>
      <c r="DQ1888" t="s">
        <v>22695</v>
      </c>
      <c r="DR1888" t="s">
        <v>833</v>
      </c>
      <c r="DS1888" t="s">
        <v>183</v>
      </c>
      <c r="DT1888" t="s">
        <v>211</v>
      </c>
      <c r="DU1888" t="s">
        <v>296</v>
      </c>
      <c r="DW1888" t="s">
        <v>613</v>
      </c>
      <c r="DX1888" t="s">
        <v>18339</v>
      </c>
      <c r="DY1888" t="s">
        <v>346</v>
      </c>
      <c r="DZ1888" t="s">
        <v>347</v>
      </c>
      <c r="EA1888" t="s">
        <v>22697</v>
      </c>
      <c r="EB1888" t="s">
        <v>1491</v>
      </c>
      <c r="EC1888" t="s">
        <v>183</v>
      </c>
      <c r="ED1888" t="s">
        <v>211</v>
      </c>
      <c r="EE1888" t="s">
        <v>444</v>
      </c>
      <c r="EG1888" t="s">
        <v>613</v>
      </c>
      <c r="EQ1888" t="s">
        <v>198</v>
      </c>
      <c r="FA1888" t="s">
        <v>198</v>
      </c>
      <c r="FK1888" t="s">
        <v>198</v>
      </c>
      <c r="FU1888" t="s">
        <v>198</v>
      </c>
    </row>
    <row r="1889" spans="1:177">
      <c r="A1889" s="1" t="str">
        <f>HYPERLINK("http://digipan.lumentumllc.com/apps/getLink/index.php?t=PropLink&amp;p=5243922","PL")</f>
        <v>PL</v>
      </c>
      <c r="B1889" s="1" t="str">
        <f>HYPERLINK("http://digipan.lumentumllc.com/apps/getLink/index.php?t=TaxLink&amp;p=5243922","TL")</f>
        <v>TL</v>
      </c>
      <c r="C1889" s="1" t="str">
        <f>HYPERLINK("http://digipan.lumentumllc.com/apps/getMap/index.php?p=5243922","Map")</f>
        <v>Map</v>
      </c>
      <c r="E1889" t="s">
        <v>177</v>
      </c>
      <c r="F1889" t="s">
        <v>178</v>
      </c>
      <c r="L1889" t="s">
        <v>22758</v>
      </c>
      <c r="N1889" t="s">
        <v>22758</v>
      </c>
      <c r="O1889" t="s">
        <v>22758</v>
      </c>
      <c r="P1889" t="s">
        <v>22759</v>
      </c>
      <c r="Q1889" t="s">
        <v>22758</v>
      </c>
      <c r="V1889">
        <v>2155</v>
      </c>
      <c r="W1889">
        <v>7</v>
      </c>
      <c r="X1889">
        <v>2017</v>
      </c>
      <c r="Y1889">
        <v>2018</v>
      </c>
      <c r="Z1889">
        <v>1664.51</v>
      </c>
      <c r="AB1889" t="s">
        <v>181</v>
      </c>
      <c r="AC1889" t="s">
        <v>182</v>
      </c>
      <c r="AD1889" t="s">
        <v>183</v>
      </c>
      <c r="AE1889">
        <v>1</v>
      </c>
      <c r="AF1889">
        <v>1</v>
      </c>
      <c r="AG1889" t="s">
        <v>2222</v>
      </c>
      <c r="AH1889">
        <v>50</v>
      </c>
      <c r="AI1889">
        <v>1685.31</v>
      </c>
      <c r="AJ1889">
        <v>84.27</v>
      </c>
      <c r="AK1889">
        <v>1769.58</v>
      </c>
      <c r="AL1889">
        <v>137362</v>
      </c>
      <c r="AM1889">
        <v>90000</v>
      </c>
      <c r="AN1889">
        <v>47362</v>
      </c>
      <c r="AO1889">
        <v>1533</v>
      </c>
      <c r="AP1889">
        <v>2016</v>
      </c>
      <c r="AQ1889">
        <v>1.21</v>
      </c>
      <c r="AR1889">
        <v>1.29</v>
      </c>
      <c r="AS1889" t="s">
        <v>22760</v>
      </c>
      <c r="AT1889" t="s">
        <v>15040</v>
      </c>
      <c r="AU1889" t="s">
        <v>177</v>
      </c>
      <c r="AV1889" t="s">
        <v>371</v>
      </c>
      <c r="AW1889" t="s">
        <v>202</v>
      </c>
      <c r="AX1889">
        <v>1</v>
      </c>
      <c r="AY1889" t="s">
        <v>188</v>
      </c>
      <c r="AZ1889" t="s">
        <v>206</v>
      </c>
      <c r="BA1889" t="s">
        <v>355</v>
      </c>
      <c r="BB1889" t="s">
        <v>191</v>
      </c>
      <c r="BC1889" t="s">
        <v>182</v>
      </c>
      <c r="BD1889" t="s">
        <v>182</v>
      </c>
      <c r="BE1889" t="s">
        <v>3682</v>
      </c>
      <c r="BF1889">
        <v>1</v>
      </c>
      <c r="BG1889">
        <v>1</v>
      </c>
      <c r="BH1889">
        <v>1985</v>
      </c>
      <c r="BI1889" t="s">
        <v>19184</v>
      </c>
      <c r="BJ1889" t="s">
        <v>194</v>
      </c>
      <c r="BK1889" t="s">
        <v>195</v>
      </c>
      <c r="BL1889" t="s">
        <v>6226</v>
      </c>
      <c r="BM1889" t="s">
        <v>1414</v>
      </c>
      <c r="BN1889" t="s">
        <v>182</v>
      </c>
      <c r="BO1889" t="s">
        <v>198</v>
      </c>
      <c r="BP1889" t="s">
        <v>198</v>
      </c>
      <c r="BQ1889" t="s">
        <v>198</v>
      </c>
      <c r="BR1889" t="s">
        <v>198</v>
      </c>
      <c r="BS1889" t="s">
        <v>198</v>
      </c>
      <c r="BT1889" t="s">
        <v>198</v>
      </c>
      <c r="BU1889" t="s">
        <v>182</v>
      </c>
      <c r="BV1889" t="s">
        <v>198</v>
      </c>
      <c r="BW1889" t="s">
        <v>198</v>
      </c>
      <c r="BX1889" t="s">
        <v>199</v>
      </c>
      <c r="BY1889" t="s">
        <v>198</v>
      </c>
      <c r="BZ1889" t="s">
        <v>199</v>
      </c>
      <c r="CA1889" t="s">
        <v>199</v>
      </c>
      <c r="CB1889" t="s">
        <v>22761</v>
      </c>
      <c r="CC1889" t="s">
        <v>201</v>
      </c>
      <c r="CD1889" t="s">
        <v>182</v>
      </c>
      <c r="CE1889" t="s">
        <v>22762</v>
      </c>
      <c r="CF1889" t="s">
        <v>5331</v>
      </c>
      <c r="CG1889" t="s">
        <v>177</v>
      </c>
      <c r="CH1889" t="s">
        <v>371</v>
      </c>
      <c r="CI1889" t="s">
        <v>22763</v>
      </c>
      <c r="CJ1889" t="s">
        <v>19485</v>
      </c>
      <c r="CK1889" t="s">
        <v>232</v>
      </c>
      <c r="CL1889" t="s">
        <v>233</v>
      </c>
      <c r="CM1889" t="s">
        <v>22764</v>
      </c>
      <c r="CN1889" t="s">
        <v>235</v>
      </c>
      <c r="CO1889" t="s">
        <v>183</v>
      </c>
      <c r="CP1889" t="s">
        <v>266</v>
      </c>
      <c r="CS1889" t="s">
        <v>198</v>
      </c>
      <c r="CT1889" t="s">
        <v>20683</v>
      </c>
      <c r="CU1889" t="s">
        <v>267</v>
      </c>
      <c r="CV1889" t="s">
        <v>268</v>
      </c>
      <c r="CW1889" t="s">
        <v>22765</v>
      </c>
      <c r="CX1889" t="s">
        <v>235</v>
      </c>
      <c r="CY1889" t="s">
        <v>183</v>
      </c>
      <c r="CZ1889" t="s">
        <v>211</v>
      </c>
      <c r="DA1889" t="s">
        <v>212</v>
      </c>
      <c r="DC1889" t="s">
        <v>5556</v>
      </c>
      <c r="DM1889" t="s">
        <v>198</v>
      </c>
      <c r="DW1889" t="s">
        <v>198</v>
      </c>
      <c r="EG1889" t="s">
        <v>198</v>
      </c>
      <c r="EQ1889" t="s">
        <v>198</v>
      </c>
      <c r="FA1889" t="s">
        <v>198</v>
      </c>
      <c r="FK1889" t="s">
        <v>198</v>
      </c>
      <c r="FU1889" t="s">
        <v>198</v>
      </c>
    </row>
    <row r="1890" spans="1:177">
      <c r="A1890" s="1" t="str">
        <f>HYPERLINK("http://digipan.lumentumllc.com/apps/getLink/index.php?t=PropLink&amp;p=5243923","PL")</f>
        <v>PL</v>
      </c>
      <c r="B1890" s="1" t="str">
        <f>HYPERLINK("http://digipan.lumentumllc.com/apps/getLink/index.php?t=TaxLink&amp;p=5243923","TL")</f>
        <v>TL</v>
      </c>
      <c r="C1890" s="1" t="str">
        <f>HYPERLINK("http://digipan.lumentumllc.com/apps/getMap/index.php?p=5243923","Map")</f>
        <v>Map</v>
      </c>
      <c r="E1890" t="s">
        <v>177</v>
      </c>
      <c r="F1890" t="s">
        <v>178</v>
      </c>
      <c r="L1890" t="s">
        <v>22766</v>
      </c>
      <c r="N1890" t="s">
        <v>22766</v>
      </c>
      <c r="O1890" t="s">
        <v>22766</v>
      </c>
      <c r="P1890" t="s">
        <v>22767</v>
      </c>
      <c r="Q1890" t="s">
        <v>22766</v>
      </c>
      <c r="V1890">
        <v>2156</v>
      </c>
      <c r="W1890">
        <v>7</v>
      </c>
      <c r="X1890">
        <v>2017</v>
      </c>
      <c r="Y1890">
        <v>2018</v>
      </c>
      <c r="Z1890">
        <v>531.34</v>
      </c>
      <c r="AB1890" t="s">
        <v>181</v>
      </c>
      <c r="AC1890" t="s">
        <v>182</v>
      </c>
      <c r="AD1890" t="s">
        <v>183</v>
      </c>
      <c r="AE1890">
        <v>0</v>
      </c>
      <c r="AF1890">
        <v>2</v>
      </c>
      <c r="AG1890" t="s">
        <v>216</v>
      </c>
      <c r="AH1890">
        <v>100</v>
      </c>
      <c r="AK1890">
        <v>0</v>
      </c>
      <c r="AL1890">
        <v>30000</v>
      </c>
      <c r="AM1890">
        <v>30000</v>
      </c>
      <c r="AN1890">
        <v>0</v>
      </c>
      <c r="AO1890">
        <v>468</v>
      </c>
      <c r="AP1890">
        <v>2016</v>
      </c>
      <c r="AQ1890">
        <v>1.77</v>
      </c>
      <c r="AS1890" t="s">
        <v>22768</v>
      </c>
      <c r="AT1890" t="s">
        <v>15040</v>
      </c>
      <c r="AU1890" t="s">
        <v>177</v>
      </c>
      <c r="AV1890" t="s">
        <v>371</v>
      </c>
      <c r="AW1890" t="s">
        <v>182</v>
      </c>
      <c r="AX1890">
        <v>0</v>
      </c>
      <c r="AY1890" t="s">
        <v>312</v>
      </c>
      <c r="AZ1890" t="s">
        <v>199</v>
      </c>
      <c r="BA1890" t="s">
        <v>313</v>
      </c>
      <c r="BB1890" t="s">
        <v>191</v>
      </c>
      <c r="BC1890" t="s">
        <v>182</v>
      </c>
      <c r="BD1890" t="s">
        <v>182</v>
      </c>
      <c r="BE1890" t="s">
        <v>3930</v>
      </c>
      <c r="BF1890">
        <v>0</v>
      </c>
      <c r="BG1890">
        <v>0</v>
      </c>
      <c r="BH1890">
        <v>0</v>
      </c>
      <c r="BI1890" t="s">
        <v>199</v>
      </c>
      <c r="BJ1890" t="s">
        <v>315</v>
      </c>
      <c r="BL1890" t="s">
        <v>22769</v>
      </c>
      <c r="BM1890" t="s">
        <v>1387</v>
      </c>
      <c r="BN1890" t="s">
        <v>182</v>
      </c>
      <c r="BO1890" t="s">
        <v>198</v>
      </c>
      <c r="BP1890" t="s">
        <v>198</v>
      </c>
      <c r="BQ1890" t="s">
        <v>198</v>
      </c>
      <c r="BR1890" t="s">
        <v>198</v>
      </c>
      <c r="BS1890" t="s">
        <v>198</v>
      </c>
      <c r="BT1890" t="s">
        <v>198</v>
      </c>
      <c r="BU1890" t="s">
        <v>182</v>
      </c>
      <c r="BV1890" t="s">
        <v>198</v>
      </c>
      <c r="BW1890" t="s">
        <v>198</v>
      </c>
      <c r="BX1890" t="s">
        <v>199</v>
      </c>
      <c r="BY1890" t="s">
        <v>198</v>
      </c>
      <c r="BZ1890" t="s">
        <v>199</v>
      </c>
      <c r="CA1890" t="s">
        <v>199</v>
      </c>
      <c r="CB1890" t="s">
        <v>22761</v>
      </c>
      <c r="CC1890" t="s">
        <v>201</v>
      </c>
      <c r="CD1890" t="s">
        <v>182</v>
      </c>
      <c r="CE1890" t="s">
        <v>22762</v>
      </c>
      <c r="CF1890" t="s">
        <v>5331</v>
      </c>
      <c r="CG1890" t="s">
        <v>177</v>
      </c>
      <c r="CH1890" t="s">
        <v>371</v>
      </c>
      <c r="CI1890" t="s">
        <v>22770</v>
      </c>
      <c r="CJ1890" t="s">
        <v>22771</v>
      </c>
      <c r="CK1890" t="s">
        <v>292</v>
      </c>
      <c r="CL1890" t="s">
        <v>293</v>
      </c>
      <c r="CM1890" t="s">
        <v>22772</v>
      </c>
      <c r="CN1890" t="s">
        <v>235</v>
      </c>
      <c r="CO1890" t="s">
        <v>183</v>
      </c>
      <c r="CP1890" t="s">
        <v>211</v>
      </c>
      <c r="CQ1890" t="s">
        <v>298</v>
      </c>
      <c r="CS1890" t="s">
        <v>3204</v>
      </c>
      <c r="CT1890" t="s">
        <v>20697</v>
      </c>
      <c r="CU1890" t="s">
        <v>267</v>
      </c>
      <c r="CV1890" t="s">
        <v>268</v>
      </c>
      <c r="CW1890" t="s">
        <v>22773</v>
      </c>
      <c r="CX1890" t="s">
        <v>278</v>
      </c>
      <c r="CY1890" t="s">
        <v>183</v>
      </c>
      <c r="CZ1890" t="s">
        <v>211</v>
      </c>
      <c r="DA1890" t="s">
        <v>444</v>
      </c>
      <c r="DC1890" t="s">
        <v>22774</v>
      </c>
      <c r="DM1890" t="s">
        <v>198</v>
      </c>
      <c r="DW1890" t="s">
        <v>198</v>
      </c>
      <c r="EG1890" t="s">
        <v>198</v>
      </c>
      <c r="EQ1890" t="s">
        <v>198</v>
      </c>
      <c r="FA1890" t="s">
        <v>198</v>
      </c>
      <c r="FK1890" t="s">
        <v>198</v>
      </c>
      <c r="FU1890" t="s">
        <v>198</v>
      </c>
    </row>
    <row r="1891" spans="1:177">
      <c r="A1891" s="1" t="str">
        <f>HYPERLINK("http://digipan.lumentumllc.com/apps/getLink/index.php?t=PropLink&amp;p=15725420","PL")</f>
        <v>PL</v>
      </c>
      <c r="B1891" s="1" t="str">
        <f>HYPERLINK("http://digipan.lumentumllc.com/apps/getLink/index.php?t=TaxLink&amp;p=15725420","TL")</f>
        <v>TL</v>
      </c>
      <c r="C1891" s="1" t="str">
        <f>HYPERLINK("http://digipan.lumentumllc.com/apps/getMap/index.php?p=15725420","Map")</f>
        <v>Map</v>
      </c>
      <c r="E1891" t="s">
        <v>177</v>
      </c>
      <c r="F1891" t="s">
        <v>178</v>
      </c>
      <c r="L1891" t="s">
        <v>22775</v>
      </c>
      <c r="N1891" t="s">
        <v>22775</v>
      </c>
      <c r="O1891" t="s">
        <v>22775</v>
      </c>
      <c r="Q1891" t="s">
        <v>22775</v>
      </c>
      <c r="V1891">
        <v>2157</v>
      </c>
      <c r="W1891">
        <v>7</v>
      </c>
      <c r="X1891">
        <v>2017</v>
      </c>
      <c r="Y1891">
        <v>2018</v>
      </c>
      <c r="Z1891">
        <v>1816.14</v>
      </c>
      <c r="AG1891" t="s">
        <v>184</v>
      </c>
      <c r="AH1891">
        <v>0</v>
      </c>
      <c r="AK1891">
        <v>0</v>
      </c>
      <c r="AL1891">
        <v>107190</v>
      </c>
      <c r="AM1891">
        <v>35000</v>
      </c>
      <c r="AN1891">
        <v>72190</v>
      </c>
      <c r="AO1891">
        <v>1618</v>
      </c>
      <c r="AP1891">
        <v>2016</v>
      </c>
      <c r="AQ1891">
        <v>1.69</v>
      </c>
      <c r="AS1891" t="s">
        <v>22776</v>
      </c>
      <c r="AT1891" t="s">
        <v>15040</v>
      </c>
      <c r="AU1891" t="s">
        <v>177</v>
      </c>
      <c r="AV1891" t="s">
        <v>371</v>
      </c>
      <c r="AW1891" t="s">
        <v>182</v>
      </c>
      <c r="AX1891">
        <v>1</v>
      </c>
      <c r="AY1891" t="s">
        <v>188</v>
      </c>
      <c r="AZ1891" t="s">
        <v>206</v>
      </c>
      <c r="BA1891" t="s">
        <v>355</v>
      </c>
      <c r="BB1891" t="s">
        <v>191</v>
      </c>
      <c r="BC1891" t="s">
        <v>182</v>
      </c>
      <c r="BD1891" t="s">
        <v>182</v>
      </c>
      <c r="BE1891" t="s">
        <v>3930</v>
      </c>
      <c r="BF1891">
        <v>1</v>
      </c>
      <c r="BG1891">
        <v>1</v>
      </c>
      <c r="BH1891">
        <v>1986</v>
      </c>
      <c r="BI1891" t="s">
        <v>11262</v>
      </c>
      <c r="BJ1891" t="s">
        <v>194</v>
      </c>
      <c r="BK1891" t="s">
        <v>195</v>
      </c>
      <c r="BL1891" t="s">
        <v>199</v>
      </c>
      <c r="BM1891" t="s">
        <v>533</v>
      </c>
      <c r="BN1891" t="s">
        <v>182</v>
      </c>
      <c r="BO1891" t="s">
        <v>198</v>
      </c>
      <c r="BP1891" t="s">
        <v>198</v>
      </c>
      <c r="BQ1891" t="s">
        <v>198</v>
      </c>
      <c r="BR1891" t="s">
        <v>198</v>
      </c>
      <c r="BS1891" t="s">
        <v>198</v>
      </c>
      <c r="BT1891" t="s">
        <v>198</v>
      </c>
      <c r="BU1891" t="s">
        <v>182</v>
      </c>
      <c r="BV1891" t="s">
        <v>198</v>
      </c>
      <c r="BW1891" t="s">
        <v>198</v>
      </c>
      <c r="BX1891" t="s">
        <v>199</v>
      </c>
      <c r="BY1891" t="s">
        <v>198</v>
      </c>
      <c r="BZ1891" t="s">
        <v>199</v>
      </c>
      <c r="CA1891" t="s">
        <v>199</v>
      </c>
      <c r="CB1891" t="s">
        <v>22777</v>
      </c>
      <c r="CC1891" t="s">
        <v>201</v>
      </c>
      <c r="CD1891" t="s">
        <v>202</v>
      </c>
      <c r="CE1891" t="s">
        <v>22778</v>
      </c>
      <c r="CF1891" t="s">
        <v>11739</v>
      </c>
      <c r="CG1891" t="s">
        <v>1602</v>
      </c>
      <c r="CH1891" t="s">
        <v>11740</v>
      </c>
      <c r="CI1891" t="s">
        <v>22779</v>
      </c>
      <c r="CS1891" t="s">
        <v>198</v>
      </c>
      <c r="DC1891" t="s">
        <v>198</v>
      </c>
      <c r="DM1891" t="s">
        <v>198</v>
      </c>
      <c r="DW1891" t="s">
        <v>198</v>
      </c>
      <c r="EG1891" t="s">
        <v>198</v>
      </c>
      <c r="EQ1891" t="s">
        <v>198</v>
      </c>
      <c r="FA1891" t="s">
        <v>198</v>
      </c>
      <c r="FK1891" t="s">
        <v>198</v>
      </c>
      <c r="FU1891" t="s">
        <v>198</v>
      </c>
    </row>
    <row r="1892" spans="1:177">
      <c r="A1892" s="1" t="str">
        <f>HYPERLINK("http://digipan.lumentumllc.com/apps/getLink/index.php?t=PropLink&amp;p=15725422","PL")</f>
        <v>PL</v>
      </c>
      <c r="B1892" s="1" t="str">
        <f>HYPERLINK("http://digipan.lumentumllc.com/apps/getLink/index.php?t=TaxLink&amp;p=15725422","TL")</f>
        <v>TL</v>
      </c>
      <c r="C1892" s="1" t="str">
        <f>HYPERLINK("http://digipan.lumentumllc.com/apps/getMap/index.php?p=15725422","Map")</f>
        <v>Map</v>
      </c>
      <c r="E1892" t="s">
        <v>177</v>
      </c>
      <c r="F1892" t="s">
        <v>178</v>
      </c>
      <c r="L1892" t="s">
        <v>22780</v>
      </c>
      <c r="N1892" t="s">
        <v>22780</v>
      </c>
      <c r="O1892" t="s">
        <v>22780</v>
      </c>
      <c r="Q1892" t="s">
        <v>22780</v>
      </c>
      <c r="V1892">
        <v>2158</v>
      </c>
      <c r="W1892">
        <v>7</v>
      </c>
      <c r="X1892">
        <v>2017</v>
      </c>
      <c r="Y1892">
        <v>2018</v>
      </c>
      <c r="Z1892">
        <v>1142.3</v>
      </c>
      <c r="AG1892" t="s">
        <v>184</v>
      </c>
      <c r="AH1892">
        <v>0</v>
      </c>
      <c r="AK1892">
        <v>0</v>
      </c>
      <c r="AL1892">
        <v>75099</v>
      </c>
      <c r="AM1892">
        <v>35000</v>
      </c>
      <c r="AN1892">
        <v>40099</v>
      </c>
      <c r="AO1892">
        <v>0</v>
      </c>
      <c r="AP1892">
        <v>0</v>
      </c>
      <c r="AQ1892">
        <v>1.52</v>
      </c>
      <c r="AS1892" t="s">
        <v>22781</v>
      </c>
      <c r="AT1892" t="s">
        <v>15040</v>
      </c>
      <c r="AU1892" t="s">
        <v>177</v>
      </c>
      <c r="AV1892" t="s">
        <v>371</v>
      </c>
      <c r="AW1892" t="s">
        <v>182</v>
      </c>
      <c r="AX1892">
        <v>1</v>
      </c>
      <c r="AY1892" t="s">
        <v>188</v>
      </c>
      <c r="AZ1892" t="s">
        <v>206</v>
      </c>
      <c r="BA1892" t="s">
        <v>355</v>
      </c>
      <c r="BB1892" t="s">
        <v>191</v>
      </c>
      <c r="BC1892" t="s">
        <v>182</v>
      </c>
      <c r="BD1892" t="s">
        <v>182</v>
      </c>
      <c r="BE1892" t="s">
        <v>3930</v>
      </c>
      <c r="BF1892">
        <v>1</v>
      </c>
      <c r="BG1892">
        <v>1</v>
      </c>
      <c r="BH1892">
        <v>1955</v>
      </c>
      <c r="BI1892" t="s">
        <v>21382</v>
      </c>
      <c r="BJ1892" t="s">
        <v>194</v>
      </c>
      <c r="BK1892" t="s">
        <v>195</v>
      </c>
      <c r="BL1892" t="s">
        <v>199</v>
      </c>
      <c r="BM1892" t="s">
        <v>292</v>
      </c>
      <c r="BN1892" t="s">
        <v>182</v>
      </c>
      <c r="BO1892" t="s">
        <v>13450</v>
      </c>
      <c r="BP1892" t="s">
        <v>2421</v>
      </c>
      <c r="BQ1892" t="s">
        <v>800</v>
      </c>
      <c r="BS1892" t="s">
        <v>198</v>
      </c>
      <c r="BT1892" t="s">
        <v>22782</v>
      </c>
      <c r="BU1892" t="s">
        <v>182</v>
      </c>
      <c r="BV1892" t="s">
        <v>198</v>
      </c>
      <c r="BW1892" t="s">
        <v>198</v>
      </c>
      <c r="BX1892" t="s">
        <v>199</v>
      </c>
      <c r="BY1892" t="s">
        <v>198</v>
      </c>
      <c r="BZ1892" t="s">
        <v>199</v>
      </c>
      <c r="CA1892" t="s">
        <v>199</v>
      </c>
      <c r="CB1892" t="s">
        <v>22783</v>
      </c>
      <c r="CC1892" t="s">
        <v>201</v>
      </c>
      <c r="CD1892" t="s">
        <v>202</v>
      </c>
      <c r="CE1892" t="s">
        <v>22784</v>
      </c>
      <c r="CF1892" t="s">
        <v>5331</v>
      </c>
      <c r="CG1892" t="s">
        <v>177</v>
      </c>
      <c r="CH1892" t="s">
        <v>371</v>
      </c>
      <c r="CI1892" t="s">
        <v>22785</v>
      </c>
      <c r="CS1892" t="s">
        <v>198</v>
      </c>
      <c r="DC1892" t="s">
        <v>198</v>
      </c>
      <c r="DM1892" t="s">
        <v>198</v>
      </c>
      <c r="DW1892" t="s">
        <v>198</v>
      </c>
      <c r="EG1892" t="s">
        <v>198</v>
      </c>
      <c r="EQ1892" t="s">
        <v>198</v>
      </c>
      <c r="FA1892" t="s">
        <v>198</v>
      </c>
      <c r="FK1892" t="s">
        <v>198</v>
      </c>
      <c r="FU1892" t="s">
        <v>198</v>
      </c>
    </row>
    <row r="1893" spans="1:177">
      <c r="A1893" s="1" t="str">
        <f>HYPERLINK("http://digipan.lumentumllc.com/apps/getLink/index.php?t=PropLink&amp;p=5243927","PL")</f>
        <v>PL</v>
      </c>
      <c r="B1893" s="1" t="str">
        <f>HYPERLINK("http://digipan.lumentumllc.com/apps/getLink/index.php?t=TaxLink&amp;p=5243927","TL")</f>
        <v>TL</v>
      </c>
      <c r="C1893" s="1" t="str">
        <f>HYPERLINK("http://digipan.lumentumllc.com/apps/getMap/index.php?p=5243927","Map")</f>
        <v>Map</v>
      </c>
      <c r="E1893" t="s">
        <v>177</v>
      </c>
      <c r="F1893" t="s">
        <v>178</v>
      </c>
      <c r="L1893" t="s">
        <v>22786</v>
      </c>
      <c r="N1893" t="s">
        <v>22786</v>
      </c>
      <c r="O1893" t="s">
        <v>22786</v>
      </c>
      <c r="P1893" t="s">
        <v>22787</v>
      </c>
      <c r="Q1893" t="s">
        <v>22786</v>
      </c>
      <c r="V1893">
        <v>2159</v>
      </c>
      <c r="W1893">
        <v>7</v>
      </c>
      <c r="X1893">
        <v>2017</v>
      </c>
      <c r="Y1893">
        <v>2018</v>
      </c>
      <c r="Z1893">
        <v>614.55999999999995</v>
      </c>
      <c r="AB1893" t="s">
        <v>181</v>
      </c>
      <c r="AC1893" t="s">
        <v>182</v>
      </c>
      <c r="AD1893" t="s">
        <v>183</v>
      </c>
      <c r="AE1893">
        <v>1</v>
      </c>
      <c r="AF1893">
        <v>5</v>
      </c>
      <c r="AG1893" t="s">
        <v>951</v>
      </c>
      <c r="AH1893">
        <v>80</v>
      </c>
      <c r="AI1893">
        <v>617.94000000000005</v>
      </c>
      <c r="AJ1893">
        <v>30.9</v>
      </c>
      <c r="AK1893">
        <v>648.84</v>
      </c>
      <c r="AL1893">
        <v>35000</v>
      </c>
      <c r="AM1893">
        <v>35000</v>
      </c>
      <c r="AN1893">
        <v>0</v>
      </c>
      <c r="AO1893">
        <v>546</v>
      </c>
      <c r="AP1893">
        <v>2016</v>
      </c>
      <c r="AQ1893">
        <v>1.76</v>
      </c>
      <c r="AR1893">
        <v>1.85</v>
      </c>
      <c r="AS1893" t="s">
        <v>22768</v>
      </c>
      <c r="AT1893" t="s">
        <v>15040</v>
      </c>
      <c r="AU1893" t="s">
        <v>177</v>
      </c>
      <c r="AV1893" t="s">
        <v>371</v>
      </c>
      <c r="AW1893" t="s">
        <v>182</v>
      </c>
      <c r="AX1893">
        <v>0</v>
      </c>
      <c r="AY1893" t="s">
        <v>312</v>
      </c>
      <c r="AZ1893" t="s">
        <v>199</v>
      </c>
      <c r="BA1893" t="s">
        <v>313</v>
      </c>
      <c r="BB1893" t="s">
        <v>191</v>
      </c>
      <c r="BC1893" t="s">
        <v>182</v>
      </c>
      <c r="BD1893" t="s">
        <v>182</v>
      </c>
      <c r="BE1893" t="s">
        <v>3930</v>
      </c>
      <c r="BF1893">
        <v>0</v>
      </c>
      <c r="BG1893">
        <v>0</v>
      </c>
      <c r="BH1893">
        <v>0</v>
      </c>
      <c r="BI1893" t="s">
        <v>199</v>
      </c>
      <c r="BJ1893" t="s">
        <v>315</v>
      </c>
      <c r="BL1893" t="s">
        <v>16262</v>
      </c>
      <c r="BM1893" t="s">
        <v>292</v>
      </c>
      <c r="BN1893" t="s">
        <v>182</v>
      </c>
      <c r="BO1893" t="s">
        <v>198</v>
      </c>
      <c r="BP1893" t="s">
        <v>198</v>
      </c>
      <c r="BQ1893" t="s">
        <v>198</v>
      </c>
      <c r="BR1893" t="s">
        <v>198</v>
      </c>
      <c r="BS1893" t="s">
        <v>198</v>
      </c>
      <c r="BT1893" t="s">
        <v>198</v>
      </c>
      <c r="BU1893" t="s">
        <v>182</v>
      </c>
      <c r="BV1893" t="s">
        <v>198</v>
      </c>
      <c r="BW1893" t="s">
        <v>198</v>
      </c>
      <c r="BX1893" t="s">
        <v>199</v>
      </c>
      <c r="BY1893" t="s">
        <v>198</v>
      </c>
      <c r="BZ1893" t="s">
        <v>199</v>
      </c>
      <c r="CA1893" t="s">
        <v>199</v>
      </c>
      <c r="CB1893" t="s">
        <v>22788</v>
      </c>
      <c r="CC1893" t="s">
        <v>201</v>
      </c>
      <c r="CD1893" t="s">
        <v>182</v>
      </c>
      <c r="CE1893" t="s">
        <v>22789</v>
      </c>
      <c r="CF1893" t="s">
        <v>19181</v>
      </c>
      <c r="CG1893" t="s">
        <v>177</v>
      </c>
      <c r="CH1893" t="s">
        <v>22790</v>
      </c>
      <c r="CI1893" t="s">
        <v>22791</v>
      </c>
      <c r="CJ1893" t="s">
        <v>9352</v>
      </c>
      <c r="CK1893" t="s">
        <v>232</v>
      </c>
      <c r="CL1893" t="s">
        <v>233</v>
      </c>
      <c r="CM1893" t="s">
        <v>22792</v>
      </c>
      <c r="CN1893" t="s">
        <v>235</v>
      </c>
      <c r="CO1893" t="s">
        <v>183</v>
      </c>
      <c r="CP1893" t="s">
        <v>266</v>
      </c>
      <c r="CS1893" t="s">
        <v>198</v>
      </c>
      <c r="CT1893" t="s">
        <v>232</v>
      </c>
      <c r="CU1893" t="s">
        <v>273</v>
      </c>
      <c r="CV1893" t="s">
        <v>274</v>
      </c>
      <c r="CW1893" t="s">
        <v>22793</v>
      </c>
      <c r="CX1893" t="s">
        <v>235</v>
      </c>
      <c r="CY1893" t="s">
        <v>183</v>
      </c>
      <c r="CZ1893" t="s">
        <v>211</v>
      </c>
      <c r="DA1893" t="s">
        <v>270</v>
      </c>
      <c r="DC1893" t="s">
        <v>8748</v>
      </c>
      <c r="DD1893" t="s">
        <v>22794</v>
      </c>
      <c r="DE1893" t="s">
        <v>302</v>
      </c>
      <c r="DF1893" t="s">
        <v>303</v>
      </c>
      <c r="DG1893" t="s">
        <v>22694</v>
      </c>
      <c r="DH1893" t="s">
        <v>511</v>
      </c>
      <c r="DI1893" t="s">
        <v>183</v>
      </c>
      <c r="DJ1893" t="s">
        <v>211</v>
      </c>
      <c r="DK1893" t="s">
        <v>298</v>
      </c>
      <c r="DM1893" t="s">
        <v>437</v>
      </c>
      <c r="DN1893" t="s">
        <v>963</v>
      </c>
      <c r="DO1893" t="s">
        <v>238</v>
      </c>
      <c r="DP1893" t="s">
        <v>239</v>
      </c>
      <c r="DQ1893" t="s">
        <v>22695</v>
      </c>
      <c r="DR1893" t="s">
        <v>2515</v>
      </c>
      <c r="DS1893" t="s">
        <v>183</v>
      </c>
      <c r="DT1893" t="s">
        <v>211</v>
      </c>
      <c r="DU1893" t="s">
        <v>298</v>
      </c>
      <c r="DW1893" t="s">
        <v>467</v>
      </c>
      <c r="DX1893" t="s">
        <v>22795</v>
      </c>
      <c r="DY1893" t="s">
        <v>346</v>
      </c>
      <c r="DZ1893" t="s">
        <v>347</v>
      </c>
      <c r="EA1893" t="s">
        <v>22697</v>
      </c>
      <c r="EB1893" t="s">
        <v>1491</v>
      </c>
      <c r="EC1893" t="s">
        <v>183</v>
      </c>
      <c r="ED1893" t="s">
        <v>211</v>
      </c>
      <c r="EE1893" t="s">
        <v>212</v>
      </c>
      <c r="EG1893" t="s">
        <v>5829</v>
      </c>
      <c r="EH1893" t="s">
        <v>4338</v>
      </c>
      <c r="EI1893" t="s">
        <v>207</v>
      </c>
      <c r="EJ1893" t="s">
        <v>208</v>
      </c>
      <c r="EK1893" t="s">
        <v>22699</v>
      </c>
      <c r="EL1893" t="s">
        <v>7482</v>
      </c>
      <c r="EM1893" t="s">
        <v>183</v>
      </c>
      <c r="EN1893" t="s">
        <v>211</v>
      </c>
      <c r="EO1893" t="s">
        <v>345</v>
      </c>
      <c r="EQ1893" t="s">
        <v>1419</v>
      </c>
      <c r="FA1893" t="s">
        <v>198</v>
      </c>
      <c r="FK1893" t="s">
        <v>198</v>
      </c>
      <c r="FU1893" t="s">
        <v>198</v>
      </c>
    </row>
    <row r="1894" spans="1:177">
      <c r="A1894" s="1" t="str">
        <f>HYPERLINK("http://digipan.lumentumllc.com/apps/getLink/index.php?t=PropLink&amp;p=5243928","PL")</f>
        <v>PL</v>
      </c>
      <c r="B1894" s="1" t="str">
        <f>HYPERLINK("http://digipan.lumentumllc.com/apps/getLink/index.php?t=TaxLink&amp;p=5243928","TL")</f>
        <v>TL</v>
      </c>
      <c r="C1894" s="1" t="str">
        <f>HYPERLINK("http://digipan.lumentumllc.com/apps/getMap/index.php?p=5243928","Map")</f>
        <v>Map</v>
      </c>
      <c r="E1894" t="s">
        <v>177</v>
      </c>
      <c r="F1894" t="s">
        <v>178</v>
      </c>
      <c r="L1894" t="s">
        <v>22796</v>
      </c>
      <c r="N1894" t="s">
        <v>22796</v>
      </c>
      <c r="O1894" t="s">
        <v>22796</v>
      </c>
      <c r="P1894" t="s">
        <v>22797</v>
      </c>
      <c r="Q1894" t="s">
        <v>22796</v>
      </c>
      <c r="V1894">
        <v>2160</v>
      </c>
      <c r="W1894">
        <v>7</v>
      </c>
      <c r="X1894">
        <v>2017</v>
      </c>
      <c r="Y1894">
        <v>2018</v>
      </c>
      <c r="Z1894">
        <v>566.54</v>
      </c>
      <c r="AB1894" t="s">
        <v>181</v>
      </c>
      <c r="AC1894" t="s">
        <v>182</v>
      </c>
      <c r="AD1894" t="s">
        <v>183</v>
      </c>
      <c r="AE1894">
        <v>0</v>
      </c>
      <c r="AF1894">
        <v>2</v>
      </c>
      <c r="AG1894" t="s">
        <v>216</v>
      </c>
      <c r="AH1894">
        <v>100</v>
      </c>
      <c r="AK1894">
        <v>0</v>
      </c>
      <c r="AL1894">
        <v>35000</v>
      </c>
      <c r="AM1894">
        <v>35000</v>
      </c>
      <c r="AN1894">
        <v>0</v>
      </c>
      <c r="AO1894">
        <v>478</v>
      </c>
      <c r="AP1894">
        <v>2016</v>
      </c>
      <c r="AQ1894">
        <v>1.62</v>
      </c>
      <c r="AS1894" t="s">
        <v>22768</v>
      </c>
      <c r="AT1894" t="s">
        <v>15040</v>
      </c>
      <c r="AU1894" t="s">
        <v>177</v>
      </c>
      <c r="AV1894" t="s">
        <v>371</v>
      </c>
      <c r="AW1894" t="s">
        <v>182</v>
      </c>
      <c r="AX1894">
        <v>0</v>
      </c>
      <c r="AY1894" t="s">
        <v>312</v>
      </c>
      <c r="AZ1894" t="s">
        <v>199</v>
      </c>
      <c r="BA1894" t="s">
        <v>313</v>
      </c>
      <c r="BB1894" t="s">
        <v>191</v>
      </c>
      <c r="BC1894" t="s">
        <v>182</v>
      </c>
      <c r="BD1894" t="s">
        <v>182</v>
      </c>
      <c r="BE1894" t="s">
        <v>3930</v>
      </c>
      <c r="BF1894">
        <v>0</v>
      </c>
      <c r="BG1894">
        <v>0</v>
      </c>
      <c r="BH1894">
        <v>0</v>
      </c>
      <c r="BI1894" t="s">
        <v>199</v>
      </c>
      <c r="BJ1894" t="s">
        <v>315</v>
      </c>
      <c r="BL1894" t="s">
        <v>16586</v>
      </c>
      <c r="BM1894" t="s">
        <v>273</v>
      </c>
      <c r="BN1894" t="s">
        <v>182</v>
      </c>
      <c r="BO1894" t="s">
        <v>198</v>
      </c>
      <c r="BP1894" t="s">
        <v>198</v>
      </c>
      <c r="BQ1894" t="s">
        <v>198</v>
      </c>
      <c r="BR1894" t="s">
        <v>198</v>
      </c>
      <c r="BS1894" t="s">
        <v>198</v>
      </c>
      <c r="BT1894" t="s">
        <v>198</v>
      </c>
      <c r="BU1894" t="s">
        <v>182</v>
      </c>
      <c r="BV1894" t="s">
        <v>198</v>
      </c>
      <c r="BW1894" t="s">
        <v>198</v>
      </c>
      <c r="BX1894" t="s">
        <v>199</v>
      </c>
      <c r="BY1894" t="s">
        <v>198</v>
      </c>
      <c r="BZ1894" t="s">
        <v>199</v>
      </c>
      <c r="CA1894" t="s">
        <v>199</v>
      </c>
      <c r="CB1894" t="s">
        <v>22711</v>
      </c>
      <c r="CC1894" t="s">
        <v>201</v>
      </c>
      <c r="CD1894" t="s">
        <v>182</v>
      </c>
      <c r="CE1894" t="s">
        <v>22712</v>
      </c>
      <c r="CF1894" t="s">
        <v>413</v>
      </c>
      <c r="CG1894" t="s">
        <v>177</v>
      </c>
      <c r="CH1894" t="s">
        <v>22713</v>
      </c>
      <c r="CI1894" t="s">
        <v>22798</v>
      </c>
      <c r="CJ1894" t="s">
        <v>988</v>
      </c>
      <c r="CK1894" t="s">
        <v>238</v>
      </c>
      <c r="CL1894" t="s">
        <v>239</v>
      </c>
      <c r="CM1894" t="s">
        <v>22799</v>
      </c>
      <c r="CN1894" t="s">
        <v>833</v>
      </c>
      <c r="CO1894" t="s">
        <v>183</v>
      </c>
      <c r="CP1894" t="s">
        <v>211</v>
      </c>
      <c r="CQ1894" t="s">
        <v>270</v>
      </c>
      <c r="CS1894" t="s">
        <v>6120</v>
      </c>
      <c r="CT1894" t="s">
        <v>22800</v>
      </c>
      <c r="CU1894" t="s">
        <v>346</v>
      </c>
      <c r="CV1894" t="s">
        <v>347</v>
      </c>
      <c r="CW1894" t="s">
        <v>22801</v>
      </c>
      <c r="CX1894" t="s">
        <v>1491</v>
      </c>
      <c r="CY1894" t="s">
        <v>183</v>
      </c>
      <c r="CZ1894" t="s">
        <v>211</v>
      </c>
      <c r="DA1894" t="s">
        <v>337</v>
      </c>
      <c r="DC1894" t="s">
        <v>6120</v>
      </c>
      <c r="DM1894" t="s">
        <v>198</v>
      </c>
      <c r="DW1894" t="s">
        <v>198</v>
      </c>
      <c r="EG1894" t="s">
        <v>198</v>
      </c>
      <c r="EQ1894" t="s">
        <v>198</v>
      </c>
      <c r="FA1894" t="s">
        <v>198</v>
      </c>
      <c r="FK1894" t="s">
        <v>198</v>
      </c>
      <c r="FU1894" t="s">
        <v>198</v>
      </c>
    </row>
    <row r="1895" spans="1:177">
      <c r="A1895" s="1" t="str">
        <f>HYPERLINK("http://digipan.lumentumllc.com/apps/getLink/index.php?t=PropLink&amp;p=5243929","PL")</f>
        <v>PL</v>
      </c>
      <c r="B1895" s="1" t="str">
        <f>HYPERLINK("http://digipan.lumentumllc.com/apps/getLink/index.php?t=TaxLink&amp;p=5243929","TL")</f>
        <v>TL</v>
      </c>
      <c r="C1895" s="1" t="str">
        <f>HYPERLINK("http://digipan.lumentumllc.com/apps/getMap/index.php?p=5243929","Map")</f>
        <v>Map</v>
      </c>
      <c r="E1895" t="s">
        <v>177</v>
      </c>
      <c r="F1895" t="s">
        <v>178</v>
      </c>
      <c r="L1895" t="s">
        <v>22802</v>
      </c>
      <c r="N1895" t="s">
        <v>22802</v>
      </c>
      <c r="O1895" t="s">
        <v>22802</v>
      </c>
      <c r="P1895" t="s">
        <v>22803</v>
      </c>
      <c r="Q1895" t="s">
        <v>22802</v>
      </c>
      <c r="V1895">
        <v>2161</v>
      </c>
      <c r="W1895">
        <v>7</v>
      </c>
      <c r="X1895">
        <v>2017</v>
      </c>
      <c r="Y1895">
        <v>2018</v>
      </c>
      <c r="Z1895">
        <v>566.54</v>
      </c>
      <c r="AB1895" t="s">
        <v>181</v>
      </c>
      <c r="AC1895" t="s">
        <v>182</v>
      </c>
      <c r="AD1895" t="s">
        <v>183</v>
      </c>
      <c r="AE1895">
        <v>0</v>
      </c>
      <c r="AF1895">
        <v>2</v>
      </c>
      <c r="AG1895" t="s">
        <v>216</v>
      </c>
      <c r="AH1895">
        <v>100</v>
      </c>
      <c r="AK1895">
        <v>0</v>
      </c>
      <c r="AL1895">
        <v>35000</v>
      </c>
      <c r="AM1895">
        <v>35000</v>
      </c>
      <c r="AN1895">
        <v>0</v>
      </c>
      <c r="AO1895">
        <v>478</v>
      </c>
      <c r="AP1895">
        <v>2016</v>
      </c>
      <c r="AQ1895">
        <v>1.62</v>
      </c>
      <c r="AS1895" t="s">
        <v>22768</v>
      </c>
      <c r="AT1895" t="s">
        <v>15040</v>
      </c>
      <c r="AU1895" t="s">
        <v>177</v>
      </c>
      <c r="AV1895" t="s">
        <v>371</v>
      </c>
      <c r="AW1895" t="s">
        <v>182</v>
      </c>
      <c r="AX1895">
        <v>0</v>
      </c>
      <c r="AY1895" t="s">
        <v>312</v>
      </c>
      <c r="AZ1895" t="s">
        <v>199</v>
      </c>
      <c r="BA1895" t="s">
        <v>313</v>
      </c>
      <c r="BB1895" t="s">
        <v>191</v>
      </c>
      <c r="BC1895" t="s">
        <v>182</v>
      </c>
      <c r="BD1895" t="s">
        <v>182</v>
      </c>
      <c r="BE1895" t="s">
        <v>3930</v>
      </c>
      <c r="BF1895">
        <v>0</v>
      </c>
      <c r="BG1895">
        <v>0</v>
      </c>
      <c r="BH1895">
        <v>0</v>
      </c>
      <c r="BI1895" t="s">
        <v>199</v>
      </c>
      <c r="BJ1895" t="s">
        <v>315</v>
      </c>
      <c r="BL1895" t="s">
        <v>16586</v>
      </c>
      <c r="BM1895" t="s">
        <v>273</v>
      </c>
      <c r="BN1895" t="s">
        <v>182</v>
      </c>
      <c r="BO1895" t="s">
        <v>198</v>
      </c>
      <c r="BP1895" t="s">
        <v>198</v>
      </c>
      <c r="BQ1895" t="s">
        <v>198</v>
      </c>
      <c r="BR1895" t="s">
        <v>198</v>
      </c>
      <c r="BS1895" t="s">
        <v>198</v>
      </c>
      <c r="BT1895" t="s">
        <v>198</v>
      </c>
      <c r="BU1895" t="s">
        <v>182</v>
      </c>
      <c r="BV1895" t="s">
        <v>198</v>
      </c>
      <c r="BW1895" t="s">
        <v>198</v>
      </c>
      <c r="BX1895" t="s">
        <v>199</v>
      </c>
      <c r="BY1895" t="s">
        <v>198</v>
      </c>
      <c r="BZ1895" t="s">
        <v>199</v>
      </c>
      <c r="CA1895" t="s">
        <v>199</v>
      </c>
      <c r="CB1895" t="s">
        <v>22711</v>
      </c>
      <c r="CC1895" t="s">
        <v>201</v>
      </c>
      <c r="CD1895" t="s">
        <v>182</v>
      </c>
      <c r="CE1895" t="s">
        <v>22712</v>
      </c>
      <c r="CF1895" t="s">
        <v>413</v>
      </c>
      <c r="CG1895" t="s">
        <v>177</v>
      </c>
      <c r="CH1895" t="s">
        <v>22713</v>
      </c>
      <c r="CI1895" t="s">
        <v>22804</v>
      </c>
      <c r="CJ1895" t="s">
        <v>1006</v>
      </c>
      <c r="CK1895" t="s">
        <v>238</v>
      </c>
      <c r="CL1895" t="s">
        <v>239</v>
      </c>
      <c r="CM1895" t="s">
        <v>22799</v>
      </c>
      <c r="CN1895" t="s">
        <v>833</v>
      </c>
      <c r="CO1895" t="s">
        <v>183</v>
      </c>
      <c r="CP1895" t="s">
        <v>211</v>
      </c>
      <c r="CQ1895" t="s">
        <v>270</v>
      </c>
      <c r="CS1895" t="s">
        <v>6120</v>
      </c>
      <c r="CT1895" t="s">
        <v>22805</v>
      </c>
      <c r="CU1895" t="s">
        <v>346</v>
      </c>
      <c r="CV1895" t="s">
        <v>347</v>
      </c>
      <c r="CW1895" t="s">
        <v>22801</v>
      </c>
      <c r="CX1895" t="s">
        <v>1491</v>
      </c>
      <c r="CY1895" t="s">
        <v>183</v>
      </c>
      <c r="CZ1895" t="s">
        <v>211</v>
      </c>
      <c r="DA1895" t="s">
        <v>337</v>
      </c>
      <c r="DC1895" t="s">
        <v>6120</v>
      </c>
      <c r="DM1895" t="s">
        <v>198</v>
      </c>
      <c r="DW1895" t="s">
        <v>198</v>
      </c>
      <c r="EG1895" t="s">
        <v>198</v>
      </c>
      <c r="EQ1895" t="s">
        <v>198</v>
      </c>
      <c r="FA1895" t="s">
        <v>198</v>
      </c>
      <c r="FK1895" t="s">
        <v>198</v>
      </c>
      <c r="FU1895" t="s">
        <v>198</v>
      </c>
    </row>
    <row r="1896" spans="1:177">
      <c r="A1896" s="1" t="str">
        <f>HYPERLINK("http://digipan.lumentumllc.com/apps/getLink/index.php?t=PropLink&amp;p=5243930","PL")</f>
        <v>PL</v>
      </c>
      <c r="B1896" s="1" t="str">
        <f>HYPERLINK("http://digipan.lumentumllc.com/apps/getLink/index.php?t=TaxLink&amp;p=5243930","TL")</f>
        <v>TL</v>
      </c>
      <c r="C1896" s="1" t="str">
        <f>HYPERLINK("http://digipan.lumentumllc.com/apps/getMap/index.php?p=5243930","Map")</f>
        <v>Map</v>
      </c>
      <c r="E1896" t="s">
        <v>177</v>
      </c>
      <c r="F1896" t="s">
        <v>178</v>
      </c>
      <c r="L1896" t="s">
        <v>22806</v>
      </c>
      <c r="N1896" t="s">
        <v>22806</v>
      </c>
      <c r="O1896" t="s">
        <v>22806</v>
      </c>
      <c r="P1896" t="s">
        <v>22807</v>
      </c>
      <c r="Q1896" t="s">
        <v>22806</v>
      </c>
      <c r="V1896">
        <v>2162</v>
      </c>
      <c r="W1896">
        <v>7</v>
      </c>
      <c r="X1896">
        <v>2017</v>
      </c>
      <c r="Y1896">
        <v>2018</v>
      </c>
      <c r="Z1896">
        <v>566.54</v>
      </c>
      <c r="AG1896" t="s">
        <v>184</v>
      </c>
      <c r="AH1896">
        <v>0</v>
      </c>
      <c r="AK1896">
        <v>0</v>
      </c>
      <c r="AL1896">
        <v>35000</v>
      </c>
      <c r="AM1896">
        <v>35000</v>
      </c>
      <c r="AN1896">
        <v>0</v>
      </c>
      <c r="AO1896">
        <v>478</v>
      </c>
      <c r="AP1896">
        <v>2016</v>
      </c>
      <c r="AQ1896">
        <v>1.62</v>
      </c>
      <c r="AS1896" t="s">
        <v>22768</v>
      </c>
      <c r="AT1896" t="s">
        <v>15040</v>
      </c>
      <c r="AU1896" t="s">
        <v>177</v>
      </c>
      <c r="AV1896" t="s">
        <v>371</v>
      </c>
      <c r="AW1896" t="s">
        <v>182</v>
      </c>
      <c r="AX1896">
        <v>0</v>
      </c>
      <c r="AY1896" t="s">
        <v>312</v>
      </c>
      <c r="AZ1896" t="s">
        <v>199</v>
      </c>
      <c r="BA1896" t="s">
        <v>313</v>
      </c>
      <c r="BB1896" t="s">
        <v>191</v>
      </c>
      <c r="BC1896" t="s">
        <v>182</v>
      </c>
      <c r="BD1896" t="s">
        <v>182</v>
      </c>
      <c r="BE1896" t="s">
        <v>3930</v>
      </c>
      <c r="BF1896">
        <v>0</v>
      </c>
      <c r="BG1896">
        <v>0</v>
      </c>
      <c r="BH1896">
        <v>0</v>
      </c>
      <c r="BI1896" t="s">
        <v>199</v>
      </c>
      <c r="BJ1896" t="s">
        <v>315</v>
      </c>
      <c r="BL1896" t="s">
        <v>199</v>
      </c>
      <c r="BM1896" t="s">
        <v>232</v>
      </c>
      <c r="BN1896" t="s">
        <v>182</v>
      </c>
      <c r="BO1896" t="s">
        <v>198</v>
      </c>
      <c r="BP1896" t="s">
        <v>198</v>
      </c>
      <c r="BQ1896" t="s">
        <v>198</v>
      </c>
      <c r="BR1896" t="s">
        <v>198</v>
      </c>
      <c r="BS1896" t="s">
        <v>198</v>
      </c>
      <c r="BT1896" t="s">
        <v>198</v>
      </c>
      <c r="BU1896" t="s">
        <v>182</v>
      </c>
      <c r="BV1896" t="s">
        <v>198</v>
      </c>
      <c r="BW1896" t="s">
        <v>198</v>
      </c>
      <c r="BX1896" t="s">
        <v>199</v>
      </c>
      <c r="BY1896" t="s">
        <v>198</v>
      </c>
      <c r="BZ1896" t="s">
        <v>199</v>
      </c>
      <c r="CA1896" t="s">
        <v>199</v>
      </c>
      <c r="CB1896" t="s">
        <v>22808</v>
      </c>
      <c r="CC1896" t="s">
        <v>201</v>
      </c>
      <c r="CD1896" t="s">
        <v>202</v>
      </c>
      <c r="CE1896" t="s">
        <v>22809</v>
      </c>
      <c r="CF1896" t="s">
        <v>413</v>
      </c>
      <c r="CG1896" t="s">
        <v>177</v>
      </c>
      <c r="CH1896" t="s">
        <v>5741</v>
      </c>
      <c r="CI1896" t="s">
        <v>22810</v>
      </c>
      <c r="CS1896" t="s">
        <v>198</v>
      </c>
      <c r="DC1896" t="s">
        <v>198</v>
      </c>
      <c r="DM1896" t="s">
        <v>198</v>
      </c>
      <c r="DW1896" t="s">
        <v>198</v>
      </c>
      <c r="EG1896" t="s">
        <v>198</v>
      </c>
      <c r="EQ1896" t="s">
        <v>198</v>
      </c>
      <c r="FA1896" t="s">
        <v>198</v>
      </c>
      <c r="FK1896" t="s">
        <v>198</v>
      </c>
      <c r="FU1896" t="s">
        <v>198</v>
      </c>
    </row>
    <row r="1897" spans="1:177">
      <c r="A1897" s="1" t="str">
        <f>HYPERLINK("http://digipan.lumentumllc.com/apps/getLink/index.php?t=PropLink&amp;p=4636680","PL")</f>
        <v>PL</v>
      </c>
      <c r="B1897" s="1" t="str">
        <f>HYPERLINK("http://digipan.lumentumllc.com/apps/getLink/index.php?t=TaxLink&amp;p=4636680","TL")</f>
        <v>TL</v>
      </c>
      <c r="C1897" s="1" t="str">
        <f>HYPERLINK("http://digipan.lumentumllc.com/apps/getMap/index.php?p=4636680","Map")</f>
        <v>Map</v>
      </c>
      <c r="E1897" t="s">
        <v>177</v>
      </c>
      <c r="F1897" t="s">
        <v>178</v>
      </c>
      <c r="L1897" t="s">
        <v>22811</v>
      </c>
      <c r="N1897" t="s">
        <v>22811</v>
      </c>
      <c r="O1897" t="s">
        <v>22811</v>
      </c>
      <c r="P1897" t="s">
        <v>22812</v>
      </c>
      <c r="Q1897" t="s">
        <v>22811</v>
      </c>
      <c r="V1897">
        <v>2163</v>
      </c>
      <c r="W1897">
        <v>7</v>
      </c>
      <c r="X1897">
        <v>2017</v>
      </c>
      <c r="Y1897">
        <v>2018</v>
      </c>
      <c r="Z1897">
        <v>5441.55</v>
      </c>
      <c r="AB1897" t="s">
        <v>181</v>
      </c>
      <c r="AC1897" t="s">
        <v>202</v>
      </c>
      <c r="AD1897" t="s">
        <v>183</v>
      </c>
      <c r="AE1897">
        <v>1</v>
      </c>
      <c r="AF1897">
        <v>5</v>
      </c>
      <c r="AG1897" t="s">
        <v>951</v>
      </c>
      <c r="AH1897">
        <v>80</v>
      </c>
      <c r="AI1897">
        <v>5092.22</v>
      </c>
      <c r="AJ1897">
        <v>254.61</v>
      </c>
      <c r="AK1897">
        <v>5346.83</v>
      </c>
      <c r="AL1897">
        <v>325000</v>
      </c>
      <c r="AM1897">
        <v>325000</v>
      </c>
      <c r="AN1897">
        <v>0</v>
      </c>
      <c r="AO1897">
        <v>4684</v>
      </c>
      <c r="AP1897">
        <v>2016</v>
      </c>
      <c r="AQ1897">
        <v>1.67</v>
      </c>
      <c r="AR1897">
        <v>1.65</v>
      </c>
      <c r="AS1897" t="s">
        <v>22813</v>
      </c>
      <c r="AT1897" t="s">
        <v>15040</v>
      </c>
      <c r="AU1897" t="s">
        <v>177</v>
      </c>
      <c r="AV1897" t="s">
        <v>371</v>
      </c>
      <c r="AW1897" t="s">
        <v>182</v>
      </c>
      <c r="AX1897">
        <v>0</v>
      </c>
      <c r="AY1897" t="s">
        <v>312</v>
      </c>
      <c r="AZ1897" t="s">
        <v>199</v>
      </c>
      <c r="BA1897" t="s">
        <v>313</v>
      </c>
      <c r="BB1897" t="s">
        <v>191</v>
      </c>
      <c r="BC1897" t="s">
        <v>182</v>
      </c>
      <c r="BD1897" t="s">
        <v>182</v>
      </c>
      <c r="BE1897" t="s">
        <v>478</v>
      </c>
      <c r="BF1897">
        <v>0</v>
      </c>
      <c r="BG1897">
        <v>0</v>
      </c>
      <c r="BH1897">
        <v>0</v>
      </c>
      <c r="BI1897" t="s">
        <v>199</v>
      </c>
      <c r="BJ1897" t="s">
        <v>248</v>
      </c>
      <c r="BL1897" t="s">
        <v>841</v>
      </c>
      <c r="BM1897" t="s">
        <v>1598</v>
      </c>
      <c r="BN1897" t="s">
        <v>182</v>
      </c>
      <c r="BO1897" t="s">
        <v>198</v>
      </c>
      <c r="BP1897" t="s">
        <v>198</v>
      </c>
      <c r="BQ1897" t="s">
        <v>198</v>
      </c>
      <c r="BR1897" t="s">
        <v>198</v>
      </c>
      <c r="BS1897" t="s">
        <v>198</v>
      </c>
      <c r="BT1897" t="s">
        <v>198</v>
      </c>
      <c r="BU1897" t="s">
        <v>182</v>
      </c>
      <c r="BV1897" t="s">
        <v>198</v>
      </c>
      <c r="BW1897" t="s">
        <v>198</v>
      </c>
      <c r="BX1897" t="s">
        <v>199</v>
      </c>
      <c r="BY1897" t="s">
        <v>198</v>
      </c>
      <c r="BZ1897" t="s">
        <v>199</v>
      </c>
      <c r="CA1897" t="s">
        <v>199</v>
      </c>
      <c r="CB1897" t="s">
        <v>22814</v>
      </c>
      <c r="CC1897" t="s">
        <v>201</v>
      </c>
      <c r="CD1897" t="s">
        <v>182</v>
      </c>
      <c r="CE1897" t="s">
        <v>22815</v>
      </c>
      <c r="CF1897" t="s">
        <v>5331</v>
      </c>
      <c r="CG1897" t="s">
        <v>177</v>
      </c>
      <c r="CH1897" t="s">
        <v>371</v>
      </c>
      <c r="CI1897" t="s">
        <v>22816</v>
      </c>
      <c r="CJ1897" t="s">
        <v>19956</v>
      </c>
      <c r="CK1897" t="s">
        <v>232</v>
      </c>
      <c r="CL1897" t="s">
        <v>233</v>
      </c>
      <c r="CM1897" t="s">
        <v>22817</v>
      </c>
      <c r="CN1897" t="s">
        <v>235</v>
      </c>
      <c r="CO1897" t="s">
        <v>183</v>
      </c>
      <c r="CP1897" t="s">
        <v>266</v>
      </c>
      <c r="CS1897" t="s">
        <v>198</v>
      </c>
      <c r="CT1897" t="s">
        <v>11999</v>
      </c>
      <c r="CU1897" t="s">
        <v>292</v>
      </c>
      <c r="CV1897" t="s">
        <v>293</v>
      </c>
      <c r="CW1897" t="s">
        <v>22818</v>
      </c>
      <c r="CX1897" t="s">
        <v>235</v>
      </c>
      <c r="CY1897" t="s">
        <v>183</v>
      </c>
      <c r="CZ1897" t="s">
        <v>211</v>
      </c>
      <c r="DA1897" t="s">
        <v>298</v>
      </c>
      <c r="DC1897" t="s">
        <v>1641</v>
      </c>
      <c r="DD1897" t="s">
        <v>16370</v>
      </c>
      <c r="DE1897" t="s">
        <v>267</v>
      </c>
      <c r="DF1897" t="s">
        <v>268</v>
      </c>
      <c r="DG1897" t="s">
        <v>22819</v>
      </c>
      <c r="DH1897" t="s">
        <v>235</v>
      </c>
      <c r="DI1897" t="s">
        <v>183</v>
      </c>
      <c r="DJ1897" t="s">
        <v>211</v>
      </c>
      <c r="DK1897" t="s">
        <v>298</v>
      </c>
      <c r="DM1897" t="s">
        <v>432</v>
      </c>
      <c r="DN1897" t="s">
        <v>15572</v>
      </c>
      <c r="DO1897" t="s">
        <v>273</v>
      </c>
      <c r="DP1897" t="s">
        <v>274</v>
      </c>
      <c r="DQ1897" t="s">
        <v>22820</v>
      </c>
      <c r="DR1897" t="s">
        <v>235</v>
      </c>
      <c r="DS1897" t="s">
        <v>183</v>
      </c>
      <c r="DT1897" t="s">
        <v>211</v>
      </c>
      <c r="DU1897" t="s">
        <v>298</v>
      </c>
      <c r="DW1897" t="s">
        <v>7503</v>
      </c>
      <c r="DX1897" t="s">
        <v>18046</v>
      </c>
      <c r="DY1897" t="s">
        <v>302</v>
      </c>
      <c r="DZ1897" t="s">
        <v>303</v>
      </c>
      <c r="EA1897" t="s">
        <v>22821</v>
      </c>
      <c r="EB1897" t="s">
        <v>235</v>
      </c>
      <c r="EC1897" t="s">
        <v>183</v>
      </c>
      <c r="ED1897" t="s">
        <v>211</v>
      </c>
      <c r="EE1897" t="s">
        <v>444</v>
      </c>
      <c r="EG1897" t="s">
        <v>5199</v>
      </c>
      <c r="EH1897" t="s">
        <v>22822</v>
      </c>
      <c r="EI1897" t="s">
        <v>207</v>
      </c>
      <c r="EJ1897" t="s">
        <v>208</v>
      </c>
      <c r="EK1897" t="s">
        <v>22823</v>
      </c>
      <c r="EL1897" t="s">
        <v>1676</v>
      </c>
      <c r="EM1897" t="s">
        <v>183</v>
      </c>
      <c r="EN1897" t="s">
        <v>211</v>
      </c>
      <c r="EO1897" t="s">
        <v>290</v>
      </c>
      <c r="EP1897" t="s">
        <v>271</v>
      </c>
      <c r="EQ1897" t="s">
        <v>22824</v>
      </c>
      <c r="FA1897" t="s">
        <v>198</v>
      </c>
      <c r="FK1897" t="s">
        <v>198</v>
      </c>
      <c r="FU1897" t="s">
        <v>198</v>
      </c>
    </row>
    <row r="1898" spans="1:177">
      <c r="A1898" s="1" t="str">
        <f>HYPERLINK("http://digipan.lumentumllc.com/apps/getLink/index.php?t=PropLink&amp;p=6128608","PL")</f>
        <v>PL</v>
      </c>
      <c r="B1898" s="1" t="str">
        <f>HYPERLINK("http://digipan.lumentumllc.com/apps/getLink/index.php?t=TaxLink&amp;p=6128608","TL")</f>
        <v>TL</v>
      </c>
      <c r="C1898" s="1" t="str">
        <f>HYPERLINK("http://digipan.lumentumllc.com/apps/getMap/index.php?p=6128608","Map")</f>
        <v>Map</v>
      </c>
      <c r="E1898" t="s">
        <v>177</v>
      </c>
      <c r="F1898" t="s">
        <v>178</v>
      </c>
      <c r="L1898" t="s">
        <v>22825</v>
      </c>
      <c r="N1898" t="s">
        <v>22825</v>
      </c>
      <c r="O1898" t="s">
        <v>22825</v>
      </c>
      <c r="P1898" t="s">
        <v>22826</v>
      </c>
      <c r="Q1898" t="s">
        <v>22825</v>
      </c>
      <c r="V1898">
        <v>2165</v>
      </c>
      <c r="W1898">
        <v>7</v>
      </c>
      <c r="X1898">
        <v>2017</v>
      </c>
      <c r="Y1898">
        <v>2018</v>
      </c>
      <c r="Z1898">
        <v>2961.46</v>
      </c>
      <c r="AB1898" t="s">
        <v>181</v>
      </c>
      <c r="AC1898" t="s">
        <v>182</v>
      </c>
      <c r="AD1898" t="s">
        <v>183</v>
      </c>
      <c r="AE1898">
        <v>0</v>
      </c>
      <c r="AF1898">
        <v>3</v>
      </c>
      <c r="AG1898" t="s">
        <v>381</v>
      </c>
      <c r="AH1898">
        <v>100</v>
      </c>
      <c r="AK1898">
        <v>0</v>
      </c>
      <c r="AL1898">
        <v>176000</v>
      </c>
      <c r="AM1898">
        <v>176000</v>
      </c>
      <c r="AN1898">
        <v>0</v>
      </c>
      <c r="AO1898">
        <v>2576</v>
      </c>
      <c r="AP1898">
        <v>2016</v>
      </c>
      <c r="AQ1898">
        <v>1.68</v>
      </c>
      <c r="AS1898" t="s">
        <v>22827</v>
      </c>
      <c r="AT1898" t="s">
        <v>15040</v>
      </c>
      <c r="AU1898" t="s">
        <v>177</v>
      </c>
      <c r="AV1898" t="s">
        <v>371</v>
      </c>
      <c r="AW1898" t="s">
        <v>182</v>
      </c>
      <c r="AX1898">
        <v>0</v>
      </c>
      <c r="AY1898" t="s">
        <v>312</v>
      </c>
      <c r="AZ1898" t="s">
        <v>199</v>
      </c>
      <c r="BA1898" t="s">
        <v>313</v>
      </c>
      <c r="BB1898" t="s">
        <v>191</v>
      </c>
      <c r="BC1898" t="s">
        <v>182</v>
      </c>
      <c r="BD1898" t="s">
        <v>182</v>
      </c>
      <c r="BE1898" t="s">
        <v>12936</v>
      </c>
      <c r="BF1898">
        <v>0</v>
      </c>
      <c r="BG1898">
        <v>0</v>
      </c>
      <c r="BH1898">
        <v>0</v>
      </c>
      <c r="BI1898" t="s">
        <v>199</v>
      </c>
      <c r="BJ1898" t="s">
        <v>248</v>
      </c>
      <c r="BL1898" t="s">
        <v>199</v>
      </c>
      <c r="BM1898" t="s">
        <v>358</v>
      </c>
      <c r="BN1898" t="s">
        <v>182</v>
      </c>
      <c r="BO1898" t="s">
        <v>198</v>
      </c>
      <c r="BP1898" t="s">
        <v>198</v>
      </c>
      <c r="BQ1898" t="s">
        <v>198</v>
      </c>
      <c r="BR1898" t="s">
        <v>198</v>
      </c>
      <c r="BS1898" t="s">
        <v>198</v>
      </c>
      <c r="BT1898" t="s">
        <v>198</v>
      </c>
      <c r="BU1898" t="s">
        <v>182</v>
      </c>
      <c r="BV1898" t="s">
        <v>198</v>
      </c>
      <c r="BW1898" t="s">
        <v>198</v>
      </c>
      <c r="BX1898" t="s">
        <v>199</v>
      </c>
      <c r="BY1898" t="s">
        <v>198</v>
      </c>
      <c r="BZ1898" t="s">
        <v>199</v>
      </c>
      <c r="CA1898" t="s">
        <v>199</v>
      </c>
      <c r="CB1898" t="s">
        <v>22828</v>
      </c>
      <c r="CC1898" t="s">
        <v>201</v>
      </c>
      <c r="CD1898" t="s">
        <v>182</v>
      </c>
      <c r="CE1898" t="s">
        <v>22829</v>
      </c>
      <c r="CF1898" t="s">
        <v>413</v>
      </c>
      <c r="CG1898" t="s">
        <v>177</v>
      </c>
      <c r="CH1898" t="s">
        <v>2991</v>
      </c>
      <c r="CI1898" t="s">
        <v>7319</v>
      </c>
      <c r="CJ1898" t="s">
        <v>22830</v>
      </c>
      <c r="CK1898" t="s">
        <v>273</v>
      </c>
      <c r="CL1898" t="s">
        <v>274</v>
      </c>
      <c r="CM1898" t="s">
        <v>22831</v>
      </c>
      <c r="CN1898" t="s">
        <v>235</v>
      </c>
      <c r="CO1898" t="s">
        <v>183</v>
      </c>
      <c r="CP1898" t="s">
        <v>211</v>
      </c>
      <c r="CQ1898" t="s">
        <v>270</v>
      </c>
      <c r="CS1898" t="s">
        <v>17882</v>
      </c>
      <c r="CT1898" t="s">
        <v>18071</v>
      </c>
      <c r="CU1898" t="s">
        <v>302</v>
      </c>
      <c r="CV1898" t="s">
        <v>303</v>
      </c>
      <c r="CW1898" t="s">
        <v>22832</v>
      </c>
      <c r="CX1898" t="s">
        <v>235</v>
      </c>
      <c r="CY1898" t="s">
        <v>183</v>
      </c>
      <c r="CZ1898" t="s">
        <v>211</v>
      </c>
      <c r="DA1898" t="s">
        <v>487</v>
      </c>
      <c r="DC1898" t="s">
        <v>22833</v>
      </c>
      <c r="DD1898" t="s">
        <v>1368</v>
      </c>
      <c r="DE1898" t="s">
        <v>238</v>
      </c>
      <c r="DF1898" t="s">
        <v>239</v>
      </c>
      <c r="DG1898" t="s">
        <v>22834</v>
      </c>
      <c r="DH1898" t="s">
        <v>235</v>
      </c>
      <c r="DI1898" t="s">
        <v>183</v>
      </c>
      <c r="DJ1898" t="s">
        <v>211</v>
      </c>
      <c r="DK1898" t="s">
        <v>339</v>
      </c>
      <c r="DM1898" t="s">
        <v>9123</v>
      </c>
      <c r="DW1898" t="s">
        <v>198</v>
      </c>
      <c r="EG1898" t="s">
        <v>198</v>
      </c>
      <c r="EQ1898" t="s">
        <v>198</v>
      </c>
      <c r="FA1898" t="s">
        <v>198</v>
      </c>
      <c r="FK1898" t="s">
        <v>198</v>
      </c>
      <c r="FU1898" t="s">
        <v>198</v>
      </c>
    </row>
    <row r="1899" spans="1:177">
      <c r="A1899" s="1" t="str">
        <f>HYPERLINK("http://digipan.lumentumllc.com/apps/getLink/index.php?t=PropLink&amp;p=6461602","PL")</f>
        <v>PL</v>
      </c>
      <c r="B1899" s="1" t="str">
        <f>HYPERLINK("http://digipan.lumentumllc.com/apps/getLink/index.php?t=TaxLink&amp;p=6461602","TL")</f>
        <v>TL</v>
      </c>
      <c r="C1899" s="1" t="str">
        <f>HYPERLINK("http://digipan.lumentumllc.com/apps/getMap/index.php?p=6461602","Map")</f>
        <v>Map</v>
      </c>
      <c r="E1899" t="s">
        <v>177</v>
      </c>
      <c r="F1899" t="s">
        <v>178</v>
      </c>
      <c r="L1899" t="s">
        <v>22835</v>
      </c>
      <c r="N1899" t="s">
        <v>22835</v>
      </c>
      <c r="O1899" t="s">
        <v>22835</v>
      </c>
      <c r="P1899" t="s">
        <v>22836</v>
      </c>
      <c r="Q1899" t="s">
        <v>22835</v>
      </c>
      <c r="V1899">
        <v>2166</v>
      </c>
      <c r="W1899">
        <v>7</v>
      </c>
      <c r="X1899">
        <v>2017</v>
      </c>
      <c r="Y1899">
        <v>2018</v>
      </c>
      <c r="Z1899">
        <v>6759.07</v>
      </c>
      <c r="AB1899" t="s">
        <v>181</v>
      </c>
      <c r="AC1899" t="s">
        <v>182</v>
      </c>
      <c r="AD1899" t="s">
        <v>183</v>
      </c>
      <c r="AE1899">
        <v>1</v>
      </c>
      <c r="AF1899">
        <v>4</v>
      </c>
      <c r="AG1899" t="s">
        <v>951</v>
      </c>
      <c r="AH1899">
        <v>80</v>
      </c>
      <c r="AI1899">
        <v>6666.36</v>
      </c>
      <c r="AJ1899">
        <v>333.32</v>
      </c>
      <c r="AK1899">
        <v>6999.68</v>
      </c>
      <c r="AL1899">
        <v>1079412</v>
      </c>
      <c r="AM1899">
        <v>896000</v>
      </c>
      <c r="AN1899">
        <v>183412</v>
      </c>
      <c r="AO1899">
        <v>6139</v>
      </c>
      <c r="AP1899">
        <v>2016</v>
      </c>
      <c r="AQ1899">
        <v>0.63</v>
      </c>
      <c r="AR1899">
        <v>0.65</v>
      </c>
      <c r="AS1899" t="s">
        <v>22837</v>
      </c>
      <c r="AT1899" t="s">
        <v>15040</v>
      </c>
      <c r="AU1899" t="s">
        <v>177</v>
      </c>
      <c r="AV1899" t="s">
        <v>371</v>
      </c>
      <c r="AW1899" t="s">
        <v>202</v>
      </c>
      <c r="AX1899">
        <v>3</v>
      </c>
      <c r="AY1899" t="s">
        <v>3641</v>
      </c>
      <c r="AZ1899" t="s">
        <v>250</v>
      </c>
      <c r="BA1899" t="s">
        <v>7100</v>
      </c>
      <c r="BB1899" t="s">
        <v>191</v>
      </c>
      <c r="BC1899" t="s">
        <v>182</v>
      </c>
      <c r="BD1899" t="s">
        <v>182</v>
      </c>
      <c r="BE1899" t="s">
        <v>13723</v>
      </c>
      <c r="BF1899">
        <v>2</v>
      </c>
      <c r="BG1899">
        <v>18</v>
      </c>
      <c r="BH1899">
        <v>1950</v>
      </c>
      <c r="BI1899" t="s">
        <v>22838</v>
      </c>
      <c r="BJ1899" t="s">
        <v>285</v>
      </c>
      <c r="BK1899" t="s">
        <v>840</v>
      </c>
      <c r="BL1899" t="s">
        <v>199</v>
      </c>
      <c r="BM1899" t="s">
        <v>945</v>
      </c>
      <c r="BN1899" t="s">
        <v>182</v>
      </c>
      <c r="BO1899" t="s">
        <v>198</v>
      </c>
      <c r="BP1899" t="s">
        <v>198</v>
      </c>
      <c r="BQ1899" t="s">
        <v>198</v>
      </c>
      <c r="BR1899" t="s">
        <v>198</v>
      </c>
      <c r="BS1899" t="s">
        <v>198</v>
      </c>
      <c r="BT1899" t="s">
        <v>198</v>
      </c>
      <c r="BU1899" t="s">
        <v>182</v>
      </c>
      <c r="BV1899" t="s">
        <v>198</v>
      </c>
      <c r="BW1899" t="s">
        <v>198</v>
      </c>
      <c r="BX1899" t="s">
        <v>199</v>
      </c>
      <c r="BY1899" t="s">
        <v>198</v>
      </c>
      <c r="BZ1899" t="s">
        <v>199</v>
      </c>
      <c r="CA1899" t="s">
        <v>199</v>
      </c>
      <c r="CB1899" t="s">
        <v>22814</v>
      </c>
      <c r="CC1899" t="s">
        <v>201</v>
      </c>
      <c r="CD1899" t="s">
        <v>182</v>
      </c>
      <c r="CE1899" t="s">
        <v>22815</v>
      </c>
      <c r="CF1899" t="s">
        <v>5331</v>
      </c>
      <c r="CG1899" t="s">
        <v>177</v>
      </c>
      <c r="CH1899" t="s">
        <v>371</v>
      </c>
      <c r="CI1899" t="s">
        <v>22839</v>
      </c>
      <c r="CJ1899" t="s">
        <v>3004</v>
      </c>
      <c r="CK1899" t="s">
        <v>232</v>
      </c>
      <c r="CL1899" t="s">
        <v>233</v>
      </c>
      <c r="CM1899" t="s">
        <v>22840</v>
      </c>
      <c r="CN1899" t="s">
        <v>235</v>
      </c>
      <c r="CO1899" t="s">
        <v>183</v>
      </c>
      <c r="CP1899" t="s">
        <v>266</v>
      </c>
      <c r="CS1899" t="s">
        <v>198</v>
      </c>
      <c r="CT1899" t="s">
        <v>12013</v>
      </c>
      <c r="CU1899" t="s">
        <v>292</v>
      </c>
      <c r="CV1899" t="s">
        <v>293</v>
      </c>
      <c r="CW1899" t="s">
        <v>22841</v>
      </c>
      <c r="CX1899" t="s">
        <v>235</v>
      </c>
      <c r="CY1899" t="s">
        <v>183</v>
      </c>
      <c r="CZ1899" t="s">
        <v>211</v>
      </c>
      <c r="DA1899" t="s">
        <v>298</v>
      </c>
      <c r="DC1899" t="s">
        <v>1066</v>
      </c>
      <c r="DD1899" t="s">
        <v>16398</v>
      </c>
      <c r="DE1899" t="s">
        <v>267</v>
      </c>
      <c r="DF1899" t="s">
        <v>268</v>
      </c>
      <c r="DG1899" t="s">
        <v>22842</v>
      </c>
      <c r="DH1899" t="s">
        <v>235</v>
      </c>
      <c r="DI1899" t="s">
        <v>183</v>
      </c>
      <c r="DJ1899" t="s">
        <v>211</v>
      </c>
      <c r="DK1899" t="s">
        <v>212</v>
      </c>
      <c r="DM1899" t="s">
        <v>22843</v>
      </c>
      <c r="DN1899" t="s">
        <v>15078</v>
      </c>
      <c r="DO1899" t="s">
        <v>273</v>
      </c>
      <c r="DP1899" t="s">
        <v>274</v>
      </c>
      <c r="DQ1899" t="s">
        <v>22844</v>
      </c>
      <c r="DR1899" t="s">
        <v>235</v>
      </c>
      <c r="DS1899" t="s">
        <v>183</v>
      </c>
      <c r="DT1899" t="s">
        <v>211</v>
      </c>
      <c r="DU1899" t="s">
        <v>342</v>
      </c>
      <c r="DW1899" t="s">
        <v>10304</v>
      </c>
      <c r="DX1899" t="s">
        <v>22845</v>
      </c>
      <c r="DY1899" t="s">
        <v>302</v>
      </c>
      <c r="DZ1899" t="s">
        <v>303</v>
      </c>
      <c r="EA1899" t="s">
        <v>22846</v>
      </c>
      <c r="EB1899" t="s">
        <v>235</v>
      </c>
      <c r="EC1899" t="s">
        <v>183</v>
      </c>
      <c r="ED1899" t="s">
        <v>211</v>
      </c>
      <c r="EE1899" t="s">
        <v>290</v>
      </c>
      <c r="EG1899" t="s">
        <v>22847</v>
      </c>
      <c r="EQ1899" t="s">
        <v>198</v>
      </c>
      <c r="FA1899" t="s">
        <v>198</v>
      </c>
      <c r="FK1899" t="s">
        <v>198</v>
      </c>
      <c r="FU1899" t="s">
        <v>198</v>
      </c>
    </row>
    <row r="1900" spans="1:177">
      <c r="A1900" s="1" t="str">
        <f>HYPERLINK("http://digipan.lumentumllc.com/apps/getLink/index.php?t=PropLink&amp;p=5243934","PL")</f>
        <v>PL</v>
      </c>
      <c r="B1900" s="1" t="str">
        <f>HYPERLINK("http://digipan.lumentumllc.com/apps/getLink/index.php?t=TaxLink&amp;p=5243934","TL")</f>
        <v>TL</v>
      </c>
      <c r="C1900" s="1" t="str">
        <f>HYPERLINK("http://digipan.lumentumllc.com/apps/getMap/index.php?p=5243934","Map")</f>
        <v>Map</v>
      </c>
      <c r="E1900" t="s">
        <v>177</v>
      </c>
      <c r="F1900" t="s">
        <v>178</v>
      </c>
      <c r="L1900" t="s">
        <v>22848</v>
      </c>
      <c r="N1900" t="s">
        <v>22848</v>
      </c>
      <c r="O1900" t="s">
        <v>22848</v>
      </c>
      <c r="P1900" t="s">
        <v>22849</v>
      </c>
      <c r="Q1900" t="s">
        <v>22848</v>
      </c>
      <c r="V1900">
        <v>2167</v>
      </c>
      <c r="W1900">
        <v>7</v>
      </c>
      <c r="X1900">
        <v>2017</v>
      </c>
      <c r="Y1900">
        <v>2018</v>
      </c>
      <c r="Z1900">
        <v>2695.15</v>
      </c>
      <c r="AB1900" t="s">
        <v>181</v>
      </c>
      <c r="AC1900" t="s">
        <v>202</v>
      </c>
      <c r="AD1900" t="s">
        <v>183</v>
      </c>
      <c r="AE1900">
        <v>0</v>
      </c>
      <c r="AF1900">
        <v>6</v>
      </c>
      <c r="AG1900" t="s">
        <v>3266</v>
      </c>
      <c r="AH1900">
        <v>100</v>
      </c>
      <c r="AK1900">
        <v>0</v>
      </c>
      <c r="AL1900">
        <v>160000</v>
      </c>
      <c r="AM1900">
        <v>160000</v>
      </c>
      <c r="AN1900">
        <v>0</v>
      </c>
      <c r="AO1900">
        <v>2342</v>
      </c>
      <c r="AP1900">
        <v>2016</v>
      </c>
      <c r="AQ1900">
        <v>1.68</v>
      </c>
      <c r="AS1900" t="s">
        <v>22813</v>
      </c>
      <c r="AT1900" t="s">
        <v>15040</v>
      </c>
      <c r="AU1900" t="s">
        <v>177</v>
      </c>
      <c r="AV1900" t="s">
        <v>371</v>
      </c>
      <c r="AW1900" t="s">
        <v>182</v>
      </c>
      <c r="AX1900">
        <v>0</v>
      </c>
      <c r="AY1900" t="s">
        <v>312</v>
      </c>
      <c r="AZ1900" t="s">
        <v>199</v>
      </c>
      <c r="BA1900" t="s">
        <v>313</v>
      </c>
      <c r="BB1900" t="s">
        <v>191</v>
      </c>
      <c r="BC1900" t="s">
        <v>182</v>
      </c>
      <c r="BD1900" t="s">
        <v>182</v>
      </c>
      <c r="BE1900" t="s">
        <v>3930</v>
      </c>
      <c r="BF1900">
        <v>0</v>
      </c>
      <c r="BG1900">
        <v>0</v>
      </c>
      <c r="BH1900">
        <v>0</v>
      </c>
      <c r="BI1900" t="s">
        <v>199</v>
      </c>
      <c r="BJ1900" t="s">
        <v>194</v>
      </c>
      <c r="BL1900" t="s">
        <v>199</v>
      </c>
      <c r="BM1900" t="s">
        <v>325</v>
      </c>
      <c r="BN1900" t="s">
        <v>182</v>
      </c>
      <c r="BO1900" t="s">
        <v>198</v>
      </c>
      <c r="BP1900" t="s">
        <v>198</v>
      </c>
      <c r="BQ1900" t="s">
        <v>198</v>
      </c>
      <c r="BR1900" t="s">
        <v>198</v>
      </c>
      <c r="BS1900" t="s">
        <v>198</v>
      </c>
      <c r="BT1900" t="s">
        <v>198</v>
      </c>
      <c r="BU1900" t="s">
        <v>182</v>
      </c>
      <c r="BV1900" t="s">
        <v>198</v>
      </c>
      <c r="BW1900" t="s">
        <v>198</v>
      </c>
      <c r="BX1900" t="s">
        <v>199</v>
      </c>
      <c r="BY1900" t="s">
        <v>198</v>
      </c>
      <c r="BZ1900" t="s">
        <v>199</v>
      </c>
      <c r="CA1900" t="s">
        <v>199</v>
      </c>
      <c r="CB1900" t="s">
        <v>22850</v>
      </c>
      <c r="CC1900" t="s">
        <v>201</v>
      </c>
      <c r="CD1900" t="s">
        <v>182</v>
      </c>
      <c r="CE1900" t="s">
        <v>22851</v>
      </c>
      <c r="CF1900" t="s">
        <v>22852</v>
      </c>
      <c r="CG1900" t="s">
        <v>5450</v>
      </c>
      <c r="CH1900" t="s">
        <v>22853</v>
      </c>
      <c r="CI1900" t="s">
        <v>10376</v>
      </c>
      <c r="CJ1900" t="s">
        <v>12047</v>
      </c>
      <c r="CK1900" t="s">
        <v>292</v>
      </c>
      <c r="CL1900" t="s">
        <v>293</v>
      </c>
      <c r="CM1900" t="s">
        <v>22854</v>
      </c>
      <c r="CN1900" t="s">
        <v>235</v>
      </c>
      <c r="CO1900" t="s">
        <v>183</v>
      </c>
      <c r="CP1900" t="s">
        <v>211</v>
      </c>
      <c r="CQ1900" t="s">
        <v>270</v>
      </c>
      <c r="CR1900" t="s">
        <v>271</v>
      </c>
      <c r="CS1900" t="s">
        <v>6710</v>
      </c>
      <c r="CT1900" t="s">
        <v>13693</v>
      </c>
      <c r="CU1900" t="s">
        <v>267</v>
      </c>
      <c r="CV1900" t="s">
        <v>268</v>
      </c>
      <c r="CW1900" t="s">
        <v>22855</v>
      </c>
      <c r="CX1900" t="s">
        <v>235</v>
      </c>
      <c r="CY1900" t="s">
        <v>183</v>
      </c>
      <c r="CZ1900" t="s">
        <v>211</v>
      </c>
      <c r="DB1900" t="s">
        <v>271</v>
      </c>
      <c r="DC1900" t="s">
        <v>198</v>
      </c>
      <c r="DD1900" t="s">
        <v>22856</v>
      </c>
      <c r="DE1900" t="s">
        <v>302</v>
      </c>
      <c r="DF1900" t="s">
        <v>303</v>
      </c>
      <c r="DG1900" t="s">
        <v>22832</v>
      </c>
      <c r="DH1900" t="s">
        <v>235</v>
      </c>
      <c r="DI1900" t="s">
        <v>183</v>
      </c>
      <c r="DJ1900" t="s">
        <v>211</v>
      </c>
      <c r="DK1900" t="s">
        <v>339</v>
      </c>
      <c r="DM1900" t="s">
        <v>4832</v>
      </c>
      <c r="DN1900" t="s">
        <v>1162</v>
      </c>
      <c r="DO1900" t="s">
        <v>238</v>
      </c>
      <c r="DP1900" t="s">
        <v>239</v>
      </c>
      <c r="DQ1900" t="s">
        <v>22857</v>
      </c>
      <c r="DR1900" t="s">
        <v>440</v>
      </c>
      <c r="DS1900" t="s">
        <v>183</v>
      </c>
      <c r="DT1900" t="s">
        <v>211</v>
      </c>
      <c r="DU1900" t="s">
        <v>493</v>
      </c>
      <c r="DW1900" t="s">
        <v>4832</v>
      </c>
      <c r="DX1900" t="s">
        <v>22858</v>
      </c>
      <c r="DY1900" t="s">
        <v>346</v>
      </c>
      <c r="DZ1900" t="s">
        <v>347</v>
      </c>
      <c r="EA1900" t="s">
        <v>22859</v>
      </c>
      <c r="EB1900" t="s">
        <v>440</v>
      </c>
      <c r="EC1900" t="s">
        <v>183</v>
      </c>
      <c r="ED1900" t="s">
        <v>211</v>
      </c>
      <c r="EE1900" t="s">
        <v>966</v>
      </c>
      <c r="EG1900" t="s">
        <v>4832</v>
      </c>
      <c r="EH1900" t="s">
        <v>22001</v>
      </c>
      <c r="EI1900" t="s">
        <v>207</v>
      </c>
      <c r="EJ1900" t="s">
        <v>208</v>
      </c>
      <c r="EK1900" t="s">
        <v>22860</v>
      </c>
      <c r="EL1900" t="s">
        <v>7482</v>
      </c>
      <c r="EM1900" t="s">
        <v>183</v>
      </c>
      <c r="EN1900" t="s">
        <v>211</v>
      </c>
      <c r="EO1900" t="s">
        <v>329</v>
      </c>
      <c r="EQ1900" t="s">
        <v>22861</v>
      </c>
      <c r="FA1900" t="s">
        <v>198</v>
      </c>
      <c r="FK1900" t="s">
        <v>198</v>
      </c>
      <c r="FU1900" t="s">
        <v>198</v>
      </c>
    </row>
    <row r="1901" spans="1:177">
      <c r="A1901" s="1" t="str">
        <f>HYPERLINK("http://digipan.lumentumllc.com/apps/getLink/index.php?t=PropLink&amp;p=15725458","PL")</f>
        <v>PL</v>
      </c>
      <c r="B1901" s="1" t="str">
        <f>HYPERLINK("http://digipan.lumentumllc.com/apps/getLink/index.php?t=TaxLink&amp;p=15725458","TL")</f>
        <v>TL</v>
      </c>
      <c r="C1901" s="1" t="str">
        <f>HYPERLINK("http://digipan.lumentumllc.com/apps/getMap/index.php?p=15725458","Map")</f>
        <v>Map</v>
      </c>
      <c r="E1901" t="s">
        <v>177</v>
      </c>
      <c r="F1901" t="s">
        <v>178</v>
      </c>
      <c r="L1901" t="s">
        <v>22862</v>
      </c>
      <c r="N1901" t="s">
        <v>22862</v>
      </c>
      <c r="O1901" t="s">
        <v>22862</v>
      </c>
      <c r="Q1901" t="s">
        <v>22862</v>
      </c>
      <c r="V1901">
        <v>2168</v>
      </c>
      <c r="W1901">
        <v>7</v>
      </c>
      <c r="X1901">
        <v>2017</v>
      </c>
      <c r="Y1901">
        <v>2018</v>
      </c>
      <c r="Z1901">
        <v>5322.18</v>
      </c>
      <c r="AG1901" t="s">
        <v>184</v>
      </c>
      <c r="AH1901">
        <v>0</v>
      </c>
      <c r="AK1901">
        <v>0</v>
      </c>
      <c r="AL1901">
        <v>317829</v>
      </c>
      <c r="AM1901">
        <v>112500</v>
      </c>
      <c r="AN1901">
        <v>205329</v>
      </c>
      <c r="AO1901">
        <v>4835</v>
      </c>
      <c r="AP1901">
        <v>2016</v>
      </c>
      <c r="AQ1901">
        <v>1.67</v>
      </c>
      <c r="AS1901" t="s">
        <v>22863</v>
      </c>
      <c r="AT1901" t="s">
        <v>15040</v>
      </c>
      <c r="AU1901" t="s">
        <v>177</v>
      </c>
      <c r="AV1901" t="s">
        <v>371</v>
      </c>
      <c r="AW1901" t="s">
        <v>182</v>
      </c>
      <c r="AX1901">
        <v>1</v>
      </c>
      <c r="AY1901" t="s">
        <v>188</v>
      </c>
      <c r="AZ1901" t="s">
        <v>206</v>
      </c>
      <c r="BA1901" t="s">
        <v>355</v>
      </c>
      <c r="BB1901" t="s">
        <v>191</v>
      </c>
      <c r="BC1901" t="s">
        <v>182</v>
      </c>
      <c r="BD1901" t="s">
        <v>182</v>
      </c>
      <c r="BE1901" t="s">
        <v>6523</v>
      </c>
      <c r="BF1901">
        <v>1</v>
      </c>
      <c r="BG1901">
        <v>1</v>
      </c>
      <c r="BH1901">
        <v>1955</v>
      </c>
      <c r="BI1901" t="s">
        <v>22864</v>
      </c>
      <c r="BJ1901" t="s">
        <v>194</v>
      </c>
      <c r="BK1901" t="s">
        <v>840</v>
      </c>
      <c r="BL1901" t="s">
        <v>22101</v>
      </c>
      <c r="BM1901" t="s">
        <v>267</v>
      </c>
      <c r="BN1901" t="s">
        <v>182</v>
      </c>
      <c r="BO1901" t="s">
        <v>22865</v>
      </c>
      <c r="BP1901" t="s">
        <v>22866</v>
      </c>
      <c r="BQ1901" t="s">
        <v>800</v>
      </c>
      <c r="BR1901" t="s">
        <v>563</v>
      </c>
      <c r="BS1901" t="s">
        <v>198</v>
      </c>
      <c r="BT1901" t="s">
        <v>22867</v>
      </c>
      <c r="BU1901" t="s">
        <v>182</v>
      </c>
      <c r="BV1901" t="s">
        <v>198</v>
      </c>
      <c r="BW1901" t="s">
        <v>198</v>
      </c>
      <c r="BX1901" t="s">
        <v>199</v>
      </c>
      <c r="BY1901" t="s">
        <v>198</v>
      </c>
      <c r="BZ1901" t="s">
        <v>199</v>
      </c>
      <c r="CA1901" t="s">
        <v>199</v>
      </c>
      <c r="CB1901" t="s">
        <v>22868</v>
      </c>
      <c r="CC1901" t="s">
        <v>201</v>
      </c>
      <c r="CD1901" t="s">
        <v>182</v>
      </c>
      <c r="CE1901" t="s">
        <v>22869</v>
      </c>
      <c r="CF1901" t="s">
        <v>413</v>
      </c>
      <c r="CG1901" t="s">
        <v>177</v>
      </c>
      <c r="CH1901" t="s">
        <v>6095</v>
      </c>
      <c r="CI1901" t="s">
        <v>22870</v>
      </c>
      <c r="CS1901" t="s">
        <v>198</v>
      </c>
      <c r="DC1901" t="s">
        <v>198</v>
      </c>
      <c r="DM1901" t="s">
        <v>198</v>
      </c>
      <c r="DW1901" t="s">
        <v>198</v>
      </c>
      <c r="EG1901" t="s">
        <v>198</v>
      </c>
      <c r="EQ1901" t="s">
        <v>198</v>
      </c>
      <c r="FA1901" t="s">
        <v>198</v>
      </c>
      <c r="FK1901" t="s">
        <v>198</v>
      </c>
      <c r="FU1901" t="s">
        <v>198</v>
      </c>
    </row>
    <row r="1902" spans="1:177">
      <c r="A1902" s="1" t="str">
        <f>HYPERLINK("http://digipan.lumentumllc.com/apps/getLink/index.php?t=PropLink&amp;p=5243937","PL")</f>
        <v>PL</v>
      </c>
      <c r="B1902" s="1" t="str">
        <f>HYPERLINK("http://digipan.lumentumllc.com/apps/getLink/index.php?t=TaxLink&amp;p=5243937","TL")</f>
        <v>TL</v>
      </c>
      <c r="C1902" s="1" t="str">
        <f>HYPERLINK("http://digipan.lumentumllc.com/apps/getMap/index.php?p=5243937","Map")</f>
        <v>Map</v>
      </c>
      <c r="E1902" t="s">
        <v>177</v>
      </c>
      <c r="F1902" t="s">
        <v>178</v>
      </c>
      <c r="L1902" t="s">
        <v>22871</v>
      </c>
      <c r="N1902" t="s">
        <v>22871</v>
      </c>
      <c r="O1902" t="s">
        <v>22871</v>
      </c>
      <c r="P1902" t="s">
        <v>22872</v>
      </c>
      <c r="Q1902" t="s">
        <v>22871</v>
      </c>
      <c r="V1902">
        <v>2169</v>
      </c>
      <c r="W1902">
        <v>7</v>
      </c>
      <c r="X1902">
        <v>2017</v>
      </c>
      <c r="Y1902">
        <v>2018</v>
      </c>
      <c r="Z1902">
        <v>1947.35</v>
      </c>
      <c r="AB1902" t="s">
        <v>181</v>
      </c>
      <c r="AC1902" t="s">
        <v>182</v>
      </c>
      <c r="AD1902" t="s">
        <v>183</v>
      </c>
      <c r="AE1902">
        <v>0</v>
      </c>
      <c r="AF1902">
        <v>2</v>
      </c>
      <c r="AG1902" t="s">
        <v>821</v>
      </c>
      <c r="AH1902">
        <v>100</v>
      </c>
      <c r="AK1902">
        <v>0</v>
      </c>
      <c r="AL1902">
        <v>154355</v>
      </c>
      <c r="AM1902">
        <v>84975</v>
      </c>
      <c r="AN1902">
        <v>69380</v>
      </c>
      <c r="AO1902">
        <v>2366</v>
      </c>
      <c r="AP1902">
        <v>2016</v>
      </c>
      <c r="AQ1902">
        <v>1.26</v>
      </c>
      <c r="AS1902" t="s">
        <v>22873</v>
      </c>
      <c r="AT1902" t="s">
        <v>15040</v>
      </c>
      <c r="AU1902" t="s">
        <v>177</v>
      </c>
      <c r="AV1902" t="s">
        <v>371</v>
      </c>
      <c r="AW1902" t="s">
        <v>202</v>
      </c>
      <c r="AX1902">
        <v>1</v>
      </c>
      <c r="AY1902" t="s">
        <v>188</v>
      </c>
      <c r="AZ1902" t="s">
        <v>206</v>
      </c>
      <c r="BA1902" t="s">
        <v>355</v>
      </c>
      <c r="BB1902" t="s">
        <v>191</v>
      </c>
      <c r="BC1902" t="s">
        <v>182</v>
      </c>
      <c r="BD1902" t="s">
        <v>182</v>
      </c>
      <c r="BE1902" t="s">
        <v>3907</v>
      </c>
      <c r="BF1902">
        <v>2</v>
      </c>
      <c r="BG1902">
        <v>2</v>
      </c>
      <c r="BH1902">
        <v>1972</v>
      </c>
      <c r="BI1902" t="s">
        <v>11387</v>
      </c>
      <c r="BJ1902" t="s">
        <v>194</v>
      </c>
      <c r="BK1902" t="s">
        <v>195</v>
      </c>
      <c r="BL1902" t="s">
        <v>9709</v>
      </c>
      <c r="BM1902" t="s">
        <v>410</v>
      </c>
      <c r="BN1902" t="s">
        <v>182</v>
      </c>
      <c r="BO1902" t="s">
        <v>3842</v>
      </c>
      <c r="BP1902" t="s">
        <v>22874</v>
      </c>
      <c r="BS1902" t="s">
        <v>22875</v>
      </c>
      <c r="BT1902" t="s">
        <v>198</v>
      </c>
      <c r="BU1902" t="s">
        <v>182</v>
      </c>
      <c r="BV1902" t="s">
        <v>198</v>
      </c>
      <c r="BW1902" t="s">
        <v>198</v>
      </c>
      <c r="BX1902" t="s">
        <v>199</v>
      </c>
      <c r="BY1902" t="s">
        <v>198</v>
      </c>
      <c r="BZ1902" t="s">
        <v>199</v>
      </c>
      <c r="CA1902" t="s">
        <v>199</v>
      </c>
      <c r="CB1902" t="s">
        <v>22876</v>
      </c>
      <c r="CC1902" t="s">
        <v>201</v>
      </c>
      <c r="CD1902" t="s">
        <v>182</v>
      </c>
      <c r="CE1902" t="s">
        <v>22877</v>
      </c>
      <c r="CF1902" t="s">
        <v>5331</v>
      </c>
      <c r="CG1902" t="s">
        <v>177</v>
      </c>
      <c r="CH1902" t="s">
        <v>371</v>
      </c>
      <c r="CI1902" t="s">
        <v>22878</v>
      </c>
      <c r="CJ1902" t="s">
        <v>15897</v>
      </c>
      <c r="CK1902" t="s">
        <v>292</v>
      </c>
      <c r="CL1902" t="s">
        <v>293</v>
      </c>
      <c r="CM1902" t="s">
        <v>22879</v>
      </c>
      <c r="CN1902" t="s">
        <v>235</v>
      </c>
      <c r="CO1902" t="s">
        <v>183</v>
      </c>
      <c r="CP1902" t="s">
        <v>211</v>
      </c>
      <c r="CQ1902" t="s">
        <v>199</v>
      </c>
      <c r="CS1902" t="s">
        <v>10336</v>
      </c>
      <c r="CT1902" t="s">
        <v>22211</v>
      </c>
      <c r="CU1902" t="s">
        <v>207</v>
      </c>
      <c r="CV1902" t="s">
        <v>208</v>
      </c>
      <c r="CW1902" t="s">
        <v>22880</v>
      </c>
      <c r="CX1902" t="s">
        <v>235</v>
      </c>
      <c r="CY1902" t="s">
        <v>183</v>
      </c>
      <c r="CZ1902" t="s">
        <v>211</v>
      </c>
      <c r="DA1902" t="s">
        <v>212</v>
      </c>
      <c r="DC1902" t="s">
        <v>22881</v>
      </c>
      <c r="DM1902" t="s">
        <v>198</v>
      </c>
      <c r="DW1902" t="s">
        <v>198</v>
      </c>
      <c r="EG1902" t="s">
        <v>198</v>
      </c>
      <c r="EQ1902" t="s">
        <v>198</v>
      </c>
      <c r="FA1902" t="s">
        <v>198</v>
      </c>
      <c r="FK1902" t="s">
        <v>198</v>
      </c>
      <c r="FU1902" t="s">
        <v>198</v>
      </c>
    </row>
    <row r="1903" spans="1:177">
      <c r="A1903" s="1" t="str">
        <f>HYPERLINK("http://digipan.lumentumllc.com/apps/getLink/index.php?t=PropLink&amp;p=15725459","PL")</f>
        <v>PL</v>
      </c>
      <c r="B1903" s="1" t="str">
        <f>HYPERLINK("http://digipan.lumentumllc.com/apps/getLink/index.php?t=TaxLink&amp;p=15725459","TL")</f>
        <v>TL</v>
      </c>
      <c r="C1903" s="1" t="str">
        <f>HYPERLINK("http://digipan.lumentumllc.com/apps/getMap/index.php?p=15725459","Map")</f>
        <v>Map</v>
      </c>
      <c r="E1903" t="s">
        <v>177</v>
      </c>
      <c r="F1903" t="s">
        <v>178</v>
      </c>
      <c r="L1903" t="s">
        <v>22882</v>
      </c>
      <c r="N1903" t="s">
        <v>22882</v>
      </c>
      <c r="O1903" t="s">
        <v>22882</v>
      </c>
      <c r="Q1903" t="s">
        <v>22882</v>
      </c>
      <c r="V1903">
        <v>2170</v>
      </c>
      <c r="W1903">
        <v>7</v>
      </c>
      <c r="X1903">
        <v>2017</v>
      </c>
      <c r="Y1903">
        <v>2018</v>
      </c>
      <c r="Z1903">
        <v>1616.59</v>
      </c>
      <c r="AG1903" t="s">
        <v>184</v>
      </c>
      <c r="AH1903">
        <v>0</v>
      </c>
      <c r="AK1903">
        <v>0</v>
      </c>
      <c r="AL1903">
        <v>95201</v>
      </c>
      <c r="AM1903">
        <v>45000</v>
      </c>
      <c r="AN1903">
        <v>50201</v>
      </c>
      <c r="AO1903">
        <v>1454</v>
      </c>
      <c r="AP1903">
        <v>2016</v>
      </c>
      <c r="AQ1903">
        <v>1.7</v>
      </c>
      <c r="AS1903" t="s">
        <v>22883</v>
      </c>
      <c r="AT1903" t="s">
        <v>15040</v>
      </c>
      <c r="AU1903" t="s">
        <v>177</v>
      </c>
      <c r="AV1903" t="s">
        <v>371</v>
      </c>
      <c r="AW1903" t="s">
        <v>182</v>
      </c>
      <c r="AX1903">
        <v>1</v>
      </c>
      <c r="AY1903" t="s">
        <v>188</v>
      </c>
      <c r="AZ1903" t="s">
        <v>206</v>
      </c>
      <c r="BA1903" t="s">
        <v>355</v>
      </c>
      <c r="BB1903" t="s">
        <v>191</v>
      </c>
      <c r="BC1903" t="s">
        <v>182</v>
      </c>
      <c r="BD1903" t="s">
        <v>182</v>
      </c>
      <c r="BE1903" t="s">
        <v>3907</v>
      </c>
      <c r="BF1903">
        <v>1</v>
      </c>
      <c r="BG1903">
        <v>1</v>
      </c>
      <c r="BH1903">
        <v>1961</v>
      </c>
      <c r="BI1903" t="s">
        <v>4776</v>
      </c>
      <c r="BJ1903" t="s">
        <v>194</v>
      </c>
      <c r="BK1903" t="s">
        <v>195</v>
      </c>
      <c r="BL1903" t="s">
        <v>884</v>
      </c>
      <c r="BM1903" t="s">
        <v>232</v>
      </c>
      <c r="BN1903" t="s">
        <v>182</v>
      </c>
      <c r="BO1903" t="s">
        <v>8682</v>
      </c>
      <c r="BP1903" t="s">
        <v>22884</v>
      </c>
      <c r="BQ1903" t="s">
        <v>800</v>
      </c>
      <c r="BR1903" t="s">
        <v>563</v>
      </c>
      <c r="BS1903" t="s">
        <v>198</v>
      </c>
      <c r="BT1903" t="s">
        <v>22885</v>
      </c>
      <c r="BU1903" t="s">
        <v>182</v>
      </c>
      <c r="BV1903" t="s">
        <v>198</v>
      </c>
      <c r="BW1903" t="s">
        <v>198</v>
      </c>
      <c r="BX1903" t="s">
        <v>199</v>
      </c>
      <c r="BY1903" t="s">
        <v>198</v>
      </c>
      <c r="BZ1903" t="s">
        <v>199</v>
      </c>
      <c r="CA1903" t="s">
        <v>199</v>
      </c>
      <c r="CB1903" t="s">
        <v>22886</v>
      </c>
      <c r="CC1903" t="s">
        <v>201</v>
      </c>
      <c r="CD1903" t="s">
        <v>202</v>
      </c>
      <c r="CE1903" t="s">
        <v>22887</v>
      </c>
      <c r="CF1903" t="s">
        <v>960</v>
      </c>
      <c r="CG1903" t="s">
        <v>177</v>
      </c>
      <c r="CH1903" t="s">
        <v>3368</v>
      </c>
      <c r="CI1903" t="s">
        <v>22888</v>
      </c>
      <c r="CS1903" t="s">
        <v>198</v>
      </c>
      <c r="DC1903" t="s">
        <v>198</v>
      </c>
      <c r="DM1903" t="s">
        <v>198</v>
      </c>
      <c r="DW1903" t="s">
        <v>198</v>
      </c>
      <c r="EG1903" t="s">
        <v>198</v>
      </c>
      <c r="EQ1903" t="s">
        <v>198</v>
      </c>
      <c r="FA1903" t="s">
        <v>198</v>
      </c>
      <c r="FK1903" t="s">
        <v>198</v>
      </c>
      <c r="FU1903" t="s">
        <v>198</v>
      </c>
    </row>
    <row r="1904" spans="1:177">
      <c r="A1904" s="1" t="str">
        <f>HYPERLINK("http://digipan.lumentumllc.com/apps/getLink/index.php?t=PropLink&amp;p=15725460","PL")</f>
        <v>PL</v>
      </c>
      <c r="B1904" s="1" t="str">
        <f>HYPERLINK("http://digipan.lumentumllc.com/apps/getLink/index.php?t=TaxLink&amp;p=15725460","TL")</f>
        <v>TL</v>
      </c>
      <c r="C1904" s="1" t="str">
        <f>HYPERLINK("http://digipan.lumentumllc.com/apps/getMap/index.php?p=15725460","Map")</f>
        <v>Map</v>
      </c>
      <c r="E1904" t="s">
        <v>177</v>
      </c>
      <c r="F1904" t="s">
        <v>178</v>
      </c>
      <c r="L1904" t="s">
        <v>22889</v>
      </c>
      <c r="N1904" t="s">
        <v>22889</v>
      </c>
      <c r="O1904" t="s">
        <v>22889</v>
      </c>
      <c r="Q1904" t="s">
        <v>22889</v>
      </c>
      <c r="V1904">
        <v>2171</v>
      </c>
      <c r="W1904">
        <v>7</v>
      </c>
      <c r="X1904">
        <v>2017</v>
      </c>
      <c r="Y1904">
        <v>2018</v>
      </c>
      <c r="Z1904">
        <v>1155.52</v>
      </c>
      <c r="AG1904" t="s">
        <v>184</v>
      </c>
      <c r="AH1904">
        <v>0</v>
      </c>
      <c r="AK1904">
        <v>0</v>
      </c>
      <c r="AL1904">
        <v>67500</v>
      </c>
      <c r="AM1904">
        <v>67500</v>
      </c>
      <c r="AN1904">
        <v>0</v>
      </c>
      <c r="AO1904">
        <v>1054</v>
      </c>
      <c r="AP1904">
        <v>2016</v>
      </c>
      <c r="AQ1904">
        <v>1.71</v>
      </c>
      <c r="AS1904" t="s">
        <v>22717</v>
      </c>
      <c r="AT1904" t="s">
        <v>15040</v>
      </c>
      <c r="AU1904" t="s">
        <v>177</v>
      </c>
      <c r="AV1904" t="s">
        <v>371</v>
      </c>
      <c r="AW1904" t="s">
        <v>182</v>
      </c>
      <c r="AX1904">
        <v>0</v>
      </c>
      <c r="AY1904" t="s">
        <v>312</v>
      </c>
      <c r="AZ1904" t="s">
        <v>199</v>
      </c>
      <c r="BA1904" t="s">
        <v>313</v>
      </c>
      <c r="BB1904" t="s">
        <v>191</v>
      </c>
      <c r="BC1904" t="s">
        <v>182</v>
      </c>
      <c r="BD1904" t="s">
        <v>182</v>
      </c>
      <c r="BE1904" t="s">
        <v>1722</v>
      </c>
      <c r="BF1904">
        <v>0</v>
      </c>
      <c r="BG1904">
        <v>0</v>
      </c>
      <c r="BH1904">
        <v>0</v>
      </c>
      <c r="BI1904" t="s">
        <v>199</v>
      </c>
      <c r="BJ1904" t="s">
        <v>315</v>
      </c>
      <c r="BL1904" t="s">
        <v>22101</v>
      </c>
      <c r="BM1904" t="s">
        <v>267</v>
      </c>
      <c r="BN1904" t="s">
        <v>182</v>
      </c>
      <c r="BO1904" t="s">
        <v>22865</v>
      </c>
      <c r="BP1904" t="s">
        <v>22866</v>
      </c>
      <c r="BQ1904" t="s">
        <v>800</v>
      </c>
      <c r="BR1904" t="s">
        <v>563</v>
      </c>
      <c r="BS1904" t="s">
        <v>198</v>
      </c>
      <c r="BT1904" t="s">
        <v>22867</v>
      </c>
      <c r="BU1904" t="s">
        <v>182</v>
      </c>
      <c r="BV1904" t="s">
        <v>198</v>
      </c>
      <c r="BW1904" t="s">
        <v>198</v>
      </c>
      <c r="BX1904" t="s">
        <v>199</v>
      </c>
      <c r="BY1904" t="s">
        <v>198</v>
      </c>
      <c r="BZ1904" t="s">
        <v>199</v>
      </c>
      <c r="CA1904" t="s">
        <v>199</v>
      </c>
      <c r="CB1904" t="s">
        <v>22890</v>
      </c>
      <c r="CC1904" t="s">
        <v>201</v>
      </c>
      <c r="CD1904" t="s">
        <v>182</v>
      </c>
      <c r="CE1904" t="s">
        <v>22869</v>
      </c>
      <c r="CF1904" t="s">
        <v>413</v>
      </c>
      <c r="CG1904" t="s">
        <v>177</v>
      </c>
      <c r="CH1904" t="s">
        <v>6095</v>
      </c>
      <c r="CI1904" t="s">
        <v>22891</v>
      </c>
      <c r="CS1904" t="s">
        <v>198</v>
      </c>
      <c r="DC1904" t="s">
        <v>198</v>
      </c>
      <c r="DM1904" t="s">
        <v>198</v>
      </c>
      <c r="DW1904" t="s">
        <v>198</v>
      </c>
      <c r="EG1904" t="s">
        <v>198</v>
      </c>
      <c r="EQ1904" t="s">
        <v>198</v>
      </c>
      <c r="FA1904" t="s">
        <v>198</v>
      </c>
      <c r="FK1904" t="s">
        <v>198</v>
      </c>
      <c r="FU1904" t="s">
        <v>198</v>
      </c>
    </row>
    <row r="1905" spans="1:177">
      <c r="A1905" s="1" t="str">
        <f>HYPERLINK("http://digipan.lumentumllc.com/apps/getLink/index.php?t=PropLink&amp;p=5243941","PL")</f>
        <v>PL</v>
      </c>
      <c r="B1905" s="1" t="str">
        <f>HYPERLINK("http://digipan.lumentumllc.com/apps/getLink/index.php?t=TaxLink&amp;p=5243941","TL")</f>
        <v>TL</v>
      </c>
      <c r="C1905" s="1" t="str">
        <f>HYPERLINK("http://digipan.lumentumllc.com/apps/getMap/index.php?p=5243941","Map")</f>
        <v>Map</v>
      </c>
      <c r="E1905" t="s">
        <v>177</v>
      </c>
      <c r="F1905" t="s">
        <v>178</v>
      </c>
      <c r="L1905" t="s">
        <v>22892</v>
      </c>
      <c r="N1905" t="s">
        <v>22892</v>
      </c>
      <c r="O1905" t="s">
        <v>22892</v>
      </c>
      <c r="P1905" t="s">
        <v>22893</v>
      </c>
      <c r="Q1905" t="s">
        <v>22892</v>
      </c>
      <c r="V1905">
        <v>2172</v>
      </c>
      <c r="W1905">
        <v>7</v>
      </c>
      <c r="X1905">
        <v>2017</v>
      </c>
      <c r="Y1905">
        <v>2018</v>
      </c>
      <c r="Z1905">
        <v>855.91</v>
      </c>
      <c r="AB1905" t="s">
        <v>181</v>
      </c>
      <c r="AC1905" t="s">
        <v>182</v>
      </c>
      <c r="AD1905" t="s">
        <v>183</v>
      </c>
      <c r="AE1905">
        <v>0</v>
      </c>
      <c r="AF1905">
        <v>5</v>
      </c>
      <c r="AG1905" t="s">
        <v>3266</v>
      </c>
      <c r="AH1905">
        <v>100</v>
      </c>
      <c r="AK1905">
        <v>0</v>
      </c>
      <c r="AL1905">
        <v>49500</v>
      </c>
      <c r="AM1905">
        <v>49500</v>
      </c>
      <c r="AN1905">
        <v>0</v>
      </c>
      <c r="AO1905">
        <v>773</v>
      </c>
      <c r="AP1905">
        <v>2016</v>
      </c>
      <c r="AQ1905">
        <v>1.73</v>
      </c>
      <c r="AS1905" t="s">
        <v>22717</v>
      </c>
      <c r="AT1905" t="s">
        <v>15040</v>
      </c>
      <c r="AU1905" t="s">
        <v>177</v>
      </c>
      <c r="AV1905" t="s">
        <v>371</v>
      </c>
      <c r="AW1905" t="s">
        <v>182</v>
      </c>
      <c r="AX1905">
        <v>0</v>
      </c>
      <c r="AY1905" t="s">
        <v>312</v>
      </c>
      <c r="AZ1905" t="s">
        <v>199</v>
      </c>
      <c r="BA1905" t="s">
        <v>313</v>
      </c>
      <c r="BB1905" t="s">
        <v>191</v>
      </c>
      <c r="BC1905" t="s">
        <v>182</v>
      </c>
      <c r="BD1905" t="s">
        <v>182</v>
      </c>
      <c r="BE1905" t="s">
        <v>3907</v>
      </c>
      <c r="BF1905">
        <v>0</v>
      </c>
      <c r="BG1905">
        <v>0</v>
      </c>
      <c r="BH1905">
        <v>0</v>
      </c>
      <c r="BI1905" t="s">
        <v>199</v>
      </c>
      <c r="BJ1905" t="s">
        <v>396</v>
      </c>
      <c r="BL1905" t="s">
        <v>22894</v>
      </c>
      <c r="BM1905" t="s">
        <v>559</v>
      </c>
      <c r="BN1905" t="s">
        <v>182</v>
      </c>
      <c r="BO1905" t="s">
        <v>18455</v>
      </c>
      <c r="BP1905" t="s">
        <v>22895</v>
      </c>
      <c r="BQ1905" t="s">
        <v>800</v>
      </c>
      <c r="BR1905" t="s">
        <v>1897</v>
      </c>
      <c r="BS1905" t="s">
        <v>198</v>
      </c>
      <c r="BT1905" t="s">
        <v>2283</v>
      </c>
      <c r="BU1905" t="s">
        <v>182</v>
      </c>
      <c r="BV1905" t="s">
        <v>198</v>
      </c>
      <c r="BW1905" t="s">
        <v>198</v>
      </c>
      <c r="BX1905" t="s">
        <v>199</v>
      </c>
      <c r="BY1905" t="s">
        <v>198</v>
      </c>
      <c r="BZ1905" t="s">
        <v>199</v>
      </c>
      <c r="CA1905" t="s">
        <v>199</v>
      </c>
      <c r="CB1905" t="s">
        <v>22736</v>
      </c>
      <c r="CC1905" t="s">
        <v>201</v>
      </c>
      <c r="CD1905" t="s">
        <v>182</v>
      </c>
      <c r="CE1905" t="s">
        <v>22750</v>
      </c>
      <c r="CF1905" t="s">
        <v>413</v>
      </c>
      <c r="CG1905" t="s">
        <v>177</v>
      </c>
      <c r="CH1905" t="s">
        <v>782</v>
      </c>
      <c r="CI1905" t="s">
        <v>22896</v>
      </c>
      <c r="CJ1905" t="s">
        <v>4560</v>
      </c>
      <c r="CK1905" t="s">
        <v>267</v>
      </c>
      <c r="CL1905" t="s">
        <v>268</v>
      </c>
      <c r="CM1905" t="s">
        <v>22897</v>
      </c>
      <c r="CN1905" t="s">
        <v>235</v>
      </c>
      <c r="CO1905" t="s">
        <v>183</v>
      </c>
      <c r="CP1905" t="s">
        <v>211</v>
      </c>
      <c r="CQ1905" t="s">
        <v>199</v>
      </c>
      <c r="CS1905" t="s">
        <v>17015</v>
      </c>
      <c r="CT1905" t="s">
        <v>3593</v>
      </c>
      <c r="CU1905" t="s">
        <v>273</v>
      </c>
      <c r="CV1905" t="s">
        <v>274</v>
      </c>
      <c r="CW1905" t="s">
        <v>22898</v>
      </c>
      <c r="CX1905" t="s">
        <v>235</v>
      </c>
      <c r="CY1905" t="s">
        <v>183</v>
      </c>
      <c r="CZ1905" t="s">
        <v>211</v>
      </c>
      <c r="DA1905" t="s">
        <v>270</v>
      </c>
      <c r="DC1905" t="s">
        <v>851</v>
      </c>
      <c r="DD1905" t="s">
        <v>22899</v>
      </c>
      <c r="DE1905" t="s">
        <v>302</v>
      </c>
      <c r="DF1905" t="s">
        <v>303</v>
      </c>
      <c r="DG1905" t="s">
        <v>22900</v>
      </c>
      <c r="DH1905" t="s">
        <v>796</v>
      </c>
      <c r="DI1905" t="s">
        <v>183</v>
      </c>
      <c r="DJ1905" t="s">
        <v>211</v>
      </c>
      <c r="DK1905" t="s">
        <v>212</v>
      </c>
      <c r="DM1905" t="s">
        <v>22742</v>
      </c>
      <c r="DN1905" t="s">
        <v>1185</v>
      </c>
      <c r="DO1905" t="s">
        <v>238</v>
      </c>
      <c r="DP1905" t="s">
        <v>239</v>
      </c>
      <c r="DQ1905" t="s">
        <v>22901</v>
      </c>
      <c r="DR1905" t="s">
        <v>833</v>
      </c>
      <c r="DS1905" t="s">
        <v>183</v>
      </c>
      <c r="DT1905" t="s">
        <v>211</v>
      </c>
      <c r="DU1905" t="s">
        <v>296</v>
      </c>
      <c r="DW1905" t="s">
        <v>613</v>
      </c>
      <c r="DX1905" t="s">
        <v>22902</v>
      </c>
      <c r="DY1905" t="s">
        <v>346</v>
      </c>
      <c r="DZ1905" t="s">
        <v>347</v>
      </c>
      <c r="EA1905" t="s">
        <v>22903</v>
      </c>
      <c r="EB1905" t="s">
        <v>440</v>
      </c>
      <c r="EC1905" t="s">
        <v>183</v>
      </c>
      <c r="ED1905" t="s">
        <v>211</v>
      </c>
      <c r="EE1905" t="s">
        <v>444</v>
      </c>
      <c r="EG1905" t="s">
        <v>613</v>
      </c>
      <c r="EQ1905" t="s">
        <v>198</v>
      </c>
      <c r="FA1905" t="s">
        <v>198</v>
      </c>
      <c r="FK1905" t="s">
        <v>198</v>
      </c>
      <c r="FU1905" t="s">
        <v>198</v>
      </c>
    </row>
    <row r="1906" spans="1:177">
      <c r="A1906" s="1" t="str">
        <f>HYPERLINK("http://digipan.lumentumllc.com/apps/getLink/index.php?t=PropLink&amp;p=5243948","PL")</f>
        <v>PL</v>
      </c>
      <c r="B1906" s="1" t="str">
        <f>HYPERLINK("http://digipan.lumentumllc.com/apps/getLink/index.php?t=TaxLink&amp;p=5243948","TL")</f>
        <v>TL</v>
      </c>
      <c r="C1906" s="1" t="str">
        <f>HYPERLINK("http://digipan.lumentumllc.com/apps/getMap/index.php?p=5243948","Map")</f>
        <v>Map</v>
      </c>
      <c r="E1906" t="s">
        <v>177</v>
      </c>
      <c r="F1906" t="s">
        <v>178</v>
      </c>
      <c r="L1906" t="s">
        <v>22904</v>
      </c>
      <c r="N1906" t="s">
        <v>22904</v>
      </c>
      <c r="O1906" t="s">
        <v>22904</v>
      </c>
      <c r="P1906" t="s">
        <v>22905</v>
      </c>
      <c r="Q1906" t="s">
        <v>22904</v>
      </c>
      <c r="V1906">
        <v>2173</v>
      </c>
      <c r="W1906">
        <v>7</v>
      </c>
      <c r="X1906">
        <v>2017</v>
      </c>
      <c r="Y1906">
        <v>2018</v>
      </c>
      <c r="Z1906">
        <v>1472.27</v>
      </c>
      <c r="AB1906" t="s">
        <v>181</v>
      </c>
      <c r="AC1906" t="s">
        <v>182</v>
      </c>
      <c r="AD1906" t="s">
        <v>183</v>
      </c>
      <c r="AE1906">
        <v>0</v>
      </c>
      <c r="AF1906">
        <v>3</v>
      </c>
      <c r="AG1906" t="s">
        <v>381</v>
      </c>
      <c r="AH1906">
        <v>100</v>
      </c>
      <c r="AK1906">
        <v>0</v>
      </c>
      <c r="AL1906">
        <v>86531</v>
      </c>
      <c r="AM1906">
        <v>85449</v>
      </c>
      <c r="AN1906">
        <v>1082</v>
      </c>
      <c r="AO1906">
        <v>1351</v>
      </c>
      <c r="AP1906">
        <v>2016</v>
      </c>
      <c r="AQ1906">
        <v>1.7</v>
      </c>
      <c r="AS1906" t="s">
        <v>22906</v>
      </c>
      <c r="AT1906" t="s">
        <v>15040</v>
      </c>
      <c r="AU1906" t="s">
        <v>177</v>
      </c>
      <c r="AV1906" t="s">
        <v>371</v>
      </c>
      <c r="AW1906" t="s">
        <v>182</v>
      </c>
      <c r="AX1906">
        <v>10</v>
      </c>
      <c r="AY1906" t="s">
        <v>3211</v>
      </c>
      <c r="AZ1906" t="s">
        <v>270</v>
      </c>
      <c r="BA1906" t="s">
        <v>3212</v>
      </c>
      <c r="BB1906" t="s">
        <v>191</v>
      </c>
      <c r="BC1906" t="s">
        <v>182</v>
      </c>
      <c r="BD1906" t="s">
        <v>182</v>
      </c>
      <c r="BE1906" t="s">
        <v>5689</v>
      </c>
      <c r="BF1906">
        <v>0</v>
      </c>
      <c r="BG1906">
        <v>0</v>
      </c>
      <c r="BH1906">
        <v>0</v>
      </c>
      <c r="BI1906" t="s">
        <v>199</v>
      </c>
      <c r="BJ1906" t="s">
        <v>248</v>
      </c>
      <c r="BL1906" t="s">
        <v>22907</v>
      </c>
      <c r="BM1906" t="s">
        <v>410</v>
      </c>
      <c r="BN1906" t="s">
        <v>182</v>
      </c>
      <c r="BO1906" t="s">
        <v>198</v>
      </c>
      <c r="BP1906" t="s">
        <v>198</v>
      </c>
      <c r="BQ1906" t="s">
        <v>198</v>
      </c>
      <c r="BR1906" t="s">
        <v>198</v>
      </c>
      <c r="BS1906" t="s">
        <v>198</v>
      </c>
      <c r="BT1906" t="s">
        <v>198</v>
      </c>
      <c r="BU1906" t="s">
        <v>182</v>
      </c>
      <c r="BV1906" t="s">
        <v>198</v>
      </c>
      <c r="BW1906" t="s">
        <v>198</v>
      </c>
      <c r="BX1906" t="s">
        <v>199</v>
      </c>
      <c r="BY1906" t="s">
        <v>198</v>
      </c>
      <c r="BZ1906" t="s">
        <v>199</v>
      </c>
      <c r="CA1906" t="s">
        <v>199</v>
      </c>
      <c r="CB1906" t="s">
        <v>22908</v>
      </c>
      <c r="CC1906" t="s">
        <v>1407</v>
      </c>
      <c r="CD1906" t="s">
        <v>202</v>
      </c>
      <c r="CE1906" t="s">
        <v>22909</v>
      </c>
      <c r="CF1906" t="s">
        <v>5331</v>
      </c>
      <c r="CG1906" t="s">
        <v>177</v>
      </c>
      <c r="CH1906" t="s">
        <v>371</v>
      </c>
      <c r="CI1906" t="s">
        <v>5129</v>
      </c>
      <c r="CJ1906" t="s">
        <v>22258</v>
      </c>
      <c r="CK1906" t="s">
        <v>232</v>
      </c>
      <c r="CL1906" t="s">
        <v>233</v>
      </c>
      <c r="CM1906" t="s">
        <v>22910</v>
      </c>
      <c r="CN1906" t="s">
        <v>235</v>
      </c>
      <c r="CO1906" t="s">
        <v>183</v>
      </c>
      <c r="CP1906" t="s">
        <v>211</v>
      </c>
      <c r="CQ1906" t="s">
        <v>339</v>
      </c>
      <c r="CS1906" t="s">
        <v>1525</v>
      </c>
      <c r="CT1906" t="s">
        <v>13895</v>
      </c>
      <c r="CU1906" t="s">
        <v>273</v>
      </c>
      <c r="CV1906" t="s">
        <v>274</v>
      </c>
      <c r="CW1906" t="s">
        <v>22911</v>
      </c>
      <c r="CX1906" t="s">
        <v>235</v>
      </c>
      <c r="CY1906" t="s">
        <v>183</v>
      </c>
      <c r="CZ1906" t="s">
        <v>211</v>
      </c>
      <c r="DA1906" t="s">
        <v>206</v>
      </c>
      <c r="DC1906" t="s">
        <v>12258</v>
      </c>
      <c r="DD1906" t="s">
        <v>18642</v>
      </c>
      <c r="DE1906" t="s">
        <v>346</v>
      </c>
      <c r="DF1906" t="s">
        <v>347</v>
      </c>
      <c r="DG1906" t="s">
        <v>22912</v>
      </c>
      <c r="DH1906" t="s">
        <v>1491</v>
      </c>
      <c r="DI1906" t="s">
        <v>183</v>
      </c>
      <c r="DJ1906" t="s">
        <v>211</v>
      </c>
      <c r="DK1906" t="s">
        <v>345</v>
      </c>
      <c r="DM1906" t="s">
        <v>15967</v>
      </c>
      <c r="DW1906" t="s">
        <v>198</v>
      </c>
      <c r="EG1906" t="s">
        <v>198</v>
      </c>
      <c r="EQ1906" t="s">
        <v>198</v>
      </c>
      <c r="FA1906" t="s">
        <v>198</v>
      </c>
      <c r="FK1906" t="s">
        <v>198</v>
      </c>
      <c r="FU1906" t="s">
        <v>198</v>
      </c>
    </row>
    <row r="1907" spans="1:177">
      <c r="A1907" s="1" t="str">
        <f>HYPERLINK("http://digipan.lumentumllc.com/apps/getLink/index.php?t=PropLink&amp;p=6461604","PL")</f>
        <v>PL</v>
      </c>
      <c r="B1907" s="1" t="str">
        <f>HYPERLINK("http://digipan.lumentumllc.com/apps/getLink/index.php?t=TaxLink&amp;p=6461604","TL")</f>
        <v>TL</v>
      </c>
      <c r="C1907" s="1" t="str">
        <f>HYPERLINK("http://digipan.lumentumllc.com/apps/getMap/index.php?p=6461604","Map")</f>
        <v>Map</v>
      </c>
      <c r="E1907" t="s">
        <v>177</v>
      </c>
      <c r="F1907" t="s">
        <v>178</v>
      </c>
      <c r="L1907" t="s">
        <v>22913</v>
      </c>
      <c r="N1907" t="s">
        <v>22913</v>
      </c>
      <c r="O1907" t="s">
        <v>22913</v>
      </c>
      <c r="P1907" t="s">
        <v>22914</v>
      </c>
      <c r="Q1907" t="s">
        <v>22913</v>
      </c>
      <c r="V1907">
        <v>2174</v>
      </c>
      <c r="W1907">
        <v>7</v>
      </c>
      <c r="X1907">
        <v>2017</v>
      </c>
      <c r="Y1907">
        <v>2018</v>
      </c>
      <c r="Z1907">
        <v>6127.53</v>
      </c>
      <c r="AB1907" t="s">
        <v>181</v>
      </c>
      <c r="AC1907" t="s">
        <v>182</v>
      </c>
      <c r="AD1907" t="s">
        <v>183</v>
      </c>
      <c r="AE1907">
        <v>1</v>
      </c>
      <c r="AF1907">
        <v>3</v>
      </c>
      <c r="AG1907" t="s">
        <v>257</v>
      </c>
      <c r="AH1907">
        <v>75</v>
      </c>
      <c r="AI1907">
        <v>7126.48</v>
      </c>
      <c r="AJ1907">
        <v>356.32</v>
      </c>
      <c r="AK1907">
        <v>7482.8</v>
      </c>
      <c r="AL1907">
        <v>366213</v>
      </c>
      <c r="AM1907">
        <v>98000</v>
      </c>
      <c r="AN1907">
        <v>268213</v>
      </c>
      <c r="AO1907">
        <v>6564</v>
      </c>
      <c r="AP1907">
        <v>2016</v>
      </c>
      <c r="AQ1907">
        <v>1.67</v>
      </c>
      <c r="AR1907">
        <v>2.04</v>
      </c>
      <c r="AS1907" t="s">
        <v>22915</v>
      </c>
      <c r="AT1907" t="s">
        <v>15040</v>
      </c>
      <c r="AU1907" t="s">
        <v>177</v>
      </c>
      <c r="AV1907" t="s">
        <v>371</v>
      </c>
      <c r="AW1907" t="s">
        <v>182</v>
      </c>
      <c r="AX1907">
        <v>1</v>
      </c>
      <c r="AY1907" t="s">
        <v>188</v>
      </c>
      <c r="AZ1907" t="s">
        <v>206</v>
      </c>
      <c r="BA1907" t="s">
        <v>355</v>
      </c>
      <c r="BB1907" t="s">
        <v>191</v>
      </c>
      <c r="BC1907" t="s">
        <v>182</v>
      </c>
      <c r="BD1907" t="s">
        <v>182</v>
      </c>
      <c r="BE1907" t="s">
        <v>11684</v>
      </c>
      <c r="BF1907">
        <v>1</v>
      </c>
      <c r="BG1907">
        <v>1</v>
      </c>
      <c r="BH1907">
        <v>2002</v>
      </c>
      <c r="BI1907" t="s">
        <v>22916</v>
      </c>
      <c r="BJ1907" t="s">
        <v>1945</v>
      </c>
      <c r="BK1907" t="s">
        <v>195</v>
      </c>
      <c r="BL1907" t="s">
        <v>22917</v>
      </c>
      <c r="BM1907" t="s">
        <v>410</v>
      </c>
      <c r="BN1907" t="s">
        <v>182</v>
      </c>
      <c r="BO1907" t="s">
        <v>2328</v>
      </c>
      <c r="BP1907" t="s">
        <v>22918</v>
      </c>
      <c r="BS1907" t="s">
        <v>11600</v>
      </c>
      <c r="BT1907" t="s">
        <v>198</v>
      </c>
      <c r="BU1907" t="s">
        <v>182</v>
      </c>
      <c r="BV1907" t="s">
        <v>198</v>
      </c>
      <c r="BW1907" t="s">
        <v>198</v>
      </c>
      <c r="BX1907" t="s">
        <v>199</v>
      </c>
      <c r="BY1907" t="s">
        <v>198</v>
      </c>
      <c r="BZ1907" t="s">
        <v>199</v>
      </c>
      <c r="CA1907" t="s">
        <v>199</v>
      </c>
      <c r="CB1907" t="s">
        <v>22919</v>
      </c>
      <c r="CC1907" t="s">
        <v>201</v>
      </c>
      <c r="CD1907" t="s">
        <v>182</v>
      </c>
      <c r="CE1907" t="s">
        <v>11906</v>
      </c>
      <c r="CF1907" t="s">
        <v>22920</v>
      </c>
      <c r="CG1907" t="s">
        <v>3961</v>
      </c>
      <c r="CH1907" t="s">
        <v>22921</v>
      </c>
      <c r="CI1907" t="s">
        <v>4045</v>
      </c>
      <c r="CJ1907" t="s">
        <v>8287</v>
      </c>
      <c r="CK1907" t="s">
        <v>232</v>
      </c>
      <c r="CL1907" t="s">
        <v>233</v>
      </c>
      <c r="CM1907" t="s">
        <v>22922</v>
      </c>
      <c r="CN1907" t="s">
        <v>235</v>
      </c>
      <c r="CO1907" t="s">
        <v>183</v>
      </c>
      <c r="CP1907" t="s">
        <v>266</v>
      </c>
      <c r="CS1907" t="s">
        <v>198</v>
      </c>
      <c r="CT1907" t="s">
        <v>12090</v>
      </c>
      <c r="CU1907" t="s">
        <v>292</v>
      </c>
      <c r="CV1907" t="s">
        <v>293</v>
      </c>
      <c r="CW1907" t="s">
        <v>22923</v>
      </c>
      <c r="CX1907" t="s">
        <v>235</v>
      </c>
      <c r="CY1907" t="s">
        <v>183</v>
      </c>
      <c r="CZ1907" t="s">
        <v>211</v>
      </c>
      <c r="DA1907" t="s">
        <v>337</v>
      </c>
      <c r="DC1907" t="s">
        <v>18297</v>
      </c>
      <c r="DD1907" t="s">
        <v>5486</v>
      </c>
      <c r="DE1907" t="s">
        <v>273</v>
      </c>
      <c r="DF1907" t="s">
        <v>274</v>
      </c>
      <c r="DG1907" t="s">
        <v>22924</v>
      </c>
      <c r="DH1907" t="s">
        <v>235</v>
      </c>
      <c r="DI1907" t="s">
        <v>183</v>
      </c>
      <c r="DJ1907" t="s">
        <v>211</v>
      </c>
      <c r="DK1907" t="s">
        <v>206</v>
      </c>
      <c r="DM1907" t="s">
        <v>8378</v>
      </c>
      <c r="DN1907" t="s">
        <v>18225</v>
      </c>
      <c r="DO1907" t="s">
        <v>302</v>
      </c>
      <c r="DP1907" t="s">
        <v>303</v>
      </c>
      <c r="DQ1907" t="s">
        <v>22925</v>
      </c>
      <c r="DR1907" t="s">
        <v>235</v>
      </c>
      <c r="DS1907" t="s">
        <v>183</v>
      </c>
      <c r="DT1907" t="s">
        <v>211</v>
      </c>
      <c r="DU1907" t="s">
        <v>264</v>
      </c>
      <c r="DW1907" t="s">
        <v>15524</v>
      </c>
      <c r="EG1907" t="s">
        <v>198</v>
      </c>
      <c r="EQ1907" t="s">
        <v>198</v>
      </c>
      <c r="FA1907" t="s">
        <v>198</v>
      </c>
      <c r="FK1907" t="s">
        <v>198</v>
      </c>
      <c r="FU1907" t="s">
        <v>198</v>
      </c>
    </row>
    <row r="1908" spans="1:177">
      <c r="A1908" s="1" t="str">
        <f>HYPERLINK("http://digipan.lumentumllc.com/apps/getLink/index.php?t=PropLink&amp;p=7112256","PL")</f>
        <v>PL</v>
      </c>
      <c r="B1908" s="1" t="str">
        <f>HYPERLINK("http://digipan.lumentumllc.com/apps/getLink/index.php?t=TaxLink&amp;p=7112256","TL")</f>
        <v>TL</v>
      </c>
      <c r="C1908" s="1" t="str">
        <f>HYPERLINK("http://digipan.lumentumllc.com/apps/getMap/index.php?p=7112256","Map")</f>
        <v>Map</v>
      </c>
      <c r="E1908" t="s">
        <v>177</v>
      </c>
      <c r="F1908" t="s">
        <v>178</v>
      </c>
      <c r="L1908" t="s">
        <v>22926</v>
      </c>
      <c r="N1908" t="s">
        <v>22926</v>
      </c>
      <c r="O1908" t="s">
        <v>22926</v>
      </c>
      <c r="P1908" t="s">
        <v>22927</v>
      </c>
      <c r="Q1908" t="s">
        <v>22926</v>
      </c>
      <c r="V1908">
        <v>2176</v>
      </c>
      <c r="W1908">
        <v>7</v>
      </c>
      <c r="X1908">
        <v>2017</v>
      </c>
      <c r="Y1908">
        <v>2018</v>
      </c>
      <c r="Z1908">
        <v>2108.27</v>
      </c>
      <c r="AB1908" t="s">
        <v>181</v>
      </c>
      <c r="AC1908" t="s">
        <v>182</v>
      </c>
      <c r="AD1908" t="s">
        <v>183</v>
      </c>
      <c r="AE1908">
        <v>0</v>
      </c>
      <c r="AF1908">
        <v>2</v>
      </c>
      <c r="AG1908" t="s">
        <v>216</v>
      </c>
      <c r="AH1908">
        <v>100</v>
      </c>
      <c r="AK1908">
        <v>0</v>
      </c>
      <c r="AL1908">
        <v>124741</v>
      </c>
      <c r="AM1908">
        <v>120000</v>
      </c>
      <c r="AN1908">
        <v>4741</v>
      </c>
      <c r="AO1908">
        <v>1947</v>
      </c>
      <c r="AP1908">
        <v>2016</v>
      </c>
      <c r="AQ1908">
        <v>1.69</v>
      </c>
      <c r="AS1908" t="s">
        <v>22928</v>
      </c>
      <c r="AT1908" t="s">
        <v>15040</v>
      </c>
      <c r="AU1908" t="s">
        <v>177</v>
      </c>
      <c r="AV1908" t="s">
        <v>371</v>
      </c>
      <c r="AW1908" t="s">
        <v>182</v>
      </c>
      <c r="AX1908">
        <v>2</v>
      </c>
      <c r="AY1908" t="s">
        <v>188</v>
      </c>
      <c r="AZ1908" t="s">
        <v>189</v>
      </c>
      <c r="BA1908" t="s">
        <v>190</v>
      </c>
      <c r="BB1908" t="s">
        <v>191</v>
      </c>
      <c r="BC1908" t="s">
        <v>182</v>
      </c>
      <c r="BD1908" t="s">
        <v>182</v>
      </c>
      <c r="BE1908" t="s">
        <v>15313</v>
      </c>
      <c r="BF1908">
        <v>1</v>
      </c>
      <c r="BG1908">
        <v>1</v>
      </c>
      <c r="BH1908">
        <v>1966</v>
      </c>
      <c r="BI1908" t="s">
        <v>193</v>
      </c>
      <c r="BJ1908" t="s">
        <v>194</v>
      </c>
      <c r="BK1908" t="s">
        <v>195</v>
      </c>
      <c r="BL1908" t="s">
        <v>5504</v>
      </c>
      <c r="BM1908" t="s">
        <v>292</v>
      </c>
      <c r="BN1908" t="s">
        <v>182</v>
      </c>
      <c r="BO1908" t="s">
        <v>198</v>
      </c>
      <c r="BP1908" t="s">
        <v>198</v>
      </c>
      <c r="BQ1908" t="s">
        <v>198</v>
      </c>
      <c r="BR1908" t="s">
        <v>198</v>
      </c>
      <c r="BS1908" t="s">
        <v>198</v>
      </c>
      <c r="BT1908" t="s">
        <v>198</v>
      </c>
      <c r="BU1908" t="s">
        <v>182</v>
      </c>
      <c r="BV1908" t="s">
        <v>198</v>
      </c>
      <c r="BW1908" t="s">
        <v>198</v>
      </c>
      <c r="BX1908" t="s">
        <v>199</v>
      </c>
      <c r="BY1908" t="s">
        <v>198</v>
      </c>
      <c r="BZ1908" t="s">
        <v>199</v>
      </c>
      <c r="CA1908" t="s">
        <v>199</v>
      </c>
      <c r="CB1908" t="s">
        <v>22929</v>
      </c>
      <c r="CC1908" t="s">
        <v>201</v>
      </c>
      <c r="CD1908" t="s">
        <v>182</v>
      </c>
      <c r="CE1908" t="s">
        <v>22930</v>
      </c>
      <c r="CF1908" t="s">
        <v>20117</v>
      </c>
      <c r="CG1908" t="s">
        <v>1602</v>
      </c>
      <c r="CH1908" t="s">
        <v>22931</v>
      </c>
      <c r="CI1908" t="s">
        <v>22932</v>
      </c>
      <c r="CJ1908" t="s">
        <v>22291</v>
      </c>
      <c r="CK1908" t="s">
        <v>232</v>
      </c>
      <c r="CL1908" t="s">
        <v>233</v>
      </c>
      <c r="CM1908" t="s">
        <v>22933</v>
      </c>
      <c r="CN1908" t="s">
        <v>235</v>
      </c>
      <c r="CO1908" t="s">
        <v>183</v>
      </c>
      <c r="CP1908" t="s">
        <v>211</v>
      </c>
      <c r="CQ1908" t="s">
        <v>264</v>
      </c>
      <c r="CS1908" t="s">
        <v>9384</v>
      </c>
      <c r="CT1908" t="s">
        <v>3581</v>
      </c>
      <c r="CU1908" t="s">
        <v>292</v>
      </c>
      <c r="CV1908" t="s">
        <v>293</v>
      </c>
      <c r="CW1908" t="s">
        <v>22934</v>
      </c>
      <c r="CX1908" t="s">
        <v>235</v>
      </c>
      <c r="CY1908" t="s">
        <v>183</v>
      </c>
      <c r="CZ1908" t="s">
        <v>211</v>
      </c>
      <c r="DA1908" t="s">
        <v>270</v>
      </c>
      <c r="DC1908" t="s">
        <v>2808</v>
      </c>
      <c r="DM1908" t="s">
        <v>198</v>
      </c>
      <c r="DW1908" t="s">
        <v>198</v>
      </c>
      <c r="EG1908" t="s">
        <v>198</v>
      </c>
      <c r="EQ1908" t="s">
        <v>198</v>
      </c>
      <c r="FA1908" t="s">
        <v>198</v>
      </c>
      <c r="FK1908" t="s">
        <v>198</v>
      </c>
      <c r="FU1908" t="s">
        <v>198</v>
      </c>
    </row>
    <row r="1909" spans="1:177">
      <c r="A1909" s="1" t="str">
        <f>HYPERLINK("http://digipan.lumentumllc.com/apps/getLink/index.php?t=PropLink&amp;p=7112257","PL")</f>
        <v>PL</v>
      </c>
      <c r="B1909" s="1" t="str">
        <f>HYPERLINK("http://digipan.lumentumllc.com/apps/getLink/index.php?t=TaxLink&amp;p=7112257","TL")</f>
        <v>TL</v>
      </c>
      <c r="C1909" s="1" t="str">
        <f>HYPERLINK("http://digipan.lumentumllc.com/apps/getMap/index.php?p=7112257","Map")</f>
        <v>Map</v>
      </c>
      <c r="E1909" t="s">
        <v>177</v>
      </c>
      <c r="F1909" t="s">
        <v>178</v>
      </c>
      <c r="L1909" t="s">
        <v>22935</v>
      </c>
      <c r="N1909" t="s">
        <v>22935</v>
      </c>
      <c r="O1909" t="s">
        <v>22935</v>
      </c>
      <c r="P1909" t="s">
        <v>22936</v>
      </c>
      <c r="Q1909" t="s">
        <v>22935</v>
      </c>
      <c r="V1909">
        <v>2177</v>
      </c>
      <c r="W1909">
        <v>7</v>
      </c>
      <c r="X1909">
        <v>2017</v>
      </c>
      <c r="Y1909">
        <v>2018</v>
      </c>
      <c r="Z1909">
        <v>2296.09</v>
      </c>
      <c r="AB1909" t="s">
        <v>181</v>
      </c>
      <c r="AC1909" t="s">
        <v>182</v>
      </c>
      <c r="AD1909" t="s">
        <v>183</v>
      </c>
      <c r="AE1909">
        <v>0</v>
      </c>
      <c r="AF1909">
        <v>1</v>
      </c>
      <c r="AG1909" t="s">
        <v>821</v>
      </c>
      <c r="AH1909">
        <v>100</v>
      </c>
      <c r="AK1909">
        <v>0</v>
      </c>
      <c r="AL1909">
        <v>136025</v>
      </c>
      <c r="AM1909">
        <v>50500</v>
      </c>
      <c r="AN1909">
        <v>85525</v>
      </c>
      <c r="AO1909">
        <v>1503</v>
      </c>
      <c r="AP1909">
        <v>2016</v>
      </c>
      <c r="AQ1909">
        <v>1.69</v>
      </c>
      <c r="AS1909" t="s">
        <v>22937</v>
      </c>
      <c r="AT1909" t="s">
        <v>15040</v>
      </c>
      <c r="AU1909" t="s">
        <v>177</v>
      </c>
      <c r="AV1909" t="s">
        <v>371</v>
      </c>
      <c r="AW1909" t="s">
        <v>182</v>
      </c>
      <c r="AX1909">
        <v>1</v>
      </c>
      <c r="AY1909" t="s">
        <v>188</v>
      </c>
      <c r="AZ1909" t="s">
        <v>206</v>
      </c>
      <c r="BA1909" t="s">
        <v>355</v>
      </c>
      <c r="BB1909" t="s">
        <v>191</v>
      </c>
      <c r="BC1909" t="s">
        <v>182</v>
      </c>
      <c r="BD1909" t="s">
        <v>182</v>
      </c>
      <c r="BE1909" t="s">
        <v>9756</v>
      </c>
      <c r="BF1909">
        <v>1</v>
      </c>
      <c r="BG1909">
        <v>1</v>
      </c>
      <c r="BH1909">
        <v>1968</v>
      </c>
      <c r="BI1909" t="s">
        <v>16598</v>
      </c>
      <c r="BJ1909" t="s">
        <v>194</v>
      </c>
      <c r="BK1909" t="s">
        <v>195</v>
      </c>
      <c r="BL1909" t="s">
        <v>199</v>
      </c>
      <c r="BM1909" t="s">
        <v>232</v>
      </c>
      <c r="BN1909" t="s">
        <v>182</v>
      </c>
      <c r="BO1909" t="s">
        <v>198</v>
      </c>
      <c r="BP1909" t="s">
        <v>198</v>
      </c>
      <c r="BQ1909" t="s">
        <v>198</v>
      </c>
      <c r="BR1909" t="s">
        <v>198</v>
      </c>
      <c r="BS1909" t="s">
        <v>198</v>
      </c>
      <c r="BT1909" t="s">
        <v>198</v>
      </c>
      <c r="BU1909" t="s">
        <v>182</v>
      </c>
      <c r="BV1909" t="s">
        <v>198</v>
      </c>
      <c r="BW1909" t="s">
        <v>198</v>
      </c>
      <c r="BX1909" t="s">
        <v>199</v>
      </c>
      <c r="BY1909" t="s">
        <v>198</v>
      </c>
      <c r="BZ1909" t="s">
        <v>199</v>
      </c>
      <c r="CA1909" t="s">
        <v>199</v>
      </c>
      <c r="CB1909" t="s">
        <v>22938</v>
      </c>
      <c r="CC1909" t="s">
        <v>201</v>
      </c>
      <c r="CD1909" t="s">
        <v>202</v>
      </c>
      <c r="CE1909" t="s">
        <v>22939</v>
      </c>
      <c r="CF1909" t="s">
        <v>22940</v>
      </c>
      <c r="CG1909" t="s">
        <v>1602</v>
      </c>
      <c r="CH1909" t="s">
        <v>22941</v>
      </c>
      <c r="CI1909" t="s">
        <v>4099</v>
      </c>
      <c r="CJ1909" t="s">
        <v>22942</v>
      </c>
      <c r="CK1909" t="s">
        <v>232</v>
      </c>
      <c r="CL1909" t="s">
        <v>233</v>
      </c>
      <c r="CM1909" t="s">
        <v>22943</v>
      </c>
      <c r="CN1909" t="s">
        <v>235</v>
      </c>
      <c r="CO1909" t="s">
        <v>183</v>
      </c>
      <c r="CP1909" t="s">
        <v>211</v>
      </c>
      <c r="CQ1909" t="s">
        <v>342</v>
      </c>
      <c r="CS1909" t="s">
        <v>2298</v>
      </c>
      <c r="DC1909" t="s">
        <v>198</v>
      </c>
      <c r="DM1909" t="s">
        <v>198</v>
      </c>
      <c r="DW1909" t="s">
        <v>198</v>
      </c>
      <c r="EG1909" t="s">
        <v>198</v>
      </c>
      <c r="EQ1909" t="s">
        <v>198</v>
      </c>
      <c r="FA1909" t="s">
        <v>198</v>
      </c>
      <c r="FK1909" t="s">
        <v>198</v>
      </c>
      <c r="FU1909" t="s">
        <v>198</v>
      </c>
    </row>
    <row r="1910" spans="1:177">
      <c r="A1910" s="1" t="str">
        <f>HYPERLINK("http://digipan.lumentumllc.com/apps/getLink/index.php?t=PropLink&amp;p=5243954","PL")</f>
        <v>PL</v>
      </c>
      <c r="B1910" s="1" t="str">
        <f>HYPERLINK("http://digipan.lumentumllc.com/apps/getLink/index.php?t=TaxLink&amp;p=5243954","TL")</f>
        <v>TL</v>
      </c>
      <c r="C1910" s="1" t="str">
        <f>HYPERLINK("http://digipan.lumentumllc.com/apps/getMap/index.php?p=5243954","Map")</f>
        <v>Map</v>
      </c>
      <c r="E1910" t="s">
        <v>177</v>
      </c>
      <c r="F1910" t="s">
        <v>178</v>
      </c>
      <c r="L1910" t="s">
        <v>22944</v>
      </c>
      <c r="N1910" t="s">
        <v>22944</v>
      </c>
      <c r="O1910" t="s">
        <v>22944</v>
      </c>
      <c r="P1910" t="s">
        <v>22945</v>
      </c>
      <c r="Q1910" t="s">
        <v>22944</v>
      </c>
      <c r="V1910">
        <v>2178</v>
      </c>
      <c r="W1910">
        <v>7</v>
      </c>
      <c r="X1910">
        <v>2017</v>
      </c>
      <c r="Y1910">
        <v>2018</v>
      </c>
      <c r="Z1910">
        <v>1041.77</v>
      </c>
      <c r="AB1910" t="s">
        <v>181</v>
      </c>
      <c r="AC1910" t="s">
        <v>182</v>
      </c>
      <c r="AD1910" t="s">
        <v>183</v>
      </c>
      <c r="AE1910">
        <v>0</v>
      </c>
      <c r="AF1910">
        <v>5</v>
      </c>
      <c r="AG1910" t="s">
        <v>3266</v>
      </c>
      <c r="AH1910">
        <v>100</v>
      </c>
      <c r="AK1910">
        <v>0</v>
      </c>
      <c r="AL1910">
        <v>85666</v>
      </c>
      <c r="AM1910">
        <v>62500</v>
      </c>
      <c r="AN1910">
        <v>23166</v>
      </c>
      <c r="AO1910">
        <v>1021</v>
      </c>
      <c r="AP1910">
        <v>2016</v>
      </c>
      <c r="AQ1910">
        <v>1.22</v>
      </c>
      <c r="AS1910" t="s">
        <v>22946</v>
      </c>
      <c r="AT1910" t="s">
        <v>15040</v>
      </c>
      <c r="AU1910" t="s">
        <v>177</v>
      </c>
      <c r="AV1910" t="s">
        <v>371</v>
      </c>
      <c r="AW1910" t="s">
        <v>202</v>
      </c>
      <c r="AX1910">
        <v>1</v>
      </c>
      <c r="AY1910" t="s">
        <v>188</v>
      </c>
      <c r="AZ1910" t="s">
        <v>206</v>
      </c>
      <c r="BA1910" t="s">
        <v>355</v>
      </c>
      <c r="BB1910" t="s">
        <v>191</v>
      </c>
      <c r="BC1910" t="s">
        <v>182</v>
      </c>
      <c r="BD1910" t="s">
        <v>182</v>
      </c>
      <c r="BE1910" t="s">
        <v>6557</v>
      </c>
      <c r="BF1910">
        <v>1</v>
      </c>
      <c r="BG1910">
        <v>1</v>
      </c>
      <c r="BH1910">
        <v>1940</v>
      </c>
      <c r="BI1910" t="s">
        <v>11069</v>
      </c>
      <c r="BJ1910" t="s">
        <v>194</v>
      </c>
      <c r="BK1910" t="s">
        <v>195</v>
      </c>
      <c r="BL1910" t="s">
        <v>199</v>
      </c>
      <c r="BM1910" t="s">
        <v>679</v>
      </c>
      <c r="BN1910" t="s">
        <v>182</v>
      </c>
      <c r="BO1910" t="s">
        <v>198</v>
      </c>
      <c r="BP1910" t="s">
        <v>198</v>
      </c>
      <c r="BQ1910" t="s">
        <v>198</v>
      </c>
      <c r="BR1910" t="s">
        <v>198</v>
      </c>
      <c r="BS1910" t="s">
        <v>198</v>
      </c>
      <c r="BT1910" t="s">
        <v>198</v>
      </c>
      <c r="BU1910" t="s">
        <v>182</v>
      </c>
      <c r="BV1910" t="s">
        <v>198</v>
      </c>
      <c r="BW1910" t="s">
        <v>198</v>
      </c>
      <c r="BX1910" t="s">
        <v>199</v>
      </c>
      <c r="BY1910" t="s">
        <v>198</v>
      </c>
      <c r="BZ1910" t="s">
        <v>199</v>
      </c>
      <c r="CA1910" t="s">
        <v>199</v>
      </c>
      <c r="CB1910" t="s">
        <v>22947</v>
      </c>
      <c r="CC1910" t="s">
        <v>201</v>
      </c>
      <c r="CD1910" t="s">
        <v>202</v>
      </c>
      <c r="CE1910" t="s">
        <v>22948</v>
      </c>
      <c r="CF1910" t="s">
        <v>5331</v>
      </c>
      <c r="CG1910" t="s">
        <v>177</v>
      </c>
      <c r="CH1910" t="s">
        <v>371</v>
      </c>
      <c r="CI1910" t="s">
        <v>7898</v>
      </c>
      <c r="CJ1910" t="s">
        <v>20270</v>
      </c>
      <c r="CK1910" t="s">
        <v>292</v>
      </c>
      <c r="CL1910" t="s">
        <v>293</v>
      </c>
      <c r="CM1910" t="s">
        <v>22949</v>
      </c>
      <c r="CN1910" t="s">
        <v>235</v>
      </c>
      <c r="CO1910" t="s">
        <v>183</v>
      </c>
      <c r="CP1910" t="s">
        <v>211</v>
      </c>
      <c r="CQ1910" t="s">
        <v>329</v>
      </c>
      <c r="CS1910" t="s">
        <v>2428</v>
      </c>
      <c r="CT1910" t="s">
        <v>17159</v>
      </c>
      <c r="CU1910" t="s">
        <v>267</v>
      </c>
      <c r="CV1910" t="s">
        <v>268</v>
      </c>
      <c r="CW1910" t="s">
        <v>22950</v>
      </c>
      <c r="CX1910" t="s">
        <v>235</v>
      </c>
      <c r="CY1910" t="s">
        <v>183</v>
      </c>
      <c r="CZ1910" t="s">
        <v>211</v>
      </c>
      <c r="DA1910" t="s">
        <v>298</v>
      </c>
      <c r="DC1910" t="s">
        <v>8316</v>
      </c>
      <c r="DD1910" t="s">
        <v>6956</v>
      </c>
      <c r="DE1910" t="s">
        <v>273</v>
      </c>
      <c r="DF1910" t="s">
        <v>274</v>
      </c>
      <c r="DG1910" t="s">
        <v>22951</v>
      </c>
      <c r="DH1910" t="s">
        <v>235</v>
      </c>
      <c r="DI1910" t="s">
        <v>183</v>
      </c>
      <c r="DJ1910" t="s">
        <v>211</v>
      </c>
      <c r="DK1910" t="s">
        <v>298</v>
      </c>
      <c r="DM1910" t="s">
        <v>1432</v>
      </c>
      <c r="DN1910" t="s">
        <v>22952</v>
      </c>
      <c r="DO1910" t="s">
        <v>302</v>
      </c>
      <c r="DP1910" t="s">
        <v>303</v>
      </c>
      <c r="DQ1910" t="s">
        <v>22953</v>
      </c>
      <c r="DR1910" t="s">
        <v>235</v>
      </c>
      <c r="DS1910" t="s">
        <v>183</v>
      </c>
      <c r="DT1910" t="s">
        <v>211</v>
      </c>
      <c r="DU1910" t="s">
        <v>199</v>
      </c>
      <c r="DW1910" t="s">
        <v>9371</v>
      </c>
      <c r="DX1910" t="s">
        <v>22954</v>
      </c>
      <c r="DY1910" t="s">
        <v>346</v>
      </c>
      <c r="DZ1910" t="s">
        <v>347</v>
      </c>
      <c r="EA1910" t="s">
        <v>22955</v>
      </c>
      <c r="EB1910" t="s">
        <v>440</v>
      </c>
      <c r="EC1910" t="s">
        <v>183</v>
      </c>
      <c r="ED1910" t="s">
        <v>211</v>
      </c>
      <c r="EE1910" t="s">
        <v>329</v>
      </c>
      <c r="EG1910" t="s">
        <v>1770</v>
      </c>
      <c r="EQ1910" t="s">
        <v>198</v>
      </c>
      <c r="FA1910" t="s">
        <v>198</v>
      </c>
      <c r="FK1910" t="s">
        <v>198</v>
      </c>
      <c r="FU1910" t="s">
        <v>198</v>
      </c>
    </row>
    <row r="1911" spans="1:177">
      <c r="A1911" s="1" t="str">
        <f>HYPERLINK("http://digipan.lumentumllc.com/apps/getLink/index.php?t=PropLink&amp;p=5243960","PL")</f>
        <v>PL</v>
      </c>
      <c r="B1911" s="1" t="str">
        <f>HYPERLINK("http://digipan.lumentumllc.com/apps/getLink/index.php?t=TaxLink&amp;p=5243960","TL")</f>
        <v>TL</v>
      </c>
      <c r="C1911" s="1" t="str">
        <f>HYPERLINK("http://digipan.lumentumllc.com/apps/getMap/index.php?p=5243960","Map")</f>
        <v>Map</v>
      </c>
      <c r="E1911" t="s">
        <v>177</v>
      </c>
      <c r="F1911" t="s">
        <v>178</v>
      </c>
      <c r="L1911" t="s">
        <v>22956</v>
      </c>
      <c r="N1911" t="s">
        <v>22956</v>
      </c>
      <c r="O1911" t="s">
        <v>22956</v>
      </c>
      <c r="P1911" t="s">
        <v>22957</v>
      </c>
      <c r="Q1911" t="s">
        <v>22956</v>
      </c>
      <c r="V1911">
        <v>2179</v>
      </c>
      <c r="W1911">
        <v>7</v>
      </c>
      <c r="X1911">
        <v>2017</v>
      </c>
      <c r="Y1911">
        <v>2018</v>
      </c>
      <c r="Z1911">
        <v>1710.22</v>
      </c>
      <c r="AB1911" t="s">
        <v>181</v>
      </c>
      <c r="AC1911" t="s">
        <v>202</v>
      </c>
      <c r="AD1911" t="s">
        <v>183</v>
      </c>
      <c r="AE1911">
        <v>0</v>
      </c>
      <c r="AF1911">
        <v>7</v>
      </c>
      <c r="AG1911" t="s">
        <v>528</v>
      </c>
      <c r="AH1911">
        <v>100</v>
      </c>
      <c r="AK1911">
        <v>0</v>
      </c>
      <c r="AL1911">
        <v>172174</v>
      </c>
      <c r="AM1911">
        <v>50000</v>
      </c>
      <c r="AN1911">
        <v>122174</v>
      </c>
      <c r="AO1911">
        <v>1531</v>
      </c>
      <c r="AP1911">
        <v>2016</v>
      </c>
      <c r="AQ1911">
        <v>0.99</v>
      </c>
      <c r="AS1911" t="s">
        <v>22958</v>
      </c>
      <c r="AT1911" t="s">
        <v>15040</v>
      </c>
      <c r="AU1911" t="s">
        <v>177</v>
      </c>
      <c r="AV1911" t="s">
        <v>371</v>
      </c>
      <c r="AW1911" t="s">
        <v>202</v>
      </c>
      <c r="AX1911">
        <v>1</v>
      </c>
      <c r="AY1911" t="s">
        <v>188</v>
      </c>
      <c r="AZ1911" t="s">
        <v>206</v>
      </c>
      <c r="BA1911" t="s">
        <v>355</v>
      </c>
      <c r="BB1911" t="s">
        <v>191</v>
      </c>
      <c r="BC1911" t="s">
        <v>182</v>
      </c>
      <c r="BD1911" t="s">
        <v>182</v>
      </c>
      <c r="BE1911" t="s">
        <v>7685</v>
      </c>
      <c r="BF1911">
        <v>1</v>
      </c>
      <c r="BG1911">
        <v>1</v>
      </c>
      <c r="BH1911">
        <v>1992</v>
      </c>
      <c r="BI1911" t="s">
        <v>10369</v>
      </c>
      <c r="BJ1911" t="s">
        <v>248</v>
      </c>
      <c r="BK1911" t="s">
        <v>195</v>
      </c>
      <c r="BL1911" t="s">
        <v>1517</v>
      </c>
      <c r="BM1911" t="s">
        <v>1779</v>
      </c>
      <c r="BN1911" t="s">
        <v>182</v>
      </c>
      <c r="BO1911" t="s">
        <v>22959</v>
      </c>
      <c r="BP1911" t="s">
        <v>22960</v>
      </c>
      <c r="BR1911" t="s">
        <v>1575</v>
      </c>
      <c r="BS1911" t="s">
        <v>22961</v>
      </c>
      <c r="BT1911" t="s">
        <v>198</v>
      </c>
      <c r="BU1911" t="s">
        <v>182</v>
      </c>
      <c r="BV1911" t="s">
        <v>198</v>
      </c>
      <c r="BW1911" t="s">
        <v>198</v>
      </c>
      <c r="BX1911" t="s">
        <v>199</v>
      </c>
      <c r="BY1911" t="s">
        <v>198</v>
      </c>
      <c r="BZ1911" t="s">
        <v>199</v>
      </c>
      <c r="CA1911" t="s">
        <v>199</v>
      </c>
      <c r="CB1911" t="s">
        <v>22962</v>
      </c>
      <c r="CC1911" t="s">
        <v>201</v>
      </c>
      <c r="CD1911" t="s">
        <v>182</v>
      </c>
      <c r="CE1911" t="s">
        <v>22963</v>
      </c>
      <c r="CF1911" t="s">
        <v>5331</v>
      </c>
      <c r="CG1911" t="s">
        <v>177</v>
      </c>
      <c r="CH1911" t="s">
        <v>371</v>
      </c>
      <c r="CI1911" t="s">
        <v>22964</v>
      </c>
      <c r="CJ1911" t="s">
        <v>22771</v>
      </c>
      <c r="CK1911" t="s">
        <v>232</v>
      </c>
      <c r="CL1911" t="s">
        <v>233</v>
      </c>
      <c r="CM1911" t="s">
        <v>22965</v>
      </c>
      <c r="CN1911" t="s">
        <v>235</v>
      </c>
      <c r="CO1911" t="s">
        <v>183</v>
      </c>
      <c r="CP1911" t="s">
        <v>211</v>
      </c>
      <c r="CQ1911" t="s">
        <v>199</v>
      </c>
      <c r="CR1911" t="s">
        <v>271</v>
      </c>
      <c r="CS1911" t="s">
        <v>735</v>
      </c>
      <c r="CT1911" t="s">
        <v>366</v>
      </c>
      <c r="CU1911" t="s">
        <v>292</v>
      </c>
      <c r="CV1911" t="s">
        <v>293</v>
      </c>
      <c r="CW1911" t="s">
        <v>22966</v>
      </c>
      <c r="CX1911" t="s">
        <v>235</v>
      </c>
      <c r="CY1911" t="s">
        <v>183</v>
      </c>
      <c r="CZ1911" t="s">
        <v>211</v>
      </c>
      <c r="DA1911" t="s">
        <v>427</v>
      </c>
      <c r="DB1911" t="s">
        <v>271</v>
      </c>
      <c r="DC1911" t="s">
        <v>735</v>
      </c>
      <c r="DD1911" t="s">
        <v>22967</v>
      </c>
      <c r="DE1911" t="s">
        <v>267</v>
      </c>
      <c r="DF1911" t="s">
        <v>268</v>
      </c>
      <c r="DG1911" t="s">
        <v>22968</v>
      </c>
      <c r="DH1911" t="s">
        <v>235</v>
      </c>
      <c r="DI1911" t="s">
        <v>183</v>
      </c>
      <c r="DJ1911" t="s">
        <v>211</v>
      </c>
      <c r="DL1911" t="s">
        <v>271</v>
      </c>
      <c r="DM1911" t="s">
        <v>198</v>
      </c>
      <c r="DN1911" t="s">
        <v>15782</v>
      </c>
      <c r="DO1911" t="s">
        <v>273</v>
      </c>
      <c r="DP1911" t="s">
        <v>274</v>
      </c>
      <c r="DQ1911" t="s">
        <v>22969</v>
      </c>
      <c r="DR1911" t="s">
        <v>235</v>
      </c>
      <c r="DS1911" t="s">
        <v>183</v>
      </c>
      <c r="DT1911" t="s">
        <v>211</v>
      </c>
      <c r="DU1911" t="s">
        <v>493</v>
      </c>
      <c r="DW1911" t="s">
        <v>9183</v>
      </c>
      <c r="DX1911" t="s">
        <v>22970</v>
      </c>
      <c r="DY1911" t="s">
        <v>302</v>
      </c>
      <c r="DZ1911" t="s">
        <v>303</v>
      </c>
      <c r="EA1911" t="s">
        <v>22971</v>
      </c>
      <c r="EB1911" t="s">
        <v>235</v>
      </c>
      <c r="EC1911" t="s">
        <v>183</v>
      </c>
      <c r="ED1911" t="s">
        <v>211</v>
      </c>
      <c r="EE1911" t="s">
        <v>337</v>
      </c>
      <c r="EG1911" t="s">
        <v>1260</v>
      </c>
      <c r="EH1911" t="s">
        <v>1232</v>
      </c>
      <c r="EI1911" t="s">
        <v>238</v>
      </c>
      <c r="EJ1911" t="s">
        <v>239</v>
      </c>
      <c r="EK1911" t="s">
        <v>22972</v>
      </c>
      <c r="EL1911" t="s">
        <v>235</v>
      </c>
      <c r="EM1911" t="s">
        <v>183</v>
      </c>
      <c r="EN1911" t="s">
        <v>211</v>
      </c>
      <c r="EO1911" t="s">
        <v>345</v>
      </c>
      <c r="EQ1911" t="s">
        <v>3657</v>
      </c>
      <c r="ER1911" t="s">
        <v>22973</v>
      </c>
      <c r="ES1911" t="s">
        <v>207</v>
      </c>
      <c r="ET1911" t="s">
        <v>208</v>
      </c>
      <c r="EU1911" t="s">
        <v>22974</v>
      </c>
      <c r="EV1911" t="s">
        <v>391</v>
      </c>
      <c r="EW1911" t="s">
        <v>183</v>
      </c>
      <c r="EX1911" t="s">
        <v>211</v>
      </c>
      <c r="EY1911" t="s">
        <v>212</v>
      </c>
      <c r="EZ1911" t="s">
        <v>271</v>
      </c>
      <c r="FA1911" t="s">
        <v>8432</v>
      </c>
      <c r="FK1911" t="s">
        <v>198</v>
      </c>
      <c r="FU1911" t="s">
        <v>198</v>
      </c>
    </row>
    <row r="1912" spans="1:177">
      <c r="A1912" s="1" t="str">
        <f>HYPERLINK("http://digipan.lumentumllc.com/apps/getLink/index.php?t=PropLink&amp;p=15725616","PL")</f>
        <v>PL</v>
      </c>
      <c r="B1912" s="1" t="str">
        <f>HYPERLINK("http://digipan.lumentumllc.com/apps/getLink/index.php?t=TaxLink&amp;p=15725616","TL")</f>
        <v>TL</v>
      </c>
      <c r="C1912" s="1" t="str">
        <f>HYPERLINK("http://digipan.lumentumllc.com/apps/getMap/index.php?p=15725616","Map")</f>
        <v>Map</v>
      </c>
      <c r="E1912" t="s">
        <v>177</v>
      </c>
      <c r="F1912" t="s">
        <v>178</v>
      </c>
      <c r="L1912" t="s">
        <v>22975</v>
      </c>
      <c r="N1912" t="s">
        <v>22975</v>
      </c>
      <c r="O1912" t="s">
        <v>22975</v>
      </c>
      <c r="Q1912" t="s">
        <v>22975</v>
      </c>
      <c r="V1912">
        <v>2180</v>
      </c>
      <c r="W1912">
        <v>7</v>
      </c>
      <c r="X1912">
        <v>2017</v>
      </c>
      <c r="Y1912">
        <v>2018</v>
      </c>
      <c r="Z1912">
        <v>1293.55</v>
      </c>
      <c r="AG1912" t="s">
        <v>184</v>
      </c>
      <c r="AH1912">
        <v>0</v>
      </c>
      <c r="AK1912">
        <v>0</v>
      </c>
      <c r="AL1912">
        <v>158980</v>
      </c>
      <c r="AM1912">
        <v>55000</v>
      </c>
      <c r="AN1912">
        <v>103980</v>
      </c>
      <c r="AO1912">
        <v>1149</v>
      </c>
      <c r="AP1912">
        <v>2016</v>
      </c>
      <c r="AQ1912">
        <v>0.81</v>
      </c>
      <c r="AS1912" t="s">
        <v>22976</v>
      </c>
      <c r="AT1912" t="s">
        <v>15040</v>
      </c>
      <c r="AU1912" t="s">
        <v>177</v>
      </c>
      <c r="AV1912" t="s">
        <v>371</v>
      </c>
      <c r="AW1912" t="s">
        <v>202</v>
      </c>
      <c r="AX1912">
        <v>1</v>
      </c>
      <c r="AY1912" t="s">
        <v>188</v>
      </c>
      <c r="AZ1912" t="s">
        <v>206</v>
      </c>
      <c r="BA1912" t="s">
        <v>355</v>
      </c>
      <c r="BB1912" t="s">
        <v>191</v>
      </c>
      <c r="BC1912" t="s">
        <v>182</v>
      </c>
      <c r="BD1912" t="s">
        <v>182</v>
      </c>
      <c r="BE1912" t="s">
        <v>3682</v>
      </c>
      <c r="BF1912">
        <v>1</v>
      </c>
      <c r="BG1912">
        <v>1</v>
      </c>
      <c r="BH1912">
        <v>1991</v>
      </c>
      <c r="BI1912" t="s">
        <v>410</v>
      </c>
      <c r="BJ1912" t="s">
        <v>248</v>
      </c>
      <c r="BK1912" t="s">
        <v>195</v>
      </c>
      <c r="BL1912" t="s">
        <v>22977</v>
      </c>
      <c r="BM1912" t="s">
        <v>1156</v>
      </c>
      <c r="BN1912" t="s">
        <v>182</v>
      </c>
      <c r="BO1912" t="s">
        <v>8682</v>
      </c>
      <c r="BP1912" t="s">
        <v>4714</v>
      </c>
      <c r="BQ1912" t="s">
        <v>800</v>
      </c>
      <c r="BS1912" t="s">
        <v>198</v>
      </c>
      <c r="BT1912" t="s">
        <v>22978</v>
      </c>
      <c r="BU1912" t="s">
        <v>182</v>
      </c>
      <c r="BV1912" t="s">
        <v>198</v>
      </c>
      <c r="BW1912" t="s">
        <v>198</v>
      </c>
      <c r="BX1912" t="s">
        <v>199</v>
      </c>
      <c r="BY1912" t="s">
        <v>198</v>
      </c>
      <c r="BZ1912" t="s">
        <v>199</v>
      </c>
      <c r="CA1912" t="s">
        <v>199</v>
      </c>
      <c r="CB1912" t="s">
        <v>22979</v>
      </c>
      <c r="CC1912" t="s">
        <v>201</v>
      </c>
      <c r="CD1912" t="s">
        <v>182</v>
      </c>
      <c r="CE1912" t="s">
        <v>22980</v>
      </c>
      <c r="CF1912" t="s">
        <v>5331</v>
      </c>
      <c r="CG1912" t="s">
        <v>177</v>
      </c>
      <c r="CH1912" t="s">
        <v>371</v>
      </c>
      <c r="CI1912" t="s">
        <v>15099</v>
      </c>
      <c r="CS1912" t="s">
        <v>198</v>
      </c>
      <c r="DC1912" t="s">
        <v>198</v>
      </c>
      <c r="DM1912" t="s">
        <v>198</v>
      </c>
      <c r="DW1912" t="s">
        <v>198</v>
      </c>
      <c r="EG1912" t="s">
        <v>198</v>
      </c>
      <c r="EQ1912" t="s">
        <v>198</v>
      </c>
      <c r="FA1912" t="s">
        <v>198</v>
      </c>
      <c r="FK1912" t="s">
        <v>198</v>
      </c>
      <c r="FU1912" t="s">
        <v>198</v>
      </c>
    </row>
    <row r="1913" spans="1:177">
      <c r="A1913" s="1" t="str">
        <f>HYPERLINK("http://digipan.lumentumllc.com/apps/getLink/index.php?t=PropLink&amp;p=15725665","PL")</f>
        <v>PL</v>
      </c>
      <c r="B1913" s="1" t="str">
        <f>HYPERLINK("http://digipan.lumentumllc.com/apps/getLink/index.php?t=TaxLink&amp;p=15725665","TL")</f>
        <v>TL</v>
      </c>
      <c r="C1913" s="1" t="str">
        <f>HYPERLINK("http://digipan.lumentumllc.com/apps/getMap/index.php?p=15725665","Map")</f>
        <v>Map</v>
      </c>
      <c r="E1913" t="s">
        <v>177</v>
      </c>
      <c r="F1913" t="s">
        <v>178</v>
      </c>
      <c r="L1913" t="s">
        <v>22981</v>
      </c>
      <c r="N1913" t="s">
        <v>22981</v>
      </c>
      <c r="O1913" t="s">
        <v>22981</v>
      </c>
      <c r="Q1913" t="s">
        <v>22981</v>
      </c>
      <c r="V1913">
        <v>2181</v>
      </c>
      <c r="W1913">
        <v>7</v>
      </c>
      <c r="X1913">
        <v>2017</v>
      </c>
      <c r="Y1913">
        <v>2018</v>
      </c>
      <c r="Z1913">
        <v>1260.6099999999999</v>
      </c>
      <c r="AG1913" t="s">
        <v>184</v>
      </c>
      <c r="AH1913">
        <v>0</v>
      </c>
      <c r="AK1913">
        <v>0</v>
      </c>
      <c r="AL1913">
        <v>141000</v>
      </c>
      <c r="AM1913">
        <v>0</v>
      </c>
      <c r="AN1913">
        <v>141000</v>
      </c>
      <c r="AO1913">
        <v>1119</v>
      </c>
      <c r="AP1913">
        <v>2016</v>
      </c>
      <c r="AQ1913">
        <v>0.89</v>
      </c>
      <c r="AS1913" t="s">
        <v>22982</v>
      </c>
      <c r="AT1913" t="s">
        <v>15040</v>
      </c>
      <c r="AU1913" t="s">
        <v>177</v>
      </c>
      <c r="AV1913" t="s">
        <v>371</v>
      </c>
      <c r="AW1913" t="s">
        <v>202</v>
      </c>
      <c r="AX1913">
        <v>4</v>
      </c>
      <c r="AY1913" t="s">
        <v>188</v>
      </c>
      <c r="AZ1913" t="s">
        <v>296</v>
      </c>
      <c r="BA1913" t="s">
        <v>19069</v>
      </c>
      <c r="BB1913" t="s">
        <v>191</v>
      </c>
      <c r="BC1913" t="s">
        <v>182</v>
      </c>
      <c r="BD1913" t="s">
        <v>182</v>
      </c>
      <c r="BE1913" t="s">
        <v>1722</v>
      </c>
      <c r="BF1913">
        <v>1</v>
      </c>
      <c r="BG1913">
        <v>1</v>
      </c>
      <c r="BH1913">
        <v>1991</v>
      </c>
      <c r="BI1913" t="s">
        <v>14192</v>
      </c>
      <c r="BJ1913" t="s">
        <v>194</v>
      </c>
      <c r="BL1913" t="s">
        <v>22983</v>
      </c>
      <c r="BM1913" t="s">
        <v>197</v>
      </c>
      <c r="BN1913" t="s">
        <v>182</v>
      </c>
      <c r="BO1913" t="s">
        <v>10245</v>
      </c>
      <c r="BP1913" t="s">
        <v>2911</v>
      </c>
      <c r="BQ1913" t="s">
        <v>800</v>
      </c>
      <c r="BS1913" t="s">
        <v>198</v>
      </c>
      <c r="BT1913" t="s">
        <v>22984</v>
      </c>
      <c r="BU1913" t="s">
        <v>182</v>
      </c>
      <c r="BV1913" t="s">
        <v>198</v>
      </c>
      <c r="BW1913" t="s">
        <v>198</v>
      </c>
      <c r="BX1913" t="s">
        <v>199</v>
      </c>
      <c r="BY1913" t="s">
        <v>198</v>
      </c>
      <c r="BZ1913" t="s">
        <v>199</v>
      </c>
      <c r="CA1913" t="s">
        <v>199</v>
      </c>
      <c r="CB1913" t="s">
        <v>22985</v>
      </c>
      <c r="CC1913" t="s">
        <v>201</v>
      </c>
      <c r="CD1913" t="s">
        <v>202</v>
      </c>
      <c r="CE1913" t="s">
        <v>22986</v>
      </c>
      <c r="CF1913" t="s">
        <v>5331</v>
      </c>
      <c r="CG1913" t="s">
        <v>177</v>
      </c>
      <c r="CH1913" t="s">
        <v>371</v>
      </c>
      <c r="CI1913" t="s">
        <v>22987</v>
      </c>
      <c r="CS1913" t="s">
        <v>198</v>
      </c>
      <c r="DC1913" t="s">
        <v>198</v>
      </c>
      <c r="DM1913" t="s">
        <v>198</v>
      </c>
      <c r="DW1913" t="s">
        <v>198</v>
      </c>
      <c r="EG1913" t="s">
        <v>198</v>
      </c>
      <c r="EQ1913" t="s">
        <v>198</v>
      </c>
      <c r="FA1913" t="s">
        <v>198</v>
      </c>
      <c r="FK1913" t="s">
        <v>198</v>
      </c>
      <c r="FU1913" t="s">
        <v>198</v>
      </c>
    </row>
    <row r="1914" spans="1:177">
      <c r="A1914" s="1" t="str">
        <f>HYPERLINK("http://digipan.lumentumllc.com/apps/getLink/index.php?t=PropLink&amp;p=15725674","PL")</f>
        <v>PL</v>
      </c>
      <c r="B1914" s="1" t="str">
        <f>HYPERLINK("http://digipan.lumentumllc.com/apps/getLink/index.php?t=TaxLink&amp;p=15725674","TL")</f>
        <v>TL</v>
      </c>
      <c r="C1914" s="1" t="str">
        <f>HYPERLINK("http://digipan.lumentumllc.com/apps/getMap/index.php?p=15725674","Map")</f>
        <v>Map</v>
      </c>
      <c r="E1914" t="s">
        <v>177</v>
      </c>
      <c r="F1914" t="s">
        <v>178</v>
      </c>
      <c r="L1914" t="s">
        <v>22988</v>
      </c>
      <c r="N1914" t="s">
        <v>22988</v>
      </c>
      <c r="O1914" t="s">
        <v>22988</v>
      </c>
      <c r="Q1914" t="s">
        <v>22988</v>
      </c>
      <c r="V1914">
        <v>2182</v>
      </c>
      <c r="W1914">
        <v>7</v>
      </c>
      <c r="X1914">
        <v>2017</v>
      </c>
      <c r="Y1914">
        <v>2018</v>
      </c>
      <c r="Z1914">
        <v>2378.92</v>
      </c>
      <c r="AG1914" t="s">
        <v>184</v>
      </c>
      <c r="AH1914">
        <v>0</v>
      </c>
      <c r="AK1914">
        <v>0</v>
      </c>
      <c r="AL1914">
        <v>141000</v>
      </c>
      <c r="AM1914">
        <v>0</v>
      </c>
      <c r="AN1914">
        <v>141000</v>
      </c>
      <c r="AO1914">
        <v>1930</v>
      </c>
      <c r="AP1914">
        <v>2016</v>
      </c>
      <c r="AQ1914">
        <v>1.69</v>
      </c>
      <c r="AS1914" t="s">
        <v>22989</v>
      </c>
      <c r="AT1914" t="s">
        <v>15040</v>
      </c>
      <c r="AU1914" t="s">
        <v>177</v>
      </c>
      <c r="AV1914" t="s">
        <v>371</v>
      </c>
      <c r="AW1914" t="s">
        <v>182</v>
      </c>
      <c r="AX1914">
        <v>4</v>
      </c>
      <c r="AY1914" t="s">
        <v>188</v>
      </c>
      <c r="AZ1914" t="s">
        <v>296</v>
      </c>
      <c r="BA1914" t="s">
        <v>19069</v>
      </c>
      <c r="BB1914" t="s">
        <v>191</v>
      </c>
      <c r="BC1914" t="s">
        <v>182</v>
      </c>
      <c r="BD1914" t="s">
        <v>182</v>
      </c>
      <c r="BE1914" t="s">
        <v>1722</v>
      </c>
      <c r="BF1914">
        <v>1</v>
      </c>
      <c r="BG1914">
        <v>1</v>
      </c>
      <c r="BH1914">
        <v>1991</v>
      </c>
      <c r="BI1914" t="s">
        <v>14192</v>
      </c>
      <c r="BJ1914" t="s">
        <v>194</v>
      </c>
      <c r="BL1914" t="s">
        <v>22990</v>
      </c>
      <c r="BM1914" t="s">
        <v>232</v>
      </c>
      <c r="BN1914" t="s">
        <v>182</v>
      </c>
      <c r="BO1914" t="s">
        <v>22991</v>
      </c>
      <c r="BP1914" t="s">
        <v>5189</v>
      </c>
      <c r="BQ1914" t="s">
        <v>800</v>
      </c>
      <c r="BR1914" t="s">
        <v>563</v>
      </c>
      <c r="BS1914" t="s">
        <v>198</v>
      </c>
      <c r="BT1914" t="s">
        <v>2369</v>
      </c>
      <c r="BU1914" t="s">
        <v>182</v>
      </c>
      <c r="BV1914" t="s">
        <v>198</v>
      </c>
      <c r="BW1914" t="s">
        <v>198</v>
      </c>
      <c r="BX1914" t="s">
        <v>199</v>
      </c>
      <c r="BY1914" t="s">
        <v>198</v>
      </c>
      <c r="BZ1914" t="s">
        <v>199</v>
      </c>
      <c r="CA1914" t="s">
        <v>199</v>
      </c>
      <c r="CB1914" t="s">
        <v>22992</v>
      </c>
      <c r="CC1914" t="s">
        <v>1407</v>
      </c>
      <c r="CD1914" t="s">
        <v>202</v>
      </c>
      <c r="CE1914" t="s">
        <v>22993</v>
      </c>
      <c r="CF1914" t="s">
        <v>413</v>
      </c>
      <c r="CG1914" t="s">
        <v>177</v>
      </c>
      <c r="CH1914" t="s">
        <v>782</v>
      </c>
      <c r="CI1914" t="s">
        <v>22994</v>
      </c>
      <c r="CS1914" t="s">
        <v>198</v>
      </c>
      <c r="DC1914" t="s">
        <v>198</v>
      </c>
      <c r="DM1914" t="s">
        <v>198</v>
      </c>
      <c r="DW1914" t="s">
        <v>198</v>
      </c>
      <c r="EG1914" t="s">
        <v>198</v>
      </c>
      <c r="EQ1914" t="s">
        <v>198</v>
      </c>
      <c r="FA1914" t="s">
        <v>198</v>
      </c>
      <c r="FK1914" t="s">
        <v>198</v>
      </c>
      <c r="FU1914" t="s">
        <v>198</v>
      </c>
    </row>
    <row r="1915" spans="1:177">
      <c r="A1915" s="1" t="str">
        <f>HYPERLINK("http://digipan.lumentumllc.com/apps/getLink/index.php?t=PropLink&amp;p=6461608","PL")</f>
        <v>PL</v>
      </c>
      <c r="B1915" s="1" t="str">
        <f>HYPERLINK("http://digipan.lumentumllc.com/apps/getLink/index.php?t=TaxLink&amp;p=6461608","TL")</f>
        <v>TL</v>
      </c>
      <c r="C1915" s="1" t="str">
        <f>HYPERLINK("http://digipan.lumentumllc.com/apps/getMap/index.php?p=6461608","Map")</f>
        <v>Map</v>
      </c>
      <c r="E1915" t="s">
        <v>177</v>
      </c>
      <c r="F1915" t="s">
        <v>178</v>
      </c>
      <c r="L1915" t="s">
        <v>22995</v>
      </c>
      <c r="N1915" t="s">
        <v>22995</v>
      </c>
      <c r="O1915" t="s">
        <v>22995</v>
      </c>
      <c r="P1915" t="s">
        <v>22996</v>
      </c>
      <c r="Q1915" t="s">
        <v>22995</v>
      </c>
      <c r="V1915">
        <v>2184</v>
      </c>
      <c r="W1915">
        <v>7</v>
      </c>
      <c r="X1915">
        <v>2017</v>
      </c>
      <c r="Y1915">
        <v>2018</v>
      </c>
      <c r="Z1915">
        <v>1103.19</v>
      </c>
      <c r="AB1915" t="s">
        <v>181</v>
      </c>
      <c r="AC1915" t="s">
        <v>182</v>
      </c>
      <c r="AD1915" t="s">
        <v>183</v>
      </c>
      <c r="AE1915">
        <v>0</v>
      </c>
      <c r="AF1915">
        <v>1</v>
      </c>
      <c r="AG1915" t="s">
        <v>821</v>
      </c>
      <c r="AH1915">
        <v>100</v>
      </c>
      <c r="AK1915">
        <v>0</v>
      </c>
      <c r="AL1915">
        <v>141000</v>
      </c>
      <c r="AM1915">
        <v>0</v>
      </c>
      <c r="AN1915">
        <v>141000</v>
      </c>
      <c r="AO1915">
        <v>974</v>
      </c>
      <c r="AP1915">
        <v>2016</v>
      </c>
      <c r="AQ1915">
        <v>0.78</v>
      </c>
      <c r="AS1915" t="s">
        <v>22997</v>
      </c>
      <c r="AT1915" t="s">
        <v>15040</v>
      </c>
      <c r="AU1915" t="s">
        <v>177</v>
      </c>
      <c r="AV1915" t="s">
        <v>371</v>
      </c>
      <c r="AW1915" t="s">
        <v>202</v>
      </c>
      <c r="AX1915">
        <v>4</v>
      </c>
      <c r="AY1915" t="s">
        <v>188</v>
      </c>
      <c r="AZ1915" t="s">
        <v>296</v>
      </c>
      <c r="BA1915" t="s">
        <v>19069</v>
      </c>
      <c r="BB1915" t="s">
        <v>191</v>
      </c>
      <c r="BC1915" t="s">
        <v>182</v>
      </c>
      <c r="BD1915" t="s">
        <v>182</v>
      </c>
      <c r="BE1915" t="s">
        <v>1722</v>
      </c>
      <c r="BF1915">
        <v>1</v>
      </c>
      <c r="BG1915">
        <v>1</v>
      </c>
      <c r="BH1915">
        <v>1991</v>
      </c>
      <c r="BI1915" t="s">
        <v>14192</v>
      </c>
      <c r="BJ1915" t="s">
        <v>194</v>
      </c>
      <c r="BL1915" t="s">
        <v>6377</v>
      </c>
      <c r="BM1915" t="s">
        <v>410</v>
      </c>
      <c r="BN1915" t="s">
        <v>182</v>
      </c>
      <c r="BO1915" t="s">
        <v>22998</v>
      </c>
      <c r="BP1915" t="s">
        <v>9962</v>
      </c>
      <c r="BQ1915" t="s">
        <v>800</v>
      </c>
      <c r="BS1915" t="s">
        <v>198</v>
      </c>
      <c r="BT1915" t="s">
        <v>375</v>
      </c>
      <c r="BU1915" t="s">
        <v>182</v>
      </c>
      <c r="BV1915" t="s">
        <v>198</v>
      </c>
      <c r="BW1915" t="s">
        <v>198</v>
      </c>
      <c r="BX1915" t="s">
        <v>199</v>
      </c>
      <c r="BY1915" t="s">
        <v>198</v>
      </c>
      <c r="BZ1915" t="s">
        <v>199</v>
      </c>
      <c r="CA1915" t="s">
        <v>199</v>
      </c>
      <c r="CB1915" t="s">
        <v>22999</v>
      </c>
      <c r="CC1915" t="s">
        <v>201</v>
      </c>
      <c r="CD1915" t="s">
        <v>182</v>
      </c>
      <c r="CE1915" t="s">
        <v>23000</v>
      </c>
      <c r="CF1915" t="s">
        <v>5331</v>
      </c>
      <c r="CG1915" t="s">
        <v>177</v>
      </c>
      <c r="CH1915" t="s">
        <v>371</v>
      </c>
      <c r="CI1915" t="s">
        <v>23001</v>
      </c>
      <c r="CJ1915" t="s">
        <v>3011</v>
      </c>
      <c r="CK1915" t="s">
        <v>302</v>
      </c>
      <c r="CL1915" t="s">
        <v>303</v>
      </c>
      <c r="CM1915" t="s">
        <v>23002</v>
      </c>
      <c r="CN1915" t="s">
        <v>235</v>
      </c>
      <c r="CO1915" t="s">
        <v>183</v>
      </c>
      <c r="CP1915" t="s">
        <v>211</v>
      </c>
      <c r="CQ1915" t="s">
        <v>290</v>
      </c>
      <c r="CS1915" t="s">
        <v>23003</v>
      </c>
      <c r="DC1915" t="s">
        <v>198</v>
      </c>
      <c r="DM1915" t="s">
        <v>198</v>
      </c>
      <c r="DW1915" t="s">
        <v>198</v>
      </c>
      <c r="EG1915" t="s">
        <v>198</v>
      </c>
      <c r="EQ1915" t="s">
        <v>198</v>
      </c>
      <c r="FA1915" t="s">
        <v>198</v>
      </c>
      <c r="FK1915" t="s">
        <v>198</v>
      </c>
      <c r="FU1915" t="s">
        <v>198</v>
      </c>
    </row>
    <row r="1916" spans="1:177">
      <c r="A1916" s="1" t="str">
        <f>HYPERLINK("http://digipan.lumentumllc.com/apps/getLink/index.php?t=PropLink&amp;p=15725701","PL")</f>
        <v>PL</v>
      </c>
      <c r="B1916" s="1" t="str">
        <f>HYPERLINK("http://digipan.lumentumllc.com/apps/getLink/index.php?t=TaxLink&amp;p=15725701","TL")</f>
        <v>TL</v>
      </c>
      <c r="C1916" s="1" t="str">
        <f>HYPERLINK("http://digipan.lumentumllc.com/apps/getMap/index.php?p=15725701","Map")</f>
        <v>Map</v>
      </c>
      <c r="E1916" t="s">
        <v>177</v>
      </c>
      <c r="F1916" t="s">
        <v>178</v>
      </c>
      <c r="L1916" t="s">
        <v>23004</v>
      </c>
      <c r="N1916" t="s">
        <v>23004</v>
      </c>
      <c r="O1916" t="s">
        <v>23004</v>
      </c>
      <c r="Q1916" t="s">
        <v>23004</v>
      </c>
      <c r="V1916">
        <v>2185</v>
      </c>
      <c r="W1916">
        <v>7</v>
      </c>
      <c r="X1916">
        <v>2017</v>
      </c>
      <c r="Y1916">
        <v>2018</v>
      </c>
      <c r="Z1916">
        <v>713.85</v>
      </c>
      <c r="AG1916" t="s">
        <v>184</v>
      </c>
      <c r="AH1916">
        <v>0</v>
      </c>
      <c r="AK1916">
        <v>0</v>
      </c>
      <c r="AL1916">
        <v>40965</v>
      </c>
      <c r="AM1916">
        <v>40965</v>
      </c>
      <c r="AN1916">
        <v>0</v>
      </c>
      <c r="AO1916">
        <v>640</v>
      </c>
      <c r="AP1916">
        <v>2016</v>
      </c>
      <c r="AQ1916">
        <v>1.74</v>
      </c>
      <c r="AS1916" t="s">
        <v>23005</v>
      </c>
      <c r="AT1916" t="s">
        <v>15040</v>
      </c>
      <c r="AU1916" t="s">
        <v>177</v>
      </c>
      <c r="AV1916" t="s">
        <v>371</v>
      </c>
      <c r="AW1916" t="s">
        <v>182</v>
      </c>
      <c r="AX1916">
        <v>0</v>
      </c>
      <c r="AY1916" t="s">
        <v>312</v>
      </c>
      <c r="AZ1916" t="s">
        <v>199</v>
      </c>
      <c r="BA1916" t="s">
        <v>313</v>
      </c>
      <c r="BB1916" t="s">
        <v>191</v>
      </c>
      <c r="BC1916" t="s">
        <v>182</v>
      </c>
      <c r="BD1916" t="s">
        <v>182</v>
      </c>
      <c r="BE1916" t="s">
        <v>6085</v>
      </c>
      <c r="BF1916">
        <v>0</v>
      </c>
      <c r="BG1916">
        <v>0</v>
      </c>
      <c r="BH1916">
        <v>0</v>
      </c>
      <c r="BI1916" t="s">
        <v>199</v>
      </c>
      <c r="BJ1916" t="s">
        <v>248</v>
      </c>
      <c r="BL1916" t="s">
        <v>199</v>
      </c>
      <c r="BM1916" t="s">
        <v>533</v>
      </c>
      <c r="BN1916" t="s">
        <v>182</v>
      </c>
      <c r="BO1916" t="s">
        <v>198</v>
      </c>
      <c r="BP1916" t="s">
        <v>198</v>
      </c>
      <c r="BQ1916" t="s">
        <v>198</v>
      </c>
      <c r="BR1916" t="s">
        <v>198</v>
      </c>
      <c r="BS1916" t="s">
        <v>198</v>
      </c>
      <c r="BT1916" t="s">
        <v>198</v>
      </c>
      <c r="BU1916" t="s">
        <v>182</v>
      </c>
      <c r="BV1916" t="s">
        <v>198</v>
      </c>
      <c r="BW1916" t="s">
        <v>198</v>
      </c>
      <c r="BX1916" t="s">
        <v>199</v>
      </c>
      <c r="BY1916" t="s">
        <v>198</v>
      </c>
      <c r="BZ1916" t="s">
        <v>199</v>
      </c>
      <c r="CA1916" t="s">
        <v>199</v>
      </c>
      <c r="CB1916" t="s">
        <v>23006</v>
      </c>
      <c r="CC1916" t="s">
        <v>201</v>
      </c>
      <c r="CD1916" t="s">
        <v>182</v>
      </c>
      <c r="CE1916" t="s">
        <v>23007</v>
      </c>
      <c r="CF1916" t="s">
        <v>23008</v>
      </c>
      <c r="CG1916" t="s">
        <v>1602</v>
      </c>
      <c r="CH1916" t="s">
        <v>23009</v>
      </c>
      <c r="CI1916" t="s">
        <v>1972</v>
      </c>
      <c r="CS1916" t="s">
        <v>198</v>
      </c>
      <c r="DC1916" t="s">
        <v>198</v>
      </c>
      <c r="DM1916" t="s">
        <v>198</v>
      </c>
      <c r="DW1916" t="s">
        <v>198</v>
      </c>
      <c r="EG1916" t="s">
        <v>198</v>
      </c>
      <c r="EQ1916" t="s">
        <v>198</v>
      </c>
      <c r="FA1916" t="s">
        <v>198</v>
      </c>
      <c r="FK1916" t="s">
        <v>198</v>
      </c>
      <c r="FU1916" t="s">
        <v>198</v>
      </c>
    </row>
    <row r="1917" spans="1:177">
      <c r="A1917" s="1" t="str">
        <f>HYPERLINK("http://digipan.lumentumllc.com/apps/getLink/index.php?t=PropLink&amp;p=7112260","PL")</f>
        <v>PL</v>
      </c>
      <c r="B1917" s="1" t="str">
        <f>HYPERLINK("http://digipan.lumentumllc.com/apps/getLink/index.php?t=TaxLink&amp;p=7112260","TL")</f>
        <v>TL</v>
      </c>
      <c r="C1917" s="1" t="str">
        <f>HYPERLINK("http://digipan.lumentumllc.com/apps/getMap/index.php?p=7112260","Map")</f>
        <v>Map</v>
      </c>
      <c r="E1917" t="s">
        <v>177</v>
      </c>
      <c r="F1917" t="s">
        <v>178</v>
      </c>
      <c r="L1917" t="s">
        <v>23010</v>
      </c>
      <c r="N1917" t="s">
        <v>23010</v>
      </c>
      <c r="O1917" t="s">
        <v>23010</v>
      </c>
      <c r="P1917" t="s">
        <v>23011</v>
      </c>
      <c r="Q1917" t="s">
        <v>23010</v>
      </c>
      <c r="V1917">
        <v>2186</v>
      </c>
      <c r="W1917">
        <v>7</v>
      </c>
      <c r="X1917">
        <v>2017</v>
      </c>
      <c r="Y1917">
        <v>2018</v>
      </c>
      <c r="Z1917">
        <v>862.63</v>
      </c>
      <c r="AB1917" t="s">
        <v>181</v>
      </c>
      <c r="AC1917" t="s">
        <v>182</v>
      </c>
      <c r="AD1917" t="s">
        <v>183</v>
      </c>
      <c r="AE1917">
        <v>0</v>
      </c>
      <c r="AF1917">
        <v>2</v>
      </c>
      <c r="AG1917" t="s">
        <v>216</v>
      </c>
      <c r="AH1917">
        <v>100</v>
      </c>
      <c r="AK1917">
        <v>0</v>
      </c>
      <c r="AL1917">
        <v>89187</v>
      </c>
      <c r="AM1917">
        <v>39015</v>
      </c>
      <c r="AN1917">
        <v>50172</v>
      </c>
      <c r="AO1917">
        <v>786</v>
      </c>
      <c r="AP1917">
        <v>2016</v>
      </c>
      <c r="AQ1917">
        <v>0.97</v>
      </c>
      <c r="AS1917" t="s">
        <v>23012</v>
      </c>
      <c r="AT1917" t="s">
        <v>15040</v>
      </c>
      <c r="AU1917" t="s">
        <v>177</v>
      </c>
      <c r="AV1917" t="s">
        <v>371</v>
      </c>
      <c r="AW1917" t="s">
        <v>202</v>
      </c>
      <c r="AX1917">
        <v>1</v>
      </c>
      <c r="AY1917" t="s">
        <v>188</v>
      </c>
      <c r="AZ1917" t="s">
        <v>206</v>
      </c>
      <c r="BA1917" t="s">
        <v>355</v>
      </c>
      <c r="BB1917" t="s">
        <v>191</v>
      </c>
      <c r="BC1917" t="s">
        <v>182</v>
      </c>
      <c r="BD1917" t="s">
        <v>182</v>
      </c>
      <c r="BE1917" t="s">
        <v>11268</v>
      </c>
      <c r="BF1917">
        <v>1</v>
      </c>
      <c r="BG1917">
        <v>1</v>
      </c>
      <c r="BH1917">
        <v>1965</v>
      </c>
      <c r="BI1917" t="s">
        <v>10993</v>
      </c>
      <c r="BJ1917" t="s">
        <v>194</v>
      </c>
      <c r="BK1917" t="s">
        <v>840</v>
      </c>
      <c r="BL1917" t="s">
        <v>199</v>
      </c>
      <c r="BM1917" t="s">
        <v>346</v>
      </c>
      <c r="BN1917" t="s">
        <v>182</v>
      </c>
      <c r="BO1917" t="s">
        <v>198</v>
      </c>
      <c r="BP1917" t="s">
        <v>198</v>
      </c>
      <c r="BQ1917" t="s">
        <v>198</v>
      </c>
      <c r="BR1917" t="s">
        <v>198</v>
      </c>
      <c r="BS1917" t="s">
        <v>198</v>
      </c>
      <c r="BT1917" t="s">
        <v>198</v>
      </c>
      <c r="BU1917" t="s">
        <v>182</v>
      </c>
      <c r="BV1917" t="s">
        <v>198</v>
      </c>
      <c r="BW1917" t="s">
        <v>198</v>
      </c>
      <c r="BX1917" t="s">
        <v>199</v>
      </c>
      <c r="BY1917" t="s">
        <v>198</v>
      </c>
      <c r="BZ1917" t="s">
        <v>199</v>
      </c>
      <c r="CA1917" t="s">
        <v>199</v>
      </c>
      <c r="CB1917" t="s">
        <v>23013</v>
      </c>
      <c r="CC1917" t="s">
        <v>201</v>
      </c>
      <c r="CD1917" t="s">
        <v>202</v>
      </c>
      <c r="CE1917" t="s">
        <v>23014</v>
      </c>
      <c r="CF1917" t="s">
        <v>5331</v>
      </c>
      <c r="CG1917" t="s">
        <v>177</v>
      </c>
      <c r="CH1917" t="s">
        <v>371</v>
      </c>
      <c r="CI1917" t="s">
        <v>629</v>
      </c>
      <c r="CJ1917" t="s">
        <v>11999</v>
      </c>
      <c r="CK1917" t="s">
        <v>232</v>
      </c>
      <c r="CL1917" t="s">
        <v>233</v>
      </c>
      <c r="CM1917" t="s">
        <v>23015</v>
      </c>
      <c r="CN1917" t="s">
        <v>235</v>
      </c>
      <c r="CO1917" t="s">
        <v>183</v>
      </c>
      <c r="CP1917" t="s">
        <v>211</v>
      </c>
      <c r="CQ1917" t="s">
        <v>342</v>
      </c>
      <c r="CS1917" t="s">
        <v>6851</v>
      </c>
      <c r="CT1917" t="s">
        <v>15940</v>
      </c>
      <c r="CU1917" t="s">
        <v>292</v>
      </c>
      <c r="CV1917" t="s">
        <v>293</v>
      </c>
      <c r="CW1917" t="s">
        <v>23016</v>
      </c>
      <c r="CX1917" t="s">
        <v>235</v>
      </c>
      <c r="CY1917" t="s">
        <v>183</v>
      </c>
      <c r="CZ1917" t="s">
        <v>211</v>
      </c>
      <c r="DA1917" t="s">
        <v>342</v>
      </c>
      <c r="DC1917" t="s">
        <v>7547</v>
      </c>
      <c r="DM1917" t="s">
        <v>198</v>
      </c>
      <c r="DW1917" t="s">
        <v>198</v>
      </c>
      <c r="EG1917" t="s">
        <v>198</v>
      </c>
      <c r="EQ1917" t="s">
        <v>198</v>
      </c>
      <c r="FA1917" t="s">
        <v>198</v>
      </c>
      <c r="FK1917" t="s">
        <v>198</v>
      </c>
      <c r="FU1917" t="s">
        <v>198</v>
      </c>
    </row>
    <row r="1918" spans="1:177">
      <c r="A1918" s="1" t="str">
        <f>HYPERLINK("http://digipan.lumentumllc.com/apps/getLink/index.php?t=PropLink&amp;p=6128612","PL")</f>
        <v>PL</v>
      </c>
      <c r="B1918" s="1" t="str">
        <f>HYPERLINK("http://digipan.lumentumllc.com/apps/getLink/index.php?t=TaxLink&amp;p=6128612","TL")</f>
        <v>TL</v>
      </c>
      <c r="C1918" s="1" t="str">
        <f>HYPERLINK("http://digipan.lumentumllc.com/apps/getMap/index.php?p=6128612","Map")</f>
        <v>Map</v>
      </c>
      <c r="E1918" t="s">
        <v>177</v>
      </c>
      <c r="F1918" t="s">
        <v>178</v>
      </c>
      <c r="L1918" t="s">
        <v>23017</v>
      </c>
      <c r="N1918" t="s">
        <v>23017</v>
      </c>
      <c r="O1918" t="s">
        <v>23017</v>
      </c>
      <c r="P1918" t="s">
        <v>23018</v>
      </c>
      <c r="Q1918" t="s">
        <v>23017</v>
      </c>
      <c r="V1918">
        <v>2189</v>
      </c>
      <c r="W1918">
        <v>7</v>
      </c>
      <c r="X1918">
        <v>2017</v>
      </c>
      <c r="Y1918">
        <v>2018</v>
      </c>
      <c r="Z1918">
        <v>306.64999999999998</v>
      </c>
      <c r="AB1918" t="s">
        <v>181</v>
      </c>
      <c r="AC1918" t="s">
        <v>182</v>
      </c>
      <c r="AD1918" t="s">
        <v>183</v>
      </c>
      <c r="AE1918">
        <v>0</v>
      </c>
      <c r="AF1918">
        <v>3</v>
      </c>
      <c r="AG1918" t="s">
        <v>381</v>
      </c>
      <c r="AH1918">
        <v>100</v>
      </c>
      <c r="AK1918">
        <v>0</v>
      </c>
      <c r="AL1918">
        <v>16500</v>
      </c>
      <c r="AM1918">
        <v>16500</v>
      </c>
      <c r="AN1918">
        <v>0</v>
      </c>
      <c r="AO1918">
        <v>258</v>
      </c>
      <c r="AP1918">
        <v>2016</v>
      </c>
      <c r="AQ1918">
        <v>1.86</v>
      </c>
      <c r="AS1918" t="s">
        <v>23019</v>
      </c>
      <c r="AT1918" t="s">
        <v>15040</v>
      </c>
      <c r="AU1918" t="s">
        <v>177</v>
      </c>
      <c r="AV1918" t="s">
        <v>371</v>
      </c>
      <c r="AW1918" t="s">
        <v>182</v>
      </c>
      <c r="AX1918">
        <v>0</v>
      </c>
      <c r="AY1918" t="s">
        <v>312</v>
      </c>
      <c r="AZ1918" t="s">
        <v>199</v>
      </c>
      <c r="BA1918" t="s">
        <v>313</v>
      </c>
      <c r="BB1918" t="s">
        <v>191</v>
      </c>
      <c r="BC1918" t="s">
        <v>182</v>
      </c>
      <c r="BD1918" t="s">
        <v>182</v>
      </c>
      <c r="BE1918" t="s">
        <v>12936</v>
      </c>
      <c r="BF1918">
        <v>0</v>
      </c>
      <c r="BG1918">
        <v>0</v>
      </c>
      <c r="BH1918">
        <v>0</v>
      </c>
      <c r="BI1918" t="s">
        <v>199</v>
      </c>
      <c r="BJ1918" t="s">
        <v>315</v>
      </c>
      <c r="BL1918" t="s">
        <v>199</v>
      </c>
      <c r="BM1918" t="s">
        <v>358</v>
      </c>
      <c r="BN1918" t="s">
        <v>182</v>
      </c>
      <c r="BO1918" t="s">
        <v>198</v>
      </c>
      <c r="BP1918" t="s">
        <v>198</v>
      </c>
      <c r="BQ1918" t="s">
        <v>198</v>
      </c>
      <c r="BR1918" t="s">
        <v>198</v>
      </c>
      <c r="BS1918" t="s">
        <v>198</v>
      </c>
      <c r="BT1918" t="s">
        <v>198</v>
      </c>
      <c r="BU1918" t="s">
        <v>182</v>
      </c>
      <c r="BV1918" t="s">
        <v>198</v>
      </c>
      <c r="BW1918" t="s">
        <v>198</v>
      </c>
      <c r="BX1918" t="s">
        <v>199</v>
      </c>
      <c r="BY1918" t="s">
        <v>198</v>
      </c>
      <c r="BZ1918" t="s">
        <v>199</v>
      </c>
      <c r="CA1918" t="s">
        <v>199</v>
      </c>
      <c r="CB1918" t="s">
        <v>23020</v>
      </c>
      <c r="CC1918" t="s">
        <v>201</v>
      </c>
      <c r="CD1918" t="s">
        <v>182</v>
      </c>
      <c r="CE1918" t="s">
        <v>23021</v>
      </c>
      <c r="CF1918" t="s">
        <v>23022</v>
      </c>
      <c r="CG1918" t="s">
        <v>1602</v>
      </c>
      <c r="CH1918" t="s">
        <v>23023</v>
      </c>
      <c r="CI1918" t="s">
        <v>1972</v>
      </c>
      <c r="CJ1918" t="s">
        <v>20948</v>
      </c>
      <c r="CK1918" t="s">
        <v>267</v>
      </c>
      <c r="CL1918" t="s">
        <v>268</v>
      </c>
      <c r="CM1918" t="s">
        <v>23024</v>
      </c>
      <c r="CN1918" t="s">
        <v>235</v>
      </c>
      <c r="CO1918" t="s">
        <v>183</v>
      </c>
      <c r="CP1918" t="s">
        <v>211</v>
      </c>
      <c r="CQ1918" t="s">
        <v>212</v>
      </c>
      <c r="CS1918" t="s">
        <v>15627</v>
      </c>
      <c r="CT1918" t="s">
        <v>17025</v>
      </c>
      <c r="CU1918" t="s">
        <v>273</v>
      </c>
      <c r="CV1918" t="s">
        <v>274</v>
      </c>
      <c r="CW1918" t="s">
        <v>23025</v>
      </c>
      <c r="CX1918" t="s">
        <v>235</v>
      </c>
      <c r="CY1918" t="s">
        <v>183</v>
      </c>
      <c r="CZ1918" t="s">
        <v>211</v>
      </c>
      <c r="DA1918" t="s">
        <v>206</v>
      </c>
      <c r="DC1918" t="s">
        <v>1237</v>
      </c>
      <c r="DD1918" t="s">
        <v>18368</v>
      </c>
      <c r="DE1918" t="s">
        <v>302</v>
      </c>
      <c r="DF1918" t="s">
        <v>303</v>
      </c>
      <c r="DG1918" t="s">
        <v>23026</v>
      </c>
      <c r="DH1918" t="s">
        <v>440</v>
      </c>
      <c r="DI1918" t="s">
        <v>183</v>
      </c>
      <c r="DJ1918" t="s">
        <v>211</v>
      </c>
      <c r="DK1918" t="s">
        <v>306</v>
      </c>
      <c r="DM1918" t="s">
        <v>1237</v>
      </c>
      <c r="DW1918" t="s">
        <v>198</v>
      </c>
      <c r="EG1918" t="s">
        <v>198</v>
      </c>
      <c r="EQ1918" t="s">
        <v>198</v>
      </c>
      <c r="FA1918" t="s">
        <v>198</v>
      </c>
      <c r="FK1918" t="s">
        <v>198</v>
      </c>
      <c r="FU1918" t="s">
        <v>198</v>
      </c>
    </row>
    <row r="1919" spans="1:177">
      <c r="A1919" s="1" t="str">
        <f>HYPERLINK("http://digipan.lumentumllc.com/apps/getLink/index.php?t=PropLink&amp;p=6128613","PL")</f>
        <v>PL</v>
      </c>
      <c r="B1919" s="1" t="str">
        <f>HYPERLINK("http://digipan.lumentumllc.com/apps/getLink/index.php?t=TaxLink&amp;p=6128613","TL")</f>
        <v>TL</v>
      </c>
      <c r="C1919" s="1" t="str">
        <f>HYPERLINK("http://digipan.lumentumllc.com/apps/getMap/index.php?p=6128613","Map")</f>
        <v>Map</v>
      </c>
      <c r="E1919" t="s">
        <v>177</v>
      </c>
      <c r="F1919" t="s">
        <v>178</v>
      </c>
      <c r="L1919" t="s">
        <v>23027</v>
      </c>
      <c r="N1919" t="s">
        <v>23027</v>
      </c>
      <c r="O1919" t="s">
        <v>23027</v>
      </c>
      <c r="P1919" t="s">
        <v>23028</v>
      </c>
      <c r="Q1919" t="s">
        <v>23027</v>
      </c>
      <c r="V1919">
        <v>2190</v>
      </c>
      <c r="W1919">
        <v>7</v>
      </c>
      <c r="X1919">
        <v>2017</v>
      </c>
      <c r="Y1919">
        <v>2018</v>
      </c>
      <c r="Z1919">
        <v>306.64999999999998</v>
      </c>
      <c r="AB1919" t="s">
        <v>181</v>
      </c>
      <c r="AC1919" t="s">
        <v>182</v>
      </c>
      <c r="AD1919" t="s">
        <v>183</v>
      </c>
      <c r="AE1919">
        <v>0</v>
      </c>
      <c r="AF1919">
        <v>3</v>
      </c>
      <c r="AG1919" t="s">
        <v>381</v>
      </c>
      <c r="AH1919">
        <v>100</v>
      </c>
      <c r="AK1919">
        <v>0</v>
      </c>
      <c r="AL1919">
        <v>16500</v>
      </c>
      <c r="AM1919">
        <v>16500</v>
      </c>
      <c r="AN1919">
        <v>0</v>
      </c>
      <c r="AO1919">
        <v>258</v>
      </c>
      <c r="AP1919">
        <v>2016</v>
      </c>
      <c r="AQ1919">
        <v>1.86</v>
      </c>
      <c r="AS1919" t="s">
        <v>23019</v>
      </c>
      <c r="AT1919" t="s">
        <v>15040</v>
      </c>
      <c r="AU1919" t="s">
        <v>177</v>
      </c>
      <c r="AV1919" t="s">
        <v>371</v>
      </c>
      <c r="AW1919" t="s">
        <v>182</v>
      </c>
      <c r="AX1919">
        <v>0</v>
      </c>
      <c r="AY1919" t="s">
        <v>312</v>
      </c>
      <c r="AZ1919" t="s">
        <v>199</v>
      </c>
      <c r="BA1919" t="s">
        <v>313</v>
      </c>
      <c r="BB1919" t="s">
        <v>191</v>
      </c>
      <c r="BC1919" t="s">
        <v>182</v>
      </c>
      <c r="BD1919" t="s">
        <v>182</v>
      </c>
      <c r="BE1919" t="s">
        <v>12936</v>
      </c>
      <c r="BF1919">
        <v>0</v>
      </c>
      <c r="BG1919">
        <v>0</v>
      </c>
      <c r="BH1919">
        <v>0</v>
      </c>
      <c r="BI1919" t="s">
        <v>199</v>
      </c>
      <c r="BJ1919" t="s">
        <v>315</v>
      </c>
      <c r="BL1919" t="s">
        <v>7671</v>
      </c>
      <c r="BM1919" t="s">
        <v>292</v>
      </c>
      <c r="BN1919" t="s">
        <v>182</v>
      </c>
      <c r="BO1919" t="s">
        <v>198</v>
      </c>
      <c r="BP1919" t="s">
        <v>198</v>
      </c>
      <c r="BQ1919" t="s">
        <v>198</v>
      </c>
      <c r="BR1919" t="s">
        <v>198</v>
      </c>
      <c r="BS1919" t="s">
        <v>198</v>
      </c>
      <c r="BT1919" t="s">
        <v>198</v>
      </c>
      <c r="BU1919" t="s">
        <v>182</v>
      </c>
      <c r="BV1919" t="s">
        <v>198</v>
      </c>
      <c r="BW1919" t="s">
        <v>198</v>
      </c>
      <c r="BX1919" t="s">
        <v>199</v>
      </c>
      <c r="BY1919" t="s">
        <v>198</v>
      </c>
      <c r="BZ1919" t="s">
        <v>199</v>
      </c>
      <c r="CA1919" t="s">
        <v>199</v>
      </c>
      <c r="CB1919" t="s">
        <v>23020</v>
      </c>
      <c r="CC1919" t="s">
        <v>201</v>
      </c>
      <c r="CD1919" t="s">
        <v>182</v>
      </c>
      <c r="CE1919" t="s">
        <v>23021</v>
      </c>
      <c r="CF1919" t="s">
        <v>23022</v>
      </c>
      <c r="CG1919" t="s">
        <v>1602</v>
      </c>
      <c r="CH1919" t="s">
        <v>23023</v>
      </c>
      <c r="CI1919" t="s">
        <v>629</v>
      </c>
      <c r="CJ1919" t="s">
        <v>3998</v>
      </c>
      <c r="CK1919" t="s">
        <v>267</v>
      </c>
      <c r="CL1919" t="s">
        <v>268</v>
      </c>
      <c r="CM1919" t="s">
        <v>23024</v>
      </c>
      <c r="CN1919" t="s">
        <v>235</v>
      </c>
      <c r="CO1919" t="s">
        <v>183</v>
      </c>
      <c r="CP1919" t="s">
        <v>211</v>
      </c>
      <c r="CQ1919" t="s">
        <v>212</v>
      </c>
      <c r="CS1919" t="s">
        <v>15627</v>
      </c>
      <c r="CT1919" t="s">
        <v>9772</v>
      </c>
      <c r="CU1919" t="s">
        <v>273</v>
      </c>
      <c r="CV1919" t="s">
        <v>274</v>
      </c>
      <c r="CW1919" t="s">
        <v>23025</v>
      </c>
      <c r="CX1919" t="s">
        <v>235</v>
      </c>
      <c r="CY1919" t="s">
        <v>183</v>
      </c>
      <c r="CZ1919" t="s">
        <v>211</v>
      </c>
      <c r="DA1919" t="s">
        <v>206</v>
      </c>
      <c r="DC1919" t="s">
        <v>1237</v>
      </c>
      <c r="DD1919" t="s">
        <v>18394</v>
      </c>
      <c r="DE1919" t="s">
        <v>302</v>
      </c>
      <c r="DF1919" t="s">
        <v>303</v>
      </c>
      <c r="DG1919" t="s">
        <v>23026</v>
      </c>
      <c r="DH1919" t="s">
        <v>440</v>
      </c>
      <c r="DI1919" t="s">
        <v>183</v>
      </c>
      <c r="DJ1919" t="s">
        <v>211</v>
      </c>
      <c r="DK1919" t="s">
        <v>306</v>
      </c>
      <c r="DM1919" t="s">
        <v>1237</v>
      </c>
      <c r="DW1919" t="s">
        <v>198</v>
      </c>
      <c r="EG1919" t="s">
        <v>198</v>
      </c>
      <c r="EQ1919" t="s">
        <v>198</v>
      </c>
      <c r="FA1919" t="s">
        <v>198</v>
      </c>
      <c r="FK1919" t="s">
        <v>198</v>
      </c>
      <c r="FU1919" t="s">
        <v>198</v>
      </c>
    </row>
    <row r="1920" spans="1:177">
      <c r="A1920" s="1" t="str">
        <f>HYPERLINK("http://digipan.lumentumllc.com/apps/getLink/index.php?t=PropLink&amp;p=5243971","PL")</f>
        <v>PL</v>
      </c>
      <c r="B1920" s="1" t="str">
        <f>HYPERLINK("http://digipan.lumentumllc.com/apps/getLink/index.php?t=TaxLink&amp;p=5243971","TL")</f>
        <v>TL</v>
      </c>
      <c r="C1920" s="1" t="str">
        <f>HYPERLINK("http://digipan.lumentumllc.com/apps/getMap/index.php?p=5243971","Map")</f>
        <v>Map</v>
      </c>
      <c r="E1920" t="s">
        <v>177</v>
      </c>
      <c r="F1920" t="s">
        <v>178</v>
      </c>
      <c r="L1920" t="s">
        <v>23029</v>
      </c>
      <c r="N1920" t="s">
        <v>23029</v>
      </c>
      <c r="O1920" t="s">
        <v>23029</v>
      </c>
      <c r="P1920" t="s">
        <v>23030</v>
      </c>
      <c r="Q1920" t="s">
        <v>23029</v>
      </c>
      <c r="V1920">
        <v>2192</v>
      </c>
      <c r="W1920">
        <v>7</v>
      </c>
      <c r="X1920">
        <v>2017</v>
      </c>
      <c r="Y1920">
        <v>2018</v>
      </c>
      <c r="Z1920">
        <v>581.28</v>
      </c>
      <c r="AG1920" t="s">
        <v>184</v>
      </c>
      <c r="AH1920">
        <v>0</v>
      </c>
      <c r="AK1920">
        <v>0</v>
      </c>
      <c r="AL1920">
        <v>33000</v>
      </c>
      <c r="AM1920">
        <v>33000</v>
      </c>
      <c r="AN1920">
        <v>0</v>
      </c>
      <c r="AO1920">
        <v>515</v>
      </c>
      <c r="AP1920">
        <v>2016</v>
      </c>
      <c r="AQ1920">
        <v>1.76</v>
      </c>
      <c r="AS1920" t="s">
        <v>23031</v>
      </c>
      <c r="AT1920" t="s">
        <v>15040</v>
      </c>
      <c r="AU1920" t="s">
        <v>177</v>
      </c>
      <c r="AV1920" t="s">
        <v>371</v>
      </c>
      <c r="AW1920" t="s">
        <v>182</v>
      </c>
      <c r="AX1920">
        <v>0</v>
      </c>
      <c r="AY1920" t="s">
        <v>312</v>
      </c>
      <c r="AZ1920" t="s">
        <v>199</v>
      </c>
      <c r="BA1920" t="s">
        <v>313</v>
      </c>
      <c r="BB1920" t="s">
        <v>191</v>
      </c>
      <c r="BC1920" t="s">
        <v>182</v>
      </c>
      <c r="BD1920" t="s">
        <v>182</v>
      </c>
      <c r="BE1920" t="s">
        <v>5992</v>
      </c>
      <c r="BF1920">
        <v>0</v>
      </c>
      <c r="BG1920">
        <v>0</v>
      </c>
      <c r="BH1920">
        <v>0</v>
      </c>
      <c r="BI1920" t="s">
        <v>199</v>
      </c>
      <c r="BJ1920" t="s">
        <v>248</v>
      </c>
      <c r="BL1920" t="s">
        <v>199</v>
      </c>
      <c r="BM1920" t="s">
        <v>1742</v>
      </c>
      <c r="BN1920" t="s">
        <v>182</v>
      </c>
      <c r="BO1920" t="s">
        <v>198</v>
      </c>
      <c r="BP1920" t="s">
        <v>198</v>
      </c>
      <c r="BQ1920" t="s">
        <v>198</v>
      </c>
      <c r="BR1920" t="s">
        <v>198</v>
      </c>
      <c r="BS1920" t="s">
        <v>198</v>
      </c>
      <c r="BT1920" t="s">
        <v>198</v>
      </c>
      <c r="BU1920" t="s">
        <v>182</v>
      </c>
      <c r="BV1920" t="s">
        <v>198</v>
      </c>
      <c r="BW1920" t="s">
        <v>198</v>
      </c>
      <c r="BX1920" t="s">
        <v>199</v>
      </c>
      <c r="BY1920" t="s">
        <v>198</v>
      </c>
      <c r="BZ1920" t="s">
        <v>199</v>
      </c>
      <c r="CA1920" t="s">
        <v>199</v>
      </c>
      <c r="CB1920" t="s">
        <v>23032</v>
      </c>
      <c r="CC1920" t="s">
        <v>201</v>
      </c>
      <c r="CD1920" t="s">
        <v>182</v>
      </c>
      <c r="CE1920" t="s">
        <v>23033</v>
      </c>
      <c r="CF1920" t="s">
        <v>413</v>
      </c>
      <c r="CG1920" t="s">
        <v>177</v>
      </c>
      <c r="CH1920" t="s">
        <v>5741</v>
      </c>
      <c r="CI1920" t="s">
        <v>23034</v>
      </c>
      <c r="CS1920" t="s">
        <v>198</v>
      </c>
      <c r="DC1920" t="s">
        <v>198</v>
      </c>
      <c r="DM1920" t="s">
        <v>198</v>
      </c>
      <c r="DW1920" t="s">
        <v>198</v>
      </c>
      <c r="EG1920" t="s">
        <v>198</v>
      </c>
      <c r="EQ1920" t="s">
        <v>198</v>
      </c>
      <c r="FA1920" t="s">
        <v>198</v>
      </c>
      <c r="FK1920" t="s">
        <v>198</v>
      </c>
      <c r="FU1920" t="s">
        <v>198</v>
      </c>
    </row>
    <row r="1921" spans="1:177">
      <c r="A1921" s="1" t="str">
        <f>HYPERLINK("http://digipan.lumentumllc.com/apps/getLink/index.php?t=PropLink&amp;p=6461611","PL")</f>
        <v>PL</v>
      </c>
      <c r="B1921" s="1" t="str">
        <f>HYPERLINK("http://digipan.lumentumllc.com/apps/getLink/index.php?t=TaxLink&amp;p=6461611","TL")</f>
        <v>TL</v>
      </c>
      <c r="C1921" s="1" t="str">
        <f>HYPERLINK("http://digipan.lumentumllc.com/apps/getMap/index.php?p=6461611","Map")</f>
        <v>Map</v>
      </c>
      <c r="E1921" t="s">
        <v>177</v>
      </c>
      <c r="F1921" t="s">
        <v>178</v>
      </c>
      <c r="L1921" t="s">
        <v>23035</v>
      </c>
      <c r="N1921" t="s">
        <v>23035</v>
      </c>
      <c r="O1921" t="s">
        <v>23035</v>
      </c>
      <c r="P1921" t="s">
        <v>23036</v>
      </c>
      <c r="Q1921" t="s">
        <v>23035</v>
      </c>
      <c r="V1921">
        <v>2194</v>
      </c>
      <c r="W1921">
        <v>7</v>
      </c>
      <c r="X1921">
        <v>2017</v>
      </c>
      <c r="Y1921">
        <v>2018</v>
      </c>
      <c r="Z1921">
        <v>1241.1300000000001</v>
      </c>
      <c r="AB1921" t="s">
        <v>181</v>
      </c>
      <c r="AC1921" t="s">
        <v>182</v>
      </c>
      <c r="AD1921" t="s">
        <v>183</v>
      </c>
      <c r="AE1921">
        <v>1</v>
      </c>
      <c r="AF1921">
        <v>4</v>
      </c>
      <c r="AG1921" t="s">
        <v>951</v>
      </c>
      <c r="AH1921">
        <v>80</v>
      </c>
      <c r="AI1921">
        <v>1179.8</v>
      </c>
      <c r="AJ1921">
        <v>58.99</v>
      </c>
      <c r="AK1921">
        <v>1238.79</v>
      </c>
      <c r="AL1921">
        <v>111073</v>
      </c>
      <c r="AM1921">
        <v>50000</v>
      </c>
      <c r="AN1921">
        <v>61073</v>
      </c>
      <c r="AO1921">
        <v>1066</v>
      </c>
      <c r="AP1921">
        <v>2016</v>
      </c>
      <c r="AQ1921">
        <v>1.1200000000000001</v>
      </c>
      <c r="AR1921">
        <v>1.1200000000000001</v>
      </c>
      <c r="AS1921" t="s">
        <v>23037</v>
      </c>
      <c r="AT1921" t="s">
        <v>15040</v>
      </c>
      <c r="AU1921" t="s">
        <v>177</v>
      </c>
      <c r="AV1921" t="s">
        <v>371</v>
      </c>
      <c r="AW1921" t="s">
        <v>202</v>
      </c>
      <c r="AX1921">
        <v>1</v>
      </c>
      <c r="AY1921" t="s">
        <v>188</v>
      </c>
      <c r="AZ1921" t="s">
        <v>206</v>
      </c>
      <c r="BA1921" t="s">
        <v>355</v>
      </c>
      <c r="BB1921" t="s">
        <v>191</v>
      </c>
      <c r="BC1921" t="s">
        <v>182</v>
      </c>
      <c r="BD1921" t="s">
        <v>182</v>
      </c>
      <c r="BE1921" t="s">
        <v>3682</v>
      </c>
      <c r="BF1921">
        <v>1</v>
      </c>
      <c r="BG1921">
        <v>1</v>
      </c>
      <c r="BH1921">
        <v>1958</v>
      </c>
      <c r="BI1921" t="s">
        <v>16638</v>
      </c>
      <c r="BJ1921" t="s">
        <v>194</v>
      </c>
      <c r="BK1921" t="s">
        <v>195</v>
      </c>
      <c r="BL1921" t="s">
        <v>199</v>
      </c>
      <c r="BM1921" t="s">
        <v>358</v>
      </c>
      <c r="BN1921" t="s">
        <v>182</v>
      </c>
      <c r="BO1921" t="s">
        <v>198</v>
      </c>
      <c r="BP1921" t="s">
        <v>198</v>
      </c>
      <c r="BQ1921" t="s">
        <v>198</v>
      </c>
      <c r="BR1921" t="s">
        <v>198</v>
      </c>
      <c r="BS1921" t="s">
        <v>198</v>
      </c>
      <c r="BT1921" t="s">
        <v>198</v>
      </c>
      <c r="BU1921" t="s">
        <v>182</v>
      </c>
      <c r="BV1921" t="s">
        <v>198</v>
      </c>
      <c r="BW1921" t="s">
        <v>198</v>
      </c>
      <c r="BX1921" t="s">
        <v>199</v>
      </c>
      <c r="BY1921" t="s">
        <v>198</v>
      </c>
      <c r="BZ1921" t="s">
        <v>199</v>
      </c>
      <c r="CA1921" t="s">
        <v>199</v>
      </c>
      <c r="CB1921" t="s">
        <v>23038</v>
      </c>
      <c r="CC1921" t="s">
        <v>201</v>
      </c>
      <c r="CD1921" t="s">
        <v>202</v>
      </c>
      <c r="CE1921" t="s">
        <v>23039</v>
      </c>
      <c r="CF1921" t="s">
        <v>5331</v>
      </c>
      <c r="CG1921" t="s">
        <v>177</v>
      </c>
      <c r="CH1921" t="s">
        <v>371</v>
      </c>
      <c r="CI1921" t="s">
        <v>15517</v>
      </c>
      <c r="CJ1921" t="s">
        <v>12090</v>
      </c>
      <c r="CK1921" t="s">
        <v>232</v>
      </c>
      <c r="CL1921" t="s">
        <v>233</v>
      </c>
      <c r="CM1921" t="s">
        <v>23040</v>
      </c>
      <c r="CN1921" t="s">
        <v>235</v>
      </c>
      <c r="CO1921" t="s">
        <v>183</v>
      </c>
      <c r="CP1921" t="s">
        <v>266</v>
      </c>
      <c r="CS1921" t="s">
        <v>198</v>
      </c>
      <c r="CT1921" t="s">
        <v>16049</v>
      </c>
      <c r="CU1921" t="s">
        <v>292</v>
      </c>
      <c r="CV1921" t="s">
        <v>293</v>
      </c>
      <c r="CW1921" t="s">
        <v>23041</v>
      </c>
      <c r="CX1921" t="s">
        <v>235</v>
      </c>
      <c r="CY1921" t="s">
        <v>183</v>
      </c>
      <c r="CZ1921" t="s">
        <v>211</v>
      </c>
      <c r="DA1921" t="s">
        <v>345</v>
      </c>
      <c r="DC1921" t="s">
        <v>7659</v>
      </c>
      <c r="DD1921" t="s">
        <v>20995</v>
      </c>
      <c r="DE1921" t="s">
        <v>267</v>
      </c>
      <c r="DF1921" t="s">
        <v>268</v>
      </c>
      <c r="DG1921" t="s">
        <v>23042</v>
      </c>
      <c r="DH1921" t="s">
        <v>235</v>
      </c>
      <c r="DI1921" t="s">
        <v>183</v>
      </c>
      <c r="DJ1921" t="s">
        <v>211</v>
      </c>
      <c r="DK1921" t="s">
        <v>298</v>
      </c>
      <c r="DM1921" t="s">
        <v>2096</v>
      </c>
      <c r="DN1921" t="s">
        <v>17137</v>
      </c>
      <c r="DO1921" t="s">
        <v>273</v>
      </c>
      <c r="DP1921" t="s">
        <v>274</v>
      </c>
      <c r="DQ1921" t="s">
        <v>23043</v>
      </c>
      <c r="DR1921" t="s">
        <v>235</v>
      </c>
      <c r="DS1921" t="s">
        <v>183</v>
      </c>
      <c r="DT1921" t="s">
        <v>211</v>
      </c>
      <c r="DU1921" t="s">
        <v>345</v>
      </c>
      <c r="DW1921" t="s">
        <v>7476</v>
      </c>
      <c r="DX1921" t="s">
        <v>3321</v>
      </c>
      <c r="DY1921" t="s">
        <v>302</v>
      </c>
      <c r="DZ1921" t="s">
        <v>303</v>
      </c>
      <c r="EA1921" t="s">
        <v>23044</v>
      </c>
      <c r="EB1921" t="s">
        <v>235</v>
      </c>
      <c r="EC1921" t="s">
        <v>183</v>
      </c>
      <c r="ED1921" t="s">
        <v>211</v>
      </c>
      <c r="EE1921" t="s">
        <v>345</v>
      </c>
      <c r="EG1921" t="s">
        <v>2598</v>
      </c>
      <c r="EQ1921" t="s">
        <v>198</v>
      </c>
      <c r="FA1921" t="s">
        <v>198</v>
      </c>
      <c r="FK1921" t="s">
        <v>198</v>
      </c>
      <c r="FU1921" t="s">
        <v>198</v>
      </c>
    </row>
    <row r="1922" spans="1:177">
      <c r="A1922" s="1" t="str">
        <f>HYPERLINK("http://digipan.lumentumllc.com/apps/getLink/index.php?t=PropLink&amp;p=6594007","PL")</f>
        <v>PL</v>
      </c>
      <c r="B1922" s="1" t="str">
        <f>HYPERLINK("http://digipan.lumentumllc.com/apps/getLink/index.php?t=TaxLink&amp;p=6594007","TL")</f>
        <v>TL</v>
      </c>
      <c r="C1922" s="1" t="str">
        <f>HYPERLINK("http://digipan.lumentumllc.com/apps/getMap/index.php?p=6594007","Map")</f>
        <v>Map</v>
      </c>
      <c r="E1922" t="s">
        <v>177</v>
      </c>
      <c r="F1922" t="s">
        <v>178</v>
      </c>
      <c r="L1922" t="s">
        <v>23045</v>
      </c>
      <c r="N1922" t="s">
        <v>23045</v>
      </c>
      <c r="O1922" t="s">
        <v>23045</v>
      </c>
      <c r="P1922" t="s">
        <v>23046</v>
      </c>
      <c r="Q1922" t="s">
        <v>23045</v>
      </c>
      <c r="V1922">
        <v>2196</v>
      </c>
      <c r="W1922">
        <v>7</v>
      </c>
      <c r="X1922">
        <v>2017</v>
      </c>
      <c r="Y1922">
        <v>2018</v>
      </c>
      <c r="Z1922">
        <v>3623.2</v>
      </c>
      <c r="AB1922" t="s">
        <v>181</v>
      </c>
      <c r="AC1922" t="s">
        <v>182</v>
      </c>
      <c r="AD1922" t="s">
        <v>183</v>
      </c>
      <c r="AE1922">
        <v>0</v>
      </c>
      <c r="AF1922">
        <v>2</v>
      </c>
      <c r="AG1922" t="s">
        <v>216</v>
      </c>
      <c r="AH1922">
        <v>100</v>
      </c>
      <c r="AK1922">
        <v>0</v>
      </c>
      <c r="AL1922">
        <v>215756</v>
      </c>
      <c r="AM1922">
        <v>100000</v>
      </c>
      <c r="AN1922">
        <v>115756</v>
      </c>
      <c r="AO1922">
        <v>3224</v>
      </c>
      <c r="AP1922">
        <v>2016</v>
      </c>
      <c r="AQ1922">
        <v>1.68</v>
      </c>
      <c r="AS1922" t="s">
        <v>23047</v>
      </c>
      <c r="AT1922" t="s">
        <v>15040</v>
      </c>
      <c r="AU1922" t="s">
        <v>177</v>
      </c>
      <c r="AV1922" t="s">
        <v>371</v>
      </c>
      <c r="AW1922" t="s">
        <v>182</v>
      </c>
      <c r="AX1922">
        <v>1</v>
      </c>
      <c r="AY1922" t="s">
        <v>188</v>
      </c>
      <c r="AZ1922" t="s">
        <v>206</v>
      </c>
      <c r="BA1922" t="s">
        <v>355</v>
      </c>
      <c r="BB1922" t="s">
        <v>191</v>
      </c>
      <c r="BC1922" t="s">
        <v>182</v>
      </c>
      <c r="BD1922" t="s">
        <v>182</v>
      </c>
      <c r="BE1922" t="s">
        <v>9756</v>
      </c>
      <c r="BF1922">
        <v>1</v>
      </c>
      <c r="BG1922">
        <v>1</v>
      </c>
      <c r="BH1922">
        <v>1983</v>
      </c>
      <c r="BI1922" t="s">
        <v>23048</v>
      </c>
      <c r="BJ1922" t="s">
        <v>396</v>
      </c>
      <c r="BK1922" t="s">
        <v>195</v>
      </c>
      <c r="BL1922" t="s">
        <v>1282</v>
      </c>
      <c r="BM1922" t="s">
        <v>238</v>
      </c>
      <c r="BN1922" t="s">
        <v>182</v>
      </c>
      <c r="BO1922" t="s">
        <v>17481</v>
      </c>
      <c r="BP1922" t="s">
        <v>23049</v>
      </c>
      <c r="BQ1922" t="s">
        <v>800</v>
      </c>
      <c r="BR1922" t="s">
        <v>563</v>
      </c>
      <c r="BS1922" t="s">
        <v>198</v>
      </c>
      <c r="BT1922" t="s">
        <v>23050</v>
      </c>
      <c r="BU1922" t="s">
        <v>182</v>
      </c>
      <c r="BV1922" t="s">
        <v>198</v>
      </c>
      <c r="BW1922" t="s">
        <v>198</v>
      </c>
      <c r="BX1922" t="s">
        <v>199</v>
      </c>
      <c r="BY1922" t="s">
        <v>198</v>
      </c>
      <c r="BZ1922" t="s">
        <v>199</v>
      </c>
      <c r="CA1922" t="s">
        <v>199</v>
      </c>
      <c r="CB1922" t="s">
        <v>23051</v>
      </c>
      <c r="CC1922" t="s">
        <v>201</v>
      </c>
      <c r="CD1922" t="s">
        <v>182</v>
      </c>
      <c r="CE1922" t="s">
        <v>23052</v>
      </c>
      <c r="CF1922" t="s">
        <v>23053</v>
      </c>
      <c r="CG1922" t="s">
        <v>6826</v>
      </c>
      <c r="CH1922" t="s">
        <v>23054</v>
      </c>
      <c r="CI1922" t="s">
        <v>1161</v>
      </c>
      <c r="CJ1922" t="s">
        <v>23055</v>
      </c>
      <c r="CK1922" t="s">
        <v>267</v>
      </c>
      <c r="CL1922" t="s">
        <v>268</v>
      </c>
      <c r="CM1922" t="s">
        <v>23056</v>
      </c>
      <c r="CN1922" t="s">
        <v>235</v>
      </c>
      <c r="CO1922" t="s">
        <v>183</v>
      </c>
      <c r="CP1922" t="s">
        <v>211</v>
      </c>
      <c r="CQ1922" t="s">
        <v>342</v>
      </c>
      <c r="CS1922" t="s">
        <v>4483</v>
      </c>
      <c r="CT1922" t="s">
        <v>23057</v>
      </c>
      <c r="CU1922" t="s">
        <v>273</v>
      </c>
      <c r="CV1922" t="s">
        <v>274</v>
      </c>
      <c r="CW1922" t="s">
        <v>23058</v>
      </c>
      <c r="CX1922" t="s">
        <v>235</v>
      </c>
      <c r="CY1922" t="s">
        <v>183</v>
      </c>
      <c r="CZ1922" t="s">
        <v>211</v>
      </c>
      <c r="DA1922" t="s">
        <v>345</v>
      </c>
      <c r="DC1922" t="s">
        <v>4483</v>
      </c>
      <c r="DM1922" t="s">
        <v>198</v>
      </c>
      <c r="DW1922" t="s">
        <v>198</v>
      </c>
      <c r="EG1922" t="s">
        <v>198</v>
      </c>
      <c r="EQ1922" t="s">
        <v>198</v>
      </c>
      <c r="FA1922" t="s">
        <v>198</v>
      </c>
      <c r="FK1922" t="s">
        <v>198</v>
      </c>
      <c r="FU1922" t="s">
        <v>198</v>
      </c>
    </row>
    <row r="1923" spans="1:177">
      <c r="A1923" s="1" t="str">
        <f>HYPERLINK("http://digipan.lumentumllc.com/apps/getLink/index.php?t=PropLink&amp;p=6594010","PL")</f>
        <v>PL</v>
      </c>
      <c r="B1923" s="1" t="str">
        <f>HYPERLINK("http://digipan.lumentumllc.com/apps/getLink/index.php?t=TaxLink&amp;p=6594010","TL")</f>
        <v>TL</v>
      </c>
      <c r="C1923" s="1" t="str">
        <f>HYPERLINK("http://digipan.lumentumllc.com/apps/getMap/index.php?p=6594010","Map")</f>
        <v>Map</v>
      </c>
      <c r="E1923" t="s">
        <v>177</v>
      </c>
      <c r="F1923" t="s">
        <v>178</v>
      </c>
      <c r="L1923" t="s">
        <v>23059</v>
      </c>
      <c r="N1923" t="s">
        <v>23059</v>
      </c>
      <c r="O1923" t="s">
        <v>23059</v>
      </c>
      <c r="P1923" t="s">
        <v>23060</v>
      </c>
      <c r="Q1923" t="s">
        <v>23059</v>
      </c>
      <c r="V1923">
        <v>2198</v>
      </c>
      <c r="W1923">
        <v>7</v>
      </c>
      <c r="X1923">
        <v>2017</v>
      </c>
      <c r="Y1923">
        <v>2018</v>
      </c>
      <c r="Z1923">
        <v>2026.27</v>
      </c>
      <c r="AB1923" t="s">
        <v>181</v>
      </c>
      <c r="AC1923" t="s">
        <v>182</v>
      </c>
      <c r="AD1923" t="s">
        <v>183</v>
      </c>
      <c r="AE1923">
        <v>1</v>
      </c>
      <c r="AF1923">
        <v>1</v>
      </c>
      <c r="AG1923" t="s">
        <v>2222</v>
      </c>
      <c r="AH1923">
        <v>50</v>
      </c>
      <c r="AI1923">
        <v>2052.89</v>
      </c>
      <c r="AJ1923">
        <v>102.64</v>
      </c>
      <c r="AK1923">
        <v>2155.5300000000002</v>
      </c>
      <c r="AL1923">
        <v>92520</v>
      </c>
      <c r="AM1923">
        <v>0</v>
      </c>
      <c r="AN1923">
        <v>92520</v>
      </c>
      <c r="AO1923">
        <v>1873</v>
      </c>
      <c r="AP1923">
        <v>2016</v>
      </c>
      <c r="AQ1923">
        <v>2.19</v>
      </c>
      <c r="AR1923">
        <v>2.33</v>
      </c>
      <c r="AS1923" t="s">
        <v>23061</v>
      </c>
      <c r="AT1923" t="s">
        <v>15040</v>
      </c>
      <c r="AU1923" t="s">
        <v>177</v>
      </c>
      <c r="AV1923" t="s">
        <v>371</v>
      </c>
      <c r="AW1923" t="s">
        <v>182</v>
      </c>
      <c r="AX1923">
        <v>4</v>
      </c>
      <c r="AY1923" t="s">
        <v>188</v>
      </c>
      <c r="AZ1923" t="s">
        <v>296</v>
      </c>
      <c r="BA1923" t="s">
        <v>19069</v>
      </c>
      <c r="BB1923" t="s">
        <v>191</v>
      </c>
      <c r="BC1923" t="s">
        <v>182</v>
      </c>
      <c r="BD1923" t="s">
        <v>182</v>
      </c>
      <c r="BE1923" t="s">
        <v>1722</v>
      </c>
      <c r="BF1923">
        <v>1</v>
      </c>
      <c r="BG1923">
        <v>1</v>
      </c>
      <c r="BH1923">
        <v>2003</v>
      </c>
      <c r="BI1923" t="s">
        <v>8013</v>
      </c>
      <c r="BJ1923" t="s">
        <v>194</v>
      </c>
      <c r="BL1923" t="s">
        <v>23062</v>
      </c>
      <c r="BM1923" t="s">
        <v>267</v>
      </c>
      <c r="BN1923" t="s">
        <v>182</v>
      </c>
      <c r="BO1923" t="s">
        <v>23063</v>
      </c>
      <c r="BP1923" t="s">
        <v>23064</v>
      </c>
      <c r="BQ1923" t="s">
        <v>17625</v>
      </c>
      <c r="BS1923" t="s">
        <v>15609</v>
      </c>
      <c r="BT1923" t="s">
        <v>198</v>
      </c>
      <c r="BU1923" t="s">
        <v>182</v>
      </c>
      <c r="BV1923" t="s">
        <v>198</v>
      </c>
      <c r="BW1923" t="s">
        <v>198</v>
      </c>
      <c r="BX1923" t="s">
        <v>199</v>
      </c>
      <c r="BY1923" t="s">
        <v>198</v>
      </c>
      <c r="BZ1923" t="s">
        <v>199</v>
      </c>
      <c r="CA1923" t="s">
        <v>199</v>
      </c>
      <c r="CB1923" t="s">
        <v>23065</v>
      </c>
      <c r="CC1923" t="s">
        <v>201</v>
      </c>
      <c r="CD1923" t="s">
        <v>182</v>
      </c>
      <c r="CE1923" t="s">
        <v>23066</v>
      </c>
      <c r="CF1923" t="s">
        <v>5331</v>
      </c>
      <c r="CG1923" t="s">
        <v>177</v>
      </c>
      <c r="CH1923" t="s">
        <v>371</v>
      </c>
      <c r="CI1923" t="s">
        <v>23067</v>
      </c>
      <c r="CJ1923" t="s">
        <v>12174</v>
      </c>
      <c r="CK1923" t="s">
        <v>232</v>
      </c>
      <c r="CL1923" t="s">
        <v>233</v>
      </c>
      <c r="CM1923" t="s">
        <v>23068</v>
      </c>
      <c r="CN1923" t="s">
        <v>235</v>
      </c>
      <c r="CO1923" t="s">
        <v>183</v>
      </c>
      <c r="CP1923" t="s">
        <v>266</v>
      </c>
      <c r="CS1923" t="s">
        <v>198</v>
      </c>
      <c r="CT1923" t="s">
        <v>21038</v>
      </c>
      <c r="CU1923" t="s">
        <v>267</v>
      </c>
      <c r="CV1923" t="s">
        <v>268</v>
      </c>
      <c r="CW1923" t="s">
        <v>23069</v>
      </c>
      <c r="CX1923" t="s">
        <v>235</v>
      </c>
      <c r="CY1923" t="s">
        <v>183</v>
      </c>
      <c r="CZ1923" t="s">
        <v>211</v>
      </c>
      <c r="DA1923" t="s">
        <v>199</v>
      </c>
      <c r="DC1923" t="s">
        <v>2404</v>
      </c>
      <c r="DM1923" t="s">
        <v>198</v>
      </c>
      <c r="DW1923" t="s">
        <v>198</v>
      </c>
      <c r="EG1923" t="s">
        <v>198</v>
      </c>
      <c r="EQ1923" t="s">
        <v>198</v>
      </c>
      <c r="FA1923" t="s">
        <v>198</v>
      </c>
      <c r="FK1923" t="s">
        <v>198</v>
      </c>
      <c r="FU1923" t="s">
        <v>198</v>
      </c>
    </row>
    <row r="1924" spans="1:177">
      <c r="A1924" s="1" t="str">
        <f>HYPERLINK("http://digipan.lumentumllc.com/apps/getLink/index.php?t=PropLink&amp;p=5243984","PL")</f>
        <v>PL</v>
      </c>
      <c r="B1924" s="1" t="str">
        <f>HYPERLINK("http://digipan.lumentumllc.com/apps/getLink/index.php?t=TaxLink&amp;p=5243984","TL")</f>
        <v>TL</v>
      </c>
      <c r="C1924" s="1" t="str">
        <f>HYPERLINK("http://digipan.lumentumllc.com/apps/getMap/index.php?p=5243984","Map")</f>
        <v>Map</v>
      </c>
      <c r="E1924" t="s">
        <v>177</v>
      </c>
      <c r="F1924" t="s">
        <v>178</v>
      </c>
      <c r="L1924" t="s">
        <v>23070</v>
      </c>
      <c r="N1924" t="s">
        <v>23070</v>
      </c>
      <c r="O1924" t="s">
        <v>23070</v>
      </c>
      <c r="P1924" t="s">
        <v>23071</v>
      </c>
      <c r="Q1924" t="s">
        <v>23070</v>
      </c>
      <c r="V1924">
        <v>2199</v>
      </c>
      <c r="W1924">
        <v>7</v>
      </c>
      <c r="X1924">
        <v>2017</v>
      </c>
      <c r="Y1924">
        <v>2018</v>
      </c>
      <c r="Z1924">
        <v>2978.14</v>
      </c>
      <c r="AB1924" t="s">
        <v>181</v>
      </c>
      <c r="AC1924" t="s">
        <v>182</v>
      </c>
      <c r="AD1924" t="s">
        <v>183</v>
      </c>
      <c r="AE1924">
        <v>0</v>
      </c>
      <c r="AF1924">
        <v>7</v>
      </c>
      <c r="AG1924" t="s">
        <v>528</v>
      </c>
      <c r="AH1924">
        <v>100</v>
      </c>
      <c r="AK1924">
        <v>0</v>
      </c>
      <c r="AL1924">
        <v>136680</v>
      </c>
      <c r="AM1924">
        <v>0</v>
      </c>
      <c r="AN1924">
        <v>136680</v>
      </c>
      <c r="AO1924">
        <v>0</v>
      </c>
      <c r="AP1924">
        <v>0</v>
      </c>
      <c r="AQ1924">
        <v>2.1800000000000002</v>
      </c>
      <c r="AS1924" t="s">
        <v>23072</v>
      </c>
      <c r="AT1924" t="s">
        <v>15040</v>
      </c>
      <c r="AU1924" t="s">
        <v>177</v>
      </c>
      <c r="AV1924" t="s">
        <v>371</v>
      </c>
      <c r="AW1924" t="s">
        <v>182</v>
      </c>
      <c r="AX1924">
        <v>4</v>
      </c>
      <c r="AY1924" t="s">
        <v>188</v>
      </c>
      <c r="AZ1924" t="s">
        <v>296</v>
      </c>
      <c r="BA1924" t="s">
        <v>19069</v>
      </c>
      <c r="BB1924" t="s">
        <v>191</v>
      </c>
      <c r="BC1924" t="s">
        <v>182</v>
      </c>
      <c r="BD1924" t="s">
        <v>182</v>
      </c>
      <c r="BE1924" t="s">
        <v>1722</v>
      </c>
      <c r="BF1924">
        <v>1</v>
      </c>
      <c r="BG1924">
        <v>1</v>
      </c>
      <c r="BH1924">
        <v>2003</v>
      </c>
      <c r="BI1924" t="s">
        <v>14078</v>
      </c>
      <c r="BJ1924" t="s">
        <v>194</v>
      </c>
      <c r="BL1924" t="s">
        <v>23073</v>
      </c>
      <c r="BM1924" t="s">
        <v>533</v>
      </c>
      <c r="BN1924" t="s">
        <v>182</v>
      </c>
      <c r="BO1924" t="s">
        <v>198</v>
      </c>
      <c r="BP1924" t="s">
        <v>198</v>
      </c>
      <c r="BQ1924" t="s">
        <v>198</v>
      </c>
      <c r="BR1924" t="s">
        <v>198</v>
      </c>
      <c r="BS1924" t="s">
        <v>198</v>
      </c>
      <c r="BT1924" t="s">
        <v>198</v>
      </c>
      <c r="BU1924" t="s">
        <v>182</v>
      </c>
      <c r="BV1924" t="s">
        <v>198</v>
      </c>
      <c r="BW1924" t="s">
        <v>198</v>
      </c>
      <c r="BX1924" t="s">
        <v>199</v>
      </c>
      <c r="BY1924" t="s">
        <v>198</v>
      </c>
      <c r="BZ1924" t="s">
        <v>199</v>
      </c>
      <c r="CA1924" t="s">
        <v>199</v>
      </c>
      <c r="CB1924" t="s">
        <v>23074</v>
      </c>
      <c r="CC1924" t="s">
        <v>201</v>
      </c>
      <c r="CD1924" t="s">
        <v>182</v>
      </c>
      <c r="CE1924" t="s">
        <v>23075</v>
      </c>
      <c r="CF1924" t="s">
        <v>5331</v>
      </c>
      <c r="CG1924" t="s">
        <v>177</v>
      </c>
      <c r="CH1924" t="s">
        <v>371</v>
      </c>
      <c r="CI1924" t="s">
        <v>23076</v>
      </c>
      <c r="CJ1924" t="s">
        <v>20436</v>
      </c>
      <c r="CK1924" t="s">
        <v>292</v>
      </c>
      <c r="CL1924" t="s">
        <v>293</v>
      </c>
      <c r="CM1924" t="s">
        <v>23077</v>
      </c>
      <c r="CN1924" t="s">
        <v>235</v>
      </c>
      <c r="CO1924" t="s">
        <v>183</v>
      </c>
      <c r="CP1924" t="s">
        <v>211</v>
      </c>
      <c r="CQ1924" t="s">
        <v>298</v>
      </c>
      <c r="CS1924" t="s">
        <v>1641</v>
      </c>
      <c r="CT1924" t="s">
        <v>4513</v>
      </c>
      <c r="CU1924" t="s">
        <v>267</v>
      </c>
      <c r="CV1924" t="s">
        <v>268</v>
      </c>
      <c r="CW1924" t="s">
        <v>23078</v>
      </c>
      <c r="CX1924" t="s">
        <v>235</v>
      </c>
      <c r="CY1924" t="s">
        <v>183</v>
      </c>
      <c r="CZ1924" t="s">
        <v>211</v>
      </c>
      <c r="DA1924" t="s">
        <v>298</v>
      </c>
      <c r="DC1924" t="s">
        <v>5919</v>
      </c>
      <c r="DD1924" t="s">
        <v>23079</v>
      </c>
      <c r="DE1924" t="s">
        <v>273</v>
      </c>
      <c r="DF1924" t="s">
        <v>274</v>
      </c>
      <c r="DG1924" t="s">
        <v>23080</v>
      </c>
      <c r="DH1924" t="s">
        <v>235</v>
      </c>
      <c r="DI1924" t="s">
        <v>183</v>
      </c>
      <c r="DJ1924" t="s">
        <v>211</v>
      </c>
      <c r="DK1924" t="s">
        <v>298</v>
      </c>
      <c r="DM1924" t="s">
        <v>1432</v>
      </c>
      <c r="DN1924" t="s">
        <v>23081</v>
      </c>
      <c r="DO1924" t="s">
        <v>302</v>
      </c>
      <c r="DP1924" t="s">
        <v>303</v>
      </c>
      <c r="DQ1924" t="s">
        <v>23082</v>
      </c>
      <c r="DR1924" t="s">
        <v>235</v>
      </c>
      <c r="DS1924" t="s">
        <v>183</v>
      </c>
      <c r="DT1924" t="s">
        <v>211</v>
      </c>
      <c r="DU1924" t="s">
        <v>298</v>
      </c>
      <c r="DW1924" t="s">
        <v>1616</v>
      </c>
      <c r="DX1924" t="s">
        <v>1659</v>
      </c>
      <c r="DY1924" t="s">
        <v>238</v>
      </c>
      <c r="DZ1924" t="s">
        <v>239</v>
      </c>
      <c r="EA1924" t="s">
        <v>23083</v>
      </c>
      <c r="EB1924" t="s">
        <v>235</v>
      </c>
      <c r="EC1924" t="s">
        <v>183</v>
      </c>
      <c r="ED1924" t="s">
        <v>211</v>
      </c>
      <c r="EE1924" t="s">
        <v>298</v>
      </c>
      <c r="EG1924" t="s">
        <v>1815</v>
      </c>
      <c r="EH1924" t="s">
        <v>23084</v>
      </c>
      <c r="EI1924" t="s">
        <v>346</v>
      </c>
      <c r="EJ1924" t="s">
        <v>347</v>
      </c>
      <c r="EK1924" t="s">
        <v>23085</v>
      </c>
      <c r="EL1924" t="s">
        <v>247</v>
      </c>
      <c r="EM1924" t="s">
        <v>183</v>
      </c>
      <c r="EN1924" t="s">
        <v>211</v>
      </c>
      <c r="EO1924" t="s">
        <v>298</v>
      </c>
      <c r="EQ1924" t="s">
        <v>3166</v>
      </c>
      <c r="ER1924" t="s">
        <v>23086</v>
      </c>
      <c r="ES1924" t="s">
        <v>207</v>
      </c>
      <c r="ET1924" t="s">
        <v>208</v>
      </c>
      <c r="EU1924" t="s">
        <v>23087</v>
      </c>
      <c r="EV1924" t="s">
        <v>833</v>
      </c>
      <c r="EW1924" t="s">
        <v>183</v>
      </c>
      <c r="EX1924" t="s">
        <v>211</v>
      </c>
      <c r="EY1924" t="s">
        <v>298</v>
      </c>
      <c r="FA1924" t="s">
        <v>4297</v>
      </c>
      <c r="FK1924" t="s">
        <v>198</v>
      </c>
      <c r="FU1924" t="s">
        <v>198</v>
      </c>
    </row>
    <row r="1925" spans="1:177">
      <c r="A1925" s="1" t="str">
        <f>HYPERLINK("http://digipan.lumentumllc.com/apps/getLink/index.php?t=PropLink&amp;p=5243986","PL")</f>
        <v>PL</v>
      </c>
      <c r="B1925" s="1" t="str">
        <f>HYPERLINK("http://digipan.lumentumllc.com/apps/getLink/index.php?t=TaxLink&amp;p=5243986","TL")</f>
        <v>TL</v>
      </c>
      <c r="C1925" s="1" t="str">
        <f>HYPERLINK("http://digipan.lumentumllc.com/apps/getMap/index.php?p=5243986","Map")</f>
        <v>Map</v>
      </c>
      <c r="E1925" t="s">
        <v>177</v>
      </c>
      <c r="F1925" t="s">
        <v>178</v>
      </c>
      <c r="L1925" t="s">
        <v>23088</v>
      </c>
      <c r="N1925" t="s">
        <v>23088</v>
      </c>
      <c r="O1925" t="s">
        <v>23088</v>
      </c>
      <c r="P1925" t="s">
        <v>23089</v>
      </c>
      <c r="Q1925" t="s">
        <v>23088</v>
      </c>
      <c r="V1925">
        <v>2201</v>
      </c>
      <c r="W1925">
        <v>7</v>
      </c>
      <c r="X1925">
        <v>2017</v>
      </c>
      <c r="Y1925">
        <v>2018</v>
      </c>
      <c r="Z1925">
        <v>306.64999999999998</v>
      </c>
      <c r="AB1925" t="s">
        <v>181</v>
      </c>
      <c r="AC1925" t="s">
        <v>182</v>
      </c>
      <c r="AD1925" t="s">
        <v>183</v>
      </c>
      <c r="AE1925">
        <v>0</v>
      </c>
      <c r="AF1925">
        <v>1</v>
      </c>
      <c r="AG1925" t="s">
        <v>821</v>
      </c>
      <c r="AH1925">
        <v>100</v>
      </c>
      <c r="AK1925">
        <v>0</v>
      </c>
      <c r="AL1925">
        <v>16500</v>
      </c>
      <c r="AM1925">
        <v>16500</v>
      </c>
      <c r="AN1925">
        <v>0</v>
      </c>
      <c r="AO1925">
        <v>258</v>
      </c>
      <c r="AP1925">
        <v>2016</v>
      </c>
      <c r="AQ1925">
        <v>1.86</v>
      </c>
      <c r="AS1925" t="s">
        <v>23090</v>
      </c>
      <c r="AT1925" t="s">
        <v>15040</v>
      </c>
      <c r="AU1925" t="s">
        <v>177</v>
      </c>
      <c r="AV1925" t="s">
        <v>371</v>
      </c>
      <c r="AW1925" t="s">
        <v>182</v>
      </c>
      <c r="AX1925">
        <v>0</v>
      </c>
      <c r="AY1925" t="s">
        <v>312</v>
      </c>
      <c r="AZ1925" t="s">
        <v>199</v>
      </c>
      <c r="BA1925" t="s">
        <v>313</v>
      </c>
      <c r="BB1925" t="s">
        <v>191</v>
      </c>
      <c r="BC1925" t="s">
        <v>182</v>
      </c>
      <c r="BD1925" t="s">
        <v>182</v>
      </c>
      <c r="BE1925" t="s">
        <v>5975</v>
      </c>
      <c r="BF1925">
        <v>0</v>
      </c>
      <c r="BG1925">
        <v>0</v>
      </c>
      <c r="BH1925">
        <v>0</v>
      </c>
      <c r="BI1925" t="s">
        <v>199</v>
      </c>
      <c r="BJ1925" t="s">
        <v>315</v>
      </c>
      <c r="BL1925" t="s">
        <v>199</v>
      </c>
      <c r="BM1925" t="s">
        <v>1332</v>
      </c>
      <c r="BN1925" t="s">
        <v>182</v>
      </c>
      <c r="BO1925" t="s">
        <v>198</v>
      </c>
      <c r="BP1925" t="s">
        <v>198</v>
      </c>
      <c r="BQ1925" t="s">
        <v>198</v>
      </c>
      <c r="BR1925" t="s">
        <v>198</v>
      </c>
      <c r="BS1925" t="s">
        <v>198</v>
      </c>
      <c r="BT1925" t="s">
        <v>198</v>
      </c>
      <c r="BU1925" t="s">
        <v>182</v>
      </c>
      <c r="BV1925" t="s">
        <v>198</v>
      </c>
      <c r="BW1925" t="s">
        <v>198</v>
      </c>
      <c r="BX1925" t="s">
        <v>199</v>
      </c>
      <c r="BY1925" t="s">
        <v>198</v>
      </c>
      <c r="BZ1925" t="s">
        <v>199</v>
      </c>
      <c r="CA1925" t="s">
        <v>199</v>
      </c>
      <c r="CB1925" t="s">
        <v>23091</v>
      </c>
      <c r="CC1925" t="s">
        <v>201</v>
      </c>
      <c r="CD1925" t="s">
        <v>202</v>
      </c>
      <c r="CE1925" t="s">
        <v>23092</v>
      </c>
      <c r="CF1925" t="s">
        <v>413</v>
      </c>
      <c r="CG1925" t="s">
        <v>177</v>
      </c>
      <c r="CH1925" t="s">
        <v>5741</v>
      </c>
      <c r="CI1925" t="s">
        <v>23093</v>
      </c>
      <c r="CJ1925" t="s">
        <v>23094</v>
      </c>
      <c r="CK1925" t="s">
        <v>346</v>
      </c>
      <c r="CL1925" t="s">
        <v>347</v>
      </c>
      <c r="CM1925" t="s">
        <v>23095</v>
      </c>
      <c r="CN1925" t="s">
        <v>615</v>
      </c>
      <c r="CO1925" t="s">
        <v>183</v>
      </c>
      <c r="CP1925" t="s">
        <v>211</v>
      </c>
      <c r="CQ1925" t="s">
        <v>298</v>
      </c>
      <c r="CS1925" t="s">
        <v>1818</v>
      </c>
      <c r="DC1925" t="s">
        <v>198</v>
      </c>
      <c r="DM1925" t="s">
        <v>198</v>
      </c>
      <c r="DW1925" t="s">
        <v>198</v>
      </c>
      <c r="EG1925" t="s">
        <v>198</v>
      </c>
      <c r="EQ1925" t="s">
        <v>198</v>
      </c>
      <c r="FA1925" t="s">
        <v>198</v>
      </c>
      <c r="FK1925" t="s">
        <v>198</v>
      </c>
      <c r="FU1925" t="s">
        <v>198</v>
      </c>
    </row>
    <row r="1926" spans="1:177">
      <c r="A1926" s="1" t="str">
        <f>HYPERLINK("http://digipan.lumentumllc.com/apps/getLink/index.php?t=PropLink&amp;p=5243987","PL")</f>
        <v>PL</v>
      </c>
      <c r="B1926" s="1" t="str">
        <f>HYPERLINK("http://digipan.lumentumllc.com/apps/getLink/index.php?t=TaxLink&amp;p=5243987","TL")</f>
        <v>TL</v>
      </c>
      <c r="C1926" s="1" t="str">
        <f>HYPERLINK("http://digipan.lumentumllc.com/apps/getMap/index.php?p=5243987","Map")</f>
        <v>Map</v>
      </c>
      <c r="E1926" t="s">
        <v>177</v>
      </c>
      <c r="F1926" t="s">
        <v>178</v>
      </c>
      <c r="L1926" t="s">
        <v>23096</v>
      </c>
      <c r="N1926" t="s">
        <v>23096</v>
      </c>
      <c r="O1926" t="s">
        <v>23096</v>
      </c>
      <c r="P1926" t="s">
        <v>23097</v>
      </c>
      <c r="Q1926" t="s">
        <v>23096</v>
      </c>
      <c r="V1926">
        <v>2202</v>
      </c>
      <c r="W1926">
        <v>7</v>
      </c>
      <c r="X1926">
        <v>2017</v>
      </c>
      <c r="Y1926">
        <v>2018</v>
      </c>
      <c r="Z1926">
        <v>306.64999999999998</v>
      </c>
      <c r="AB1926" t="s">
        <v>181</v>
      </c>
      <c r="AC1926" t="s">
        <v>182</v>
      </c>
      <c r="AD1926" t="s">
        <v>183</v>
      </c>
      <c r="AE1926">
        <v>0</v>
      </c>
      <c r="AF1926">
        <v>8</v>
      </c>
      <c r="AG1926" t="s">
        <v>1059</v>
      </c>
      <c r="AH1926">
        <v>100</v>
      </c>
      <c r="AK1926">
        <v>0</v>
      </c>
      <c r="AL1926">
        <v>16500</v>
      </c>
      <c r="AM1926">
        <v>16500</v>
      </c>
      <c r="AN1926">
        <v>0</v>
      </c>
      <c r="AO1926">
        <v>258</v>
      </c>
      <c r="AP1926">
        <v>2016</v>
      </c>
      <c r="AQ1926">
        <v>1.86</v>
      </c>
      <c r="AS1926" t="s">
        <v>23098</v>
      </c>
      <c r="AT1926" t="s">
        <v>15040</v>
      </c>
      <c r="AU1926" t="s">
        <v>177</v>
      </c>
      <c r="AV1926" t="s">
        <v>371</v>
      </c>
      <c r="AW1926" t="s">
        <v>182</v>
      </c>
      <c r="AX1926">
        <v>0</v>
      </c>
      <c r="AY1926" t="s">
        <v>312</v>
      </c>
      <c r="AZ1926" t="s">
        <v>199</v>
      </c>
      <c r="BA1926" t="s">
        <v>313</v>
      </c>
      <c r="BB1926" t="s">
        <v>191</v>
      </c>
      <c r="BC1926" t="s">
        <v>182</v>
      </c>
      <c r="BD1926" t="s">
        <v>182</v>
      </c>
      <c r="BE1926" t="s">
        <v>12936</v>
      </c>
      <c r="BF1926">
        <v>0</v>
      </c>
      <c r="BG1926">
        <v>0</v>
      </c>
      <c r="BH1926">
        <v>0</v>
      </c>
      <c r="BI1926" t="s">
        <v>199</v>
      </c>
      <c r="BJ1926" t="s">
        <v>396</v>
      </c>
      <c r="BL1926" t="s">
        <v>2191</v>
      </c>
      <c r="BM1926" t="s">
        <v>451</v>
      </c>
      <c r="BN1926" t="s">
        <v>182</v>
      </c>
      <c r="BO1926" t="s">
        <v>198</v>
      </c>
      <c r="BP1926" t="s">
        <v>198</v>
      </c>
      <c r="BQ1926" t="s">
        <v>198</v>
      </c>
      <c r="BR1926" t="s">
        <v>198</v>
      </c>
      <c r="BS1926" t="s">
        <v>198</v>
      </c>
      <c r="BT1926" t="s">
        <v>198</v>
      </c>
      <c r="BU1926" t="s">
        <v>182</v>
      </c>
      <c r="BV1926" t="s">
        <v>198</v>
      </c>
      <c r="BW1926" t="s">
        <v>198</v>
      </c>
      <c r="BX1926" t="s">
        <v>199</v>
      </c>
      <c r="BY1926" t="s">
        <v>198</v>
      </c>
      <c r="BZ1926" t="s">
        <v>199</v>
      </c>
      <c r="CA1926" t="s">
        <v>199</v>
      </c>
      <c r="CB1926" t="s">
        <v>23099</v>
      </c>
      <c r="CC1926" t="s">
        <v>201</v>
      </c>
      <c r="CD1926" t="s">
        <v>182</v>
      </c>
      <c r="CE1926" t="s">
        <v>23100</v>
      </c>
      <c r="CF1926" t="s">
        <v>413</v>
      </c>
      <c r="CG1926" t="s">
        <v>177</v>
      </c>
      <c r="CH1926" t="s">
        <v>22713</v>
      </c>
      <c r="CI1926" t="s">
        <v>1127</v>
      </c>
      <c r="CJ1926" t="s">
        <v>22032</v>
      </c>
      <c r="CK1926" t="s">
        <v>232</v>
      </c>
      <c r="CL1926" t="s">
        <v>233</v>
      </c>
      <c r="CM1926" t="s">
        <v>23101</v>
      </c>
      <c r="CN1926" t="s">
        <v>576</v>
      </c>
      <c r="CO1926" t="s">
        <v>183</v>
      </c>
      <c r="CP1926" t="s">
        <v>211</v>
      </c>
      <c r="CQ1926" t="s">
        <v>342</v>
      </c>
      <c r="CS1926" t="s">
        <v>19480</v>
      </c>
      <c r="CT1926" t="s">
        <v>22637</v>
      </c>
      <c r="CU1926" t="s">
        <v>292</v>
      </c>
      <c r="CV1926" t="s">
        <v>293</v>
      </c>
      <c r="CW1926" t="s">
        <v>23102</v>
      </c>
      <c r="CX1926" t="s">
        <v>235</v>
      </c>
      <c r="CY1926" t="s">
        <v>183</v>
      </c>
      <c r="CZ1926" t="s">
        <v>211</v>
      </c>
      <c r="DA1926" t="s">
        <v>427</v>
      </c>
      <c r="DC1926" t="s">
        <v>15194</v>
      </c>
      <c r="DD1926" t="s">
        <v>9802</v>
      </c>
      <c r="DE1926" t="s">
        <v>267</v>
      </c>
      <c r="DF1926" t="s">
        <v>268</v>
      </c>
      <c r="DG1926" t="s">
        <v>23024</v>
      </c>
      <c r="DH1926" t="s">
        <v>331</v>
      </c>
      <c r="DI1926" t="s">
        <v>183</v>
      </c>
      <c r="DJ1926" t="s">
        <v>211</v>
      </c>
      <c r="DK1926" t="s">
        <v>342</v>
      </c>
      <c r="DM1926" t="s">
        <v>23103</v>
      </c>
      <c r="DN1926" t="s">
        <v>5650</v>
      </c>
      <c r="DO1926" t="s">
        <v>273</v>
      </c>
      <c r="DP1926" t="s">
        <v>274</v>
      </c>
      <c r="DQ1926" t="s">
        <v>23025</v>
      </c>
      <c r="DR1926" t="s">
        <v>235</v>
      </c>
      <c r="DS1926" t="s">
        <v>183</v>
      </c>
      <c r="DT1926" t="s">
        <v>211</v>
      </c>
      <c r="DU1926" t="s">
        <v>212</v>
      </c>
      <c r="DW1926" t="s">
        <v>4247</v>
      </c>
      <c r="DX1926" t="s">
        <v>20388</v>
      </c>
      <c r="DY1926" t="s">
        <v>302</v>
      </c>
      <c r="DZ1926" t="s">
        <v>303</v>
      </c>
      <c r="EA1926" t="s">
        <v>23026</v>
      </c>
      <c r="EB1926" t="s">
        <v>440</v>
      </c>
      <c r="EC1926" t="s">
        <v>183</v>
      </c>
      <c r="ED1926" t="s">
        <v>211</v>
      </c>
      <c r="EE1926" t="s">
        <v>270</v>
      </c>
      <c r="EG1926" t="s">
        <v>1349</v>
      </c>
      <c r="EH1926" t="s">
        <v>1480</v>
      </c>
      <c r="EI1926" t="s">
        <v>238</v>
      </c>
      <c r="EJ1926" t="s">
        <v>239</v>
      </c>
      <c r="EK1926" t="s">
        <v>23104</v>
      </c>
      <c r="EL1926" t="s">
        <v>341</v>
      </c>
      <c r="EM1926" t="s">
        <v>183</v>
      </c>
      <c r="EN1926" t="s">
        <v>211</v>
      </c>
      <c r="EO1926" t="s">
        <v>337</v>
      </c>
      <c r="EQ1926" t="s">
        <v>1349</v>
      </c>
      <c r="ER1926" t="s">
        <v>23105</v>
      </c>
      <c r="ES1926" t="s">
        <v>346</v>
      </c>
      <c r="ET1926" t="s">
        <v>347</v>
      </c>
      <c r="EU1926" t="s">
        <v>23095</v>
      </c>
      <c r="EV1926" t="s">
        <v>2679</v>
      </c>
      <c r="EW1926" t="s">
        <v>183</v>
      </c>
      <c r="EX1926" t="s">
        <v>211</v>
      </c>
      <c r="EY1926" t="s">
        <v>337</v>
      </c>
      <c r="FA1926" t="s">
        <v>1352</v>
      </c>
      <c r="FB1926" t="s">
        <v>13551</v>
      </c>
      <c r="FC1926" t="s">
        <v>207</v>
      </c>
      <c r="FD1926" t="s">
        <v>208</v>
      </c>
      <c r="FE1926" t="s">
        <v>18813</v>
      </c>
      <c r="FF1926" t="s">
        <v>1608</v>
      </c>
      <c r="FG1926" t="s">
        <v>183</v>
      </c>
      <c r="FH1926" t="s">
        <v>211</v>
      </c>
      <c r="FI1926" t="s">
        <v>345</v>
      </c>
      <c r="FK1926" t="s">
        <v>1703</v>
      </c>
      <c r="FU1926" t="s">
        <v>198</v>
      </c>
    </row>
    <row r="1927" spans="1:177">
      <c r="A1927" s="1" t="str">
        <f>HYPERLINK("http://digipan.lumentumllc.com/apps/getLink/index.php?t=PropLink&amp;p=5243988","PL")</f>
        <v>PL</v>
      </c>
      <c r="B1927" s="1" t="str">
        <f>HYPERLINK("http://digipan.lumentumllc.com/apps/getLink/index.php?t=TaxLink&amp;p=5243988","TL")</f>
        <v>TL</v>
      </c>
      <c r="C1927" s="1" t="str">
        <f>HYPERLINK("http://digipan.lumentumllc.com/apps/getMap/index.php?p=5243988","Map")</f>
        <v>Map</v>
      </c>
      <c r="E1927" t="s">
        <v>177</v>
      </c>
      <c r="F1927" t="s">
        <v>178</v>
      </c>
      <c r="L1927" t="s">
        <v>23106</v>
      </c>
      <c r="N1927" t="s">
        <v>23106</v>
      </c>
      <c r="O1927" t="s">
        <v>23106</v>
      </c>
      <c r="P1927" t="s">
        <v>23107</v>
      </c>
      <c r="Q1927" t="s">
        <v>23106</v>
      </c>
      <c r="V1927">
        <v>2203</v>
      </c>
      <c r="W1927">
        <v>7</v>
      </c>
      <c r="X1927">
        <v>2017</v>
      </c>
      <c r="Y1927">
        <v>2018</v>
      </c>
      <c r="Z1927">
        <v>1215.05</v>
      </c>
      <c r="AB1927" t="s">
        <v>181</v>
      </c>
      <c r="AC1927" t="s">
        <v>182</v>
      </c>
      <c r="AD1927" t="s">
        <v>183</v>
      </c>
      <c r="AE1927">
        <v>1</v>
      </c>
      <c r="AF1927">
        <v>7</v>
      </c>
      <c r="AG1927" t="s">
        <v>418</v>
      </c>
      <c r="AH1927">
        <v>86</v>
      </c>
      <c r="AI1927">
        <v>1233.46</v>
      </c>
      <c r="AJ1927">
        <v>61.67</v>
      </c>
      <c r="AK1927">
        <v>1295.1300000000001</v>
      </c>
      <c r="AL1927">
        <v>71076</v>
      </c>
      <c r="AM1927">
        <v>16500</v>
      </c>
      <c r="AN1927">
        <v>54576</v>
      </c>
      <c r="AO1927">
        <v>1116</v>
      </c>
      <c r="AP1927">
        <v>2016</v>
      </c>
      <c r="AQ1927">
        <v>1.71</v>
      </c>
      <c r="AR1927">
        <v>1.82</v>
      </c>
      <c r="AS1927" t="s">
        <v>23108</v>
      </c>
      <c r="AT1927" t="s">
        <v>15040</v>
      </c>
      <c r="AU1927" t="s">
        <v>177</v>
      </c>
      <c r="AV1927" t="s">
        <v>371</v>
      </c>
      <c r="AW1927" t="s">
        <v>182</v>
      </c>
      <c r="AX1927">
        <v>1</v>
      </c>
      <c r="AY1927" t="s">
        <v>188</v>
      </c>
      <c r="AZ1927" t="s">
        <v>206</v>
      </c>
      <c r="BA1927" t="s">
        <v>355</v>
      </c>
      <c r="BB1927" t="s">
        <v>191</v>
      </c>
      <c r="BC1927" t="s">
        <v>182</v>
      </c>
      <c r="BD1927" t="s">
        <v>182</v>
      </c>
      <c r="BE1927" t="s">
        <v>12936</v>
      </c>
      <c r="BF1927">
        <v>1</v>
      </c>
      <c r="BG1927">
        <v>1</v>
      </c>
      <c r="BH1927">
        <v>1970</v>
      </c>
      <c r="BI1927" t="s">
        <v>11980</v>
      </c>
      <c r="BJ1927" t="s">
        <v>315</v>
      </c>
      <c r="BK1927" t="s">
        <v>195</v>
      </c>
      <c r="BL1927" t="s">
        <v>199</v>
      </c>
      <c r="BM1927" t="s">
        <v>1156</v>
      </c>
      <c r="BN1927" t="s">
        <v>182</v>
      </c>
      <c r="BO1927" t="s">
        <v>198</v>
      </c>
      <c r="BP1927" t="s">
        <v>198</v>
      </c>
      <c r="BQ1927" t="s">
        <v>198</v>
      </c>
      <c r="BR1927" t="s">
        <v>198</v>
      </c>
      <c r="BS1927" t="s">
        <v>198</v>
      </c>
      <c r="BT1927" t="s">
        <v>198</v>
      </c>
      <c r="BU1927" t="s">
        <v>182</v>
      </c>
      <c r="BV1927" t="s">
        <v>198</v>
      </c>
      <c r="BW1927" t="s">
        <v>198</v>
      </c>
      <c r="BX1927" t="s">
        <v>199</v>
      </c>
      <c r="BY1927" t="s">
        <v>198</v>
      </c>
      <c r="BZ1927" t="s">
        <v>199</v>
      </c>
      <c r="CA1927" t="s">
        <v>199</v>
      </c>
      <c r="CB1927" t="s">
        <v>23109</v>
      </c>
      <c r="CC1927" t="s">
        <v>201</v>
      </c>
      <c r="CD1927" t="s">
        <v>202</v>
      </c>
      <c r="CE1927" t="s">
        <v>23110</v>
      </c>
      <c r="CF1927" t="s">
        <v>23111</v>
      </c>
      <c r="CG1927" t="s">
        <v>177</v>
      </c>
      <c r="CH1927" t="s">
        <v>23112</v>
      </c>
      <c r="CI1927" t="s">
        <v>16352</v>
      </c>
      <c r="CJ1927" t="s">
        <v>19567</v>
      </c>
      <c r="CK1927" t="s">
        <v>232</v>
      </c>
      <c r="CL1927" t="s">
        <v>233</v>
      </c>
      <c r="CM1927" t="s">
        <v>23113</v>
      </c>
      <c r="CN1927" t="s">
        <v>235</v>
      </c>
      <c r="CO1927" t="s">
        <v>183</v>
      </c>
      <c r="CP1927" t="s">
        <v>266</v>
      </c>
      <c r="CS1927" t="s">
        <v>198</v>
      </c>
      <c r="CT1927" t="s">
        <v>16095</v>
      </c>
      <c r="CU1927" t="s">
        <v>292</v>
      </c>
      <c r="CV1927" t="s">
        <v>293</v>
      </c>
      <c r="CW1927" t="s">
        <v>23114</v>
      </c>
      <c r="CX1927" t="s">
        <v>235</v>
      </c>
      <c r="CY1927" t="s">
        <v>183</v>
      </c>
      <c r="CZ1927" t="s">
        <v>211</v>
      </c>
      <c r="DA1927" t="s">
        <v>345</v>
      </c>
      <c r="DC1927" t="s">
        <v>1088</v>
      </c>
      <c r="DD1927" t="s">
        <v>2540</v>
      </c>
      <c r="DE1927" t="s">
        <v>267</v>
      </c>
      <c r="DF1927" t="s">
        <v>268</v>
      </c>
      <c r="DG1927" t="s">
        <v>23115</v>
      </c>
      <c r="DH1927" t="s">
        <v>235</v>
      </c>
      <c r="DI1927" t="s">
        <v>183</v>
      </c>
      <c r="DJ1927" t="s">
        <v>211</v>
      </c>
      <c r="DK1927" t="s">
        <v>334</v>
      </c>
      <c r="DM1927" t="s">
        <v>23116</v>
      </c>
      <c r="DN1927" t="s">
        <v>13943</v>
      </c>
      <c r="DO1927" t="s">
        <v>273</v>
      </c>
      <c r="DP1927" t="s">
        <v>274</v>
      </c>
      <c r="DQ1927" t="s">
        <v>23117</v>
      </c>
      <c r="DR1927" t="s">
        <v>235</v>
      </c>
      <c r="DS1927" t="s">
        <v>183</v>
      </c>
      <c r="DT1927" t="s">
        <v>211</v>
      </c>
      <c r="DU1927" t="s">
        <v>337</v>
      </c>
      <c r="DW1927" t="s">
        <v>544</v>
      </c>
      <c r="DX1927" t="s">
        <v>12751</v>
      </c>
      <c r="DY1927" t="s">
        <v>302</v>
      </c>
      <c r="DZ1927" t="s">
        <v>303</v>
      </c>
      <c r="EA1927" t="s">
        <v>23118</v>
      </c>
      <c r="EB1927" t="s">
        <v>235</v>
      </c>
      <c r="EC1927" t="s">
        <v>183</v>
      </c>
      <c r="ED1927" t="s">
        <v>211</v>
      </c>
      <c r="EE1927" t="s">
        <v>337</v>
      </c>
      <c r="EG1927" t="s">
        <v>23119</v>
      </c>
      <c r="EH1927" t="s">
        <v>1643</v>
      </c>
      <c r="EI1927" t="s">
        <v>238</v>
      </c>
      <c r="EJ1927" t="s">
        <v>239</v>
      </c>
      <c r="EK1927" t="s">
        <v>23120</v>
      </c>
      <c r="EL1927" t="s">
        <v>2499</v>
      </c>
      <c r="EM1927" t="s">
        <v>183</v>
      </c>
      <c r="EN1927" t="s">
        <v>211</v>
      </c>
      <c r="EO1927" t="s">
        <v>337</v>
      </c>
      <c r="EQ1927" t="s">
        <v>1349</v>
      </c>
      <c r="ER1927" t="s">
        <v>23121</v>
      </c>
      <c r="ES1927" t="s">
        <v>346</v>
      </c>
      <c r="ET1927" t="s">
        <v>347</v>
      </c>
      <c r="EU1927" t="s">
        <v>23122</v>
      </c>
      <c r="EV1927" t="s">
        <v>331</v>
      </c>
      <c r="EW1927" t="s">
        <v>183</v>
      </c>
      <c r="EX1927" t="s">
        <v>211</v>
      </c>
      <c r="EY1927" t="s">
        <v>345</v>
      </c>
      <c r="FA1927" t="s">
        <v>15986</v>
      </c>
      <c r="FB1927" t="s">
        <v>13569</v>
      </c>
      <c r="FC1927" t="s">
        <v>207</v>
      </c>
      <c r="FD1927" t="s">
        <v>208</v>
      </c>
      <c r="FE1927" t="s">
        <v>23123</v>
      </c>
      <c r="FF1927" t="s">
        <v>688</v>
      </c>
      <c r="FG1927" t="s">
        <v>183</v>
      </c>
      <c r="FH1927" t="s">
        <v>211</v>
      </c>
      <c r="FI1927" t="s">
        <v>525</v>
      </c>
      <c r="FK1927" t="s">
        <v>470</v>
      </c>
      <c r="FU1927" t="s">
        <v>198</v>
      </c>
    </row>
    <row r="1928" spans="1:177">
      <c r="A1928" s="1" t="str">
        <f>HYPERLINK("http://digipan.lumentumllc.com/apps/getLink/index.php?t=PropLink&amp;p=5243989","PL")</f>
        <v>PL</v>
      </c>
      <c r="B1928" s="1" t="str">
        <f>HYPERLINK("http://digipan.lumentumllc.com/apps/getLink/index.php?t=TaxLink&amp;p=5243989","TL")</f>
        <v>TL</v>
      </c>
      <c r="C1928" s="1" t="str">
        <f>HYPERLINK("http://digipan.lumentumllc.com/apps/getMap/index.php?p=5243989","Map")</f>
        <v>Map</v>
      </c>
      <c r="E1928" t="s">
        <v>177</v>
      </c>
      <c r="F1928" t="s">
        <v>178</v>
      </c>
      <c r="L1928" t="s">
        <v>23124</v>
      </c>
      <c r="N1928" t="s">
        <v>23124</v>
      </c>
      <c r="O1928" t="s">
        <v>23124</v>
      </c>
      <c r="P1928" t="s">
        <v>23125</v>
      </c>
      <c r="Q1928" t="s">
        <v>23124</v>
      </c>
      <c r="V1928">
        <v>2204</v>
      </c>
      <c r="W1928">
        <v>7</v>
      </c>
      <c r="X1928">
        <v>2017</v>
      </c>
      <c r="Y1928">
        <v>2018</v>
      </c>
      <c r="Z1928">
        <v>808.43</v>
      </c>
      <c r="AB1928" t="s">
        <v>181</v>
      </c>
      <c r="AC1928" t="s">
        <v>202</v>
      </c>
      <c r="AD1928" t="s">
        <v>183</v>
      </c>
      <c r="AE1928">
        <v>1</v>
      </c>
      <c r="AF1928">
        <v>6</v>
      </c>
      <c r="AG1928" t="s">
        <v>322</v>
      </c>
      <c r="AH1928">
        <v>83</v>
      </c>
      <c r="AI1928">
        <v>814.61</v>
      </c>
      <c r="AJ1928">
        <v>44.8</v>
      </c>
      <c r="AK1928">
        <v>859.41</v>
      </c>
      <c r="AL1928">
        <v>46648</v>
      </c>
      <c r="AM1928">
        <v>46648</v>
      </c>
      <c r="AN1928">
        <v>0</v>
      </c>
      <c r="AO1928">
        <v>728</v>
      </c>
      <c r="AP1928">
        <v>2016</v>
      </c>
      <c r="AQ1928">
        <v>1.73</v>
      </c>
      <c r="AR1928">
        <v>1.84</v>
      </c>
      <c r="AS1928" t="s">
        <v>23090</v>
      </c>
      <c r="AT1928" t="s">
        <v>15040</v>
      </c>
      <c r="AU1928" t="s">
        <v>177</v>
      </c>
      <c r="AV1928" t="s">
        <v>371</v>
      </c>
      <c r="AW1928" t="s">
        <v>182</v>
      </c>
      <c r="AX1928">
        <v>0</v>
      </c>
      <c r="AY1928" t="s">
        <v>312</v>
      </c>
      <c r="AZ1928" t="s">
        <v>199</v>
      </c>
      <c r="BA1928" t="s">
        <v>313</v>
      </c>
      <c r="BB1928" t="s">
        <v>191</v>
      </c>
      <c r="BC1928" t="s">
        <v>182</v>
      </c>
      <c r="BD1928" t="s">
        <v>182</v>
      </c>
      <c r="BE1928" t="s">
        <v>7407</v>
      </c>
      <c r="BF1928">
        <v>0</v>
      </c>
      <c r="BG1928">
        <v>0</v>
      </c>
      <c r="BH1928">
        <v>0</v>
      </c>
      <c r="BI1928" t="s">
        <v>199</v>
      </c>
      <c r="BJ1928" t="s">
        <v>315</v>
      </c>
      <c r="BL1928" t="s">
        <v>2050</v>
      </c>
      <c r="BM1928" t="s">
        <v>1041</v>
      </c>
      <c r="BN1928" t="s">
        <v>182</v>
      </c>
      <c r="BO1928" t="s">
        <v>23126</v>
      </c>
      <c r="BP1928" t="s">
        <v>14485</v>
      </c>
      <c r="BQ1928" t="s">
        <v>2053</v>
      </c>
      <c r="BR1928" t="s">
        <v>227</v>
      </c>
      <c r="BS1928" t="s">
        <v>198</v>
      </c>
      <c r="BT1928" t="s">
        <v>23127</v>
      </c>
      <c r="BU1928" t="s">
        <v>182</v>
      </c>
      <c r="BV1928" t="s">
        <v>198</v>
      </c>
      <c r="BW1928" t="s">
        <v>198</v>
      </c>
      <c r="BX1928" t="s">
        <v>199</v>
      </c>
      <c r="BY1928" t="s">
        <v>198</v>
      </c>
      <c r="BZ1928" t="s">
        <v>199</v>
      </c>
      <c r="CA1928" t="s">
        <v>199</v>
      </c>
      <c r="CB1928" t="s">
        <v>23128</v>
      </c>
      <c r="CC1928" t="s">
        <v>201</v>
      </c>
      <c r="CD1928" t="s">
        <v>182</v>
      </c>
      <c r="CE1928" t="s">
        <v>23129</v>
      </c>
      <c r="CF1928" t="s">
        <v>413</v>
      </c>
      <c r="CG1928" t="s">
        <v>177</v>
      </c>
      <c r="CH1928" t="s">
        <v>5741</v>
      </c>
      <c r="CI1928" t="s">
        <v>23130</v>
      </c>
      <c r="CJ1928" t="s">
        <v>3104</v>
      </c>
      <c r="CK1928" t="s">
        <v>232</v>
      </c>
      <c r="CL1928" t="s">
        <v>233</v>
      </c>
      <c r="CM1928" t="s">
        <v>23131</v>
      </c>
      <c r="CN1928" t="s">
        <v>1164</v>
      </c>
      <c r="CO1928" t="s">
        <v>183</v>
      </c>
      <c r="CP1928" t="s">
        <v>266</v>
      </c>
      <c r="CS1928" t="s">
        <v>198</v>
      </c>
      <c r="CT1928" t="s">
        <v>19626</v>
      </c>
      <c r="CU1928" t="s">
        <v>292</v>
      </c>
      <c r="CV1928" t="s">
        <v>293</v>
      </c>
      <c r="CW1928" t="s">
        <v>23132</v>
      </c>
      <c r="CX1928" t="s">
        <v>235</v>
      </c>
      <c r="CY1928" t="s">
        <v>183</v>
      </c>
      <c r="CZ1928" t="s">
        <v>211</v>
      </c>
      <c r="DA1928" t="s">
        <v>337</v>
      </c>
      <c r="DC1928" t="s">
        <v>540</v>
      </c>
      <c r="DD1928" t="s">
        <v>15895</v>
      </c>
      <c r="DE1928" t="s">
        <v>273</v>
      </c>
      <c r="DF1928" t="s">
        <v>274</v>
      </c>
      <c r="DG1928" t="s">
        <v>23133</v>
      </c>
      <c r="DH1928" t="s">
        <v>235</v>
      </c>
      <c r="DI1928" t="s">
        <v>183</v>
      </c>
      <c r="DJ1928" t="s">
        <v>211</v>
      </c>
      <c r="DK1928" t="s">
        <v>270</v>
      </c>
      <c r="DL1928" t="s">
        <v>271</v>
      </c>
      <c r="DM1928" t="s">
        <v>18639</v>
      </c>
      <c r="DN1928" t="s">
        <v>18553</v>
      </c>
      <c r="DO1928" t="s">
        <v>302</v>
      </c>
      <c r="DP1928" t="s">
        <v>303</v>
      </c>
      <c r="DQ1928" t="s">
        <v>23134</v>
      </c>
      <c r="DR1928" t="s">
        <v>235</v>
      </c>
      <c r="DS1928" t="s">
        <v>183</v>
      </c>
      <c r="DT1928" t="s">
        <v>211</v>
      </c>
      <c r="DV1928" t="s">
        <v>271</v>
      </c>
      <c r="DW1928" t="s">
        <v>198</v>
      </c>
      <c r="DX1928" t="s">
        <v>1499</v>
      </c>
      <c r="DY1928" t="s">
        <v>238</v>
      </c>
      <c r="DZ1928" t="s">
        <v>239</v>
      </c>
      <c r="EA1928" t="s">
        <v>23135</v>
      </c>
      <c r="EB1928" t="s">
        <v>1966</v>
      </c>
      <c r="EC1928" t="s">
        <v>183</v>
      </c>
      <c r="ED1928" t="s">
        <v>211</v>
      </c>
      <c r="EE1928" t="s">
        <v>525</v>
      </c>
      <c r="EG1928" t="s">
        <v>1616</v>
      </c>
      <c r="EH1928" t="s">
        <v>23136</v>
      </c>
      <c r="EI1928" t="s">
        <v>346</v>
      </c>
      <c r="EJ1928" t="s">
        <v>347</v>
      </c>
      <c r="EK1928" t="s">
        <v>23137</v>
      </c>
      <c r="EL1928" t="s">
        <v>1491</v>
      </c>
      <c r="EM1928" t="s">
        <v>183</v>
      </c>
      <c r="EN1928" t="s">
        <v>211</v>
      </c>
      <c r="EO1928" t="s">
        <v>334</v>
      </c>
      <c r="EQ1928" t="s">
        <v>1378</v>
      </c>
      <c r="ER1928" t="s">
        <v>13587</v>
      </c>
      <c r="ES1928" t="s">
        <v>207</v>
      </c>
      <c r="ET1928" t="s">
        <v>208</v>
      </c>
      <c r="EU1928" t="s">
        <v>23138</v>
      </c>
      <c r="EV1928" t="s">
        <v>484</v>
      </c>
      <c r="EW1928" t="s">
        <v>183</v>
      </c>
      <c r="EX1928" t="s">
        <v>211</v>
      </c>
      <c r="EY1928" t="s">
        <v>633</v>
      </c>
      <c r="FA1928" t="s">
        <v>21471</v>
      </c>
      <c r="FK1928" t="s">
        <v>198</v>
      </c>
      <c r="FU1928" t="s">
        <v>198</v>
      </c>
    </row>
    <row r="1929" spans="1:177">
      <c r="A1929" s="1" t="str">
        <f>HYPERLINK("http://digipan.lumentumllc.com/apps/getLink/index.php?t=PropLink&amp;p=15726419","PL")</f>
        <v>PL</v>
      </c>
      <c r="B1929" s="1" t="str">
        <f>HYPERLINK("http://digipan.lumentumllc.com/apps/getLink/index.php?t=TaxLink&amp;p=15726419","TL")</f>
        <v>TL</v>
      </c>
      <c r="C1929" s="1" t="str">
        <f>HYPERLINK("http://digipan.lumentumllc.com/apps/getMap/index.php?p=15726419","Map")</f>
        <v>Map</v>
      </c>
      <c r="E1929" t="s">
        <v>177</v>
      </c>
      <c r="F1929" t="s">
        <v>178</v>
      </c>
      <c r="L1929" t="s">
        <v>23139</v>
      </c>
      <c r="N1929" t="s">
        <v>23139</v>
      </c>
      <c r="O1929" t="s">
        <v>23139</v>
      </c>
      <c r="Q1929" t="s">
        <v>23139</v>
      </c>
      <c r="V1929">
        <v>2205</v>
      </c>
      <c r="W1929">
        <v>7</v>
      </c>
      <c r="X1929">
        <v>2017</v>
      </c>
      <c r="Y1929">
        <v>2018</v>
      </c>
      <c r="Z1929">
        <v>2666.65</v>
      </c>
      <c r="AG1929" t="s">
        <v>184</v>
      </c>
      <c r="AH1929">
        <v>0</v>
      </c>
      <c r="AK1929">
        <v>0</v>
      </c>
      <c r="AL1929">
        <v>261000</v>
      </c>
      <c r="AM1929">
        <v>0</v>
      </c>
      <c r="AN1929">
        <v>261000</v>
      </c>
      <c r="AO1929">
        <v>2824</v>
      </c>
      <c r="AP1929">
        <v>2016</v>
      </c>
      <c r="AQ1929">
        <v>1.02</v>
      </c>
      <c r="AS1929" t="s">
        <v>23140</v>
      </c>
      <c r="AT1929" t="s">
        <v>15040</v>
      </c>
      <c r="AU1929" t="s">
        <v>177</v>
      </c>
      <c r="AV1929" t="s">
        <v>371</v>
      </c>
      <c r="AW1929" t="s">
        <v>202</v>
      </c>
      <c r="AX1929">
        <v>4</v>
      </c>
      <c r="AY1929" t="s">
        <v>188</v>
      </c>
      <c r="AZ1929" t="s">
        <v>296</v>
      </c>
      <c r="BA1929" t="s">
        <v>19069</v>
      </c>
      <c r="BB1929" t="s">
        <v>191</v>
      </c>
      <c r="BC1929" t="s">
        <v>182</v>
      </c>
      <c r="BD1929" t="s">
        <v>182</v>
      </c>
      <c r="BE1929" t="s">
        <v>1722</v>
      </c>
      <c r="BF1929">
        <v>1</v>
      </c>
      <c r="BG1929">
        <v>1</v>
      </c>
      <c r="BH1929">
        <v>2005</v>
      </c>
      <c r="BI1929" t="s">
        <v>23141</v>
      </c>
      <c r="BJ1929" t="s">
        <v>194</v>
      </c>
      <c r="BL1929" t="s">
        <v>8160</v>
      </c>
      <c r="BM1929" t="s">
        <v>207</v>
      </c>
      <c r="BN1929" t="s">
        <v>182</v>
      </c>
      <c r="BO1929" t="s">
        <v>8682</v>
      </c>
      <c r="BP1929" t="s">
        <v>23142</v>
      </c>
      <c r="BQ1929" t="s">
        <v>800</v>
      </c>
      <c r="BR1929" t="s">
        <v>6200</v>
      </c>
      <c r="BS1929" t="s">
        <v>198</v>
      </c>
      <c r="BT1929" t="s">
        <v>23143</v>
      </c>
      <c r="BU1929" t="s">
        <v>182</v>
      </c>
      <c r="BV1929" t="s">
        <v>198</v>
      </c>
      <c r="BW1929" t="s">
        <v>198</v>
      </c>
      <c r="BX1929" t="s">
        <v>199</v>
      </c>
      <c r="BY1929" t="s">
        <v>198</v>
      </c>
      <c r="BZ1929" t="s">
        <v>199</v>
      </c>
      <c r="CA1929" t="s">
        <v>199</v>
      </c>
      <c r="CB1929" t="s">
        <v>23144</v>
      </c>
      <c r="CC1929" t="s">
        <v>201</v>
      </c>
      <c r="CD1929" t="s">
        <v>182</v>
      </c>
      <c r="CE1929" t="s">
        <v>23145</v>
      </c>
      <c r="CF1929" t="s">
        <v>5331</v>
      </c>
      <c r="CG1929" t="s">
        <v>177</v>
      </c>
      <c r="CH1929" t="s">
        <v>371</v>
      </c>
      <c r="CI1929" t="s">
        <v>23146</v>
      </c>
      <c r="CS1929" t="s">
        <v>198</v>
      </c>
      <c r="DC1929" t="s">
        <v>198</v>
      </c>
      <c r="DM1929" t="s">
        <v>198</v>
      </c>
      <c r="DW1929" t="s">
        <v>198</v>
      </c>
      <c r="EG1929" t="s">
        <v>198</v>
      </c>
      <c r="EQ1929" t="s">
        <v>198</v>
      </c>
      <c r="FA1929" t="s">
        <v>198</v>
      </c>
      <c r="FK1929" t="s">
        <v>198</v>
      </c>
      <c r="FU1929" t="s">
        <v>198</v>
      </c>
    </row>
    <row r="1930" spans="1:177">
      <c r="A1930" s="1" t="str">
        <f>HYPERLINK("http://digipan.lumentumllc.com/apps/getLink/index.php?t=PropLink&amp;p=5243995","PL")</f>
        <v>PL</v>
      </c>
      <c r="B1930" s="1" t="str">
        <f>HYPERLINK("http://digipan.lumentumllc.com/apps/getLink/index.php?t=TaxLink&amp;p=5243995","TL")</f>
        <v>TL</v>
      </c>
      <c r="C1930" s="1" t="str">
        <f>HYPERLINK("http://digipan.lumentumllc.com/apps/getMap/index.php?p=5243995","Map")</f>
        <v>Map</v>
      </c>
      <c r="E1930" t="s">
        <v>177</v>
      </c>
      <c r="F1930" t="s">
        <v>178</v>
      </c>
      <c r="L1930" t="s">
        <v>23147</v>
      </c>
      <c r="N1930" t="s">
        <v>23147</v>
      </c>
      <c r="O1930" t="s">
        <v>23147</v>
      </c>
      <c r="P1930" t="s">
        <v>23148</v>
      </c>
      <c r="Q1930" t="s">
        <v>23147</v>
      </c>
      <c r="V1930">
        <v>2206</v>
      </c>
      <c r="W1930">
        <v>7</v>
      </c>
      <c r="X1930">
        <v>2017</v>
      </c>
      <c r="Y1930">
        <v>2018</v>
      </c>
      <c r="Z1930">
        <v>1237.1199999999999</v>
      </c>
      <c r="AB1930" t="s">
        <v>181</v>
      </c>
      <c r="AC1930" t="s">
        <v>182</v>
      </c>
      <c r="AD1930" t="s">
        <v>183</v>
      </c>
      <c r="AE1930">
        <v>1</v>
      </c>
      <c r="AF1930">
        <v>6</v>
      </c>
      <c r="AG1930" t="s">
        <v>322</v>
      </c>
      <c r="AH1930">
        <v>83</v>
      </c>
      <c r="AI1930">
        <v>1293.8399999999999</v>
      </c>
      <c r="AJ1930">
        <v>64.69</v>
      </c>
      <c r="AK1930">
        <v>1358.53</v>
      </c>
      <c r="AL1930">
        <v>72403</v>
      </c>
      <c r="AM1930">
        <v>58653</v>
      </c>
      <c r="AN1930">
        <v>13750</v>
      </c>
      <c r="AO1930">
        <v>1171</v>
      </c>
      <c r="AP1930">
        <v>2016</v>
      </c>
      <c r="AQ1930">
        <v>1.71</v>
      </c>
      <c r="AR1930">
        <v>1.88</v>
      </c>
      <c r="AS1930" t="s">
        <v>23149</v>
      </c>
      <c r="AT1930" t="s">
        <v>15040</v>
      </c>
      <c r="AU1930" t="s">
        <v>177</v>
      </c>
      <c r="AV1930" t="s">
        <v>371</v>
      </c>
      <c r="AW1930" t="s">
        <v>182</v>
      </c>
      <c r="AX1930">
        <v>2</v>
      </c>
      <c r="AY1930" t="s">
        <v>188</v>
      </c>
      <c r="AZ1930" t="s">
        <v>189</v>
      </c>
      <c r="BA1930" t="s">
        <v>190</v>
      </c>
      <c r="BB1930" t="s">
        <v>191</v>
      </c>
      <c r="BC1930" t="s">
        <v>182</v>
      </c>
      <c r="BD1930" t="s">
        <v>182</v>
      </c>
      <c r="BE1930" t="s">
        <v>9756</v>
      </c>
      <c r="BF1930">
        <v>1</v>
      </c>
      <c r="BG1930">
        <v>1</v>
      </c>
      <c r="BH1930">
        <v>1977</v>
      </c>
      <c r="BI1930" t="s">
        <v>3333</v>
      </c>
      <c r="BJ1930" t="s">
        <v>285</v>
      </c>
      <c r="BK1930" t="s">
        <v>195</v>
      </c>
      <c r="BL1930" t="s">
        <v>199</v>
      </c>
      <c r="BM1930" t="s">
        <v>368</v>
      </c>
      <c r="BN1930" t="s">
        <v>182</v>
      </c>
      <c r="BO1930" t="s">
        <v>198</v>
      </c>
      <c r="BP1930" t="s">
        <v>198</v>
      </c>
      <c r="BQ1930" t="s">
        <v>198</v>
      </c>
      <c r="BR1930" t="s">
        <v>198</v>
      </c>
      <c r="BS1930" t="s">
        <v>198</v>
      </c>
      <c r="BT1930" t="s">
        <v>198</v>
      </c>
      <c r="BU1930" t="s">
        <v>182</v>
      </c>
      <c r="BV1930" t="s">
        <v>198</v>
      </c>
      <c r="BW1930" t="s">
        <v>198</v>
      </c>
      <c r="BX1930" t="s">
        <v>199</v>
      </c>
      <c r="BY1930" t="s">
        <v>198</v>
      </c>
      <c r="BZ1930" t="s">
        <v>199</v>
      </c>
      <c r="CA1930" t="s">
        <v>199</v>
      </c>
      <c r="CB1930" t="s">
        <v>18697</v>
      </c>
      <c r="CC1930" t="s">
        <v>201</v>
      </c>
      <c r="CD1930" t="s">
        <v>202</v>
      </c>
      <c r="CE1930" t="s">
        <v>18698</v>
      </c>
      <c r="CF1930" t="s">
        <v>2333</v>
      </c>
      <c r="CG1930" t="s">
        <v>177</v>
      </c>
      <c r="CH1930" t="s">
        <v>2334</v>
      </c>
      <c r="CI1930" t="s">
        <v>23150</v>
      </c>
      <c r="CJ1930" t="s">
        <v>5031</v>
      </c>
      <c r="CK1930" t="s">
        <v>232</v>
      </c>
      <c r="CL1930" t="s">
        <v>233</v>
      </c>
      <c r="CM1930" t="s">
        <v>23151</v>
      </c>
      <c r="CN1930" t="s">
        <v>235</v>
      </c>
      <c r="CO1930" t="s">
        <v>183</v>
      </c>
      <c r="CP1930" t="s">
        <v>266</v>
      </c>
      <c r="CS1930" t="s">
        <v>198</v>
      </c>
      <c r="CT1930" t="s">
        <v>8761</v>
      </c>
      <c r="CU1930" t="s">
        <v>292</v>
      </c>
      <c r="CV1930" t="s">
        <v>293</v>
      </c>
      <c r="CW1930" t="s">
        <v>23152</v>
      </c>
      <c r="CX1930" t="s">
        <v>235</v>
      </c>
      <c r="CY1930" t="s">
        <v>183</v>
      </c>
      <c r="CZ1930" t="s">
        <v>211</v>
      </c>
      <c r="DA1930" t="s">
        <v>345</v>
      </c>
      <c r="DC1930" t="s">
        <v>1088</v>
      </c>
      <c r="DD1930" t="s">
        <v>4554</v>
      </c>
      <c r="DE1930" t="s">
        <v>267</v>
      </c>
      <c r="DF1930" t="s">
        <v>268</v>
      </c>
      <c r="DG1930" t="s">
        <v>23153</v>
      </c>
      <c r="DH1930" t="s">
        <v>235</v>
      </c>
      <c r="DI1930" t="s">
        <v>183</v>
      </c>
      <c r="DJ1930" t="s">
        <v>211</v>
      </c>
      <c r="DK1930" t="s">
        <v>345</v>
      </c>
      <c r="DM1930" t="s">
        <v>3125</v>
      </c>
      <c r="DN1930" t="s">
        <v>23154</v>
      </c>
      <c r="DO1930" t="s">
        <v>273</v>
      </c>
      <c r="DP1930" t="s">
        <v>274</v>
      </c>
      <c r="DQ1930" t="s">
        <v>23155</v>
      </c>
      <c r="DR1930" t="s">
        <v>235</v>
      </c>
      <c r="DS1930" t="s">
        <v>183</v>
      </c>
      <c r="DT1930" t="s">
        <v>211</v>
      </c>
      <c r="DU1930" t="s">
        <v>212</v>
      </c>
      <c r="DW1930" t="s">
        <v>4967</v>
      </c>
      <c r="DX1930" t="s">
        <v>18569</v>
      </c>
      <c r="DY1930" t="s">
        <v>302</v>
      </c>
      <c r="DZ1930" t="s">
        <v>303</v>
      </c>
      <c r="EA1930" t="s">
        <v>23156</v>
      </c>
      <c r="EB1930" t="s">
        <v>235</v>
      </c>
      <c r="EC1930" t="s">
        <v>183</v>
      </c>
      <c r="ED1930" t="s">
        <v>211</v>
      </c>
      <c r="EE1930" t="s">
        <v>212</v>
      </c>
      <c r="EG1930" t="s">
        <v>23157</v>
      </c>
      <c r="EH1930" t="s">
        <v>1533</v>
      </c>
      <c r="EI1930" t="s">
        <v>238</v>
      </c>
      <c r="EJ1930" t="s">
        <v>239</v>
      </c>
      <c r="EK1930" t="s">
        <v>23158</v>
      </c>
      <c r="EL1930" t="s">
        <v>833</v>
      </c>
      <c r="EM1930" t="s">
        <v>183</v>
      </c>
      <c r="EN1930" t="s">
        <v>211</v>
      </c>
      <c r="EO1930" t="s">
        <v>298</v>
      </c>
      <c r="EQ1930" t="s">
        <v>1815</v>
      </c>
      <c r="ER1930" t="s">
        <v>13656</v>
      </c>
      <c r="ES1930" t="s">
        <v>207</v>
      </c>
      <c r="ET1930" t="s">
        <v>208</v>
      </c>
      <c r="EU1930" t="s">
        <v>23159</v>
      </c>
      <c r="EV1930" t="s">
        <v>7482</v>
      </c>
      <c r="EW1930" t="s">
        <v>183</v>
      </c>
      <c r="EX1930" t="s">
        <v>211</v>
      </c>
      <c r="EY1930" t="s">
        <v>298</v>
      </c>
      <c r="FA1930" t="s">
        <v>5492</v>
      </c>
      <c r="FK1930" t="s">
        <v>198</v>
      </c>
      <c r="FU1930" t="s">
        <v>198</v>
      </c>
    </row>
    <row r="1931" spans="1:177">
      <c r="A1931" s="1" t="str">
        <f>HYPERLINK("http://digipan.lumentumllc.com/apps/getLink/index.php?t=PropLink&amp;p=7112267","PL")</f>
        <v>PL</v>
      </c>
      <c r="B1931" s="1" t="str">
        <f>HYPERLINK("http://digipan.lumentumllc.com/apps/getLink/index.php?t=TaxLink&amp;p=7112267","TL")</f>
        <v>TL</v>
      </c>
      <c r="C1931" s="1" t="str">
        <f>HYPERLINK("http://digipan.lumentumllc.com/apps/getMap/index.php?p=7112267","Map")</f>
        <v>Map</v>
      </c>
      <c r="E1931" t="s">
        <v>177</v>
      </c>
      <c r="F1931" t="s">
        <v>178</v>
      </c>
      <c r="L1931" t="s">
        <v>23160</v>
      </c>
      <c r="N1931" t="s">
        <v>23160</v>
      </c>
      <c r="O1931" t="s">
        <v>23160</v>
      </c>
      <c r="P1931" t="s">
        <v>23161</v>
      </c>
      <c r="Q1931" t="s">
        <v>23160</v>
      </c>
      <c r="V1931">
        <v>2208</v>
      </c>
      <c r="W1931">
        <v>7</v>
      </c>
      <c r="X1931">
        <v>2017</v>
      </c>
      <c r="Y1931">
        <v>2018</v>
      </c>
      <c r="Z1931">
        <v>860.36</v>
      </c>
      <c r="AB1931" t="s">
        <v>181</v>
      </c>
      <c r="AC1931" t="s">
        <v>182</v>
      </c>
      <c r="AD1931" t="s">
        <v>183</v>
      </c>
      <c r="AE1931">
        <v>0</v>
      </c>
      <c r="AF1931">
        <v>1</v>
      </c>
      <c r="AG1931" t="s">
        <v>821</v>
      </c>
      <c r="AH1931">
        <v>100</v>
      </c>
      <c r="AK1931">
        <v>0</v>
      </c>
      <c r="AL1931">
        <v>173321</v>
      </c>
      <c r="AM1931">
        <v>85000</v>
      </c>
      <c r="AN1931">
        <v>88321</v>
      </c>
      <c r="AO1931">
        <v>751</v>
      </c>
      <c r="AP1931">
        <v>2016</v>
      </c>
      <c r="AQ1931">
        <v>0.5</v>
      </c>
      <c r="AS1931" t="s">
        <v>23162</v>
      </c>
      <c r="AT1931" t="s">
        <v>15040</v>
      </c>
      <c r="AU1931" t="s">
        <v>177</v>
      </c>
      <c r="AV1931" t="s">
        <v>371</v>
      </c>
      <c r="AW1931" t="s">
        <v>202</v>
      </c>
      <c r="AX1931">
        <v>1</v>
      </c>
      <c r="AY1931" t="s">
        <v>188</v>
      </c>
      <c r="AZ1931" t="s">
        <v>206</v>
      </c>
      <c r="BA1931" t="s">
        <v>355</v>
      </c>
      <c r="BB1931" t="s">
        <v>191</v>
      </c>
      <c r="BC1931" t="s">
        <v>182</v>
      </c>
      <c r="BD1931" t="s">
        <v>182</v>
      </c>
      <c r="BE1931" t="s">
        <v>6085</v>
      </c>
      <c r="BF1931">
        <v>1</v>
      </c>
      <c r="BG1931">
        <v>1</v>
      </c>
      <c r="BH1931">
        <v>1986</v>
      </c>
      <c r="BI1931" t="s">
        <v>15015</v>
      </c>
      <c r="BJ1931" t="s">
        <v>194</v>
      </c>
      <c r="BK1931" t="s">
        <v>195</v>
      </c>
      <c r="BL1931" t="s">
        <v>199</v>
      </c>
      <c r="BM1931" t="s">
        <v>286</v>
      </c>
      <c r="BN1931" t="s">
        <v>182</v>
      </c>
      <c r="BO1931" t="s">
        <v>198</v>
      </c>
      <c r="BP1931" t="s">
        <v>198</v>
      </c>
      <c r="BQ1931" t="s">
        <v>198</v>
      </c>
      <c r="BR1931" t="s">
        <v>198</v>
      </c>
      <c r="BS1931" t="s">
        <v>198</v>
      </c>
      <c r="BT1931" t="s">
        <v>198</v>
      </c>
      <c r="BU1931" t="s">
        <v>182</v>
      </c>
      <c r="BV1931" t="s">
        <v>198</v>
      </c>
      <c r="BW1931" t="s">
        <v>198</v>
      </c>
      <c r="BX1931" t="s">
        <v>199</v>
      </c>
      <c r="BY1931" t="s">
        <v>198</v>
      </c>
      <c r="BZ1931" t="s">
        <v>199</v>
      </c>
      <c r="CA1931" t="s">
        <v>199</v>
      </c>
      <c r="CB1931" t="s">
        <v>23163</v>
      </c>
      <c r="CC1931" t="s">
        <v>1407</v>
      </c>
      <c r="CD1931" t="s">
        <v>202</v>
      </c>
      <c r="CE1931" t="s">
        <v>23164</v>
      </c>
      <c r="CF1931" t="s">
        <v>5331</v>
      </c>
      <c r="CG1931" t="s">
        <v>177</v>
      </c>
      <c r="CH1931" t="s">
        <v>371</v>
      </c>
      <c r="CI1931" t="s">
        <v>1335</v>
      </c>
      <c r="CJ1931" t="s">
        <v>16143</v>
      </c>
      <c r="CK1931" t="s">
        <v>292</v>
      </c>
      <c r="CL1931" t="s">
        <v>293</v>
      </c>
      <c r="CM1931" t="s">
        <v>23165</v>
      </c>
      <c r="CN1931" t="s">
        <v>235</v>
      </c>
      <c r="CO1931" t="s">
        <v>183</v>
      </c>
      <c r="CP1931" t="s">
        <v>211</v>
      </c>
      <c r="CQ1931" t="s">
        <v>339</v>
      </c>
      <c r="CS1931" t="s">
        <v>23166</v>
      </c>
      <c r="DC1931" t="s">
        <v>198</v>
      </c>
      <c r="DM1931" t="s">
        <v>198</v>
      </c>
      <c r="DW1931" t="s">
        <v>198</v>
      </c>
      <c r="EG1931" t="s">
        <v>198</v>
      </c>
      <c r="EQ1931" t="s">
        <v>198</v>
      </c>
      <c r="FA1931" t="s">
        <v>198</v>
      </c>
      <c r="FK1931" t="s">
        <v>198</v>
      </c>
      <c r="FU1931" t="s">
        <v>198</v>
      </c>
    </row>
    <row r="1932" spans="1:177">
      <c r="A1932" s="1" t="str">
        <f>HYPERLINK("http://digipan.lumentumllc.com/apps/getLink/index.php?t=PropLink&amp;p=6128622","PL")</f>
        <v>PL</v>
      </c>
      <c r="B1932" s="1" t="str">
        <f>HYPERLINK("http://digipan.lumentumllc.com/apps/getLink/index.php?t=TaxLink&amp;p=6128622","TL")</f>
        <v>TL</v>
      </c>
      <c r="C1932" s="1" t="str">
        <f>HYPERLINK("http://digipan.lumentumllc.com/apps/getMap/index.php?p=6128622","Map")</f>
        <v>Map</v>
      </c>
      <c r="E1932" t="s">
        <v>177</v>
      </c>
      <c r="F1932" t="s">
        <v>178</v>
      </c>
      <c r="L1932" t="s">
        <v>23167</v>
      </c>
      <c r="N1932" t="s">
        <v>23167</v>
      </c>
      <c r="O1932" t="s">
        <v>23167</v>
      </c>
      <c r="P1932" t="s">
        <v>23168</v>
      </c>
      <c r="Q1932" t="s">
        <v>23167</v>
      </c>
      <c r="V1932">
        <v>2209</v>
      </c>
      <c r="W1932">
        <v>7</v>
      </c>
      <c r="X1932">
        <v>2017</v>
      </c>
      <c r="Y1932">
        <v>2018</v>
      </c>
      <c r="Z1932">
        <v>616.35</v>
      </c>
      <c r="AB1932" t="s">
        <v>181</v>
      </c>
      <c r="AC1932" t="s">
        <v>182</v>
      </c>
      <c r="AD1932" t="s">
        <v>183</v>
      </c>
      <c r="AE1932">
        <v>0</v>
      </c>
      <c r="AF1932">
        <v>3</v>
      </c>
      <c r="AG1932" t="s">
        <v>216</v>
      </c>
      <c r="AH1932">
        <v>100</v>
      </c>
      <c r="AK1932">
        <v>0</v>
      </c>
      <c r="AL1932">
        <v>169480</v>
      </c>
      <c r="AM1932">
        <v>70000</v>
      </c>
      <c r="AN1932">
        <v>99480</v>
      </c>
      <c r="AO1932">
        <v>540</v>
      </c>
      <c r="AP1932">
        <v>2016</v>
      </c>
      <c r="AQ1932">
        <v>0.36</v>
      </c>
      <c r="AS1932" t="s">
        <v>23169</v>
      </c>
      <c r="AT1932" t="s">
        <v>15040</v>
      </c>
      <c r="AU1932" t="s">
        <v>177</v>
      </c>
      <c r="AV1932" t="s">
        <v>371</v>
      </c>
      <c r="AW1932" t="s">
        <v>202</v>
      </c>
      <c r="AX1932">
        <v>1</v>
      </c>
      <c r="AY1932" t="s">
        <v>188</v>
      </c>
      <c r="AZ1932" t="s">
        <v>206</v>
      </c>
      <c r="BA1932" t="s">
        <v>355</v>
      </c>
      <c r="BB1932" t="s">
        <v>191</v>
      </c>
      <c r="BC1932" t="s">
        <v>182</v>
      </c>
      <c r="BD1932" t="s">
        <v>182</v>
      </c>
      <c r="BE1932" t="s">
        <v>5689</v>
      </c>
      <c r="BF1932">
        <v>1</v>
      </c>
      <c r="BG1932">
        <v>1</v>
      </c>
      <c r="BH1932">
        <v>1986</v>
      </c>
      <c r="BI1932" t="s">
        <v>17089</v>
      </c>
      <c r="BJ1932" t="s">
        <v>194</v>
      </c>
      <c r="BK1932" t="s">
        <v>195</v>
      </c>
      <c r="BL1932" t="s">
        <v>23170</v>
      </c>
      <c r="BM1932" t="s">
        <v>981</v>
      </c>
      <c r="BN1932" t="s">
        <v>182</v>
      </c>
      <c r="BO1932" t="s">
        <v>5326</v>
      </c>
      <c r="BP1932" t="s">
        <v>23171</v>
      </c>
      <c r="BQ1932" t="s">
        <v>1285</v>
      </c>
      <c r="BR1932" t="s">
        <v>582</v>
      </c>
      <c r="BS1932" t="s">
        <v>8476</v>
      </c>
      <c r="BT1932" t="s">
        <v>22111</v>
      </c>
      <c r="BU1932" t="s">
        <v>182</v>
      </c>
      <c r="BV1932" t="s">
        <v>198</v>
      </c>
      <c r="BW1932" t="s">
        <v>198</v>
      </c>
      <c r="BX1932" t="s">
        <v>199</v>
      </c>
      <c r="BY1932" t="s">
        <v>198</v>
      </c>
      <c r="BZ1932" t="s">
        <v>199</v>
      </c>
      <c r="CA1932" t="s">
        <v>199</v>
      </c>
      <c r="CB1932" t="s">
        <v>23172</v>
      </c>
      <c r="CC1932" t="s">
        <v>201</v>
      </c>
      <c r="CD1932" t="s">
        <v>182</v>
      </c>
      <c r="CE1932" t="s">
        <v>23173</v>
      </c>
      <c r="CF1932" t="s">
        <v>5331</v>
      </c>
      <c r="CG1932" t="s">
        <v>177</v>
      </c>
      <c r="CH1932" t="s">
        <v>371</v>
      </c>
      <c r="CI1932" t="s">
        <v>23174</v>
      </c>
      <c r="CJ1932" t="s">
        <v>23175</v>
      </c>
      <c r="CK1932" t="s">
        <v>232</v>
      </c>
      <c r="CL1932" t="s">
        <v>233</v>
      </c>
      <c r="CM1932" t="s">
        <v>23176</v>
      </c>
      <c r="CN1932" t="s">
        <v>235</v>
      </c>
      <c r="CO1932" t="s">
        <v>183</v>
      </c>
      <c r="CP1932" t="s">
        <v>211</v>
      </c>
      <c r="CQ1932" t="s">
        <v>199</v>
      </c>
      <c r="CS1932" t="s">
        <v>1008</v>
      </c>
      <c r="CT1932" t="s">
        <v>23177</v>
      </c>
      <c r="CU1932" t="s">
        <v>302</v>
      </c>
      <c r="CV1932" t="s">
        <v>303</v>
      </c>
      <c r="CW1932" t="s">
        <v>23178</v>
      </c>
      <c r="CX1932" t="s">
        <v>235</v>
      </c>
      <c r="CY1932" t="s">
        <v>183</v>
      </c>
      <c r="CZ1932" t="s">
        <v>211</v>
      </c>
      <c r="DA1932" t="s">
        <v>206</v>
      </c>
      <c r="DC1932" t="s">
        <v>18471</v>
      </c>
      <c r="DD1932" t="s">
        <v>12513</v>
      </c>
      <c r="DE1932" t="s">
        <v>207</v>
      </c>
      <c r="DF1932" t="s">
        <v>208</v>
      </c>
      <c r="DG1932" t="s">
        <v>23179</v>
      </c>
      <c r="DH1932" t="s">
        <v>235</v>
      </c>
      <c r="DI1932" t="s">
        <v>183</v>
      </c>
      <c r="DJ1932" t="s">
        <v>211</v>
      </c>
      <c r="DK1932" t="s">
        <v>199</v>
      </c>
      <c r="DM1932" t="s">
        <v>7835</v>
      </c>
      <c r="DW1932" t="s">
        <v>198</v>
      </c>
      <c r="EG1932" t="s">
        <v>198</v>
      </c>
      <c r="EQ1932" t="s">
        <v>198</v>
      </c>
      <c r="FA1932" t="s">
        <v>198</v>
      </c>
      <c r="FK1932" t="s">
        <v>198</v>
      </c>
      <c r="FU1932" t="s">
        <v>198</v>
      </c>
    </row>
    <row r="1933" spans="1:177">
      <c r="A1933" s="1" t="str">
        <f>HYPERLINK("http://digipan.lumentumllc.com/apps/getLink/index.php?t=PropLink&amp;p=15726660","PL")</f>
        <v>PL</v>
      </c>
      <c r="B1933" s="1" t="str">
        <f>HYPERLINK("http://digipan.lumentumllc.com/apps/getLink/index.php?t=TaxLink&amp;p=15726660","TL")</f>
        <v>TL</v>
      </c>
      <c r="C1933" s="1" t="str">
        <f>HYPERLINK("http://digipan.lumentumllc.com/apps/getMap/index.php?p=15726660","Map")</f>
        <v>Map</v>
      </c>
      <c r="E1933" t="s">
        <v>177</v>
      </c>
      <c r="F1933" t="s">
        <v>178</v>
      </c>
      <c r="L1933" t="s">
        <v>23180</v>
      </c>
      <c r="N1933" t="s">
        <v>23180</v>
      </c>
      <c r="O1933" t="s">
        <v>23180</v>
      </c>
      <c r="Q1933" t="s">
        <v>23180</v>
      </c>
      <c r="V1933">
        <v>2210</v>
      </c>
      <c r="W1933">
        <v>7</v>
      </c>
      <c r="X1933">
        <v>2017</v>
      </c>
      <c r="Y1933">
        <v>2018</v>
      </c>
      <c r="Z1933">
        <v>2059.4899999999998</v>
      </c>
      <c r="AB1933" t="s">
        <v>181</v>
      </c>
      <c r="AC1933" t="s">
        <v>182</v>
      </c>
      <c r="AD1933" t="s">
        <v>183</v>
      </c>
      <c r="AE1933">
        <v>1</v>
      </c>
      <c r="AF1933">
        <v>0</v>
      </c>
      <c r="AG1933" t="s">
        <v>1200</v>
      </c>
      <c r="AH1933">
        <v>0</v>
      </c>
      <c r="AI1933">
        <v>1863.84</v>
      </c>
      <c r="AJ1933">
        <v>93.19</v>
      </c>
      <c r="AK1933">
        <v>1957.03</v>
      </c>
      <c r="AL1933">
        <v>124660</v>
      </c>
      <c r="AM1933">
        <v>55000</v>
      </c>
      <c r="AN1933">
        <v>69660</v>
      </c>
      <c r="AO1933">
        <v>1698</v>
      </c>
      <c r="AP1933">
        <v>2016</v>
      </c>
      <c r="AQ1933">
        <v>1.65</v>
      </c>
      <c r="AR1933">
        <v>1.57</v>
      </c>
      <c r="AS1933" t="s">
        <v>23181</v>
      </c>
      <c r="AT1933" t="s">
        <v>15040</v>
      </c>
      <c r="AU1933" t="s">
        <v>177</v>
      </c>
      <c r="AV1933" t="s">
        <v>371</v>
      </c>
      <c r="AW1933" t="s">
        <v>182</v>
      </c>
      <c r="AX1933">
        <v>1</v>
      </c>
      <c r="AY1933" t="s">
        <v>188</v>
      </c>
      <c r="AZ1933" t="s">
        <v>206</v>
      </c>
      <c r="BA1933" t="s">
        <v>355</v>
      </c>
      <c r="BB1933" t="s">
        <v>191</v>
      </c>
      <c r="BC1933" t="s">
        <v>182</v>
      </c>
      <c r="BD1933" t="s">
        <v>182</v>
      </c>
      <c r="BE1933" t="s">
        <v>5880</v>
      </c>
      <c r="BF1933">
        <v>1</v>
      </c>
      <c r="BG1933">
        <v>1</v>
      </c>
      <c r="BH1933">
        <v>1960</v>
      </c>
      <c r="BI1933" t="s">
        <v>16577</v>
      </c>
      <c r="BJ1933" t="s">
        <v>194</v>
      </c>
      <c r="BK1933" t="s">
        <v>195</v>
      </c>
      <c r="BL1933" t="s">
        <v>5504</v>
      </c>
      <c r="BM1933" t="s">
        <v>325</v>
      </c>
      <c r="BN1933" t="s">
        <v>182</v>
      </c>
      <c r="BO1933" t="s">
        <v>17481</v>
      </c>
      <c r="BP1933" t="s">
        <v>2421</v>
      </c>
      <c r="BQ1933" t="s">
        <v>800</v>
      </c>
      <c r="BS1933" t="s">
        <v>198</v>
      </c>
      <c r="BT1933" t="s">
        <v>23182</v>
      </c>
      <c r="BU1933" t="s">
        <v>182</v>
      </c>
      <c r="BV1933" t="s">
        <v>198</v>
      </c>
      <c r="BW1933" t="s">
        <v>198</v>
      </c>
      <c r="BX1933" t="s">
        <v>199</v>
      </c>
      <c r="BY1933" t="s">
        <v>198</v>
      </c>
      <c r="BZ1933" t="s">
        <v>199</v>
      </c>
      <c r="CA1933" t="s">
        <v>199</v>
      </c>
      <c r="CB1933" t="s">
        <v>23183</v>
      </c>
      <c r="CC1933" t="s">
        <v>201</v>
      </c>
      <c r="CD1933" t="s">
        <v>202</v>
      </c>
      <c r="CE1933" t="s">
        <v>23184</v>
      </c>
      <c r="CF1933" t="s">
        <v>5331</v>
      </c>
      <c r="CG1933" t="s">
        <v>177</v>
      </c>
      <c r="CH1933" t="s">
        <v>371</v>
      </c>
      <c r="CI1933" t="s">
        <v>4622</v>
      </c>
      <c r="CJ1933" t="s">
        <v>23185</v>
      </c>
      <c r="CK1933" t="s">
        <v>232</v>
      </c>
      <c r="CL1933" t="s">
        <v>233</v>
      </c>
      <c r="CM1933" t="s">
        <v>23186</v>
      </c>
      <c r="CN1933" t="s">
        <v>235</v>
      </c>
      <c r="CO1933" t="s">
        <v>183</v>
      </c>
      <c r="CP1933" t="s">
        <v>266</v>
      </c>
      <c r="CS1933" t="s">
        <v>198</v>
      </c>
      <c r="DC1933" t="s">
        <v>198</v>
      </c>
      <c r="DM1933" t="s">
        <v>198</v>
      </c>
      <c r="DW1933" t="s">
        <v>198</v>
      </c>
      <c r="EG1933" t="s">
        <v>198</v>
      </c>
      <c r="EQ1933" t="s">
        <v>198</v>
      </c>
      <c r="FA1933" t="s">
        <v>198</v>
      </c>
      <c r="FK1933" t="s">
        <v>198</v>
      </c>
      <c r="FU1933" t="s">
        <v>198</v>
      </c>
    </row>
    <row r="1934" spans="1:177">
      <c r="A1934" s="1" t="str">
        <f>HYPERLINK("http://digipan.lumentumllc.com/apps/getLink/index.php?t=PropLink&amp;p=6128624","PL")</f>
        <v>PL</v>
      </c>
      <c r="B1934" s="1" t="str">
        <f>HYPERLINK("http://digipan.lumentumllc.com/apps/getLink/index.php?t=TaxLink&amp;p=6128624","TL")</f>
        <v>TL</v>
      </c>
      <c r="C1934" s="1" t="str">
        <f>HYPERLINK("http://digipan.lumentumllc.com/apps/getMap/index.php?p=6128624","Map")</f>
        <v>Map</v>
      </c>
      <c r="E1934" t="s">
        <v>177</v>
      </c>
      <c r="F1934" t="s">
        <v>178</v>
      </c>
      <c r="L1934" t="s">
        <v>23187</v>
      </c>
      <c r="N1934" t="s">
        <v>23187</v>
      </c>
      <c r="O1934" t="s">
        <v>23187</v>
      </c>
      <c r="P1934" t="s">
        <v>23188</v>
      </c>
      <c r="Q1934" t="s">
        <v>23187</v>
      </c>
      <c r="V1934">
        <v>2211</v>
      </c>
      <c r="W1934">
        <v>7</v>
      </c>
      <c r="X1934">
        <v>2017</v>
      </c>
      <c r="Y1934">
        <v>2018</v>
      </c>
      <c r="Z1934">
        <v>2996.84</v>
      </c>
      <c r="AB1934" t="s">
        <v>181</v>
      </c>
      <c r="AC1934" t="s">
        <v>182</v>
      </c>
      <c r="AD1934" t="s">
        <v>183</v>
      </c>
      <c r="AE1934">
        <v>0</v>
      </c>
      <c r="AF1934">
        <v>7</v>
      </c>
      <c r="AG1934" t="s">
        <v>528</v>
      </c>
      <c r="AH1934">
        <v>100</v>
      </c>
      <c r="AK1934">
        <v>0</v>
      </c>
      <c r="AL1934">
        <v>178125</v>
      </c>
      <c r="AM1934">
        <v>178125</v>
      </c>
      <c r="AN1934">
        <v>0</v>
      </c>
      <c r="AO1934">
        <v>2781</v>
      </c>
      <c r="AP1934">
        <v>2016</v>
      </c>
      <c r="AQ1934">
        <v>1.68</v>
      </c>
      <c r="AS1934" t="s">
        <v>23189</v>
      </c>
      <c r="AT1934" t="s">
        <v>15040</v>
      </c>
      <c r="AU1934" t="s">
        <v>177</v>
      </c>
      <c r="AV1934" t="s">
        <v>371</v>
      </c>
      <c r="AW1934" t="s">
        <v>182</v>
      </c>
      <c r="AX1934">
        <v>0</v>
      </c>
      <c r="AY1934" t="s">
        <v>312</v>
      </c>
      <c r="AZ1934" t="s">
        <v>199</v>
      </c>
      <c r="BA1934" t="s">
        <v>313</v>
      </c>
      <c r="BB1934" t="s">
        <v>191</v>
      </c>
      <c r="BC1934" t="s">
        <v>182</v>
      </c>
      <c r="BD1934" t="s">
        <v>182</v>
      </c>
      <c r="BE1934" t="s">
        <v>2589</v>
      </c>
      <c r="BF1934">
        <v>0</v>
      </c>
      <c r="BG1934">
        <v>0</v>
      </c>
      <c r="BH1934">
        <v>0</v>
      </c>
      <c r="BI1934" t="s">
        <v>199</v>
      </c>
      <c r="BJ1934" t="s">
        <v>315</v>
      </c>
      <c r="BL1934" t="s">
        <v>23190</v>
      </c>
      <c r="BM1934" t="s">
        <v>559</v>
      </c>
      <c r="BN1934" t="s">
        <v>182</v>
      </c>
      <c r="BO1934" t="s">
        <v>18455</v>
      </c>
      <c r="BP1934" t="s">
        <v>16720</v>
      </c>
      <c r="BQ1934" t="s">
        <v>800</v>
      </c>
      <c r="BR1934" t="s">
        <v>1897</v>
      </c>
      <c r="BS1934" t="s">
        <v>198</v>
      </c>
      <c r="BT1934" t="s">
        <v>17728</v>
      </c>
      <c r="BU1934" t="s">
        <v>182</v>
      </c>
      <c r="BV1934" t="s">
        <v>198</v>
      </c>
      <c r="BW1934" t="s">
        <v>198</v>
      </c>
      <c r="BX1934" t="s">
        <v>199</v>
      </c>
      <c r="BY1934" t="s">
        <v>198</v>
      </c>
      <c r="BZ1934" t="s">
        <v>199</v>
      </c>
      <c r="CA1934" t="s">
        <v>199</v>
      </c>
      <c r="CB1934" t="s">
        <v>23191</v>
      </c>
      <c r="CC1934" t="s">
        <v>201</v>
      </c>
      <c r="CD1934" t="s">
        <v>182</v>
      </c>
      <c r="CE1934" t="s">
        <v>23192</v>
      </c>
      <c r="CF1934" t="s">
        <v>5331</v>
      </c>
      <c r="CG1934" t="s">
        <v>177</v>
      </c>
      <c r="CH1934" t="s">
        <v>371</v>
      </c>
      <c r="CI1934" t="s">
        <v>23193</v>
      </c>
      <c r="CJ1934" t="s">
        <v>16049</v>
      </c>
      <c r="CK1934" t="s">
        <v>232</v>
      </c>
      <c r="CL1934" t="s">
        <v>233</v>
      </c>
      <c r="CM1934" t="s">
        <v>23194</v>
      </c>
      <c r="CN1934" t="s">
        <v>235</v>
      </c>
      <c r="CO1934" t="s">
        <v>183</v>
      </c>
      <c r="CP1934" t="s">
        <v>211</v>
      </c>
      <c r="CQ1934" t="s">
        <v>339</v>
      </c>
      <c r="CS1934" t="s">
        <v>2887</v>
      </c>
      <c r="CT1934" t="s">
        <v>19680</v>
      </c>
      <c r="CU1934" t="s">
        <v>292</v>
      </c>
      <c r="CV1934" t="s">
        <v>293</v>
      </c>
      <c r="CW1934" t="s">
        <v>23195</v>
      </c>
      <c r="CX1934" t="s">
        <v>235</v>
      </c>
      <c r="CY1934" t="s">
        <v>183</v>
      </c>
      <c r="CZ1934" t="s">
        <v>211</v>
      </c>
      <c r="DA1934" t="s">
        <v>339</v>
      </c>
      <c r="DC1934" t="s">
        <v>12539</v>
      </c>
      <c r="DD1934" t="s">
        <v>981</v>
      </c>
      <c r="DE1934" t="s">
        <v>267</v>
      </c>
      <c r="DF1934" t="s">
        <v>268</v>
      </c>
      <c r="DG1934" t="s">
        <v>23196</v>
      </c>
      <c r="DH1934" t="s">
        <v>235</v>
      </c>
      <c r="DI1934" t="s">
        <v>183</v>
      </c>
      <c r="DJ1934" t="s">
        <v>211</v>
      </c>
      <c r="DK1934" t="s">
        <v>264</v>
      </c>
      <c r="DM1934" t="s">
        <v>5255</v>
      </c>
      <c r="DN1934" t="s">
        <v>15987</v>
      </c>
      <c r="DO1934" t="s">
        <v>273</v>
      </c>
      <c r="DP1934" t="s">
        <v>274</v>
      </c>
      <c r="DQ1934" t="s">
        <v>23197</v>
      </c>
      <c r="DR1934" t="s">
        <v>235</v>
      </c>
      <c r="DS1934" t="s">
        <v>183</v>
      </c>
      <c r="DT1934" t="s">
        <v>211</v>
      </c>
      <c r="DU1934" t="s">
        <v>342</v>
      </c>
      <c r="DW1934" t="s">
        <v>2553</v>
      </c>
      <c r="DX1934" t="s">
        <v>23198</v>
      </c>
      <c r="DY1934" t="s">
        <v>302</v>
      </c>
      <c r="DZ1934" t="s">
        <v>303</v>
      </c>
      <c r="EA1934" t="s">
        <v>23199</v>
      </c>
      <c r="EB1934" t="s">
        <v>235</v>
      </c>
      <c r="EC1934" t="s">
        <v>183</v>
      </c>
      <c r="ED1934" t="s">
        <v>211</v>
      </c>
      <c r="EE1934" t="s">
        <v>339</v>
      </c>
      <c r="EG1934" t="s">
        <v>4832</v>
      </c>
      <c r="EH1934" t="s">
        <v>1757</v>
      </c>
      <c r="EI1934" t="s">
        <v>238</v>
      </c>
      <c r="EJ1934" t="s">
        <v>239</v>
      </c>
      <c r="EK1934" t="s">
        <v>23200</v>
      </c>
      <c r="EL1934" t="s">
        <v>235</v>
      </c>
      <c r="EM1934" t="s">
        <v>183</v>
      </c>
      <c r="EN1934" t="s">
        <v>211</v>
      </c>
      <c r="EO1934" t="s">
        <v>339</v>
      </c>
      <c r="EQ1934" t="s">
        <v>11918</v>
      </c>
      <c r="ER1934" t="s">
        <v>12652</v>
      </c>
      <c r="ES1934" t="s">
        <v>207</v>
      </c>
      <c r="ET1934" t="s">
        <v>208</v>
      </c>
      <c r="EU1934" t="s">
        <v>23201</v>
      </c>
      <c r="EV1934" t="s">
        <v>1676</v>
      </c>
      <c r="EW1934" t="s">
        <v>183</v>
      </c>
      <c r="EX1934" t="s">
        <v>211</v>
      </c>
      <c r="EY1934" t="s">
        <v>342</v>
      </c>
      <c r="FA1934" t="s">
        <v>4036</v>
      </c>
      <c r="FK1934" t="s">
        <v>198</v>
      </c>
      <c r="FU1934" t="s">
        <v>198</v>
      </c>
    </row>
    <row r="1935" spans="1:177">
      <c r="A1935" s="1" t="str">
        <f>HYPERLINK("http://digipan.lumentumllc.com/apps/getLink/index.php?t=PropLink&amp;p=15726718","PL")</f>
        <v>PL</v>
      </c>
      <c r="B1935" s="1" t="str">
        <f>HYPERLINK("http://digipan.lumentumllc.com/apps/getLink/index.php?t=TaxLink&amp;p=15726718","TL")</f>
        <v>TL</v>
      </c>
      <c r="C1935" s="1" t="str">
        <f>HYPERLINK("http://digipan.lumentumllc.com/apps/getMap/index.php?p=15726718","Map")</f>
        <v>Map</v>
      </c>
      <c r="E1935" t="s">
        <v>177</v>
      </c>
      <c r="F1935" t="s">
        <v>178</v>
      </c>
      <c r="L1935" t="s">
        <v>23202</v>
      </c>
      <c r="N1935" t="s">
        <v>23202</v>
      </c>
      <c r="O1935" t="s">
        <v>23202</v>
      </c>
      <c r="Q1935" t="s">
        <v>23202</v>
      </c>
      <c r="V1935">
        <v>2212</v>
      </c>
      <c r="W1935">
        <v>7</v>
      </c>
      <c r="X1935">
        <v>2017</v>
      </c>
      <c r="Y1935">
        <v>2018</v>
      </c>
      <c r="Z1935">
        <v>19094.990000000002</v>
      </c>
      <c r="AB1935" t="s">
        <v>181</v>
      </c>
      <c r="AC1935" t="s">
        <v>182</v>
      </c>
      <c r="AD1935" t="s">
        <v>183</v>
      </c>
      <c r="AE1935">
        <v>0</v>
      </c>
      <c r="AF1935">
        <v>1</v>
      </c>
      <c r="AG1935" t="s">
        <v>821</v>
      </c>
      <c r="AH1935">
        <v>100</v>
      </c>
      <c r="AK1935">
        <v>0</v>
      </c>
      <c r="AL1935">
        <v>1315604</v>
      </c>
      <c r="AM1935">
        <v>592040</v>
      </c>
      <c r="AN1935">
        <v>723564</v>
      </c>
      <c r="AO1935">
        <v>16667</v>
      </c>
      <c r="AP1935">
        <v>2016</v>
      </c>
      <c r="AQ1935">
        <v>1.45</v>
      </c>
      <c r="AS1935" t="s">
        <v>23203</v>
      </c>
      <c r="AT1935" t="s">
        <v>15040</v>
      </c>
      <c r="AU1935" t="s">
        <v>177</v>
      </c>
      <c r="AV1935" t="s">
        <v>371</v>
      </c>
      <c r="AW1935" t="s">
        <v>202</v>
      </c>
      <c r="AX1935">
        <v>1</v>
      </c>
      <c r="AY1935" t="s">
        <v>188</v>
      </c>
      <c r="AZ1935" t="s">
        <v>206</v>
      </c>
      <c r="BA1935" t="s">
        <v>355</v>
      </c>
      <c r="BB1935" t="s">
        <v>191</v>
      </c>
      <c r="BC1935" t="s">
        <v>182</v>
      </c>
      <c r="BD1935" t="s">
        <v>182</v>
      </c>
      <c r="BE1935" t="s">
        <v>14483</v>
      </c>
      <c r="BF1935">
        <v>3</v>
      </c>
      <c r="BG1935">
        <v>3</v>
      </c>
      <c r="BH1935">
        <v>2001</v>
      </c>
      <c r="BI1935" t="s">
        <v>23204</v>
      </c>
      <c r="BJ1935" t="s">
        <v>396</v>
      </c>
      <c r="BK1935" t="s">
        <v>195</v>
      </c>
      <c r="BL1935" t="s">
        <v>23205</v>
      </c>
      <c r="BM1935" t="s">
        <v>267</v>
      </c>
      <c r="BN1935" t="s">
        <v>182</v>
      </c>
      <c r="BO1935" t="s">
        <v>23206</v>
      </c>
      <c r="BP1935" t="s">
        <v>23207</v>
      </c>
      <c r="BQ1935" t="s">
        <v>800</v>
      </c>
      <c r="BR1935" t="s">
        <v>563</v>
      </c>
      <c r="BS1935" t="s">
        <v>198</v>
      </c>
      <c r="BT1935" t="s">
        <v>22867</v>
      </c>
      <c r="BU1935" t="s">
        <v>182</v>
      </c>
      <c r="BV1935" t="s">
        <v>198</v>
      </c>
      <c r="BW1935" t="s">
        <v>198</v>
      </c>
      <c r="BX1935" t="s">
        <v>199</v>
      </c>
      <c r="BY1935" t="s">
        <v>198</v>
      </c>
      <c r="BZ1935" t="s">
        <v>199</v>
      </c>
      <c r="CA1935" t="s">
        <v>199</v>
      </c>
      <c r="CB1935" t="s">
        <v>23208</v>
      </c>
      <c r="CC1935" t="s">
        <v>201</v>
      </c>
      <c r="CD1935" t="s">
        <v>182</v>
      </c>
      <c r="CE1935" t="s">
        <v>23209</v>
      </c>
      <c r="CF1935" t="s">
        <v>5331</v>
      </c>
      <c r="CG1935" t="s">
        <v>177</v>
      </c>
      <c r="CH1935" t="s">
        <v>371</v>
      </c>
      <c r="CI1935" t="s">
        <v>23210</v>
      </c>
      <c r="CJ1935" t="s">
        <v>16070</v>
      </c>
      <c r="CK1935" t="s">
        <v>232</v>
      </c>
      <c r="CL1935" t="s">
        <v>233</v>
      </c>
      <c r="CM1935" t="s">
        <v>23211</v>
      </c>
      <c r="CN1935" t="s">
        <v>235</v>
      </c>
      <c r="CO1935" t="s">
        <v>183</v>
      </c>
      <c r="CP1935" t="s">
        <v>211</v>
      </c>
      <c r="CQ1935" t="s">
        <v>199</v>
      </c>
      <c r="CS1935" t="s">
        <v>2774</v>
      </c>
      <c r="DC1935" t="s">
        <v>198</v>
      </c>
      <c r="DM1935" t="s">
        <v>198</v>
      </c>
      <c r="DW1935" t="s">
        <v>198</v>
      </c>
      <c r="EG1935" t="s">
        <v>198</v>
      </c>
      <c r="EQ1935" t="s">
        <v>198</v>
      </c>
      <c r="FA1935" t="s">
        <v>198</v>
      </c>
      <c r="FK1935" t="s">
        <v>198</v>
      </c>
      <c r="FU1935" t="s">
        <v>198</v>
      </c>
    </row>
    <row r="1936" spans="1:177">
      <c r="A1936" s="1" t="str">
        <f>HYPERLINK("http://digipan.lumentumllc.com/apps/getLink/index.php?t=PropLink&amp;p=6594012","PL")</f>
        <v>PL</v>
      </c>
      <c r="B1936" s="1" t="str">
        <f>HYPERLINK("http://digipan.lumentumllc.com/apps/getLink/index.php?t=TaxLink&amp;p=6594012","TL")</f>
        <v>TL</v>
      </c>
      <c r="C1936" s="1" t="str">
        <f>HYPERLINK("http://digipan.lumentumllc.com/apps/getMap/index.php?p=6594012","Map")</f>
        <v>Map</v>
      </c>
      <c r="E1936" t="s">
        <v>177</v>
      </c>
      <c r="F1936" t="s">
        <v>178</v>
      </c>
      <c r="L1936" t="s">
        <v>23212</v>
      </c>
      <c r="N1936" t="s">
        <v>23212</v>
      </c>
      <c r="O1936" t="s">
        <v>23212</v>
      </c>
      <c r="P1936" t="s">
        <v>23213</v>
      </c>
      <c r="Q1936" t="s">
        <v>23212</v>
      </c>
      <c r="V1936">
        <v>2213</v>
      </c>
      <c r="W1936">
        <v>7</v>
      </c>
      <c r="X1936">
        <v>2017</v>
      </c>
      <c r="Y1936">
        <v>2018</v>
      </c>
      <c r="Z1936">
        <v>1367.93</v>
      </c>
      <c r="AB1936" t="s">
        <v>181</v>
      </c>
      <c r="AC1936" t="s">
        <v>182</v>
      </c>
      <c r="AD1936" t="s">
        <v>183</v>
      </c>
      <c r="AE1936">
        <v>0</v>
      </c>
      <c r="AF1936">
        <v>1</v>
      </c>
      <c r="AG1936" t="s">
        <v>821</v>
      </c>
      <c r="AH1936">
        <v>100</v>
      </c>
      <c r="AK1936">
        <v>0</v>
      </c>
      <c r="AL1936">
        <v>80261</v>
      </c>
      <c r="AM1936">
        <v>45000</v>
      </c>
      <c r="AN1936">
        <v>35261</v>
      </c>
      <c r="AO1936">
        <v>1257</v>
      </c>
      <c r="AP1936">
        <v>2016</v>
      </c>
      <c r="AQ1936">
        <v>1.7</v>
      </c>
      <c r="AS1936" t="s">
        <v>23214</v>
      </c>
      <c r="AT1936" t="s">
        <v>15040</v>
      </c>
      <c r="AU1936" t="s">
        <v>177</v>
      </c>
      <c r="AV1936" t="s">
        <v>371</v>
      </c>
      <c r="AW1936" t="s">
        <v>182</v>
      </c>
      <c r="AX1936">
        <v>1</v>
      </c>
      <c r="AY1936" t="s">
        <v>188</v>
      </c>
      <c r="AZ1936" t="s">
        <v>206</v>
      </c>
      <c r="BA1936" t="s">
        <v>355</v>
      </c>
      <c r="BB1936" t="s">
        <v>191</v>
      </c>
      <c r="BC1936" t="s">
        <v>182</v>
      </c>
      <c r="BD1936" t="s">
        <v>182</v>
      </c>
      <c r="BE1936" t="s">
        <v>3682</v>
      </c>
      <c r="BF1936">
        <v>1</v>
      </c>
      <c r="BG1936">
        <v>1</v>
      </c>
      <c r="BH1936">
        <v>1950</v>
      </c>
      <c r="BI1936" t="s">
        <v>13278</v>
      </c>
      <c r="BJ1936" t="s">
        <v>194</v>
      </c>
      <c r="BK1936" t="s">
        <v>195</v>
      </c>
      <c r="BL1936" t="s">
        <v>199</v>
      </c>
      <c r="BM1936" t="s">
        <v>267</v>
      </c>
      <c r="BN1936" t="s">
        <v>182</v>
      </c>
      <c r="BO1936" t="s">
        <v>198</v>
      </c>
      <c r="BP1936" t="s">
        <v>198</v>
      </c>
      <c r="BQ1936" t="s">
        <v>198</v>
      </c>
      <c r="BR1936" t="s">
        <v>198</v>
      </c>
      <c r="BS1936" t="s">
        <v>198</v>
      </c>
      <c r="BT1936" t="s">
        <v>198</v>
      </c>
      <c r="BU1936" t="s">
        <v>182</v>
      </c>
      <c r="BV1936" t="s">
        <v>198</v>
      </c>
      <c r="BW1936" t="s">
        <v>198</v>
      </c>
      <c r="BX1936" t="s">
        <v>199</v>
      </c>
      <c r="BY1936" t="s">
        <v>198</v>
      </c>
      <c r="BZ1936" t="s">
        <v>199</v>
      </c>
      <c r="CA1936" t="s">
        <v>199</v>
      </c>
      <c r="CB1936" t="s">
        <v>23215</v>
      </c>
      <c r="CC1936" t="s">
        <v>201</v>
      </c>
      <c r="CD1936" t="s">
        <v>202</v>
      </c>
      <c r="CE1936" t="s">
        <v>23216</v>
      </c>
      <c r="CF1936" t="s">
        <v>5331</v>
      </c>
      <c r="CG1936" t="s">
        <v>177</v>
      </c>
      <c r="CH1936" t="s">
        <v>371</v>
      </c>
      <c r="CI1936" t="s">
        <v>8713</v>
      </c>
      <c r="CJ1936" t="s">
        <v>3644</v>
      </c>
      <c r="CK1936" t="s">
        <v>267</v>
      </c>
      <c r="CL1936" t="s">
        <v>268</v>
      </c>
      <c r="CM1936" t="s">
        <v>23217</v>
      </c>
      <c r="CN1936" t="s">
        <v>235</v>
      </c>
      <c r="CO1936" t="s">
        <v>183</v>
      </c>
      <c r="CP1936" t="s">
        <v>211</v>
      </c>
      <c r="CQ1936" t="s">
        <v>342</v>
      </c>
      <c r="CS1936" t="s">
        <v>3805</v>
      </c>
      <c r="DC1936" t="s">
        <v>198</v>
      </c>
      <c r="DM1936" t="s">
        <v>198</v>
      </c>
      <c r="DW1936" t="s">
        <v>198</v>
      </c>
      <c r="EG1936" t="s">
        <v>198</v>
      </c>
      <c r="EQ1936" t="s">
        <v>198</v>
      </c>
      <c r="FA1936" t="s">
        <v>198</v>
      </c>
      <c r="FK1936" t="s">
        <v>198</v>
      </c>
      <c r="FU1936" t="s">
        <v>198</v>
      </c>
    </row>
    <row r="1937" spans="1:177">
      <c r="A1937" s="1" t="str">
        <f>HYPERLINK("http://digipan.lumentumllc.com/apps/getLink/index.php?t=PropLink&amp;p=4636748","PL")</f>
        <v>PL</v>
      </c>
      <c r="B1937" s="1" t="str">
        <f>HYPERLINK("http://digipan.lumentumllc.com/apps/getLink/index.php?t=TaxLink&amp;p=4636748","TL")</f>
        <v>TL</v>
      </c>
      <c r="C1937" s="1" t="str">
        <f>HYPERLINK("http://digipan.lumentumllc.com/apps/getMap/index.php?p=4636748","Map")</f>
        <v>Map</v>
      </c>
      <c r="E1937" t="s">
        <v>177</v>
      </c>
      <c r="F1937" t="s">
        <v>178</v>
      </c>
      <c r="L1937" t="s">
        <v>23218</v>
      </c>
      <c r="N1937" t="s">
        <v>23218</v>
      </c>
      <c r="O1937" t="s">
        <v>23218</v>
      </c>
      <c r="P1937" t="s">
        <v>23219</v>
      </c>
      <c r="Q1937" t="s">
        <v>23218</v>
      </c>
      <c r="V1937">
        <v>2214</v>
      </c>
      <c r="W1937">
        <v>7</v>
      </c>
      <c r="X1937">
        <v>2017</v>
      </c>
      <c r="Y1937">
        <v>2018</v>
      </c>
      <c r="Z1937">
        <v>7647.19</v>
      </c>
      <c r="AB1937" t="s">
        <v>181</v>
      </c>
      <c r="AC1937" t="s">
        <v>182</v>
      </c>
      <c r="AD1937" t="s">
        <v>183</v>
      </c>
      <c r="AE1937">
        <v>1</v>
      </c>
      <c r="AF1937">
        <v>0</v>
      </c>
      <c r="AG1937" t="s">
        <v>1200</v>
      </c>
      <c r="AH1937">
        <v>0</v>
      </c>
      <c r="AI1937">
        <v>7024.85</v>
      </c>
      <c r="AJ1937">
        <v>351.24</v>
      </c>
      <c r="AK1937">
        <v>7376.09</v>
      </c>
      <c r="AL1937">
        <v>457514</v>
      </c>
      <c r="AM1937">
        <v>454500</v>
      </c>
      <c r="AN1937">
        <v>3014</v>
      </c>
      <c r="AO1937">
        <v>16400</v>
      </c>
      <c r="AP1937">
        <v>2016</v>
      </c>
      <c r="AQ1937">
        <v>1.67</v>
      </c>
      <c r="AR1937">
        <v>1.61</v>
      </c>
      <c r="AS1937" t="s">
        <v>23220</v>
      </c>
      <c r="AT1937" t="s">
        <v>15040</v>
      </c>
      <c r="AU1937" t="s">
        <v>177</v>
      </c>
      <c r="AV1937" t="s">
        <v>371</v>
      </c>
      <c r="AW1937" t="s">
        <v>182</v>
      </c>
      <c r="AX1937">
        <v>0</v>
      </c>
      <c r="AY1937" t="s">
        <v>312</v>
      </c>
      <c r="AZ1937" t="s">
        <v>199</v>
      </c>
      <c r="BA1937" t="s">
        <v>313</v>
      </c>
      <c r="BB1937" t="s">
        <v>191</v>
      </c>
      <c r="BC1937" t="s">
        <v>182</v>
      </c>
      <c r="BD1937" t="s">
        <v>1528</v>
      </c>
      <c r="BE1937" t="s">
        <v>23221</v>
      </c>
      <c r="BF1937">
        <v>1</v>
      </c>
      <c r="BG1937">
        <v>0</v>
      </c>
      <c r="BH1937">
        <v>0</v>
      </c>
      <c r="BI1937" t="s">
        <v>199</v>
      </c>
      <c r="BJ1937" t="s">
        <v>248</v>
      </c>
      <c r="BL1937" t="s">
        <v>23222</v>
      </c>
      <c r="BM1937" t="s">
        <v>232</v>
      </c>
      <c r="BN1937" t="s">
        <v>182</v>
      </c>
      <c r="BO1937" t="s">
        <v>23223</v>
      </c>
      <c r="BP1937" t="s">
        <v>23224</v>
      </c>
      <c r="BQ1937" t="s">
        <v>800</v>
      </c>
      <c r="BS1937" t="s">
        <v>198</v>
      </c>
      <c r="BT1937" t="s">
        <v>228</v>
      </c>
      <c r="BU1937" t="s">
        <v>182</v>
      </c>
      <c r="BV1937" t="s">
        <v>198</v>
      </c>
      <c r="BW1937" t="s">
        <v>198</v>
      </c>
      <c r="BX1937" t="s">
        <v>199</v>
      </c>
      <c r="BY1937" t="s">
        <v>198</v>
      </c>
      <c r="BZ1937" t="s">
        <v>199</v>
      </c>
      <c r="CA1937" t="s">
        <v>199</v>
      </c>
      <c r="CB1937" t="s">
        <v>23225</v>
      </c>
      <c r="CC1937" t="s">
        <v>201</v>
      </c>
      <c r="CD1937" t="s">
        <v>202</v>
      </c>
      <c r="CE1937" t="s">
        <v>23226</v>
      </c>
      <c r="CF1937" t="s">
        <v>5331</v>
      </c>
      <c r="CG1937" t="s">
        <v>177</v>
      </c>
      <c r="CH1937" t="s">
        <v>371</v>
      </c>
      <c r="CI1937" t="s">
        <v>4099</v>
      </c>
      <c r="CJ1937" t="s">
        <v>20436</v>
      </c>
      <c r="CK1937" t="s">
        <v>232</v>
      </c>
      <c r="CL1937" t="s">
        <v>233</v>
      </c>
      <c r="CM1937" t="s">
        <v>23227</v>
      </c>
      <c r="CN1937" t="s">
        <v>235</v>
      </c>
      <c r="CO1937" t="s">
        <v>183</v>
      </c>
      <c r="CP1937" t="s">
        <v>266</v>
      </c>
      <c r="CS1937" t="s">
        <v>198</v>
      </c>
      <c r="DC1937" t="s">
        <v>198</v>
      </c>
      <c r="DM1937" t="s">
        <v>198</v>
      </c>
      <c r="DW1937" t="s">
        <v>198</v>
      </c>
      <c r="EG1937" t="s">
        <v>198</v>
      </c>
      <c r="EQ1937" t="s">
        <v>198</v>
      </c>
      <c r="FA1937" t="s">
        <v>198</v>
      </c>
      <c r="FK1937" t="s">
        <v>198</v>
      </c>
      <c r="FU1937" t="s">
        <v>198</v>
      </c>
    </row>
    <row r="1938" spans="1:177">
      <c r="A1938" s="1" t="str">
        <f>HYPERLINK("http://digipan.lumentumllc.com/apps/getLink/index.php?t=PropLink&amp;p=5244011","PL")</f>
        <v>PL</v>
      </c>
      <c r="B1938" s="1" t="str">
        <f>HYPERLINK("http://digipan.lumentumllc.com/apps/getLink/index.php?t=TaxLink&amp;p=5244011","TL")</f>
        <v>TL</v>
      </c>
      <c r="C1938" s="1" t="str">
        <f>HYPERLINK("http://digipan.lumentumllc.com/apps/getMap/index.php?p=5244011","Map")</f>
        <v>Map</v>
      </c>
      <c r="E1938" t="s">
        <v>177</v>
      </c>
      <c r="F1938" t="s">
        <v>178</v>
      </c>
      <c r="L1938" t="s">
        <v>23228</v>
      </c>
      <c r="N1938" t="s">
        <v>23228</v>
      </c>
      <c r="O1938" t="s">
        <v>23228</v>
      </c>
      <c r="P1938" t="s">
        <v>23229</v>
      </c>
      <c r="Q1938" t="s">
        <v>23228</v>
      </c>
      <c r="V1938">
        <v>2215</v>
      </c>
      <c r="W1938">
        <v>7</v>
      </c>
      <c r="X1938">
        <v>2017</v>
      </c>
      <c r="Y1938">
        <v>2018</v>
      </c>
      <c r="Z1938">
        <v>1117.32</v>
      </c>
      <c r="AB1938" t="s">
        <v>181</v>
      </c>
      <c r="AC1938" t="s">
        <v>182</v>
      </c>
      <c r="AD1938" t="s">
        <v>183</v>
      </c>
      <c r="AE1938">
        <v>0</v>
      </c>
      <c r="AF1938">
        <v>4</v>
      </c>
      <c r="AG1938" t="s">
        <v>744</v>
      </c>
      <c r="AH1938">
        <v>100</v>
      </c>
      <c r="AK1938">
        <v>0</v>
      </c>
      <c r="AL1938">
        <v>135786</v>
      </c>
      <c r="AM1938">
        <v>37542</v>
      </c>
      <c r="AN1938">
        <v>98244</v>
      </c>
      <c r="AO1938">
        <v>987</v>
      </c>
      <c r="AP1938">
        <v>2016</v>
      </c>
      <c r="AQ1938">
        <v>0.82</v>
      </c>
      <c r="AS1938" t="s">
        <v>23230</v>
      </c>
      <c r="AT1938" t="s">
        <v>15040</v>
      </c>
      <c r="AU1938" t="s">
        <v>177</v>
      </c>
      <c r="AV1938" t="s">
        <v>371</v>
      </c>
      <c r="AW1938" t="s">
        <v>202</v>
      </c>
      <c r="AX1938">
        <v>1</v>
      </c>
      <c r="AY1938" t="s">
        <v>188</v>
      </c>
      <c r="AZ1938" t="s">
        <v>206</v>
      </c>
      <c r="BA1938" t="s">
        <v>355</v>
      </c>
      <c r="BB1938" t="s">
        <v>191</v>
      </c>
      <c r="BC1938" t="s">
        <v>182</v>
      </c>
      <c r="BD1938" t="s">
        <v>182</v>
      </c>
      <c r="BE1938" t="s">
        <v>3861</v>
      </c>
      <c r="BF1938">
        <v>1</v>
      </c>
      <c r="BG1938">
        <v>1</v>
      </c>
      <c r="BH1938">
        <v>2005</v>
      </c>
      <c r="BI1938" t="s">
        <v>7528</v>
      </c>
      <c r="BJ1938" t="s">
        <v>194</v>
      </c>
      <c r="BK1938" t="s">
        <v>195</v>
      </c>
      <c r="BL1938" t="s">
        <v>199</v>
      </c>
      <c r="BM1938" t="s">
        <v>358</v>
      </c>
      <c r="BN1938" t="s">
        <v>182</v>
      </c>
      <c r="BO1938" t="s">
        <v>14536</v>
      </c>
      <c r="BP1938" t="s">
        <v>23231</v>
      </c>
      <c r="BS1938" t="s">
        <v>4473</v>
      </c>
      <c r="BT1938" t="s">
        <v>198</v>
      </c>
      <c r="BU1938" t="s">
        <v>182</v>
      </c>
      <c r="BV1938" t="s">
        <v>198</v>
      </c>
      <c r="BW1938" t="s">
        <v>198</v>
      </c>
      <c r="BX1938" t="s">
        <v>199</v>
      </c>
      <c r="BY1938" t="s">
        <v>198</v>
      </c>
      <c r="BZ1938" t="s">
        <v>199</v>
      </c>
      <c r="CA1938" t="s">
        <v>199</v>
      </c>
      <c r="CB1938" t="s">
        <v>23232</v>
      </c>
      <c r="CC1938" t="s">
        <v>201</v>
      </c>
      <c r="CD1938" t="s">
        <v>182</v>
      </c>
      <c r="CE1938" t="s">
        <v>23233</v>
      </c>
      <c r="CF1938" t="s">
        <v>5331</v>
      </c>
      <c r="CG1938" t="s">
        <v>177</v>
      </c>
      <c r="CH1938" t="s">
        <v>371</v>
      </c>
      <c r="CI1938" t="s">
        <v>9852</v>
      </c>
      <c r="CJ1938" t="s">
        <v>16210</v>
      </c>
      <c r="CK1938" t="s">
        <v>292</v>
      </c>
      <c r="CL1938" t="s">
        <v>293</v>
      </c>
      <c r="CM1938" t="s">
        <v>23234</v>
      </c>
      <c r="CN1938" t="s">
        <v>235</v>
      </c>
      <c r="CO1938" t="s">
        <v>183</v>
      </c>
      <c r="CP1938" t="s">
        <v>211</v>
      </c>
      <c r="CQ1938" t="s">
        <v>339</v>
      </c>
      <c r="CS1938" t="s">
        <v>2060</v>
      </c>
      <c r="CT1938" t="s">
        <v>1248</v>
      </c>
      <c r="CU1938" t="s">
        <v>273</v>
      </c>
      <c r="CV1938" t="s">
        <v>274</v>
      </c>
      <c r="CW1938" t="s">
        <v>23235</v>
      </c>
      <c r="CX1938" t="s">
        <v>235</v>
      </c>
      <c r="CY1938" t="s">
        <v>183</v>
      </c>
      <c r="CZ1938" t="s">
        <v>211</v>
      </c>
      <c r="DA1938" t="s">
        <v>270</v>
      </c>
      <c r="DC1938" t="s">
        <v>8748</v>
      </c>
      <c r="DD1938" t="s">
        <v>2181</v>
      </c>
      <c r="DE1938" t="s">
        <v>238</v>
      </c>
      <c r="DF1938" t="s">
        <v>239</v>
      </c>
      <c r="DG1938" t="s">
        <v>23236</v>
      </c>
      <c r="DH1938" t="s">
        <v>235</v>
      </c>
      <c r="DI1938" t="s">
        <v>183</v>
      </c>
      <c r="DJ1938" t="s">
        <v>211</v>
      </c>
      <c r="DK1938" t="s">
        <v>270</v>
      </c>
      <c r="DM1938" t="s">
        <v>3679</v>
      </c>
      <c r="DN1938" t="s">
        <v>23237</v>
      </c>
      <c r="DO1938" t="s">
        <v>346</v>
      </c>
      <c r="DP1938" t="s">
        <v>347</v>
      </c>
      <c r="DQ1938" t="s">
        <v>23238</v>
      </c>
      <c r="DR1938" t="s">
        <v>235</v>
      </c>
      <c r="DS1938" t="s">
        <v>183</v>
      </c>
      <c r="DT1938" t="s">
        <v>211</v>
      </c>
      <c r="DU1938" t="s">
        <v>199</v>
      </c>
      <c r="DW1938" t="s">
        <v>8855</v>
      </c>
      <c r="EG1938" t="s">
        <v>198</v>
      </c>
      <c r="EQ1938" t="s">
        <v>198</v>
      </c>
      <c r="FA1938" t="s">
        <v>198</v>
      </c>
      <c r="FK1938" t="s">
        <v>198</v>
      </c>
      <c r="FU1938" t="s">
        <v>198</v>
      </c>
    </row>
    <row r="1939" spans="1:177">
      <c r="A1939" s="1" t="str">
        <f>HYPERLINK("http://digipan.lumentumllc.com/apps/getLink/index.php?t=PropLink&amp;p=5244012","PL")</f>
        <v>PL</v>
      </c>
      <c r="B1939" s="1" t="str">
        <f>HYPERLINK("http://digipan.lumentumllc.com/apps/getLink/index.php?t=TaxLink&amp;p=5244012","TL")</f>
        <v>TL</v>
      </c>
      <c r="C1939" s="1" t="str">
        <f>HYPERLINK("http://digipan.lumentumllc.com/apps/getMap/index.php?p=5244012","Map")</f>
        <v>Map</v>
      </c>
      <c r="E1939" t="s">
        <v>177</v>
      </c>
      <c r="F1939" t="s">
        <v>178</v>
      </c>
      <c r="L1939" t="s">
        <v>23239</v>
      </c>
      <c r="N1939" t="s">
        <v>23239</v>
      </c>
      <c r="O1939" t="s">
        <v>23239</v>
      </c>
      <c r="P1939" t="s">
        <v>23240</v>
      </c>
      <c r="Q1939" t="s">
        <v>23239</v>
      </c>
      <c r="V1939">
        <v>2216</v>
      </c>
      <c r="W1939">
        <v>7</v>
      </c>
      <c r="X1939">
        <v>2017</v>
      </c>
      <c r="Y1939">
        <v>2018</v>
      </c>
      <c r="Z1939">
        <v>656.87</v>
      </c>
      <c r="AB1939" t="s">
        <v>181</v>
      </c>
      <c r="AC1939" t="s">
        <v>182</v>
      </c>
      <c r="AD1939" t="s">
        <v>183</v>
      </c>
      <c r="AE1939">
        <v>0</v>
      </c>
      <c r="AF1939">
        <v>5</v>
      </c>
      <c r="AG1939" t="s">
        <v>744</v>
      </c>
      <c r="AH1939">
        <v>100</v>
      </c>
      <c r="AK1939">
        <v>0</v>
      </c>
      <c r="AL1939">
        <v>37542</v>
      </c>
      <c r="AM1939">
        <v>37542</v>
      </c>
      <c r="AN1939">
        <v>0</v>
      </c>
      <c r="AO1939">
        <v>586</v>
      </c>
      <c r="AP1939">
        <v>2016</v>
      </c>
      <c r="AQ1939">
        <v>1.75</v>
      </c>
      <c r="AS1939" t="s">
        <v>23241</v>
      </c>
      <c r="AT1939" t="s">
        <v>15040</v>
      </c>
      <c r="AU1939" t="s">
        <v>177</v>
      </c>
      <c r="AV1939" t="s">
        <v>371</v>
      </c>
      <c r="AW1939" t="s">
        <v>182</v>
      </c>
      <c r="AX1939">
        <v>0</v>
      </c>
      <c r="AY1939" t="s">
        <v>312</v>
      </c>
      <c r="AZ1939" t="s">
        <v>199</v>
      </c>
      <c r="BA1939" t="s">
        <v>313</v>
      </c>
      <c r="BB1939" t="s">
        <v>191</v>
      </c>
      <c r="BC1939" t="s">
        <v>182</v>
      </c>
      <c r="BD1939" t="s">
        <v>182</v>
      </c>
      <c r="BE1939" t="s">
        <v>3861</v>
      </c>
      <c r="BF1939">
        <v>0</v>
      </c>
      <c r="BG1939">
        <v>0</v>
      </c>
      <c r="BH1939">
        <v>0</v>
      </c>
      <c r="BI1939" t="s">
        <v>199</v>
      </c>
      <c r="BJ1939" t="s">
        <v>396</v>
      </c>
      <c r="BL1939" t="s">
        <v>199</v>
      </c>
      <c r="BM1939" t="s">
        <v>346</v>
      </c>
      <c r="BN1939" t="s">
        <v>182</v>
      </c>
      <c r="BO1939" t="s">
        <v>198</v>
      </c>
      <c r="BP1939" t="s">
        <v>198</v>
      </c>
      <c r="BQ1939" t="s">
        <v>198</v>
      </c>
      <c r="BR1939" t="s">
        <v>198</v>
      </c>
      <c r="BS1939" t="s">
        <v>198</v>
      </c>
      <c r="BT1939" t="s">
        <v>198</v>
      </c>
      <c r="BU1939" t="s">
        <v>182</v>
      </c>
      <c r="BV1939" t="s">
        <v>198</v>
      </c>
      <c r="BW1939" t="s">
        <v>198</v>
      </c>
      <c r="BX1939" t="s">
        <v>199</v>
      </c>
      <c r="BY1939" t="s">
        <v>198</v>
      </c>
      <c r="BZ1939" t="s">
        <v>199</v>
      </c>
      <c r="CA1939" t="s">
        <v>199</v>
      </c>
      <c r="CB1939" t="s">
        <v>23242</v>
      </c>
      <c r="CC1939" t="s">
        <v>201</v>
      </c>
      <c r="CD1939" t="s">
        <v>202</v>
      </c>
      <c r="CE1939" t="s">
        <v>23230</v>
      </c>
      <c r="CF1939" t="s">
        <v>5331</v>
      </c>
      <c r="CG1939" t="s">
        <v>177</v>
      </c>
      <c r="CH1939" t="s">
        <v>371</v>
      </c>
      <c r="CI1939" t="s">
        <v>23243</v>
      </c>
      <c r="CJ1939" t="s">
        <v>16232</v>
      </c>
      <c r="CK1939" t="s">
        <v>292</v>
      </c>
      <c r="CL1939" t="s">
        <v>293</v>
      </c>
      <c r="CM1939" t="s">
        <v>23244</v>
      </c>
      <c r="CN1939" t="s">
        <v>235</v>
      </c>
      <c r="CO1939" t="s">
        <v>183</v>
      </c>
      <c r="CP1939" t="s">
        <v>211</v>
      </c>
      <c r="CQ1939" t="s">
        <v>339</v>
      </c>
      <c r="CS1939" t="s">
        <v>2060</v>
      </c>
      <c r="CT1939" t="s">
        <v>16068</v>
      </c>
      <c r="CU1939" t="s">
        <v>273</v>
      </c>
      <c r="CV1939" t="s">
        <v>274</v>
      </c>
      <c r="CW1939" t="s">
        <v>7869</v>
      </c>
      <c r="CX1939" t="s">
        <v>235</v>
      </c>
      <c r="CY1939" t="s">
        <v>183</v>
      </c>
      <c r="CZ1939" t="s">
        <v>211</v>
      </c>
      <c r="DA1939" t="s">
        <v>270</v>
      </c>
      <c r="DC1939" t="s">
        <v>8748</v>
      </c>
      <c r="DD1939" t="s">
        <v>1905</v>
      </c>
      <c r="DE1939" t="s">
        <v>238</v>
      </c>
      <c r="DF1939" t="s">
        <v>239</v>
      </c>
      <c r="DG1939" t="s">
        <v>23245</v>
      </c>
      <c r="DH1939" t="s">
        <v>1551</v>
      </c>
      <c r="DI1939" t="s">
        <v>183</v>
      </c>
      <c r="DJ1939" t="s">
        <v>211</v>
      </c>
      <c r="DK1939" t="s">
        <v>270</v>
      </c>
      <c r="DM1939" t="s">
        <v>3679</v>
      </c>
      <c r="DN1939" t="s">
        <v>23246</v>
      </c>
      <c r="DO1939" t="s">
        <v>346</v>
      </c>
      <c r="DP1939" t="s">
        <v>347</v>
      </c>
      <c r="DQ1939" t="s">
        <v>23247</v>
      </c>
      <c r="DR1939" t="s">
        <v>440</v>
      </c>
      <c r="DS1939" t="s">
        <v>183</v>
      </c>
      <c r="DT1939" t="s">
        <v>211</v>
      </c>
      <c r="DU1939" t="s">
        <v>199</v>
      </c>
      <c r="DW1939" t="s">
        <v>8855</v>
      </c>
      <c r="DX1939" t="s">
        <v>12689</v>
      </c>
      <c r="DY1939" t="s">
        <v>207</v>
      </c>
      <c r="DZ1939" t="s">
        <v>208</v>
      </c>
      <c r="EA1939" t="s">
        <v>23248</v>
      </c>
      <c r="EB1939" t="s">
        <v>341</v>
      </c>
      <c r="EC1939" t="s">
        <v>183</v>
      </c>
      <c r="ED1939" t="s">
        <v>211</v>
      </c>
      <c r="EE1939" t="s">
        <v>427</v>
      </c>
      <c r="EG1939" t="s">
        <v>8855</v>
      </c>
      <c r="EQ1939" t="s">
        <v>198</v>
      </c>
      <c r="FA1939" t="s">
        <v>198</v>
      </c>
      <c r="FK1939" t="s">
        <v>198</v>
      </c>
      <c r="FU1939" t="s">
        <v>198</v>
      </c>
    </row>
    <row r="1940" spans="1:177">
      <c r="A1940" s="1" t="str">
        <f>HYPERLINK("http://digipan.lumentumllc.com/apps/getLink/index.php?t=PropLink&amp;p=15727023","PL")</f>
        <v>PL</v>
      </c>
      <c r="B1940" s="1" t="str">
        <f>HYPERLINK("http://digipan.lumentumllc.com/apps/getLink/index.php?t=TaxLink&amp;p=15727023","TL")</f>
        <v>TL</v>
      </c>
      <c r="C1940" s="1" t="str">
        <f>HYPERLINK("http://digipan.lumentumllc.com/apps/getMap/index.php?p=15727023","Map")</f>
        <v>Map</v>
      </c>
      <c r="E1940" t="s">
        <v>177</v>
      </c>
      <c r="F1940" t="s">
        <v>178</v>
      </c>
      <c r="L1940" t="s">
        <v>23249</v>
      </c>
      <c r="N1940" t="s">
        <v>23249</v>
      </c>
      <c r="O1940" t="s">
        <v>23249</v>
      </c>
      <c r="Q1940" t="s">
        <v>23249</v>
      </c>
      <c r="V1940">
        <v>2217</v>
      </c>
      <c r="W1940">
        <v>7</v>
      </c>
      <c r="X1940">
        <v>2017</v>
      </c>
      <c r="Y1940">
        <v>2018</v>
      </c>
      <c r="Z1940">
        <v>2179.7600000000002</v>
      </c>
      <c r="AG1940" t="s">
        <v>184</v>
      </c>
      <c r="AH1940">
        <v>0</v>
      </c>
      <c r="AK1940">
        <v>0</v>
      </c>
      <c r="AL1940">
        <v>178888</v>
      </c>
      <c r="AM1940">
        <v>62550</v>
      </c>
      <c r="AN1940">
        <v>116338</v>
      </c>
      <c r="AO1940">
        <v>1963</v>
      </c>
      <c r="AP1940">
        <v>2016</v>
      </c>
      <c r="AQ1940">
        <v>1.22</v>
      </c>
      <c r="AS1940" t="s">
        <v>23250</v>
      </c>
      <c r="AT1940" t="s">
        <v>15040</v>
      </c>
      <c r="AU1940" t="s">
        <v>177</v>
      </c>
      <c r="AV1940" t="s">
        <v>371</v>
      </c>
      <c r="AW1940" t="s">
        <v>202</v>
      </c>
      <c r="AX1940">
        <v>1</v>
      </c>
      <c r="AY1940" t="s">
        <v>188</v>
      </c>
      <c r="AZ1940" t="s">
        <v>206</v>
      </c>
      <c r="BA1940" t="s">
        <v>355</v>
      </c>
      <c r="BB1940" t="s">
        <v>191</v>
      </c>
      <c r="BC1940" t="s">
        <v>182</v>
      </c>
      <c r="BD1940" t="s">
        <v>182</v>
      </c>
      <c r="BE1940" t="s">
        <v>13050</v>
      </c>
      <c r="BF1940">
        <v>1</v>
      </c>
      <c r="BG1940">
        <v>1</v>
      </c>
      <c r="BH1940">
        <v>1958</v>
      </c>
      <c r="BI1940" t="s">
        <v>15650</v>
      </c>
      <c r="BJ1940" t="s">
        <v>194</v>
      </c>
      <c r="BK1940" t="s">
        <v>840</v>
      </c>
      <c r="BL1940" t="s">
        <v>6052</v>
      </c>
      <c r="BM1940" t="s">
        <v>197</v>
      </c>
      <c r="BN1940" t="s">
        <v>182</v>
      </c>
      <c r="BO1940" t="s">
        <v>23206</v>
      </c>
      <c r="BP1940" t="s">
        <v>23251</v>
      </c>
      <c r="BQ1940" t="s">
        <v>800</v>
      </c>
      <c r="BR1940" t="s">
        <v>563</v>
      </c>
      <c r="BS1940" t="s">
        <v>198</v>
      </c>
      <c r="BT1940" t="s">
        <v>23252</v>
      </c>
      <c r="BU1940" t="s">
        <v>182</v>
      </c>
      <c r="BV1940" t="s">
        <v>198</v>
      </c>
      <c r="BW1940" t="s">
        <v>198</v>
      </c>
      <c r="BX1940" t="s">
        <v>199</v>
      </c>
      <c r="BY1940" t="s">
        <v>198</v>
      </c>
      <c r="BZ1940" t="s">
        <v>199</v>
      </c>
      <c r="CA1940" t="s">
        <v>199</v>
      </c>
      <c r="CB1940" t="s">
        <v>23253</v>
      </c>
      <c r="CC1940" t="s">
        <v>201</v>
      </c>
      <c r="CD1940" t="s">
        <v>202</v>
      </c>
      <c r="CE1940" t="s">
        <v>23254</v>
      </c>
      <c r="CF1940" t="s">
        <v>23255</v>
      </c>
      <c r="CG1940" t="s">
        <v>18872</v>
      </c>
      <c r="CH1940" t="s">
        <v>23256</v>
      </c>
      <c r="CI1940" t="s">
        <v>23257</v>
      </c>
      <c r="CS1940" t="s">
        <v>198</v>
      </c>
      <c r="DC1940" t="s">
        <v>198</v>
      </c>
      <c r="DM1940" t="s">
        <v>198</v>
      </c>
      <c r="DW1940" t="s">
        <v>198</v>
      </c>
      <c r="EG1940" t="s">
        <v>198</v>
      </c>
      <c r="EQ1940" t="s">
        <v>198</v>
      </c>
      <c r="FA1940" t="s">
        <v>198</v>
      </c>
      <c r="FK1940" t="s">
        <v>198</v>
      </c>
      <c r="FU1940" t="s">
        <v>198</v>
      </c>
    </row>
    <row r="1941" spans="1:177">
      <c r="A1941" s="1" t="str">
        <f>HYPERLINK("http://digipan.lumentumllc.com/apps/getLink/index.php?t=PropLink&amp;p=6594013","PL")</f>
        <v>PL</v>
      </c>
      <c r="B1941" s="1" t="str">
        <f>HYPERLINK("http://digipan.lumentumllc.com/apps/getLink/index.php?t=TaxLink&amp;p=6594013","TL")</f>
        <v>TL</v>
      </c>
      <c r="C1941" s="1" t="str">
        <f>HYPERLINK("http://digipan.lumentumllc.com/apps/getMap/index.php?p=6594013","Map")</f>
        <v>Map</v>
      </c>
      <c r="E1941" t="s">
        <v>177</v>
      </c>
      <c r="F1941" t="s">
        <v>178</v>
      </c>
      <c r="L1941" t="s">
        <v>23258</v>
      </c>
      <c r="N1941" t="s">
        <v>23258</v>
      </c>
      <c r="O1941" t="s">
        <v>23258</v>
      </c>
      <c r="P1941" t="s">
        <v>23259</v>
      </c>
      <c r="Q1941" t="s">
        <v>23258</v>
      </c>
      <c r="V1941">
        <v>2218</v>
      </c>
      <c r="W1941">
        <v>7</v>
      </c>
      <c r="X1941">
        <v>2017</v>
      </c>
      <c r="Y1941">
        <v>2018</v>
      </c>
      <c r="Z1941">
        <v>1565.61</v>
      </c>
      <c r="AB1941" t="s">
        <v>181</v>
      </c>
      <c r="AC1941" t="s">
        <v>182</v>
      </c>
      <c r="AD1941" t="s">
        <v>183</v>
      </c>
      <c r="AE1941">
        <v>0</v>
      </c>
      <c r="AF1941">
        <v>1</v>
      </c>
      <c r="AG1941" t="s">
        <v>821</v>
      </c>
      <c r="AH1941">
        <v>100</v>
      </c>
      <c r="AK1941">
        <v>0</v>
      </c>
      <c r="AL1941">
        <v>131420</v>
      </c>
      <c r="AM1941">
        <v>45000</v>
      </c>
      <c r="AN1941">
        <v>86420</v>
      </c>
      <c r="AO1941">
        <v>2060</v>
      </c>
      <c r="AP1941">
        <v>2016</v>
      </c>
      <c r="AQ1941">
        <v>1.19</v>
      </c>
      <c r="AS1941" t="s">
        <v>23260</v>
      </c>
      <c r="AT1941" t="s">
        <v>15040</v>
      </c>
      <c r="AU1941" t="s">
        <v>177</v>
      </c>
      <c r="AV1941" t="s">
        <v>371</v>
      </c>
      <c r="AW1941" t="s">
        <v>202</v>
      </c>
      <c r="AX1941">
        <v>1</v>
      </c>
      <c r="AY1941" t="s">
        <v>188</v>
      </c>
      <c r="AZ1941" t="s">
        <v>206</v>
      </c>
      <c r="BA1941" t="s">
        <v>355</v>
      </c>
      <c r="BB1941" t="s">
        <v>191</v>
      </c>
      <c r="BC1941" t="s">
        <v>182</v>
      </c>
      <c r="BD1941" t="s">
        <v>182</v>
      </c>
      <c r="BE1941" t="s">
        <v>3956</v>
      </c>
      <c r="BF1941">
        <v>1</v>
      </c>
      <c r="BG1941">
        <v>1</v>
      </c>
      <c r="BH1941">
        <v>1955</v>
      </c>
      <c r="BI1941" t="s">
        <v>15735</v>
      </c>
      <c r="BJ1941" t="s">
        <v>285</v>
      </c>
      <c r="BK1941" t="s">
        <v>195</v>
      </c>
      <c r="BL1941" t="s">
        <v>199</v>
      </c>
      <c r="BM1941" t="s">
        <v>292</v>
      </c>
      <c r="BN1941" t="s">
        <v>182</v>
      </c>
      <c r="BO1941" t="s">
        <v>23261</v>
      </c>
      <c r="BP1941" t="s">
        <v>23262</v>
      </c>
      <c r="BQ1941" t="s">
        <v>1520</v>
      </c>
      <c r="BR1941" t="s">
        <v>563</v>
      </c>
      <c r="BS1941" t="s">
        <v>198</v>
      </c>
      <c r="BT1941" t="s">
        <v>293</v>
      </c>
      <c r="BU1941" t="s">
        <v>182</v>
      </c>
      <c r="BV1941" t="s">
        <v>198</v>
      </c>
      <c r="BW1941" t="s">
        <v>198</v>
      </c>
      <c r="BX1941" t="s">
        <v>199</v>
      </c>
      <c r="BY1941" t="s">
        <v>198</v>
      </c>
      <c r="BZ1941" t="s">
        <v>199</v>
      </c>
      <c r="CA1941" t="s">
        <v>199</v>
      </c>
      <c r="CB1941" t="s">
        <v>23263</v>
      </c>
      <c r="CC1941" t="s">
        <v>201</v>
      </c>
      <c r="CD1941" t="s">
        <v>182</v>
      </c>
      <c r="CE1941" t="s">
        <v>23264</v>
      </c>
      <c r="CF1941" t="s">
        <v>5331</v>
      </c>
      <c r="CG1941" t="s">
        <v>177</v>
      </c>
      <c r="CH1941" t="s">
        <v>371</v>
      </c>
      <c r="CI1941" t="s">
        <v>23265</v>
      </c>
      <c r="CJ1941" t="s">
        <v>15570</v>
      </c>
      <c r="CK1941" t="s">
        <v>273</v>
      </c>
      <c r="CL1941" t="s">
        <v>274</v>
      </c>
      <c r="CM1941" t="s">
        <v>23266</v>
      </c>
      <c r="CN1941" t="s">
        <v>235</v>
      </c>
      <c r="CO1941" t="s">
        <v>183</v>
      </c>
      <c r="CP1941" t="s">
        <v>211</v>
      </c>
      <c r="CQ1941" t="s">
        <v>329</v>
      </c>
      <c r="CS1941" t="s">
        <v>3143</v>
      </c>
      <c r="DC1941" t="s">
        <v>198</v>
      </c>
      <c r="DM1941" t="s">
        <v>198</v>
      </c>
      <c r="DW1941" t="s">
        <v>198</v>
      </c>
      <c r="EG1941" t="s">
        <v>198</v>
      </c>
      <c r="EQ1941" t="s">
        <v>198</v>
      </c>
      <c r="FA1941" t="s">
        <v>198</v>
      </c>
      <c r="FK1941" t="s">
        <v>198</v>
      </c>
      <c r="FU1941" t="s">
        <v>198</v>
      </c>
    </row>
    <row r="1942" spans="1:177">
      <c r="A1942" s="1" t="str">
        <f>HYPERLINK("http://digipan.lumentumllc.com/apps/getLink/index.php?t=PropLink&amp;p=4636753","PL")</f>
        <v>PL</v>
      </c>
      <c r="B1942" s="1" t="str">
        <f>HYPERLINK("http://digipan.lumentumllc.com/apps/getLink/index.php?t=TaxLink&amp;p=4636753","TL")</f>
        <v>TL</v>
      </c>
      <c r="C1942" s="1" t="str">
        <f>HYPERLINK("http://digipan.lumentumllc.com/apps/getMap/index.php?p=4636753","Map")</f>
        <v>Map</v>
      </c>
      <c r="E1942" t="s">
        <v>177</v>
      </c>
      <c r="F1942" t="s">
        <v>178</v>
      </c>
      <c r="L1942" t="s">
        <v>23267</v>
      </c>
      <c r="N1942" t="s">
        <v>23267</v>
      </c>
      <c r="O1942" t="s">
        <v>23267</v>
      </c>
      <c r="P1942" t="s">
        <v>23268</v>
      </c>
      <c r="Q1942" t="s">
        <v>23267</v>
      </c>
      <c r="V1942">
        <v>2219</v>
      </c>
      <c r="W1942">
        <v>7</v>
      </c>
      <c r="X1942">
        <v>2017</v>
      </c>
      <c r="Y1942">
        <v>2018</v>
      </c>
      <c r="Z1942">
        <v>1008.58</v>
      </c>
      <c r="AB1942" t="s">
        <v>181</v>
      </c>
      <c r="AC1942" t="s">
        <v>182</v>
      </c>
      <c r="AD1942" t="s">
        <v>1037</v>
      </c>
      <c r="AE1942">
        <v>3</v>
      </c>
      <c r="AF1942">
        <v>3</v>
      </c>
      <c r="AG1942" t="s">
        <v>3859</v>
      </c>
      <c r="AH1942">
        <v>50</v>
      </c>
      <c r="AI1942">
        <v>2739.46</v>
      </c>
      <c r="AJ1942">
        <v>136.97</v>
      </c>
      <c r="AK1942">
        <v>2876.43</v>
      </c>
      <c r="AL1942">
        <v>61417</v>
      </c>
      <c r="AM1942">
        <v>45000</v>
      </c>
      <c r="AN1942">
        <v>16417</v>
      </c>
      <c r="AO1942">
        <v>905</v>
      </c>
      <c r="AP1942">
        <v>2016</v>
      </c>
      <c r="AQ1942">
        <v>1.64</v>
      </c>
      <c r="AR1942">
        <v>4.68</v>
      </c>
      <c r="AS1942" t="s">
        <v>23269</v>
      </c>
      <c r="AT1942" t="s">
        <v>15040</v>
      </c>
      <c r="AU1942" t="s">
        <v>177</v>
      </c>
      <c r="AV1942" t="s">
        <v>371</v>
      </c>
      <c r="AW1942" t="s">
        <v>182</v>
      </c>
      <c r="AX1942">
        <v>2</v>
      </c>
      <c r="AY1942" t="s">
        <v>188</v>
      </c>
      <c r="AZ1942" t="s">
        <v>189</v>
      </c>
      <c r="BA1942" t="s">
        <v>190</v>
      </c>
      <c r="BB1942" t="s">
        <v>191</v>
      </c>
      <c r="BC1942" t="s">
        <v>182</v>
      </c>
      <c r="BD1942" t="s">
        <v>182</v>
      </c>
      <c r="BE1942" t="s">
        <v>3956</v>
      </c>
      <c r="BF1942">
        <v>1</v>
      </c>
      <c r="BG1942">
        <v>1</v>
      </c>
      <c r="BH1942">
        <v>1972</v>
      </c>
      <c r="BI1942" t="s">
        <v>284</v>
      </c>
      <c r="BJ1942" t="s">
        <v>194</v>
      </c>
      <c r="BK1942" t="s">
        <v>195</v>
      </c>
      <c r="BL1942" t="s">
        <v>199</v>
      </c>
      <c r="BM1942" t="s">
        <v>273</v>
      </c>
      <c r="BN1942" t="s">
        <v>182</v>
      </c>
      <c r="BO1942" t="s">
        <v>198</v>
      </c>
      <c r="BP1942" t="s">
        <v>198</v>
      </c>
      <c r="BQ1942" t="s">
        <v>198</v>
      </c>
      <c r="BR1942" t="s">
        <v>198</v>
      </c>
      <c r="BS1942" t="s">
        <v>198</v>
      </c>
      <c r="BT1942" t="s">
        <v>198</v>
      </c>
      <c r="BU1942" t="s">
        <v>182</v>
      </c>
      <c r="BV1942" t="s">
        <v>198</v>
      </c>
      <c r="BW1942" t="s">
        <v>198</v>
      </c>
      <c r="BX1942" t="s">
        <v>199</v>
      </c>
      <c r="BY1942" t="s">
        <v>198</v>
      </c>
      <c r="BZ1942" t="s">
        <v>199</v>
      </c>
      <c r="CA1942" t="s">
        <v>199</v>
      </c>
      <c r="CB1942" t="s">
        <v>23270</v>
      </c>
      <c r="CC1942" t="s">
        <v>201</v>
      </c>
      <c r="CD1942" t="s">
        <v>182</v>
      </c>
      <c r="CE1942" t="s">
        <v>23271</v>
      </c>
      <c r="CF1942" t="s">
        <v>5331</v>
      </c>
      <c r="CG1942" t="s">
        <v>177</v>
      </c>
      <c r="CH1942" t="s">
        <v>371</v>
      </c>
      <c r="CI1942" t="s">
        <v>23272</v>
      </c>
      <c r="CJ1942" t="s">
        <v>22622</v>
      </c>
      <c r="CK1942" t="s">
        <v>232</v>
      </c>
      <c r="CL1942" t="s">
        <v>233</v>
      </c>
      <c r="CM1942" t="s">
        <v>23273</v>
      </c>
      <c r="CN1942" t="s">
        <v>235</v>
      </c>
      <c r="CO1942" t="s">
        <v>183</v>
      </c>
      <c r="CP1942" t="s">
        <v>266</v>
      </c>
      <c r="CS1942" t="s">
        <v>198</v>
      </c>
      <c r="CT1942" t="s">
        <v>16246</v>
      </c>
      <c r="CU1942" t="s">
        <v>292</v>
      </c>
      <c r="CV1942" t="s">
        <v>293</v>
      </c>
      <c r="CW1942" t="s">
        <v>23274</v>
      </c>
      <c r="CX1942" t="s">
        <v>235</v>
      </c>
      <c r="CY1942" t="s">
        <v>183</v>
      </c>
      <c r="CZ1942" t="s">
        <v>266</v>
      </c>
      <c r="DC1942" t="s">
        <v>198</v>
      </c>
      <c r="DD1942" t="s">
        <v>1779</v>
      </c>
      <c r="DE1942" t="s">
        <v>267</v>
      </c>
      <c r="DF1942" t="s">
        <v>268</v>
      </c>
      <c r="DG1942" t="s">
        <v>23275</v>
      </c>
      <c r="DH1942" t="s">
        <v>235</v>
      </c>
      <c r="DI1942" t="s">
        <v>183</v>
      </c>
      <c r="DJ1942" t="s">
        <v>266</v>
      </c>
      <c r="DM1942" t="s">
        <v>198</v>
      </c>
      <c r="DN1942" t="s">
        <v>16155</v>
      </c>
      <c r="DO1942" t="s">
        <v>273</v>
      </c>
      <c r="DP1942" t="s">
        <v>274</v>
      </c>
      <c r="DQ1942" t="s">
        <v>23276</v>
      </c>
      <c r="DR1942" t="s">
        <v>482</v>
      </c>
      <c r="DS1942" t="s">
        <v>183</v>
      </c>
      <c r="DT1942" t="s">
        <v>211</v>
      </c>
      <c r="DU1942" t="s">
        <v>298</v>
      </c>
      <c r="DW1942" t="s">
        <v>462</v>
      </c>
      <c r="DX1942" t="s">
        <v>23277</v>
      </c>
      <c r="DY1942" t="s">
        <v>302</v>
      </c>
      <c r="DZ1942" t="s">
        <v>303</v>
      </c>
      <c r="EA1942" t="s">
        <v>23278</v>
      </c>
      <c r="EB1942" t="s">
        <v>482</v>
      </c>
      <c r="EC1942" t="s">
        <v>5</v>
      </c>
      <c r="ED1942" t="s">
        <v>211</v>
      </c>
      <c r="EE1942" t="s">
        <v>345</v>
      </c>
      <c r="EG1942" t="s">
        <v>10771</v>
      </c>
      <c r="EH1942" t="s">
        <v>23279</v>
      </c>
      <c r="EI1942" t="s">
        <v>238</v>
      </c>
      <c r="EJ1942" t="s">
        <v>239</v>
      </c>
      <c r="EK1942" t="s">
        <v>23280</v>
      </c>
      <c r="EL1942" t="s">
        <v>482</v>
      </c>
      <c r="EM1942" t="s">
        <v>5</v>
      </c>
      <c r="EN1942" t="s">
        <v>211</v>
      </c>
      <c r="EO1942" t="s">
        <v>298</v>
      </c>
      <c r="EQ1942" t="s">
        <v>1815</v>
      </c>
      <c r="FA1942" t="s">
        <v>198</v>
      </c>
      <c r="FK1942" t="s">
        <v>198</v>
      </c>
      <c r="FU1942" t="s">
        <v>198</v>
      </c>
    </row>
    <row r="1943" spans="1:177">
      <c r="A1943" s="1" t="str">
        <f>HYPERLINK("http://digipan.lumentumllc.com/apps/getLink/index.php?t=PropLink&amp;p=5244021","PL")</f>
        <v>PL</v>
      </c>
      <c r="B1943" s="1" t="str">
        <f>HYPERLINK("http://digipan.lumentumllc.com/apps/getLink/index.php?t=TaxLink&amp;p=5244021","TL")</f>
        <v>TL</v>
      </c>
      <c r="C1943" s="1" t="str">
        <f>HYPERLINK("http://digipan.lumentumllc.com/apps/getMap/index.php?p=5244021","Map")</f>
        <v>Map</v>
      </c>
      <c r="E1943" t="s">
        <v>177</v>
      </c>
      <c r="F1943" t="s">
        <v>178</v>
      </c>
      <c r="L1943" t="s">
        <v>23281</v>
      </c>
      <c r="N1943" t="s">
        <v>23281</v>
      </c>
      <c r="O1943" t="s">
        <v>23281</v>
      </c>
      <c r="P1943" t="s">
        <v>23282</v>
      </c>
      <c r="Q1943" t="s">
        <v>23281</v>
      </c>
      <c r="V1943">
        <v>2222</v>
      </c>
      <c r="W1943">
        <v>7</v>
      </c>
      <c r="X1943">
        <v>2017</v>
      </c>
      <c r="Y1943">
        <v>2018</v>
      </c>
      <c r="Z1943">
        <v>1146.1600000000001</v>
      </c>
      <c r="AB1943" t="s">
        <v>181</v>
      </c>
      <c r="AC1943" t="s">
        <v>182</v>
      </c>
      <c r="AD1943" t="s">
        <v>183</v>
      </c>
      <c r="AE1943">
        <v>1</v>
      </c>
      <c r="AF1943">
        <v>2</v>
      </c>
      <c r="AG1943" t="s">
        <v>363</v>
      </c>
      <c r="AH1943">
        <v>67</v>
      </c>
      <c r="AI1943">
        <v>1084.67</v>
      </c>
      <c r="AJ1943">
        <v>54.23</v>
      </c>
      <c r="AK1943">
        <v>1138.9000000000001</v>
      </c>
      <c r="AL1943">
        <v>70703</v>
      </c>
      <c r="AM1943">
        <v>51750</v>
      </c>
      <c r="AN1943">
        <v>18953</v>
      </c>
      <c r="AO1943">
        <v>978</v>
      </c>
      <c r="AP1943">
        <v>2016</v>
      </c>
      <c r="AQ1943">
        <v>1.62</v>
      </c>
      <c r="AR1943">
        <v>1.61</v>
      </c>
      <c r="AS1943" t="s">
        <v>23283</v>
      </c>
      <c r="AT1943" t="s">
        <v>15040</v>
      </c>
      <c r="AU1943" t="s">
        <v>177</v>
      </c>
      <c r="AV1943" t="s">
        <v>371</v>
      </c>
      <c r="AW1943" t="s">
        <v>182</v>
      </c>
      <c r="AX1943">
        <v>0</v>
      </c>
      <c r="AY1943" t="s">
        <v>312</v>
      </c>
      <c r="AZ1943" t="s">
        <v>199</v>
      </c>
      <c r="BA1943" t="s">
        <v>313</v>
      </c>
      <c r="BB1943" t="s">
        <v>191</v>
      </c>
      <c r="BC1943" t="s">
        <v>182</v>
      </c>
      <c r="BD1943" t="s">
        <v>182</v>
      </c>
      <c r="BE1943" t="s">
        <v>14304</v>
      </c>
      <c r="BF1943">
        <v>1</v>
      </c>
      <c r="BG1943">
        <v>0</v>
      </c>
      <c r="BH1943">
        <v>0</v>
      </c>
      <c r="BI1943" t="s">
        <v>199</v>
      </c>
      <c r="BJ1943" t="s">
        <v>248</v>
      </c>
      <c r="BL1943" t="s">
        <v>199</v>
      </c>
      <c r="BM1943" t="s">
        <v>1311</v>
      </c>
      <c r="BN1943" t="s">
        <v>182</v>
      </c>
      <c r="BO1943" t="s">
        <v>982</v>
      </c>
      <c r="BP1943" t="s">
        <v>23284</v>
      </c>
      <c r="BS1943" t="s">
        <v>23285</v>
      </c>
      <c r="BT1943" t="s">
        <v>198</v>
      </c>
      <c r="BU1943" t="s">
        <v>182</v>
      </c>
      <c r="BV1943" t="s">
        <v>198</v>
      </c>
      <c r="BW1943" t="s">
        <v>198</v>
      </c>
      <c r="BX1943" t="s">
        <v>199</v>
      </c>
      <c r="BY1943" t="s">
        <v>198</v>
      </c>
      <c r="BZ1943" t="s">
        <v>199</v>
      </c>
      <c r="CA1943" t="s">
        <v>199</v>
      </c>
      <c r="CB1943" t="s">
        <v>23286</v>
      </c>
      <c r="CC1943" t="s">
        <v>201</v>
      </c>
      <c r="CD1943" t="s">
        <v>182</v>
      </c>
      <c r="CE1943" t="s">
        <v>23287</v>
      </c>
      <c r="CF1943" t="s">
        <v>5331</v>
      </c>
      <c r="CG1943" t="s">
        <v>177</v>
      </c>
      <c r="CH1943" t="s">
        <v>371</v>
      </c>
      <c r="CI1943" t="s">
        <v>23288</v>
      </c>
      <c r="CJ1943" t="s">
        <v>22637</v>
      </c>
      <c r="CK1943" t="s">
        <v>232</v>
      </c>
      <c r="CL1943" t="s">
        <v>233</v>
      </c>
      <c r="CM1943" t="s">
        <v>21156</v>
      </c>
      <c r="CN1943" t="s">
        <v>235</v>
      </c>
      <c r="CO1943" t="s">
        <v>183</v>
      </c>
      <c r="CP1943" t="s">
        <v>266</v>
      </c>
      <c r="CS1943" t="s">
        <v>198</v>
      </c>
      <c r="CT1943" t="s">
        <v>422</v>
      </c>
      <c r="CU1943" t="s">
        <v>292</v>
      </c>
      <c r="CV1943" t="s">
        <v>293</v>
      </c>
      <c r="CW1943" t="s">
        <v>23289</v>
      </c>
      <c r="CX1943" t="s">
        <v>235</v>
      </c>
      <c r="CY1943" t="s">
        <v>183</v>
      </c>
      <c r="CZ1943" t="s">
        <v>211</v>
      </c>
      <c r="DA1943" t="s">
        <v>189</v>
      </c>
      <c r="DC1943" t="s">
        <v>23290</v>
      </c>
      <c r="DD1943" t="s">
        <v>15590</v>
      </c>
      <c r="DE1943" t="s">
        <v>273</v>
      </c>
      <c r="DF1943" t="s">
        <v>274</v>
      </c>
      <c r="DG1943" t="s">
        <v>22054</v>
      </c>
      <c r="DH1943" t="s">
        <v>235</v>
      </c>
      <c r="DI1943" t="s">
        <v>183</v>
      </c>
      <c r="DJ1943" t="s">
        <v>211</v>
      </c>
      <c r="DK1943" t="s">
        <v>342</v>
      </c>
      <c r="DM1943" t="s">
        <v>4405</v>
      </c>
      <c r="DW1943" t="s">
        <v>198</v>
      </c>
      <c r="EG1943" t="s">
        <v>198</v>
      </c>
      <c r="EQ1943" t="s">
        <v>198</v>
      </c>
      <c r="FA1943" t="s">
        <v>198</v>
      </c>
      <c r="FK1943" t="s">
        <v>198</v>
      </c>
      <c r="FU1943" t="s">
        <v>198</v>
      </c>
    </row>
    <row r="1944" spans="1:177">
      <c r="A1944" s="1" t="str">
        <f>HYPERLINK("http://digipan.lumentumllc.com/apps/getLink/index.php?t=PropLink&amp;p=5244022","PL")</f>
        <v>PL</v>
      </c>
      <c r="B1944" s="1" t="str">
        <f>HYPERLINK("http://digipan.lumentumllc.com/apps/getLink/index.php?t=TaxLink&amp;p=5244022","TL")</f>
        <v>TL</v>
      </c>
      <c r="C1944" s="1" t="str">
        <f>HYPERLINK("http://digipan.lumentumllc.com/apps/getMap/index.php?p=5244022","Map")</f>
        <v>Map</v>
      </c>
      <c r="E1944" t="s">
        <v>177</v>
      </c>
      <c r="F1944" t="s">
        <v>178</v>
      </c>
      <c r="L1944" t="s">
        <v>23291</v>
      </c>
      <c r="N1944" t="s">
        <v>23291</v>
      </c>
      <c r="O1944" t="s">
        <v>23291</v>
      </c>
      <c r="P1944" t="s">
        <v>23292</v>
      </c>
      <c r="Q1944" t="s">
        <v>23291</v>
      </c>
      <c r="V1944">
        <v>2223</v>
      </c>
      <c r="W1944">
        <v>7</v>
      </c>
      <c r="X1944">
        <v>2017</v>
      </c>
      <c r="Y1944">
        <v>2018</v>
      </c>
      <c r="Z1944">
        <v>1911.41</v>
      </c>
      <c r="AB1944" t="s">
        <v>181</v>
      </c>
      <c r="AC1944" t="s">
        <v>182</v>
      </c>
      <c r="AD1944" t="s">
        <v>183</v>
      </c>
      <c r="AE1944">
        <v>0</v>
      </c>
      <c r="AF1944">
        <v>3</v>
      </c>
      <c r="AG1944" t="s">
        <v>216</v>
      </c>
      <c r="AH1944">
        <v>100</v>
      </c>
      <c r="AK1944">
        <v>0</v>
      </c>
      <c r="AL1944">
        <v>112913</v>
      </c>
      <c r="AM1944">
        <v>45000</v>
      </c>
      <c r="AN1944">
        <v>67913</v>
      </c>
      <c r="AO1944">
        <v>1766</v>
      </c>
      <c r="AP1944">
        <v>2016</v>
      </c>
      <c r="AQ1944">
        <v>1.69</v>
      </c>
      <c r="AS1944" t="s">
        <v>23293</v>
      </c>
      <c r="AT1944" t="s">
        <v>15040</v>
      </c>
      <c r="AU1944" t="s">
        <v>177</v>
      </c>
      <c r="AV1944" t="s">
        <v>371</v>
      </c>
      <c r="AW1944" t="s">
        <v>182</v>
      </c>
      <c r="AX1944">
        <v>1</v>
      </c>
      <c r="AY1944" t="s">
        <v>188</v>
      </c>
      <c r="AZ1944" t="s">
        <v>206</v>
      </c>
      <c r="BA1944" t="s">
        <v>355</v>
      </c>
      <c r="BB1944" t="s">
        <v>191</v>
      </c>
      <c r="BC1944" t="s">
        <v>182</v>
      </c>
      <c r="BD1944" t="s">
        <v>182</v>
      </c>
      <c r="BE1944" t="s">
        <v>3682</v>
      </c>
      <c r="BF1944">
        <v>1</v>
      </c>
      <c r="BG1944">
        <v>1</v>
      </c>
      <c r="BH1944">
        <v>1941</v>
      </c>
      <c r="BI1944" t="s">
        <v>12905</v>
      </c>
      <c r="BJ1944" t="s">
        <v>194</v>
      </c>
      <c r="BK1944" t="s">
        <v>195</v>
      </c>
      <c r="BL1944" t="s">
        <v>23294</v>
      </c>
      <c r="BM1944" t="s">
        <v>410</v>
      </c>
      <c r="BN1944" t="s">
        <v>182</v>
      </c>
      <c r="BO1944" t="s">
        <v>23295</v>
      </c>
      <c r="BP1944" t="s">
        <v>23296</v>
      </c>
      <c r="BQ1944" t="s">
        <v>562</v>
      </c>
      <c r="BR1944" t="s">
        <v>2318</v>
      </c>
      <c r="BS1944" t="s">
        <v>23297</v>
      </c>
      <c r="BT1944" t="s">
        <v>23298</v>
      </c>
      <c r="BU1944" t="s">
        <v>182</v>
      </c>
      <c r="BV1944" t="s">
        <v>198</v>
      </c>
      <c r="BW1944" t="s">
        <v>198</v>
      </c>
      <c r="BX1944" t="s">
        <v>199</v>
      </c>
      <c r="BY1944" t="s">
        <v>198</v>
      </c>
      <c r="BZ1944" t="s">
        <v>199</v>
      </c>
      <c r="CA1944" t="s">
        <v>199</v>
      </c>
      <c r="CB1944" t="s">
        <v>23299</v>
      </c>
      <c r="CC1944" t="s">
        <v>201</v>
      </c>
      <c r="CD1944" t="s">
        <v>202</v>
      </c>
      <c r="CE1944" t="s">
        <v>23300</v>
      </c>
      <c r="CF1944" t="s">
        <v>5331</v>
      </c>
      <c r="CG1944" t="s">
        <v>177</v>
      </c>
      <c r="CH1944" t="s">
        <v>371</v>
      </c>
      <c r="CI1944" t="s">
        <v>23301</v>
      </c>
      <c r="CJ1944" t="s">
        <v>2310</v>
      </c>
      <c r="CK1944" t="s">
        <v>238</v>
      </c>
      <c r="CL1944" t="s">
        <v>239</v>
      </c>
      <c r="CM1944" t="s">
        <v>23302</v>
      </c>
      <c r="CN1944" t="s">
        <v>235</v>
      </c>
      <c r="CO1944" t="s">
        <v>183</v>
      </c>
      <c r="CP1944" t="s">
        <v>211</v>
      </c>
      <c r="CQ1944" t="s">
        <v>206</v>
      </c>
      <c r="CS1944" t="s">
        <v>11626</v>
      </c>
      <c r="CT1944" t="s">
        <v>23303</v>
      </c>
      <c r="CU1944" t="s">
        <v>346</v>
      </c>
      <c r="CV1944" t="s">
        <v>347</v>
      </c>
      <c r="CW1944" t="s">
        <v>23304</v>
      </c>
      <c r="CX1944" t="s">
        <v>235</v>
      </c>
      <c r="CY1944" t="s">
        <v>183</v>
      </c>
      <c r="CZ1944" t="s">
        <v>211</v>
      </c>
      <c r="DA1944" t="s">
        <v>199</v>
      </c>
      <c r="DC1944" t="s">
        <v>8855</v>
      </c>
      <c r="DD1944" t="s">
        <v>23305</v>
      </c>
      <c r="DE1944" t="s">
        <v>207</v>
      </c>
      <c r="DF1944" t="s">
        <v>208</v>
      </c>
      <c r="DG1944" t="s">
        <v>23306</v>
      </c>
      <c r="DH1944" t="s">
        <v>235</v>
      </c>
      <c r="DI1944" t="s">
        <v>183</v>
      </c>
      <c r="DJ1944" t="s">
        <v>211</v>
      </c>
      <c r="DK1944" t="s">
        <v>206</v>
      </c>
      <c r="DM1944" t="s">
        <v>7014</v>
      </c>
      <c r="DW1944" t="s">
        <v>198</v>
      </c>
      <c r="EG1944" t="s">
        <v>198</v>
      </c>
      <c r="EQ1944" t="s">
        <v>198</v>
      </c>
      <c r="FA1944" t="s">
        <v>198</v>
      </c>
      <c r="FK1944" t="s">
        <v>198</v>
      </c>
      <c r="FU1944" t="s">
        <v>198</v>
      </c>
    </row>
    <row r="1945" spans="1:177">
      <c r="A1945" s="1" t="str">
        <f>HYPERLINK("http://digipan.lumentumllc.com/apps/getLink/index.php?t=PropLink&amp;p=5244023","PL")</f>
        <v>PL</v>
      </c>
      <c r="B1945" s="1" t="str">
        <f>HYPERLINK("http://digipan.lumentumllc.com/apps/getLink/index.php?t=TaxLink&amp;p=5244023","TL")</f>
        <v>TL</v>
      </c>
      <c r="C1945" s="1" t="str">
        <f>HYPERLINK("http://digipan.lumentumllc.com/apps/getMap/index.php?p=5244023","Map")</f>
        <v>Map</v>
      </c>
      <c r="E1945" t="s">
        <v>177</v>
      </c>
      <c r="F1945" t="s">
        <v>178</v>
      </c>
      <c r="L1945" t="s">
        <v>23307</v>
      </c>
      <c r="N1945" t="s">
        <v>23307</v>
      </c>
      <c r="O1945" t="s">
        <v>23307</v>
      </c>
      <c r="P1945" t="s">
        <v>23308</v>
      </c>
      <c r="Q1945" t="s">
        <v>23307</v>
      </c>
      <c r="V1945">
        <v>2225</v>
      </c>
      <c r="W1945">
        <v>7</v>
      </c>
      <c r="X1945">
        <v>2017</v>
      </c>
      <c r="Y1945">
        <v>2018</v>
      </c>
      <c r="Z1945">
        <v>601.87</v>
      </c>
      <c r="AB1945" t="s">
        <v>181</v>
      </c>
      <c r="AC1945" t="s">
        <v>182</v>
      </c>
      <c r="AD1945" t="s">
        <v>183</v>
      </c>
      <c r="AE1945">
        <v>1</v>
      </c>
      <c r="AF1945">
        <v>3</v>
      </c>
      <c r="AG1945" t="s">
        <v>363</v>
      </c>
      <c r="AH1945">
        <v>67</v>
      </c>
      <c r="AI1945">
        <v>596.58000000000004</v>
      </c>
      <c r="AJ1945">
        <v>29.83</v>
      </c>
      <c r="AK1945">
        <v>626.41</v>
      </c>
      <c r="AL1945">
        <v>82735</v>
      </c>
      <c r="AM1945">
        <v>45000</v>
      </c>
      <c r="AN1945">
        <v>37735</v>
      </c>
      <c r="AO1945">
        <v>527</v>
      </c>
      <c r="AP1945">
        <v>2016</v>
      </c>
      <c r="AQ1945">
        <v>0.73</v>
      </c>
      <c r="AR1945">
        <v>0.76</v>
      </c>
      <c r="AS1945" t="s">
        <v>23309</v>
      </c>
      <c r="AT1945" t="s">
        <v>15040</v>
      </c>
      <c r="AU1945" t="s">
        <v>177</v>
      </c>
      <c r="AV1945" t="s">
        <v>371</v>
      </c>
      <c r="AW1945" t="s">
        <v>202</v>
      </c>
      <c r="AX1945">
        <v>2</v>
      </c>
      <c r="AY1945" t="s">
        <v>188</v>
      </c>
      <c r="AZ1945" t="s">
        <v>189</v>
      </c>
      <c r="BA1945" t="s">
        <v>190</v>
      </c>
      <c r="BB1945" t="s">
        <v>191</v>
      </c>
      <c r="BC1945" t="s">
        <v>182</v>
      </c>
      <c r="BD1945" t="s">
        <v>182</v>
      </c>
      <c r="BE1945" t="s">
        <v>3682</v>
      </c>
      <c r="BF1945">
        <v>1</v>
      </c>
      <c r="BG1945">
        <v>1</v>
      </c>
      <c r="BH1945">
        <v>2003</v>
      </c>
      <c r="BI1945" t="s">
        <v>7132</v>
      </c>
      <c r="BJ1945" t="s">
        <v>194</v>
      </c>
      <c r="BK1945" t="s">
        <v>195</v>
      </c>
      <c r="BL1945" t="s">
        <v>3879</v>
      </c>
      <c r="BM1945" t="s">
        <v>1414</v>
      </c>
      <c r="BN1945" t="s">
        <v>182</v>
      </c>
      <c r="BO1945" t="s">
        <v>198</v>
      </c>
      <c r="BP1945" t="s">
        <v>198</v>
      </c>
      <c r="BQ1945" t="s">
        <v>198</v>
      </c>
      <c r="BR1945" t="s">
        <v>198</v>
      </c>
      <c r="BS1945" t="s">
        <v>198</v>
      </c>
      <c r="BT1945" t="s">
        <v>198</v>
      </c>
      <c r="BU1945" t="s">
        <v>182</v>
      </c>
      <c r="BV1945" t="s">
        <v>198</v>
      </c>
      <c r="BW1945" t="s">
        <v>198</v>
      </c>
      <c r="BX1945" t="s">
        <v>199</v>
      </c>
      <c r="BY1945" t="s">
        <v>198</v>
      </c>
      <c r="BZ1945" t="s">
        <v>199</v>
      </c>
      <c r="CA1945" t="s">
        <v>199</v>
      </c>
      <c r="CB1945" t="s">
        <v>23310</v>
      </c>
      <c r="CC1945" t="s">
        <v>201</v>
      </c>
      <c r="CD1945" t="s">
        <v>182</v>
      </c>
      <c r="CE1945" t="s">
        <v>23311</v>
      </c>
      <c r="CF1945" t="s">
        <v>5331</v>
      </c>
      <c r="CG1945" t="s">
        <v>177</v>
      </c>
      <c r="CH1945" t="s">
        <v>371</v>
      </c>
      <c r="CI1945" t="s">
        <v>23312</v>
      </c>
      <c r="CJ1945" t="s">
        <v>19626</v>
      </c>
      <c r="CK1945" t="s">
        <v>232</v>
      </c>
      <c r="CL1945" t="s">
        <v>233</v>
      </c>
      <c r="CM1945" t="s">
        <v>8755</v>
      </c>
      <c r="CN1945" t="s">
        <v>235</v>
      </c>
      <c r="CO1945" t="s">
        <v>183</v>
      </c>
      <c r="CP1945" t="s">
        <v>266</v>
      </c>
      <c r="CS1945" t="s">
        <v>198</v>
      </c>
      <c r="CT1945" t="s">
        <v>23313</v>
      </c>
      <c r="CU1945" t="s">
        <v>273</v>
      </c>
      <c r="CV1945" t="s">
        <v>274</v>
      </c>
      <c r="CW1945" t="s">
        <v>23314</v>
      </c>
      <c r="CX1945" t="s">
        <v>235</v>
      </c>
      <c r="CY1945" t="s">
        <v>183</v>
      </c>
      <c r="CZ1945" t="s">
        <v>211</v>
      </c>
      <c r="DA1945" t="s">
        <v>342</v>
      </c>
      <c r="DC1945" t="s">
        <v>5580</v>
      </c>
      <c r="DD1945" t="s">
        <v>8036</v>
      </c>
      <c r="DE1945" t="s">
        <v>346</v>
      </c>
      <c r="DF1945" t="s">
        <v>347</v>
      </c>
      <c r="DG1945" t="s">
        <v>23315</v>
      </c>
      <c r="DH1945" t="s">
        <v>440</v>
      </c>
      <c r="DI1945" t="s">
        <v>183</v>
      </c>
      <c r="DJ1945" t="s">
        <v>211</v>
      </c>
      <c r="DK1945" t="s">
        <v>342</v>
      </c>
      <c r="DM1945" t="s">
        <v>1419</v>
      </c>
      <c r="DN1945" t="s">
        <v>23316</v>
      </c>
      <c r="DO1945" t="s">
        <v>207</v>
      </c>
      <c r="DP1945" t="s">
        <v>208</v>
      </c>
      <c r="DQ1945" t="s">
        <v>23317</v>
      </c>
      <c r="DR1945" t="s">
        <v>1966</v>
      </c>
      <c r="DS1945" t="s">
        <v>183</v>
      </c>
      <c r="DT1945" t="s">
        <v>211</v>
      </c>
      <c r="DU1945" t="s">
        <v>345</v>
      </c>
      <c r="DW1945" t="s">
        <v>1419</v>
      </c>
      <c r="EG1945" t="s">
        <v>198</v>
      </c>
      <c r="EQ1945" t="s">
        <v>198</v>
      </c>
      <c r="FA1945" t="s">
        <v>198</v>
      </c>
      <c r="FK1945" t="s">
        <v>198</v>
      </c>
      <c r="FU1945" t="s">
        <v>198</v>
      </c>
    </row>
    <row r="1946" spans="1:177">
      <c r="A1946" s="1" t="str">
        <f>HYPERLINK("http://digipan.lumentumllc.com/apps/getLink/index.php?t=PropLink&amp;p=5244024","PL")</f>
        <v>PL</v>
      </c>
      <c r="B1946" s="1" t="str">
        <f>HYPERLINK("http://digipan.lumentumllc.com/apps/getLink/index.php?t=TaxLink&amp;p=5244024","TL")</f>
        <v>TL</v>
      </c>
      <c r="C1946" s="1" t="str">
        <f>HYPERLINK("http://digipan.lumentumllc.com/apps/getMap/index.php?p=5244024","Map")</f>
        <v>Map</v>
      </c>
      <c r="E1946" t="s">
        <v>177</v>
      </c>
      <c r="F1946" t="s">
        <v>178</v>
      </c>
      <c r="L1946" t="s">
        <v>23318</v>
      </c>
      <c r="N1946" t="s">
        <v>23318</v>
      </c>
      <c r="O1946" t="s">
        <v>23318</v>
      </c>
      <c r="P1946" t="s">
        <v>23319</v>
      </c>
      <c r="Q1946" t="s">
        <v>23318</v>
      </c>
      <c r="V1946">
        <v>2226</v>
      </c>
      <c r="W1946">
        <v>7</v>
      </c>
      <c r="X1946">
        <v>2017</v>
      </c>
      <c r="Y1946">
        <v>2018</v>
      </c>
      <c r="Z1946">
        <v>805.08</v>
      </c>
      <c r="AB1946" t="s">
        <v>181</v>
      </c>
      <c r="AC1946" t="s">
        <v>182</v>
      </c>
      <c r="AD1946" t="s">
        <v>183</v>
      </c>
      <c r="AE1946">
        <v>1</v>
      </c>
      <c r="AF1946">
        <v>2</v>
      </c>
      <c r="AG1946" t="s">
        <v>363</v>
      </c>
      <c r="AH1946">
        <v>67</v>
      </c>
      <c r="AI1946">
        <v>777.31</v>
      </c>
      <c r="AJ1946">
        <v>38.869999999999997</v>
      </c>
      <c r="AK1946">
        <v>816.18</v>
      </c>
      <c r="AL1946">
        <v>47529</v>
      </c>
      <c r="AM1946">
        <v>45000</v>
      </c>
      <c r="AN1946">
        <v>2529</v>
      </c>
      <c r="AO1946">
        <v>694</v>
      </c>
      <c r="AP1946">
        <v>2016</v>
      </c>
      <c r="AQ1946">
        <v>1.69</v>
      </c>
      <c r="AR1946">
        <v>1.72</v>
      </c>
      <c r="AS1946" t="s">
        <v>23320</v>
      </c>
      <c r="AT1946" t="s">
        <v>15040</v>
      </c>
      <c r="AU1946" t="s">
        <v>177</v>
      </c>
      <c r="AV1946" t="s">
        <v>371</v>
      </c>
      <c r="AW1946" t="s">
        <v>182</v>
      </c>
      <c r="AX1946">
        <v>2</v>
      </c>
      <c r="AY1946" t="s">
        <v>188</v>
      </c>
      <c r="AZ1946" t="s">
        <v>189</v>
      </c>
      <c r="BA1946" t="s">
        <v>190</v>
      </c>
      <c r="BB1946" t="s">
        <v>191</v>
      </c>
      <c r="BC1946" t="s">
        <v>182</v>
      </c>
      <c r="BD1946" t="s">
        <v>182</v>
      </c>
      <c r="BE1946" t="s">
        <v>3682</v>
      </c>
      <c r="BF1946">
        <v>1</v>
      </c>
      <c r="BG1946">
        <v>1</v>
      </c>
      <c r="BH1946">
        <v>1959</v>
      </c>
      <c r="BI1946" t="s">
        <v>3434</v>
      </c>
      <c r="BJ1946" t="s">
        <v>194</v>
      </c>
      <c r="BK1946" t="s">
        <v>195</v>
      </c>
      <c r="BL1946" t="s">
        <v>199</v>
      </c>
      <c r="BM1946" t="s">
        <v>1156</v>
      </c>
      <c r="BN1946" t="s">
        <v>182</v>
      </c>
      <c r="BO1946" t="s">
        <v>198</v>
      </c>
      <c r="BP1946" t="s">
        <v>198</v>
      </c>
      <c r="BQ1946" t="s">
        <v>198</v>
      </c>
      <c r="BR1946" t="s">
        <v>198</v>
      </c>
      <c r="BS1946" t="s">
        <v>198</v>
      </c>
      <c r="BT1946" t="s">
        <v>198</v>
      </c>
      <c r="BU1946" t="s">
        <v>182</v>
      </c>
      <c r="BV1946" t="s">
        <v>198</v>
      </c>
      <c r="BW1946" t="s">
        <v>198</v>
      </c>
      <c r="BX1946" t="s">
        <v>199</v>
      </c>
      <c r="BY1946" t="s">
        <v>198</v>
      </c>
      <c r="BZ1946" t="s">
        <v>199</v>
      </c>
      <c r="CA1946" t="s">
        <v>199</v>
      </c>
      <c r="CB1946" t="s">
        <v>23321</v>
      </c>
      <c r="CC1946" t="s">
        <v>201</v>
      </c>
      <c r="CD1946" t="s">
        <v>182</v>
      </c>
      <c r="CE1946" t="s">
        <v>23322</v>
      </c>
      <c r="CF1946" t="s">
        <v>5331</v>
      </c>
      <c r="CG1946" t="s">
        <v>177</v>
      </c>
      <c r="CH1946" t="s">
        <v>371</v>
      </c>
      <c r="CI1946" t="s">
        <v>23323</v>
      </c>
      <c r="CJ1946" t="s">
        <v>23324</v>
      </c>
      <c r="CK1946" t="s">
        <v>232</v>
      </c>
      <c r="CL1946" t="s">
        <v>233</v>
      </c>
      <c r="CM1946" t="s">
        <v>23325</v>
      </c>
      <c r="CN1946" t="s">
        <v>235</v>
      </c>
      <c r="CO1946" t="s">
        <v>183</v>
      </c>
      <c r="CP1946" t="s">
        <v>266</v>
      </c>
      <c r="CS1946" t="s">
        <v>198</v>
      </c>
      <c r="CT1946" t="s">
        <v>15610</v>
      </c>
      <c r="CU1946" t="s">
        <v>273</v>
      </c>
      <c r="CV1946" t="s">
        <v>274</v>
      </c>
      <c r="CW1946" t="s">
        <v>23326</v>
      </c>
      <c r="CX1946" t="s">
        <v>235</v>
      </c>
      <c r="CY1946" t="s">
        <v>183</v>
      </c>
      <c r="CZ1946" t="s">
        <v>211</v>
      </c>
      <c r="DA1946" t="s">
        <v>342</v>
      </c>
      <c r="DC1946" t="s">
        <v>5580</v>
      </c>
      <c r="DD1946" t="s">
        <v>23327</v>
      </c>
      <c r="DE1946" t="s">
        <v>346</v>
      </c>
      <c r="DF1946" t="s">
        <v>347</v>
      </c>
      <c r="DG1946" t="s">
        <v>23328</v>
      </c>
      <c r="DH1946" t="s">
        <v>391</v>
      </c>
      <c r="DI1946" t="s">
        <v>183</v>
      </c>
      <c r="DJ1946" t="s">
        <v>211</v>
      </c>
      <c r="DK1946" t="s">
        <v>342</v>
      </c>
      <c r="DM1946" t="s">
        <v>1419</v>
      </c>
      <c r="DW1946" t="s">
        <v>198</v>
      </c>
      <c r="EG1946" t="s">
        <v>198</v>
      </c>
      <c r="EQ1946" t="s">
        <v>198</v>
      </c>
      <c r="FA1946" t="s">
        <v>198</v>
      </c>
      <c r="FK1946" t="s">
        <v>198</v>
      </c>
      <c r="FU1946" t="s">
        <v>198</v>
      </c>
    </row>
    <row r="1947" spans="1:177">
      <c r="A1947" s="1" t="str">
        <f>HYPERLINK("http://digipan.lumentumllc.com/apps/getLink/index.php?t=PropLink&amp;p=5244025","PL")</f>
        <v>PL</v>
      </c>
      <c r="B1947" s="1" t="str">
        <f>HYPERLINK("http://digipan.lumentumllc.com/apps/getLink/index.php?t=TaxLink&amp;p=5244025","TL")</f>
        <v>TL</v>
      </c>
      <c r="C1947" s="1" t="str">
        <f>HYPERLINK("http://digipan.lumentumllc.com/apps/getMap/index.php?p=5244025","Map")</f>
        <v>Map</v>
      </c>
      <c r="E1947" t="s">
        <v>177</v>
      </c>
      <c r="F1947" t="s">
        <v>178</v>
      </c>
      <c r="L1947" t="s">
        <v>23329</v>
      </c>
      <c r="N1947" t="s">
        <v>23329</v>
      </c>
      <c r="O1947" t="s">
        <v>23329</v>
      </c>
      <c r="P1947" t="s">
        <v>23330</v>
      </c>
      <c r="Q1947" t="s">
        <v>23329</v>
      </c>
      <c r="V1947">
        <v>2227</v>
      </c>
      <c r="W1947">
        <v>7</v>
      </c>
      <c r="X1947">
        <v>2017</v>
      </c>
      <c r="Y1947">
        <v>2018</v>
      </c>
      <c r="Z1947">
        <v>874.16</v>
      </c>
      <c r="AB1947" t="s">
        <v>181</v>
      </c>
      <c r="AC1947" t="s">
        <v>182</v>
      </c>
      <c r="AD1947" t="s">
        <v>183</v>
      </c>
      <c r="AE1947">
        <v>1</v>
      </c>
      <c r="AF1947">
        <v>5</v>
      </c>
      <c r="AG1947" t="s">
        <v>951</v>
      </c>
      <c r="AH1947">
        <v>80</v>
      </c>
      <c r="AI1947">
        <v>840.97</v>
      </c>
      <c r="AJ1947">
        <v>42.05</v>
      </c>
      <c r="AK1947">
        <v>883.02</v>
      </c>
      <c r="AL1947">
        <v>54493</v>
      </c>
      <c r="AM1947">
        <v>45000</v>
      </c>
      <c r="AN1947">
        <v>9493</v>
      </c>
      <c r="AO1947">
        <v>753</v>
      </c>
      <c r="AP1947">
        <v>2016</v>
      </c>
      <c r="AQ1947">
        <v>1.6</v>
      </c>
      <c r="AR1947">
        <v>1.62</v>
      </c>
      <c r="AS1947" t="s">
        <v>23331</v>
      </c>
      <c r="AT1947" t="s">
        <v>15040</v>
      </c>
      <c r="AU1947" t="s">
        <v>177</v>
      </c>
      <c r="AV1947" t="s">
        <v>371</v>
      </c>
      <c r="AW1947" t="s">
        <v>182</v>
      </c>
      <c r="AX1947">
        <v>2</v>
      </c>
      <c r="AY1947" t="s">
        <v>188</v>
      </c>
      <c r="AZ1947" t="s">
        <v>189</v>
      </c>
      <c r="BA1947" t="s">
        <v>190</v>
      </c>
      <c r="BB1947" t="s">
        <v>191</v>
      </c>
      <c r="BC1947" t="s">
        <v>182</v>
      </c>
      <c r="BD1947" t="s">
        <v>182</v>
      </c>
      <c r="BE1947" t="s">
        <v>3956</v>
      </c>
      <c r="BF1947">
        <v>1</v>
      </c>
      <c r="BG1947">
        <v>1</v>
      </c>
      <c r="BH1947">
        <v>1978</v>
      </c>
      <c r="BI1947" t="s">
        <v>4694</v>
      </c>
      <c r="BJ1947" t="s">
        <v>194</v>
      </c>
      <c r="BK1947" t="s">
        <v>195</v>
      </c>
      <c r="BL1947" t="s">
        <v>23332</v>
      </c>
      <c r="BM1947" t="s">
        <v>501</v>
      </c>
      <c r="BN1947" t="s">
        <v>182</v>
      </c>
      <c r="BO1947" t="s">
        <v>226</v>
      </c>
      <c r="BP1947" t="s">
        <v>11037</v>
      </c>
      <c r="BS1947" t="s">
        <v>23333</v>
      </c>
      <c r="BT1947" t="s">
        <v>198</v>
      </c>
      <c r="BU1947" t="s">
        <v>182</v>
      </c>
      <c r="BV1947" t="s">
        <v>198</v>
      </c>
      <c r="BW1947" t="s">
        <v>198</v>
      </c>
      <c r="BX1947" t="s">
        <v>199</v>
      </c>
      <c r="BY1947" t="s">
        <v>198</v>
      </c>
      <c r="BZ1947" t="s">
        <v>199</v>
      </c>
      <c r="CA1947" t="s">
        <v>199</v>
      </c>
      <c r="CB1947" t="s">
        <v>23334</v>
      </c>
      <c r="CC1947" t="s">
        <v>201</v>
      </c>
      <c r="CD1947" t="s">
        <v>182</v>
      </c>
      <c r="CE1947" t="s">
        <v>22028</v>
      </c>
      <c r="CF1947" t="s">
        <v>2333</v>
      </c>
      <c r="CG1947" t="s">
        <v>177</v>
      </c>
      <c r="CH1947" t="s">
        <v>2334</v>
      </c>
      <c r="CI1947" t="s">
        <v>23335</v>
      </c>
      <c r="CJ1947" t="s">
        <v>15850</v>
      </c>
      <c r="CK1947" t="s">
        <v>232</v>
      </c>
      <c r="CL1947" t="s">
        <v>233</v>
      </c>
      <c r="CM1947" t="s">
        <v>23336</v>
      </c>
      <c r="CN1947" t="s">
        <v>235</v>
      </c>
      <c r="CO1947" t="s">
        <v>183</v>
      </c>
      <c r="CP1947" t="s">
        <v>266</v>
      </c>
      <c r="CS1947" t="s">
        <v>198</v>
      </c>
      <c r="CT1947" t="s">
        <v>945</v>
      </c>
      <c r="CU1947" t="s">
        <v>267</v>
      </c>
      <c r="CV1947" t="s">
        <v>268</v>
      </c>
      <c r="CW1947" t="s">
        <v>23337</v>
      </c>
      <c r="CX1947" t="s">
        <v>235</v>
      </c>
      <c r="CY1947" t="s">
        <v>183</v>
      </c>
      <c r="CZ1947" t="s">
        <v>211</v>
      </c>
      <c r="DA1947" t="s">
        <v>329</v>
      </c>
      <c r="DC1947" t="s">
        <v>7503</v>
      </c>
      <c r="DD1947" t="s">
        <v>20627</v>
      </c>
      <c r="DE1947" t="s">
        <v>273</v>
      </c>
      <c r="DF1947" t="s">
        <v>274</v>
      </c>
      <c r="DG1947" t="s">
        <v>23338</v>
      </c>
      <c r="DH1947" t="s">
        <v>235</v>
      </c>
      <c r="DI1947" t="s">
        <v>183</v>
      </c>
      <c r="DJ1947" t="s">
        <v>211</v>
      </c>
      <c r="DK1947" t="s">
        <v>199</v>
      </c>
      <c r="DM1947" t="s">
        <v>9175</v>
      </c>
      <c r="DN1947" t="s">
        <v>876</v>
      </c>
      <c r="DO1947" t="s">
        <v>238</v>
      </c>
      <c r="DP1947" t="s">
        <v>239</v>
      </c>
      <c r="DQ1947" t="s">
        <v>23339</v>
      </c>
      <c r="DR1947" t="s">
        <v>833</v>
      </c>
      <c r="DS1947" t="s">
        <v>183</v>
      </c>
      <c r="DT1947" t="s">
        <v>211</v>
      </c>
      <c r="DU1947" t="s">
        <v>212</v>
      </c>
      <c r="DW1947" t="s">
        <v>279</v>
      </c>
      <c r="DX1947" t="s">
        <v>15186</v>
      </c>
      <c r="DY1947" t="s">
        <v>346</v>
      </c>
      <c r="DZ1947" t="s">
        <v>347</v>
      </c>
      <c r="EA1947" t="s">
        <v>23340</v>
      </c>
      <c r="EB1947" t="s">
        <v>440</v>
      </c>
      <c r="EC1947" t="s">
        <v>183</v>
      </c>
      <c r="ED1947" t="s">
        <v>211</v>
      </c>
      <c r="EE1947" t="s">
        <v>298</v>
      </c>
      <c r="EG1947" t="s">
        <v>1100</v>
      </c>
      <c r="EH1947" t="s">
        <v>22296</v>
      </c>
      <c r="EI1947" t="s">
        <v>207</v>
      </c>
      <c r="EJ1947" t="s">
        <v>208</v>
      </c>
      <c r="EK1947" t="s">
        <v>23341</v>
      </c>
      <c r="EL1947" t="s">
        <v>1676</v>
      </c>
      <c r="EM1947" t="s">
        <v>183</v>
      </c>
      <c r="EN1947" t="s">
        <v>211</v>
      </c>
      <c r="EO1947" t="s">
        <v>298</v>
      </c>
      <c r="EQ1947" t="s">
        <v>1167</v>
      </c>
      <c r="FA1947" t="s">
        <v>198</v>
      </c>
      <c r="FK1947" t="s">
        <v>198</v>
      </c>
      <c r="FU1947" t="s">
        <v>198</v>
      </c>
    </row>
    <row r="1948" spans="1:177">
      <c r="A1948" s="1" t="str">
        <f>HYPERLINK("http://digipan.lumentumllc.com/apps/getLink/index.php?t=PropLink&amp;p=5244027","PL")</f>
        <v>PL</v>
      </c>
      <c r="B1948" s="1" t="str">
        <f>HYPERLINK("http://digipan.lumentumllc.com/apps/getLink/index.php?t=TaxLink&amp;p=5244027","TL")</f>
        <v>TL</v>
      </c>
      <c r="C1948" s="1" t="str">
        <f>HYPERLINK("http://digipan.lumentumllc.com/apps/getMap/index.php?p=5244027","Map")</f>
        <v>Map</v>
      </c>
      <c r="E1948" t="s">
        <v>177</v>
      </c>
      <c r="F1948" t="s">
        <v>178</v>
      </c>
      <c r="L1948" t="s">
        <v>23342</v>
      </c>
      <c r="N1948" t="s">
        <v>23342</v>
      </c>
      <c r="O1948" t="s">
        <v>23342</v>
      </c>
      <c r="P1948" t="s">
        <v>23343</v>
      </c>
      <c r="Q1948" t="s">
        <v>23342</v>
      </c>
      <c r="V1948">
        <v>2228</v>
      </c>
      <c r="W1948">
        <v>7</v>
      </c>
      <c r="X1948">
        <v>2017</v>
      </c>
      <c r="Y1948">
        <v>2018</v>
      </c>
      <c r="Z1948">
        <v>5555.47</v>
      </c>
      <c r="AB1948" t="s">
        <v>181</v>
      </c>
      <c r="AC1948" t="s">
        <v>182</v>
      </c>
      <c r="AD1948" t="s">
        <v>183</v>
      </c>
      <c r="AE1948">
        <v>1</v>
      </c>
      <c r="AF1948">
        <v>6</v>
      </c>
      <c r="AG1948" t="s">
        <v>418</v>
      </c>
      <c r="AH1948">
        <v>86</v>
      </c>
      <c r="AI1948">
        <v>11777.98</v>
      </c>
      <c r="AJ1948">
        <v>588.9</v>
      </c>
      <c r="AK1948">
        <v>12366.88</v>
      </c>
      <c r="AL1948">
        <v>331846</v>
      </c>
      <c r="AM1948">
        <v>148654</v>
      </c>
      <c r="AN1948">
        <v>183192</v>
      </c>
      <c r="AO1948">
        <v>10866</v>
      </c>
      <c r="AP1948">
        <v>2016</v>
      </c>
      <c r="AQ1948">
        <v>1.67</v>
      </c>
      <c r="AR1948">
        <v>3.73</v>
      </c>
      <c r="AS1948" t="s">
        <v>23344</v>
      </c>
      <c r="AT1948" t="s">
        <v>15040</v>
      </c>
      <c r="AU1948" t="s">
        <v>177</v>
      </c>
      <c r="AV1948" t="s">
        <v>371</v>
      </c>
      <c r="AW1948" t="s">
        <v>182</v>
      </c>
      <c r="AX1948">
        <v>1</v>
      </c>
      <c r="AY1948" t="s">
        <v>188</v>
      </c>
      <c r="AZ1948" t="s">
        <v>206</v>
      </c>
      <c r="BA1948" t="s">
        <v>355</v>
      </c>
      <c r="BB1948" t="s">
        <v>191</v>
      </c>
      <c r="BC1948" t="s">
        <v>182</v>
      </c>
      <c r="BD1948" t="s">
        <v>182</v>
      </c>
      <c r="BE1948" t="s">
        <v>5608</v>
      </c>
      <c r="BF1948">
        <v>1</v>
      </c>
      <c r="BG1948">
        <v>1</v>
      </c>
      <c r="BH1948">
        <v>2003</v>
      </c>
      <c r="BI1948" t="s">
        <v>23345</v>
      </c>
      <c r="BJ1948" t="s">
        <v>1945</v>
      </c>
      <c r="BK1948" t="s">
        <v>195</v>
      </c>
      <c r="BL1948" t="s">
        <v>1458</v>
      </c>
      <c r="BM1948" t="s">
        <v>1041</v>
      </c>
      <c r="BN1948" t="s">
        <v>182</v>
      </c>
      <c r="BO1948" t="s">
        <v>2328</v>
      </c>
      <c r="BP1948" t="s">
        <v>9588</v>
      </c>
      <c r="BS1948" t="s">
        <v>23346</v>
      </c>
      <c r="BT1948" t="s">
        <v>198</v>
      </c>
      <c r="BU1948" t="s">
        <v>182</v>
      </c>
      <c r="BV1948" t="s">
        <v>198</v>
      </c>
      <c r="BW1948" t="s">
        <v>198</v>
      </c>
      <c r="BX1948" t="s">
        <v>199</v>
      </c>
      <c r="BY1948" t="s">
        <v>198</v>
      </c>
      <c r="BZ1948" t="s">
        <v>199</v>
      </c>
      <c r="CA1948" t="s">
        <v>199</v>
      </c>
      <c r="CB1948" t="s">
        <v>22755</v>
      </c>
      <c r="CC1948" t="s">
        <v>201</v>
      </c>
      <c r="CD1948" t="s">
        <v>182</v>
      </c>
      <c r="CE1948" t="s">
        <v>22750</v>
      </c>
      <c r="CF1948" t="s">
        <v>413</v>
      </c>
      <c r="CG1948" t="s">
        <v>177</v>
      </c>
      <c r="CH1948" t="s">
        <v>782</v>
      </c>
      <c r="CI1948" t="s">
        <v>23347</v>
      </c>
      <c r="CJ1948" t="s">
        <v>20501</v>
      </c>
      <c r="CK1948" t="s">
        <v>232</v>
      </c>
      <c r="CL1948" t="s">
        <v>233</v>
      </c>
      <c r="CM1948" t="s">
        <v>23348</v>
      </c>
      <c r="CN1948" t="s">
        <v>235</v>
      </c>
      <c r="CO1948" t="s">
        <v>183</v>
      </c>
      <c r="CP1948" t="s">
        <v>266</v>
      </c>
      <c r="CS1948" t="s">
        <v>198</v>
      </c>
      <c r="CT1948" t="s">
        <v>23349</v>
      </c>
      <c r="CU1948" t="s">
        <v>292</v>
      </c>
      <c r="CV1948" t="s">
        <v>293</v>
      </c>
      <c r="CW1948" t="s">
        <v>23350</v>
      </c>
      <c r="CX1948" t="s">
        <v>235</v>
      </c>
      <c r="CY1948" t="s">
        <v>183</v>
      </c>
      <c r="CZ1948" t="s">
        <v>211</v>
      </c>
      <c r="DA1948" t="s">
        <v>270</v>
      </c>
      <c r="DC1948" t="s">
        <v>9523</v>
      </c>
      <c r="DD1948" t="s">
        <v>2351</v>
      </c>
      <c r="DE1948" t="s">
        <v>267</v>
      </c>
      <c r="DF1948" t="s">
        <v>268</v>
      </c>
      <c r="DG1948" t="s">
        <v>23351</v>
      </c>
      <c r="DH1948" t="s">
        <v>235</v>
      </c>
      <c r="DI1948" t="s">
        <v>183</v>
      </c>
      <c r="DJ1948" t="s">
        <v>211</v>
      </c>
      <c r="DK1948" t="s">
        <v>199</v>
      </c>
      <c r="DM1948" t="s">
        <v>17015</v>
      </c>
      <c r="DN1948" t="s">
        <v>7665</v>
      </c>
      <c r="DO1948" t="s">
        <v>273</v>
      </c>
      <c r="DP1948" t="s">
        <v>274</v>
      </c>
      <c r="DQ1948" t="s">
        <v>23352</v>
      </c>
      <c r="DR1948" t="s">
        <v>235</v>
      </c>
      <c r="DS1948" t="s">
        <v>183</v>
      </c>
      <c r="DT1948" t="s">
        <v>211</v>
      </c>
      <c r="DU1948" t="s">
        <v>270</v>
      </c>
      <c r="DW1948" t="s">
        <v>851</v>
      </c>
      <c r="DX1948" t="s">
        <v>23353</v>
      </c>
      <c r="DY1948" t="s">
        <v>302</v>
      </c>
      <c r="DZ1948" t="s">
        <v>303</v>
      </c>
      <c r="EA1948" t="s">
        <v>23354</v>
      </c>
      <c r="EB1948" t="s">
        <v>235</v>
      </c>
      <c r="EC1948" t="s">
        <v>183</v>
      </c>
      <c r="ED1948" t="s">
        <v>211</v>
      </c>
      <c r="EE1948" t="s">
        <v>212</v>
      </c>
      <c r="EG1948" t="s">
        <v>22742</v>
      </c>
      <c r="EH1948" t="s">
        <v>855</v>
      </c>
      <c r="EI1948" t="s">
        <v>238</v>
      </c>
      <c r="EJ1948" t="s">
        <v>239</v>
      </c>
      <c r="EK1948" t="s">
        <v>23355</v>
      </c>
      <c r="EL1948" t="s">
        <v>235</v>
      </c>
      <c r="EM1948" t="s">
        <v>183</v>
      </c>
      <c r="EN1948" t="s">
        <v>211</v>
      </c>
      <c r="EO1948" t="s">
        <v>296</v>
      </c>
      <c r="EQ1948" t="s">
        <v>613</v>
      </c>
      <c r="ER1948" t="s">
        <v>23356</v>
      </c>
      <c r="ES1948" t="s">
        <v>346</v>
      </c>
      <c r="ET1948" t="s">
        <v>347</v>
      </c>
      <c r="EU1948" t="s">
        <v>23357</v>
      </c>
      <c r="EV1948" t="s">
        <v>235</v>
      </c>
      <c r="EW1948" t="s">
        <v>183</v>
      </c>
      <c r="EX1948" t="s">
        <v>211</v>
      </c>
      <c r="EY1948" t="s">
        <v>444</v>
      </c>
      <c r="FA1948" t="s">
        <v>613</v>
      </c>
      <c r="FK1948" t="s">
        <v>198</v>
      </c>
      <c r="FU1948" t="s">
        <v>198</v>
      </c>
    </row>
    <row r="1949" spans="1:177">
      <c r="A1949" s="1" t="str">
        <f>HYPERLINK("http://digipan.lumentumllc.com/apps/getLink/index.php?t=PropLink&amp;p=6886557","PL")</f>
        <v>PL</v>
      </c>
      <c r="B1949" s="1" t="str">
        <f>HYPERLINK("http://digipan.lumentumllc.com/apps/getLink/index.php?t=TaxLink&amp;p=6886557","TL")</f>
        <v>TL</v>
      </c>
      <c r="C1949" s="1" t="str">
        <f>HYPERLINK("http://digipan.lumentumllc.com/apps/getMap/index.php?p=6886557","Map")</f>
        <v>Map</v>
      </c>
      <c r="E1949" t="s">
        <v>177</v>
      </c>
      <c r="F1949" t="s">
        <v>178</v>
      </c>
      <c r="L1949" t="s">
        <v>23358</v>
      </c>
      <c r="N1949" t="s">
        <v>23358</v>
      </c>
      <c r="O1949" t="s">
        <v>23358</v>
      </c>
      <c r="P1949" t="s">
        <v>23359</v>
      </c>
      <c r="Q1949" t="s">
        <v>23358</v>
      </c>
      <c r="V1949">
        <v>2230</v>
      </c>
      <c r="W1949">
        <v>7</v>
      </c>
      <c r="X1949">
        <v>2017</v>
      </c>
      <c r="Y1949">
        <v>2018</v>
      </c>
      <c r="Z1949">
        <v>3180.09</v>
      </c>
      <c r="AB1949" t="s">
        <v>181</v>
      </c>
      <c r="AC1949" t="s">
        <v>182</v>
      </c>
      <c r="AD1949" t="s">
        <v>183</v>
      </c>
      <c r="AE1949">
        <v>1</v>
      </c>
      <c r="AF1949">
        <v>2</v>
      </c>
      <c r="AG1949" t="s">
        <v>363</v>
      </c>
      <c r="AH1949">
        <v>67</v>
      </c>
      <c r="AI1949">
        <v>3152.05</v>
      </c>
      <c r="AJ1949">
        <v>157.6</v>
      </c>
      <c r="AK1949">
        <v>3309.65</v>
      </c>
      <c r="AL1949">
        <v>247849</v>
      </c>
      <c r="AM1949">
        <v>85000</v>
      </c>
      <c r="AN1949">
        <v>162849</v>
      </c>
      <c r="AO1949">
        <v>2890</v>
      </c>
      <c r="AP1949">
        <v>2016</v>
      </c>
      <c r="AQ1949">
        <v>1.28</v>
      </c>
      <c r="AR1949">
        <v>1.34</v>
      </c>
      <c r="AS1949" t="s">
        <v>23360</v>
      </c>
      <c r="AT1949" t="s">
        <v>15040</v>
      </c>
      <c r="AU1949" t="s">
        <v>177</v>
      </c>
      <c r="AV1949" t="s">
        <v>371</v>
      </c>
      <c r="AW1949" t="s">
        <v>202</v>
      </c>
      <c r="AX1949">
        <v>1</v>
      </c>
      <c r="AY1949" t="s">
        <v>188</v>
      </c>
      <c r="AZ1949" t="s">
        <v>206</v>
      </c>
      <c r="BA1949" t="s">
        <v>355</v>
      </c>
      <c r="BB1949" t="s">
        <v>191</v>
      </c>
      <c r="BC1949" t="s">
        <v>182</v>
      </c>
      <c r="BD1949" t="s">
        <v>182</v>
      </c>
      <c r="BE1949" t="s">
        <v>6008</v>
      </c>
      <c r="BF1949">
        <v>1</v>
      </c>
      <c r="BG1949">
        <v>1</v>
      </c>
      <c r="BH1949">
        <v>1990</v>
      </c>
      <c r="BI1949" t="s">
        <v>2079</v>
      </c>
      <c r="BJ1949" t="s">
        <v>285</v>
      </c>
      <c r="BK1949" t="s">
        <v>195</v>
      </c>
      <c r="BL1949" t="s">
        <v>199</v>
      </c>
      <c r="BM1949" t="s">
        <v>267</v>
      </c>
      <c r="BN1949" t="s">
        <v>182</v>
      </c>
      <c r="BO1949" t="s">
        <v>3184</v>
      </c>
      <c r="BP1949" t="s">
        <v>4714</v>
      </c>
      <c r="BR1949" t="s">
        <v>1461</v>
      </c>
      <c r="BS1949" t="s">
        <v>23361</v>
      </c>
      <c r="BT1949" t="s">
        <v>198</v>
      </c>
      <c r="BU1949" t="s">
        <v>182</v>
      </c>
      <c r="BV1949" t="s">
        <v>198</v>
      </c>
      <c r="BW1949" t="s">
        <v>198</v>
      </c>
      <c r="BX1949" t="s">
        <v>199</v>
      </c>
      <c r="BY1949" t="s">
        <v>198</v>
      </c>
      <c r="BZ1949" t="s">
        <v>199</v>
      </c>
      <c r="CA1949" t="s">
        <v>199</v>
      </c>
      <c r="CB1949" t="s">
        <v>23362</v>
      </c>
      <c r="CC1949" t="s">
        <v>201</v>
      </c>
      <c r="CD1949" t="s">
        <v>202</v>
      </c>
      <c r="CE1949" t="s">
        <v>23363</v>
      </c>
      <c r="CF1949" t="s">
        <v>5331</v>
      </c>
      <c r="CG1949" t="s">
        <v>177</v>
      </c>
      <c r="CH1949" t="s">
        <v>371</v>
      </c>
      <c r="CI1949" t="s">
        <v>649</v>
      </c>
      <c r="CJ1949" t="s">
        <v>16130</v>
      </c>
      <c r="CK1949" t="s">
        <v>232</v>
      </c>
      <c r="CL1949" t="s">
        <v>233</v>
      </c>
      <c r="CM1949" t="s">
        <v>23364</v>
      </c>
      <c r="CN1949" t="s">
        <v>235</v>
      </c>
      <c r="CO1949" t="s">
        <v>183</v>
      </c>
      <c r="CP1949" t="s">
        <v>266</v>
      </c>
      <c r="CS1949" t="s">
        <v>198</v>
      </c>
      <c r="CT1949" t="s">
        <v>20697</v>
      </c>
      <c r="CU1949" t="s">
        <v>292</v>
      </c>
      <c r="CV1949" t="s">
        <v>293</v>
      </c>
      <c r="CW1949" t="s">
        <v>23365</v>
      </c>
      <c r="CX1949" t="s">
        <v>235</v>
      </c>
      <c r="CY1949" t="s">
        <v>183</v>
      </c>
      <c r="CZ1949" t="s">
        <v>211</v>
      </c>
      <c r="DA1949" t="s">
        <v>298</v>
      </c>
      <c r="DC1949" t="s">
        <v>457</v>
      </c>
      <c r="DD1949" t="s">
        <v>1825</v>
      </c>
      <c r="DE1949" t="s">
        <v>267</v>
      </c>
      <c r="DF1949" t="s">
        <v>268</v>
      </c>
      <c r="DG1949" t="s">
        <v>23366</v>
      </c>
      <c r="DH1949" t="s">
        <v>235</v>
      </c>
      <c r="DI1949" t="s">
        <v>183</v>
      </c>
      <c r="DJ1949" t="s">
        <v>211</v>
      </c>
      <c r="DK1949" t="s">
        <v>339</v>
      </c>
      <c r="DM1949" t="s">
        <v>16444</v>
      </c>
      <c r="DW1949" t="s">
        <v>198</v>
      </c>
      <c r="EG1949" t="s">
        <v>198</v>
      </c>
      <c r="EQ1949" t="s">
        <v>198</v>
      </c>
      <c r="FA1949" t="s">
        <v>198</v>
      </c>
      <c r="FK1949" t="s">
        <v>198</v>
      </c>
      <c r="FU1949" t="s">
        <v>198</v>
      </c>
    </row>
    <row r="1950" spans="1:177">
      <c r="A1950" s="1" t="str">
        <f>HYPERLINK("http://digipan.lumentumllc.com/apps/getLink/index.php?t=PropLink&amp;p=41028952","PL")</f>
        <v>PL</v>
      </c>
      <c r="B1950" s="1" t="str">
        <f>HYPERLINK("http://digipan.lumentumllc.com/apps/getLink/index.php?t=TaxLink&amp;p=41028952","TL")</f>
        <v>TL</v>
      </c>
      <c r="C1950" s="1" t="str">
        <f t="shared" ref="C1950:C1976" si="1">HYPERLINK("","")</f>
        <v/>
      </c>
      <c r="E1950" t="s">
        <v>177</v>
      </c>
      <c r="F1950" t="s">
        <v>178</v>
      </c>
      <c r="L1950" t="s">
        <v>23367</v>
      </c>
      <c r="N1950" t="s">
        <v>23367</v>
      </c>
      <c r="O1950" t="s">
        <v>23367</v>
      </c>
      <c r="Q1950" t="s">
        <v>23367</v>
      </c>
      <c r="V1950">
        <v>2231</v>
      </c>
      <c r="W1950">
        <v>7</v>
      </c>
      <c r="X1950">
        <v>2017</v>
      </c>
      <c r="Y1950">
        <v>2018</v>
      </c>
      <c r="Z1950">
        <v>1656.06</v>
      </c>
      <c r="AG1950" t="s">
        <v>184</v>
      </c>
      <c r="AH1950">
        <v>0</v>
      </c>
      <c r="AK1950">
        <v>0</v>
      </c>
      <c r="AL1950">
        <v>75345</v>
      </c>
      <c r="AM1950">
        <v>75345</v>
      </c>
      <c r="AN1950">
        <v>0</v>
      </c>
      <c r="AQ1950">
        <v>2.2000000000000002</v>
      </c>
      <c r="AS1950" t="s">
        <v>23368</v>
      </c>
      <c r="AT1950" t="s">
        <v>15040</v>
      </c>
      <c r="AU1950" t="s">
        <v>177</v>
      </c>
      <c r="AV1950" t="s">
        <v>371</v>
      </c>
      <c r="AW1950" t="s">
        <v>182</v>
      </c>
      <c r="AX1950">
        <v>0</v>
      </c>
      <c r="AY1950" t="s">
        <v>312</v>
      </c>
      <c r="AZ1950" t="s">
        <v>199</v>
      </c>
      <c r="BA1950" t="s">
        <v>313</v>
      </c>
      <c r="BB1950" t="s">
        <v>191</v>
      </c>
      <c r="BC1950" t="s">
        <v>202</v>
      </c>
      <c r="BD1950" t="s">
        <v>182</v>
      </c>
      <c r="BE1950" t="s">
        <v>3696</v>
      </c>
      <c r="BI1950" t="s">
        <v>199</v>
      </c>
      <c r="BN1950" t="s">
        <v>182</v>
      </c>
      <c r="BO1950" t="s">
        <v>198</v>
      </c>
      <c r="BP1950" t="s">
        <v>198</v>
      </c>
      <c r="BQ1950" t="s">
        <v>198</v>
      </c>
      <c r="BR1950" t="s">
        <v>198</v>
      </c>
      <c r="BS1950" t="s">
        <v>198</v>
      </c>
      <c r="BT1950" t="s">
        <v>198</v>
      </c>
      <c r="BU1950" t="s">
        <v>182</v>
      </c>
      <c r="BV1950" t="s">
        <v>198</v>
      </c>
      <c r="BW1950" t="s">
        <v>198</v>
      </c>
      <c r="BX1950" t="s">
        <v>199</v>
      </c>
      <c r="BY1950" t="s">
        <v>198</v>
      </c>
      <c r="CB1950" t="s">
        <v>23369</v>
      </c>
      <c r="CC1950" t="s">
        <v>201</v>
      </c>
      <c r="CD1950" t="s">
        <v>182</v>
      </c>
      <c r="CE1950" t="s">
        <v>23370</v>
      </c>
      <c r="CF1950" t="s">
        <v>413</v>
      </c>
      <c r="CG1950" t="s">
        <v>177</v>
      </c>
      <c r="CH1950" t="s">
        <v>804</v>
      </c>
      <c r="CI1950" t="s">
        <v>1955</v>
      </c>
      <c r="CS1950" t="s">
        <v>198</v>
      </c>
      <c r="DC1950" t="s">
        <v>198</v>
      </c>
      <c r="DM1950" t="s">
        <v>198</v>
      </c>
      <c r="DW1950" t="s">
        <v>198</v>
      </c>
      <c r="EG1950" t="s">
        <v>198</v>
      </c>
      <c r="EQ1950" t="s">
        <v>198</v>
      </c>
      <c r="FA1950" t="s">
        <v>198</v>
      </c>
      <c r="FK1950" t="s">
        <v>198</v>
      </c>
      <c r="FU1950" t="s">
        <v>198</v>
      </c>
    </row>
    <row r="1951" spans="1:177">
      <c r="A1951" s="1" t="str">
        <f>HYPERLINK("http://digipan.lumentumllc.com/apps/getLink/index.php?t=PropLink&amp;p=41028953","PL")</f>
        <v>PL</v>
      </c>
      <c r="B1951" s="1" t="str">
        <f>HYPERLINK("http://digipan.lumentumllc.com/apps/getLink/index.php?t=TaxLink&amp;p=41028953","TL")</f>
        <v>TL</v>
      </c>
      <c r="C1951" s="1" t="str">
        <f t="shared" si="1"/>
        <v/>
      </c>
      <c r="E1951" t="s">
        <v>177</v>
      </c>
      <c r="F1951" t="s">
        <v>178</v>
      </c>
      <c r="L1951" t="s">
        <v>23371</v>
      </c>
      <c r="N1951" t="s">
        <v>23371</v>
      </c>
      <c r="O1951" t="s">
        <v>23371</v>
      </c>
      <c r="Q1951" t="s">
        <v>23371</v>
      </c>
      <c r="V1951">
        <v>2232</v>
      </c>
      <c r="W1951">
        <v>7</v>
      </c>
      <c r="X1951">
        <v>2017</v>
      </c>
      <c r="Y1951">
        <v>2018</v>
      </c>
      <c r="Z1951">
        <v>1656.06</v>
      </c>
      <c r="AG1951" t="s">
        <v>184</v>
      </c>
      <c r="AH1951">
        <v>0</v>
      </c>
      <c r="AK1951">
        <v>0</v>
      </c>
      <c r="AL1951">
        <v>75345</v>
      </c>
      <c r="AM1951">
        <v>75345</v>
      </c>
      <c r="AN1951">
        <v>0</v>
      </c>
      <c r="AQ1951">
        <v>2.2000000000000002</v>
      </c>
      <c r="AS1951" t="s">
        <v>23372</v>
      </c>
      <c r="AT1951" t="s">
        <v>15040</v>
      </c>
      <c r="AU1951" t="s">
        <v>177</v>
      </c>
      <c r="AV1951" t="s">
        <v>371</v>
      </c>
      <c r="AW1951" t="s">
        <v>182</v>
      </c>
      <c r="AX1951">
        <v>0</v>
      </c>
      <c r="AY1951" t="s">
        <v>312</v>
      </c>
      <c r="AZ1951" t="s">
        <v>199</v>
      </c>
      <c r="BA1951" t="s">
        <v>313</v>
      </c>
      <c r="BB1951" t="s">
        <v>191</v>
      </c>
      <c r="BC1951" t="s">
        <v>202</v>
      </c>
      <c r="BD1951" t="s">
        <v>182</v>
      </c>
      <c r="BE1951" t="s">
        <v>8096</v>
      </c>
      <c r="BI1951" t="s">
        <v>199</v>
      </c>
      <c r="BN1951" t="s">
        <v>182</v>
      </c>
      <c r="BO1951" t="s">
        <v>198</v>
      </c>
      <c r="BP1951" t="s">
        <v>198</v>
      </c>
      <c r="BQ1951" t="s">
        <v>198</v>
      </c>
      <c r="BR1951" t="s">
        <v>198</v>
      </c>
      <c r="BS1951" t="s">
        <v>198</v>
      </c>
      <c r="BT1951" t="s">
        <v>198</v>
      </c>
      <c r="BU1951" t="s">
        <v>182</v>
      </c>
      <c r="BV1951" t="s">
        <v>198</v>
      </c>
      <c r="BW1951" t="s">
        <v>198</v>
      </c>
      <c r="BX1951" t="s">
        <v>199</v>
      </c>
      <c r="BY1951" t="s">
        <v>198</v>
      </c>
      <c r="CB1951" t="s">
        <v>23369</v>
      </c>
      <c r="CC1951" t="s">
        <v>201</v>
      </c>
      <c r="CD1951" t="s">
        <v>182</v>
      </c>
      <c r="CE1951" t="s">
        <v>23370</v>
      </c>
      <c r="CF1951" t="s">
        <v>413</v>
      </c>
      <c r="CG1951" t="s">
        <v>177</v>
      </c>
      <c r="CH1951" t="s">
        <v>804</v>
      </c>
      <c r="CI1951" t="s">
        <v>1972</v>
      </c>
      <c r="CS1951" t="s">
        <v>198</v>
      </c>
      <c r="DC1951" t="s">
        <v>198</v>
      </c>
      <c r="DM1951" t="s">
        <v>198</v>
      </c>
      <c r="DW1951" t="s">
        <v>198</v>
      </c>
      <c r="EG1951" t="s">
        <v>198</v>
      </c>
      <c r="EQ1951" t="s">
        <v>198</v>
      </c>
      <c r="FA1951" t="s">
        <v>198</v>
      </c>
      <c r="FK1951" t="s">
        <v>198</v>
      </c>
      <c r="FU1951" t="s">
        <v>198</v>
      </c>
    </row>
    <row r="1952" spans="1:177">
      <c r="A1952" s="1" t="str">
        <f>HYPERLINK("http://digipan.lumentumllc.com/apps/getLink/index.php?t=PropLink&amp;p=41028954","PL")</f>
        <v>PL</v>
      </c>
      <c r="B1952" s="1" t="str">
        <f>HYPERLINK("http://digipan.lumentumllc.com/apps/getLink/index.php?t=TaxLink&amp;p=41028954","TL")</f>
        <v>TL</v>
      </c>
      <c r="C1952" s="1" t="str">
        <f t="shared" si="1"/>
        <v/>
      </c>
      <c r="E1952" t="s">
        <v>177</v>
      </c>
      <c r="F1952" t="s">
        <v>178</v>
      </c>
      <c r="L1952" t="s">
        <v>23373</v>
      </c>
      <c r="N1952" t="s">
        <v>23373</v>
      </c>
      <c r="O1952" t="s">
        <v>23373</v>
      </c>
      <c r="Q1952" t="s">
        <v>23373</v>
      </c>
      <c r="V1952">
        <v>2233</v>
      </c>
      <c r="W1952">
        <v>7</v>
      </c>
      <c r="X1952">
        <v>2017</v>
      </c>
      <c r="Y1952">
        <v>2018</v>
      </c>
      <c r="Z1952">
        <v>1656.06</v>
      </c>
      <c r="AG1952" t="s">
        <v>184</v>
      </c>
      <c r="AH1952">
        <v>0</v>
      </c>
      <c r="AK1952">
        <v>0</v>
      </c>
      <c r="AL1952">
        <v>75345</v>
      </c>
      <c r="AM1952">
        <v>75345</v>
      </c>
      <c r="AN1952">
        <v>0</v>
      </c>
      <c r="AQ1952">
        <v>2.2000000000000002</v>
      </c>
      <c r="AS1952" t="s">
        <v>23374</v>
      </c>
      <c r="AT1952" t="s">
        <v>15040</v>
      </c>
      <c r="AU1952" t="s">
        <v>177</v>
      </c>
      <c r="AV1952" t="s">
        <v>371</v>
      </c>
      <c r="AW1952" t="s">
        <v>182</v>
      </c>
      <c r="AX1952">
        <v>0</v>
      </c>
      <c r="AY1952" t="s">
        <v>312</v>
      </c>
      <c r="AZ1952" t="s">
        <v>199</v>
      </c>
      <c r="BA1952" t="s">
        <v>313</v>
      </c>
      <c r="BB1952" t="s">
        <v>191</v>
      </c>
      <c r="BC1952" t="s">
        <v>202</v>
      </c>
      <c r="BD1952" t="s">
        <v>182</v>
      </c>
      <c r="BE1952" t="s">
        <v>7685</v>
      </c>
      <c r="BI1952" t="s">
        <v>199</v>
      </c>
      <c r="BN1952" t="s">
        <v>182</v>
      </c>
      <c r="BO1952" t="s">
        <v>198</v>
      </c>
      <c r="BP1952" t="s">
        <v>198</v>
      </c>
      <c r="BQ1952" t="s">
        <v>198</v>
      </c>
      <c r="BR1952" t="s">
        <v>198</v>
      </c>
      <c r="BS1952" t="s">
        <v>198</v>
      </c>
      <c r="BT1952" t="s">
        <v>198</v>
      </c>
      <c r="BU1952" t="s">
        <v>182</v>
      </c>
      <c r="BV1952" t="s">
        <v>198</v>
      </c>
      <c r="BW1952" t="s">
        <v>198</v>
      </c>
      <c r="BX1952" t="s">
        <v>199</v>
      </c>
      <c r="BY1952" t="s">
        <v>198</v>
      </c>
      <c r="CB1952" t="s">
        <v>23369</v>
      </c>
      <c r="CC1952" t="s">
        <v>201</v>
      </c>
      <c r="CD1952" t="s">
        <v>182</v>
      </c>
      <c r="CE1952" t="s">
        <v>23370</v>
      </c>
      <c r="CF1952" t="s">
        <v>413</v>
      </c>
      <c r="CG1952" t="s">
        <v>177</v>
      </c>
      <c r="CH1952" t="s">
        <v>804</v>
      </c>
      <c r="CI1952" t="s">
        <v>610</v>
      </c>
      <c r="CS1952" t="s">
        <v>198</v>
      </c>
      <c r="DC1952" t="s">
        <v>198</v>
      </c>
      <c r="DM1952" t="s">
        <v>198</v>
      </c>
      <c r="DW1952" t="s">
        <v>198</v>
      </c>
      <c r="EG1952" t="s">
        <v>198</v>
      </c>
      <c r="EQ1952" t="s">
        <v>198</v>
      </c>
      <c r="FA1952" t="s">
        <v>198</v>
      </c>
      <c r="FK1952" t="s">
        <v>198</v>
      </c>
      <c r="FU1952" t="s">
        <v>198</v>
      </c>
    </row>
    <row r="1953" spans="1:177">
      <c r="A1953" s="1" t="str">
        <f>HYPERLINK("http://digipan.lumentumllc.com/apps/getLink/index.php?t=PropLink&amp;p=41028955","PL")</f>
        <v>PL</v>
      </c>
      <c r="B1953" s="1" t="str">
        <f>HYPERLINK("http://digipan.lumentumllc.com/apps/getLink/index.php?t=TaxLink&amp;p=41028955","TL")</f>
        <v>TL</v>
      </c>
      <c r="C1953" s="1" t="str">
        <f t="shared" si="1"/>
        <v/>
      </c>
      <c r="E1953" t="s">
        <v>177</v>
      </c>
      <c r="F1953" t="s">
        <v>178</v>
      </c>
      <c r="L1953" t="s">
        <v>23375</v>
      </c>
      <c r="N1953" t="s">
        <v>23375</v>
      </c>
      <c r="O1953" t="s">
        <v>23375</v>
      </c>
      <c r="Q1953" t="s">
        <v>23375</v>
      </c>
      <c r="V1953">
        <v>2234</v>
      </c>
      <c r="W1953">
        <v>7</v>
      </c>
      <c r="X1953">
        <v>2017</v>
      </c>
      <c r="Y1953">
        <v>2018</v>
      </c>
      <c r="Z1953">
        <v>1656.06</v>
      </c>
      <c r="AG1953" t="s">
        <v>184</v>
      </c>
      <c r="AH1953">
        <v>0</v>
      </c>
      <c r="AK1953">
        <v>0</v>
      </c>
      <c r="AL1953">
        <v>75345</v>
      </c>
      <c r="AM1953">
        <v>75345</v>
      </c>
      <c r="AN1953">
        <v>0</v>
      </c>
      <c r="AQ1953">
        <v>2.2000000000000002</v>
      </c>
      <c r="AS1953" t="s">
        <v>23376</v>
      </c>
      <c r="AT1953" t="s">
        <v>15040</v>
      </c>
      <c r="AU1953" t="s">
        <v>177</v>
      </c>
      <c r="AV1953" t="s">
        <v>371</v>
      </c>
      <c r="AW1953" t="s">
        <v>182</v>
      </c>
      <c r="AX1953">
        <v>0</v>
      </c>
      <c r="AY1953" t="s">
        <v>312</v>
      </c>
      <c r="AZ1953" t="s">
        <v>199</v>
      </c>
      <c r="BA1953" t="s">
        <v>313</v>
      </c>
      <c r="BB1953" t="s">
        <v>191</v>
      </c>
      <c r="BC1953" t="s">
        <v>202</v>
      </c>
      <c r="BD1953" t="s">
        <v>182</v>
      </c>
      <c r="BE1953" t="s">
        <v>3682</v>
      </c>
      <c r="BI1953" t="s">
        <v>199</v>
      </c>
      <c r="BN1953" t="s">
        <v>182</v>
      </c>
      <c r="BO1953" t="s">
        <v>198</v>
      </c>
      <c r="BP1953" t="s">
        <v>198</v>
      </c>
      <c r="BQ1953" t="s">
        <v>198</v>
      </c>
      <c r="BR1953" t="s">
        <v>198</v>
      </c>
      <c r="BS1953" t="s">
        <v>198</v>
      </c>
      <c r="BT1953" t="s">
        <v>198</v>
      </c>
      <c r="BU1953" t="s">
        <v>182</v>
      </c>
      <c r="BV1953" t="s">
        <v>198</v>
      </c>
      <c r="BW1953" t="s">
        <v>198</v>
      </c>
      <c r="BX1953" t="s">
        <v>199</v>
      </c>
      <c r="BY1953" t="s">
        <v>198</v>
      </c>
      <c r="CB1953" t="s">
        <v>23369</v>
      </c>
      <c r="CC1953" t="s">
        <v>201</v>
      </c>
      <c r="CD1953" t="s">
        <v>182</v>
      </c>
      <c r="CE1953" t="s">
        <v>23370</v>
      </c>
      <c r="CF1953" t="s">
        <v>413</v>
      </c>
      <c r="CG1953" t="s">
        <v>177</v>
      </c>
      <c r="CH1953" t="s">
        <v>804</v>
      </c>
      <c r="CI1953" t="s">
        <v>629</v>
      </c>
      <c r="CS1953" t="s">
        <v>198</v>
      </c>
      <c r="DC1953" t="s">
        <v>198</v>
      </c>
      <c r="DM1953" t="s">
        <v>198</v>
      </c>
      <c r="DW1953" t="s">
        <v>198</v>
      </c>
      <c r="EG1953" t="s">
        <v>198</v>
      </c>
      <c r="EQ1953" t="s">
        <v>198</v>
      </c>
      <c r="FA1953" t="s">
        <v>198</v>
      </c>
      <c r="FK1953" t="s">
        <v>198</v>
      </c>
      <c r="FU1953" t="s">
        <v>198</v>
      </c>
    </row>
    <row r="1954" spans="1:177">
      <c r="A1954" s="1" t="str">
        <f>HYPERLINK("http://digipan.lumentumllc.com/apps/getLink/index.php?t=PropLink&amp;p=41028956","PL")</f>
        <v>PL</v>
      </c>
      <c r="B1954" s="1" t="str">
        <f>HYPERLINK("http://digipan.lumentumllc.com/apps/getLink/index.php?t=TaxLink&amp;p=41028956","TL")</f>
        <v>TL</v>
      </c>
      <c r="C1954" s="1" t="str">
        <f t="shared" si="1"/>
        <v/>
      </c>
      <c r="E1954" t="s">
        <v>177</v>
      </c>
      <c r="F1954" t="s">
        <v>178</v>
      </c>
      <c r="L1954" t="s">
        <v>23377</v>
      </c>
      <c r="N1954" t="s">
        <v>23377</v>
      </c>
      <c r="O1954" t="s">
        <v>23377</v>
      </c>
      <c r="Q1954" t="s">
        <v>23377</v>
      </c>
      <c r="V1954">
        <v>2235</v>
      </c>
      <c r="W1954">
        <v>7</v>
      </c>
      <c r="X1954">
        <v>2017</v>
      </c>
      <c r="Y1954">
        <v>2018</v>
      </c>
      <c r="Z1954">
        <v>1656.06</v>
      </c>
      <c r="AG1954" t="s">
        <v>184</v>
      </c>
      <c r="AH1954">
        <v>0</v>
      </c>
      <c r="AK1954">
        <v>0</v>
      </c>
      <c r="AL1954">
        <v>75345</v>
      </c>
      <c r="AM1954">
        <v>75345</v>
      </c>
      <c r="AN1954">
        <v>0</v>
      </c>
      <c r="AQ1954">
        <v>2.2000000000000002</v>
      </c>
      <c r="AS1954" t="s">
        <v>23378</v>
      </c>
      <c r="AT1954" t="s">
        <v>15040</v>
      </c>
      <c r="AU1954" t="s">
        <v>177</v>
      </c>
      <c r="AV1954" t="s">
        <v>371</v>
      </c>
      <c r="AW1954" t="s">
        <v>182</v>
      </c>
      <c r="AX1954">
        <v>0</v>
      </c>
      <c r="AY1954" t="s">
        <v>312</v>
      </c>
      <c r="AZ1954" t="s">
        <v>199</v>
      </c>
      <c r="BA1954" t="s">
        <v>313</v>
      </c>
      <c r="BB1954" t="s">
        <v>191</v>
      </c>
      <c r="BC1954" t="s">
        <v>202</v>
      </c>
      <c r="BD1954" t="s">
        <v>182</v>
      </c>
      <c r="BE1954" t="s">
        <v>11684</v>
      </c>
      <c r="BI1954" t="s">
        <v>199</v>
      </c>
      <c r="BN1954" t="s">
        <v>182</v>
      </c>
      <c r="BO1954" t="s">
        <v>198</v>
      </c>
      <c r="BP1954" t="s">
        <v>198</v>
      </c>
      <c r="BQ1954" t="s">
        <v>198</v>
      </c>
      <c r="BR1954" t="s">
        <v>198</v>
      </c>
      <c r="BS1954" t="s">
        <v>198</v>
      </c>
      <c r="BT1954" t="s">
        <v>198</v>
      </c>
      <c r="BU1954" t="s">
        <v>182</v>
      </c>
      <c r="BV1954" t="s">
        <v>198</v>
      </c>
      <c r="BW1954" t="s">
        <v>198</v>
      </c>
      <c r="BX1954" t="s">
        <v>199</v>
      </c>
      <c r="BY1954" t="s">
        <v>198</v>
      </c>
      <c r="CB1954" t="s">
        <v>23369</v>
      </c>
      <c r="CC1954" t="s">
        <v>201</v>
      </c>
      <c r="CD1954" t="s">
        <v>182</v>
      </c>
      <c r="CE1954" t="s">
        <v>23370</v>
      </c>
      <c r="CF1954" t="s">
        <v>413</v>
      </c>
      <c r="CG1954" t="s">
        <v>177</v>
      </c>
      <c r="CH1954" t="s">
        <v>804</v>
      </c>
      <c r="CI1954" t="s">
        <v>4099</v>
      </c>
      <c r="CS1954" t="s">
        <v>198</v>
      </c>
      <c r="DC1954" t="s">
        <v>198</v>
      </c>
      <c r="DM1954" t="s">
        <v>198</v>
      </c>
      <c r="DW1954" t="s">
        <v>198</v>
      </c>
      <c r="EG1954" t="s">
        <v>198</v>
      </c>
      <c r="EQ1954" t="s">
        <v>198</v>
      </c>
      <c r="FA1954" t="s">
        <v>198</v>
      </c>
      <c r="FK1954" t="s">
        <v>198</v>
      </c>
      <c r="FU1954" t="s">
        <v>198</v>
      </c>
    </row>
    <row r="1955" spans="1:177">
      <c r="A1955" s="1" t="str">
        <f>HYPERLINK("http://digipan.lumentumllc.com/apps/getLink/index.php?t=PropLink&amp;p=41028959","PL")</f>
        <v>PL</v>
      </c>
      <c r="B1955" s="1" t="str">
        <f>HYPERLINK("http://digipan.lumentumllc.com/apps/getLink/index.php?t=TaxLink&amp;p=41028959","TL")</f>
        <v>TL</v>
      </c>
      <c r="C1955" s="1" t="str">
        <f t="shared" si="1"/>
        <v/>
      </c>
      <c r="E1955" t="s">
        <v>177</v>
      </c>
      <c r="F1955" t="s">
        <v>178</v>
      </c>
      <c r="L1955" t="s">
        <v>23379</v>
      </c>
      <c r="N1955" t="s">
        <v>23379</v>
      </c>
      <c r="O1955" t="s">
        <v>23379</v>
      </c>
      <c r="Q1955" t="s">
        <v>23379</v>
      </c>
      <c r="V1955">
        <v>2236</v>
      </c>
      <c r="W1955">
        <v>7</v>
      </c>
      <c r="X1955">
        <v>2017</v>
      </c>
      <c r="Y1955">
        <v>2018</v>
      </c>
      <c r="Z1955">
        <v>1656.06</v>
      </c>
      <c r="AG1955" t="s">
        <v>184</v>
      </c>
      <c r="AH1955">
        <v>0</v>
      </c>
      <c r="AK1955">
        <v>0</v>
      </c>
      <c r="AL1955">
        <v>75345</v>
      </c>
      <c r="AM1955">
        <v>75345</v>
      </c>
      <c r="AN1955">
        <v>0</v>
      </c>
      <c r="AQ1955">
        <v>2.2000000000000002</v>
      </c>
      <c r="AS1955" t="s">
        <v>23380</v>
      </c>
      <c r="AT1955" t="s">
        <v>15040</v>
      </c>
      <c r="AU1955" t="s">
        <v>177</v>
      </c>
      <c r="AV1955" t="s">
        <v>371</v>
      </c>
      <c r="AW1955" t="s">
        <v>182</v>
      </c>
      <c r="AX1955">
        <v>0</v>
      </c>
      <c r="AY1955" t="s">
        <v>312</v>
      </c>
      <c r="AZ1955" t="s">
        <v>199</v>
      </c>
      <c r="BA1955" t="s">
        <v>313</v>
      </c>
      <c r="BB1955" t="s">
        <v>191</v>
      </c>
      <c r="BC1955" t="s">
        <v>202</v>
      </c>
      <c r="BD1955" t="s">
        <v>182</v>
      </c>
      <c r="BE1955" t="s">
        <v>6008</v>
      </c>
      <c r="BI1955" t="s">
        <v>199</v>
      </c>
      <c r="BN1955" t="s">
        <v>182</v>
      </c>
      <c r="BO1955" t="s">
        <v>198</v>
      </c>
      <c r="BP1955" t="s">
        <v>198</v>
      </c>
      <c r="BQ1955" t="s">
        <v>198</v>
      </c>
      <c r="BR1955" t="s">
        <v>198</v>
      </c>
      <c r="BS1955" t="s">
        <v>198</v>
      </c>
      <c r="BT1955" t="s">
        <v>198</v>
      </c>
      <c r="BU1955" t="s">
        <v>182</v>
      </c>
      <c r="BV1955" t="s">
        <v>198</v>
      </c>
      <c r="BW1955" t="s">
        <v>198</v>
      </c>
      <c r="BX1955" t="s">
        <v>199</v>
      </c>
      <c r="BY1955" t="s">
        <v>198</v>
      </c>
      <c r="CB1955" t="s">
        <v>23369</v>
      </c>
      <c r="CC1955" t="s">
        <v>201</v>
      </c>
      <c r="CD1955" t="s">
        <v>182</v>
      </c>
      <c r="CE1955" t="s">
        <v>23370</v>
      </c>
      <c r="CF1955" t="s">
        <v>413</v>
      </c>
      <c r="CG1955" t="s">
        <v>177</v>
      </c>
      <c r="CH1955" t="s">
        <v>804</v>
      </c>
      <c r="CI1955" t="s">
        <v>4843</v>
      </c>
      <c r="CS1955" t="s">
        <v>198</v>
      </c>
      <c r="DC1955" t="s">
        <v>198</v>
      </c>
      <c r="DM1955" t="s">
        <v>198</v>
      </c>
      <c r="DW1955" t="s">
        <v>198</v>
      </c>
      <c r="EG1955" t="s">
        <v>198</v>
      </c>
      <c r="EQ1955" t="s">
        <v>198</v>
      </c>
      <c r="FA1955" t="s">
        <v>198</v>
      </c>
      <c r="FK1955" t="s">
        <v>198</v>
      </c>
      <c r="FU1955" t="s">
        <v>198</v>
      </c>
    </row>
    <row r="1956" spans="1:177">
      <c r="A1956" s="1" t="str">
        <f>HYPERLINK("http://digipan.lumentumllc.com/apps/getLink/index.php?t=PropLink&amp;p=41028960","PL")</f>
        <v>PL</v>
      </c>
      <c r="B1956" s="1" t="str">
        <f>HYPERLINK("http://digipan.lumentumllc.com/apps/getLink/index.php?t=TaxLink&amp;p=41028960","TL")</f>
        <v>TL</v>
      </c>
      <c r="C1956" s="1" t="str">
        <f t="shared" si="1"/>
        <v/>
      </c>
      <c r="E1956" t="s">
        <v>177</v>
      </c>
      <c r="F1956" t="s">
        <v>178</v>
      </c>
      <c r="L1956" t="s">
        <v>23381</v>
      </c>
      <c r="N1956" t="s">
        <v>23381</v>
      </c>
      <c r="O1956" t="s">
        <v>23381</v>
      </c>
      <c r="Q1956" t="s">
        <v>23381</v>
      </c>
      <c r="V1956">
        <v>2237</v>
      </c>
      <c r="W1956">
        <v>7</v>
      </c>
      <c r="X1956">
        <v>2017</v>
      </c>
      <c r="Y1956">
        <v>2018</v>
      </c>
      <c r="Z1956">
        <v>1656.06</v>
      </c>
      <c r="AG1956" t="s">
        <v>184</v>
      </c>
      <c r="AH1956">
        <v>0</v>
      </c>
      <c r="AK1956">
        <v>0</v>
      </c>
      <c r="AL1956">
        <v>75345</v>
      </c>
      <c r="AM1956">
        <v>75345</v>
      </c>
      <c r="AN1956">
        <v>0</v>
      </c>
      <c r="AQ1956">
        <v>2.2000000000000002</v>
      </c>
      <c r="AS1956" t="s">
        <v>23382</v>
      </c>
      <c r="AT1956" t="s">
        <v>15040</v>
      </c>
      <c r="AU1956" t="s">
        <v>177</v>
      </c>
      <c r="AV1956" t="s">
        <v>371</v>
      </c>
      <c r="AW1956" t="s">
        <v>182</v>
      </c>
      <c r="AX1956">
        <v>0</v>
      </c>
      <c r="AY1956" t="s">
        <v>312</v>
      </c>
      <c r="AZ1956" t="s">
        <v>199</v>
      </c>
      <c r="BA1956" t="s">
        <v>313</v>
      </c>
      <c r="BB1956" t="s">
        <v>191</v>
      </c>
      <c r="BC1956" t="s">
        <v>202</v>
      </c>
      <c r="BD1956" t="s">
        <v>182</v>
      </c>
      <c r="BE1956" t="s">
        <v>5689</v>
      </c>
      <c r="BI1956" t="s">
        <v>199</v>
      </c>
      <c r="BN1956" t="s">
        <v>182</v>
      </c>
      <c r="BO1956" t="s">
        <v>198</v>
      </c>
      <c r="BP1956" t="s">
        <v>198</v>
      </c>
      <c r="BQ1956" t="s">
        <v>198</v>
      </c>
      <c r="BR1956" t="s">
        <v>198</v>
      </c>
      <c r="BS1956" t="s">
        <v>198</v>
      </c>
      <c r="BT1956" t="s">
        <v>198</v>
      </c>
      <c r="BU1956" t="s">
        <v>182</v>
      </c>
      <c r="BV1956" t="s">
        <v>198</v>
      </c>
      <c r="BW1956" t="s">
        <v>198</v>
      </c>
      <c r="BX1956" t="s">
        <v>199</v>
      </c>
      <c r="BY1956" t="s">
        <v>198</v>
      </c>
      <c r="CB1956" t="s">
        <v>23369</v>
      </c>
      <c r="CC1956" t="s">
        <v>201</v>
      </c>
      <c r="CD1956" t="s">
        <v>182</v>
      </c>
      <c r="CE1956" t="s">
        <v>23370</v>
      </c>
      <c r="CF1956" t="s">
        <v>413</v>
      </c>
      <c r="CG1956" t="s">
        <v>177</v>
      </c>
      <c r="CH1956" t="s">
        <v>804</v>
      </c>
      <c r="CI1956" t="s">
        <v>7898</v>
      </c>
      <c r="CS1956" t="s">
        <v>198</v>
      </c>
      <c r="DC1956" t="s">
        <v>198</v>
      </c>
      <c r="DM1956" t="s">
        <v>198</v>
      </c>
      <c r="DW1956" t="s">
        <v>198</v>
      </c>
      <c r="EG1956" t="s">
        <v>198</v>
      </c>
      <c r="EQ1956" t="s">
        <v>198</v>
      </c>
      <c r="FA1956" t="s">
        <v>198</v>
      </c>
      <c r="FK1956" t="s">
        <v>198</v>
      </c>
      <c r="FU1956" t="s">
        <v>198</v>
      </c>
    </row>
    <row r="1957" spans="1:177">
      <c r="A1957" s="1" t="str">
        <f>HYPERLINK("http://digipan.lumentumllc.com/apps/getLink/index.php?t=PropLink&amp;p=41028961","PL")</f>
        <v>PL</v>
      </c>
      <c r="B1957" s="1" t="str">
        <f>HYPERLINK("http://digipan.lumentumllc.com/apps/getLink/index.php?t=TaxLink&amp;p=41028961","TL")</f>
        <v>TL</v>
      </c>
      <c r="C1957" s="1" t="str">
        <f t="shared" si="1"/>
        <v/>
      </c>
      <c r="E1957" t="s">
        <v>177</v>
      </c>
      <c r="F1957" t="s">
        <v>178</v>
      </c>
      <c r="L1957" t="s">
        <v>23383</v>
      </c>
      <c r="N1957" t="s">
        <v>23383</v>
      </c>
      <c r="O1957" t="s">
        <v>23383</v>
      </c>
      <c r="Q1957" t="s">
        <v>23383</v>
      </c>
      <c r="V1957">
        <v>2238</v>
      </c>
      <c r="W1957">
        <v>7</v>
      </c>
      <c r="X1957">
        <v>2017</v>
      </c>
      <c r="Y1957">
        <v>2018</v>
      </c>
      <c r="Z1957">
        <v>1656.06</v>
      </c>
      <c r="AG1957" t="s">
        <v>184</v>
      </c>
      <c r="AH1957">
        <v>0</v>
      </c>
      <c r="AK1957">
        <v>0</v>
      </c>
      <c r="AL1957">
        <v>75345</v>
      </c>
      <c r="AM1957">
        <v>75345</v>
      </c>
      <c r="AN1957">
        <v>0</v>
      </c>
      <c r="AQ1957">
        <v>2.2000000000000002</v>
      </c>
      <c r="AS1957" t="s">
        <v>23384</v>
      </c>
      <c r="AT1957" t="s">
        <v>15040</v>
      </c>
      <c r="AU1957" t="s">
        <v>177</v>
      </c>
      <c r="AV1957" t="s">
        <v>371</v>
      </c>
      <c r="AW1957" t="s">
        <v>182</v>
      </c>
      <c r="AX1957">
        <v>0</v>
      </c>
      <c r="AY1957" t="s">
        <v>312</v>
      </c>
      <c r="AZ1957" t="s">
        <v>199</v>
      </c>
      <c r="BA1957" t="s">
        <v>313</v>
      </c>
      <c r="BB1957" t="s">
        <v>191</v>
      </c>
      <c r="BC1957" t="s">
        <v>202</v>
      </c>
      <c r="BD1957" t="s">
        <v>182</v>
      </c>
      <c r="BE1957" t="s">
        <v>9756</v>
      </c>
      <c r="BI1957" t="s">
        <v>199</v>
      </c>
      <c r="BN1957" t="s">
        <v>182</v>
      </c>
      <c r="BO1957" t="s">
        <v>198</v>
      </c>
      <c r="BP1957" t="s">
        <v>198</v>
      </c>
      <c r="BQ1957" t="s">
        <v>198</v>
      </c>
      <c r="BR1957" t="s">
        <v>198</v>
      </c>
      <c r="BS1957" t="s">
        <v>198</v>
      </c>
      <c r="BT1957" t="s">
        <v>198</v>
      </c>
      <c r="BU1957" t="s">
        <v>182</v>
      </c>
      <c r="BV1957" t="s">
        <v>198</v>
      </c>
      <c r="BW1957" t="s">
        <v>198</v>
      </c>
      <c r="BX1957" t="s">
        <v>199</v>
      </c>
      <c r="BY1957" t="s">
        <v>198</v>
      </c>
      <c r="CB1957" t="s">
        <v>23369</v>
      </c>
      <c r="CC1957" t="s">
        <v>201</v>
      </c>
      <c r="CD1957" t="s">
        <v>182</v>
      </c>
      <c r="CE1957" t="s">
        <v>23370</v>
      </c>
      <c r="CF1957" t="s">
        <v>413</v>
      </c>
      <c r="CG1957" t="s">
        <v>177</v>
      </c>
      <c r="CH1957" t="s">
        <v>804</v>
      </c>
      <c r="CI1957" t="s">
        <v>4045</v>
      </c>
      <c r="CS1957" t="s">
        <v>198</v>
      </c>
      <c r="DC1957" t="s">
        <v>198</v>
      </c>
      <c r="DM1957" t="s">
        <v>198</v>
      </c>
      <c r="DW1957" t="s">
        <v>198</v>
      </c>
      <c r="EG1957" t="s">
        <v>198</v>
      </c>
      <c r="EQ1957" t="s">
        <v>198</v>
      </c>
      <c r="FA1957" t="s">
        <v>198</v>
      </c>
      <c r="FK1957" t="s">
        <v>198</v>
      </c>
      <c r="FU1957" t="s">
        <v>198</v>
      </c>
    </row>
    <row r="1958" spans="1:177">
      <c r="A1958" s="1" t="str">
        <f>HYPERLINK("http://digipan.lumentumllc.com/apps/getLink/index.php?t=PropLink&amp;p=41028962","PL")</f>
        <v>PL</v>
      </c>
      <c r="B1958" s="1" t="str">
        <f>HYPERLINK("http://digipan.lumentumllc.com/apps/getLink/index.php?t=TaxLink&amp;p=41028962","TL")</f>
        <v>TL</v>
      </c>
      <c r="C1958" s="1" t="str">
        <f t="shared" si="1"/>
        <v/>
      </c>
      <c r="E1958" t="s">
        <v>177</v>
      </c>
      <c r="F1958" t="s">
        <v>178</v>
      </c>
      <c r="L1958" t="s">
        <v>23385</v>
      </c>
      <c r="N1958" t="s">
        <v>23385</v>
      </c>
      <c r="O1958" t="s">
        <v>23385</v>
      </c>
      <c r="Q1958" t="s">
        <v>23385</v>
      </c>
      <c r="V1958">
        <v>2239</v>
      </c>
      <c r="W1958">
        <v>7</v>
      </c>
      <c r="X1958">
        <v>2017</v>
      </c>
      <c r="Y1958">
        <v>2018</v>
      </c>
      <c r="Z1958">
        <v>1656.06</v>
      </c>
      <c r="AG1958" t="s">
        <v>184</v>
      </c>
      <c r="AH1958">
        <v>0</v>
      </c>
      <c r="AK1958">
        <v>0</v>
      </c>
      <c r="AL1958">
        <v>75345</v>
      </c>
      <c r="AM1958">
        <v>75345</v>
      </c>
      <c r="AN1958">
        <v>0</v>
      </c>
      <c r="AQ1958">
        <v>2.2000000000000002</v>
      </c>
      <c r="AS1958" t="s">
        <v>23386</v>
      </c>
      <c r="AT1958" t="s">
        <v>15040</v>
      </c>
      <c r="AU1958" t="s">
        <v>177</v>
      </c>
      <c r="AV1958" t="s">
        <v>371</v>
      </c>
      <c r="AW1958" t="s">
        <v>182</v>
      </c>
      <c r="AX1958">
        <v>0</v>
      </c>
      <c r="AY1958" t="s">
        <v>312</v>
      </c>
      <c r="AZ1958" t="s">
        <v>199</v>
      </c>
      <c r="BA1958" t="s">
        <v>313</v>
      </c>
      <c r="BB1958" t="s">
        <v>191</v>
      </c>
      <c r="BC1958" t="s">
        <v>202</v>
      </c>
      <c r="BD1958" t="s">
        <v>182</v>
      </c>
      <c r="BE1958" t="s">
        <v>7407</v>
      </c>
      <c r="BI1958" t="s">
        <v>199</v>
      </c>
      <c r="BN1958" t="s">
        <v>182</v>
      </c>
      <c r="BO1958" t="s">
        <v>198</v>
      </c>
      <c r="BP1958" t="s">
        <v>198</v>
      </c>
      <c r="BQ1958" t="s">
        <v>198</v>
      </c>
      <c r="BR1958" t="s">
        <v>198</v>
      </c>
      <c r="BS1958" t="s">
        <v>198</v>
      </c>
      <c r="BT1958" t="s">
        <v>198</v>
      </c>
      <c r="BU1958" t="s">
        <v>182</v>
      </c>
      <c r="BV1958" t="s">
        <v>198</v>
      </c>
      <c r="BW1958" t="s">
        <v>198</v>
      </c>
      <c r="BX1958" t="s">
        <v>199</v>
      </c>
      <c r="BY1958" t="s">
        <v>198</v>
      </c>
      <c r="CB1958" t="s">
        <v>23369</v>
      </c>
      <c r="CC1958" t="s">
        <v>201</v>
      </c>
      <c r="CD1958" t="s">
        <v>182</v>
      </c>
      <c r="CE1958" t="s">
        <v>23370</v>
      </c>
      <c r="CF1958" t="s">
        <v>413</v>
      </c>
      <c r="CG1958" t="s">
        <v>177</v>
      </c>
      <c r="CH1958" t="s">
        <v>804</v>
      </c>
      <c r="CI1958" t="s">
        <v>1335</v>
      </c>
      <c r="CS1958" t="s">
        <v>198</v>
      </c>
      <c r="DC1958" t="s">
        <v>198</v>
      </c>
      <c r="DM1958" t="s">
        <v>198</v>
      </c>
      <c r="DW1958" t="s">
        <v>198</v>
      </c>
      <c r="EG1958" t="s">
        <v>198</v>
      </c>
      <c r="EQ1958" t="s">
        <v>198</v>
      </c>
      <c r="FA1958" t="s">
        <v>198</v>
      </c>
      <c r="FK1958" t="s">
        <v>198</v>
      </c>
      <c r="FU1958" t="s">
        <v>198</v>
      </c>
    </row>
    <row r="1959" spans="1:177">
      <c r="A1959" s="1" t="str">
        <f>HYPERLINK("http://digipan.lumentumllc.com/apps/getLink/index.php?t=PropLink&amp;p=41028963","PL")</f>
        <v>PL</v>
      </c>
      <c r="B1959" s="1" t="str">
        <f>HYPERLINK("http://digipan.lumentumllc.com/apps/getLink/index.php?t=TaxLink&amp;p=41028963","TL")</f>
        <v>TL</v>
      </c>
      <c r="C1959" s="1" t="str">
        <f t="shared" si="1"/>
        <v/>
      </c>
      <c r="E1959" t="s">
        <v>177</v>
      </c>
      <c r="F1959" t="s">
        <v>178</v>
      </c>
      <c r="L1959" t="s">
        <v>23387</v>
      </c>
      <c r="N1959" t="s">
        <v>23387</v>
      </c>
      <c r="O1959" t="s">
        <v>23387</v>
      </c>
      <c r="Q1959" t="s">
        <v>23387</v>
      </c>
      <c r="V1959">
        <v>2240</v>
      </c>
      <c r="W1959">
        <v>7</v>
      </c>
      <c r="X1959">
        <v>2017</v>
      </c>
      <c r="Y1959">
        <v>2018</v>
      </c>
      <c r="Z1959">
        <v>1656.06</v>
      </c>
      <c r="AG1959" t="s">
        <v>184</v>
      </c>
      <c r="AH1959">
        <v>0</v>
      </c>
      <c r="AK1959">
        <v>0</v>
      </c>
      <c r="AL1959">
        <v>75345</v>
      </c>
      <c r="AM1959">
        <v>75345</v>
      </c>
      <c r="AN1959">
        <v>0</v>
      </c>
      <c r="AQ1959">
        <v>2.2000000000000002</v>
      </c>
      <c r="AS1959" t="s">
        <v>23388</v>
      </c>
      <c r="AT1959" t="s">
        <v>15040</v>
      </c>
      <c r="AU1959" t="s">
        <v>177</v>
      </c>
      <c r="AV1959" t="s">
        <v>371</v>
      </c>
      <c r="AW1959" t="s">
        <v>182</v>
      </c>
      <c r="AX1959">
        <v>0</v>
      </c>
      <c r="AY1959" t="s">
        <v>312</v>
      </c>
      <c r="AZ1959" t="s">
        <v>199</v>
      </c>
      <c r="BA1959" t="s">
        <v>313</v>
      </c>
      <c r="BB1959" t="s">
        <v>191</v>
      </c>
      <c r="BC1959" t="s">
        <v>202</v>
      </c>
      <c r="BD1959" t="s">
        <v>182</v>
      </c>
      <c r="BE1959" t="s">
        <v>7407</v>
      </c>
      <c r="BI1959" t="s">
        <v>199</v>
      </c>
      <c r="BN1959" t="s">
        <v>182</v>
      </c>
      <c r="BO1959" t="s">
        <v>198</v>
      </c>
      <c r="BP1959" t="s">
        <v>198</v>
      </c>
      <c r="BQ1959" t="s">
        <v>198</v>
      </c>
      <c r="BR1959" t="s">
        <v>198</v>
      </c>
      <c r="BS1959" t="s">
        <v>198</v>
      </c>
      <c r="BT1959" t="s">
        <v>198</v>
      </c>
      <c r="BU1959" t="s">
        <v>182</v>
      </c>
      <c r="BV1959" t="s">
        <v>198</v>
      </c>
      <c r="BW1959" t="s">
        <v>198</v>
      </c>
      <c r="BX1959" t="s">
        <v>199</v>
      </c>
      <c r="BY1959" t="s">
        <v>198</v>
      </c>
      <c r="CB1959" t="s">
        <v>23369</v>
      </c>
      <c r="CC1959" t="s">
        <v>201</v>
      </c>
      <c r="CD1959" t="s">
        <v>182</v>
      </c>
      <c r="CE1959" t="s">
        <v>23370</v>
      </c>
      <c r="CF1959" t="s">
        <v>413</v>
      </c>
      <c r="CG1959" t="s">
        <v>177</v>
      </c>
      <c r="CH1959" t="s">
        <v>804</v>
      </c>
      <c r="CI1959" t="s">
        <v>1364</v>
      </c>
      <c r="CS1959" t="s">
        <v>198</v>
      </c>
      <c r="DC1959" t="s">
        <v>198</v>
      </c>
      <c r="DM1959" t="s">
        <v>198</v>
      </c>
      <c r="DW1959" t="s">
        <v>198</v>
      </c>
      <c r="EG1959" t="s">
        <v>198</v>
      </c>
      <c r="EQ1959" t="s">
        <v>198</v>
      </c>
      <c r="FA1959" t="s">
        <v>198</v>
      </c>
      <c r="FK1959" t="s">
        <v>198</v>
      </c>
      <c r="FU1959" t="s">
        <v>198</v>
      </c>
    </row>
    <row r="1960" spans="1:177">
      <c r="A1960" s="1" t="str">
        <f>HYPERLINK("http://digipan.lumentumllc.com/apps/getLink/index.php?t=PropLink&amp;p=41028964","PL")</f>
        <v>PL</v>
      </c>
      <c r="B1960" s="1" t="str">
        <f>HYPERLINK("http://digipan.lumentumllc.com/apps/getLink/index.php?t=TaxLink&amp;p=41028964","TL")</f>
        <v>TL</v>
      </c>
      <c r="C1960" s="1" t="str">
        <f t="shared" si="1"/>
        <v/>
      </c>
      <c r="E1960" t="s">
        <v>177</v>
      </c>
      <c r="F1960" t="s">
        <v>178</v>
      </c>
      <c r="L1960" t="s">
        <v>23389</v>
      </c>
      <c r="N1960" t="s">
        <v>23389</v>
      </c>
      <c r="O1960" t="s">
        <v>23389</v>
      </c>
      <c r="Q1960" t="s">
        <v>23389</v>
      </c>
      <c r="V1960">
        <v>2241</v>
      </c>
      <c r="W1960">
        <v>7</v>
      </c>
      <c r="X1960">
        <v>2017</v>
      </c>
      <c r="Y1960">
        <v>2018</v>
      </c>
      <c r="Z1960">
        <v>1656.06</v>
      </c>
      <c r="AG1960" t="s">
        <v>184</v>
      </c>
      <c r="AH1960">
        <v>0</v>
      </c>
      <c r="AK1960">
        <v>0</v>
      </c>
      <c r="AL1960">
        <v>75345</v>
      </c>
      <c r="AM1960">
        <v>75345</v>
      </c>
      <c r="AN1960">
        <v>0</v>
      </c>
      <c r="AQ1960">
        <v>2.2000000000000002</v>
      </c>
      <c r="AS1960" t="s">
        <v>23390</v>
      </c>
      <c r="AT1960" t="s">
        <v>15040</v>
      </c>
      <c r="AU1960" t="s">
        <v>177</v>
      </c>
      <c r="AV1960" t="s">
        <v>371</v>
      </c>
      <c r="AW1960" t="s">
        <v>182</v>
      </c>
      <c r="AX1960">
        <v>0</v>
      </c>
      <c r="AY1960" t="s">
        <v>312</v>
      </c>
      <c r="AZ1960" t="s">
        <v>199</v>
      </c>
      <c r="BA1960" t="s">
        <v>313</v>
      </c>
      <c r="BB1960" t="s">
        <v>191</v>
      </c>
      <c r="BC1960" t="s">
        <v>202</v>
      </c>
      <c r="BD1960" t="s">
        <v>182</v>
      </c>
      <c r="BE1960" t="s">
        <v>3682</v>
      </c>
      <c r="BI1960" t="s">
        <v>199</v>
      </c>
      <c r="BN1960" t="s">
        <v>182</v>
      </c>
      <c r="BO1960" t="s">
        <v>198</v>
      </c>
      <c r="BP1960" t="s">
        <v>198</v>
      </c>
      <c r="BQ1960" t="s">
        <v>198</v>
      </c>
      <c r="BR1960" t="s">
        <v>198</v>
      </c>
      <c r="BS1960" t="s">
        <v>198</v>
      </c>
      <c r="BT1960" t="s">
        <v>198</v>
      </c>
      <c r="BU1960" t="s">
        <v>182</v>
      </c>
      <c r="BV1960" t="s">
        <v>198</v>
      </c>
      <c r="BW1960" t="s">
        <v>198</v>
      </c>
      <c r="BX1960" t="s">
        <v>199</v>
      </c>
      <c r="BY1960" t="s">
        <v>198</v>
      </c>
      <c r="CB1960" t="s">
        <v>23369</v>
      </c>
      <c r="CC1960" t="s">
        <v>201</v>
      </c>
      <c r="CD1960" t="s">
        <v>182</v>
      </c>
      <c r="CE1960" t="s">
        <v>23370</v>
      </c>
      <c r="CF1960" t="s">
        <v>413</v>
      </c>
      <c r="CG1960" t="s">
        <v>177</v>
      </c>
      <c r="CH1960" t="s">
        <v>804</v>
      </c>
      <c r="CI1960" t="s">
        <v>649</v>
      </c>
      <c r="CS1960" t="s">
        <v>198</v>
      </c>
      <c r="DC1960" t="s">
        <v>198</v>
      </c>
      <c r="DM1960" t="s">
        <v>198</v>
      </c>
      <c r="DW1960" t="s">
        <v>198</v>
      </c>
      <c r="EG1960" t="s">
        <v>198</v>
      </c>
      <c r="EQ1960" t="s">
        <v>198</v>
      </c>
      <c r="FA1960" t="s">
        <v>198</v>
      </c>
      <c r="FK1960" t="s">
        <v>198</v>
      </c>
      <c r="FU1960" t="s">
        <v>198</v>
      </c>
    </row>
    <row r="1961" spans="1:177">
      <c r="A1961" s="1" t="str">
        <f>HYPERLINK("http://digipan.lumentumllc.com/apps/getLink/index.php?t=PropLink&amp;p=41028965","PL")</f>
        <v>PL</v>
      </c>
      <c r="B1961" s="1" t="str">
        <f>HYPERLINK("http://digipan.lumentumllc.com/apps/getLink/index.php?t=TaxLink&amp;p=41028965","TL")</f>
        <v>TL</v>
      </c>
      <c r="C1961" s="1" t="str">
        <f t="shared" si="1"/>
        <v/>
      </c>
      <c r="E1961" t="s">
        <v>177</v>
      </c>
      <c r="F1961" t="s">
        <v>178</v>
      </c>
      <c r="L1961" t="s">
        <v>23391</v>
      </c>
      <c r="N1961" t="s">
        <v>23391</v>
      </c>
      <c r="O1961" t="s">
        <v>23391</v>
      </c>
      <c r="Q1961" t="s">
        <v>23391</v>
      </c>
      <c r="V1961">
        <v>2242</v>
      </c>
      <c r="W1961">
        <v>7</v>
      </c>
      <c r="X1961">
        <v>2017</v>
      </c>
      <c r="Y1961">
        <v>2018</v>
      </c>
      <c r="Z1961">
        <v>1656.06</v>
      </c>
      <c r="AG1961" t="s">
        <v>184</v>
      </c>
      <c r="AH1961">
        <v>0</v>
      </c>
      <c r="AK1961">
        <v>0</v>
      </c>
      <c r="AL1961">
        <v>75345</v>
      </c>
      <c r="AM1961">
        <v>75345</v>
      </c>
      <c r="AN1961">
        <v>0</v>
      </c>
      <c r="AQ1961">
        <v>2.2000000000000002</v>
      </c>
      <c r="AS1961" t="s">
        <v>23392</v>
      </c>
      <c r="AT1961" t="s">
        <v>15040</v>
      </c>
      <c r="AU1961" t="s">
        <v>177</v>
      </c>
      <c r="AV1961" t="s">
        <v>371</v>
      </c>
      <c r="AW1961" t="s">
        <v>182</v>
      </c>
      <c r="AX1961">
        <v>0</v>
      </c>
      <c r="AY1961" t="s">
        <v>312</v>
      </c>
      <c r="AZ1961" t="s">
        <v>199</v>
      </c>
      <c r="BA1961" t="s">
        <v>313</v>
      </c>
      <c r="BB1961" t="s">
        <v>191</v>
      </c>
      <c r="BC1961" t="s">
        <v>202</v>
      </c>
      <c r="BD1961" t="s">
        <v>182</v>
      </c>
      <c r="BE1961" t="s">
        <v>16543</v>
      </c>
      <c r="BI1961" t="s">
        <v>199</v>
      </c>
      <c r="BN1961" t="s">
        <v>182</v>
      </c>
      <c r="BO1961" t="s">
        <v>198</v>
      </c>
      <c r="BP1961" t="s">
        <v>198</v>
      </c>
      <c r="BQ1961" t="s">
        <v>198</v>
      </c>
      <c r="BR1961" t="s">
        <v>198</v>
      </c>
      <c r="BS1961" t="s">
        <v>198</v>
      </c>
      <c r="BT1961" t="s">
        <v>198</v>
      </c>
      <c r="BU1961" t="s">
        <v>182</v>
      </c>
      <c r="BV1961" t="s">
        <v>198</v>
      </c>
      <c r="BW1961" t="s">
        <v>198</v>
      </c>
      <c r="BX1961" t="s">
        <v>199</v>
      </c>
      <c r="BY1961" t="s">
        <v>198</v>
      </c>
      <c r="CB1961" t="s">
        <v>23369</v>
      </c>
      <c r="CC1961" t="s">
        <v>201</v>
      </c>
      <c r="CD1961" t="s">
        <v>182</v>
      </c>
      <c r="CE1961" t="s">
        <v>23370</v>
      </c>
      <c r="CF1961" t="s">
        <v>413</v>
      </c>
      <c r="CG1961" t="s">
        <v>177</v>
      </c>
      <c r="CH1961" t="s">
        <v>804</v>
      </c>
      <c r="CI1961" t="s">
        <v>3818</v>
      </c>
      <c r="CS1961" t="s">
        <v>198</v>
      </c>
      <c r="DC1961" t="s">
        <v>198</v>
      </c>
      <c r="DM1961" t="s">
        <v>198</v>
      </c>
      <c r="DW1961" t="s">
        <v>198</v>
      </c>
      <c r="EG1961" t="s">
        <v>198</v>
      </c>
      <c r="EQ1961" t="s">
        <v>198</v>
      </c>
      <c r="FA1961" t="s">
        <v>198</v>
      </c>
      <c r="FK1961" t="s">
        <v>198</v>
      </c>
      <c r="FU1961" t="s">
        <v>198</v>
      </c>
    </row>
    <row r="1962" spans="1:177">
      <c r="A1962" s="1" t="str">
        <f>HYPERLINK("http://digipan.lumentumllc.com/apps/getLink/index.php?t=PropLink&amp;p=41028966","PL")</f>
        <v>PL</v>
      </c>
      <c r="B1962" s="1" t="str">
        <f>HYPERLINK("http://digipan.lumentumllc.com/apps/getLink/index.php?t=TaxLink&amp;p=41028966","TL")</f>
        <v>TL</v>
      </c>
      <c r="C1962" s="1" t="str">
        <f t="shared" si="1"/>
        <v/>
      </c>
      <c r="E1962" t="s">
        <v>177</v>
      </c>
      <c r="F1962" t="s">
        <v>178</v>
      </c>
      <c r="L1962" t="s">
        <v>23393</v>
      </c>
      <c r="N1962" t="s">
        <v>23393</v>
      </c>
      <c r="O1962" t="s">
        <v>23393</v>
      </c>
      <c r="Q1962" t="s">
        <v>23393</v>
      </c>
      <c r="V1962">
        <v>2243</v>
      </c>
      <c r="W1962">
        <v>7</v>
      </c>
      <c r="X1962">
        <v>2017</v>
      </c>
      <c r="Y1962">
        <v>2018</v>
      </c>
      <c r="Z1962">
        <v>1656.06</v>
      </c>
      <c r="AG1962" t="s">
        <v>184</v>
      </c>
      <c r="AH1962">
        <v>0</v>
      </c>
      <c r="AK1962">
        <v>0</v>
      </c>
      <c r="AL1962">
        <v>75345</v>
      </c>
      <c r="AM1962">
        <v>75345</v>
      </c>
      <c r="AN1962">
        <v>0</v>
      </c>
      <c r="AQ1962">
        <v>2.2000000000000002</v>
      </c>
      <c r="AS1962" t="s">
        <v>23394</v>
      </c>
      <c r="AT1962" t="s">
        <v>15040</v>
      </c>
      <c r="AU1962" t="s">
        <v>177</v>
      </c>
      <c r="AV1962" t="s">
        <v>371</v>
      </c>
      <c r="AW1962" t="s">
        <v>182</v>
      </c>
      <c r="AX1962">
        <v>0</v>
      </c>
      <c r="AY1962" t="s">
        <v>312</v>
      </c>
      <c r="AZ1962" t="s">
        <v>199</v>
      </c>
      <c r="BA1962" t="s">
        <v>313</v>
      </c>
      <c r="BB1962" t="s">
        <v>191</v>
      </c>
      <c r="BC1962" t="s">
        <v>202</v>
      </c>
      <c r="BD1962" t="s">
        <v>182</v>
      </c>
      <c r="BE1962" t="s">
        <v>7188</v>
      </c>
      <c r="BI1962" t="s">
        <v>199</v>
      </c>
      <c r="BN1962" t="s">
        <v>182</v>
      </c>
      <c r="BO1962" t="s">
        <v>198</v>
      </c>
      <c r="BP1962" t="s">
        <v>198</v>
      </c>
      <c r="BQ1962" t="s">
        <v>198</v>
      </c>
      <c r="BR1962" t="s">
        <v>198</v>
      </c>
      <c r="BS1962" t="s">
        <v>198</v>
      </c>
      <c r="BT1962" t="s">
        <v>198</v>
      </c>
      <c r="BU1962" t="s">
        <v>182</v>
      </c>
      <c r="BV1962" t="s">
        <v>198</v>
      </c>
      <c r="BW1962" t="s">
        <v>198</v>
      </c>
      <c r="BX1962" t="s">
        <v>199</v>
      </c>
      <c r="BY1962" t="s">
        <v>198</v>
      </c>
      <c r="CB1962" t="s">
        <v>23369</v>
      </c>
      <c r="CC1962" t="s">
        <v>201</v>
      </c>
      <c r="CD1962" t="s">
        <v>182</v>
      </c>
      <c r="CE1962" t="s">
        <v>23370</v>
      </c>
      <c r="CF1962" t="s">
        <v>413</v>
      </c>
      <c r="CG1962" t="s">
        <v>177</v>
      </c>
      <c r="CH1962" t="s">
        <v>804</v>
      </c>
      <c r="CI1962" t="s">
        <v>1114</v>
      </c>
      <c r="CS1962" t="s">
        <v>198</v>
      </c>
      <c r="DC1962" t="s">
        <v>198</v>
      </c>
      <c r="DM1962" t="s">
        <v>198</v>
      </c>
      <c r="DW1962" t="s">
        <v>198</v>
      </c>
      <c r="EG1962" t="s">
        <v>198</v>
      </c>
      <c r="EQ1962" t="s">
        <v>198</v>
      </c>
      <c r="FA1962" t="s">
        <v>198</v>
      </c>
      <c r="FK1962" t="s">
        <v>198</v>
      </c>
      <c r="FU1962" t="s">
        <v>198</v>
      </c>
    </row>
    <row r="1963" spans="1:177">
      <c r="A1963" s="1" t="str">
        <f>HYPERLINK("http://digipan.lumentumllc.com/apps/getLink/index.php?t=PropLink&amp;p=41028967","PL")</f>
        <v>PL</v>
      </c>
      <c r="B1963" s="1" t="str">
        <f>HYPERLINK("http://digipan.lumentumllc.com/apps/getLink/index.php?t=TaxLink&amp;p=41028967","TL")</f>
        <v>TL</v>
      </c>
      <c r="C1963" s="1" t="str">
        <f t="shared" si="1"/>
        <v/>
      </c>
      <c r="E1963" t="s">
        <v>177</v>
      </c>
      <c r="F1963" t="s">
        <v>178</v>
      </c>
      <c r="L1963" t="s">
        <v>23395</v>
      </c>
      <c r="N1963" t="s">
        <v>23395</v>
      </c>
      <c r="O1963" t="s">
        <v>23395</v>
      </c>
      <c r="Q1963" t="s">
        <v>23395</v>
      </c>
      <c r="V1963">
        <v>2244</v>
      </c>
      <c r="W1963">
        <v>7</v>
      </c>
      <c r="X1963">
        <v>2017</v>
      </c>
      <c r="Y1963">
        <v>2018</v>
      </c>
      <c r="Z1963">
        <v>1656.06</v>
      </c>
      <c r="AG1963" t="s">
        <v>184</v>
      </c>
      <c r="AH1963">
        <v>0</v>
      </c>
      <c r="AK1963">
        <v>0</v>
      </c>
      <c r="AL1963">
        <v>75345</v>
      </c>
      <c r="AM1963">
        <v>75345</v>
      </c>
      <c r="AN1963">
        <v>0</v>
      </c>
      <c r="AQ1963">
        <v>2.2000000000000002</v>
      </c>
      <c r="AS1963" t="s">
        <v>23396</v>
      </c>
      <c r="AT1963" t="s">
        <v>15040</v>
      </c>
      <c r="AU1963" t="s">
        <v>177</v>
      </c>
      <c r="AV1963" t="s">
        <v>371</v>
      </c>
      <c r="AW1963" t="s">
        <v>182</v>
      </c>
      <c r="AX1963">
        <v>0</v>
      </c>
      <c r="AY1963" t="s">
        <v>312</v>
      </c>
      <c r="AZ1963" t="s">
        <v>199</v>
      </c>
      <c r="BA1963" t="s">
        <v>313</v>
      </c>
      <c r="BB1963" t="s">
        <v>191</v>
      </c>
      <c r="BC1963" t="s">
        <v>202</v>
      </c>
      <c r="BD1963" t="s">
        <v>182</v>
      </c>
      <c r="BE1963" t="s">
        <v>3831</v>
      </c>
      <c r="BI1963" t="s">
        <v>199</v>
      </c>
      <c r="BN1963" t="s">
        <v>182</v>
      </c>
      <c r="BO1963" t="s">
        <v>198</v>
      </c>
      <c r="BP1963" t="s">
        <v>198</v>
      </c>
      <c r="BQ1963" t="s">
        <v>198</v>
      </c>
      <c r="BR1963" t="s">
        <v>198</v>
      </c>
      <c r="BS1963" t="s">
        <v>198</v>
      </c>
      <c r="BT1963" t="s">
        <v>198</v>
      </c>
      <c r="BU1963" t="s">
        <v>182</v>
      </c>
      <c r="BV1963" t="s">
        <v>198</v>
      </c>
      <c r="BW1963" t="s">
        <v>198</v>
      </c>
      <c r="BX1963" t="s">
        <v>199</v>
      </c>
      <c r="BY1963" t="s">
        <v>198</v>
      </c>
      <c r="CB1963" t="s">
        <v>23369</v>
      </c>
      <c r="CC1963" t="s">
        <v>201</v>
      </c>
      <c r="CD1963" t="s">
        <v>182</v>
      </c>
      <c r="CE1963" t="s">
        <v>23370</v>
      </c>
      <c r="CF1963" t="s">
        <v>413</v>
      </c>
      <c r="CG1963" t="s">
        <v>177</v>
      </c>
      <c r="CH1963" t="s">
        <v>804</v>
      </c>
      <c r="CI1963" t="s">
        <v>9154</v>
      </c>
      <c r="CS1963" t="s">
        <v>198</v>
      </c>
      <c r="DC1963" t="s">
        <v>198</v>
      </c>
      <c r="DM1963" t="s">
        <v>198</v>
      </c>
      <c r="DW1963" t="s">
        <v>198</v>
      </c>
      <c r="EG1963" t="s">
        <v>198</v>
      </c>
      <c r="EQ1963" t="s">
        <v>198</v>
      </c>
      <c r="FA1963" t="s">
        <v>198</v>
      </c>
      <c r="FK1963" t="s">
        <v>198</v>
      </c>
      <c r="FU1963" t="s">
        <v>198</v>
      </c>
    </row>
    <row r="1964" spans="1:177">
      <c r="A1964" s="1" t="str">
        <f>HYPERLINK("http://digipan.lumentumllc.com/apps/getLink/index.php?t=PropLink&amp;p=41028968","PL")</f>
        <v>PL</v>
      </c>
      <c r="B1964" s="1" t="str">
        <f>HYPERLINK("http://digipan.lumentumllc.com/apps/getLink/index.php?t=TaxLink&amp;p=41028968","TL")</f>
        <v>TL</v>
      </c>
      <c r="C1964" s="1" t="str">
        <f t="shared" si="1"/>
        <v/>
      </c>
      <c r="E1964" t="s">
        <v>177</v>
      </c>
      <c r="F1964" t="s">
        <v>178</v>
      </c>
      <c r="L1964" t="s">
        <v>23397</v>
      </c>
      <c r="N1964" t="s">
        <v>23397</v>
      </c>
      <c r="O1964" t="s">
        <v>23397</v>
      </c>
      <c r="Q1964" t="s">
        <v>23397</v>
      </c>
      <c r="V1964">
        <v>2245</v>
      </c>
      <c r="W1964">
        <v>7</v>
      </c>
      <c r="X1964">
        <v>2017</v>
      </c>
      <c r="Y1964">
        <v>2018</v>
      </c>
      <c r="Z1964">
        <v>1656.06</v>
      </c>
      <c r="AG1964" t="s">
        <v>184</v>
      </c>
      <c r="AH1964">
        <v>0</v>
      </c>
      <c r="AK1964">
        <v>0</v>
      </c>
      <c r="AL1964">
        <v>75345</v>
      </c>
      <c r="AM1964">
        <v>75345</v>
      </c>
      <c r="AN1964">
        <v>0</v>
      </c>
      <c r="AQ1964">
        <v>2.2000000000000002</v>
      </c>
      <c r="AS1964" t="s">
        <v>23398</v>
      </c>
      <c r="AT1964" t="s">
        <v>15040</v>
      </c>
      <c r="AU1964" t="s">
        <v>177</v>
      </c>
      <c r="AV1964" t="s">
        <v>371</v>
      </c>
      <c r="AW1964" t="s">
        <v>182</v>
      </c>
      <c r="AX1964">
        <v>0</v>
      </c>
      <c r="AY1964" t="s">
        <v>312</v>
      </c>
      <c r="AZ1964" t="s">
        <v>199</v>
      </c>
      <c r="BA1964" t="s">
        <v>313</v>
      </c>
      <c r="BB1964" t="s">
        <v>191</v>
      </c>
      <c r="BC1964" t="s">
        <v>202</v>
      </c>
      <c r="BD1964" t="s">
        <v>182</v>
      </c>
      <c r="BE1964" t="s">
        <v>11279</v>
      </c>
      <c r="BI1964" t="s">
        <v>199</v>
      </c>
      <c r="BN1964" t="s">
        <v>182</v>
      </c>
      <c r="BO1964" t="s">
        <v>198</v>
      </c>
      <c r="BP1964" t="s">
        <v>198</v>
      </c>
      <c r="BQ1964" t="s">
        <v>198</v>
      </c>
      <c r="BR1964" t="s">
        <v>198</v>
      </c>
      <c r="BS1964" t="s">
        <v>198</v>
      </c>
      <c r="BT1964" t="s">
        <v>198</v>
      </c>
      <c r="BU1964" t="s">
        <v>182</v>
      </c>
      <c r="BV1964" t="s">
        <v>198</v>
      </c>
      <c r="BW1964" t="s">
        <v>198</v>
      </c>
      <c r="BX1964" t="s">
        <v>199</v>
      </c>
      <c r="BY1964" t="s">
        <v>198</v>
      </c>
      <c r="CB1964" t="s">
        <v>23369</v>
      </c>
      <c r="CC1964" t="s">
        <v>201</v>
      </c>
      <c r="CD1964" t="s">
        <v>182</v>
      </c>
      <c r="CE1964" t="s">
        <v>23370</v>
      </c>
      <c r="CF1964" t="s">
        <v>413</v>
      </c>
      <c r="CG1964" t="s">
        <v>177</v>
      </c>
      <c r="CH1964" t="s">
        <v>804</v>
      </c>
      <c r="CI1964" t="s">
        <v>1127</v>
      </c>
      <c r="CS1964" t="s">
        <v>198</v>
      </c>
      <c r="DC1964" t="s">
        <v>198</v>
      </c>
      <c r="DM1964" t="s">
        <v>198</v>
      </c>
      <c r="DW1964" t="s">
        <v>198</v>
      </c>
      <c r="EG1964" t="s">
        <v>198</v>
      </c>
      <c r="EQ1964" t="s">
        <v>198</v>
      </c>
      <c r="FA1964" t="s">
        <v>198</v>
      </c>
      <c r="FK1964" t="s">
        <v>198</v>
      </c>
      <c r="FU1964" t="s">
        <v>198</v>
      </c>
    </row>
    <row r="1965" spans="1:177">
      <c r="A1965" s="1" t="str">
        <f>HYPERLINK("http://digipan.lumentumllc.com/apps/getLink/index.php?t=PropLink&amp;p=41028969","PL")</f>
        <v>PL</v>
      </c>
      <c r="B1965" s="1" t="str">
        <f>HYPERLINK("http://digipan.lumentumllc.com/apps/getLink/index.php?t=TaxLink&amp;p=41028969","TL")</f>
        <v>TL</v>
      </c>
      <c r="C1965" s="1" t="str">
        <f t="shared" si="1"/>
        <v/>
      </c>
      <c r="E1965" t="s">
        <v>177</v>
      </c>
      <c r="F1965" t="s">
        <v>178</v>
      </c>
      <c r="L1965" t="s">
        <v>23399</v>
      </c>
      <c r="N1965" t="s">
        <v>23399</v>
      </c>
      <c r="O1965" t="s">
        <v>23399</v>
      </c>
      <c r="Q1965" t="s">
        <v>23399</v>
      </c>
      <c r="V1965">
        <v>2246</v>
      </c>
      <c r="W1965">
        <v>7</v>
      </c>
      <c r="X1965">
        <v>2017</v>
      </c>
      <c r="Y1965">
        <v>2018</v>
      </c>
      <c r="Z1965">
        <v>1656.06</v>
      </c>
      <c r="AG1965" t="s">
        <v>184</v>
      </c>
      <c r="AH1965">
        <v>0</v>
      </c>
      <c r="AK1965">
        <v>0</v>
      </c>
      <c r="AL1965">
        <v>75345</v>
      </c>
      <c r="AM1965">
        <v>75345</v>
      </c>
      <c r="AN1965">
        <v>0</v>
      </c>
      <c r="AQ1965">
        <v>2.2000000000000002</v>
      </c>
      <c r="AS1965" t="s">
        <v>23400</v>
      </c>
      <c r="AT1965" t="s">
        <v>15040</v>
      </c>
      <c r="AU1965" t="s">
        <v>177</v>
      </c>
      <c r="AV1965" t="s">
        <v>371</v>
      </c>
      <c r="AW1965" t="s">
        <v>182</v>
      </c>
      <c r="AX1965">
        <v>0</v>
      </c>
      <c r="AY1965" t="s">
        <v>312</v>
      </c>
      <c r="AZ1965" t="s">
        <v>199</v>
      </c>
      <c r="BA1965" t="s">
        <v>313</v>
      </c>
      <c r="BB1965" t="s">
        <v>191</v>
      </c>
      <c r="BC1965" t="s">
        <v>202</v>
      </c>
      <c r="BD1965" t="s">
        <v>182</v>
      </c>
      <c r="BE1965" t="s">
        <v>3682</v>
      </c>
      <c r="BI1965" t="s">
        <v>199</v>
      </c>
      <c r="BN1965" t="s">
        <v>182</v>
      </c>
      <c r="BO1965" t="s">
        <v>198</v>
      </c>
      <c r="BP1965" t="s">
        <v>198</v>
      </c>
      <c r="BQ1965" t="s">
        <v>198</v>
      </c>
      <c r="BR1965" t="s">
        <v>198</v>
      </c>
      <c r="BS1965" t="s">
        <v>198</v>
      </c>
      <c r="BT1965" t="s">
        <v>198</v>
      </c>
      <c r="BU1965" t="s">
        <v>182</v>
      </c>
      <c r="BV1965" t="s">
        <v>198</v>
      </c>
      <c r="BW1965" t="s">
        <v>198</v>
      </c>
      <c r="BX1965" t="s">
        <v>199</v>
      </c>
      <c r="BY1965" t="s">
        <v>198</v>
      </c>
      <c r="CB1965" t="s">
        <v>23369</v>
      </c>
      <c r="CC1965" t="s">
        <v>201</v>
      </c>
      <c r="CD1965" t="s">
        <v>182</v>
      </c>
      <c r="CE1965" t="s">
        <v>23370</v>
      </c>
      <c r="CF1965" t="s">
        <v>413</v>
      </c>
      <c r="CG1965" t="s">
        <v>177</v>
      </c>
      <c r="CH1965" t="s">
        <v>804</v>
      </c>
      <c r="CI1965" t="s">
        <v>16352</v>
      </c>
      <c r="CS1965" t="s">
        <v>198</v>
      </c>
      <c r="DC1965" t="s">
        <v>198</v>
      </c>
      <c r="DM1965" t="s">
        <v>198</v>
      </c>
      <c r="DW1965" t="s">
        <v>198</v>
      </c>
      <c r="EG1965" t="s">
        <v>198</v>
      </c>
      <c r="EQ1965" t="s">
        <v>198</v>
      </c>
      <c r="FA1965" t="s">
        <v>198</v>
      </c>
      <c r="FK1965" t="s">
        <v>198</v>
      </c>
      <c r="FU1965" t="s">
        <v>198</v>
      </c>
    </row>
    <row r="1966" spans="1:177">
      <c r="A1966" s="1" t="str">
        <f>HYPERLINK("http://digipan.lumentumllc.com/apps/getLink/index.php?t=PropLink&amp;p=41028970","PL")</f>
        <v>PL</v>
      </c>
      <c r="B1966" s="1" t="str">
        <f>HYPERLINK("http://digipan.lumentumllc.com/apps/getLink/index.php?t=TaxLink&amp;p=41028970","TL")</f>
        <v>TL</v>
      </c>
      <c r="C1966" s="1" t="str">
        <f t="shared" si="1"/>
        <v/>
      </c>
      <c r="E1966" t="s">
        <v>177</v>
      </c>
      <c r="F1966" t="s">
        <v>178</v>
      </c>
      <c r="L1966" t="s">
        <v>23401</v>
      </c>
      <c r="N1966" t="s">
        <v>23401</v>
      </c>
      <c r="O1966" t="s">
        <v>23401</v>
      </c>
      <c r="Q1966" t="s">
        <v>23401</v>
      </c>
      <c r="V1966">
        <v>2247</v>
      </c>
      <c r="W1966">
        <v>7</v>
      </c>
      <c r="X1966">
        <v>2017</v>
      </c>
      <c r="Y1966">
        <v>2018</v>
      </c>
      <c r="Z1966">
        <v>1656.06</v>
      </c>
      <c r="AG1966" t="s">
        <v>184</v>
      </c>
      <c r="AH1966">
        <v>0</v>
      </c>
      <c r="AK1966">
        <v>0</v>
      </c>
      <c r="AL1966">
        <v>75345</v>
      </c>
      <c r="AM1966">
        <v>75345</v>
      </c>
      <c r="AN1966">
        <v>0</v>
      </c>
      <c r="AQ1966">
        <v>2.2000000000000002</v>
      </c>
      <c r="AS1966" t="s">
        <v>23402</v>
      </c>
      <c r="AT1966" t="s">
        <v>15040</v>
      </c>
      <c r="AU1966" t="s">
        <v>177</v>
      </c>
      <c r="AV1966" t="s">
        <v>371</v>
      </c>
      <c r="AW1966" t="s">
        <v>182</v>
      </c>
      <c r="AX1966">
        <v>0</v>
      </c>
      <c r="AY1966" t="s">
        <v>312</v>
      </c>
      <c r="AZ1966" t="s">
        <v>199</v>
      </c>
      <c r="BA1966" t="s">
        <v>313</v>
      </c>
      <c r="BB1966" t="s">
        <v>191</v>
      </c>
      <c r="BC1966" t="s">
        <v>202</v>
      </c>
      <c r="BD1966" t="s">
        <v>182</v>
      </c>
      <c r="BE1966" t="s">
        <v>7407</v>
      </c>
      <c r="BI1966" t="s">
        <v>199</v>
      </c>
      <c r="BN1966" t="s">
        <v>182</v>
      </c>
      <c r="BO1966" t="s">
        <v>198</v>
      </c>
      <c r="BP1966" t="s">
        <v>198</v>
      </c>
      <c r="BQ1966" t="s">
        <v>198</v>
      </c>
      <c r="BR1966" t="s">
        <v>198</v>
      </c>
      <c r="BS1966" t="s">
        <v>198</v>
      </c>
      <c r="BT1966" t="s">
        <v>198</v>
      </c>
      <c r="BU1966" t="s">
        <v>182</v>
      </c>
      <c r="BV1966" t="s">
        <v>198</v>
      </c>
      <c r="BW1966" t="s">
        <v>198</v>
      </c>
      <c r="BX1966" t="s">
        <v>199</v>
      </c>
      <c r="BY1966" t="s">
        <v>198</v>
      </c>
      <c r="CB1966" t="s">
        <v>23369</v>
      </c>
      <c r="CC1966" t="s">
        <v>201</v>
      </c>
      <c r="CD1966" t="s">
        <v>182</v>
      </c>
      <c r="CE1966" t="s">
        <v>23370</v>
      </c>
      <c r="CF1966" t="s">
        <v>413</v>
      </c>
      <c r="CG1966" t="s">
        <v>177</v>
      </c>
      <c r="CH1966" t="s">
        <v>804</v>
      </c>
      <c r="CI1966" t="s">
        <v>15503</v>
      </c>
      <c r="CS1966" t="s">
        <v>198</v>
      </c>
      <c r="DC1966" t="s">
        <v>198</v>
      </c>
      <c r="DM1966" t="s">
        <v>198</v>
      </c>
      <c r="DW1966" t="s">
        <v>198</v>
      </c>
      <c r="EG1966" t="s">
        <v>198</v>
      </c>
      <c r="EQ1966" t="s">
        <v>198</v>
      </c>
      <c r="FA1966" t="s">
        <v>198</v>
      </c>
      <c r="FK1966" t="s">
        <v>198</v>
      </c>
      <c r="FU1966" t="s">
        <v>198</v>
      </c>
    </row>
    <row r="1967" spans="1:177">
      <c r="A1967" s="1" t="str">
        <f>HYPERLINK("http://digipan.lumentumllc.com/apps/getLink/index.php?t=PropLink&amp;p=41028971","PL")</f>
        <v>PL</v>
      </c>
      <c r="B1967" s="1" t="str">
        <f>HYPERLINK("http://digipan.lumentumllc.com/apps/getLink/index.php?t=TaxLink&amp;p=41028971","TL")</f>
        <v>TL</v>
      </c>
      <c r="C1967" s="1" t="str">
        <f t="shared" si="1"/>
        <v/>
      </c>
      <c r="E1967" t="s">
        <v>177</v>
      </c>
      <c r="F1967" t="s">
        <v>178</v>
      </c>
      <c r="L1967" t="s">
        <v>23403</v>
      </c>
      <c r="N1967" t="s">
        <v>23403</v>
      </c>
      <c r="O1967" t="s">
        <v>23403</v>
      </c>
      <c r="Q1967" t="s">
        <v>23403</v>
      </c>
      <c r="V1967">
        <v>2248</v>
      </c>
      <c r="W1967">
        <v>7</v>
      </c>
      <c r="X1967">
        <v>2017</v>
      </c>
      <c r="Y1967">
        <v>2018</v>
      </c>
      <c r="Z1967">
        <v>1656.06</v>
      </c>
      <c r="AG1967" t="s">
        <v>184</v>
      </c>
      <c r="AH1967">
        <v>0</v>
      </c>
      <c r="AK1967">
        <v>0</v>
      </c>
      <c r="AL1967">
        <v>75345</v>
      </c>
      <c r="AM1967">
        <v>75345</v>
      </c>
      <c r="AN1967">
        <v>0</v>
      </c>
      <c r="AQ1967">
        <v>2.2000000000000002</v>
      </c>
      <c r="AS1967" t="s">
        <v>23404</v>
      </c>
      <c r="AT1967" t="s">
        <v>15040</v>
      </c>
      <c r="AU1967" t="s">
        <v>177</v>
      </c>
      <c r="AV1967" t="s">
        <v>371</v>
      </c>
      <c r="AW1967" t="s">
        <v>182</v>
      </c>
      <c r="AX1967">
        <v>0</v>
      </c>
      <c r="AY1967" t="s">
        <v>312</v>
      </c>
      <c r="AZ1967" t="s">
        <v>199</v>
      </c>
      <c r="BA1967" t="s">
        <v>313</v>
      </c>
      <c r="BB1967" t="s">
        <v>191</v>
      </c>
      <c r="BC1967" t="s">
        <v>202</v>
      </c>
      <c r="BD1967" t="s">
        <v>182</v>
      </c>
      <c r="BE1967" t="s">
        <v>11735</v>
      </c>
      <c r="BI1967" t="s">
        <v>199</v>
      </c>
      <c r="BN1967" t="s">
        <v>182</v>
      </c>
      <c r="BO1967" t="s">
        <v>198</v>
      </c>
      <c r="BP1967" t="s">
        <v>198</v>
      </c>
      <c r="BQ1967" t="s">
        <v>198</v>
      </c>
      <c r="BR1967" t="s">
        <v>198</v>
      </c>
      <c r="BS1967" t="s">
        <v>198</v>
      </c>
      <c r="BT1967" t="s">
        <v>198</v>
      </c>
      <c r="BU1967" t="s">
        <v>182</v>
      </c>
      <c r="BV1967" t="s">
        <v>198</v>
      </c>
      <c r="BW1967" t="s">
        <v>198</v>
      </c>
      <c r="BX1967" t="s">
        <v>199</v>
      </c>
      <c r="BY1967" t="s">
        <v>198</v>
      </c>
      <c r="CB1967" t="s">
        <v>23369</v>
      </c>
      <c r="CC1967" t="s">
        <v>201</v>
      </c>
      <c r="CD1967" t="s">
        <v>182</v>
      </c>
      <c r="CE1967" t="s">
        <v>23370</v>
      </c>
      <c r="CF1967" t="s">
        <v>413</v>
      </c>
      <c r="CG1967" t="s">
        <v>177</v>
      </c>
      <c r="CH1967" t="s">
        <v>804</v>
      </c>
      <c r="CI1967" t="s">
        <v>4059</v>
      </c>
      <c r="CS1967" t="s">
        <v>198</v>
      </c>
      <c r="DC1967" t="s">
        <v>198</v>
      </c>
      <c r="DM1967" t="s">
        <v>198</v>
      </c>
      <c r="DW1967" t="s">
        <v>198</v>
      </c>
      <c r="EG1967" t="s">
        <v>198</v>
      </c>
      <c r="EQ1967" t="s">
        <v>198</v>
      </c>
      <c r="FA1967" t="s">
        <v>198</v>
      </c>
      <c r="FK1967" t="s">
        <v>198</v>
      </c>
      <c r="FU1967" t="s">
        <v>198</v>
      </c>
    </row>
    <row r="1968" spans="1:177">
      <c r="A1968" s="1" t="str">
        <f>HYPERLINK("http://digipan.lumentumllc.com/apps/getLink/index.php?t=PropLink&amp;p=41028972","PL")</f>
        <v>PL</v>
      </c>
      <c r="B1968" s="1" t="str">
        <f>HYPERLINK("http://digipan.lumentumllc.com/apps/getLink/index.php?t=TaxLink&amp;p=41028972","TL")</f>
        <v>TL</v>
      </c>
      <c r="C1968" s="1" t="str">
        <f t="shared" si="1"/>
        <v/>
      </c>
      <c r="E1968" t="s">
        <v>177</v>
      </c>
      <c r="F1968" t="s">
        <v>178</v>
      </c>
      <c r="L1968" t="s">
        <v>23405</v>
      </c>
      <c r="N1968" t="s">
        <v>23405</v>
      </c>
      <c r="O1968" t="s">
        <v>23405</v>
      </c>
      <c r="Q1968" t="s">
        <v>23405</v>
      </c>
      <c r="V1968">
        <v>2249</v>
      </c>
      <c r="W1968">
        <v>7</v>
      </c>
      <c r="X1968">
        <v>2017</v>
      </c>
      <c r="Y1968">
        <v>2018</v>
      </c>
      <c r="Z1968">
        <v>1656.06</v>
      </c>
      <c r="AG1968" t="s">
        <v>184</v>
      </c>
      <c r="AH1968">
        <v>0</v>
      </c>
      <c r="AK1968">
        <v>0</v>
      </c>
      <c r="AL1968">
        <v>75345</v>
      </c>
      <c r="AM1968">
        <v>75345</v>
      </c>
      <c r="AN1968">
        <v>0</v>
      </c>
      <c r="AQ1968">
        <v>2.2000000000000002</v>
      </c>
      <c r="AS1968" t="s">
        <v>23406</v>
      </c>
      <c r="AT1968" t="s">
        <v>15040</v>
      </c>
      <c r="AU1968" t="s">
        <v>177</v>
      </c>
      <c r="AV1968" t="s">
        <v>371</v>
      </c>
      <c r="AW1968" t="s">
        <v>182</v>
      </c>
      <c r="AX1968">
        <v>0</v>
      </c>
      <c r="AY1968" t="s">
        <v>312</v>
      </c>
      <c r="AZ1968" t="s">
        <v>199</v>
      </c>
      <c r="BA1968" t="s">
        <v>313</v>
      </c>
      <c r="BB1968" t="s">
        <v>191</v>
      </c>
      <c r="BC1968" t="s">
        <v>202</v>
      </c>
      <c r="BD1968" t="s">
        <v>182</v>
      </c>
      <c r="BE1968" t="s">
        <v>6673</v>
      </c>
      <c r="BI1968" t="s">
        <v>199</v>
      </c>
      <c r="BN1968" t="s">
        <v>182</v>
      </c>
      <c r="BO1968" t="s">
        <v>198</v>
      </c>
      <c r="BP1968" t="s">
        <v>198</v>
      </c>
      <c r="BQ1968" t="s">
        <v>198</v>
      </c>
      <c r="BR1968" t="s">
        <v>198</v>
      </c>
      <c r="BS1968" t="s">
        <v>198</v>
      </c>
      <c r="BT1968" t="s">
        <v>198</v>
      </c>
      <c r="BU1968" t="s">
        <v>182</v>
      </c>
      <c r="BV1968" t="s">
        <v>198</v>
      </c>
      <c r="BW1968" t="s">
        <v>198</v>
      </c>
      <c r="BX1968" t="s">
        <v>199</v>
      </c>
      <c r="BY1968" t="s">
        <v>198</v>
      </c>
      <c r="CB1968" t="s">
        <v>23369</v>
      </c>
      <c r="CC1968" t="s">
        <v>201</v>
      </c>
      <c r="CD1968" t="s">
        <v>182</v>
      </c>
      <c r="CE1968" t="s">
        <v>23370</v>
      </c>
      <c r="CF1968" t="s">
        <v>413</v>
      </c>
      <c r="CG1968" t="s">
        <v>177</v>
      </c>
      <c r="CH1968" t="s">
        <v>804</v>
      </c>
      <c r="CI1968" t="s">
        <v>15163</v>
      </c>
      <c r="CS1968" t="s">
        <v>198</v>
      </c>
      <c r="DC1968" t="s">
        <v>198</v>
      </c>
      <c r="DM1968" t="s">
        <v>198</v>
      </c>
      <c r="DW1968" t="s">
        <v>198</v>
      </c>
      <c r="EG1968" t="s">
        <v>198</v>
      </c>
      <c r="EQ1968" t="s">
        <v>198</v>
      </c>
      <c r="FA1968" t="s">
        <v>198</v>
      </c>
      <c r="FK1968" t="s">
        <v>198</v>
      </c>
      <c r="FU1968" t="s">
        <v>198</v>
      </c>
    </row>
    <row r="1969" spans="1:177">
      <c r="A1969" s="1" t="str">
        <f>HYPERLINK("http://digipan.lumentumllc.com/apps/getLink/index.php?t=PropLink&amp;p=41028973","PL")</f>
        <v>PL</v>
      </c>
      <c r="B1969" s="1" t="str">
        <f>HYPERLINK("http://digipan.lumentumllc.com/apps/getLink/index.php?t=TaxLink&amp;p=41028973","TL")</f>
        <v>TL</v>
      </c>
      <c r="C1969" s="1" t="str">
        <f t="shared" si="1"/>
        <v/>
      </c>
      <c r="E1969" t="s">
        <v>177</v>
      </c>
      <c r="F1969" t="s">
        <v>178</v>
      </c>
      <c r="L1969" t="s">
        <v>23407</v>
      </c>
      <c r="N1969" t="s">
        <v>23407</v>
      </c>
      <c r="O1969" t="s">
        <v>23407</v>
      </c>
      <c r="Q1969" t="s">
        <v>23407</v>
      </c>
      <c r="V1969">
        <v>2250</v>
      </c>
      <c r="W1969">
        <v>7</v>
      </c>
      <c r="X1969">
        <v>2017</v>
      </c>
      <c r="Y1969">
        <v>2018</v>
      </c>
      <c r="Z1969">
        <v>1656.06</v>
      </c>
      <c r="AG1969" t="s">
        <v>184</v>
      </c>
      <c r="AH1969">
        <v>0</v>
      </c>
      <c r="AK1969">
        <v>0</v>
      </c>
      <c r="AL1969">
        <v>75345</v>
      </c>
      <c r="AM1969">
        <v>75345</v>
      </c>
      <c r="AN1969">
        <v>0</v>
      </c>
      <c r="AQ1969">
        <v>2.2000000000000002</v>
      </c>
      <c r="AS1969" t="s">
        <v>23408</v>
      </c>
      <c r="AT1969" t="s">
        <v>15040</v>
      </c>
      <c r="AU1969" t="s">
        <v>177</v>
      </c>
      <c r="AV1969" t="s">
        <v>371</v>
      </c>
      <c r="AW1969" t="s">
        <v>182</v>
      </c>
      <c r="AX1969">
        <v>0</v>
      </c>
      <c r="AY1969" t="s">
        <v>312</v>
      </c>
      <c r="AZ1969" t="s">
        <v>199</v>
      </c>
      <c r="BA1969" t="s">
        <v>313</v>
      </c>
      <c r="BB1969" t="s">
        <v>191</v>
      </c>
      <c r="BC1969" t="s">
        <v>202</v>
      </c>
      <c r="BD1969" t="s">
        <v>182</v>
      </c>
      <c r="BE1969" t="s">
        <v>6008</v>
      </c>
      <c r="BI1969" t="s">
        <v>199</v>
      </c>
      <c r="BN1969" t="s">
        <v>182</v>
      </c>
      <c r="BO1969" t="s">
        <v>198</v>
      </c>
      <c r="BP1969" t="s">
        <v>198</v>
      </c>
      <c r="BQ1969" t="s">
        <v>198</v>
      </c>
      <c r="BR1969" t="s">
        <v>198</v>
      </c>
      <c r="BS1969" t="s">
        <v>198</v>
      </c>
      <c r="BT1969" t="s">
        <v>198</v>
      </c>
      <c r="BU1969" t="s">
        <v>182</v>
      </c>
      <c r="BV1969" t="s">
        <v>198</v>
      </c>
      <c r="BW1969" t="s">
        <v>198</v>
      </c>
      <c r="BX1969" t="s">
        <v>199</v>
      </c>
      <c r="BY1969" t="s">
        <v>198</v>
      </c>
      <c r="CB1969" t="s">
        <v>23369</v>
      </c>
      <c r="CC1969" t="s">
        <v>201</v>
      </c>
      <c r="CD1969" t="s">
        <v>182</v>
      </c>
      <c r="CE1969" t="s">
        <v>23370</v>
      </c>
      <c r="CF1969" t="s">
        <v>413</v>
      </c>
      <c r="CG1969" t="s">
        <v>177</v>
      </c>
      <c r="CH1969" t="s">
        <v>804</v>
      </c>
      <c r="CI1969" t="s">
        <v>10240</v>
      </c>
      <c r="CS1969" t="s">
        <v>198</v>
      </c>
      <c r="DC1969" t="s">
        <v>198</v>
      </c>
      <c r="DM1969" t="s">
        <v>198</v>
      </c>
      <c r="DW1969" t="s">
        <v>198</v>
      </c>
      <c r="EG1969" t="s">
        <v>198</v>
      </c>
      <c r="EQ1969" t="s">
        <v>198</v>
      </c>
      <c r="FA1969" t="s">
        <v>198</v>
      </c>
      <c r="FK1969" t="s">
        <v>198</v>
      </c>
      <c r="FU1969" t="s">
        <v>198</v>
      </c>
    </row>
    <row r="1970" spans="1:177">
      <c r="A1970" s="1" t="str">
        <f>HYPERLINK("http://digipan.lumentumllc.com/apps/getLink/index.php?t=PropLink&amp;p=41028975","PL")</f>
        <v>PL</v>
      </c>
      <c r="B1970" s="1" t="str">
        <f>HYPERLINK("http://digipan.lumentumllc.com/apps/getLink/index.php?t=TaxLink&amp;p=41028975","TL")</f>
        <v>TL</v>
      </c>
      <c r="C1970" s="1" t="str">
        <f t="shared" si="1"/>
        <v/>
      </c>
      <c r="E1970" t="s">
        <v>177</v>
      </c>
      <c r="F1970" t="s">
        <v>178</v>
      </c>
      <c r="L1970" t="s">
        <v>23409</v>
      </c>
      <c r="N1970" t="s">
        <v>23409</v>
      </c>
      <c r="O1970" t="s">
        <v>23409</v>
      </c>
      <c r="Q1970" t="s">
        <v>23409</v>
      </c>
      <c r="V1970">
        <v>2251</v>
      </c>
      <c r="W1970">
        <v>7</v>
      </c>
      <c r="X1970">
        <v>2017</v>
      </c>
      <c r="Y1970">
        <v>2018</v>
      </c>
      <c r="Z1970">
        <v>1656.06</v>
      </c>
      <c r="AG1970" t="s">
        <v>184</v>
      </c>
      <c r="AH1970">
        <v>0</v>
      </c>
      <c r="AK1970">
        <v>0</v>
      </c>
      <c r="AL1970">
        <v>75345</v>
      </c>
      <c r="AM1970">
        <v>75345</v>
      </c>
      <c r="AN1970">
        <v>0</v>
      </c>
      <c r="AQ1970">
        <v>2.2000000000000002</v>
      </c>
      <c r="AS1970" t="s">
        <v>23410</v>
      </c>
      <c r="AT1970" t="s">
        <v>15040</v>
      </c>
      <c r="AU1970" t="s">
        <v>177</v>
      </c>
      <c r="AV1970" t="s">
        <v>371</v>
      </c>
      <c r="AW1970" t="s">
        <v>182</v>
      </c>
      <c r="AX1970">
        <v>0</v>
      </c>
      <c r="AY1970" t="s">
        <v>312</v>
      </c>
      <c r="AZ1970" t="s">
        <v>199</v>
      </c>
      <c r="BA1970" t="s">
        <v>313</v>
      </c>
      <c r="BB1970" t="s">
        <v>191</v>
      </c>
      <c r="BC1970" t="s">
        <v>202</v>
      </c>
      <c r="BD1970" t="s">
        <v>182</v>
      </c>
      <c r="BE1970" t="s">
        <v>6008</v>
      </c>
      <c r="BI1970" t="s">
        <v>199</v>
      </c>
      <c r="BN1970" t="s">
        <v>182</v>
      </c>
      <c r="BO1970" t="s">
        <v>198</v>
      </c>
      <c r="BP1970" t="s">
        <v>198</v>
      </c>
      <c r="BQ1970" t="s">
        <v>198</v>
      </c>
      <c r="BR1970" t="s">
        <v>198</v>
      </c>
      <c r="BS1970" t="s">
        <v>198</v>
      </c>
      <c r="BT1970" t="s">
        <v>198</v>
      </c>
      <c r="BU1970" t="s">
        <v>182</v>
      </c>
      <c r="BV1970" t="s">
        <v>198</v>
      </c>
      <c r="BW1970" t="s">
        <v>198</v>
      </c>
      <c r="BX1970" t="s">
        <v>199</v>
      </c>
      <c r="BY1970" t="s">
        <v>198</v>
      </c>
      <c r="CB1970" t="s">
        <v>23369</v>
      </c>
      <c r="CC1970" t="s">
        <v>201</v>
      </c>
      <c r="CD1970" t="s">
        <v>182</v>
      </c>
      <c r="CE1970" t="s">
        <v>23370</v>
      </c>
      <c r="CF1970" t="s">
        <v>413</v>
      </c>
      <c r="CG1970" t="s">
        <v>177</v>
      </c>
      <c r="CH1970" t="s">
        <v>804</v>
      </c>
      <c r="CI1970" t="s">
        <v>5129</v>
      </c>
      <c r="CS1970" t="s">
        <v>198</v>
      </c>
      <c r="DC1970" t="s">
        <v>198</v>
      </c>
      <c r="DM1970" t="s">
        <v>198</v>
      </c>
      <c r="DW1970" t="s">
        <v>198</v>
      </c>
      <c r="EG1970" t="s">
        <v>198</v>
      </c>
      <c r="EQ1970" t="s">
        <v>198</v>
      </c>
      <c r="FA1970" t="s">
        <v>198</v>
      </c>
      <c r="FK1970" t="s">
        <v>198</v>
      </c>
      <c r="FU1970" t="s">
        <v>198</v>
      </c>
    </row>
    <row r="1971" spans="1:177">
      <c r="A1971" s="1" t="str">
        <f>HYPERLINK("http://digipan.lumentumllc.com/apps/getLink/index.php?t=PropLink&amp;p=41028976","PL")</f>
        <v>PL</v>
      </c>
      <c r="B1971" s="1" t="str">
        <f>HYPERLINK("http://digipan.lumentumllc.com/apps/getLink/index.php?t=TaxLink&amp;p=41028976","TL")</f>
        <v>TL</v>
      </c>
      <c r="C1971" s="1" t="str">
        <f t="shared" si="1"/>
        <v/>
      </c>
      <c r="E1971" t="s">
        <v>177</v>
      </c>
      <c r="F1971" t="s">
        <v>178</v>
      </c>
      <c r="L1971" t="s">
        <v>23411</v>
      </c>
      <c r="N1971" t="s">
        <v>23411</v>
      </c>
      <c r="O1971" t="s">
        <v>23411</v>
      </c>
      <c r="Q1971" t="s">
        <v>23411</v>
      </c>
      <c r="V1971">
        <v>2252</v>
      </c>
      <c r="W1971">
        <v>7</v>
      </c>
      <c r="X1971">
        <v>2017</v>
      </c>
      <c r="Y1971">
        <v>2018</v>
      </c>
      <c r="Z1971">
        <v>1656.06</v>
      </c>
      <c r="AG1971" t="s">
        <v>184</v>
      </c>
      <c r="AH1971">
        <v>0</v>
      </c>
      <c r="AK1971">
        <v>0</v>
      </c>
      <c r="AL1971">
        <v>75345</v>
      </c>
      <c r="AM1971">
        <v>75345</v>
      </c>
      <c r="AN1971">
        <v>0</v>
      </c>
      <c r="AQ1971">
        <v>2.2000000000000002</v>
      </c>
      <c r="AS1971" t="s">
        <v>23412</v>
      </c>
      <c r="AT1971" t="s">
        <v>15040</v>
      </c>
      <c r="AU1971" t="s">
        <v>177</v>
      </c>
      <c r="AV1971" t="s">
        <v>371</v>
      </c>
      <c r="AW1971" t="s">
        <v>182</v>
      </c>
      <c r="AX1971">
        <v>0</v>
      </c>
      <c r="AY1971" t="s">
        <v>312</v>
      </c>
      <c r="AZ1971" t="s">
        <v>199</v>
      </c>
      <c r="BA1971" t="s">
        <v>313</v>
      </c>
      <c r="BB1971" t="s">
        <v>191</v>
      </c>
      <c r="BC1971" t="s">
        <v>202</v>
      </c>
      <c r="BD1971" t="s">
        <v>182</v>
      </c>
      <c r="BE1971" t="s">
        <v>6008</v>
      </c>
      <c r="BI1971" t="s">
        <v>199</v>
      </c>
      <c r="BN1971" t="s">
        <v>182</v>
      </c>
      <c r="BO1971" t="s">
        <v>198</v>
      </c>
      <c r="BP1971" t="s">
        <v>198</v>
      </c>
      <c r="BQ1971" t="s">
        <v>198</v>
      </c>
      <c r="BR1971" t="s">
        <v>198</v>
      </c>
      <c r="BS1971" t="s">
        <v>198</v>
      </c>
      <c r="BT1971" t="s">
        <v>198</v>
      </c>
      <c r="BU1971" t="s">
        <v>182</v>
      </c>
      <c r="BV1971" t="s">
        <v>198</v>
      </c>
      <c r="BW1971" t="s">
        <v>198</v>
      </c>
      <c r="BX1971" t="s">
        <v>199</v>
      </c>
      <c r="BY1971" t="s">
        <v>198</v>
      </c>
      <c r="CB1971" t="s">
        <v>23369</v>
      </c>
      <c r="CC1971" t="s">
        <v>201</v>
      </c>
      <c r="CD1971" t="s">
        <v>182</v>
      </c>
      <c r="CE1971" t="s">
        <v>23370</v>
      </c>
      <c r="CF1971" t="s">
        <v>413</v>
      </c>
      <c r="CG1971" t="s">
        <v>177</v>
      </c>
      <c r="CH1971" t="s">
        <v>804</v>
      </c>
      <c r="CI1971" t="s">
        <v>4114</v>
      </c>
      <c r="CS1971" t="s">
        <v>198</v>
      </c>
      <c r="DC1971" t="s">
        <v>198</v>
      </c>
      <c r="DM1971" t="s">
        <v>198</v>
      </c>
      <c r="DW1971" t="s">
        <v>198</v>
      </c>
      <c r="EG1971" t="s">
        <v>198</v>
      </c>
      <c r="EQ1971" t="s">
        <v>198</v>
      </c>
      <c r="FA1971" t="s">
        <v>198</v>
      </c>
      <c r="FK1971" t="s">
        <v>198</v>
      </c>
      <c r="FU1971" t="s">
        <v>198</v>
      </c>
    </row>
    <row r="1972" spans="1:177">
      <c r="A1972" s="1" t="str">
        <f>HYPERLINK("http://digipan.lumentumllc.com/apps/getLink/index.php?t=PropLink&amp;p=41028977","PL")</f>
        <v>PL</v>
      </c>
      <c r="B1972" s="1" t="str">
        <f>HYPERLINK("http://digipan.lumentumllc.com/apps/getLink/index.php?t=TaxLink&amp;p=41028977","TL")</f>
        <v>TL</v>
      </c>
      <c r="C1972" s="1" t="str">
        <f t="shared" si="1"/>
        <v/>
      </c>
      <c r="E1972" t="s">
        <v>177</v>
      </c>
      <c r="F1972" t="s">
        <v>178</v>
      </c>
      <c r="L1972" t="s">
        <v>23413</v>
      </c>
      <c r="N1972" t="s">
        <v>23413</v>
      </c>
      <c r="O1972" t="s">
        <v>23413</v>
      </c>
      <c r="Q1972" t="s">
        <v>23413</v>
      </c>
      <c r="V1972">
        <v>2253</v>
      </c>
      <c r="W1972">
        <v>7</v>
      </c>
      <c r="X1972">
        <v>2017</v>
      </c>
      <c r="Y1972">
        <v>2018</v>
      </c>
      <c r="Z1972">
        <v>1656.06</v>
      </c>
      <c r="AG1972" t="s">
        <v>184</v>
      </c>
      <c r="AH1972">
        <v>0</v>
      </c>
      <c r="AK1972">
        <v>0</v>
      </c>
      <c r="AL1972">
        <v>75345</v>
      </c>
      <c r="AM1972">
        <v>75345</v>
      </c>
      <c r="AN1972">
        <v>0</v>
      </c>
      <c r="AQ1972">
        <v>2.2000000000000002</v>
      </c>
      <c r="AS1972" t="s">
        <v>23414</v>
      </c>
      <c r="AT1972" t="s">
        <v>15040</v>
      </c>
      <c r="AU1972" t="s">
        <v>177</v>
      </c>
      <c r="AV1972" t="s">
        <v>371</v>
      </c>
      <c r="AW1972" t="s">
        <v>182</v>
      </c>
      <c r="AX1972">
        <v>0</v>
      </c>
      <c r="AY1972" t="s">
        <v>312</v>
      </c>
      <c r="AZ1972" t="s">
        <v>199</v>
      </c>
      <c r="BA1972" t="s">
        <v>313</v>
      </c>
      <c r="BB1972" t="s">
        <v>191</v>
      </c>
      <c r="BC1972" t="s">
        <v>202</v>
      </c>
      <c r="BD1972" t="s">
        <v>182</v>
      </c>
      <c r="BE1972" t="s">
        <v>7188</v>
      </c>
      <c r="BI1972" t="s">
        <v>199</v>
      </c>
      <c r="BN1972" t="s">
        <v>182</v>
      </c>
      <c r="BO1972" t="s">
        <v>198</v>
      </c>
      <c r="BP1972" t="s">
        <v>198</v>
      </c>
      <c r="BQ1972" t="s">
        <v>198</v>
      </c>
      <c r="BR1972" t="s">
        <v>198</v>
      </c>
      <c r="BS1972" t="s">
        <v>198</v>
      </c>
      <c r="BT1972" t="s">
        <v>198</v>
      </c>
      <c r="BU1972" t="s">
        <v>182</v>
      </c>
      <c r="BV1972" t="s">
        <v>198</v>
      </c>
      <c r="BW1972" t="s">
        <v>198</v>
      </c>
      <c r="BX1972" t="s">
        <v>199</v>
      </c>
      <c r="BY1972" t="s">
        <v>198</v>
      </c>
      <c r="CB1972" t="s">
        <v>23369</v>
      </c>
      <c r="CC1972" t="s">
        <v>201</v>
      </c>
      <c r="CD1972" t="s">
        <v>182</v>
      </c>
      <c r="CE1972" t="s">
        <v>23370</v>
      </c>
      <c r="CF1972" t="s">
        <v>413</v>
      </c>
      <c r="CG1972" t="s">
        <v>177</v>
      </c>
      <c r="CH1972" t="s">
        <v>804</v>
      </c>
      <c r="CI1972" t="s">
        <v>2915</v>
      </c>
      <c r="CS1972" t="s">
        <v>198</v>
      </c>
      <c r="DC1972" t="s">
        <v>198</v>
      </c>
      <c r="DM1972" t="s">
        <v>198</v>
      </c>
      <c r="DW1972" t="s">
        <v>198</v>
      </c>
      <c r="EG1972" t="s">
        <v>198</v>
      </c>
      <c r="EQ1972" t="s">
        <v>198</v>
      </c>
      <c r="FA1972" t="s">
        <v>198</v>
      </c>
      <c r="FK1972" t="s">
        <v>198</v>
      </c>
      <c r="FU1972" t="s">
        <v>198</v>
      </c>
    </row>
    <row r="1973" spans="1:177">
      <c r="A1973" s="1" t="str">
        <f>HYPERLINK("http://digipan.lumentumllc.com/apps/getLink/index.php?t=PropLink&amp;p=41028979","PL")</f>
        <v>PL</v>
      </c>
      <c r="B1973" s="1" t="str">
        <f>HYPERLINK("http://digipan.lumentumllc.com/apps/getLink/index.php?t=TaxLink&amp;p=41028979","TL")</f>
        <v>TL</v>
      </c>
      <c r="C1973" s="1" t="str">
        <f t="shared" si="1"/>
        <v/>
      </c>
      <c r="E1973" t="s">
        <v>177</v>
      </c>
      <c r="F1973" t="s">
        <v>178</v>
      </c>
      <c r="L1973" t="s">
        <v>23415</v>
      </c>
      <c r="N1973" t="s">
        <v>23415</v>
      </c>
      <c r="O1973" t="s">
        <v>23415</v>
      </c>
      <c r="Q1973" t="s">
        <v>23415</v>
      </c>
      <c r="V1973">
        <v>2254</v>
      </c>
      <c r="W1973">
        <v>7</v>
      </c>
      <c r="X1973">
        <v>2017</v>
      </c>
      <c r="Y1973">
        <v>2018</v>
      </c>
      <c r="Z1973">
        <v>1656.06</v>
      </c>
      <c r="AG1973" t="s">
        <v>184</v>
      </c>
      <c r="AH1973">
        <v>0</v>
      </c>
      <c r="AK1973">
        <v>0</v>
      </c>
      <c r="AL1973">
        <v>75345</v>
      </c>
      <c r="AM1973">
        <v>75345</v>
      </c>
      <c r="AN1973">
        <v>0</v>
      </c>
      <c r="AQ1973">
        <v>2.2000000000000002</v>
      </c>
      <c r="AS1973" t="s">
        <v>23416</v>
      </c>
      <c r="AT1973" t="s">
        <v>15040</v>
      </c>
      <c r="AU1973" t="s">
        <v>177</v>
      </c>
      <c r="AV1973" t="s">
        <v>371</v>
      </c>
      <c r="AW1973" t="s">
        <v>182</v>
      </c>
      <c r="AX1973">
        <v>0</v>
      </c>
      <c r="AY1973" t="s">
        <v>312</v>
      </c>
      <c r="AZ1973" t="s">
        <v>199</v>
      </c>
      <c r="BA1973" t="s">
        <v>313</v>
      </c>
      <c r="BB1973" t="s">
        <v>191</v>
      </c>
      <c r="BC1973" t="s">
        <v>202</v>
      </c>
      <c r="BD1973" t="s">
        <v>182</v>
      </c>
      <c r="BE1973" t="s">
        <v>6008</v>
      </c>
      <c r="BI1973" t="s">
        <v>199</v>
      </c>
      <c r="BN1973" t="s">
        <v>182</v>
      </c>
      <c r="BO1973" t="s">
        <v>198</v>
      </c>
      <c r="BP1973" t="s">
        <v>198</v>
      </c>
      <c r="BQ1973" t="s">
        <v>198</v>
      </c>
      <c r="BR1973" t="s">
        <v>198</v>
      </c>
      <c r="BS1973" t="s">
        <v>198</v>
      </c>
      <c r="BT1973" t="s">
        <v>198</v>
      </c>
      <c r="BU1973" t="s">
        <v>182</v>
      </c>
      <c r="BV1973" t="s">
        <v>198</v>
      </c>
      <c r="BW1973" t="s">
        <v>198</v>
      </c>
      <c r="BX1973" t="s">
        <v>199</v>
      </c>
      <c r="BY1973" t="s">
        <v>198</v>
      </c>
      <c r="CB1973" t="s">
        <v>23369</v>
      </c>
      <c r="CC1973" t="s">
        <v>201</v>
      </c>
      <c r="CD1973" t="s">
        <v>182</v>
      </c>
      <c r="CE1973" t="s">
        <v>23370</v>
      </c>
      <c r="CF1973" t="s">
        <v>413</v>
      </c>
      <c r="CG1973" t="s">
        <v>177</v>
      </c>
      <c r="CH1973" t="s">
        <v>804</v>
      </c>
      <c r="CI1973" t="s">
        <v>15821</v>
      </c>
      <c r="CS1973" t="s">
        <v>198</v>
      </c>
      <c r="DC1973" t="s">
        <v>198</v>
      </c>
      <c r="DM1973" t="s">
        <v>198</v>
      </c>
      <c r="DW1973" t="s">
        <v>198</v>
      </c>
      <c r="EG1973" t="s">
        <v>198</v>
      </c>
      <c r="EQ1973" t="s">
        <v>198</v>
      </c>
      <c r="FA1973" t="s">
        <v>198</v>
      </c>
      <c r="FK1973" t="s">
        <v>198</v>
      </c>
      <c r="FU1973" t="s">
        <v>198</v>
      </c>
    </row>
    <row r="1974" spans="1:177">
      <c r="A1974" s="1" t="str">
        <f>HYPERLINK("http://digipan.lumentumllc.com/apps/getLink/index.php?t=PropLink&amp;p=41028980","PL")</f>
        <v>PL</v>
      </c>
      <c r="B1974" s="1" t="str">
        <f>HYPERLINK("http://digipan.lumentumllc.com/apps/getLink/index.php?t=TaxLink&amp;p=41028980","TL")</f>
        <v>TL</v>
      </c>
      <c r="C1974" s="1" t="str">
        <f t="shared" si="1"/>
        <v/>
      </c>
      <c r="E1974" t="s">
        <v>177</v>
      </c>
      <c r="F1974" t="s">
        <v>178</v>
      </c>
      <c r="L1974" t="s">
        <v>23417</v>
      </c>
      <c r="N1974" t="s">
        <v>23417</v>
      </c>
      <c r="O1974" t="s">
        <v>23417</v>
      </c>
      <c r="Q1974" t="s">
        <v>23417</v>
      </c>
      <c r="V1974">
        <v>2255</v>
      </c>
      <c r="W1974">
        <v>7</v>
      </c>
      <c r="X1974">
        <v>2017</v>
      </c>
      <c r="Y1974">
        <v>2018</v>
      </c>
      <c r="Z1974">
        <v>1656.06</v>
      </c>
      <c r="AG1974" t="s">
        <v>184</v>
      </c>
      <c r="AH1974">
        <v>0</v>
      </c>
      <c r="AK1974">
        <v>0</v>
      </c>
      <c r="AL1974">
        <v>75345</v>
      </c>
      <c r="AM1974">
        <v>75345</v>
      </c>
      <c r="AN1974">
        <v>0</v>
      </c>
      <c r="AQ1974">
        <v>2.2000000000000002</v>
      </c>
      <c r="AS1974" t="s">
        <v>23418</v>
      </c>
      <c r="AT1974" t="s">
        <v>15040</v>
      </c>
      <c r="AU1974" t="s">
        <v>177</v>
      </c>
      <c r="AV1974" t="s">
        <v>371</v>
      </c>
      <c r="AW1974" t="s">
        <v>182</v>
      </c>
      <c r="AX1974">
        <v>0</v>
      </c>
      <c r="AY1974" t="s">
        <v>312</v>
      </c>
      <c r="AZ1974" t="s">
        <v>199</v>
      </c>
      <c r="BA1974" t="s">
        <v>313</v>
      </c>
      <c r="BB1974" t="s">
        <v>191</v>
      </c>
      <c r="BC1974" t="s">
        <v>202</v>
      </c>
      <c r="BD1974" t="s">
        <v>182</v>
      </c>
      <c r="BE1974" t="s">
        <v>6008</v>
      </c>
      <c r="BI1974" t="s">
        <v>199</v>
      </c>
      <c r="BN1974" t="s">
        <v>182</v>
      </c>
      <c r="BO1974" t="s">
        <v>198</v>
      </c>
      <c r="BP1974" t="s">
        <v>198</v>
      </c>
      <c r="BQ1974" t="s">
        <v>198</v>
      </c>
      <c r="BR1974" t="s">
        <v>198</v>
      </c>
      <c r="BS1974" t="s">
        <v>198</v>
      </c>
      <c r="BT1974" t="s">
        <v>198</v>
      </c>
      <c r="BU1974" t="s">
        <v>182</v>
      </c>
      <c r="BV1974" t="s">
        <v>198</v>
      </c>
      <c r="BW1974" t="s">
        <v>198</v>
      </c>
      <c r="BX1974" t="s">
        <v>199</v>
      </c>
      <c r="BY1974" t="s">
        <v>198</v>
      </c>
      <c r="CB1974" t="s">
        <v>23369</v>
      </c>
      <c r="CC1974" t="s">
        <v>201</v>
      </c>
      <c r="CD1974" t="s">
        <v>182</v>
      </c>
      <c r="CE1974" t="s">
        <v>23370</v>
      </c>
      <c r="CF1974" t="s">
        <v>413</v>
      </c>
      <c r="CG1974" t="s">
        <v>177</v>
      </c>
      <c r="CH1974" t="s">
        <v>804</v>
      </c>
      <c r="CI1974" t="s">
        <v>2796</v>
      </c>
      <c r="CS1974" t="s">
        <v>198</v>
      </c>
      <c r="DC1974" t="s">
        <v>198</v>
      </c>
      <c r="DM1974" t="s">
        <v>198</v>
      </c>
      <c r="DW1974" t="s">
        <v>198</v>
      </c>
      <c r="EG1974" t="s">
        <v>198</v>
      </c>
      <c r="EQ1974" t="s">
        <v>198</v>
      </c>
      <c r="FA1974" t="s">
        <v>198</v>
      </c>
      <c r="FK1974" t="s">
        <v>198</v>
      </c>
      <c r="FU1974" t="s">
        <v>198</v>
      </c>
    </row>
    <row r="1975" spans="1:177">
      <c r="A1975" s="1" t="str">
        <f>HYPERLINK("http://digipan.lumentumllc.com/apps/getLink/index.php?t=PropLink&amp;p=41028981","PL")</f>
        <v>PL</v>
      </c>
      <c r="B1975" s="1" t="str">
        <f>HYPERLINK("http://digipan.lumentumllc.com/apps/getLink/index.php?t=TaxLink&amp;p=41028981","TL")</f>
        <v>TL</v>
      </c>
      <c r="C1975" s="1" t="str">
        <f t="shared" si="1"/>
        <v/>
      </c>
      <c r="E1975" t="s">
        <v>177</v>
      </c>
      <c r="F1975" t="s">
        <v>178</v>
      </c>
      <c r="L1975" t="s">
        <v>23419</v>
      </c>
      <c r="N1975" t="s">
        <v>23419</v>
      </c>
      <c r="O1975" t="s">
        <v>23419</v>
      </c>
      <c r="Q1975" t="s">
        <v>23419</v>
      </c>
      <c r="V1975">
        <v>2256</v>
      </c>
      <c r="W1975">
        <v>7</v>
      </c>
      <c r="X1975">
        <v>2017</v>
      </c>
      <c r="Y1975">
        <v>2018</v>
      </c>
      <c r="Z1975">
        <v>1656.06</v>
      </c>
      <c r="AG1975" t="s">
        <v>184</v>
      </c>
      <c r="AH1975">
        <v>0</v>
      </c>
      <c r="AK1975">
        <v>0</v>
      </c>
      <c r="AL1975">
        <v>75345</v>
      </c>
      <c r="AM1975">
        <v>75345</v>
      </c>
      <c r="AN1975">
        <v>0</v>
      </c>
      <c r="AQ1975">
        <v>2.2000000000000002</v>
      </c>
      <c r="AS1975" t="s">
        <v>23420</v>
      </c>
      <c r="AT1975" t="s">
        <v>15040</v>
      </c>
      <c r="AU1975" t="s">
        <v>177</v>
      </c>
      <c r="AV1975" t="s">
        <v>371</v>
      </c>
      <c r="AW1975" t="s">
        <v>182</v>
      </c>
      <c r="AX1975">
        <v>0</v>
      </c>
      <c r="AY1975" t="s">
        <v>312</v>
      </c>
      <c r="AZ1975" t="s">
        <v>199</v>
      </c>
      <c r="BA1975" t="s">
        <v>313</v>
      </c>
      <c r="BB1975" t="s">
        <v>191</v>
      </c>
      <c r="BC1975" t="s">
        <v>202</v>
      </c>
      <c r="BD1975" t="s">
        <v>182</v>
      </c>
      <c r="BE1975" t="s">
        <v>6008</v>
      </c>
      <c r="BI1975" t="s">
        <v>199</v>
      </c>
      <c r="BN1975" t="s">
        <v>182</v>
      </c>
      <c r="BO1975" t="s">
        <v>198</v>
      </c>
      <c r="BP1975" t="s">
        <v>198</v>
      </c>
      <c r="BQ1975" t="s">
        <v>198</v>
      </c>
      <c r="BR1975" t="s">
        <v>198</v>
      </c>
      <c r="BS1975" t="s">
        <v>198</v>
      </c>
      <c r="BT1975" t="s">
        <v>198</v>
      </c>
      <c r="BU1975" t="s">
        <v>182</v>
      </c>
      <c r="BV1975" t="s">
        <v>198</v>
      </c>
      <c r="BW1975" t="s">
        <v>198</v>
      </c>
      <c r="BX1975" t="s">
        <v>199</v>
      </c>
      <c r="BY1975" t="s">
        <v>198</v>
      </c>
      <c r="CB1975" t="s">
        <v>23369</v>
      </c>
      <c r="CC1975" t="s">
        <v>201</v>
      </c>
      <c r="CD1975" t="s">
        <v>182</v>
      </c>
      <c r="CE1975" t="s">
        <v>23370</v>
      </c>
      <c r="CF1975" t="s">
        <v>413</v>
      </c>
      <c r="CG1975" t="s">
        <v>177</v>
      </c>
      <c r="CH1975" t="s">
        <v>804</v>
      </c>
      <c r="CI1975" t="s">
        <v>9165</v>
      </c>
      <c r="CS1975" t="s">
        <v>198</v>
      </c>
      <c r="DC1975" t="s">
        <v>198</v>
      </c>
      <c r="DM1975" t="s">
        <v>198</v>
      </c>
      <c r="DW1975" t="s">
        <v>198</v>
      </c>
      <c r="EG1975" t="s">
        <v>198</v>
      </c>
      <c r="EQ1975" t="s">
        <v>198</v>
      </c>
      <c r="FA1975" t="s">
        <v>198</v>
      </c>
      <c r="FK1975" t="s">
        <v>198</v>
      </c>
      <c r="FU1975" t="s">
        <v>198</v>
      </c>
    </row>
    <row r="1976" spans="1:177">
      <c r="A1976" s="1" t="str">
        <f>HYPERLINK("http://digipan.lumentumllc.com/apps/getLink/index.php?t=PropLink&amp;p=41028984","PL")</f>
        <v>PL</v>
      </c>
      <c r="B1976" s="1" t="str">
        <f>HYPERLINK("http://digipan.lumentumllc.com/apps/getLink/index.php?t=TaxLink&amp;p=41028984","TL")</f>
        <v>TL</v>
      </c>
      <c r="C1976" s="1" t="str">
        <f t="shared" si="1"/>
        <v/>
      </c>
      <c r="E1976" t="s">
        <v>177</v>
      </c>
      <c r="F1976" t="s">
        <v>178</v>
      </c>
      <c r="L1976" t="s">
        <v>23421</v>
      </c>
      <c r="N1976" t="s">
        <v>23421</v>
      </c>
      <c r="O1976" t="s">
        <v>23421</v>
      </c>
      <c r="Q1976" t="s">
        <v>23421</v>
      </c>
      <c r="V1976">
        <v>2257</v>
      </c>
      <c r="W1976">
        <v>7</v>
      </c>
      <c r="X1976">
        <v>2017</v>
      </c>
      <c r="Y1976">
        <v>2018</v>
      </c>
      <c r="Z1976">
        <v>1656.06</v>
      </c>
      <c r="AG1976" t="s">
        <v>184</v>
      </c>
      <c r="AH1976">
        <v>0</v>
      </c>
      <c r="AK1976">
        <v>0</v>
      </c>
      <c r="AL1976">
        <v>75345</v>
      </c>
      <c r="AM1976">
        <v>75345</v>
      </c>
      <c r="AN1976">
        <v>0</v>
      </c>
      <c r="AQ1976">
        <v>2.2000000000000002</v>
      </c>
      <c r="AS1976" t="s">
        <v>23422</v>
      </c>
      <c r="AT1976" t="s">
        <v>15040</v>
      </c>
      <c r="AU1976" t="s">
        <v>177</v>
      </c>
      <c r="AV1976" t="s">
        <v>371</v>
      </c>
      <c r="AW1976" t="s">
        <v>182</v>
      </c>
      <c r="AX1976">
        <v>0</v>
      </c>
      <c r="AY1976" t="s">
        <v>312</v>
      </c>
      <c r="AZ1976" t="s">
        <v>199</v>
      </c>
      <c r="BA1976" t="s">
        <v>313</v>
      </c>
      <c r="BB1976" t="s">
        <v>191</v>
      </c>
      <c r="BC1976" t="s">
        <v>202</v>
      </c>
      <c r="BD1976" t="s">
        <v>182</v>
      </c>
      <c r="BE1976" t="s">
        <v>8096</v>
      </c>
      <c r="BI1976" t="s">
        <v>199</v>
      </c>
      <c r="BN1976" t="s">
        <v>182</v>
      </c>
      <c r="BO1976" t="s">
        <v>198</v>
      </c>
      <c r="BP1976" t="s">
        <v>198</v>
      </c>
      <c r="BQ1976" t="s">
        <v>198</v>
      </c>
      <c r="BR1976" t="s">
        <v>198</v>
      </c>
      <c r="BS1976" t="s">
        <v>198</v>
      </c>
      <c r="BT1976" t="s">
        <v>198</v>
      </c>
      <c r="BU1976" t="s">
        <v>182</v>
      </c>
      <c r="BV1976" t="s">
        <v>198</v>
      </c>
      <c r="BW1976" t="s">
        <v>198</v>
      </c>
      <c r="BX1976" t="s">
        <v>199</v>
      </c>
      <c r="BY1976" t="s">
        <v>198</v>
      </c>
      <c r="CB1976" t="s">
        <v>23369</v>
      </c>
      <c r="CC1976" t="s">
        <v>201</v>
      </c>
      <c r="CD1976" t="s">
        <v>182</v>
      </c>
      <c r="CE1976" t="s">
        <v>23370</v>
      </c>
      <c r="CF1976" t="s">
        <v>413</v>
      </c>
      <c r="CG1976" t="s">
        <v>177</v>
      </c>
      <c r="CH1976" t="s">
        <v>804</v>
      </c>
      <c r="CI1976" t="s">
        <v>23423</v>
      </c>
      <c r="CS1976" t="s">
        <v>198</v>
      </c>
      <c r="DC1976" t="s">
        <v>198</v>
      </c>
      <c r="DM1976" t="s">
        <v>198</v>
      </c>
      <c r="DW1976" t="s">
        <v>198</v>
      </c>
      <c r="EG1976" t="s">
        <v>198</v>
      </c>
      <c r="EQ1976" t="s">
        <v>198</v>
      </c>
      <c r="FA1976" t="s">
        <v>198</v>
      </c>
      <c r="FK1976" t="s">
        <v>198</v>
      </c>
      <c r="FU1976" t="s">
        <v>198</v>
      </c>
    </row>
    <row r="1977" spans="1:177">
      <c r="A1977" s="1" t="str">
        <f>HYPERLINK("http://digipan.lumentumllc.com/apps/getLink/index.php?t=PropLink&amp;p=15727161","PL")</f>
        <v>PL</v>
      </c>
      <c r="B1977" s="1" t="str">
        <f>HYPERLINK("http://digipan.lumentumllc.com/apps/getLink/index.php?t=TaxLink&amp;p=15727161","TL")</f>
        <v>TL</v>
      </c>
      <c r="C1977" s="1" t="str">
        <f>HYPERLINK("http://digipan.lumentumllc.com/apps/getMap/index.php?p=15727161","Map")</f>
        <v>Map</v>
      </c>
      <c r="E1977" t="s">
        <v>177</v>
      </c>
      <c r="F1977" t="s">
        <v>178</v>
      </c>
      <c r="L1977" t="s">
        <v>23424</v>
      </c>
      <c r="N1977" t="s">
        <v>23424</v>
      </c>
      <c r="O1977" t="s">
        <v>23424</v>
      </c>
      <c r="Q1977" t="s">
        <v>23424</v>
      </c>
      <c r="V1977">
        <v>2258</v>
      </c>
      <c r="W1977">
        <v>7</v>
      </c>
      <c r="X1977">
        <v>2017</v>
      </c>
      <c r="Y1977">
        <v>2018</v>
      </c>
      <c r="Z1977">
        <v>2894.98</v>
      </c>
      <c r="AB1977" t="s">
        <v>181</v>
      </c>
      <c r="AC1977" t="s">
        <v>182</v>
      </c>
      <c r="AD1977" t="s">
        <v>183</v>
      </c>
      <c r="AE1977">
        <v>1</v>
      </c>
      <c r="AF1977">
        <v>0</v>
      </c>
      <c r="AG1977" t="s">
        <v>1200</v>
      </c>
      <c r="AH1977">
        <v>0</v>
      </c>
      <c r="AI1977">
        <v>1353.35</v>
      </c>
      <c r="AJ1977">
        <v>67.67</v>
      </c>
      <c r="AK1977">
        <v>1421.02</v>
      </c>
      <c r="AL1977">
        <v>172006</v>
      </c>
      <c r="AM1977">
        <v>75000</v>
      </c>
      <c r="AN1977">
        <v>97006</v>
      </c>
      <c r="AO1977">
        <v>1226</v>
      </c>
      <c r="AP1977">
        <v>2016</v>
      </c>
      <c r="AQ1977">
        <v>1.68</v>
      </c>
      <c r="AR1977">
        <v>0.83</v>
      </c>
      <c r="AS1977" t="s">
        <v>23425</v>
      </c>
      <c r="AT1977" t="s">
        <v>15040</v>
      </c>
      <c r="AU1977" t="s">
        <v>177</v>
      </c>
      <c r="AV1977" t="s">
        <v>371</v>
      </c>
      <c r="AW1977" t="s">
        <v>182</v>
      </c>
      <c r="AX1977">
        <v>1</v>
      </c>
      <c r="AY1977" t="s">
        <v>188</v>
      </c>
      <c r="AZ1977" t="s">
        <v>206</v>
      </c>
      <c r="BA1977" t="s">
        <v>355</v>
      </c>
      <c r="BB1977" t="s">
        <v>191</v>
      </c>
      <c r="BC1977" t="s">
        <v>182</v>
      </c>
      <c r="BD1977" t="s">
        <v>182</v>
      </c>
      <c r="BE1977" t="s">
        <v>16160</v>
      </c>
      <c r="BF1977">
        <v>1</v>
      </c>
      <c r="BG1977">
        <v>1</v>
      </c>
      <c r="BH1977">
        <v>1995</v>
      </c>
      <c r="BI1977" t="s">
        <v>17404</v>
      </c>
      <c r="BJ1977" t="s">
        <v>194</v>
      </c>
      <c r="BK1977" t="s">
        <v>195</v>
      </c>
      <c r="BL1977" t="s">
        <v>4712</v>
      </c>
      <c r="BM1977" t="s">
        <v>232</v>
      </c>
      <c r="BN1977" t="s">
        <v>182</v>
      </c>
      <c r="BO1977" t="s">
        <v>23426</v>
      </c>
      <c r="BP1977" t="s">
        <v>5459</v>
      </c>
      <c r="BQ1977" t="s">
        <v>800</v>
      </c>
      <c r="BR1977" t="s">
        <v>1897</v>
      </c>
      <c r="BS1977" t="s">
        <v>198</v>
      </c>
      <c r="BT1977" t="s">
        <v>23427</v>
      </c>
      <c r="BU1977" t="s">
        <v>182</v>
      </c>
      <c r="BV1977" t="s">
        <v>198</v>
      </c>
      <c r="BW1977" t="s">
        <v>198</v>
      </c>
      <c r="BX1977" t="s">
        <v>199</v>
      </c>
      <c r="BY1977" t="s">
        <v>198</v>
      </c>
      <c r="BZ1977" t="s">
        <v>199</v>
      </c>
      <c r="CA1977" t="s">
        <v>199</v>
      </c>
      <c r="CB1977" t="s">
        <v>23428</v>
      </c>
      <c r="CC1977" t="s">
        <v>201</v>
      </c>
      <c r="CD1977" t="s">
        <v>202</v>
      </c>
      <c r="CE1977" t="s">
        <v>23429</v>
      </c>
      <c r="CF1977" t="s">
        <v>5331</v>
      </c>
      <c r="CG1977" t="s">
        <v>177</v>
      </c>
      <c r="CH1977" t="s">
        <v>371</v>
      </c>
      <c r="CI1977" t="s">
        <v>23430</v>
      </c>
      <c r="CJ1977" t="s">
        <v>16143</v>
      </c>
      <c r="CK1977" t="s">
        <v>232</v>
      </c>
      <c r="CL1977" t="s">
        <v>233</v>
      </c>
      <c r="CM1977" t="s">
        <v>23431</v>
      </c>
      <c r="CN1977" t="s">
        <v>235</v>
      </c>
      <c r="CO1977" t="s">
        <v>183</v>
      </c>
      <c r="CP1977" t="s">
        <v>266</v>
      </c>
      <c r="CS1977" t="s">
        <v>198</v>
      </c>
      <c r="DC1977" t="s">
        <v>198</v>
      </c>
      <c r="DM1977" t="s">
        <v>198</v>
      </c>
      <c r="DW1977" t="s">
        <v>198</v>
      </c>
      <c r="EG1977" t="s">
        <v>198</v>
      </c>
      <c r="EQ1977" t="s">
        <v>198</v>
      </c>
      <c r="FA1977" t="s">
        <v>198</v>
      </c>
      <c r="FK1977" t="s">
        <v>198</v>
      </c>
      <c r="FU1977" t="s">
        <v>198</v>
      </c>
    </row>
    <row r="1978" spans="1:177">
      <c r="A1978" s="1" t="str">
        <f>HYPERLINK("http://digipan.lumentumllc.com/apps/getLink/index.php?t=PropLink&amp;p=7112270","PL")</f>
        <v>PL</v>
      </c>
      <c r="B1978" s="1" t="str">
        <f>HYPERLINK("http://digipan.lumentumllc.com/apps/getLink/index.php?t=TaxLink&amp;p=7112270","TL")</f>
        <v>TL</v>
      </c>
      <c r="C1978" s="1" t="str">
        <f>HYPERLINK("http://digipan.lumentumllc.com/apps/getMap/index.php?p=7112270","Map")</f>
        <v>Map</v>
      </c>
      <c r="E1978" t="s">
        <v>177</v>
      </c>
      <c r="F1978" t="s">
        <v>178</v>
      </c>
      <c r="L1978" t="s">
        <v>23432</v>
      </c>
      <c r="N1978" t="s">
        <v>23432</v>
      </c>
      <c r="O1978" t="s">
        <v>23432</v>
      </c>
      <c r="P1978" t="s">
        <v>23433</v>
      </c>
      <c r="Q1978" t="s">
        <v>23432</v>
      </c>
      <c r="V1978">
        <v>2259</v>
      </c>
      <c r="W1978">
        <v>7</v>
      </c>
      <c r="X1978">
        <v>2017</v>
      </c>
      <c r="Y1978">
        <v>2018</v>
      </c>
      <c r="Z1978">
        <v>531.34</v>
      </c>
      <c r="AB1978" t="s">
        <v>181</v>
      </c>
      <c r="AC1978" t="s">
        <v>182</v>
      </c>
      <c r="AD1978" t="s">
        <v>183</v>
      </c>
      <c r="AE1978">
        <v>2</v>
      </c>
      <c r="AF1978">
        <v>0</v>
      </c>
      <c r="AG1978" t="s">
        <v>1737</v>
      </c>
      <c r="AH1978">
        <v>0</v>
      </c>
      <c r="AI1978">
        <v>1957.2</v>
      </c>
      <c r="AJ1978">
        <v>97.86</v>
      </c>
      <c r="AK1978">
        <v>2055.06</v>
      </c>
      <c r="AL1978">
        <v>30000</v>
      </c>
      <c r="AM1978">
        <v>30000</v>
      </c>
      <c r="AN1978">
        <v>0</v>
      </c>
      <c r="AO1978">
        <v>1032</v>
      </c>
      <c r="AP1978">
        <v>2016</v>
      </c>
      <c r="AQ1978">
        <v>1.77</v>
      </c>
      <c r="AR1978">
        <v>6.85</v>
      </c>
      <c r="AS1978" t="s">
        <v>23434</v>
      </c>
      <c r="AT1978" t="s">
        <v>15040</v>
      </c>
      <c r="AU1978" t="s">
        <v>177</v>
      </c>
      <c r="AV1978" t="s">
        <v>371</v>
      </c>
      <c r="AW1978" t="s">
        <v>182</v>
      </c>
      <c r="AX1978">
        <v>0</v>
      </c>
      <c r="AY1978" t="s">
        <v>312</v>
      </c>
      <c r="AZ1978" t="s">
        <v>199</v>
      </c>
      <c r="BA1978" t="s">
        <v>313</v>
      </c>
      <c r="BB1978" t="s">
        <v>191</v>
      </c>
      <c r="BC1978" t="s">
        <v>182</v>
      </c>
      <c r="BD1978" t="s">
        <v>530</v>
      </c>
      <c r="BE1978" t="s">
        <v>6156</v>
      </c>
      <c r="BF1978">
        <v>0</v>
      </c>
      <c r="BG1978">
        <v>0</v>
      </c>
      <c r="BH1978">
        <v>0</v>
      </c>
      <c r="BI1978" t="s">
        <v>199</v>
      </c>
      <c r="BJ1978" t="s">
        <v>248</v>
      </c>
      <c r="BL1978" t="s">
        <v>23435</v>
      </c>
      <c r="BM1978" t="s">
        <v>267</v>
      </c>
      <c r="BN1978" t="s">
        <v>182</v>
      </c>
      <c r="BO1978" t="s">
        <v>198</v>
      </c>
      <c r="BP1978" t="s">
        <v>198</v>
      </c>
      <c r="BQ1978" t="s">
        <v>198</v>
      </c>
      <c r="BR1978" t="s">
        <v>198</v>
      </c>
      <c r="BS1978" t="s">
        <v>198</v>
      </c>
      <c r="BT1978" t="s">
        <v>198</v>
      </c>
      <c r="BU1978" t="s">
        <v>182</v>
      </c>
      <c r="BV1978" t="s">
        <v>198</v>
      </c>
      <c r="BW1978" t="s">
        <v>198</v>
      </c>
      <c r="BX1978" t="s">
        <v>199</v>
      </c>
      <c r="BY1978" t="s">
        <v>198</v>
      </c>
      <c r="BZ1978" t="s">
        <v>199</v>
      </c>
      <c r="CA1978" t="s">
        <v>199</v>
      </c>
      <c r="CB1978" t="s">
        <v>23436</v>
      </c>
      <c r="CC1978" t="s">
        <v>201</v>
      </c>
      <c r="CD1978" t="s">
        <v>182</v>
      </c>
      <c r="CE1978" t="s">
        <v>23437</v>
      </c>
      <c r="CF1978" t="s">
        <v>2546</v>
      </c>
      <c r="CG1978" t="s">
        <v>177</v>
      </c>
      <c r="CH1978" t="s">
        <v>2398</v>
      </c>
      <c r="CI1978" t="s">
        <v>23438</v>
      </c>
      <c r="CJ1978" t="s">
        <v>19665</v>
      </c>
      <c r="CK1978" t="s">
        <v>232</v>
      </c>
      <c r="CL1978" t="s">
        <v>233</v>
      </c>
      <c r="CM1978" t="s">
        <v>23439</v>
      </c>
      <c r="CN1978" t="s">
        <v>235</v>
      </c>
      <c r="CO1978" t="s">
        <v>183</v>
      </c>
      <c r="CP1978" t="s">
        <v>266</v>
      </c>
      <c r="CS1978" t="s">
        <v>198</v>
      </c>
      <c r="CT1978" t="s">
        <v>16348</v>
      </c>
      <c r="CU1978" t="s">
        <v>292</v>
      </c>
      <c r="CV1978" t="s">
        <v>293</v>
      </c>
      <c r="CW1978" t="s">
        <v>23440</v>
      </c>
      <c r="CX1978" t="s">
        <v>235</v>
      </c>
      <c r="CY1978" t="s">
        <v>183</v>
      </c>
      <c r="CZ1978" t="s">
        <v>266</v>
      </c>
      <c r="DC1978" t="s">
        <v>198</v>
      </c>
      <c r="DM1978" t="s">
        <v>198</v>
      </c>
      <c r="DW1978" t="s">
        <v>198</v>
      </c>
      <c r="EG1978" t="s">
        <v>198</v>
      </c>
      <c r="EQ1978" t="s">
        <v>198</v>
      </c>
      <c r="FA1978" t="s">
        <v>198</v>
      </c>
      <c r="FK1978" t="s">
        <v>198</v>
      </c>
      <c r="FU1978" t="s">
        <v>198</v>
      </c>
    </row>
    <row r="1979" spans="1:177">
      <c r="A1979" s="1" t="str">
        <f>HYPERLINK("http://digipan.lumentumllc.com/apps/getLink/index.php?t=PropLink&amp;p=15727190","PL")</f>
        <v>PL</v>
      </c>
      <c r="B1979" s="1" t="str">
        <f>HYPERLINK("http://digipan.lumentumllc.com/apps/getLink/index.php?t=TaxLink&amp;p=15727190","TL")</f>
        <v>TL</v>
      </c>
      <c r="C1979" s="1" t="str">
        <f>HYPERLINK("http://digipan.lumentumllc.com/apps/getMap/index.php?p=15727190","Map")</f>
        <v>Map</v>
      </c>
      <c r="E1979" t="s">
        <v>177</v>
      </c>
      <c r="F1979" t="s">
        <v>178</v>
      </c>
      <c r="L1979" t="s">
        <v>23441</v>
      </c>
      <c r="N1979" t="s">
        <v>23441</v>
      </c>
      <c r="O1979" t="s">
        <v>23441</v>
      </c>
      <c r="Q1979" t="s">
        <v>23441</v>
      </c>
      <c r="V1979">
        <v>2260</v>
      </c>
      <c r="W1979">
        <v>7</v>
      </c>
      <c r="X1979">
        <v>2017</v>
      </c>
      <c r="Y1979">
        <v>2018</v>
      </c>
      <c r="Z1979">
        <v>10091.08</v>
      </c>
      <c r="AB1979" t="s">
        <v>181</v>
      </c>
      <c r="AC1979" t="s">
        <v>182</v>
      </c>
      <c r="AD1979" t="s">
        <v>183</v>
      </c>
      <c r="AE1979">
        <v>1</v>
      </c>
      <c r="AF1979">
        <v>0</v>
      </c>
      <c r="AG1979" t="s">
        <v>1200</v>
      </c>
      <c r="AH1979">
        <v>0</v>
      </c>
      <c r="AI1979">
        <v>292.42</v>
      </c>
      <c r="AJ1979">
        <v>14.62</v>
      </c>
      <c r="AK1979">
        <v>307.04000000000002</v>
      </c>
      <c r="AL1979">
        <v>466670</v>
      </c>
      <c r="AM1979">
        <v>452250</v>
      </c>
      <c r="AN1979">
        <v>14420</v>
      </c>
      <c r="AO1979">
        <v>245</v>
      </c>
      <c r="AP1979">
        <v>2016</v>
      </c>
      <c r="AQ1979">
        <v>2.16</v>
      </c>
      <c r="AR1979">
        <v>7.0000000000000007E-2</v>
      </c>
      <c r="AS1979" t="s">
        <v>23442</v>
      </c>
      <c r="AT1979" t="s">
        <v>15040</v>
      </c>
      <c r="AU1979" t="s">
        <v>177</v>
      </c>
      <c r="AV1979" t="s">
        <v>371</v>
      </c>
      <c r="AW1979" t="s">
        <v>182</v>
      </c>
      <c r="AX1979">
        <v>0</v>
      </c>
      <c r="AY1979" t="s">
        <v>312</v>
      </c>
      <c r="AZ1979" t="s">
        <v>199</v>
      </c>
      <c r="BA1979" t="s">
        <v>313</v>
      </c>
      <c r="BB1979" t="s">
        <v>191</v>
      </c>
      <c r="BC1979" t="s">
        <v>182</v>
      </c>
      <c r="BD1979" t="s">
        <v>182</v>
      </c>
      <c r="BE1979" t="s">
        <v>23443</v>
      </c>
      <c r="BF1979">
        <v>0</v>
      </c>
      <c r="BG1979">
        <v>0</v>
      </c>
      <c r="BH1979">
        <v>0</v>
      </c>
      <c r="BI1979" t="s">
        <v>199</v>
      </c>
      <c r="BJ1979" t="s">
        <v>396</v>
      </c>
      <c r="BL1979" t="s">
        <v>23444</v>
      </c>
      <c r="BM1979" t="s">
        <v>232</v>
      </c>
      <c r="BN1979" t="s">
        <v>182</v>
      </c>
      <c r="BO1979" t="s">
        <v>23445</v>
      </c>
      <c r="BP1979" t="s">
        <v>23446</v>
      </c>
      <c r="BQ1979" t="s">
        <v>2227</v>
      </c>
      <c r="BR1979" t="s">
        <v>563</v>
      </c>
      <c r="BS1979" t="s">
        <v>198</v>
      </c>
      <c r="BT1979" t="s">
        <v>4748</v>
      </c>
      <c r="BU1979" t="s">
        <v>182</v>
      </c>
      <c r="BV1979" t="s">
        <v>198</v>
      </c>
      <c r="BW1979" t="s">
        <v>198</v>
      </c>
      <c r="BX1979" t="s">
        <v>199</v>
      </c>
      <c r="BY1979" t="s">
        <v>198</v>
      </c>
      <c r="BZ1979" t="s">
        <v>199</v>
      </c>
      <c r="CA1979" t="s">
        <v>199</v>
      </c>
      <c r="CB1979" t="s">
        <v>23447</v>
      </c>
      <c r="CC1979" t="s">
        <v>201</v>
      </c>
      <c r="CD1979" t="s">
        <v>202</v>
      </c>
      <c r="CE1979" t="s">
        <v>23448</v>
      </c>
      <c r="CF1979" t="s">
        <v>19602</v>
      </c>
      <c r="CG1979" t="s">
        <v>1602</v>
      </c>
      <c r="CH1979" t="s">
        <v>23449</v>
      </c>
      <c r="CI1979" t="s">
        <v>23450</v>
      </c>
      <c r="CJ1979" t="s">
        <v>19680</v>
      </c>
      <c r="CK1979" t="s">
        <v>232</v>
      </c>
      <c r="CL1979" t="s">
        <v>233</v>
      </c>
      <c r="CM1979" t="s">
        <v>23451</v>
      </c>
      <c r="CN1979" t="s">
        <v>235</v>
      </c>
      <c r="CO1979" t="s">
        <v>183</v>
      </c>
      <c r="CP1979" t="s">
        <v>266</v>
      </c>
      <c r="CS1979" t="s">
        <v>198</v>
      </c>
      <c r="DC1979" t="s">
        <v>198</v>
      </c>
      <c r="DM1979" t="s">
        <v>198</v>
      </c>
      <c r="DW1979" t="s">
        <v>198</v>
      </c>
      <c r="EG1979" t="s">
        <v>198</v>
      </c>
      <c r="EQ1979" t="s">
        <v>198</v>
      </c>
      <c r="FA1979" t="s">
        <v>198</v>
      </c>
      <c r="FK1979" t="s">
        <v>198</v>
      </c>
      <c r="FU1979" t="s">
        <v>198</v>
      </c>
    </row>
    <row r="1980" spans="1:177">
      <c r="A1980" s="1" t="str">
        <f>HYPERLINK("http://digipan.lumentumllc.com/apps/getLink/index.php?t=PropLink&amp;p=15727191","PL")</f>
        <v>PL</v>
      </c>
      <c r="B1980" s="1" t="str">
        <f>HYPERLINK("http://digipan.lumentumllc.com/apps/getLink/index.php?t=TaxLink&amp;p=15727191","TL")</f>
        <v>TL</v>
      </c>
      <c r="C1980" s="1" t="str">
        <f>HYPERLINK("http://digipan.lumentumllc.com/apps/getMap/index.php?p=15727191","Map")</f>
        <v>Map</v>
      </c>
      <c r="E1980" t="s">
        <v>177</v>
      </c>
      <c r="F1980" t="s">
        <v>178</v>
      </c>
      <c r="L1980" t="s">
        <v>23452</v>
      </c>
      <c r="N1980" t="s">
        <v>23452</v>
      </c>
      <c r="O1980" t="s">
        <v>23452</v>
      </c>
      <c r="Q1980" t="s">
        <v>23452</v>
      </c>
      <c r="V1980">
        <v>2261</v>
      </c>
      <c r="W1980">
        <v>7</v>
      </c>
      <c r="X1980">
        <v>2017</v>
      </c>
      <c r="Y1980">
        <v>2018</v>
      </c>
      <c r="Z1980">
        <v>8763.8799999999992</v>
      </c>
      <c r="AB1980" t="s">
        <v>181</v>
      </c>
      <c r="AC1980" t="s">
        <v>182</v>
      </c>
      <c r="AD1980" t="s">
        <v>183</v>
      </c>
      <c r="AE1980">
        <v>1</v>
      </c>
      <c r="AF1980">
        <v>0</v>
      </c>
      <c r="AG1980" t="s">
        <v>1200</v>
      </c>
      <c r="AH1980">
        <v>0</v>
      </c>
      <c r="AI1980">
        <v>4884.1000000000004</v>
      </c>
      <c r="AJ1980">
        <v>244.21</v>
      </c>
      <c r="AK1980">
        <v>5128.3100000000004</v>
      </c>
      <c r="AL1980">
        <v>405096</v>
      </c>
      <c r="AM1980">
        <v>78750</v>
      </c>
      <c r="AN1980">
        <v>326346</v>
      </c>
      <c r="AO1980">
        <v>4491</v>
      </c>
      <c r="AP1980">
        <v>2016</v>
      </c>
      <c r="AQ1980">
        <v>2.16</v>
      </c>
      <c r="AR1980">
        <v>1.27</v>
      </c>
      <c r="AS1980" t="s">
        <v>23453</v>
      </c>
      <c r="AT1980" t="s">
        <v>15040</v>
      </c>
      <c r="AU1980" t="s">
        <v>177</v>
      </c>
      <c r="AV1980" t="s">
        <v>371</v>
      </c>
      <c r="AW1980" t="s">
        <v>182</v>
      </c>
      <c r="AX1980">
        <v>1</v>
      </c>
      <c r="AY1980" t="s">
        <v>188</v>
      </c>
      <c r="AZ1980" t="s">
        <v>206</v>
      </c>
      <c r="BA1980" t="s">
        <v>355</v>
      </c>
      <c r="BB1980" t="s">
        <v>191</v>
      </c>
      <c r="BC1980" t="s">
        <v>182</v>
      </c>
      <c r="BD1980" t="s">
        <v>182</v>
      </c>
      <c r="BE1980" t="s">
        <v>7258</v>
      </c>
      <c r="BF1980">
        <v>1</v>
      </c>
      <c r="BG1980">
        <v>1</v>
      </c>
      <c r="BH1980">
        <v>2004</v>
      </c>
      <c r="BI1980" t="s">
        <v>23454</v>
      </c>
      <c r="BJ1980" t="s">
        <v>248</v>
      </c>
      <c r="BK1980" t="s">
        <v>195</v>
      </c>
      <c r="BL1980" t="s">
        <v>23455</v>
      </c>
      <c r="BM1980" t="s">
        <v>232</v>
      </c>
      <c r="BN1980" t="s">
        <v>182</v>
      </c>
      <c r="BO1980" t="s">
        <v>23456</v>
      </c>
      <c r="BP1980" t="s">
        <v>3234</v>
      </c>
      <c r="BQ1980" t="s">
        <v>603</v>
      </c>
      <c r="BR1980" t="s">
        <v>1300</v>
      </c>
      <c r="BS1980" t="s">
        <v>198</v>
      </c>
      <c r="BT1980" t="s">
        <v>2738</v>
      </c>
      <c r="BU1980" t="s">
        <v>182</v>
      </c>
      <c r="BV1980" t="s">
        <v>198</v>
      </c>
      <c r="BW1980" t="s">
        <v>198</v>
      </c>
      <c r="BX1980" t="s">
        <v>199</v>
      </c>
      <c r="BY1980" t="s">
        <v>198</v>
      </c>
      <c r="BZ1980" t="s">
        <v>199</v>
      </c>
      <c r="CA1980" t="s">
        <v>199</v>
      </c>
      <c r="CB1980" t="s">
        <v>23447</v>
      </c>
      <c r="CC1980" t="s">
        <v>201</v>
      </c>
      <c r="CD1980" t="s">
        <v>202</v>
      </c>
      <c r="CE1980" t="s">
        <v>23457</v>
      </c>
      <c r="CF1980" t="s">
        <v>5331</v>
      </c>
      <c r="CG1980" t="s">
        <v>177</v>
      </c>
      <c r="CH1980" t="s">
        <v>371</v>
      </c>
      <c r="CI1980" t="s">
        <v>23458</v>
      </c>
      <c r="CJ1980" t="s">
        <v>16210</v>
      </c>
      <c r="CK1980" t="s">
        <v>232</v>
      </c>
      <c r="CL1980" t="s">
        <v>233</v>
      </c>
      <c r="CM1980" t="s">
        <v>23459</v>
      </c>
      <c r="CN1980" t="s">
        <v>235</v>
      </c>
      <c r="CO1980" t="s">
        <v>183</v>
      </c>
      <c r="CP1980" t="s">
        <v>266</v>
      </c>
      <c r="CS1980" t="s">
        <v>198</v>
      </c>
      <c r="DC1980" t="s">
        <v>198</v>
      </c>
      <c r="DM1980" t="s">
        <v>198</v>
      </c>
      <c r="DW1980" t="s">
        <v>198</v>
      </c>
      <c r="EG1980" t="s">
        <v>198</v>
      </c>
      <c r="EQ1980" t="s">
        <v>198</v>
      </c>
      <c r="FA1980" t="s">
        <v>198</v>
      </c>
      <c r="FK1980" t="s">
        <v>198</v>
      </c>
      <c r="FU1980" t="s">
        <v>198</v>
      </c>
    </row>
    <row r="1981" spans="1:177">
      <c r="A1981" s="1" t="str">
        <f>HYPERLINK("http://digipan.lumentumllc.com/apps/getLink/index.php?t=PropLink&amp;p=15727192","PL")</f>
        <v>PL</v>
      </c>
      <c r="B1981" s="1" t="str">
        <f>HYPERLINK("http://digipan.lumentumllc.com/apps/getLink/index.php?t=TaxLink&amp;p=15727192","TL")</f>
        <v>TL</v>
      </c>
      <c r="C1981" s="1" t="str">
        <f>HYPERLINK("http://digipan.lumentumllc.com/apps/getMap/index.php?p=15727192","Map")</f>
        <v>Map</v>
      </c>
      <c r="E1981" t="s">
        <v>177</v>
      </c>
      <c r="F1981" t="s">
        <v>178</v>
      </c>
      <c r="L1981" t="s">
        <v>23460</v>
      </c>
      <c r="N1981" t="s">
        <v>23460</v>
      </c>
      <c r="O1981" t="s">
        <v>23460</v>
      </c>
      <c r="Q1981" t="s">
        <v>23460</v>
      </c>
      <c r="V1981">
        <v>2262</v>
      </c>
      <c r="W1981">
        <v>7</v>
      </c>
      <c r="X1981">
        <v>2017</v>
      </c>
      <c r="Y1981">
        <v>2018</v>
      </c>
      <c r="Z1981">
        <v>3582.63</v>
      </c>
      <c r="AB1981" t="s">
        <v>181</v>
      </c>
      <c r="AC1981" t="s">
        <v>182</v>
      </c>
      <c r="AD1981" t="s">
        <v>183</v>
      </c>
      <c r="AE1981">
        <v>1</v>
      </c>
      <c r="AF1981">
        <v>0</v>
      </c>
      <c r="AG1981" t="s">
        <v>1200</v>
      </c>
      <c r="AH1981">
        <v>0</v>
      </c>
      <c r="AI1981">
        <v>2648.55</v>
      </c>
      <c r="AJ1981">
        <v>132.43</v>
      </c>
      <c r="AK1981">
        <v>2780.98</v>
      </c>
      <c r="AL1981">
        <v>164723</v>
      </c>
      <c r="AM1981">
        <v>80000</v>
      </c>
      <c r="AN1981">
        <v>84723</v>
      </c>
      <c r="AO1981">
        <v>2424</v>
      </c>
      <c r="AP1981">
        <v>2016</v>
      </c>
      <c r="AQ1981">
        <v>2.17</v>
      </c>
      <c r="AR1981">
        <v>1.69</v>
      </c>
      <c r="AS1981" t="s">
        <v>23461</v>
      </c>
      <c r="AT1981" t="s">
        <v>15040</v>
      </c>
      <c r="AU1981" t="s">
        <v>177</v>
      </c>
      <c r="AV1981" t="s">
        <v>371</v>
      </c>
      <c r="AW1981" t="s">
        <v>182</v>
      </c>
      <c r="AX1981">
        <v>1</v>
      </c>
      <c r="AY1981" t="s">
        <v>188</v>
      </c>
      <c r="AZ1981" t="s">
        <v>206</v>
      </c>
      <c r="BA1981" t="s">
        <v>355</v>
      </c>
      <c r="BB1981" t="s">
        <v>191</v>
      </c>
      <c r="BC1981" t="s">
        <v>182</v>
      </c>
      <c r="BD1981" t="s">
        <v>182</v>
      </c>
      <c r="BE1981" t="s">
        <v>7600</v>
      </c>
      <c r="BF1981">
        <v>1</v>
      </c>
      <c r="BG1981">
        <v>1</v>
      </c>
      <c r="BH1981">
        <v>1958</v>
      </c>
      <c r="BI1981" t="s">
        <v>21796</v>
      </c>
      <c r="BJ1981" t="s">
        <v>194</v>
      </c>
      <c r="BK1981" t="s">
        <v>195</v>
      </c>
      <c r="BL1981" t="s">
        <v>2801</v>
      </c>
      <c r="BM1981" t="s">
        <v>232</v>
      </c>
      <c r="BN1981" t="s">
        <v>182</v>
      </c>
      <c r="BO1981" t="s">
        <v>198</v>
      </c>
      <c r="BP1981" t="s">
        <v>198</v>
      </c>
      <c r="BQ1981" t="s">
        <v>198</v>
      </c>
      <c r="BR1981" t="s">
        <v>198</v>
      </c>
      <c r="BS1981" t="s">
        <v>198</v>
      </c>
      <c r="BT1981" t="s">
        <v>198</v>
      </c>
      <c r="BU1981" t="s">
        <v>182</v>
      </c>
      <c r="BV1981" t="s">
        <v>198</v>
      </c>
      <c r="BW1981" t="s">
        <v>198</v>
      </c>
      <c r="BX1981" t="s">
        <v>199</v>
      </c>
      <c r="BY1981" t="s">
        <v>198</v>
      </c>
      <c r="BZ1981" t="s">
        <v>199</v>
      </c>
      <c r="CA1981" t="s">
        <v>199</v>
      </c>
      <c r="CB1981" t="s">
        <v>23447</v>
      </c>
      <c r="CC1981" t="s">
        <v>201</v>
      </c>
      <c r="CD1981" t="s">
        <v>202</v>
      </c>
      <c r="CE1981" t="s">
        <v>23462</v>
      </c>
      <c r="CF1981" t="s">
        <v>5331</v>
      </c>
      <c r="CG1981" t="s">
        <v>177</v>
      </c>
      <c r="CH1981" t="s">
        <v>371</v>
      </c>
      <c r="CI1981" t="s">
        <v>23463</v>
      </c>
      <c r="CJ1981" t="s">
        <v>16232</v>
      </c>
      <c r="CK1981" t="s">
        <v>232</v>
      </c>
      <c r="CL1981" t="s">
        <v>233</v>
      </c>
      <c r="CM1981" t="s">
        <v>23464</v>
      </c>
      <c r="CN1981" t="s">
        <v>235</v>
      </c>
      <c r="CO1981" t="s">
        <v>183</v>
      </c>
      <c r="CP1981" t="s">
        <v>266</v>
      </c>
      <c r="CS1981" t="s">
        <v>198</v>
      </c>
      <c r="DC1981" t="s">
        <v>198</v>
      </c>
      <c r="DM1981" t="s">
        <v>198</v>
      </c>
      <c r="DW1981" t="s">
        <v>198</v>
      </c>
      <c r="EG1981" t="s">
        <v>198</v>
      </c>
      <c r="EQ1981" t="s">
        <v>198</v>
      </c>
      <c r="FA1981" t="s">
        <v>198</v>
      </c>
      <c r="FK1981" t="s">
        <v>198</v>
      </c>
      <c r="FU1981" t="s">
        <v>198</v>
      </c>
    </row>
    <row r="1982" spans="1:177">
      <c r="A1982" s="1" t="str">
        <f>HYPERLINK("http://digipan.lumentumllc.com/apps/getLink/index.php?t=PropLink&amp;p=5244035","PL")</f>
        <v>PL</v>
      </c>
      <c r="B1982" s="1" t="str">
        <f>HYPERLINK("http://digipan.lumentumllc.com/apps/getLink/index.php?t=TaxLink&amp;p=5244035","TL")</f>
        <v>TL</v>
      </c>
      <c r="C1982" s="1" t="str">
        <f>HYPERLINK("http://digipan.lumentumllc.com/apps/getMap/index.php?p=5244035","Map")</f>
        <v>Map</v>
      </c>
      <c r="E1982" t="s">
        <v>177</v>
      </c>
      <c r="F1982" t="s">
        <v>178</v>
      </c>
      <c r="L1982" t="s">
        <v>23465</v>
      </c>
      <c r="N1982" t="s">
        <v>23465</v>
      </c>
      <c r="O1982" t="s">
        <v>23465</v>
      </c>
      <c r="P1982" t="s">
        <v>23466</v>
      </c>
      <c r="Q1982" t="s">
        <v>23465</v>
      </c>
      <c r="V1982">
        <v>2263</v>
      </c>
      <c r="W1982">
        <v>7</v>
      </c>
      <c r="X1982">
        <v>2017</v>
      </c>
      <c r="Y1982">
        <v>2018</v>
      </c>
      <c r="Z1982">
        <v>1357.92</v>
      </c>
      <c r="AB1982" t="s">
        <v>181</v>
      </c>
      <c r="AC1982" t="s">
        <v>202</v>
      </c>
      <c r="AD1982" t="s">
        <v>183</v>
      </c>
      <c r="AE1982">
        <v>0</v>
      </c>
      <c r="AF1982">
        <v>5</v>
      </c>
      <c r="AG1982" t="s">
        <v>3266</v>
      </c>
      <c r="AH1982">
        <v>100</v>
      </c>
      <c r="AK1982">
        <v>0</v>
      </c>
      <c r="AL1982">
        <v>83884</v>
      </c>
      <c r="AM1982">
        <v>45000</v>
      </c>
      <c r="AN1982">
        <v>38884</v>
      </c>
      <c r="AO1982">
        <v>1184</v>
      </c>
      <c r="AP1982">
        <v>2016</v>
      </c>
      <c r="AQ1982">
        <v>1.62</v>
      </c>
      <c r="AS1982" t="s">
        <v>23467</v>
      </c>
      <c r="AT1982" t="s">
        <v>15040</v>
      </c>
      <c r="AU1982" t="s">
        <v>177</v>
      </c>
      <c r="AV1982" t="s">
        <v>371</v>
      </c>
      <c r="AW1982" t="s">
        <v>182</v>
      </c>
      <c r="AX1982">
        <v>1</v>
      </c>
      <c r="AY1982" t="s">
        <v>188</v>
      </c>
      <c r="AZ1982" t="s">
        <v>206</v>
      </c>
      <c r="BA1982" t="s">
        <v>355</v>
      </c>
      <c r="BB1982" t="s">
        <v>191</v>
      </c>
      <c r="BC1982" t="s">
        <v>182</v>
      </c>
      <c r="BD1982" t="s">
        <v>182</v>
      </c>
      <c r="BE1982" t="s">
        <v>16543</v>
      </c>
      <c r="BF1982">
        <v>1</v>
      </c>
      <c r="BG1982">
        <v>1</v>
      </c>
      <c r="BH1982">
        <v>1950</v>
      </c>
      <c r="BI1982" t="s">
        <v>11188</v>
      </c>
      <c r="BJ1982" t="s">
        <v>194</v>
      </c>
      <c r="BK1982" t="s">
        <v>195</v>
      </c>
      <c r="BL1982" t="s">
        <v>23468</v>
      </c>
      <c r="BM1982" t="s">
        <v>368</v>
      </c>
      <c r="BN1982" t="s">
        <v>182</v>
      </c>
      <c r="BO1982" t="s">
        <v>23469</v>
      </c>
      <c r="BP1982" t="s">
        <v>23470</v>
      </c>
      <c r="BQ1982" t="s">
        <v>5460</v>
      </c>
      <c r="BS1982" t="s">
        <v>23471</v>
      </c>
      <c r="BT1982" t="s">
        <v>198</v>
      </c>
      <c r="BU1982" t="s">
        <v>182</v>
      </c>
      <c r="BV1982" t="s">
        <v>198</v>
      </c>
      <c r="BW1982" t="s">
        <v>198</v>
      </c>
      <c r="BX1982" t="s">
        <v>199</v>
      </c>
      <c r="BY1982" t="s">
        <v>198</v>
      </c>
      <c r="BZ1982" t="s">
        <v>199</v>
      </c>
      <c r="CA1982" t="s">
        <v>199</v>
      </c>
      <c r="CB1982" t="s">
        <v>23472</v>
      </c>
      <c r="CC1982" t="s">
        <v>201</v>
      </c>
      <c r="CD1982" t="s">
        <v>182</v>
      </c>
      <c r="CE1982" t="s">
        <v>23473</v>
      </c>
      <c r="CF1982" t="s">
        <v>5331</v>
      </c>
      <c r="CG1982" t="s">
        <v>177</v>
      </c>
      <c r="CH1982" t="s">
        <v>371</v>
      </c>
      <c r="CI1982" t="s">
        <v>23474</v>
      </c>
      <c r="CJ1982" t="s">
        <v>501</v>
      </c>
      <c r="CK1982" t="s">
        <v>267</v>
      </c>
      <c r="CL1982" t="s">
        <v>268</v>
      </c>
      <c r="CM1982" t="s">
        <v>23475</v>
      </c>
      <c r="CN1982" t="s">
        <v>235</v>
      </c>
      <c r="CO1982" t="s">
        <v>183</v>
      </c>
      <c r="CP1982" t="s">
        <v>211</v>
      </c>
      <c r="CQ1982" t="s">
        <v>264</v>
      </c>
      <c r="CR1982" t="s">
        <v>271</v>
      </c>
      <c r="CS1982" t="s">
        <v>23476</v>
      </c>
      <c r="CT1982" t="s">
        <v>14644</v>
      </c>
      <c r="CU1982" t="s">
        <v>273</v>
      </c>
      <c r="CV1982" t="s">
        <v>274</v>
      </c>
      <c r="CW1982" t="s">
        <v>23477</v>
      </c>
      <c r="CX1982" t="s">
        <v>235</v>
      </c>
      <c r="CY1982" t="s">
        <v>183</v>
      </c>
      <c r="CZ1982" t="s">
        <v>211</v>
      </c>
      <c r="DA1982" t="s">
        <v>471</v>
      </c>
      <c r="DB1982" t="s">
        <v>271</v>
      </c>
      <c r="DC1982" t="s">
        <v>23476</v>
      </c>
      <c r="DD1982" t="s">
        <v>23478</v>
      </c>
      <c r="DE1982" t="s">
        <v>302</v>
      </c>
      <c r="DF1982" t="s">
        <v>303</v>
      </c>
      <c r="DG1982" t="s">
        <v>23479</v>
      </c>
      <c r="DH1982" t="s">
        <v>235</v>
      </c>
      <c r="DI1982" t="s">
        <v>183</v>
      </c>
      <c r="DJ1982" t="s">
        <v>211</v>
      </c>
      <c r="DK1982" t="s">
        <v>298</v>
      </c>
      <c r="DM1982" t="s">
        <v>4379</v>
      </c>
      <c r="DN1982" t="s">
        <v>2175</v>
      </c>
      <c r="DO1982" t="s">
        <v>238</v>
      </c>
      <c r="DP1982" t="s">
        <v>239</v>
      </c>
      <c r="DQ1982" t="s">
        <v>23480</v>
      </c>
      <c r="DR1982" t="s">
        <v>440</v>
      </c>
      <c r="DS1982" t="s">
        <v>183</v>
      </c>
      <c r="DT1982" t="s">
        <v>211</v>
      </c>
      <c r="DV1982" t="s">
        <v>271</v>
      </c>
      <c r="DW1982" t="s">
        <v>198</v>
      </c>
      <c r="DX1982" t="s">
        <v>23481</v>
      </c>
      <c r="DY1982" t="s">
        <v>346</v>
      </c>
      <c r="DZ1982" t="s">
        <v>347</v>
      </c>
      <c r="EA1982" t="s">
        <v>23482</v>
      </c>
      <c r="EB1982" t="s">
        <v>927</v>
      </c>
      <c r="EC1982" t="s">
        <v>183</v>
      </c>
      <c r="ED1982" t="s">
        <v>211</v>
      </c>
      <c r="EE1982" t="s">
        <v>298</v>
      </c>
      <c r="EG1982" t="s">
        <v>2473</v>
      </c>
      <c r="EQ1982" t="s">
        <v>198</v>
      </c>
      <c r="FA1982" t="s">
        <v>198</v>
      </c>
      <c r="FK1982" t="s">
        <v>198</v>
      </c>
      <c r="FU1982" t="s">
        <v>198</v>
      </c>
    </row>
    <row r="1983" spans="1:177">
      <c r="A1983" s="1" t="str">
        <f>HYPERLINK("http://digipan.lumentumllc.com/apps/getLink/index.php?t=PropLink&amp;p=5244036","PL")</f>
        <v>PL</v>
      </c>
      <c r="B1983" s="1" t="str">
        <f>HYPERLINK("http://digipan.lumentumllc.com/apps/getLink/index.php?t=TaxLink&amp;p=5244036","TL")</f>
        <v>TL</v>
      </c>
      <c r="C1983" s="1" t="str">
        <f>HYPERLINK("http://digipan.lumentumllc.com/apps/getMap/index.php?p=5244036","Map")</f>
        <v>Map</v>
      </c>
      <c r="E1983" t="s">
        <v>177</v>
      </c>
      <c r="F1983" t="s">
        <v>178</v>
      </c>
      <c r="L1983" t="s">
        <v>23483</v>
      </c>
      <c r="N1983" t="s">
        <v>23483</v>
      </c>
      <c r="O1983" t="s">
        <v>23483</v>
      </c>
      <c r="P1983" t="s">
        <v>23484</v>
      </c>
      <c r="Q1983" t="s">
        <v>23483</v>
      </c>
      <c r="V1983">
        <v>2264</v>
      </c>
      <c r="W1983">
        <v>7</v>
      </c>
      <c r="X1983">
        <v>2017</v>
      </c>
      <c r="Y1983">
        <v>2018</v>
      </c>
      <c r="Z1983">
        <v>7682.43</v>
      </c>
      <c r="AB1983" t="s">
        <v>181</v>
      </c>
      <c r="AC1983" t="s">
        <v>202</v>
      </c>
      <c r="AD1983" t="s">
        <v>183</v>
      </c>
      <c r="AE1983">
        <v>1</v>
      </c>
      <c r="AF1983">
        <v>6</v>
      </c>
      <c r="AG1983" t="s">
        <v>322</v>
      </c>
      <c r="AH1983">
        <v>83</v>
      </c>
      <c r="AI1983">
        <v>7815.14</v>
      </c>
      <c r="AJ1983">
        <v>390.76</v>
      </c>
      <c r="AK1983">
        <v>8205.9</v>
      </c>
      <c r="AL1983">
        <v>459631</v>
      </c>
      <c r="AM1983">
        <v>404778</v>
      </c>
      <c r="AN1983">
        <v>54853</v>
      </c>
      <c r="AO1983">
        <v>7201</v>
      </c>
      <c r="AP1983">
        <v>2016</v>
      </c>
      <c r="AQ1983">
        <v>1.67</v>
      </c>
      <c r="AR1983">
        <v>1.79</v>
      </c>
      <c r="AS1983" t="s">
        <v>23485</v>
      </c>
      <c r="AT1983" t="s">
        <v>15040</v>
      </c>
      <c r="AU1983" t="s">
        <v>177</v>
      </c>
      <c r="AV1983" t="s">
        <v>371</v>
      </c>
      <c r="AW1983" t="s">
        <v>182</v>
      </c>
      <c r="AX1983">
        <v>48</v>
      </c>
      <c r="AY1983" t="s">
        <v>5663</v>
      </c>
      <c r="AZ1983" t="s">
        <v>1162</v>
      </c>
      <c r="BA1983" t="s">
        <v>5947</v>
      </c>
      <c r="BB1983" t="s">
        <v>191</v>
      </c>
      <c r="BC1983" t="s">
        <v>182</v>
      </c>
      <c r="BD1983" t="s">
        <v>182</v>
      </c>
      <c r="BE1983" t="s">
        <v>16664</v>
      </c>
      <c r="BF1983">
        <v>1</v>
      </c>
      <c r="BG1983">
        <v>0</v>
      </c>
      <c r="BH1983">
        <v>1989</v>
      </c>
      <c r="BI1983" t="s">
        <v>23486</v>
      </c>
      <c r="BJ1983" t="s">
        <v>194</v>
      </c>
      <c r="BK1983" t="s">
        <v>3643</v>
      </c>
      <c r="BL1983" t="s">
        <v>199</v>
      </c>
      <c r="BM1983" t="s">
        <v>286</v>
      </c>
      <c r="BN1983" t="s">
        <v>182</v>
      </c>
      <c r="BO1983" t="s">
        <v>198</v>
      </c>
      <c r="BP1983" t="s">
        <v>198</v>
      </c>
      <c r="BQ1983" t="s">
        <v>198</v>
      </c>
      <c r="BR1983" t="s">
        <v>198</v>
      </c>
      <c r="BS1983" t="s">
        <v>198</v>
      </c>
      <c r="BT1983" t="s">
        <v>198</v>
      </c>
      <c r="BU1983" t="s">
        <v>182</v>
      </c>
      <c r="BV1983" t="s">
        <v>198</v>
      </c>
      <c r="BW1983" t="s">
        <v>198</v>
      </c>
      <c r="BX1983" t="s">
        <v>199</v>
      </c>
      <c r="BY1983" t="s">
        <v>198</v>
      </c>
      <c r="BZ1983" t="s">
        <v>199</v>
      </c>
      <c r="CA1983" t="s">
        <v>199</v>
      </c>
      <c r="CB1983" t="s">
        <v>23487</v>
      </c>
      <c r="CC1983" t="s">
        <v>201</v>
      </c>
      <c r="CD1983" t="s">
        <v>202</v>
      </c>
      <c r="CE1983" t="s">
        <v>23488</v>
      </c>
      <c r="CF1983" t="s">
        <v>5331</v>
      </c>
      <c r="CG1983" t="s">
        <v>177</v>
      </c>
      <c r="CH1983" t="s">
        <v>5332</v>
      </c>
      <c r="CI1983" t="s">
        <v>23489</v>
      </c>
      <c r="CJ1983" t="s">
        <v>422</v>
      </c>
      <c r="CK1983" t="s">
        <v>232</v>
      </c>
      <c r="CL1983" t="s">
        <v>233</v>
      </c>
      <c r="CM1983" t="s">
        <v>23490</v>
      </c>
      <c r="CN1983" t="s">
        <v>235</v>
      </c>
      <c r="CO1983" t="s">
        <v>183</v>
      </c>
      <c r="CP1983" t="s">
        <v>266</v>
      </c>
      <c r="CS1983" t="s">
        <v>198</v>
      </c>
      <c r="CT1983" t="s">
        <v>16370</v>
      </c>
      <c r="CU1983" t="s">
        <v>292</v>
      </c>
      <c r="CV1983" t="s">
        <v>293</v>
      </c>
      <c r="CW1983" t="s">
        <v>23491</v>
      </c>
      <c r="CX1983" t="s">
        <v>235</v>
      </c>
      <c r="CY1983" t="s">
        <v>183</v>
      </c>
      <c r="CZ1983" t="s">
        <v>211</v>
      </c>
      <c r="DA1983" t="s">
        <v>298</v>
      </c>
      <c r="DC1983" t="s">
        <v>1641</v>
      </c>
      <c r="DD1983" t="s">
        <v>23492</v>
      </c>
      <c r="DE1983" t="s">
        <v>273</v>
      </c>
      <c r="DF1983" t="s">
        <v>274</v>
      </c>
      <c r="DG1983" t="s">
        <v>23493</v>
      </c>
      <c r="DH1983" t="s">
        <v>235</v>
      </c>
      <c r="DI1983" t="s">
        <v>183</v>
      </c>
      <c r="DJ1983" t="s">
        <v>211</v>
      </c>
      <c r="DK1983" t="s">
        <v>270</v>
      </c>
      <c r="DL1983" t="s">
        <v>271</v>
      </c>
      <c r="DM1983" t="s">
        <v>4984</v>
      </c>
      <c r="DN1983" t="s">
        <v>15716</v>
      </c>
      <c r="DO1983" t="s">
        <v>302</v>
      </c>
      <c r="DP1983" t="s">
        <v>303</v>
      </c>
      <c r="DQ1983" t="s">
        <v>23494</v>
      </c>
      <c r="DR1983" t="s">
        <v>235</v>
      </c>
      <c r="DS1983" t="s">
        <v>183</v>
      </c>
      <c r="DT1983" t="s">
        <v>211</v>
      </c>
      <c r="DV1983" t="s">
        <v>271</v>
      </c>
      <c r="DW1983" t="s">
        <v>198</v>
      </c>
      <c r="DX1983" t="s">
        <v>2406</v>
      </c>
      <c r="DY1983" t="s">
        <v>238</v>
      </c>
      <c r="DZ1983" t="s">
        <v>239</v>
      </c>
      <c r="EA1983" t="s">
        <v>23495</v>
      </c>
      <c r="EB1983" t="s">
        <v>927</v>
      </c>
      <c r="EC1983" t="s">
        <v>183</v>
      </c>
      <c r="ED1983" t="s">
        <v>211</v>
      </c>
      <c r="EE1983" t="s">
        <v>298</v>
      </c>
      <c r="EG1983" t="s">
        <v>1815</v>
      </c>
      <c r="EH1983" t="s">
        <v>23496</v>
      </c>
      <c r="EI1983" t="s">
        <v>346</v>
      </c>
      <c r="EJ1983" t="s">
        <v>347</v>
      </c>
      <c r="EK1983" t="s">
        <v>23497</v>
      </c>
      <c r="EL1983" t="s">
        <v>247</v>
      </c>
      <c r="EM1983" t="s">
        <v>183</v>
      </c>
      <c r="EN1983" t="s">
        <v>211</v>
      </c>
      <c r="EO1983" t="s">
        <v>768</v>
      </c>
      <c r="EQ1983" t="s">
        <v>2342</v>
      </c>
      <c r="ER1983" t="s">
        <v>22342</v>
      </c>
      <c r="ES1983" t="s">
        <v>207</v>
      </c>
      <c r="ET1983" t="s">
        <v>208</v>
      </c>
      <c r="EU1983" t="s">
        <v>23498</v>
      </c>
      <c r="EV1983" t="s">
        <v>833</v>
      </c>
      <c r="EW1983" t="s">
        <v>183</v>
      </c>
      <c r="EX1983" t="s">
        <v>211</v>
      </c>
      <c r="EY1983" t="s">
        <v>298</v>
      </c>
      <c r="FA1983" t="s">
        <v>1167</v>
      </c>
      <c r="FK1983" t="s">
        <v>198</v>
      </c>
      <c r="FU1983" t="s">
        <v>198</v>
      </c>
    </row>
    <row r="1984" spans="1:177">
      <c r="A1984" s="1" t="str">
        <f>HYPERLINK("http://digipan.lumentumllc.com/apps/getLink/index.php?t=PropLink&amp;p=15727283","PL")</f>
        <v>PL</v>
      </c>
      <c r="B1984" s="1" t="str">
        <f>HYPERLINK("http://digipan.lumentumllc.com/apps/getLink/index.php?t=TaxLink&amp;p=15727283","TL")</f>
        <v>TL</v>
      </c>
      <c r="C1984" s="1" t="str">
        <f>HYPERLINK("http://digipan.lumentumllc.com/apps/getMap/index.php?p=15727283","Map")</f>
        <v>Map</v>
      </c>
      <c r="E1984" t="s">
        <v>177</v>
      </c>
      <c r="F1984" t="s">
        <v>178</v>
      </c>
      <c r="L1984" t="s">
        <v>23499</v>
      </c>
      <c r="N1984" t="s">
        <v>23499</v>
      </c>
      <c r="O1984" t="s">
        <v>23499</v>
      </c>
      <c r="Q1984" t="s">
        <v>23499</v>
      </c>
      <c r="V1984">
        <v>2266</v>
      </c>
      <c r="W1984">
        <v>7</v>
      </c>
      <c r="X1984">
        <v>2017</v>
      </c>
      <c r="Y1984">
        <v>2018</v>
      </c>
      <c r="Z1984">
        <v>1648.63</v>
      </c>
      <c r="AG1984" t="s">
        <v>184</v>
      </c>
      <c r="AH1984">
        <v>0</v>
      </c>
      <c r="AK1984">
        <v>0</v>
      </c>
      <c r="AL1984">
        <v>75000</v>
      </c>
      <c r="AM1984">
        <v>75000</v>
      </c>
      <c r="AN1984">
        <v>0</v>
      </c>
      <c r="AO1984">
        <v>1471</v>
      </c>
      <c r="AP1984">
        <v>2016</v>
      </c>
      <c r="AQ1984">
        <v>2.2000000000000002</v>
      </c>
      <c r="AS1984" t="s">
        <v>23500</v>
      </c>
      <c r="AT1984" t="s">
        <v>15040</v>
      </c>
      <c r="AU1984" t="s">
        <v>177</v>
      </c>
      <c r="AV1984" t="s">
        <v>371</v>
      </c>
      <c r="AW1984" t="s">
        <v>182</v>
      </c>
      <c r="AX1984">
        <v>0</v>
      </c>
      <c r="AY1984" t="s">
        <v>312</v>
      </c>
      <c r="AZ1984" t="s">
        <v>199</v>
      </c>
      <c r="BA1984" t="s">
        <v>313</v>
      </c>
      <c r="BB1984" t="s">
        <v>191</v>
      </c>
      <c r="BC1984" t="s">
        <v>182</v>
      </c>
      <c r="BD1984" t="s">
        <v>182</v>
      </c>
      <c r="BE1984" t="s">
        <v>3861</v>
      </c>
      <c r="BF1984">
        <v>0</v>
      </c>
      <c r="BG1984">
        <v>0</v>
      </c>
      <c r="BH1984">
        <v>0</v>
      </c>
      <c r="BI1984" t="s">
        <v>199</v>
      </c>
      <c r="BJ1984" t="s">
        <v>396</v>
      </c>
      <c r="BL1984" t="s">
        <v>23501</v>
      </c>
      <c r="BM1984" t="s">
        <v>232</v>
      </c>
      <c r="BN1984" t="s">
        <v>182</v>
      </c>
      <c r="BO1984" t="s">
        <v>198</v>
      </c>
      <c r="BP1984" t="s">
        <v>198</v>
      </c>
      <c r="BQ1984" t="s">
        <v>198</v>
      </c>
      <c r="BR1984" t="s">
        <v>198</v>
      </c>
      <c r="BS1984" t="s">
        <v>198</v>
      </c>
      <c r="BT1984" t="s">
        <v>198</v>
      </c>
      <c r="BU1984" t="s">
        <v>182</v>
      </c>
      <c r="BV1984" t="s">
        <v>198</v>
      </c>
      <c r="BW1984" t="s">
        <v>198</v>
      </c>
      <c r="BX1984" t="s">
        <v>199</v>
      </c>
      <c r="BY1984" t="s">
        <v>198</v>
      </c>
      <c r="BZ1984" t="s">
        <v>199</v>
      </c>
      <c r="CA1984" t="s">
        <v>199</v>
      </c>
      <c r="CB1984" t="s">
        <v>23502</v>
      </c>
      <c r="CC1984" t="s">
        <v>201</v>
      </c>
      <c r="CD1984" t="s">
        <v>202</v>
      </c>
      <c r="CE1984" t="s">
        <v>23503</v>
      </c>
      <c r="CF1984" t="s">
        <v>413</v>
      </c>
      <c r="CG1984" t="s">
        <v>177</v>
      </c>
      <c r="CH1984" t="s">
        <v>7604</v>
      </c>
      <c r="CI1984" t="s">
        <v>18498</v>
      </c>
      <c r="CS1984" t="s">
        <v>198</v>
      </c>
      <c r="DC1984" t="s">
        <v>198</v>
      </c>
      <c r="DM1984" t="s">
        <v>198</v>
      </c>
      <c r="DW1984" t="s">
        <v>198</v>
      </c>
      <c r="EG1984" t="s">
        <v>198</v>
      </c>
      <c r="EQ1984" t="s">
        <v>198</v>
      </c>
      <c r="FA1984" t="s">
        <v>198</v>
      </c>
      <c r="FK1984" t="s">
        <v>198</v>
      </c>
      <c r="FU1984" t="s">
        <v>198</v>
      </c>
    </row>
    <row r="1985" spans="1:177">
      <c r="A1985" s="1" t="str">
        <f>HYPERLINK("http://digipan.lumentumllc.com/apps/getLink/index.php?t=PropLink&amp;p=15727369","PL")</f>
        <v>PL</v>
      </c>
      <c r="B1985" s="1" t="str">
        <f>HYPERLINK("http://digipan.lumentumllc.com/apps/getLink/index.php?t=TaxLink&amp;p=15727369","TL")</f>
        <v>TL</v>
      </c>
      <c r="C1985" s="1" t="str">
        <f>HYPERLINK("http://digipan.lumentumllc.com/apps/getMap/index.php?p=15727369","Map")</f>
        <v>Map</v>
      </c>
      <c r="E1985" t="s">
        <v>177</v>
      </c>
      <c r="F1985" t="s">
        <v>178</v>
      </c>
      <c r="L1985" t="s">
        <v>23504</v>
      </c>
      <c r="N1985" t="s">
        <v>23504</v>
      </c>
      <c r="O1985" t="s">
        <v>23504</v>
      </c>
      <c r="Q1985" t="s">
        <v>23504</v>
      </c>
      <c r="V1985">
        <v>2268</v>
      </c>
      <c r="W1985">
        <v>7</v>
      </c>
      <c r="X1985">
        <v>2017</v>
      </c>
      <c r="Y1985">
        <v>2018</v>
      </c>
      <c r="Z1985">
        <v>4946.03</v>
      </c>
      <c r="AG1985" t="s">
        <v>184</v>
      </c>
      <c r="AH1985">
        <v>0</v>
      </c>
      <c r="AK1985">
        <v>0</v>
      </c>
      <c r="AL1985">
        <v>334513</v>
      </c>
      <c r="AM1985">
        <v>95000</v>
      </c>
      <c r="AN1985">
        <v>239513</v>
      </c>
      <c r="AO1985">
        <v>4630</v>
      </c>
      <c r="AP1985">
        <v>2016</v>
      </c>
      <c r="AQ1985">
        <v>1.48</v>
      </c>
      <c r="AS1985" t="s">
        <v>23505</v>
      </c>
      <c r="AT1985" t="s">
        <v>15040</v>
      </c>
      <c r="AU1985" t="s">
        <v>177</v>
      </c>
      <c r="AV1985" t="s">
        <v>371</v>
      </c>
      <c r="AW1985" t="s">
        <v>202</v>
      </c>
      <c r="AX1985">
        <v>1</v>
      </c>
      <c r="AY1985" t="s">
        <v>188</v>
      </c>
      <c r="AZ1985" t="s">
        <v>206</v>
      </c>
      <c r="BA1985" t="s">
        <v>355</v>
      </c>
      <c r="BB1985" t="s">
        <v>191</v>
      </c>
      <c r="BC1985" t="s">
        <v>182</v>
      </c>
      <c r="BD1985" t="s">
        <v>182</v>
      </c>
      <c r="BE1985" t="s">
        <v>7188</v>
      </c>
      <c r="BF1985">
        <v>1</v>
      </c>
      <c r="BG1985">
        <v>1</v>
      </c>
      <c r="BH1985">
        <v>1993</v>
      </c>
      <c r="BI1985" t="s">
        <v>21690</v>
      </c>
      <c r="BJ1985" t="s">
        <v>396</v>
      </c>
      <c r="BK1985" t="s">
        <v>195</v>
      </c>
      <c r="BL1985" t="s">
        <v>23506</v>
      </c>
      <c r="BM1985" t="s">
        <v>292</v>
      </c>
      <c r="BN1985" t="s">
        <v>182</v>
      </c>
      <c r="BO1985" t="s">
        <v>4813</v>
      </c>
      <c r="BP1985" t="s">
        <v>19896</v>
      </c>
      <c r="BQ1985" t="s">
        <v>562</v>
      </c>
      <c r="BR1985" t="s">
        <v>1300</v>
      </c>
      <c r="BS1985" t="s">
        <v>198</v>
      </c>
      <c r="BT1985" t="s">
        <v>9981</v>
      </c>
      <c r="BU1985" t="s">
        <v>182</v>
      </c>
      <c r="BV1985" t="s">
        <v>198</v>
      </c>
      <c r="BW1985" t="s">
        <v>198</v>
      </c>
      <c r="BX1985" t="s">
        <v>199</v>
      </c>
      <c r="BY1985" t="s">
        <v>198</v>
      </c>
      <c r="BZ1985" t="s">
        <v>199</v>
      </c>
      <c r="CA1985" t="s">
        <v>199</v>
      </c>
      <c r="CB1985" t="s">
        <v>23507</v>
      </c>
      <c r="CC1985" t="s">
        <v>201</v>
      </c>
      <c r="CD1985" t="s">
        <v>182</v>
      </c>
      <c r="CE1985" t="s">
        <v>23508</v>
      </c>
      <c r="CF1985" t="s">
        <v>5331</v>
      </c>
      <c r="CG1985" t="s">
        <v>177</v>
      </c>
      <c r="CH1985" t="s">
        <v>371</v>
      </c>
      <c r="CI1985" t="s">
        <v>5129</v>
      </c>
      <c r="CS1985" t="s">
        <v>198</v>
      </c>
      <c r="DC1985" t="s">
        <v>198</v>
      </c>
      <c r="DM1985" t="s">
        <v>198</v>
      </c>
      <c r="DW1985" t="s">
        <v>198</v>
      </c>
      <c r="EG1985" t="s">
        <v>198</v>
      </c>
      <c r="EQ1985" t="s">
        <v>198</v>
      </c>
      <c r="FA1985" t="s">
        <v>198</v>
      </c>
      <c r="FK1985" t="s">
        <v>198</v>
      </c>
      <c r="FU1985" t="s">
        <v>198</v>
      </c>
    </row>
    <row r="1986" spans="1:177">
      <c r="A1986" s="1" t="str">
        <f>HYPERLINK("http://digipan.lumentumllc.com/apps/getLink/index.php?t=PropLink&amp;p=7112276","PL")</f>
        <v>PL</v>
      </c>
      <c r="B1986" s="1" t="str">
        <f>HYPERLINK("http://digipan.lumentumllc.com/apps/getLink/index.php?t=TaxLink&amp;p=7112276","TL")</f>
        <v>TL</v>
      </c>
      <c r="C1986" s="1" t="str">
        <f>HYPERLINK("http://digipan.lumentumllc.com/apps/getMap/index.php?p=7112276","Map")</f>
        <v>Map</v>
      </c>
      <c r="E1986" t="s">
        <v>177</v>
      </c>
      <c r="F1986" t="s">
        <v>178</v>
      </c>
      <c r="L1986" t="s">
        <v>23509</v>
      </c>
      <c r="N1986" t="s">
        <v>23509</v>
      </c>
      <c r="O1986" t="s">
        <v>23509</v>
      </c>
      <c r="P1986" t="s">
        <v>23510</v>
      </c>
      <c r="Q1986" t="s">
        <v>23509</v>
      </c>
      <c r="V1986">
        <v>2270</v>
      </c>
      <c r="W1986">
        <v>7</v>
      </c>
      <c r="X1986">
        <v>2017</v>
      </c>
      <c r="Y1986">
        <v>2018</v>
      </c>
      <c r="Z1986">
        <v>1197.1400000000001</v>
      </c>
      <c r="AB1986" t="s">
        <v>181</v>
      </c>
      <c r="AC1986" t="s">
        <v>182</v>
      </c>
      <c r="AD1986" t="s">
        <v>183</v>
      </c>
      <c r="AE1986">
        <v>1</v>
      </c>
      <c r="AF1986">
        <v>0</v>
      </c>
      <c r="AG1986" t="s">
        <v>1200</v>
      </c>
      <c r="AH1986">
        <v>0</v>
      </c>
      <c r="AI1986">
        <v>1170.73</v>
      </c>
      <c r="AJ1986">
        <v>58.54</v>
      </c>
      <c r="AK1986">
        <v>1229.27</v>
      </c>
      <c r="AL1986">
        <v>70000</v>
      </c>
      <c r="AM1986">
        <v>70000</v>
      </c>
      <c r="AN1986">
        <v>0</v>
      </c>
      <c r="AO1986">
        <v>1058</v>
      </c>
      <c r="AP1986">
        <v>2016</v>
      </c>
      <c r="AQ1986">
        <v>1.71</v>
      </c>
      <c r="AR1986">
        <v>1.76</v>
      </c>
      <c r="AS1986" t="s">
        <v>23511</v>
      </c>
      <c r="AT1986" t="s">
        <v>15040</v>
      </c>
      <c r="AU1986" t="s">
        <v>177</v>
      </c>
      <c r="AV1986" t="s">
        <v>371</v>
      </c>
      <c r="AW1986" t="s">
        <v>182</v>
      </c>
      <c r="AX1986">
        <v>0</v>
      </c>
      <c r="AY1986" t="s">
        <v>312</v>
      </c>
      <c r="AZ1986" t="s">
        <v>199</v>
      </c>
      <c r="BA1986" t="s">
        <v>313</v>
      </c>
      <c r="BB1986" t="s">
        <v>191</v>
      </c>
      <c r="BC1986" t="s">
        <v>182</v>
      </c>
      <c r="BD1986" t="s">
        <v>182</v>
      </c>
      <c r="BE1986" t="s">
        <v>6008</v>
      </c>
      <c r="BF1986">
        <v>0</v>
      </c>
      <c r="BG1986">
        <v>0</v>
      </c>
      <c r="BH1986">
        <v>0</v>
      </c>
      <c r="BI1986" t="s">
        <v>199</v>
      </c>
      <c r="BJ1986" t="s">
        <v>315</v>
      </c>
      <c r="BL1986" t="s">
        <v>1109</v>
      </c>
      <c r="BM1986" t="s">
        <v>1041</v>
      </c>
      <c r="BN1986" t="s">
        <v>182</v>
      </c>
      <c r="BO1986" t="s">
        <v>198</v>
      </c>
      <c r="BP1986" t="s">
        <v>198</v>
      </c>
      <c r="BQ1986" t="s">
        <v>198</v>
      </c>
      <c r="BR1986" t="s">
        <v>198</v>
      </c>
      <c r="BS1986" t="s">
        <v>198</v>
      </c>
      <c r="BT1986" t="s">
        <v>198</v>
      </c>
      <c r="BU1986" t="s">
        <v>182</v>
      </c>
      <c r="BV1986" t="s">
        <v>198</v>
      </c>
      <c r="BW1986" t="s">
        <v>198</v>
      </c>
      <c r="BX1986" t="s">
        <v>199</v>
      </c>
      <c r="BY1986" t="s">
        <v>198</v>
      </c>
      <c r="BZ1986" t="s">
        <v>199</v>
      </c>
      <c r="CA1986" t="s">
        <v>199</v>
      </c>
      <c r="CB1986" t="s">
        <v>23512</v>
      </c>
      <c r="CC1986" t="s">
        <v>201</v>
      </c>
      <c r="CD1986" t="s">
        <v>182</v>
      </c>
      <c r="CE1986" t="s">
        <v>7825</v>
      </c>
      <c r="CF1986" t="s">
        <v>23513</v>
      </c>
      <c r="CG1986" t="s">
        <v>177</v>
      </c>
      <c r="CH1986" t="s">
        <v>23514</v>
      </c>
      <c r="CI1986" t="s">
        <v>2796</v>
      </c>
      <c r="CJ1986" t="s">
        <v>20697</v>
      </c>
      <c r="CK1986" t="s">
        <v>232</v>
      </c>
      <c r="CL1986" t="s">
        <v>233</v>
      </c>
      <c r="CM1986" t="s">
        <v>23515</v>
      </c>
      <c r="CN1986" t="s">
        <v>235</v>
      </c>
      <c r="CO1986" t="s">
        <v>183</v>
      </c>
      <c r="CP1986" t="s">
        <v>266</v>
      </c>
      <c r="CS1986" t="s">
        <v>198</v>
      </c>
      <c r="DC1986" t="s">
        <v>198</v>
      </c>
      <c r="DM1986" t="s">
        <v>198</v>
      </c>
      <c r="DW1986" t="s">
        <v>198</v>
      </c>
      <c r="EG1986" t="s">
        <v>198</v>
      </c>
      <c r="EQ1986" t="s">
        <v>198</v>
      </c>
      <c r="FA1986" t="s">
        <v>198</v>
      </c>
      <c r="FK1986" t="s">
        <v>198</v>
      </c>
      <c r="FU1986" t="s">
        <v>198</v>
      </c>
    </row>
    <row r="1987" spans="1:177">
      <c r="A1987" s="1" t="str">
        <f>HYPERLINK("http://digipan.lumentumllc.com/apps/getLink/index.php?t=PropLink&amp;p=6128633","PL")</f>
        <v>PL</v>
      </c>
      <c r="B1987" s="1" t="str">
        <f>HYPERLINK("http://digipan.lumentumllc.com/apps/getLink/index.php?t=TaxLink&amp;p=6128633","TL")</f>
        <v>TL</v>
      </c>
      <c r="C1987" s="1" t="str">
        <f>HYPERLINK("http://digipan.lumentumllc.com/apps/getMap/index.php?p=6128633","Map")</f>
        <v>Map</v>
      </c>
      <c r="E1987" t="s">
        <v>177</v>
      </c>
      <c r="F1987" t="s">
        <v>178</v>
      </c>
      <c r="L1987" t="s">
        <v>23516</v>
      </c>
      <c r="N1987" t="s">
        <v>23516</v>
      </c>
      <c r="O1987" t="s">
        <v>23516</v>
      </c>
      <c r="P1987" t="s">
        <v>23517</v>
      </c>
      <c r="Q1987" t="s">
        <v>23516</v>
      </c>
      <c r="V1987">
        <v>2271</v>
      </c>
      <c r="W1987">
        <v>7</v>
      </c>
      <c r="X1987">
        <v>2017</v>
      </c>
      <c r="Y1987">
        <v>2018</v>
      </c>
      <c r="Z1987">
        <v>1904.37</v>
      </c>
      <c r="AB1987" t="s">
        <v>181</v>
      </c>
      <c r="AC1987" t="s">
        <v>182</v>
      </c>
      <c r="AD1987" t="s">
        <v>183</v>
      </c>
      <c r="AE1987">
        <v>0</v>
      </c>
      <c r="AF1987">
        <v>2</v>
      </c>
      <c r="AG1987" t="s">
        <v>216</v>
      </c>
      <c r="AH1987">
        <v>100</v>
      </c>
      <c r="AK1987">
        <v>0</v>
      </c>
      <c r="AL1987">
        <v>112490</v>
      </c>
      <c r="AM1987">
        <v>50000</v>
      </c>
      <c r="AN1987">
        <v>62490</v>
      </c>
      <c r="AO1987">
        <v>845</v>
      </c>
      <c r="AP1987">
        <v>2016</v>
      </c>
      <c r="AQ1987">
        <v>1.69</v>
      </c>
      <c r="AS1987" t="s">
        <v>23518</v>
      </c>
      <c r="AT1987" t="s">
        <v>15040</v>
      </c>
      <c r="AU1987" t="s">
        <v>177</v>
      </c>
      <c r="AV1987" t="s">
        <v>371</v>
      </c>
      <c r="AW1987" t="s">
        <v>182</v>
      </c>
      <c r="AX1987">
        <v>1</v>
      </c>
      <c r="AY1987" t="s">
        <v>188</v>
      </c>
      <c r="AZ1987" t="s">
        <v>206</v>
      </c>
      <c r="BA1987" t="s">
        <v>355</v>
      </c>
      <c r="BB1987" t="s">
        <v>191</v>
      </c>
      <c r="BC1987" t="s">
        <v>182</v>
      </c>
      <c r="BD1987" t="s">
        <v>182</v>
      </c>
      <c r="BE1987" t="s">
        <v>11045</v>
      </c>
      <c r="BF1987">
        <v>1</v>
      </c>
      <c r="BG1987">
        <v>1</v>
      </c>
      <c r="BH1987">
        <v>1950</v>
      </c>
      <c r="BI1987" t="s">
        <v>11069</v>
      </c>
      <c r="BJ1987" t="s">
        <v>194</v>
      </c>
      <c r="BK1987" t="s">
        <v>195</v>
      </c>
      <c r="BL1987" t="s">
        <v>199</v>
      </c>
      <c r="BM1987" t="s">
        <v>286</v>
      </c>
      <c r="BN1987" t="s">
        <v>182</v>
      </c>
      <c r="BO1987" t="s">
        <v>198</v>
      </c>
      <c r="BP1987" t="s">
        <v>198</v>
      </c>
      <c r="BQ1987" t="s">
        <v>198</v>
      </c>
      <c r="BR1987" t="s">
        <v>198</v>
      </c>
      <c r="BS1987" t="s">
        <v>198</v>
      </c>
      <c r="BT1987" t="s">
        <v>198</v>
      </c>
      <c r="BU1987" t="s">
        <v>182</v>
      </c>
      <c r="BV1987" t="s">
        <v>198</v>
      </c>
      <c r="BW1987" t="s">
        <v>198</v>
      </c>
      <c r="BX1987" t="s">
        <v>199</v>
      </c>
      <c r="BY1987" t="s">
        <v>198</v>
      </c>
      <c r="BZ1987" t="s">
        <v>199</v>
      </c>
      <c r="CA1987" t="s">
        <v>199</v>
      </c>
      <c r="CB1987" t="s">
        <v>23519</v>
      </c>
      <c r="CC1987" t="s">
        <v>201</v>
      </c>
      <c r="CD1987" t="s">
        <v>202</v>
      </c>
      <c r="CE1987" t="s">
        <v>23518</v>
      </c>
      <c r="CF1987" t="s">
        <v>5331</v>
      </c>
      <c r="CG1987" t="s">
        <v>177</v>
      </c>
      <c r="CH1987" t="s">
        <v>371</v>
      </c>
      <c r="CI1987" t="s">
        <v>23520</v>
      </c>
      <c r="CJ1987" t="s">
        <v>17910</v>
      </c>
      <c r="CK1987" t="s">
        <v>273</v>
      </c>
      <c r="CL1987" t="s">
        <v>274</v>
      </c>
      <c r="CM1987" t="s">
        <v>23521</v>
      </c>
      <c r="CN1987" t="s">
        <v>235</v>
      </c>
      <c r="CO1987" t="s">
        <v>183</v>
      </c>
      <c r="CP1987" t="s">
        <v>211</v>
      </c>
      <c r="CQ1987" t="s">
        <v>298</v>
      </c>
      <c r="CS1987" t="s">
        <v>462</v>
      </c>
      <c r="CT1987" t="s">
        <v>2287</v>
      </c>
      <c r="CU1987" t="s">
        <v>238</v>
      </c>
      <c r="CV1987" t="s">
        <v>239</v>
      </c>
      <c r="CW1987" t="s">
        <v>23522</v>
      </c>
      <c r="CX1987" t="s">
        <v>235</v>
      </c>
      <c r="CY1987" t="s">
        <v>183</v>
      </c>
      <c r="CZ1987" t="s">
        <v>211</v>
      </c>
      <c r="DA1987" t="s">
        <v>342</v>
      </c>
      <c r="DC1987" t="s">
        <v>8421</v>
      </c>
      <c r="DM1987" t="s">
        <v>198</v>
      </c>
      <c r="DW1987" t="s">
        <v>198</v>
      </c>
      <c r="EG1987" t="s">
        <v>198</v>
      </c>
      <c r="EQ1987" t="s">
        <v>198</v>
      </c>
      <c r="FA1987" t="s">
        <v>198</v>
      </c>
      <c r="FK1987" t="s">
        <v>198</v>
      </c>
      <c r="FU1987" t="s">
        <v>198</v>
      </c>
    </row>
    <row r="1988" spans="1:177">
      <c r="A1988" s="1" t="str">
        <f>HYPERLINK("http://digipan.lumentumllc.com/apps/getLink/index.php?t=PropLink&amp;p=5244045","PL")</f>
        <v>PL</v>
      </c>
      <c r="B1988" s="1" t="str">
        <f>HYPERLINK("http://digipan.lumentumllc.com/apps/getLink/index.php?t=TaxLink&amp;p=5244045","TL")</f>
        <v>TL</v>
      </c>
      <c r="C1988" s="1" t="str">
        <f>HYPERLINK("http://digipan.lumentumllc.com/apps/getMap/index.php?p=5244045","Map")</f>
        <v>Map</v>
      </c>
      <c r="E1988" t="s">
        <v>177</v>
      </c>
      <c r="F1988" t="s">
        <v>178</v>
      </c>
      <c r="L1988" t="s">
        <v>23523</v>
      </c>
      <c r="N1988" t="s">
        <v>23523</v>
      </c>
      <c r="O1988" t="s">
        <v>23523</v>
      </c>
      <c r="P1988" t="s">
        <v>23524</v>
      </c>
      <c r="Q1988" t="s">
        <v>23523</v>
      </c>
      <c r="V1988">
        <v>2272</v>
      </c>
      <c r="W1988">
        <v>7</v>
      </c>
      <c r="X1988">
        <v>2017</v>
      </c>
      <c r="Y1988">
        <v>2018</v>
      </c>
      <c r="Z1988">
        <v>1598.99</v>
      </c>
      <c r="AB1988" t="s">
        <v>181</v>
      </c>
      <c r="AC1988" t="s">
        <v>182</v>
      </c>
      <c r="AD1988" t="s">
        <v>183</v>
      </c>
      <c r="AE1988">
        <v>0</v>
      </c>
      <c r="AF1988">
        <v>3</v>
      </c>
      <c r="AG1988" t="s">
        <v>381</v>
      </c>
      <c r="AH1988">
        <v>100</v>
      </c>
      <c r="AK1988">
        <v>0</v>
      </c>
      <c r="AL1988">
        <v>95000</v>
      </c>
      <c r="AM1988">
        <v>95000</v>
      </c>
      <c r="AN1988">
        <v>0</v>
      </c>
      <c r="AO1988">
        <v>1327</v>
      </c>
      <c r="AP1988">
        <v>2016</v>
      </c>
      <c r="AQ1988">
        <v>1.68</v>
      </c>
      <c r="AS1988" t="s">
        <v>23525</v>
      </c>
      <c r="AT1988" t="s">
        <v>15040</v>
      </c>
      <c r="AU1988" t="s">
        <v>177</v>
      </c>
      <c r="AV1988" t="s">
        <v>371</v>
      </c>
      <c r="AW1988" t="s">
        <v>182</v>
      </c>
      <c r="AX1988">
        <v>0</v>
      </c>
      <c r="AY1988" t="s">
        <v>312</v>
      </c>
      <c r="AZ1988" t="s">
        <v>199</v>
      </c>
      <c r="BA1988" t="s">
        <v>313</v>
      </c>
      <c r="BB1988" t="s">
        <v>191</v>
      </c>
      <c r="BC1988" t="s">
        <v>182</v>
      </c>
      <c r="BD1988" t="s">
        <v>182</v>
      </c>
      <c r="BE1988" t="s">
        <v>13050</v>
      </c>
      <c r="BF1988">
        <v>0</v>
      </c>
      <c r="BG1988">
        <v>0</v>
      </c>
      <c r="BH1988">
        <v>0</v>
      </c>
      <c r="BI1988" t="s">
        <v>199</v>
      </c>
      <c r="BJ1988" t="s">
        <v>315</v>
      </c>
      <c r="BL1988" t="s">
        <v>199</v>
      </c>
      <c r="BM1988" t="s">
        <v>559</v>
      </c>
      <c r="BN1988" t="s">
        <v>182</v>
      </c>
      <c r="BO1988" t="s">
        <v>23526</v>
      </c>
      <c r="BP1988" t="s">
        <v>23527</v>
      </c>
      <c r="BR1988" t="s">
        <v>1723</v>
      </c>
      <c r="BS1988" t="s">
        <v>23528</v>
      </c>
      <c r="BT1988" t="s">
        <v>198</v>
      </c>
      <c r="BU1988" t="s">
        <v>182</v>
      </c>
      <c r="BV1988" t="s">
        <v>198</v>
      </c>
      <c r="BW1988" t="s">
        <v>198</v>
      </c>
      <c r="BX1988" t="s">
        <v>199</v>
      </c>
      <c r="BY1988" t="s">
        <v>198</v>
      </c>
      <c r="BZ1988" t="s">
        <v>199</v>
      </c>
      <c r="CA1988" t="s">
        <v>199</v>
      </c>
      <c r="CB1988" t="s">
        <v>22908</v>
      </c>
      <c r="CC1988" t="s">
        <v>1407</v>
      </c>
      <c r="CD1988" t="s">
        <v>202</v>
      </c>
      <c r="CE1988" t="s">
        <v>22909</v>
      </c>
      <c r="CF1988" t="s">
        <v>5331</v>
      </c>
      <c r="CG1988" t="s">
        <v>177</v>
      </c>
      <c r="CH1988" t="s">
        <v>371</v>
      </c>
      <c r="CI1988" t="s">
        <v>15163</v>
      </c>
      <c r="CJ1988" t="s">
        <v>16348</v>
      </c>
      <c r="CK1988" t="s">
        <v>232</v>
      </c>
      <c r="CL1988" t="s">
        <v>233</v>
      </c>
      <c r="CM1988" t="s">
        <v>23529</v>
      </c>
      <c r="CN1988" t="s">
        <v>235</v>
      </c>
      <c r="CO1988" t="s">
        <v>183</v>
      </c>
      <c r="CP1988" t="s">
        <v>211</v>
      </c>
      <c r="CQ1988" t="s">
        <v>339</v>
      </c>
      <c r="CS1988" t="s">
        <v>1525</v>
      </c>
      <c r="CT1988" t="s">
        <v>16354</v>
      </c>
      <c r="CU1988" t="s">
        <v>273</v>
      </c>
      <c r="CV1988" t="s">
        <v>274</v>
      </c>
      <c r="CW1988" t="s">
        <v>23530</v>
      </c>
      <c r="CX1988" t="s">
        <v>235</v>
      </c>
      <c r="CY1988" t="s">
        <v>183</v>
      </c>
      <c r="CZ1988" t="s">
        <v>211</v>
      </c>
      <c r="DA1988" t="s">
        <v>206</v>
      </c>
      <c r="DC1988" t="s">
        <v>12258</v>
      </c>
      <c r="DD1988" t="s">
        <v>23531</v>
      </c>
      <c r="DE1988" t="s">
        <v>346</v>
      </c>
      <c r="DF1988" t="s">
        <v>347</v>
      </c>
      <c r="DG1988" t="s">
        <v>23532</v>
      </c>
      <c r="DH1988" t="s">
        <v>440</v>
      </c>
      <c r="DI1988" t="s">
        <v>183</v>
      </c>
      <c r="DJ1988" t="s">
        <v>211</v>
      </c>
      <c r="DK1988" t="s">
        <v>345</v>
      </c>
      <c r="DM1988" t="s">
        <v>15967</v>
      </c>
      <c r="DW1988" t="s">
        <v>198</v>
      </c>
      <c r="EG1988" t="s">
        <v>198</v>
      </c>
      <c r="EQ1988" t="s">
        <v>198</v>
      </c>
      <c r="FA1988" t="s">
        <v>198</v>
      </c>
      <c r="FK1988" t="s">
        <v>198</v>
      </c>
      <c r="FU1988" t="s">
        <v>198</v>
      </c>
    </row>
    <row r="1989" spans="1:177">
      <c r="A1989" s="1" t="str">
        <f>HYPERLINK("http://digipan.lumentumllc.com/apps/getLink/index.php?t=PropLink&amp;p=15727594","PL")</f>
        <v>PL</v>
      </c>
      <c r="B1989" s="1" t="str">
        <f>HYPERLINK("http://digipan.lumentumllc.com/apps/getLink/index.php?t=TaxLink&amp;p=15727594","TL")</f>
        <v>TL</v>
      </c>
      <c r="C1989" s="1" t="str">
        <f>HYPERLINK("http://digipan.lumentumllc.com/apps/getMap/index.php?p=15727594","Map")</f>
        <v>Map</v>
      </c>
      <c r="E1989" t="s">
        <v>177</v>
      </c>
      <c r="F1989" t="s">
        <v>178</v>
      </c>
      <c r="L1989" t="s">
        <v>23533</v>
      </c>
      <c r="N1989" t="s">
        <v>23533</v>
      </c>
      <c r="O1989" t="s">
        <v>23533</v>
      </c>
      <c r="Q1989" t="s">
        <v>23533</v>
      </c>
      <c r="V1989">
        <v>2273</v>
      </c>
      <c r="W1989">
        <v>7</v>
      </c>
      <c r="X1989">
        <v>2017</v>
      </c>
      <c r="Y1989">
        <v>2018</v>
      </c>
      <c r="Z1989">
        <v>6833.31</v>
      </c>
      <c r="AG1989" t="s">
        <v>184</v>
      </c>
      <c r="AH1989">
        <v>0</v>
      </c>
      <c r="AK1989">
        <v>0</v>
      </c>
      <c r="AL1989">
        <v>412793</v>
      </c>
      <c r="AM1989">
        <v>95000</v>
      </c>
      <c r="AN1989">
        <v>317793</v>
      </c>
      <c r="AO1989">
        <v>5755</v>
      </c>
      <c r="AP1989">
        <v>2016</v>
      </c>
      <c r="AQ1989">
        <v>1.66</v>
      </c>
      <c r="AS1989" t="s">
        <v>23534</v>
      </c>
      <c r="AT1989" t="s">
        <v>15040</v>
      </c>
      <c r="AU1989" t="s">
        <v>177</v>
      </c>
      <c r="AV1989" t="s">
        <v>371</v>
      </c>
      <c r="AW1989" t="s">
        <v>182</v>
      </c>
      <c r="AX1989">
        <v>1</v>
      </c>
      <c r="AY1989" t="s">
        <v>188</v>
      </c>
      <c r="AZ1989" t="s">
        <v>206</v>
      </c>
      <c r="BA1989" t="s">
        <v>355</v>
      </c>
      <c r="BB1989" t="s">
        <v>191</v>
      </c>
      <c r="BC1989" t="s">
        <v>182</v>
      </c>
      <c r="BD1989" t="s">
        <v>182</v>
      </c>
      <c r="BE1989" t="s">
        <v>6085</v>
      </c>
      <c r="BF1989">
        <v>2</v>
      </c>
      <c r="BG1989">
        <v>2</v>
      </c>
      <c r="BH1989">
        <v>1999</v>
      </c>
      <c r="BI1989" t="s">
        <v>23535</v>
      </c>
      <c r="BJ1989" t="s">
        <v>396</v>
      </c>
      <c r="BK1989" t="s">
        <v>195</v>
      </c>
      <c r="BL1989" t="s">
        <v>23536</v>
      </c>
      <c r="BM1989" t="s">
        <v>238</v>
      </c>
      <c r="BN1989" t="s">
        <v>182</v>
      </c>
      <c r="BO1989" t="s">
        <v>18312</v>
      </c>
      <c r="BP1989" t="s">
        <v>12192</v>
      </c>
      <c r="BQ1989" t="s">
        <v>1520</v>
      </c>
      <c r="BR1989" t="s">
        <v>563</v>
      </c>
      <c r="BS1989" t="s">
        <v>198</v>
      </c>
      <c r="BT1989" t="s">
        <v>11452</v>
      </c>
      <c r="BU1989" t="s">
        <v>182</v>
      </c>
      <c r="BV1989" t="s">
        <v>198</v>
      </c>
      <c r="BW1989" t="s">
        <v>198</v>
      </c>
      <c r="BX1989" t="s">
        <v>199</v>
      </c>
      <c r="BY1989" t="s">
        <v>198</v>
      </c>
      <c r="BZ1989" t="s">
        <v>199</v>
      </c>
      <c r="CA1989" t="s">
        <v>199</v>
      </c>
      <c r="CB1989" t="s">
        <v>23537</v>
      </c>
      <c r="CC1989" t="s">
        <v>201</v>
      </c>
      <c r="CD1989" t="s">
        <v>202</v>
      </c>
      <c r="CE1989" t="s">
        <v>23538</v>
      </c>
      <c r="CF1989" t="s">
        <v>23539</v>
      </c>
      <c r="CG1989" t="s">
        <v>177</v>
      </c>
      <c r="CH1989" t="s">
        <v>371</v>
      </c>
      <c r="CI1989" t="s">
        <v>10240</v>
      </c>
      <c r="CS1989" t="s">
        <v>198</v>
      </c>
      <c r="DC1989" t="s">
        <v>198</v>
      </c>
      <c r="DM1989" t="s">
        <v>198</v>
      </c>
      <c r="DW1989" t="s">
        <v>198</v>
      </c>
      <c r="EG1989" t="s">
        <v>198</v>
      </c>
      <c r="EQ1989" t="s">
        <v>198</v>
      </c>
      <c r="FA1989" t="s">
        <v>198</v>
      </c>
      <c r="FK1989" t="s">
        <v>198</v>
      </c>
      <c r="FU1989" t="s">
        <v>198</v>
      </c>
    </row>
    <row r="1990" spans="1:177">
      <c r="A1990" s="1" t="str">
        <f>HYPERLINK("http://digipan.lumentumllc.com/apps/getLink/index.php?t=PropLink&amp;p=15727612","PL")</f>
        <v>PL</v>
      </c>
      <c r="B1990" s="1" t="str">
        <f>HYPERLINK("http://digipan.lumentumllc.com/apps/getLink/index.php?t=TaxLink&amp;p=15727612","TL")</f>
        <v>TL</v>
      </c>
      <c r="C1990" s="1" t="str">
        <f>HYPERLINK("http://digipan.lumentumllc.com/apps/getMap/index.php?p=15727612","Map")</f>
        <v>Map</v>
      </c>
      <c r="E1990" t="s">
        <v>177</v>
      </c>
      <c r="F1990" t="s">
        <v>178</v>
      </c>
      <c r="L1990" t="s">
        <v>23540</v>
      </c>
      <c r="N1990" t="s">
        <v>23540</v>
      </c>
      <c r="O1990" t="s">
        <v>23540</v>
      </c>
      <c r="Q1990" t="s">
        <v>23540</v>
      </c>
      <c r="V1990">
        <v>2274</v>
      </c>
      <c r="W1990">
        <v>7</v>
      </c>
      <c r="X1990">
        <v>2017</v>
      </c>
      <c r="Y1990">
        <v>2018</v>
      </c>
      <c r="Z1990">
        <v>3647.22</v>
      </c>
      <c r="AG1990" t="s">
        <v>184</v>
      </c>
      <c r="AH1990">
        <v>0</v>
      </c>
      <c r="AK1990">
        <v>0</v>
      </c>
      <c r="AL1990">
        <v>217199</v>
      </c>
      <c r="AM1990">
        <v>139635</v>
      </c>
      <c r="AN1990">
        <v>77564</v>
      </c>
      <c r="AO1990">
        <v>3398</v>
      </c>
      <c r="AP1990">
        <v>2016</v>
      </c>
      <c r="AQ1990">
        <v>1.68</v>
      </c>
      <c r="AS1990" t="s">
        <v>23541</v>
      </c>
      <c r="AT1990" t="s">
        <v>15040</v>
      </c>
      <c r="AU1990" t="s">
        <v>177</v>
      </c>
      <c r="AV1990" t="s">
        <v>371</v>
      </c>
      <c r="AW1990" t="s">
        <v>182</v>
      </c>
      <c r="AX1990">
        <v>1</v>
      </c>
      <c r="AY1990" t="s">
        <v>188</v>
      </c>
      <c r="AZ1990" t="s">
        <v>206</v>
      </c>
      <c r="BA1990" t="s">
        <v>355</v>
      </c>
      <c r="BB1990" t="s">
        <v>191</v>
      </c>
      <c r="BC1990" t="s">
        <v>182</v>
      </c>
      <c r="BD1990" t="s">
        <v>182</v>
      </c>
      <c r="BE1990" t="s">
        <v>23542</v>
      </c>
      <c r="BF1990">
        <v>1</v>
      </c>
      <c r="BG1990">
        <v>1</v>
      </c>
      <c r="BH1990">
        <v>1945</v>
      </c>
      <c r="BI1990" t="s">
        <v>10510</v>
      </c>
      <c r="BJ1990" t="s">
        <v>285</v>
      </c>
      <c r="BK1990" t="s">
        <v>195</v>
      </c>
      <c r="BL1990" t="s">
        <v>199</v>
      </c>
      <c r="BM1990" t="s">
        <v>302</v>
      </c>
      <c r="BN1990" t="s">
        <v>182</v>
      </c>
      <c r="BO1990" t="s">
        <v>198</v>
      </c>
      <c r="BP1990" t="s">
        <v>198</v>
      </c>
      <c r="BQ1990" t="s">
        <v>198</v>
      </c>
      <c r="BR1990" t="s">
        <v>198</v>
      </c>
      <c r="BS1990" t="s">
        <v>198</v>
      </c>
      <c r="BT1990" t="s">
        <v>198</v>
      </c>
      <c r="BU1990" t="s">
        <v>182</v>
      </c>
      <c r="BV1990" t="s">
        <v>198</v>
      </c>
      <c r="BW1990" t="s">
        <v>198</v>
      </c>
      <c r="BX1990" t="s">
        <v>199</v>
      </c>
      <c r="BY1990" t="s">
        <v>198</v>
      </c>
      <c r="BZ1990" t="s">
        <v>199</v>
      </c>
      <c r="CA1990" t="s">
        <v>199</v>
      </c>
      <c r="CB1990" t="s">
        <v>23543</v>
      </c>
      <c r="CC1990" t="s">
        <v>201</v>
      </c>
      <c r="CD1990" t="s">
        <v>182</v>
      </c>
      <c r="CE1990" t="s">
        <v>23007</v>
      </c>
      <c r="CF1990" t="s">
        <v>23008</v>
      </c>
      <c r="CG1990" t="s">
        <v>1602</v>
      </c>
      <c r="CH1990" t="s">
        <v>23009</v>
      </c>
      <c r="CI1990" t="s">
        <v>23544</v>
      </c>
      <c r="CS1990" t="s">
        <v>198</v>
      </c>
      <c r="DC1990" t="s">
        <v>198</v>
      </c>
      <c r="DM1990" t="s">
        <v>198</v>
      </c>
      <c r="DW1990" t="s">
        <v>198</v>
      </c>
      <c r="EG1990" t="s">
        <v>198</v>
      </c>
      <c r="EQ1990" t="s">
        <v>198</v>
      </c>
      <c r="FA1990" t="s">
        <v>198</v>
      </c>
      <c r="FK1990" t="s">
        <v>198</v>
      </c>
      <c r="FU1990" t="s">
        <v>198</v>
      </c>
    </row>
    <row r="1991" spans="1:177">
      <c r="A1991" s="1" t="str">
        <f>HYPERLINK("http://digipan.lumentumllc.com/apps/getLink/index.php?t=PropLink&amp;p=7112277","PL")</f>
        <v>PL</v>
      </c>
      <c r="B1991" s="1" t="str">
        <f>HYPERLINK("http://digipan.lumentumllc.com/apps/getLink/index.php?t=TaxLink&amp;p=7112277","TL")</f>
        <v>TL</v>
      </c>
      <c r="C1991" s="1" t="str">
        <f>HYPERLINK("http://digipan.lumentumllc.com/apps/getMap/index.php?p=7112277","Map")</f>
        <v>Map</v>
      </c>
      <c r="E1991" t="s">
        <v>177</v>
      </c>
      <c r="F1991" t="s">
        <v>178</v>
      </c>
      <c r="L1991" t="s">
        <v>23545</v>
      </c>
      <c r="N1991" t="s">
        <v>23545</v>
      </c>
      <c r="O1991" t="s">
        <v>23545</v>
      </c>
      <c r="P1991" t="s">
        <v>23546</v>
      </c>
      <c r="Q1991" t="s">
        <v>23545</v>
      </c>
      <c r="V1991">
        <v>2275</v>
      </c>
      <c r="W1991">
        <v>7</v>
      </c>
      <c r="X1991">
        <v>2017</v>
      </c>
      <c r="Y1991">
        <v>2018</v>
      </c>
      <c r="Z1991">
        <v>11190.29</v>
      </c>
      <c r="AB1991" t="s">
        <v>181</v>
      </c>
      <c r="AC1991" t="s">
        <v>182</v>
      </c>
      <c r="AD1991" t="s">
        <v>183</v>
      </c>
      <c r="AE1991">
        <v>0</v>
      </c>
      <c r="AF1991">
        <v>1</v>
      </c>
      <c r="AG1991" t="s">
        <v>821</v>
      </c>
      <c r="AH1991">
        <v>100</v>
      </c>
      <c r="AK1991">
        <v>0</v>
      </c>
      <c r="AL1991">
        <v>517665</v>
      </c>
      <c r="AM1991">
        <v>375000</v>
      </c>
      <c r="AN1991">
        <v>142665</v>
      </c>
      <c r="AO1991">
        <v>8813</v>
      </c>
      <c r="AP1991">
        <v>2016</v>
      </c>
      <c r="AQ1991">
        <v>2.16</v>
      </c>
      <c r="AS1991" t="s">
        <v>23547</v>
      </c>
      <c r="AT1991" t="s">
        <v>15040</v>
      </c>
      <c r="AU1991" t="s">
        <v>177</v>
      </c>
      <c r="AV1991" t="s">
        <v>371</v>
      </c>
      <c r="AW1991" t="s">
        <v>182</v>
      </c>
      <c r="AX1991">
        <v>21</v>
      </c>
      <c r="AY1991" t="s">
        <v>3641</v>
      </c>
      <c r="AZ1991" t="s">
        <v>345</v>
      </c>
      <c r="BA1991" t="s">
        <v>19026</v>
      </c>
      <c r="BB1991" t="s">
        <v>191</v>
      </c>
      <c r="BC1991" t="s">
        <v>182</v>
      </c>
      <c r="BD1991" t="s">
        <v>182</v>
      </c>
      <c r="BE1991" t="s">
        <v>1912</v>
      </c>
      <c r="BF1991">
        <v>1</v>
      </c>
      <c r="BG1991">
        <v>0</v>
      </c>
      <c r="BH1991">
        <v>1989</v>
      </c>
      <c r="BI1991" t="s">
        <v>23548</v>
      </c>
      <c r="BJ1991" t="s">
        <v>194</v>
      </c>
      <c r="BK1991" t="s">
        <v>195</v>
      </c>
      <c r="BL1991" t="s">
        <v>23549</v>
      </c>
      <c r="BM1991" t="s">
        <v>286</v>
      </c>
      <c r="BN1991" t="s">
        <v>182</v>
      </c>
      <c r="BO1991" t="s">
        <v>23550</v>
      </c>
      <c r="BP1991" t="s">
        <v>23551</v>
      </c>
      <c r="BS1991" t="s">
        <v>23552</v>
      </c>
      <c r="BT1991" t="s">
        <v>198</v>
      </c>
      <c r="BU1991" t="s">
        <v>182</v>
      </c>
      <c r="BV1991" t="s">
        <v>198</v>
      </c>
      <c r="BW1991" t="s">
        <v>198</v>
      </c>
      <c r="BX1991" t="s">
        <v>199</v>
      </c>
      <c r="BY1991" t="s">
        <v>198</v>
      </c>
      <c r="BZ1991" t="s">
        <v>199</v>
      </c>
      <c r="CA1991" t="s">
        <v>199</v>
      </c>
      <c r="CB1991" t="s">
        <v>23553</v>
      </c>
      <c r="CC1991" t="s">
        <v>201</v>
      </c>
      <c r="CD1991" t="s">
        <v>182</v>
      </c>
      <c r="CE1991" t="s">
        <v>23554</v>
      </c>
      <c r="CF1991" t="s">
        <v>8687</v>
      </c>
      <c r="CG1991" t="s">
        <v>177</v>
      </c>
      <c r="CH1991" t="s">
        <v>8688</v>
      </c>
      <c r="CI1991" t="s">
        <v>23555</v>
      </c>
      <c r="CJ1991" t="s">
        <v>20789</v>
      </c>
      <c r="CK1991" t="s">
        <v>292</v>
      </c>
      <c r="CL1991" t="s">
        <v>293</v>
      </c>
      <c r="CM1991" t="s">
        <v>23556</v>
      </c>
      <c r="CN1991" t="s">
        <v>235</v>
      </c>
      <c r="CO1991" t="s">
        <v>183</v>
      </c>
      <c r="CP1991" t="s">
        <v>211</v>
      </c>
      <c r="CQ1991" t="s">
        <v>298</v>
      </c>
      <c r="CS1991" t="s">
        <v>3495</v>
      </c>
      <c r="DC1991" t="s">
        <v>198</v>
      </c>
      <c r="DM1991" t="s">
        <v>198</v>
      </c>
      <c r="DW1991" t="s">
        <v>198</v>
      </c>
      <c r="EG1991" t="s">
        <v>198</v>
      </c>
      <c r="EQ1991" t="s">
        <v>198</v>
      </c>
      <c r="FA1991" t="s">
        <v>198</v>
      </c>
      <c r="FK1991" t="s">
        <v>198</v>
      </c>
      <c r="FU1991" t="s">
        <v>198</v>
      </c>
    </row>
    <row r="1992" spans="1:177">
      <c r="A1992" s="1" t="str">
        <f>HYPERLINK("http://digipan.lumentumllc.com/apps/getLink/index.php?t=PropLink&amp;p=6594019","PL")</f>
        <v>PL</v>
      </c>
      <c r="B1992" s="1" t="str">
        <f>HYPERLINK("http://digipan.lumentumllc.com/apps/getLink/index.php?t=TaxLink&amp;p=6594019","TL")</f>
        <v>TL</v>
      </c>
      <c r="C1992" s="1" t="str">
        <f>HYPERLINK("http://digipan.lumentumllc.com/apps/getMap/index.php?p=6594019","Map")</f>
        <v>Map</v>
      </c>
      <c r="E1992" t="s">
        <v>177</v>
      </c>
      <c r="F1992" t="s">
        <v>178</v>
      </c>
      <c r="L1992" t="s">
        <v>23557</v>
      </c>
      <c r="N1992" t="s">
        <v>23557</v>
      </c>
      <c r="O1992" t="s">
        <v>23557</v>
      </c>
      <c r="P1992" t="s">
        <v>23558</v>
      </c>
      <c r="Q1992" t="s">
        <v>23557</v>
      </c>
      <c r="V1992">
        <v>2276</v>
      </c>
      <c r="W1992">
        <v>7</v>
      </c>
      <c r="X1992">
        <v>2017</v>
      </c>
      <c r="Y1992">
        <v>2018</v>
      </c>
      <c r="Z1992">
        <v>608.52</v>
      </c>
      <c r="AB1992" t="s">
        <v>181</v>
      </c>
      <c r="AC1992" t="s">
        <v>182</v>
      </c>
      <c r="AD1992" t="s">
        <v>183</v>
      </c>
      <c r="AE1992">
        <v>1</v>
      </c>
      <c r="AF1992">
        <v>2</v>
      </c>
      <c r="AG1992" t="s">
        <v>363</v>
      </c>
      <c r="AH1992">
        <v>67</v>
      </c>
      <c r="AI1992">
        <v>564.66999999999996</v>
      </c>
      <c r="AJ1992">
        <v>28.23</v>
      </c>
      <c r="AK1992">
        <v>592.9</v>
      </c>
      <c r="AL1992">
        <v>66000</v>
      </c>
      <c r="AM1992">
        <v>66000</v>
      </c>
      <c r="AN1992">
        <v>0</v>
      </c>
      <c r="AO1992">
        <v>497</v>
      </c>
      <c r="AP1992">
        <v>2016</v>
      </c>
      <c r="AQ1992">
        <v>0.92</v>
      </c>
      <c r="AR1992">
        <v>0.9</v>
      </c>
      <c r="AS1992" t="s">
        <v>23559</v>
      </c>
      <c r="AT1992" t="s">
        <v>15040</v>
      </c>
      <c r="AU1992" t="s">
        <v>177</v>
      </c>
      <c r="AV1992" t="s">
        <v>371</v>
      </c>
      <c r="AW1992" t="s">
        <v>182</v>
      </c>
      <c r="AX1992">
        <v>0</v>
      </c>
      <c r="AY1992" t="s">
        <v>312</v>
      </c>
      <c r="AZ1992" t="s">
        <v>199</v>
      </c>
      <c r="BA1992" t="s">
        <v>313</v>
      </c>
      <c r="BB1992" t="s">
        <v>191</v>
      </c>
      <c r="BC1992" t="s">
        <v>182</v>
      </c>
      <c r="BD1992" t="s">
        <v>182</v>
      </c>
      <c r="BE1992" t="s">
        <v>12936</v>
      </c>
      <c r="BF1992">
        <v>0</v>
      </c>
      <c r="BG1992">
        <v>0</v>
      </c>
      <c r="BH1992">
        <v>0</v>
      </c>
      <c r="BI1992" t="s">
        <v>199</v>
      </c>
      <c r="BJ1992" t="s">
        <v>315</v>
      </c>
      <c r="BL1992" t="s">
        <v>199</v>
      </c>
      <c r="BM1992" t="s">
        <v>2269</v>
      </c>
      <c r="BN1992" t="s">
        <v>182</v>
      </c>
      <c r="BO1992" t="s">
        <v>198</v>
      </c>
      <c r="BP1992" t="s">
        <v>198</v>
      </c>
      <c r="BQ1992" t="s">
        <v>198</v>
      </c>
      <c r="BR1992" t="s">
        <v>198</v>
      </c>
      <c r="BS1992" t="s">
        <v>198</v>
      </c>
      <c r="BT1992" t="s">
        <v>198</v>
      </c>
      <c r="BU1992" t="s">
        <v>182</v>
      </c>
      <c r="BV1992" t="s">
        <v>198</v>
      </c>
      <c r="BW1992" t="s">
        <v>198</v>
      </c>
      <c r="BX1992" t="s">
        <v>199</v>
      </c>
      <c r="BY1992" t="s">
        <v>198</v>
      </c>
      <c r="BZ1992" t="s">
        <v>199</v>
      </c>
      <c r="CA1992" t="s">
        <v>199</v>
      </c>
      <c r="CB1992" t="s">
        <v>23560</v>
      </c>
      <c r="CC1992" t="s">
        <v>201</v>
      </c>
      <c r="CD1992" t="s">
        <v>182</v>
      </c>
      <c r="CE1992" t="s">
        <v>23561</v>
      </c>
      <c r="CF1992" t="s">
        <v>5331</v>
      </c>
      <c r="CG1992" t="s">
        <v>177</v>
      </c>
      <c r="CH1992" t="s">
        <v>371</v>
      </c>
      <c r="CI1992" t="s">
        <v>23562</v>
      </c>
      <c r="CJ1992" t="s">
        <v>16356</v>
      </c>
      <c r="CK1992" t="s">
        <v>232</v>
      </c>
      <c r="CL1992" t="s">
        <v>233</v>
      </c>
      <c r="CM1992" t="s">
        <v>23563</v>
      </c>
      <c r="CN1992" t="s">
        <v>235</v>
      </c>
      <c r="CO1992" t="s">
        <v>183</v>
      </c>
      <c r="CP1992" t="s">
        <v>266</v>
      </c>
      <c r="CS1992" t="s">
        <v>198</v>
      </c>
      <c r="CT1992" t="s">
        <v>533</v>
      </c>
      <c r="CU1992" t="s">
        <v>267</v>
      </c>
      <c r="CV1992" t="s">
        <v>268</v>
      </c>
      <c r="CW1992" t="s">
        <v>23564</v>
      </c>
      <c r="CX1992" t="s">
        <v>278</v>
      </c>
      <c r="CY1992" t="s">
        <v>183</v>
      </c>
      <c r="CZ1992" t="s">
        <v>211</v>
      </c>
      <c r="DA1992" t="s">
        <v>342</v>
      </c>
      <c r="DC1992" t="s">
        <v>5967</v>
      </c>
      <c r="DD1992" t="s">
        <v>16368</v>
      </c>
      <c r="DE1992" t="s">
        <v>273</v>
      </c>
      <c r="DF1992" t="s">
        <v>274</v>
      </c>
      <c r="DG1992" t="s">
        <v>23565</v>
      </c>
      <c r="DH1992" t="s">
        <v>235</v>
      </c>
      <c r="DI1992" t="s">
        <v>183</v>
      </c>
      <c r="DJ1992" t="s">
        <v>211</v>
      </c>
      <c r="DK1992" t="s">
        <v>345</v>
      </c>
      <c r="DM1992" t="s">
        <v>5967</v>
      </c>
      <c r="DW1992" t="s">
        <v>198</v>
      </c>
      <c r="EG1992" t="s">
        <v>198</v>
      </c>
      <c r="EQ1992" t="s">
        <v>198</v>
      </c>
      <c r="FA1992" t="s">
        <v>198</v>
      </c>
      <c r="FK1992" t="s">
        <v>198</v>
      </c>
      <c r="FU1992" t="s">
        <v>198</v>
      </c>
    </row>
    <row r="1993" spans="1:177">
      <c r="A1993" s="1" t="str">
        <f>HYPERLINK("http://digipan.lumentumllc.com/apps/getLink/index.php?t=PropLink&amp;p=6886563","PL")</f>
        <v>PL</v>
      </c>
      <c r="B1993" s="1" t="str">
        <f>HYPERLINK("http://digipan.lumentumllc.com/apps/getLink/index.php?t=TaxLink&amp;p=6886563","TL")</f>
        <v>TL</v>
      </c>
      <c r="C1993" s="1" t="str">
        <f>HYPERLINK("http://digipan.lumentumllc.com/apps/getMap/index.php?p=6886563","Map")</f>
        <v>Map</v>
      </c>
      <c r="E1993" t="s">
        <v>177</v>
      </c>
      <c r="F1993" t="s">
        <v>178</v>
      </c>
      <c r="L1993" t="s">
        <v>23566</v>
      </c>
      <c r="N1993" t="s">
        <v>23566</v>
      </c>
      <c r="O1993" t="s">
        <v>23566</v>
      </c>
      <c r="P1993" t="s">
        <v>23567</v>
      </c>
      <c r="Q1993" t="s">
        <v>23566</v>
      </c>
      <c r="V1993">
        <v>2278</v>
      </c>
      <c r="W1993">
        <v>7</v>
      </c>
      <c r="X1993">
        <v>2017</v>
      </c>
      <c r="Y1993">
        <v>2018</v>
      </c>
      <c r="Z1993">
        <v>1987.04</v>
      </c>
      <c r="AB1993" t="s">
        <v>181</v>
      </c>
      <c r="AC1993" t="s">
        <v>182</v>
      </c>
      <c r="AD1993" t="s">
        <v>183</v>
      </c>
      <c r="AE1993">
        <v>0</v>
      </c>
      <c r="AF1993">
        <v>1</v>
      </c>
      <c r="AG1993" t="s">
        <v>821</v>
      </c>
      <c r="AH1993">
        <v>100</v>
      </c>
      <c r="AK1993">
        <v>0</v>
      </c>
      <c r="AL1993">
        <v>142457</v>
      </c>
      <c r="AM1993">
        <v>50000</v>
      </c>
      <c r="AN1993">
        <v>92457</v>
      </c>
      <c r="AO1993">
        <v>960</v>
      </c>
      <c r="AP1993">
        <v>2016</v>
      </c>
      <c r="AQ1993">
        <v>1.39</v>
      </c>
      <c r="AS1993" t="s">
        <v>23568</v>
      </c>
      <c r="AT1993" t="s">
        <v>15040</v>
      </c>
      <c r="AU1993" t="s">
        <v>177</v>
      </c>
      <c r="AV1993" t="s">
        <v>371</v>
      </c>
      <c r="AW1993" t="s">
        <v>202</v>
      </c>
      <c r="AX1993">
        <v>1</v>
      </c>
      <c r="AY1993" t="s">
        <v>188</v>
      </c>
      <c r="AZ1993" t="s">
        <v>206</v>
      </c>
      <c r="BA1993" t="s">
        <v>355</v>
      </c>
      <c r="BB1993" t="s">
        <v>191</v>
      </c>
      <c r="BC1993" t="s">
        <v>182</v>
      </c>
      <c r="BD1993" t="s">
        <v>182</v>
      </c>
      <c r="BE1993" t="s">
        <v>3956</v>
      </c>
      <c r="BF1993">
        <v>1</v>
      </c>
      <c r="BG1993">
        <v>1</v>
      </c>
      <c r="BH1993">
        <v>1981</v>
      </c>
      <c r="BI1993" t="s">
        <v>9869</v>
      </c>
      <c r="BJ1993" t="s">
        <v>194</v>
      </c>
      <c r="BK1993" t="s">
        <v>195</v>
      </c>
      <c r="BL1993" t="s">
        <v>199</v>
      </c>
      <c r="BM1993" t="s">
        <v>3644</v>
      </c>
      <c r="BN1993" t="s">
        <v>182</v>
      </c>
      <c r="BO1993" t="s">
        <v>198</v>
      </c>
      <c r="BP1993" t="s">
        <v>198</v>
      </c>
      <c r="BQ1993" t="s">
        <v>198</v>
      </c>
      <c r="BR1993" t="s">
        <v>198</v>
      </c>
      <c r="BS1993" t="s">
        <v>198</v>
      </c>
      <c r="BT1993" t="s">
        <v>198</v>
      </c>
      <c r="BU1993" t="s">
        <v>182</v>
      </c>
      <c r="BV1993" t="s">
        <v>198</v>
      </c>
      <c r="BW1993" t="s">
        <v>198</v>
      </c>
      <c r="BX1993" t="s">
        <v>199</v>
      </c>
      <c r="BY1993" t="s">
        <v>198</v>
      </c>
      <c r="BZ1993" t="s">
        <v>199</v>
      </c>
      <c r="CA1993" t="s">
        <v>199</v>
      </c>
      <c r="CB1993" t="s">
        <v>23569</v>
      </c>
      <c r="CC1993" t="s">
        <v>201</v>
      </c>
      <c r="CD1993" t="s">
        <v>202</v>
      </c>
      <c r="CE1993" t="s">
        <v>23570</v>
      </c>
      <c r="CF1993" t="s">
        <v>5331</v>
      </c>
      <c r="CG1993" t="s">
        <v>177</v>
      </c>
      <c r="CH1993" t="s">
        <v>371</v>
      </c>
      <c r="CI1993" t="s">
        <v>4114</v>
      </c>
      <c r="CJ1993" t="s">
        <v>679</v>
      </c>
      <c r="CK1993" t="s">
        <v>267</v>
      </c>
      <c r="CL1993" t="s">
        <v>268</v>
      </c>
      <c r="CM1993" t="s">
        <v>23571</v>
      </c>
      <c r="CN1993" t="s">
        <v>235</v>
      </c>
      <c r="CO1993" t="s">
        <v>183</v>
      </c>
      <c r="CP1993" t="s">
        <v>211</v>
      </c>
      <c r="CQ1993" t="s">
        <v>342</v>
      </c>
      <c r="CS1993" t="s">
        <v>7428</v>
      </c>
      <c r="DC1993" t="s">
        <v>198</v>
      </c>
      <c r="DM1993" t="s">
        <v>198</v>
      </c>
      <c r="DW1993" t="s">
        <v>198</v>
      </c>
      <c r="EG1993" t="s">
        <v>198</v>
      </c>
      <c r="EQ1993" t="s">
        <v>198</v>
      </c>
      <c r="FA1993" t="s">
        <v>198</v>
      </c>
      <c r="FK1993" t="s">
        <v>198</v>
      </c>
      <c r="FU1993" t="s">
        <v>198</v>
      </c>
    </row>
    <row r="1994" spans="1:177">
      <c r="A1994" s="1" t="str">
        <f>HYPERLINK("http://digipan.lumentumllc.com/apps/getLink/index.php?t=PropLink&amp;p=15727802","PL")</f>
        <v>PL</v>
      </c>
      <c r="B1994" s="1" t="str">
        <f>HYPERLINK("http://digipan.lumentumllc.com/apps/getLink/index.php?t=TaxLink&amp;p=15727802","TL")</f>
        <v>TL</v>
      </c>
      <c r="C1994" s="1" t="str">
        <f>HYPERLINK("http://digipan.lumentumllc.com/apps/getMap/index.php?p=15727802","Map")</f>
        <v>Map</v>
      </c>
      <c r="E1994" t="s">
        <v>177</v>
      </c>
      <c r="F1994" t="s">
        <v>178</v>
      </c>
      <c r="L1994" t="s">
        <v>23572</v>
      </c>
      <c r="N1994" t="s">
        <v>23572</v>
      </c>
      <c r="O1994" t="s">
        <v>23572</v>
      </c>
      <c r="Q1994" t="s">
        <v>23572</v>
      </c>
      <c r="V1994">
        <v>2279</v>
      </c>
      <c r="W1994">
        <v>7</v>
      </c>
      <c r="X1994">
        <v>2017</v>
      </c>
      <c r="Y1994">
        <v>2018</v>
      </c>
      <c r="Z1994">
        <v>3441.36</v>
      </c>
      <c r="AG1994" t="s">
        <v>184</v>
      </c>
      <c r="AH1994">
        <v>0</v>
      </c>
      <c r="AK1994">
        <v>0</v>
      </c>
      <c r="AL1994">
        <v>204832</v>
      </c>
      <c r="AM1994">
        <v>0</v>
      </c>
      <c r="AN1994">
        <v>204832</v>
      </c>
      <c r="AO1994">
        <v>3133</v>
      </c>
      <c r="AP1994">
        <v>2016</v>
      </c>
      <c r="AQ1994">
        <v>1.68</v>
      </c>
      <c r="AS1994" t="s">
        <v>23573</v>
      </c>
      <c r="AT1994" t="s">
        <v>15040</v>
      </c>
      <c r="AU1994" t="s">
        <v>177</v>
      </c>
      <c r="AV1994" t="s">
        <v>371</v>
      </c>
      <c r="AW1994" t="s">
        <v>182</v>
      </c>
      <c r="AX1994">
        <v>4</v>
      </c>
      <c r="AY1994" t="s">
        <v>188</v>
      </c>
      <c r="AZ1994" t="s">
        <v>296</v>
      </c>
      <c r="BA1994" t="s">
        <v>19069</v>
      </c>
      <c r="BB1994" t="s">
        <v>191</v>
      </c>
      <c r="BC1994" t="s">
        <v>182</v>
      </c>
      <c r="BD1994" t="s">
        <v>182</v>
      </c>
      <c r="BE1994" t="s">
        <v>1722</v>
      </c>
      <c r="BF1994">
        <v>1</v>
      </c>
      <c r="BG1994">
        <v>1</v>
      </c>
      <c r="BH1994">
        <v>2001</v>
      </c>
      <c r="BI1994" t="s">
        <v>11069</v>
      </c>
      <c r="BJ1994" t="s">
        <v>194</v>
      </c>
      <c r="BL1994" t="s">
        <v>23574</v>
      </c>
      <c r="BM1994" t="s">
        <v>292</v>
      </c>
      <c r="BN1994" t="s">
        <v>182</v>
      </c>
      <c r="BO1994" t="s">
        <v>23575</v>
      </c>
      <c r="BP1994" t="s">
        <v>23576</v>
      </c>
      <c r="BQ1994" t="s">
        <v>226</v>
      </c>
      <c r="BR1994" t="s">
        <v>227</v>
      </c>
      <c r="BS1994" t="s">
        <v>198</v>
      </c>
      <c r="BT1994" t="s">
        <v>23577</v>
      </c>
      <c r="BU1994" t="s">
        <v>182</v>
      </c>
      <c r="BV1994" t="s">
        <v>198</v>
      </c>
      <c r="BW1994" t="s">
        <v>198</v>
      </c>
      <c r="BX1994" t="s">
        <v>199</v>
      </c>
      <c r="BY1994" t="s">
        <v>198</v>
      </c>
      <c r="BZ1994" t="s">
        <v>199</v>
      </c>
      <c r="CA1994" t="s">
        <v>199</v>
      </c>
      <c r="CB1994" t="s">
        <v>23578</v>
      </c>
      <c r="CC1994" t="s">
        <v>201</v>
      </c>
      <c r="CD1994" t="s">
        <v>182</v>
      </c>
      <c r="CE1994" t="s">
        <v>23579</v>
      </c>
      <c r="CF1994" t="s">
        <v>5331</v>
      </c>
      <c r="CG1994" t="s">
        <v>177</v>
      </c>
      <c r="CH1994" t="s">
        <v>371</v>
      </c>
      <c r="CI1994" t="s">
        <v>23580</v>
      </c>
      <c r="CS1994" t="s">
        <v>198</v>
      </c>
      <c r="DC1994" t="s">
        <v>198</v>
      </c>
      <c r="DM1994" t="s">
        <v>198</v>
      </c>
      <c r="DW1994" t="s">
        <v>198</v>
      </c>
      <c r="EG1994" t="s">
        <v>198</v>
      </c>
      <c r="EQ1994" t="s">
        <v>198</v>
      </c>
      <c r="FA1994" t="s">
        <v>198</v>
      </c>
      <c r="FK1994" t="s">
        <v>198</v>
      </c>
      <c r="FU1994" t="s">
        <v>198</v>
      </c>
    </row>
    <row r="1995" spans="1:177">
      <c r="A1995" s="1" t="str">
        <f>HYPERLINK("http://digipan.lumentumllc.com/apps/getLink/index.php?t=PropLink&amp;p=15727803","PL")</f>
        <v>PL</v>
      </c>
      <c r="B1995" s="1" t="str">
        <f>HYPERLINK("http://digipan.lumentumllc.com/apps/getLink/index.php?t=TaxLink&amp;p=15727803","TL")</f>
        <v>TL</v>
      </c>
      <c r="C1995" s="1" t="str">
        <f>HYPERLINK("http://digipan.lumentumllc.com/apps/getMap/index.php?p=15727803","Map")</f>
        <v>Map</v>
      </c>
      <c r="E1995" t="s">
        <v>177</v>
      </c>
      <c r="F1995" t="s">
        <v>178</v>
      </c>
      <c r="L1995" t="s">
        <v>23581</v>
      </c>
      <c r="N1995" t="s">
        <v>23581</v>
      </c>
      <c r="O1995" t="s">
        <v>23581</v>
      </c>
      <c r="Q1995" t="s">
        <v>23581</v>
      </c>
      <c r="V1995">
        <v>2280</v>
      </c>
      <c r="W1995">
        <v>7</v>
      </c>
      <c r="X1995">
        <v>2017</v>
      </c>
      <c r="Y1995">
        <v>2018</v>
      </c>
      <c r="Z1995">
        <v>2589.04</v>
      </c>
      <c r="AG1995" t="s">
        <v>184</v>
      </c>
      <c r="AH1995">
        <v>0</v>
      </c>
      <c r="AK1995">
        <v>0</v>
      </c>
      <c r="AL1995">
        <v>153624</v>
      </c>
      <c r="AM1995">
        <v>0</v>
      </c>
      <c r="AN1995">
        <v>153624</v>
      </c>
      <c r="AO1995">
        <v>2350</v>
      </c>
      <c r="AP1995">
        <v>2016</v>
      </c>
      <c r="AQ1995">
        <v>1.69</v>
      </c>
      <c r="AS1995" t="s">
        <v>23582</v>
      </c>
      <c r="AT1995" t="s">
        <v>15040</v>
      </c>
      <c r="AU1995" t="s">
        <v>177</v>
      </c>
      <c r="AV1995" t="s">
        <v>371</v>
      </c>
      <c r="AW1995" t="s">
        <v>182</v>
      </c>
      <c r="AX1995">
        <v>4</v>
      </c>
      <c r="AY1995" t="s">
        <v>188</v>
      </c>
      <c r="AZ1995" t="s">
        <v>296</v>
      </c>
      <c r="BA1995" t="s">
        <v>19069</v>
      </c>
      <c r="BB1995" t="s">
        <v>191</v>
      </c>
      <c r="BC1995" t="s">
        <v>182</v>
      </c>
      <c r="BD1995" t="s">
        <v>182</v>
      </c>
      <c r="BE1995" t="s">
        <v>1722</v>
      </c>
      <c r="BF1995">
        <v>1</v>
      </c>
      <c r="BG1995">
        <v>1</v>
      </c>
      <c r="BH1995">
        <v>2001</v>
      </c>
      <c r="BI1995" t="s">
        <v>14064</v>
      </c>
      <c r="BJ1995" t="s">
        <v>194</v>
      </c>
      <c r="BL1995" t="s">
        <v>23574</v>
      </c>
      <c r="BM1995" t="s">
        <v>292</v>
      </c>
      <c r="BN1995" t="s">
        <v>182</v>
      </c>
      <c r="BO1995" t="s">
        <v>23575</v>
      </c>
      <c r="BP1995" t="s">
        <v>23576</v>
      </c>
      <c r="BQ1995" t="s">
        <v>226</v>
      </c>
      <c r="BR1995" t="s">
        <v>227</v>
      </c>
      <c r="BS1995" t="s">
        <v>198</v>
      </c>
      <c r="BT1995" t="s">
        <v>23577</v>
      </c>
      <c r="BU1995" t="s">
        <v>182</v>
      </c>
      <c r="BV1995" t="s">
        <v>198</v>
      </c>
      <c r="BW1995" t="s">
        <v>198</v>
      </c>
      <c r="BX1995" t="s">
        <v>199</v>
      </c>
      <c r="BY1995" t="s">
        <v>198</v>
      </c>
      <c r="BZ1995" t="s">
        <v>199</v>
      </c>
      <c r="CA1995" t="s">
        <v>199</v>
      </c>
      <c r="CB1995" t="s">
        <v>23578</v>
      </c>
      <c r="CC1995" t="s">
        <v>201</v>
      </c>
      <c r="CD1995" t="s">
        <v>182</v>
      </c>
      <c r="CE1995" t="s">
        <v>23579</v>
      </c>
      <c r="CF1995" t="s">
        <v>5331</v>
      </c>
      <c r="CG1995" t="s">
        <v>177</v>
      </c>
      <c r="CH1995" t="s">
        <v>371</v>
      </c>
      <c r="CI1995" t="s">
        <v>23583</v>
      </c>
      <c r="CS1995" t="s">
        <v>198</v>
      </c>
      <c r="DC1995" t="s">
        <v>198</v>
      </c>
      <c r="DM1995" t="s">
        <v>198</v>
      </c>
      <c r="DW1995" t="s">
        <v>198</v>
      </c>
      <c r="EG1995" t="s">
        <v>198</v>
      </c>
      <c r="EQ1995" t="s">
        <v>198</v>
      </c>
      <c r="FA1995" t="s">
        <v>198</v>
      </c>
      <c r="FK1995" t="s">
        <v>198</v>
      </c>
      <c r="FU1995" t="s">
        <v>198</v>
      </c>
    </row>
    <row r="1996" spans="1:177">
      <c r="A1996" s="1" t="str">
        <f>HYPERLINK("http://digipan.lumentumllc.com/apps/getLink/index.php?t=PropLink&amp;p=15727804","PL")</f>
        <v>PL</v>
      </c>
      <c r="B1996" s="1" t="str">
        <f>HYPERLINK("http://digipan.lumentumllc.com/apps/getLink/index.php?t=TaxLink&amp;p=15727804","TL")</f>
        <v>TL</v>
      </c>
      <c r="C1996" s="1" t="str">
        <f>HYPERLINK("http://digipan.lumentumllc.com/apps/getMap/index.php?p=15727804","Map")</f>
        <v>Map</v>
      </c>
      <c r="E1996" t="s">
        <v>177</v>
      </c>
      <c r="F1996" t="s">
        <v>178</v>
      </c>
      <c r="L1996" t="s">
        <v>23584</v>
      </c>
      <c r="N1996" t="s">
        <v>23584</v>
      </c>
      <c r="O1996" t="s">
        <v>23584</v>
      </c>
      <c r="Q1996" t="s">
        <v>23584</v>
      </c>
      <c r="V1996">
        <v>2281</v>
      </c>
      <c r="W1996">
        <v>7</v>
      </c>
      <c r="X1996">
        <v>2017</v>
      </c>
      <c r="Y1996">
        <v>2018</v>
      </c>
      <c r="Z1996">
        <v>2495.4299999999998</v>
      </c>
      <c r="AG1996" t="s">
        <v>184</v>
      </c>
      <c r="AH1996">
        <v>0</v>
      </c>
      <c r="AK1996">
        <v>0</v>
      </c>
      <c r="AL1996">
        <v>148000</v>
      </c>
      <c r="AM1996">
        <v>0</v>
      </c>
      <c r="AN1996">
        <v>148000</v>
      </c>
      <c r="AO1996">
        <v>2264</v>
      </c>
      <c r="AP1996">
        <v>2016</v>
      </c>
      <c r="AQ1996">
        <v>1.69</v>
      </c>
      <c r="AS1996" t="s">
        <v>23585</v>
      </c>
      <c r="AT1996" t="s">
        <v>15040</v>
      </c>
      <c r="AU1996" t="s">
        <v>177</v>
      </c>
      <c r="AV1996" t="s">
        <v>371</v>
      </c>
      <c r="AW1996" t="s">
        <v>182</v>
      </c>
      <c r="AX1996">
        <v>4</v>
      </c>
      <c r="AY1996" t="s">
        <v>188</v>
      </c>
      <c r="AZ1996" t="s">
        <v>296</v>
      </c>
      <c r="BA1996" t="s">
        <v>19069</v>
      </c>
      <c r="BB1996" t="s">
        <v>191</v>
      </c>
      <c r="BC1996" t="s">
        <v>182</v>
      </c>
      <c r="BD1996" t="s">
        <v>182</v>
      </c>
      <c r="BE1996" t="s">
        <v>1722</v>
      </c>
      <c r="BF1996">
        <v>1</v>
      </c>
      <c r="BG1996">
        <v>1</v>
      </c>
      <c r="BH1996">
        <v>2001</v>
      </c>
      <c r="BI1996" t="s">
        <v>1002</v>
      </c>
      <c r="BJ1996" t="s">
        <v>194</v>
      </c>
      <c r="BL1996" t="s">
        <v>23574</v>
      </c>
      <c r="BM1996" t="s">
        <v>292</v>
      </c>
      <c r="BN1996" t="s">
        <v>182</v>
      </c>
      <c r="BO1996" t="s">
        <v>23575</v>
      </c>
      <c r="BP1996" t="s">
        <v>23576</v>
      </c>
      <c r="BQ1996" t="s">
        <v>226</v>
      </c>
      <c r="BR1996" t="s">
        <v>227</v>
      </c>
      <c r="BS1996" t="s">
        <v>198</v>
      </c>
      <c r="BT1996" t="s">
        <v>23577</v>
      </c>
      <c r="BU1996" t="s">
        <v>182</v>
      </c>
      <c r="BV1996" t="s">
        <v>198</v>
      </c>
      <c r="BW1996" t="s">
        <v>198</v>
      </c>
      <c r="BX1996" t="s">
        <v>199</v>
      </c>
      <c r="BY1996" t="s">
        <v>198</v>
      </c>
      <c r="BZ1996" t="s">
        <v>199</v>
      </c>
      <c r="CA1996" t="s">
        <v>199</v>
      </c>
      <c r="CB1996" t="s">
        <v>23578</v>
      </c>
      <c r="CC1996" t="s">
        <v>201</v>
      </c>
      <c r="CD1996" t="s">
        <v>182</v>
      </c>
      <c r="CE1996" t="s">
        <v>23579</v>
      </c>
      <c r="CF1996" t="s">
        <v>5331</v>
      </c>
      <c r="CG1996" t="s">
        <v>177</v>
      </c>
      <c r="CH1996" t="s">
        <v>371</v>
      </c>
      <c r="CI1996" t="s">
        <v>23586</v>
      </c>
      <c r="CS1996" t="s">
        <v>198</v>
      </c>
      <c r="DC1996" t="s">
        <v>198</v>
      </c>
      <c r="DM1996" t="s">
        <v>198</v>
      </c>
      <c r="DW1996" t="s">
        <v>198</v>
      </c>
      <c r="EG1996" t="s">
        <v>198</v>
      </c>
      <c r="EQ1996" t="s">
        <v>198</v>
      </c>
      <c r="FA1996" t="s">
        <v>198</v>
      </c>
      <c r="FK1996" t="s">
        <v>198</v>
      </c>
      <c r="FU1996" t="s">
        <v>198</v>
      </c>
    </row>
    <row r="1997" spans="1:177">
      <c r="A1997" s="1" t="str">
        <f>HYPERLINK("http://digipan.lumentumllc.com/apps/getLink/index.php?t=PropLink&amp;p=15727805","PL")</f>
        <v>PL</v>
      </c>
      <c r="B1997" s="1" t="str">
        <f>HYPERLINK("http://digipan.lumentumllc.com/apps/getLink/index.php?t=TaxLink&amp;p=15727805","TL")</f>
        <v>TL</v>
      </c>
      <c r="C1997" s="1" t="str">
        <f>HYPERLINK("http://digipan.lumentumllc.com/apps/getMap/index.php?p=15727805","Map")</f>
        <v>Map</v>
      </c>
      <c r="E1997" t="s">
        <v>177</v>
      </c>
      <c r="F1997" t="s">
        <v>178</v>
      </c>
      <c r="L1997" t="s">
        <v>23587</v>
      </c>
      <c r="N1997" t="s">
        <v>23587</v>
      </c>
      <c r="O1997" t="s">
        <v>23587</v>
      </c>
      <c r="Q1997" t="s">
        <v>23587</v>
      </c>
      <c r="V1997">
        <v>2282</v>
      </c>
      <c r="W1997">
        <v>7</v>
      </c>
      <c r="X1997">
        <v>2017</v>
      </c>
      <c r="Y1997">
        <v>2018</v>
      </c>
      <c r="Z1997">
        <v>2803.36</v>
      </c>
      <c r="AG1997" t="s">
        <v>184</v>
      </c>
      <c r="AH1997">
        <v>0</v>
      </c>
      <c r="AK1997">
        <v>0</v>
      </c>
      <c r="AL1997">
        <v>166500</v>
      </c>
      <c r="AM1997">
        <v>0</v>
      </c>
      <c r="AN1997">
        <v>166500</v>
      </c>
      <c r="AO1997">
        <v>2547</v>
      </c>
      <c r="AP1997">
        <v>2016</v>
      </c>
      <c r="AQ1997">
        <v>1.68</v>
      </c>
      <c r="AS1997" t="s">
        <v>23588</v>
      </c>
      <c r="AT1997" t="s">
        <v>15040</v>
      </c>
      <c r="AU1997" t="s">
        <v>177</v>
      </c>
      <c r="AV1997" t="s">
        <v>371</v>
      </c>
      <c r="AW1997" t="s">
        <v>182</v>
      </c>
      <c r="AX1997">
        <v>4</v>
      </c>
      <c r="AY1997" t="s">
        <v>188</v>
      </c>
      <c r="AZ1997" t="s">
        <v>296</v>
      </c>
      <c r="BA1997" t="s">
        <v>19069</v>
      </c>
      <c r="BB1997" t="s">
        <v>191</v>
      </c>
      <c r="BC1997" t="s">
        <v>182</v>
      </c>
      <c r="BD1997" t="s">
        <v>182</v>
      </c>
      <c r="BE1997" t="s">
        <v>1722</v>
      </c>
      <c r="BF1997">
        <v>1</v>
      </c>
      <c r="BG1997">
        <v>1</v>
      </c>
      <c r="BH1997">
        <v>2001</v>
      </c>
      <c r="BI1997" t="s">
        <v>6086</v>
      </c>
      <c r="BJ1997" t="s">
        <v>194</v>
      </c>
      <c r="BL1997" t="s">
        <v>23574</v>
      </c>
      <c r="BM1997" t="s">
        <v>292</v>
      </c>
      <c r="BN1997" t="s">
        <v>182</v>
      </c>
      <c r="BO1997" t="s">
        <v>23575</v>
      </c>
      <c r="BP1997" t="s">
        <v>23576</v>
      </c>
      <c r="BQ1997" t="s">
        <v>226</v>
      </c>
      <c r="BR1997" t="s">
        <v>227</v>
      </c>
      <c r="BS1997" t="s">
        <v>198</v>
      </c>
      <c r="BT1997" t="s">
        <v>23577</v>
      </c>
      <c r="BU1997" t="s">
        <v>182</v>
      </c>
      <c r="BV1997" t="s">
        <v>198</v>
      </c>
      <c r="BW1997" t="s">
        <v>198</v>
      </c>
      <c r="BX1997" t="s">
        <v>199</v>
      </c>
      <c r="BY1997" t="s">
        <v>198</v>
      </c>
      <c r="BZ1997" t="s">
        <v>199</v>
      </c>
      <c r="CA1997" t="s">
        <v>199</v>
      </c>
      <c r="CB1997" t="s">
        <v>23578</v>
      </c>
      <c r="CC1997" t="s">
        <v>201</v>
      </c>
      <c r="CD1997" t="s">
        <v>182</v>
      </c>
      <c r="CE1997" t="s">
        <v>23579</v>
      </c>
      <c r="CF1997" t="s">
        <v>5331</v>
      </c>
      <c r="CG1997" t="s">
        <v>177</v>
      </c>
      <c r="CH1997" t="s">
        <v>371</v>
      </c>
      <c r="CI1997" t="s">
        <v>23589</v>
      </c>
      <c r="CS1997" t="s">
        <v>198</v>
      </c>
      <c r="DC1997" t="s">
        <v>198</v>
      </c>
      <c r="DM1997" t="s">
        <v>198</v>
      </c>
      <c r="DW1997" t="s">
        <v>198</v>
      </c>
      <c r="EG1997" t="s">
        <v>198</v>
      </c>
      <c r="EQ1997" t="s">
        <v>198</v>
      </c>
      <c r="FA1997" t="s">
        <v>198</v>
      </c>
      <c r="FK1997" t="s">
        <v>198</v>
      </c>
      <c r="FU1997" t="s">
        <v>198</v>
      </c>
    </row>
    <row r="1998" spans="1:177">
      <c r="A1998" s="1" t="str">
        <f>HYPERLINK("http://digipan.lumentumllc.com/apps/getLink/index.php?t=PropLink&amp;p=7112279","PL")</f>
        <v>PL</v>
      </c>
      <c r="B1998" s="1" t="str">
        <f>HYPERLINK("http://digipan.lumentumllc.com/apps/getLink/index.php?t=TaxLink&amp;p=7112279","TL")</f>
        <v>TL</v>
      </c>
      <c r="C1998" s="1" t="str">
        <f>HYPERLINK("http://digipan.lumentumllc.com/apps/getMap/index.php?p=7112279","Map")</f>
        <v>Map</v>
      </c>
      <c r="E1998" t="s">
        <v>177</v>
      </c>
      <c r="F1998" t="s">
        <v>178</v>
      </c>
      <c r="L1998" t="s">
        <v>23590</v>
      </c>
      <c r="N1998" t="s">
        <v>23590</v>
      </c>
      <c r="O1998" t="s">
        <v>23590</v>
      </c>
      <c r="P1998" t="s">
        <v>23591</v>
      </c>
      <c r="Q1998" t="s">
        <v>23590</v>
      </c>
      <c r="V1998">
        <v>2283</v>
      </c>
      <c r="W1998">
        <v>7</v>
      </c>
      <c r="X1998">
        <v>2017</v>
      </c>
      <c r="Y1998">
        <v>2018</v>
      </c>
      <c r="Z1998">
        <v>712.96</v>
      </c>
      <c r="AB1998" t="s">
        <v>181</v>
      </c>
      <c r="AC1998" t="s">
        <v>182</v>
      </c>
      <c r="AD1998" t="s">
        <v>183</v>
      </c>
      <c r="AE1998">
        <v>1</v>
      </c>
      <c r="AF1998">
        <v>1</v>
      </c>
      <c r="AG1998" t="s">
        <v>2222</v>
      </c>
      <c r="AH1998">
        <v>50</v>
      </c>
      <c r="AI1998">
        <v>692.64</v>
      </c>
      <c r="AJ1998">
        <v>34.630000000000003</v>
      </c>
      <c r="AK1998">
        <v>727.27</v>
      </c>
      <c r="AL1998">
        <v>135207</v>
      </c>
      <c r="AM1998">
        <v>82500</v>
      </c>
      <c r="AN1998">
        <v>52707</v>
      </c>
      <c r="AO1998">
        <v>615</v>
      </c>
      <c r="AP1998">
        <v>2016</v>
      </c>
      <c r="AQ1998">
        <v>0.53</v>
      </c>
      <c r="AR1998">
        <v>0.54</v>
      </c>
      <c r="AS1998" t="s">
        <v>23592</v>
      </c>
      <c r="AT1998" t="s">
        <v>15040</v>
      </c>
      <c r="AU1998" t="s">
        <v>177</v>
      </c>
      <c r="AV1998" t="s">
        <v>371</v>
      </c>
      <c r="AW1998" t="s">
        <v>202</v>
      </c>
      <c r="AX1998">
        <v>1</v>
      </c>
      <c r="AY1998" t="s">
        <v>188</v>
      </c>
      <c r="AZ1998" t="s">
        <v>206</v>
      </c>
      <c r="BA1998" t="s">
        <v>355</v>
      </c>
      <c r="BB1998" t="s">
        <v>191</v>
      </c>
      <c r="BC1998" t="s">
        <v>182</v>
      </c>
      <c r="BD1998" t="s">
        <v>182</v>
      </c>
      <c r="BE1998" t="s">
        <v>259</v>
      </c>
      <c r="BF1998">
        <v>1</v>
      </c>
      <c r="BG1998">
        <v>1</v>
      </c>
      <c r="BH1998">
        <v>1930</v>
      </c>
      <c r="BI1998" t="s">
        <v>18448</v>
      </c>
      <c r="BJ1998" t="s">
        <v>194</v>
      </c>
      <c r="BK1998" t="s">
        <v>195</v>
      </c>
      <c r="BL1998" t="s">
        <v>199</v>
      </c>
      <c r="BM1998" t="s">
        <v>1779</v>
      </c>
      <c r="BN1998" t="s">
        <v>182</v>
      </c>
      <c r="BO1998" t="s">
        <v>5372</v>
      </c>
      <c r="BP1998" t="s">
        <v>2911</v>
      </c>
      <c r="BR1998" t="s">
        <v>1461</v>
      </c>
      <c r="BS1998" t="s">
        <v>23593</v>
      </c>
      <c r="BT1998" t="s">
        <v>198</v>
      </c>
      <c r="BU1998" t="s">
        <v>182</v>
      </c>
      <c r="BV1998" t="s">
        <v>198</v>
      </c>
      <c r="BW1998" t="s">
        <v>198</v>
      </c>
      <c r="BX1998" t="s">
        <v>199</v>
      </c>
      <c r="BY1998" t="s">
        <v>198</v>
      </c>
      <c r="BZ1998" t="s">
        <v>199</v>
      </c>
      <c r="CA1998" t="s">
        <v>199</v>
      </c>
      <c r="CB1998" t="s">
        <v>23594</v>
      </c>
      <c r="CC1998" t="s">
        <v>201</v>
      </c>
      <c r="CD1998" t="s">
        <v>182</v>
      </c>
      <c r="CE1998" t="s">
        <v>18231</v>
      </c>
      <c r="CF1998" t="s">
        <v>5331</v>
      </c>
      <c r="CG1998" t="s">
        <v>177</v>
      </c>
      <c r="CH1998" t="s">
        <v>371</v>
      </c>
      <c r="CI1998" t="s">
        <v>23595</v>
      </c>
      <c r="CJ1998" t="s">
        <v>16931</v>
      </c>
      <c r="CK1998" t="s">
        <v>232</v>
      </c>
      <c r="CL1998" t="s">
        <v>233</v>
      </c>
      <c r="CM1998" t="s">
        <v>23596</v>
      </c>
      <c r="CN1998" t="s">
        <v>235</v>
      </c>
      <c r="CO1998" t="s">
        <v>183</v>
      </c>
      <c r="CP1998" t="s">
        <v>266</v>
      </c>
      <c r="CS1998" t="s">
        <v>198</v>
      </c>
      <c r="CT1998" t="s">
        <v>17159</v>
      </c>
      <c r="CU1998" t="s">
        <v>292</v>
      </c>
      <c r="CV1998" t="s">
        <v>293</v>
      </c>
      <c r="CW1998" t="s">
        <v>23597</v>
      </c>
      <c r="CX1998" t="s">
        <v>235</v>
      </c>
      <c r="CY1998" t="s">
        <v>183</v>
      </c>
      <c r="CZ1998" t="s">
        <v>211</v>
      </c>
      <c r="DA1998" t="s">
        <v>212</v>
      </c>
      <c r="DC1998" t="s">
        <v>2337</v>
      </c>
      <c r="DM1998" t="s">
        <v>198</v>
      </c>
      <c r="DW1998" t="s">
        <v>198</v>
      </c>
      <c r="EG1998" t="s">
        <v>198</v>
      </c>
      <c r="EQ1998" t="s">
        <v>198</v>
      </c>
      <c r="FA1998" t="s">
        <v>198</v>
      </c>
      <c r="FK1998" t="s">
        <v>198</v>
      </c>
      <c r="FU1998" t="s">
        <v>198</v>
      </c>
    </row>
    <row r="1999" spans="1:177">
      <c r="A1999" s="1" t="str">
        <f>HYPERLINK("http://digipan.lumentumllc.com/apps/getLink/index.php?t=PropLink&amp;p=7112282","PL")</f>
        <v>PL</v>
      </c>
      <c r="B1999" s="1" t="str">
        <f>HYPERLINK("http://digipan.lumentumllc.com/apps/getLink/index.php?t=TaxLink&amp;p=7112282","TL")</f>
        <v>TL</v>
      </c>
      <c r="C1999" s="1" t="str">
        <f>HYPERLINK("http://digipan.lumentumllc.com/apps/getMap/index.php?p=7112282","Map")</f>
        <v>Map</v>
      </c>
      <c r="E1999" t="s">
        <v>177</v>
      </c>
      <c r="F1999" t="s">
        <v>178</v>
      </c>
      <c r="L1999" t="s">
        <v>23598</v>
      </c>
      <c r="N1999" t="s">
        <v>23598</v>
      </c>
      <c r="O1999" t="s">
        <v>23598</v>
      </c>
      <c r="P1999" t="s">
        <v>23599</v>
      </c>
      <c r="Q1999" t="s">
        <v>23598</v>
      </c>
      <c r="V1999">
        <v>2284</v>
      </c>
      <c r="W1999">
        <v>7</v>
      </c>
      <c r="X1999">
        <v>2017</v>
      </c>
      <c r="Y1999">
        <v>2018</v>
      </c>
      <c r="Z1999">
        <v>1613.25</v>
      </c>
      <c r="AB1999" t="s">
        <v>181</v>
      </c>
      <c r="AC1999" t="s">
        <v>182</v>
      </c>
      <c r="AD1999" t="s">
        <v>183</v>
      </c>
      <c r="AE1999">
        <v>1</v>
      </c>
      <c r="AF1999">
        <v>1</v>
      </c>
      <c r="AG1999" t="s">
        <v>2222</v>
      </c>
      <c r="AH1999">
        <v>50</v>
      </c>
      <c r="AI1999">
        <v>1546.57</v>
      </c>
      <c r="AJ1999">
        <v>77.33</v>
      </c>
      <c r="AK1999">
        <v>1623.9</v>
      </c>
      <c r="AL1999">
        <v>95000</v>
      </c>
      <c r="AM1999">
        <v>95000</v>
      </c>
      <c r="AN1999">
        <v>0</v>
      </c>
      <c r="AO1999">
        <v>1405</v>
      </c>
      <c r="AP1999">
        <v>2016</v>
      </c>
      <c r="AQ1999">
        <v>1.7</v>
      </c>
      <c r="AR1999">
        <v>1.71</v>
      </c>
      <c r="AS1999" t="s">
        <v>23600</v>
      </c>
      <c r="AT1999" t="s">
        <v>23601</v>
      </c>
      <c r="AU1999" t="s">
        <v>177</v>
      </c>
      <c r="AV1999" t="s">
        <v>371</v>
      </c>
      <c r="AW1999" t="s">
        <v>182</v>
      </c>
      <c r="AX1999">
        <v>0</v>
      </c>
      <c r="AY1999" t="s">
        <v>312</v>
      </c>
      <c r="AZ1999" t="s">
        <v>199</v>
      </c>
      <c r="BA1999" t="s">
        <v>313</v>
      </c>
      <c r="BB1999" t="s">
        <v>191</v>
      </c>
      <c r="BC1999" t="s">
        <v>182</v>
      </c>
      <c r="BD1999" t="s">
        <v>182</v>
      </c>
      <c r="BE1999" t="s">
        <v>235</v>
      </c>
      <c r="BF1999">
        <v>0</v>
      </c>
      <c r="BG1999">
        <v>0</v>
      </c>
      <c r="BH1999">
        <v>0</v>
      </c>
      <c r="BI1999" t="s">
        <v>199</v>
      </c>
      <c r="BJ1999" t="s">
        <v>248</v>
      </c>
      <c r="BL1999" t="s">
        <v>3374</v>
      </c>
      <c r="BM1999" t="s">
        <v>292</v>
      </c>
      <c r="BN1999" t="s">
        <v>182</v>
      </c>
      <c r="BO1999" t="s">
        <v>198</v>
      </c>
      <c r="BP1999" t="s">
        <v>198</v>
      </c>
      <c r="BQ1999" t="s">
        <v>198</v>
      </c>
      <c r="BR1999" t="s">
        <v>198</v>
      </c>
      <c r="BS1999" t="s">
        <v>198</v>
      </c>
      <c r="BT1999" t="s">
        <v>198</v>
      </c>
      <c r="BU1999" t="s">
        <v>182</v>
      </c>
      <c r="BV1999" t="s">
        <v>198</v>
      </c>
      <c r="BW1999" t="s">
        <v>198</v>
      </c>
      <c r="BX1999" t="s">
        <v>199</v>
      </c>
      <c r="BY1999" t="s">
        <v>198</v>
      </c>
      <c r="BZ1999" t="s">
        <v>199</v>
      </c>
      <c r="CA1999" t="s">
        <v>199</v>
      </c>
      <c r="CB1999" t="s">
        <v>19179</v>
      </c>
      <c r="CC1999" t="s">
        <v>201</v>
      </c>
      <c r="CD1999" t="s">
        <v>182</v>
      </c>
      <c r="CE1999" t="s">
        <v>19180</v>
      </c>
      <c r="CF1999" t="s">
        <v>19181</v>
      </c>
      <c r="CG1999" t="s">
        <v>177</v>
      </c>
      <c r="CH1999" t="s">
        <v>19182</v>
      </c>
      <c r="CI1999" t="s">
        <v>13479</v>
      </c>
      <c r="CJ1999" t="s">
        <v>4560</v>
      </c>
      <c r="CK1999" t="s">
        <v>232</v>
      </c>
      <c r="CL1999" t="s">
        <v>233</v>
      </c>
      <c r="CM1999" t="s">
        <v>23602</v>
      </c>
      <c r="CN1999" t="s">
        <v>235</v>
      </c>
      <c r="CO1999" t="s">
        <v>183</v>
      </c>
      <c r="CP1999" t="s">
        <v>266</v>
      </c>
      <c r="CS1999" t="s">
        <v>198</v>
      </c>
      <c r="CT1999" t="s">
        <v>20879</v>
      </c>
      <c r="CU1999" t="s">
        <v>292</v>
      </c>
      <c r="CV1999" t="s">
        <v>293</v>
      </c>
      <c r="CW1999" t="s">
        <v>23603</v>
      </c>
      <c r="CX1999" t="s">
        <v>235</v>
      </c>
      <c r="CY1999" t="s">
        <v>183</v>
      </c>
      <c r="CZ1999" t="s">
        <v>211</v>
      </c>
      <c r="DA1999" t="s">
        <v>298</v>
      </c>
      <c r="DC1999" t="s">
        <v>1641</v>
      </c>
      <c r="DM1999" t="s">
        <v>198</v>
      </c>
      <c r="DW1999" t="s">
        <v>198</v>
      </c>
      <c r="EG1999" t="s">
        <v>198</v>
      </c>
      <c r="EQ1999" t="s">
        <v>198</v>
      </c>
      <c r="FA1999" t="s">
        <v>198</v>
      </c>
      <c r="FK1999" t="s">
        <v>198</v>
      </c>
      <c r="FU1999" t="s">
        <v>198</v>
      </c>
    </row>
    <row r="2000" spans="1:177">
      <c r="A2000" s="1" t="str">
        <f>HYPERLINK("http://digipan.lumentumllc.com/apps/getLink/index.php?t=PropLink&amp;p=7112283","PL")</f>
        <v>PL</v>
      </c>
      <c r="B2000" s="1" t="str">
        <f>HYPERLINK("http://digipan.lumentumllc.com/apps/getLink/index.php?t=TaxLink&amp;p=7112283","TL")</f>
        <v>TL</v>
      </c>
      <c r="C2000" s="1" t="str">
        <f>HYPERLINK("http://digipan.lumentumllc.com/apps/getMap/index.php?p=7112283","Map")</f>
        <v>Map</v>
      </c>
      <c r="E2000" t="s">
        <v>177</v>
      </c>
      <c r="F2000" t="s">
        <v>178</v>
      </c>
      <c r="L2000" t="s">
        <v>23604</v>
      </c>
      <c r="N2000" t="s">
        <v>23604</v>
      </c>
      <c r="O2000" t="s">
        <v>23604</v>
      </c>
      <c r="P2000" t="s">
        <v>23605</v>
      </c>
      <c r="Q2000" t="s">
        <v>23604</v>
      </c>
      <c r="V2000">
        <v>2285</v>
      </c>
      <c r="W2000">
        <v>7</v>
      </c>
      <c r="X2000">
        <v>2017</v>
      </c>
      <c r="Y2000">
        <v>2018</v>
      </c>
      <c r="Z2000">
        <v>1613.25</v>
      </c>
      <c r="AB2000" t="s">
        <v>181</v>
      </c>
      <c r="AC2000" t="s">
        <v>182</v>
      </c>
      <c r="AD2000" t="s">
        <v>183</v>
      </c>
      <c r="AE2000">
        <v>1</v>
      </c>
      <c r="AF2000">
        <v>1</v>
      </c>
      <c r="AG2000" t="s">
        <v>2222</v>
      </c>
      <c r="AH2000">
        <v>50</v>
      </c>
      <c r="AI2000">
        <v>1546.57</v>
      </c>
      <c r="AJ2000">
        <v>77.33</v>
      </c>
      <c r="AK2000">
        <v>1623.9</v>
      </c>
      <c r="AL2000">
        <v>95000</v>
      </c>
      <c r="AM2000">
        <v>95000</v>
      </c>
      <c r="AN2000">
        <v>0</v>
      </c>
      <c r="AO2000">
        <v>1405</v>
      </c>
      <c r="AP2000">
        <v>2016</v>
      </c>
      <c r="AQ2000">
        <v>1.7</v>
      </c>
      <c r="AR2000">
        <v>1.71</v>
      </c>
      <c r="AS2000" t="s">
        <v>23606</v>
      </c>
      <c r="AT2000" t="s">
        <v>23601</v>
      </c>
      <c r="AU2000" t="s">
        <v>177</v>
      </c>
      <c r="AV2000" t="s">
        <v>371</v>
      </c>
      <c r="AW2000" t="s">
        <v>182</v>
      </c>
      <c r="AX2000">
        <v>0</v>
      </c>
      <c r="AY2000" t="s">
        <v>312</v>
      </c>
      <c r="AZ2000" t="s">
        <v>199</v>
      </c>
      <c r="BA2000" t="s">
        <v>313</v>
      </c>
      <c r="BB2000" t="s">
        <v>191</v>
      </c>
      <c r="BC2000" t="s">
        <v>182</v>
      </c>
      <c r="BD2000" t="s">
        <v>182</v>
      </c>
      <c r="BE2000" t="s">
        <v>6986</v>
      </c>
      <c r="BF2000">
        <v>0</v>
      </c>
      <c r="BG2000">
        <v>0</v>
      </c>
      <c r="BH2000">
        <v>0</v>
      </c>
      <c r="BI2000" t="s">
        <v>199</v>
      </c>
      <c r="BJ2000" t="s">
        <v>248</v>
      </c>
      <c r="BL2000" t="s">
        <v>3374</v>
      </c>
      <c r="BM2000" t="s">
        <v>292</v>
      </c>
      <c r="BN2000" t="s">
        <v>182</v>
      </c>
      <c r="BO2000" t="s">
        <v>198</v>
      </c>
      <c r="BP2000" t="s">
        <v>198</v>
      </c>
      <c r="BQ2000" t="s">
        <v>198</v>
      </c>
      <c r="BR2000" t="s">
        <v>198</v>
      </c>
      <c r="BS2000" t="s">
        <v>198</v>
      </c>
      <c r="BT2000" t="s">
        <v>198</v>
      </c>
      <c r="BU2000" t="s">
        <v>182</v>
      </c>
      <c r="BV2000" t="s">
        <v>198</v>
      </c>
      <c r="BW2000" t="s">
        <v>198</v>
      </c>
      <c r="BX2000" t="s">
        <v>199</v>
      </c>
      <c r="BY2000" t="s">
        <v>198</v>
      </c>
      <c r="BZ2000" t="s">
        <v>199</v>
      </c>
      <c r="CA2000" t="s">
        <v>199</v>
      </c>
      <c r="CB2000" t="s">
        <v>19179</v>
      </c>
      <c r="CC2000" t="s">
        <v>201</v>
      </c>
      <c r="CD2000" t="s">
        <v>182</v>
      </c>
      <c r="CE2000" t="s">
        <v>19180</v>
      </c>
      <c r="CF2000" t="s">
        <v>19181</v>
      </c>
      <c r="CG2000" t="s">
        <v>177</v>
      </c>
      <c r="CH2000" t="s">
        <v>19182</v>
      </c>
      <c r="CI2000" t="s">
        <v>23607</v>
      </c>
      <c r="CJ2000" t="s">
        <v>23608</v>
      </c>
      <c r="CK2000" t="s">
        <v>232</v>
      </c>
      <c r="CL2000" t="s">
        <v>233</v>
      </c>
      <c r="CM2000" t="s">
        <v>23602</v>
      </c>
      <c r="CN2000" t="s">
        <v>235</v>
      </c>
      <c r="CO2000" t="s">
        <v>183</v>
      </c>
      <c r="CP2000" t="s">
        <v>266</v>
      </c>
      <c r="CS2000" t="s">
        <v>198</v>
      </c>
      <c r="CT2000" t="s">
        <v>23609</v>
      </c>
      <c r="CU2000" t="s">
        <v>292</v>
      </c>
      <c r="CV2000" t="s">
        <v>293</v>
      </c>
      <c r="CW2000" t="s">
        <v>23603</v>
      </c>
      <c r="CX2000" t="s">
        <v>235</v>
      </c>
      <c r="CY2000" t="s">
        <v>183</v>
      </c>
      <c r="CZ2000" t="s">
        <v>211</v>
      </c>
      <c r="DA2000" t="s">
        <v>298</v>
      </c>
      <c r="DC2000" t="s">
        <v>1641</v>
      </c>
      <c r="DM2000" t="s">
        <v>198</v>
      </c>
      <c r="DW2000" t="s">
        <v>198</v>
      </c>
      <c r="EG2000" t="s">
        <v>198</v>
      </c>
      <c r="EQ2000" t="s">
        <v>198</v>
      </c>
      <c r="FA2000" t="s">
        <v>198</v>
      </c>
      <c r="FK2000" t="s">
        <v>198</v>
      </c>
      <c r="FU2000" t="s">
        <v>198</v>
      </c>
    </row>
    <row r="2001" spans="1:177">
      <c r="A2001" s="1" t="str">
        <f>HYPERLINK("http://digipan.lumentumllc.com/apps/getLink/index.php?t=PropLink&amp;p=7112284","PL")</f>
        <v>PL</v>
      </c>
      <c r="B2001" s="1" t="str">
        <f>HYPERLINK("http://digipan.lumentumllc.com/apps/getLink/index.php?t=TaxLink&amp;p=7112284","TL")</f>
        <v>TL</v>
      </c>
      <c r="C2001" s="1" t="str">
        <f>HYPERLINK("http://digipan.lumentumllc.com/apps/getMap/index.php?p=7112284","Map")</f>
        <v>Map</v>
      </c>
      <c r="E2001" t="s">
        <v>177</v>
      </c>
      <c r="F2001" t="s">
        <v>178</v>
      </c>
      <c r="L2001" t="s">
        <v>23610</v>
      </c>
      <c r="N2001" t="s">
        <v>23610</v>
      </c>
      <c r="O2001" t="s">
        <v>23610</v>
      </c>
      <c r="P2001" t="s">
        <v>23611</v>
      </c>
      <c r="Q2001" t="s">
        <v>23610</v>
      </c>
      <c r="V2001">
        <v>2286</v>
      </c>
      <c r="W2001">
        <v>7</v>
      </c>
      <c r="X2001">
        <v>2017</v>
      </c>
      <c r="Y2001">
        <v>2018</v>
      </c>
      <c r="Z2001">
        <v>8520.7999999999993</v>
      </c>
      <c r="AG2001" t="s">
        <v>184</v>
      </c>
      <c r="AH2001">
        <v>0</v>
      </c>
      <c r="AK2001">
        <v>0</v>
      </c>
      <c r="AL2001">
        <v>510000</v>
      </c>
      <c r="AM2001">
        <v>510000</v>
      </c>
      <c r="AN2001">
        <v>0</v>
      </c>
      <c r="AO2001">
        <v>7962</v>
      </c>
      <c r="AP2001">
        <v>2016</v>
      </c>
      <c r="AQ2001">
        <v>1.67</v>
      </c>
      <c r="AS2001" t="s">
        <v>23612</v>
      </c>
      <c r="AT2001" t="s">
        <v>15040</v>
      </c>
      <c r="AU2001" t="s">
        <v>177</v>
      </c>
      <c r="AV2001" t="s">
        <v>371</v>
      </c>
      <c r="AW2001" t="s">
        <v>182</v>
      </c>
      <c r="AX2001">
        <v>0</v>
      </c>
      <c r="AY2001" t="s">
        <v>312</v>
      </c>
      <c r="AZ2001" t="s">
        <v>199</v>
      </c>
      <c r="BA2001" t="s">
        <v>313</v>
      </c>
      <c r="BB2001" t="s">
        <v>191</v>
      </c>
      <c r="BC2001" t="s">
        <v>182</v>
      </c>
      <c r="BD2001" t="s">
        <v>182</v>
      </c>
      <c r="BE2001" t="s">
        <v>6305</v>
      </c>
      <c r="BF2001">
        <v>0</v>
      </c>
      <c r="BG2001">
        <v>0</v>
      </c>
      <c r="BH2001">
        <v>0</v>
      </c>
      <c r="BI2001" t="s">
        <v>199</v>
      </c>
      <c r="BJ2001" t="s">
        <v>315</v>
      </c>
      <c r="BL2001" t="s">
        <v>23613</v>
      </c>
      <c r="BM2001" t="s">
        <v>346</v>
      </c>
      <c r="BN2001" t="s">
        <v>182</v>
      </c>
      <c r="BO2001" t="s">
        <v>198</v>
      </c>
      <c r="BP2001" t="s">
        <v>198</v>
      </c>
      <c r="BQ2001" t="s">
        <v>198</v>
      </c>
      <c r="BR2001" t="s">
        <v>198</v>
      </c>
      <c r="BS2001" t="s">
        <v>198</v>
      </c>
      <c r="BT2001" t="s">
        <v>198</v>
      </c>
      <c r="BU2001" t="s">
        <v>182</v>
      </c>
      <c r="BV2001" t="s">
        <v>198</v>
      </c>
      <c r="BW2001" t="s">
        <v>198</v>
      </c>
      <c r="BX2001" t="s">
        <v>199</v>
      </c>
      <c r="BY2001" t="s">
        <v>198</v>
      </c>
      <c r="BZ2001" t="s">
        <v>199</v>
      </c>
      <c r="CA2001" t="s">
        <v>199</v>
      </c>
      <c r="CB2001" t="s">
        <v>23614</v>
      </c>
      <c r="CC2001" t="s">
        <v>201</v>
      </c>
      <c r="CD2001" t="s">
        <v>182</v>
      </c>
      <c r="CE2001" t="s">
        <v>11716</v>
      </c>
      <c r="CF2001" t="s">
        <v>5331</v>
      </c>
      <c r="CG2001" t="s">
        <v>177</v>
      </c>
      <c r="CH2001" t="s">
        <v>5332</v>
      </c>
      <c r="CI2001" t="s">
        <v>18008</v>
      </c>
      <c r="CS2001" t="s">
        <v>198</v>
      </c>
      <c r="DC2001" t="s">
        <v>198</v>
      </c>
      <c r="DM2001" t="s">
        <v>198</v>
      </c>
      <c r="DW2001" t="s">
        <v>198</v>
      </c>
      <c r="EG2001" t="s">
        <v>198</v>
      </c>
      <c r="EQ2001" t="s">
        <v>198</v>
      </c>
      <c r="FA2001" t="s">
        <v>198</v>
      </c>
      <c r="FK2001" t="s">
        <v>198</v>
      </c>
      <c r="FU2001" t="s">
        <v>198</v>
      </c>
    </row>
    <row r="2002" spans="1:177">
      <c r="A2002" s="1" t="str">
        <f>HYPERLINK("http://digipan.lumentumllc.com/apps/getLink/index.php?t=PropLink&amp;p=5244073","PL")</f>
        <v>PL</v>
      </c>
      <c r="B2002" s="1" t="str">
        <f>HYPERLINK("http://digipan.lumentumllc.com/apps/getLink/index.php?t=TaxLink&amp;p=5244073","TL")</f>
        <v>TL</v>
      </c>
      <c r="C2002" s="1" t="str">
        <f>HYPERLINK("http://digipan.lumentumllc.com/apps/getMap/index.php?p=5244073","Map")</f>
        <v>Map</v>
      </c>
      <c r="E2002" t="s">
        <v>177</v>
      </c>
      <c r="F2002" t="s">
        <v>178</v>
      </c>
      <c r="L2002" t="s">
        <v>23615</v>
      </c>
      <c r="N2002" t="s">
        <v>23615</v>
      </c>
      <c r="O2002" t="s">
        <v>23615</v>
      </c>
      <c r="P2002" t="s">
        <v>23616</v>
      </c>
      <c r="Q2002" t="s">
        <v>23615</v>
      </c>
      <c r="V2002">
        <v>2287</v>
      </c>
      <c r="W2002">
        <v>7</v>
      </c>
      <c r="X2002">
        <v>2017</v>
      </c>
      <c r="Y2002">
        <v>2018</v>
      </c>
      <c r="Z2002">
        <v>3292.09</v>
      </c>
      <c r="AB2002" t="s">
        <v>181</v>
      </c>
      <c r="AC2002" t="s">
        <v>182</v>
      </c>
      <c r="AD2002" t="s">
        <v>183</v>
      </c>
      <c r="AE2002">
        <v>0</v>
      </c>
      <c r="AF2002">
        <v>4</v>
      </c>
      <c r="AG2002" t="s">
        <v>744</v>
      </c>
      <c r="AH2002">
        <v>100</v>
      </c>
      <c r="AK2002">
        <v>0</v>
      </c>
      <c r="AL2002">
        <v>240418</v>
      </c>
      <c r="AM2002">
        <v>167000</v>
      </c>
      <c r="AN2002">
        <v>73418</v>
      </c>
      <c r="AO2002">
        <v>3026</v>
      </c>
      <c r="AP2002">
        <v>2016</v>
      </c>
      <c r="AQ2002">
        <v>1.37</v>
      </c>
      <c r="AS2002" t="s">
        <v>23617</v>
      </c>
      <c r="AT2002" t="s">
        <v>15040</v>
      </c>
      <c r="AU2002" t="s">
        <v>177</v>
      </c>
      <c r="AV2002" t="s">
        <v>371</v>
      </c>
      <c r="AW2002" t="s">
        <v>202</v>
      </c>
      <c r="AX2002">
        <v>1</v>
      </c>
      <c r="AY2002" t="s">
        <v>188</v>
      </c>
      <c r="AZ2002" t="s">
        <v>206</v>
      </c>
      <c r="BA2002" t="s">
        <v>355</v>
      </c>
      <c r="BB2002" t="s">
        <v>191</v>
      </c>
      <c r="BC2002" t="s">
        <v>182</v>
      </c>
      <c r="BD2002" t="s">
        <v>182</v>
      </c>
      <c r="BE2002" t="s">
        <v>16288</v>
      </c>
      <c r="BF2002">
        <v>1</v>
      </c>
      <c r="BG2002">
        <v>1</v>
      </c>
      <c r="BH2002">
        <v>1941</v>
      </c>
      <c r="BI2002" t="s">
        <v>16841</v>
      </c>
      <c r="BJ2002" t="s">
        <v>285</v>
      </c>
      <c r="BK2002" t="s">
        <v>840</v>
      </c>
      <c r="BL2002" t="s">
        <v>199</v>
      </c>
      <c r="BM2002" t="s">
        <v>2351</v>
      </c>
      <c r="BN2002" t="s">
        <v>182</v>
      </c>
      <c r="BO2002" t="s">
        <v>198</v>
      </c>
      <c r="BP2002" t="s">
        <v>198</v>
      </c>
      <c r="BQ2002" t="s">
        <v>198</v>
      </c>
      <c r="BR2002" t="s">
        <v>198</v>
      </c>
      <c r="BS2002" t="s">
        <v>198</v>
      </c>
      <c r="BT2002" t="s">
        <v>198</v>
      </c>
      <c r="BU2002" t="s">
        <v>182</v>
      </c>
      <c r="BV2002" t="s">
        <v>198</v>
      </c>
      <c r="BW2002" t="s">
        <v>198</v>
      </c>
      <c r="BX2002" t="s">
        <v>199</v>
      </c>
      <c r="BY2002" t="s">
        <v>198</v>
      </c>
      <c r="BZ2002" t="s">
        <v>199</v>
      </c>
      <c r="CA2002" t="s">
        <v>199</v>
      </c>
      <c r="CB2002" t="s">
        <v>23618</v>
      </c>
      <c r="CC2002" t="s">
        <v>201</v>
      </c>
      <c r="CD2002" t="s">
        <v>202</v>
      </c>
      <c r="CE2002" t="s">
        <v>23619</v>
      </c>
      <c r="CF2002" t="s">
        <v>5331</v>
      </c>
      <c r="CG2002" t="s">
        <v>177</v>
      </c>
      <c r="CH2002" t="s">
        <v>371</v>
      </c>
      <c r="CI2002" t="s">
        <v>12322</v>
      </c>
      <c r="CJ2002" t="s">
        <v>20852</v>
      </c>
      <c r="CK2002" t="s">
        <v>232</v>
      </c>
      <c r="CL2002" t="s">
        <v>233</v>
      </c>
      <c r="CM2002" t="s">
        <v>23620</v>
      </c>
      <c r="CN2002" t="s">
        <v>235</v>
      </c>
      <c r="CO2002" t="s">
        <v>183</v>
      </c>
      <c r="CP2002" t="s">
        <v>211</v>
      </c>
      <c r="CQ2002" t="s">
        <v>296</v>
      </c>
      <c r="CS2002" t="s">
        <v>23621</v>
      </c>
      <c r="CT2002" t="s">
        <v>20937</v>
      </c>
      <c r="CU2002" t="s">
        <v>292</v>
      </c>
      <c r="CV2002" t="s">
        <v>293</v>
      </c>
      <c r="CW2002" t="s">
        <v>23622</v>
      </c>
      <c r="CX2002" t="s">
        <v>235</v>
      </c>
      <c r="CY2002" t="s">
        <v>183</v>
      </c>
      <c r="CZ2002" t="s">
        <v>211</v>
      </c>
      <c r="DA2002" t="s">
        <v>444</v>
      </c>
      <c r="DC2002" t="s">
        <v>23621</v>
      </c>
      <c r="DD2002" t="s">
        <v>232</v>
      </c>
      <c r="DE2002" t="s">
        <v>267</v>
      </c>
      <c r="DF2002" t="s">
        <v>268</v>
      </c>
      <c r="DG2002" t="s">
        <v>23623</v>
      </c>
      <c r="DH2002" t="s">
        <v>235</v>
      </c>
      <c r="DI2002" t="s">
        <v>183</v>
      </c>
      <c r="DJ2002" t="s">
        <v>211</v>
      </c>
      <c r="DK2002" t="s">
        <v>250</v>
      </c>
      <c r="DM2002" t="s">
        <v>8169</v>
      </c>
      <c r="DN2002" t="s">
        <v>23624</v>
      </c>
      <c r="DO2002" t="s">
        <v>346</v>
      </c>
      <c r="DP2002" t="s">
        <v>347</v>
      </c>
      <c r="DQ2002" t="s">
        <v>23625</v>
      </c>
      <c r="DR2002" t="s">
        <v>235</v>
      </c>
      <c r="DS2002" t="s">
        <v>183</v>
      </c>
      <c r="DT2002" t="s">
        <v>211</v>
      </c>
      <c r="DU2002" t="s">
        <v>199</v>
      </c>
      <c r="DW2002" t="s">
        <v>6142</v>
      </c>
      <c r="EG2002" t="s">
        <v>198</v>
      </c>
      <c r="EQ2002" t="s">
        <v>198</v>
      </c>
      <c r="FA2002" t="s">
        <v>198</v>
      </c>
      <c r="FK2002" t="s">
        <v>198</v>
      </c>
      <c r="FU2002" t="s">
        <v>198</v>
      </c>
    </row>
    <row r="2003" spans="1:177">
      <c r="A2003" s="1" t="str">
        <f>HYPERLINK("http://digipan.lumentumllc.com/apps/getLink/index.php?t=PropLink&amp;p=15728096","PL")</f>
        <v>PL</v>
      </c>
      <c r="B2003" s="1" t="str">
        <f>HYPERLINK("http://digipan.lumentumllc.com/apps/getLink/index.php?t=TaxLink&amp;p=15728096","TL")</f>
        <v>TL</v>
      </c>
      <c r="C2003" s="1" t="str">
        <f>HYPERLINK("http://digipan.lumentumllc.com/apps/getMap/index.php?p=15728096","Map")</f>
        <v>Map</v>
      </c>
      <c r="E2003" t="s">
        <v>177</v>
      </c>
      <c r="F2003" t="s">
        <v>178</v>
      </c>
      <c r="L2003" t="s">
        <v>23626</v>
      </c>
      <c r="N2003" t="s">
        <v>23626</v>
      </c>
      <c r="O2003" t="s">
        <v>23626</v>
      </c>
      <c r="Q2003" t="s">
        <v>23626</v>
      </c>
      <c r="V2003">
        <v>2288</v>
      </c>
      <c r="W2003">
        <v>7</v>
      </c>
      <c r="X2003">
        <v>2017</v>
      </c>
      <c r="Y2003">
        <v>2018</v>
      </c>
      <c r="Z2003">
        <v>43.1</v>
      </c>
      <c r="AG2003" t="s">
        <v>184</v>
      </c>
      <c r="AH2003">
        <v>0</v>
      </c>
      <c r="AK2003">
        <v>0</v>
      </c>
      <c r="AL2003">
        <v>750</v>
      </c>
      <c r="AM2003">
        <v>750</v>
      </c>
      <c r="AN2003">
        <v>0</v>
      </c>
      <c r="AO2003">
        <v>10</v>
      </c>
      <c r="AP2003">
        <v>2016</v>
      </c>
      <c r="AQ2003">
        <v>5.75</v>
      </c>
      <c r="AS2003" t="s">
        <v>23627</v>
      </c>
      <c r="AT2003" t="s">
        <v>15040</v>
      </c>
      <c r="AU2003" t="s">
        <v>177</v>
      </c>
      <c r="AV2003" t="s">
        <v>371</v>
      </c>
      <c r="AW2003" t="s">
        <v>182</v>
      </c>
      <c r="AX2003">
        <v>0</v>
      </c>
      <c r="AY2003" t="s">
        <v>312</v>
      </c>
      <c r="AZ2003" t="s">
        <v>199</v>
      </c>
      <c r="BA2003" t="s">
        <v>313</v>
      </c>
      <c r="BB2003" t="s">
        <v>191</v>
      </c>
      <c r="BC2003" t="s">
        <v>182</v>
      </c>
      <c r="BD2003" t="s">
        <v>182</v>
      </c>
      <c r="BE2003" t="s">
        <v>11206</v>
      </c>
      <c r="BF2003">
        <v>0</v>
      </c>
      <c r="BG2003">
        <v>0</v>
      </c>
      <c r="BH2003">
        <v>0</v>
      </c>
      <c r="BI2003" t="s">
        <v>199</v>
      </c>
      <c r="BJ2003" t="s">
        <v>248</v>
      </c>
      <c r="BL2003" t="s">
        <v>199</v>
      </c>
      <c r="BM2003" t="s">
        <v>358</v>
      </c>
      <c r="BN2003" t="s">
        <v>182</v>
      </c>
      <c r="BO2003" t="s">
        <v>198</v>
      </c>
      <c r="BP2003" t="s">
        <v>198</v>
      </c>
      <c r="BQ2003" t="s">
        <v>198</v>
      </c>
      <c r="BR2003" t="s">
        <v>198</v>
      </c>
      <c r="BS2003" t="s">
        <v>198</v>
      </c>
      <c r="BT2003" t="s">
        <v>198</v>
      </c>
      <c r="BU2003" t="s">
        <v>182</v>
      </c>
      <c r="BV2003" t="s">
        <v>198</v>
      </c>
      <c r="BW2003" t="s">
        <v>198</v>
      </c>
      <c r="BX2003" t="s">
        <v>199</v>
      </c>
      <c r="BY2003" t="s">
        <v>198</v>
      </c>
      <c r="BZ2003" t="s">
        <v>199</v>
      </c>
      <c r="CA2003" t="s">
        <v>199</v>
      </c>
      <c r="CB2003" t="s">
        <v>23628</v>
      </c>
      <c r="CC2003" t="s">
        <v>201</v>
      </c>
      <c r="CD2003" t="s">
        <v>202</v>
      </c>
      <c r="CE2003" t="s">
        <v>23629</v>
      </c>
      <c r="CF2003" t="s">
        <v>5331</v>
      </c>
      <c r="CG2003" t="s">
        <v>177</v>
      </c>
      <c r="CH2003" t="s">
        <v>371</v>
      </c>
      <c r="CI2003" t="s">
        <v>23630</v>
      </c>
      <c r="CS2003" t="s">
        <v>198</v>
      </c>
      <c r="DC2003" t="s">
        <v>198</v>
      </c>
      <c r="DM2003" t="s">
        <v>198</v>
      </c>
      <c r="DW2003" t="s">
        <v>198</v>
      </c>
      <c r="EG2003" t="s">
        <v>198</v>
      </c>
      <c r="EQ2003" t="s">
        <v>198</v>
      </c>
      <c r="FA2003" t="s">
        <v>198</v>
      </c>
      <c r="FK2003" t="s">
        <v>198</v>
      </c>
      <c r="FU2003" t="s">
        <v>198</v>
      </c>
    </row>
    <row r="2004" spans="1:177">
      <c r="A2004" s="1" t="str">
        <f>HYPERLINK("http://digipan.lumentumllc.com/apps/getLink/index.php?t=PropLink&amp;p=6886565","PL")</f>
        <v>PL</v>
      </c>
      <c r="B2004" s="1" t="str">
        <f>HYPERLINK("http://digipan.lumentumllc.com/apps/getLink/index.php?t=TaxLink&amp;p=6886565","TL")</f>
        <v>TL</v>
      </c>
      <c r="C2004" s="1" t="str">
        <f>HYPERLINK("http://digipan.lumentumllc.com/apps/getMap/index.php?p=6886565","Map")</f>
        <v>Map</v>
      </c>
      <c r="E2004" t="s">
        <v>177</v>
      </c>
      <c r="F2004" t="s">
        <v>178</v>
      </c>
      <c r="L2004" t="s">
        <v>23631</v>
      </c>
      <c r="N2004" t="s">
        <v>23631</v>
      </c>
      <c r="O2004" t="s">
        <v>23631</v>
      </c>
      <c r="P2004" t="s">
        <v>23632</v>
      </c>
      <c r="Q2004" t="s">
        <v>23631</v>
      </c>
      <c r="V2004">
        <v>2289</v>
      </c>
      <c r="W2004">
        <v>7</v>
      </c>
      <c r="X2004">
        <v>2017</v>
      </c>
      <c r="Y2004">
        <v>2018</v>
      </c>
      <c r="Z2004">
        <v>20837.91</v>
      </c>
      <c r="AB2004" t="s">
        <v>181</v>
      </c>
      <c r="AC2004" t="s">
        <v>182</v>
      </c>
      <c r="AD2004" t="s">
        <v>183</v>
      </c>
      <c r="AE2004">
        <v>0</v>
      </c>
      <c r="AF2004">
        <v>1</v>
      </c>
      <c r="AG2004" t="s">
        <v>821</v>
      </c>
      <c r="AH2004">
        <v>100</v>
      </c>
      <c r="AK2004">
        <v>0</v>
      </c>
      <c r="AL2004">
        <v>1250000</v>
      </c>
      <c r="AM2004">
        <v>1250000</v>
      </c>
      <c r="AN2004">
        <v>0</v>
      </c>
      <c r="AO2004">
        <v>19515</v>
      </c>
      <c r="AP2004">
        <v>2016</v>
      </c>
      <c r="AQ2004">
        <v>1.67</v>
      </c>
      <c r="AS2004" t="s">
        <v>23633</v>
      </c>
      <c r="AT2004" t="s">
        <v>15040</v>
      </c>
      <c r="AU2004" t="s">
        <v>177</v>
      </c>
      <c r="AV2004" t="s">
        <v>371</v>
      </c>
      <c r="AW2004" t="s">
        <v>182</v>
      </c>
      <c r="AX2004">
        <v>10</v>
      </c>
      <c r="AY2004" t="s">
        <v>3211</v>
      </c>
      <c r="AZ2004" t="s">
        <v>270</v>
      </c>
      <c r="BA2004" t="s">
        <v>3212</v>
      </c>
      <c r="BB2004" t="s">
        <v>191</v>
      </c>
      <c r="BC2004" t="s">
        <v>182</v>
      </c>
      <c r="BD2004" t="s">
        <v>182</v>
      </c>
      <c r="BE2004" t="s">
        <v>576</v>
      </c>
      <c r="BF2004">
        <v>0</v>
      </c>
      <c r="BG2004">
        <v>0</v>
      </c>
      <c r="BH2004">
        <v>0</v>
      </c>
      <c r="BI2004" t="s">
        <v>199</v>
      </c>
      <c r="BJ2004" t="s">
        <v>315</v>
      </c>
      <c r="BL2004" t="s">
        <v>23634</v>
      </c>
      <c r="BM2004" t="s">
        <v>302</v>
      </c>
      <c r="BN2004" t="s">
        <v>182</v>
      </c>
      <c r="BO2004" t="s">
        <v>1204</v>
      </c>
      <c r="BP2004" t="s">
        <v>23635</v>
      </c>
      <c r="BQ2004" t="s">
        <v>800</v>
      </c>
      <c r="BR2004" t="s">
        <v>563</v>
      </c>
      <c r="BS2004" t="s">
        <v>198</v>
      </c>
      <c r="BT2004" t="s">
        <v>23636</v>
      </c>
      <c r="BU2004" t="s">
        <v>182</v>
      </c>
      <c r="BV2004" t="s">
        <v>198</v>
      </c>
      <c r="BW2004" t="s">
        <v>198</v>
      </c>
      <c r="BX2004" t="s">
        <v>199</v>
      </c>
      <c r="BY2004" t="s">
        <v>198</v>
      </c>
      <c r="BZ2004" t="s">
        <v>199</v>
      </c>
      <c r="CA2004" t="s">
        <v>199</v>
      </c>
      <c r="CB2004" t="s">
        <v>23369</v>
      </c>
      <c r="CC2004" t="s">
        <v>201</v>
      </c>
      <c r="CD2004" t="s">
        <v>202</v>
      </c>
      <c r="CE2004" t="s">
        <v>23370</v>
      </c>
      <c r="CF2004" t="s">
        <v>413</v>
      </c>
      <c r="CG2004" t="s">
        <v>177</v>
      </c>
      <c r="CH2004" t="s">
        <v>804</v>
      </c>
      <c r="CI2004" t="s">
        <v>610</v>
      </c>
      <c r="CJ2004" t="s">
        <v>16561</v>
      </c>
      <c r="CK2004" t="s">
        <v>232</v>
      </c>
      <c r="CL2004" t="s">
        <v>233</v>
      </c>
      <c r="CM2004" t="s">
        <v>23637</v>
      </c>
      <c r="CN2004" t="s">
        <v>235</v>
      </c>
      <c r="CO2004" t="s">
        <v>183</v>
      </c>
      <c r="CP2004" t="s">
        <v>211</v>
      </c>
      <c r="CQ2004" t="s">
        <v>189</v>
      </c>
      <c r="CS2004" t="s">
        <v>23638</v>
      </c>
      <c r="DC2004" t="s">
        <v>198</v>
      </c>
      <c r="DM2004" t="s">
        <v>198</v>
      </c>
      <c r="DW2004" t="s">
        <v>198</v>
      </c>
      <c r="EG2004" t="s">
        <v>198</v>
      </c>
      <c r="EQ2004" t="s">
        <v>198</v>
      </c>
      <c r="FA2004" t="s">
        <v>198</v>
      </c>
      <c r="FK2004" t="s">
        <v>198</v>
      </c>
      <c r="FU2004" t="s">
        <v>198</v>
      </c>
    </row>
    <row r="2005" spans="1:177">
      <c r="A2005" s="1" t="str">
        <f>HYPERLINK("http://digipan.lumentumllc.com/apps/getLink/index.php?t=PropLink&amp;p=6461628","PL")</f>
        <v>PL</v>
      </c>
      <c r="B2005" s="1" t="str">
        <f>HYPERLINK("http://digipan.lumentumllc.com/apps/getLink/index.php?t=TaxLink&amp;p=6461628","TL")</f>
        <v>TL</v>
      </c>
      <c r="C2005" s="1" t="str">
        <f>HYPERLINK("http://digipan.lumentumllc.com/apps/getMap/index.php?p=6461628","Map")</f>
        <v>Map</v>
      </c>
      <c r="E2005" t="s">
        <v>177</v>
      </c>
      <c r="F2005" t="s">
        <v>178</v>
      </c>
      <c r="L2005" t="s">
        <v>23639</v>
      </c>
      <c r="N2005" t="s">
        <v>23639</v>
      </c>
      <c r="O2005" t="s">
        <v>23639</v>
      </c>
      <c r="P2005" t="s">
        <v>23640</v>
      </c>
      <c r="Q2005" t="s">
        <v>23639</v>
      </c>
      <c r="V2005">
        <v>2290</v>
      </c>
      <c r="W2005">
        <v>7</v>
      </c>
      <c r="X2005">
        <v>2017</v>
      </c>
      <c r="Y2005">
        <v>2018</v>
      </c>
      <c r="Z2005">
        <v>987.42</v>
      </c>
      <c r="AB2005" t="s">
        <v>181</v>
      </c>
      <c r="AC2005" t="s">
        <v>182</v>
      </c>
      <c r="AD2005" t="s">
        <v>183</v>
      </c>
      <c r="AE2005">
        <v>0</v>
      </c>
      <c r="AF2005">
        <v>2</v>
      </c>
      <c r="AG2005" t="s">
        <v>216</v>
      </c>
      <c r="AH2005">
        <v>100</v>
      </c>
      <c r="AK2005">
        <v>0</v>
      </c>
      <c r="AL2005">
        <v>128121</v>
      </c>
      <c r="AM2005">
        <v>60000</v>
      </c>
      <c r="AN2005">
        <v>68121</v>
      </c>
      <c r="AO2005">
        <v>868</v>
      </c>
      <c r="AP2005">
        <v>2016</v>
      </c>
      <c r="AQ2005">
        <v>0.77</v>
      </c>
      <c r="AS2005" t="s">
        <v>23641</v>
      </c>
      <c r="AT2005" t="s">
        <v>15040</v>
      </c>
      <c r="AU2005" t="s">
        <v>177</v>
      </c>
      <c r="AV2005" t="s">
        <v>371</v>
      </c>
      <c r="AW2005" t="s">
        <v>202</v>
      </c>
      <c r="AX2005">
        <v>1</v>
      </c>
      <c r="AY2005" t="s">
        <v>188</v>
      </c>
      <c r="AZ2005" t="s">
        <v>206</v>
      </c>
      <c r="BA2005" t="s">
        <v>355</v>
      </c>
      <c r="BB2005" t="s">
        <v>191</v>
      </c>
      <c r="BC2005" t="s">
        <v>182</v>
      </c>
      <c r="BD2005" t="s">
        <v>182</v>
      </c>
      <c r="BE2005" t="s">
        <v>3682</v>
      </c>
      <c r="BF2005">
        <v>1</v>
      </c>
      <c r="BG2005">
        <v>1</v>
      </c>
      <c r="BH2005">
        <v>1978</v>
      </c>
      <c r="BI2005" t="s">
        <v>669</v>
      </c>
      <c r="BJ2005" t="s">
        <v>194</v>
      </c>
      <c r="BK2005" t="s">
        <v>195</v>
      </c>
      <c r="BL2005" t="s">
        <v>199</v>
      </c>
      <c r="BM2005" t="s">
        <v>2582</v>
      </c>
      <c r="BN2005" t="s">
        <v>182</v>
      </c>
      <c r="BO2005" t="s">
        <v>23642</v>
      </c>
      <c r="BP2005" t="s">
        <v>23643</v>
      </c>
      <c r="BS2005" t="s">
        <v>23644</v>
      </c>
      <c r="BT2005" t="s">
        <v>198</v>
      </c>
      <c r="BU2005" t="s">
        <v>182</v>
      </c>
      <c r="BV2005" t="s">
        <v>198</v>
      </c>
      <c r="BW2005" t="s">
        <v>198</v>
      </c>
      <c r="BX2005" t="s">
        <v>199</v>
      </c>
      <c r="BY2005" t="s">
        <v>198</v>
      </c>
      <c r="BZ2005" t="s">
        <v>199</v>
      </c>
      <c r="CA2005" t="s">
        <v>199</v>
      </c>
      <c r="CB2005" t="s">
        <v>23645</v>
      </c>
      <c r="CC2005" t="s">
        <v>201</v>
      </c>
      <c r="CD2005" t="s">
        <v>182</v>
      </c>
      <c r="CE2005" t="s">
        <v>23646</v>
      </c>
      <c r="CF2005" t="s">
        <v>5331</v>
      </c>
      <c r="CG2005" t="s">
        <v>177</v>
      </c>
      <c r="CH2005" t="s">
        <v>371</v>
      </c>
      <c r="CI2005" t="s">
        <v>9482</v>
      </c>
      <c r="CJ2005" t="s">
        <v>15554</v>
      </c>
      <c r="CK2005" t="s">
        <v>267</v>
      </c>
      <c r="CL2005" t="s">
        <v>268</v>
      </c>
      <c r="CM2005" t="s">
        <v>23647</v>
      </c>
      <c r="CN2005" t="s">
        <v>235</v>
      </c>
      <c r="CO2005" t="s">
        <v>183</v>
      </c>
      <c r="CP2005" t="s">
        <v>211</v>
      </c>
      <c r="CQ2005" t="s">
        <v>199</v>
      </c>
      <c r="CS2005" t="s">
        <v>23648</v>
      </c>
      <c r="CT2005" t="s">
        <v>23649</v>
      </c>
      <c r="CU2005" t="s">
        <v>302</v>
      </c>
      <c r="CV2005" t="s">
        <v>303</v>
      </c>
      <c r="CW2005" t="s">
        <v>23650</v>
      </c>
      <c r="CX2005" t="s">
        <v>235</v>
      </c>
      <c r="CY2005" t="s">
        <v>183</v>
      </c>
      <c r="CZ2005" t="s">
        <v>211</v>
      </c>
      <c r="DA2005" t="s">
        <v>206</v>
      </c>
      <c r="DC2005" t="s">
        <v>6860</v>
      </c>
      <c r="DM2005" t="s">
        <v>198</v>
      </c>
      <c r="DW2005" t="s">
        <v>198</v>
      </c>
      <c r="EG2005" t="s">
        <v>198</v>
      </c>
      <c r="EQ2005" t="s">
        <v>198</v>
      </c>
      <c r="FA2005" t="s">
        <v>198</v>
      </c>
      <c r="FK2005" t="s">
        <v>198</v>
      </c>
      <c r="FU2005" t="s">
        <v>198</v>
      </c>
    </row>
    <row r="2006" spans="1:177">
      <c r="A2006" s="1" t="str">
        <f>HYPERLINK("http://digipan.lumentumllc.com/apps/getLink/index.php?t=PropLink&amp;p=5244082","PL")</f>
        <v>PL</v>
      </c>
      <c r="B2006" s="1" t="str">
        <f>HYPERLINK("http://digipan.lumentumllc.com/apps/getLink/index.php?t=TaxLink&amp;p=5244082","TL")</f>
        <v>TL</v>
      </c>
      <c r="C2006" s="1" t="str">
        <f>HYPERLINK("http://digipan.lumentumllc.com/apps/getMap/index.php?p=5244082","Map")</f>
        <v>Map</v>
      </c>
      <c r="E2006" t="s">
        <v>177</v>
      </c>
      <c r="F2006" t="s">
        <v>178</v>
      </c>
      <c r="L2006" t="s">
        <v>23651</v>
      </c>
      <c r="N2006" t="s">
        <v>23651</v>
      </c>
      <c r="O2006" t="s">
        <v>23651</v>
      </c>
      <c r="P2006" t="s">
        <v>23652</v>
      </c>
      <c r="Q2006" t="s">
        <v>23651</v>
      </c>
      <c r="V2006">
        <v>2291</v>
      </c>
      <c r="W2006">
        <v>7</v>
      </c>
      <c r="X2006">
        <v>2017</v>
      </c>
      <c r="Y2006">
        <v>2018</v>
      </c>
      <c r="Z2006">
        <v>100.65</v>
      </c>
      <c r="AB2006" t="s">
        <v>181</v>
      </c>
      <c r="AC2006" t="s">
        <v>182</v>
      </c>
      <c r="AD2006" t="s">
        <v>183</v>
      </c>
      <c r="AE2006">
        <v>2</v>
      </c>
      <c r="AF2006">
        <v>0</v>
      </c>
      <c r="AG2006" t="s">
        <v>1737</v>
      </c>
      <c r="AH2006">
        <v>0</v>
      </c>
      <c r="AI2006">
        <v>178.02</v>
      </c>
      <c r="AJ2006">
        <v>45.49</v>
      </c>
      <c r="AK2006">
        <v>223.51</v>
      </c>
      <c r="AL2006">
        <v>4125</v>
      </c>
      <c r="AM2006">
        <v>4125</v>
      </c>
      <c r="AN2006">
        <v>0</v>
      </c>
      <c r="AO2006">
        <v>60</v>
      </c>
      <c r="AP2006">
        <v>2016</v>
      </c>
      <c r="AQ2006">
        <v>2.44</v>
      </c>
      <c r="AR2006">
        <v>5.42</v>
      </c>
      <c r="AS2006" t="s">
        <v>23653</v>
      </c>
      <c r="AT2006" t="s">
        <v>15040</v>
      </c>
      <c r="AU2006" t="s">
        <v>177</v>
      </c>
      <c r="AV2006" t="s">
        <v>371</v>
      </c>
      <c r="AW2006" t="s">
        <v>182</v>
      </c>
      <c r="AX2006">
        <v>0</v>
      </c>
      <c r="AY2006" t="s">
        <v>312</v>
      </c>
      <c r="AZ2006" t="s">
        <v>199</v>
      </c>
      <c r="BA2006" t="s">
        <v>313</v>
      </c>
      <c r="BB2006" t="s">
        <v>191</v>
      </c>
      <c r="BC2006" t="s">
        <v>182</v>
      </c>
      <c r="BD2006" t="s">
        <v>182</v>
      </c>
      <c r="BE2006" t="s">
        <v>6673</v>
      </c>
      <c r="BF2006">
        <v>0</v>
      </c>
      <c r="BG2006">
        <v>0</v>
      </c>
      <c r="BH2006">
        <v>0</v>
      </c>
      <c r="BI2006" t="s">
        <v>199</v>
      </c>
      <c r="BJ2006" t="s">
        <v>315</v>
      </c>
      <c r="BL2006" t="s">
        <v>199</v>
      </c>
      <c r="BM2006" t="s">
        <v>292</v>
      </c>
      <c r="BN2006" t="s">
        <v>182</v>
      </c>
      <c r="BO2006" t="s">
        <v>198</v>
      </c>
      <c r="BP2006" t="s">
        <v>198</v>
      </c>
      <c r="BQ2006" t="s">
        <v>198</v>
      </c>
      <c r="BR2006" t="s">
        <v>198</v>
      </c>
      <c r="BS2006" t="s">
        <v>198</v>
      </c>
      <c r="BT2006" t="s">
        <v>198</v>
      </c>
      <c r="BU2006" t="s">
        <v>182</v>
      </c>
      <c r="BV2006" t="s">
        <v>198</v>
      </c>
      <c r="BW2006" t="s">
        <v>198</v>
      </c>
      <c r="BX2006" t="s">
        <v>199</v>
      </c>
      <c r="BY2006" t="s">
        <v>198</v>
      </c>
      <c r="BZ2006" t="s">
        <v>199</v>
      </c>
      <c r="CA2006" t="s">
        <v>199</v>
      </c>
      <c r="CB2006" t="s">
        <v>23654</v>
      </c>
      <c r="CC2006" t="s">
        <v>201</v>
      </c>
      <c r="CD2006" t="s">
        <v>202</v>
      </c>
      <c r="CE2006" t="s">
        <v>23655</v>
      </c>
      <c r="CF2006" t="s">
        <v>23656</v>
      </c>
      <c r="CG2006" t="s">
        <v>1602</v>
      </c>
      <c r="CH2006" t="s">
        <v>23657</v>
      </c>
      <c r="CI2006" t="s">
        <v>23658</v>
      </c>
      <c r="CJ2006" t="s">
        <v>17159</v>
      </c>
      <c r="CK2006" t="s">
        <v>232</v>
      </c>
      <c r="CL2006" t="s">
        <v>233</v>
      </c>
      <c r="CM2006" t="s">
        <v>23659</v>
      </c>
      <c r="CN2006" t="s">
        <v>1074</v>
      </c>
      <c r="CO2006" t="s">
        <v>183</v>
      </c>
      <c r="CP2006" t="s">
        <v>266</v>
      </c>
      <c r="CS2006" t="s">
        <v>198</v>
      </c>
      <c r="CT2006" t="s">
        <v>23660</v>
      </c>
      <c r="CU2006" t="s">
        <v>292</v>
      </c>
      <c r="CV2006" t="s">
        <v>293</v>
      </c>
      <c r="CW2006" t="s">
        <v>23661</v>
      </c>
      <c r="CX2006" t="s">
        <v>486</v>
      </c>
      <c r="CY2006" t="s">
        <v>183</v>
      </c>
      <c r="CZ2006" t="s">
        <v>266</v>
      </c>
      <c r="DC2006" t="s">
        <v>198</v>
      </c>
      <c r="DM2006" t="s">
        <v>198</v>
      </c>
      <c r="DW2006" t="s">
        <v>198</v>
      </c>
      <c r="EG2006" t="s">
        <v>198</v>
      </c>
      <c r="EQ2006" t="s">
        <v>198</v>
      </c>
      <c r="FA2006" t="s">
        <v>198</v>
      </c>
      <c r="FK2006" t="s">
        <v>198</v>
      </c>
      <c r="FU2006" t="s">
        <v>198</v>
      </c>
    </row>
    <row r="2007" spans="1:177">
      <c r="A2007" s="1" t="str">
        <f>HYPERLINK("http://digipan.lumentumllc.com/apps/getLink/index.php?t=PropLink&amp;p=6128638","PL")</f>
        <v>PL</v>
      </c>
      <c r="B2007" s="1" t="str">
        <f>HYPERLINK("http://digipan.lumentumllc.com/apps/getLink/index.php?t=TaxLink&amp;p=6128638","TL")</f>
        <v>TL</v>
      </c>
      <c r="C2007" s="1" t="str">
        <f>HYPERLINK("http://digipan.lumentumllc.com/apps/getMap/index.php?p=6128638","Map")</f>
        <v>Map</v>
      </c>
      <c r="E2007" t="s">
        <v>177</v>
      </c>
      <c r="F2007" t="s">
        <v>178</v>
      </c>
      <c r="L2007" t="s">
        <v>23662</v>
      </c>
      <c r="N2007" t="s">
        <v>23662</v>
      </c>
      <c r="O2007" t="s">
        <v>23662</v>
      </c>
      <c r="P2007" t="s">
        <v>23663</v>
      </c>
      <c r="Q2007" t="s">
        <v>23662</v>
      </c>
      <c r="V2007">
        <v>2292</v>
      </c>
      <c r="W2007">
        <v>7</v>
      </c>
      <c r="X2007">
        <v>2017</v>
      </c>
      <c r="Y2007">
        <v>2018</v>
      </c>
      <c r="Z2007">
        <v>603.66999999999996</v>
      </c>
      <c r="AB2007" t="s">
        <v>181</v>
      </c>
      <c r="AC2007" t="s">
        <v>182</v>
      </c>
      <c r="AD2007" t="s">
        <v>183</v>
      </c>
      <c r="AE2007">
        <v>0</v>
      </c>
      <c r="AF2007">
        <v>4</v>
      </c>
      <c r="AG2007" t="s">
        <v>381</v>
      </c>
      <c r="AH2007">
        <v>100</v>
      </c>
      <c r="AK2007">
        <v>0</v>
      </c>
      <c r="AL2007">
        <v>99250</v>
      </c>
      <c r="AM2007">
        <v>56250</v>
      </c>
      <c r="AN2007">
        <v>43000</v>
      </c>
      <c r="AO2007">
        <v>528</v>
      </c>
      <c r="AP2007">
        <v>2016</v>
      </c>
      <c r="AQ2007">
        <v>0.61</v>
      </c>
      <c r="AS2007" t="s">
        <v>23664</v>
      </c>
      <c r="AT2007" t="s">
        <v>15040</v>
      </c>
      <c r="AU2007" t="s">
        <v>177</v>
      </c>
      <c r="AV2007" t="s">
        <v>371</v>
      </c>
      <c r="AW2007" t="s">
        <v>202</v>
      </c>
      <c r="AX2007">
        <v>2</v>
      </c>
      <c r="AY2007" t="s">
        <v>188</v>
      </c>
      <c r="AZ2007" t="s">
        <v>189</v>
      </c>
      <c r="BA2007" t="s">
        <v>190</v>
      </c>
      <c r="BB2007" t="s">
        <v>191</v>
      </c>
      <c r="BC2007" t="s">
        <v>182</v>
      </c>
      <c r="BD2007" t="s">
        <v>182</v>
      </c>
      <c r="BE2007" t="s">
        <v>6618</v>
      </c>
      <c r="BF2007">
        <v>1</v>
      </c>
      <c r="BG2007">
        <v>1</v>
      </c>
      <c r="BH2007">
        <v>1985</v>
      </c>
      <c r="BI2007" t="s">
        <v>16095</v>
      </c>
      <c r="BJ2007" t="s">
        <v>194</v>
      </c>
      <c r="BK2007" t="s">
        <v>195</v>
      </c>
      <c r="BL2007" t="s">
        <v>944</v>
      </c>
      <c r="BM2007" t="s">
        <v>930</v>
      </c>
      <c r="BN2007" t="s">
        <v>182</v>
      </c>
      <c r="BO2007" t="s">
        <v>198</v>
      </c>
      <c r="BP2007" t="s">
        <v>198</v>
      </c>
      <c r="BQ2007" t="s">
        <v>198</v>
      </c>
      <c r="BR2007" t="s">
        <v>198</v>
      </c>
      <c r="BS2007" t="s">
        <v>198</v>
      </c>
      <c r="BT2007" t="s">
        <v>198</v>
      </c>
      <c r="BU2007" t="s">
        <v>182</v>
      </c>
      <c r="BV2007" t="s">
        <v>198</v>
      </c>
      <c r="BW2007" t="s">
        <v>198</v>
      </c>
      <c r="BX2007" t="s">
        <v>199</v>
      </c>
      <c r="BY2007" t="s">
        <v>198</v>
      </c>
      <c r="BZ2007" t="s">
        <v>199</v>
      </c>
      <c r="CA2007" t="s">
        <v>199</v>
      </c>
      <c r="CB2007" t="s">
        <v>15819</v>
      </c>
      <c r="CC2007" t="s">
        <v>201</v>
      </c>
      <c r="CD2007" t="s">
        <v>182</v>
      </c>
      <c r="CE2007" t="s">
        <v>23665</v>
      </c>
      <c r="CF2007" t="s">
        <v>5331</v>
      </c>
      <c r="CG2007" t="s">
        <v>177</v>
      </c>
      <c r="CH2007" t="s">
        <v>371</v>
      </c>
      <c r="CI2007" t="s">
        <v>23666</v>
      </c>
      <c r="CJ2007" t="s">
        <v>9869</v>
      </c>
      <c r="CK2007" t="s">
        <v>273</v>
      </c>
      <c r="CL2007" t="s">
        <v>274</v>
      </c>
      <c r="CM2007" t="s">
        <v>23667</v>
      </c>
      <c r="CN2007" t="s">
        <v>235</v>
      </c>
      <c r="CO2007" t="s">
        <v>183</v>
      </c>
      <c r="CP2007" t="s">
        <v>211</v>
      </c>
      <c r="CQ2007" t="s">
        <v>298</v>
      </c>
      <c r="CS2007" t="s">
        <v>462</v>
      </c>
      <c r="CT2007" t="s">
        <v>18923</v>
      </c>
      <c r="CU2007" t="s">
        <v>302</v>
      </c>
      <c r="CV2007" t="s">
        <v>303</v>
      </c>
      <c r="CW2007" t="s">
        <v>23668</v>
      </c>
      <c r="CX2007" t="s">
        <v>436</v>
      </c>
      <c r="CY2007" t="s">
        <v>183</v>
      </c>
      <c r="CZ2007" t="s">
        <v>211</v>
      </c>
      <c r="DA2007" t="s">
        <v>298</v>
      </c>
      <c r="DC2007" t="s">
        <v>464</v>
      </c>
      <c r="DD2007" t="s">
        <v>2724</v>
      </c>
      <c r="DE2007" t="s">
        <v>238</v>
      </c>
      <c r="DF2007" t="s">
        <v>239</v>
      </c>
      <c r="DG2007" t="s">
        <v>23669</v>
      </c>
      <c r="DH2007" t="s">
        <v>254</v>
      </c>
      <c r="DI2007" t="s">
        <v>183</v>
      </c>
      <c r="DJ2007" t="s">
        <v>211</v>
      </c>
      <c r="DK2007" t="s">
        <v>342</v>
      </c>
      <c r="DM2007" t="s">
        <v>8421</v>
      </c>
      <c r="DN2007" t="s">
        <v>13235</v>
      </c>
      <c r="DO2007" t="s">
        <v>207</v>
      </c>
      <c r="DP2007" t="s">
        <v>208</v>
      </c>
      <c r="DQ2007" t="s">
        <v>23670</v>
      </c>
      <c r="DR2007" t="s">
        <v>1676</v>
      </c>
      <c r="DS2007" t="s">
        <v>183</v>
      </c>
      <c r="DT2007" t="s">
        <v>211</v>
      </c>
      <c r="DU2007" t="s">
        <v>298</v>
      </c>
      <c r="DW2007" t="s">
        <v>5492</v>
      </c>
      <c r="EG2007" t="s">
        <v>198</v>
      </c>
      <c r="EQ2007" t="s">
        <v>198</v>
      </c>
      <c r="FA2007" t="s">
        <v>198</v>
      </c>
      <c r="FK2007" t="s">
        <v>198</v>
      </c>
      <c r="FU2007" t="s">
        <v>198</v>
      </c>
    </row>
    <row r="2008" spans="1:177">
      <c r="A2008" s="1" t="str">
        <f>HYPERLINK("http://digipan.lumentumllc.com/apps/getLink/index.php?t=PropLink&amp;p=6128639","PL")</f>
        <v>PL</v>
      </c>
      <c r="B2008" s="1" t="str">
        <f>HYPERLINK("http://digipan.lumentumllc.com/apps/getLink/index.php?t=TaxLink&amp;p=6128639","TL")</f>
        <v>TL</v>
      </c>
      <c r="C2008" s="1" t="str">
        <f>HYPERLINK("http://digipan.lumentumllc.com/apps/getMap/index.php?p=6128639","Map")</f>
        <v>Map</v>
      </c>
      <c r="E2008" t="s">
        <v>177</v>
      </c>
      <c r="F2008" t="s">
        <v>178</v>
      </c>
      <c r="L2008" t="s">
        <v>23671</v>
      </c>
      <c r="N2008" t="s">
        <v>23671</v>
      </c>
      <c r="O2008" t="s">
        <v>23671</v>
      </c>
      <c r="P2008" t="s">
        <v>23672</v>
      </c>
      <c r="Q2008" t="s">
        <v>23671</v>
      </c>
      <c r="V2008">
        <v>2293</v>
      </c>
      <c r="W2008">
        <v>7</v>
      </c>
      <c r="X2008">
        <v>2017</v>
      </c>
      <c r="Y2008">
        <v>2018</v>
      </c>
      <c r="Z2008">
        <v>897.67</v>
      </c>
      <c r="AB2008" t="s">
        <v>181</v>
      </c>
      <c r="AC2008" t="s">
        <v>182</v>
      </c>
      <c r="AD2008" t="s">
        <v>183</v>
      </c>
      <c r="AE2008">
        <v>0</v>
      </c>
      <c r="AF2008">
        <v>4</v>
      </c>
      <c r="AG2008" t="s">
        <v>381</v>
      </c>
      <c r="AH2008">
        <v>100</v>
      </c>
      <c r="AK2008">
        <v>0</v>
      </c>
      <c r="AL2008">
        <v>52698</v>
      </c>
      <c r="AM2008">
        <v>45000</v>
      </c>
      <c r="AN2008">
        <v>7698</v>
      </c>
      <c r="AO2008">
        <v>754</v>
      </c>
      <c r="AP2008">
        <v>2016</v>
      </c>
      <c r="AQ2008">
        <v>1.7</v>
      </c>
      <c r="AS2008" t="s">
        <v>23664</v>
      </c>
      <c r="AT2008" t="s">
        <v>15040</v>
      </c>
      <c r="AU2008" t="s">
        <v>177</v>
      </c>
      <c r="AV2008" t="s">
        <v>371</v>
      </c>
      <c r="AW2008" t="s">
        <v>182</v>
      </c>
      <c r="AX2008">
        <v>0</v>
      </c>
      <c r="AY2008" t="s">
        <v>312</v>
      </c>
      <c r="AZ2008" t="s">
        <v>199</v>
      </c>
      <c r="BA2008" t="s">
        <v>313</v>
      </c>
      <c r="BB2008" t="s">
        <v>191</v>
      </c>
      <c r="BC2008" t="s">
        <v>182</v>
      </c>
      <c r="BD2008" t="s">
        <v>182</v>
      </c>
      <c r="BE2008" t="s">
        <v>8096</v>
      </c>
      <c r="BF2008">
        <v>0</v>
      </c>
      <c r="BG2008">
        <v>0</v>
      </c>
      <c r="BH2008">
        <v>0</v>
      </c>
      <c r="BI2008" t="s">
        <v>199</v>
      </c>
      <c r="BJ2008" t="s">
        <v>248</v>
      </c>
      <c r="BL2008" t="s">
        <v>199</v>
      </c>
      <c r="BM2008" t="s">
        <v>945</v>
      </c>
      <c r="BN2008" t="s">
        <v>182</v>
      </c>
      <c r="BO2008" t="s">
        <v>198</v>
      </c>
      <c r="BP2008" t="s">
        <v>198</v>
      </c>
      <c r="BQ2008" t="s">
        <v>198</v>
      </c>
      <c r="BR2008" t="s">
        <v>198</v>
      </c>
      <c r="BS2008" t="s">
        <v>198</v>
      </c>
      <c r="BT2008" t="s">
        <v>198</v>
      </c>
      <c r="BU2008" t="s">
        <v>182</v>
      </c>
      <c r="BV2008" t="s">
        <v>198</v>
      </c>
      <c r="BW2008" t="s">
        <v>198</v>
      </c>
      <c r="BX2008" t="s">
        <v>199</v>
      </c>
      <c r="BY2008" t="s">
        <v>198</v>
      </c>
      <c r="BZ2008" t="s">
        <v>199</v>
      </c>
      <c r="CA2008" t="s">
        <v>199</v>
      </c>
      <c r="CB2008" t="s">
        <v>15819</v>
      </c>
      <c r="CC2008" t="s">
        <v>201</v>
      </c>
      <c r="CD2008" t="s">
        <v>182</v>
      </c>
      <c r="CE2008" t="s">
        <v>23665</v>
      </c>
      <c r="CF2008" t="s">
        <v>5331</v>
      </c>
      <c r="CG2008" t="s">
        <v>177</v>
      </c>
      <c r="CH2008" t="s">
        <v>371</v>
      </c>
      <c r="CI2008" t="s">
        <v>23666</v>
      </c>
      <c r="CJ2008" t="s">
        <v>9885</v>
      </c>
      <c r="CK2008" t="s">
        <v>273</v>
      </c>
      <c r="CL2008" t="s">
        <v>274</v>
      </c>
      <c r="CM2008" t="s">
        <v>23673</v>
      </c>
      <c r="CN2008" t="s">
        <v>235</v>
      </c>
      <c r="CO2008" t="s">
        <v>183</v>
      </c>
      <c r="CP2008" t="s">
        <v>211</v>
      </c>
      <c r="CQ2008" t="s">
        <v>298</v>
      </c>
      <c r="CS2008" t="s">
        <v>462</v>
      </c>
      <c r="CT2008" t="s">
        <v>18044</v>
      </c>
      <c r="CU2008" t="s">
        <v>302</v>
      </c>
      <c r="CV2008" t="s">
        <v>303</v>
      </c>
      <c r="CW2008" t="s">
        <v>23674</v>
      </c>
      <c r="CX2008" t="s">
        <v>927</v>
      </c>
      <c r="CY2008" t="s">
        <v>183</v>
      </c>
      <c r="CZ2008" t="s">
        <v>211</v>
      </c>
      <c r="DA2008" t="s">
        <v>298</v>
      </c>
      <c r="DC2008" t="s">
        <v>464</v>
      </c>
      <c r="DD2008" t="s">
        <v>2742</v>
      </c>
      <c r="DE2008" t="s">
        <v>238</v>
      </c>
      <c r="DF2008" t="s">
        <v>239</v>
      </c>
      <c r="DG2008" t="s">
        <v>23675</v>
      </c>
      <c r="DH2008" t="s">
        <v>402</v>
      </c>
      <c r="DI2008" t="s">
        <v>183</v>
      </c>
      <c r="DJ2008" t="s">
        <v>211</v>
      </c>
      <c r="DK2008" t="s">
        <v>342</v>
      </c>
      <c r="DM2008" t="s">
        <v>8421</v>
      </c>
      <c r="DN2008" t="s">
        <v>13251</v>
      </c>
      <c r="DO2008" t="s">
        <v>207</v>
      </c>
      <c r="DP2008" t="s">
        <v>208</v>
      </c>
      <c r="DQ2008" t="s">
        <v>23676</v>
      </c>
      <c r="DR2008" t="s">
        <v>341</v>
      </c>
      <c r="DS2008" t="s">
        <v>183</v>
      </c>
      <c r="DT2008" t="s">
        <v>211</v>
      </c>
      <c r="DU2008" t="s">
        <v>298</v>
      </c>
      <c r="DW2008" t="s">
        <v>5492</v>
      </c>
      <c r="EG2008" t="s">
        <v>198</v>
      </c>
      <c r="EQ2008" t="s">
        <v>198</v>
      </c>
      <c r="FA2008" t="s">
        <v>198</v>
      </c>
      <c r="FK2008" t="s">
        <v>198</v>
      </c>
      <c r="FU2008" t="s">
        <v>198</v>
      </c>
    </row>
    <row r="2009" spans="1:177">
      <c r="A2009" s="1" t="str">
        <f>HYPERLINK("http://digipan.lumentumllc.com/apps/getLink/index.php?t=PropLink&amp;p=6461629","PL")</f>
        <v>PL</v>
      </c>
      <c r="B2009" s="1" t="str">
        <f>HYPERLINK("http://digipan.lumentumllc.com/apps/getLink/index.php?t=TaxLink&amp;p=6461629","TL")</f>
        <v>TL</v>
      </c>
      <c r="C2009" s="1" t="str">
        <f>HYPERLINK("http://digipan.lumentumllc.com/apps/getMap/index.php?p=6461629","Map")</f>
        <v>Map</v>
      </c>
      <c r="E2009" t="s">
        <v>177</v>
      </c>
      <c r="F2009" t="s">
        <v>178</v>
      </c>
      <c r="L2009" t="s">
        <v>23677</v>
      </c>
      <c r="N2009" t="s">
        <v>23677</v>
      </c>
      <c r="O2009" t="s">
        <v>23677</v>
      </c>
      <c r="P2009" t="s">
        <v>23678</v>
      </c>
      <c r="Q2009" t="s">
        <v>23677</v>
      </c>
      <c r="V2009">
        <v>2294</v>
      </c>
      <c r="W2009">
        <v>7</v>
      </c>
      <c r="X2009">
        <v>2017</v>
      </c>
      <c r="Y2009">
        <v>2018</v>
      </c>
      <c r="Z2009">
        <v>2511.71</v>
      </c>
      <c r="AB2009" t="s">
        <v>181</v>
      </c>
      <c r="AC2009" t="s">
        <v>182</v>
      </c>
      <c r="AD2009" t="s">
        <v>183</v>
      </c>
      <c r="AE2009">
        <v>0</v>
      </c>
      <c r="AF2009">
        <v>1</v>
      </c>
      <c r="AG2009" t="s">
        <v>821</v>
      </c>
      <c r="AH2009">
        <v>100</v>
      </c>
      <c r="AK2009">
        <v>0</v>
      </c>
      <c r="AL2009">
        <v>198191</v>
      </c>
      <c r="AM2009">
        <v>80100</v>
      </c>
      <c r="AN2009">
        <v>118091</v>
      </c>
      <c r="AO2009">
        <v>2268</v>
      </c>
      <c r="AP2009">
        <v>2016</v>
      </c>
      <c r="AQ2009">
        <v>1.27</v>
      </c>
      <c r="AS2009" t="s">
        <v>23679</v>
      </c>
      <c r="AT2009" t="s">
        <v>15040</v>
      </c>
      <c r="AU2009" t="s">
        <v>177</v>
      </c>
      <c r="AV2009" t="s">
        <v>371</v>
      </c>
      <c r="AW2009" t="s">
        <v>202</v>
      </c>
      <c r="AX2009">
        <v>1</v>
      </c>
      <c r="AY2009" t="s">
        <v>188</v>
      </c>
      <c r="AZ2009" t="s">
        <v>206</v>
      </c>
      <c r="BA2009" t="s">
        <v>355</v>
      </c>
      <c r="BB2009" t="s">
        <v>191</v>
      </c>
      <c r="BC2009" t="s">
        <v>182</v>
      </c>
      <c r="BD2009" t="s">
        <v>182</v>
      </c>
      <c r="BE2009" t="s">
        <v>8792</v>
      </c>
      <c r="BF2009">
        <v>1</v>
      </c>
      <c r="BG2009">
        <v>1</v>
      </c>
      <c r="BH2009">
        <v>1956</v>
      </c>
      <c r="BI2009" t="s">
        <v>20699</v>
      </c>
      <c r="BJ2009" t="s">
        <v>194</v>
      </c>
      <c r="BK2009" t="s">
        <v>840</v>
      </c>
      <c r="BL2009" t="s">
        <v>199</v>
      </c>
      <c r="BM2009" t="s">
        <v>559</v>
      </c>
      <c r="BN2009" t="s">
        <v>182</v>
      </c>
      <c r="BO2009" t="s">
        <v>198</v>
      </c>
      <c r="BP2009" t="s">
        <v>198</v>
      </c>
      <c r="BQ2009" t="s">
        <v>198</v>
      </c>
      <c r="BR2009" t="s">
        <v>198</v>
      </c>
      <c r="BS2009" t="s">
        <v>198</v>
      </c>
      <c r="BT2009" t="s">
        <v>198</v>
      </c>
      <c r="BU2009" t="s">
        <v>182</v>
      </c>
      <c r="BV2009" t="s">
        <v>198</v>
      </c>
      <c r="BW2009" t="s">
        <v>198</v>
      </c>
      <c r="BX2009" t="s">
        <v>199</v>
      </c>
      <c r="BY2009" t="s">
        <v>198</v>
      </c>
      <c r="BZ2009" t="s">
        <v>199</v>
      </c>
      <c r="CA2009" t="s">
        <v>199</v>
      </c>
      <c r="CB2009" t="s">
        <v>23680</v>
      </c>
      <c r="CC2009" t="s">
        <v>201</v>
      </c>
      <c r="CD2009" t="s">
        <v>202</v>
      </c>
      <c r="CE2009" t="s">
        <v>23681</v>
      </c>
      <c r="CF2009" t="s">
        <v>5331</v>
      </c>
      <c r="CG2009" t="s">
        <v>177</v>
      </c>
      <c r="CH2009" t="s">
        <v>371</v>
      </c>
      <c r="CI2009" t="s">
        <v>23682</v>
      </c>
      <c r="CJ2009" t="s">
        <v>23609</v>
      </c>
      <c r="CK2009" t="s">
        <v>232</v>
      </c>
      <c r="CL2009" t="s">
        <v>233</v>
      </c>
      <c r="CM2009" t="s">
        <v>23683</v>
      </c>
      <c r="CN2009" t="s">
        <v>235</v>
      </c>
      <c r="CO2009" t="s">
        <v>183</v>
      </c>
      <c r="CP2009" t="s">
        <v>211</v>
      </c>
      <c r="CQ2009" t="s">
        <v>270</v>
      </c>
      <c r="CS2009" t="s">
        <v>9055</v>
      </c>
      <c r="DC2009" t="s">
        <v>198</v>
      </c>
      <c r="DM2009" t="s">
        <v>198</v>
      </c>
      <c r="DW2009" t="s">
        <v>198</v>
      </c>
      <c r="EG2009" t="s">
        <v>198</v>
      </c>
      <c r="EQ2009" t="s">
        <v>198</v>
      </c>
      <c r="FA2009" t="s">
        <v>198</v>
      </c>
      <c r="FK2009" t="s">
        <v>198</v>
      </c>
      <c r="FU2009" t="s">
        <v>198</v>
      </c>
    </row>
    <row r="2010" spans="1:177">
      <c r="A2010" s="1" t="str">
        <f>HYPERLINK("http://digipan.lumentumllc.com/apps/getLink/index.php?t=PropLink&amp;p=5244094","PL")</f>
        <v>PL</v>
      </c>
      <c r="B2010" s="1" t="str">
        <f>HYPERLINK("http://digipan.lumentumllc.com/apps/getLink/index.php?t=TaxLink&amp;p=5244094","TL")</f>
        <v>TL</v>
      </c>
      <c r="C2010" s="1" t="str">
        <f>HYPERLINK("http://digipan.lumentumllc.com/apps/getMap/index.php?p=5244094","Map")</f>
        <v>Map</v>
      </c>
      <c r="E2010" t="s">
        <v>177</v>
      </c>
      <c r="F2010" t="s">
        <v>178</v>
      </c>
      <c r="L2010" t="s">
        <v>23684</v>
      </c>
      <c r="N2010" t="s">
        <v>23684</v>
      </c>
      <c r="O2010" t="s">
        <v>23684</v>
      </c>
      <c r="P2010" t="s">
        <v>23685</v>
      </c>
      <c r="Q2010" t="s">
        <v>23684</v>
      </c>
      <c r="V2010">
        <v>2295</v>
      </c>
      <c r="W2010">
        <v>7</v>
      </c>
      <c r="X2010">
        <v>2017</v>
      </c>
      <c r="Y2010">
        <v>2018</v>
      </c>
      <c r="Z2010">
        <v>921.19</v>
      </c>
      <c r="AB2010" t="s">
        <v>181</v>
      </c>
      <c r="AC2010" t="s">
        <v>182</v>
      </c>
      <c r="AD2010" t="s">
        <v>183</v>
      </c>
      <c r="AE2010">
        <v>1</v>
      </c>
      <c r="AF2010">
        <v>7</v>
      </c>
      <c r="AG2010" t="s">
        <v>418</v>
      </c>
      <c r="AH2010">
        <v>86</v>
      </c>
      <c r="AI2010">
        <v>909.14</v>
      </c>
      <c r="AJ2010">
        <v>45.46</v>
      </c>
      <c r="AK2010">
        <v>954.6</v>
      </c>
      <c r="AL2010">
        <v>53422</v>
      </c>
      <c r="AM2010">
        <v>45000</v>
      </c>
      <c r="AN2010">
        <v>8422</v>
      </c>
      <c r="AO2010">
        <v>816</v>
      </c>
      <c r="AP2010">
        <v>2016</v>
      </c>
      <c r="AQ2010">
        <v>1.72</v>
      </c>
      <c r="AR2010">
        <v>1.79</v>
      </c>
      <c r="AS2010" t="s">
        <v>23686</v>
      </c>
      <c r="AT2010" t="s">
        <v>15040</v>
      </c>
      <c r="AU2010" t="s">
        <v>177</v>
      </c>
      <c r="AV2010" t="s">
        <v>371</v>
      </c>
      <c r="AW2010" t="s">
        <v>182</v>
      </c>
      <c r="AX2010">
        <v>2</v>
      </c>
      <c r="AY2010" t="s">
        <v>188</v>
      </c>
      <c r="AZ2010" t="s">
        <v>189</v>
      </c>
      <c r="BA2010" t="s">
        <v>190</v>
      </c>
      <c r="BB2010" t="s">
        <v>191</v>
      </c>
      <c r="BC2010" t="s">
        <v>182</v>
      </c>
      <c r="BD2010" t="s">
        <v>182</v>
      </c>
      <c r="BE2010" t="s">
        <v>3682</v>
      </c>
      <c r="BF2010">
        <v>1</v>
      </c>
      <c r="BG2010">
        <v>1</v>
      </c>
      <c r="BH2010">
        <v>1964</v>
      </c>
      <c r="BI2010" t="s">
        <v>23687</v>
      </c>
      <c r="BJ2010" t="s">
        <v>194</v>
      </c>
      <c r="BK2010" t="s">
        <v>195</v>
      </c>
      <c r="BL2010" t="s">
        <v>23688</v>
      </c>
      <c r="BM2010" t="s">
        <v>3644</v>
      </c>
      <c r="BN2010" t="s">
        <v>182</v>
      </c>
      <c r="BO2010" t="s">
        <v>198</v>
      </c>
      <c r="BP2010" t="s">
        <v>198</v>
      </c>
      <c r="BQ2010" t="s">
        <v>198</v>
      </c>
      <c r="BR2010" t="s">
        <v>198</v>
      </c>
      <c r="BS2010" t="s">
        <v>198</v>
      </c>
      <c r="BT2010" t="s">
        <v>198</v>
      </c>
      <c r="BU2010" t="s">
        <v>182</v>
      </c>
      <c r="BV2010" t="s">
        <v>198</v>
      </c>
      <c r="BW2010" t="s">
        <v>198</v>
      </c>
      <c r="BX2010" t="s">
        <v>199</v>
      </c>
      <c r="BY2010" t="s">
        <v>198</v>
      </c>
      <c r="BZ2010" t="s">
        <v>199</v>
      </c>
      <c r="CA2010" t="s">
        <v>199</v>
      </c>
      <c r="CB2010" t="s">
        <v>23689</v>
      </c>
      <c r="CC2010" t="s">
        <v>201</v>
      </c>
      <c r="CD2010" t="s">
        <v>202</v>
      </c>
      <c r="CE2010" t="s">
        <v>23690</v>
      </c>
      <c r="CF2010" t="s">
        <v>5331</v>
      </c>
      <c r="CG2010" t="s">
        <v>177</v>
      </c>
      <c r="CH2010" t="s">
        <v>371</v>
      </c>
      <c r="CI2010" t="s">
        <v>23691</v>
      </c>
      <c r="CJ2010" t="s">
        <v>12829</v>
      </c>
      <c r="CK2010" t="s">
        <v>232</v>
      </c>
      <c r="CL2010" t="s">
        <v>233</v>
      </c>
      <c r="CM2010" t="s">
        <v>23692</v>
      </c>
      <c r="CN2010" t="s">
        <v>235</v>
      </c>
      <c r="CO2010" t="s">
        <v>183</v>
      </c>
      <c r="CP2010" t="s">
        <v>266</v>
      </c>
      <c r="CS2010" t="s">
        <v>198</v>
      </c>
      <c r="CT2010" t="s">
        <v>23693</v>
      </c>
      <c r="CU2010" t="s">
        <v>292</v>
      </c>
      <c r="CV2010" t="s">
        <v>293</v>
      </c>
      <c r="CW2010" t="s">
        <v>23694</v>
      </c>
      <c r="CX2010" t="s">
        <v>235</v>
      </c>
      <c r="CY2010" t="s">
        <v>183</v>
      </c>
      <c r="CZ2010" t="s">
        <v>211</v>
      </c>
      <c r="DA2010" t="s">
        <v>212</v>
      </c>
      <c r="DC2010" t="s">
        <v>19535</v>
      </c>
      <c r="DD2010" t="s">
        <v>3570</v>
      </c>
      <c r="DE2010" t="s">
        <v>267</v>
      </c>
      <c r="DF2010" t="s">
        <v>268</v>
      </c>
      <c r="DG2010" t="s">
        <v>23695</v>
      </c>
      <c r="DH2010" t="s">
        <v>235</v>
      </c>
      <c r="DI2010" t="s">
        <v>183</v>
      </c>
      <c r="DJ2010" t="s">
        <v>211</v>
      </c>
      <c r="DK2010" t="s">
        <v>329</v>
      </c>
      <c r="DM2010" t="s">
        <v>871</v>
      </c>
      <c r="DN2010" t="s">
        <v>23696</v>
      </c>
      <c r="DO2010" t="s">
        <v>273</v>
      </c>
      <c r="DP2010" t="s">
        <v>274</v>
      </c>
      <c r="DQ2010" t="s">
        <v>23697</v>
      </c>
      <c r="DR2010" t="s">
        <v>235</v>
      </c>
      <c r="DS2010" t="s">
        <v>183</v>
      </c>
      <c r="DT2010" t="s">
        <v>211</v>
      </c>
      <c r="DU2010" t="s">
        <v>298</v>
      </c>
      <c r="DW2010" t="s">
        <v>871</v>
      </c>
      <c r="DX2010" t="s">
        <v>21378</v>
      </c>
      <c r="DY2010" t="s">
        <v>302</v>
      </c>
      <c r="DZ2010" t="s">
        <v>303</v>
      </c>
      <c r="EA2010" t="s">
        <v>23698</v>
      </c>
      <c r="EB2010" t="s">
        <v>235</v>
      </c>
      <c r="EC2010" t="s">
        <v>183</v>
      </c>
      <c r="ED2010" t="s">
        <v>211</v>
      </c>
      <c r="EE2010" t="s">
        <v>523</v>
      </c>
      <c r="EG2010" t="s">
        <v>23699</v>
      </c>
      <c r="EH2010" t="s">
        <v>2968</v>
      </c>
      <c r="EI2010" t="s">
        <v>238</v>
      </c>
      <c r="EJ2010" t="s">
        <v>239</v>
      </c>
      <c r="EK2010" t="s">
        <v>23700</v>
      </c>
      <c r="EL2010" t="s">
        <v>615</v>
      </c>
      <c r="EM2010" t="s">
        <v>183</v>
      </c>
      <c r="EN2010" t="s">
        <v>211</v>
      </c>
      <c r="EO2010" t="s">
        <v>296</v>
      </c>
      <c r="EQ2010" t="s">
        <v>15459</v>
      </c>
      <c r="ER2010" t="s">
        <v>23701</v>
      </c>
      <c r="ES2010" t="s">
        <v>346</v>
      </c>
      <c r="ET2010" t="s">
        <v>347</v>
      </c>
      <c r="EU2010" t="s">
        <v>23702</v>
      </c>
      <c r="EV2010" t="s">
        <v>391</v>
      </c>
      <c r="EW2010" t="s">
        <v>183</v>
      </c>
      <c r="EX2010" t="s">
        <v>211</v>
      </c>
      <c r="EY2010" t="s">
        <v>264</v>
      </c>
      <c r="FA2010" t="s">
        <v>23703</v>
      </c>
      <c r="FB2010" t="s">
        <v>13267</v>
      </c>
      <c r="FC2010" t="s">
        <v>207</v>
      </c>
      <c r="FD2010" t="s">
        <v>208</v>
      </c>
      <c r="FE2010" t="s">
        <v>23704</v>
      </c>
      <c r="FF2010" t="s">
        <v>1676</v>
      </c>
      <c r="FG2010" t="s">
        <v>183</v>
      </c>
      <c r="FH2010" t="s">
        <v>211</v>
      </c>
      <c r="FI2010" t="s">
        <v>471</v>
      </c>
      <c r="FK2010" t="s">
        <v>23703</v>
      </c>
      <c r="FU2010" t="s">
        <v>198</v>
      </c>
    </row>
    <row r="2011" spans="1:177">
      <c r="A2011" s="1" t="str">
        <f>HYPERLINK("http://digipan.lumentumllc.com/apps/getLink/index.php?t=PropLink&amp;p=5244102","PL")</f>
        <v>PL</v>
      </c>
      <c r="B2011" s="1" t="str">
        <f>HYPERLINK("http://digipan.lumentumllc.com/apps/getLink/index.php?t=TaxLink&amp;p=5244102","TL")</f>
        <v>TL</v>
      </c>
      <c r="C2011" s="1" t="str">
        <f>HYPERLINK("http://digipan.lumentumllc.com/apps/getMap/index.php?p=5244102","Map")</f>
        <v>Map</v>
      </c>
      <c r="E2011" t="s">
        <v>177</v>
      </c>
      <c r="F2011" t="s">
        <v>178</v>
      </c>
      <c r="L2011" t="s">
        <v>23705</v>
      </c>
      <c r="N2011" t="s">
        <v>23705</v>
      </c>
      <c r="O2011" t="s">
        <v>23705</v>
      </c>
      <c r="P2011" t="s">
        <v>23706</v>
      </c>
      <c r="Q2011" t="s">
        <v>23705</v>
      </c>
      <c r="V2011">
        <v>2296</v>
      </c>
      <c r="W2011">
        <v>7</v>
      </c>
      <c r="X2011">
        <v>2017</v>
      </c>
      <c r="Y2011">
        <v>2018</v>
      </c>
      <c r="Z2011">
        <v>2921.2</v>
      </c>
      <c r="AB2011" t="s">
        <v>181</v>
      </c>
      <c r="AC2011" t="s">
        <v>182</v>
      </c>
      <c r="AD2011" t="s">
        <v>183</v>
      </c>
      <c r="AE2011">
        <v>1</v>
      </c>
      <c r="AF2011">
        <v>7</v>
      </c>
      <c r="AG2011" t="s">
        <v>418</v>
      </c>
      <c r="AH2011">
        <v>86</v>
      </c>
      <c r="AI2011">
        <v>2919.95</v>
      </c>
      <c r="AJ2011">
        <v>146</v>
      </c>
      <c r="AK2011">
        <v>3065.95</v>
      </c>
      <c r="AL2011">
        <v>173581</v>
      </c>
      <c r="AM2011">
        <v>123420</v>
      </c>
      <c r="AN2011">
        <v>50161</v>
      </c>
      <c r="AO2011">
        <v>2675</v>
      </c>
      <c r="AP2011">
        <v>2016</v>
      </c>
      <c r="AQ2011">
        <v>1.68</v>
      </c>
      <c r="AR2011">
        <v>1.77</v>
      </c>
      <c r="AS2011" t="s">
        <v>23707</v>
      </c>
      <c r="AT2011" t="s">
        <v>15040</v>
      </c>
      <c r="AU2011" t="s">
        <v>177</v>
      </c>
      <c r="AV2011" t="s">
        <v>371</v>
      </c>
      <c r="AW2011" t="s">
        <v>182</v>
      </c>
      <c r="AX2011">
        <v>1</v>
      </c>
      <c r="AY2011" t="s">
        <v>188</v>
      </c>
      <c r="AZ2011" t="s">
        <v>206</v>
      </c>
      <c r="BA2011" t="s">
        <v>355</v>
      </c>
      <c r="BB2011" t="s">
        <v>191</v>
      </c>
      <c r="BC2011" t="s">
        <v>182</v>
      </c>
      <c r="BD2011" t="s">
        <v>182</v>
      </c>
      <c r="BE2011" t="s">
        <v>5948</v>
      </c>
      <c r="BF2011">
        <v>1</v>
      </c>
      <c r="BG2011">
        <v>1</v>
      </c>
      <c r="BH2011">
        <v>1960</v>
      </c>
      <c r="BI2011" t="s">
        <v>2762</v>
      </c>
      <c r="BJ2011" t="s">
        <v>194</v>
      </c>
      <c r="BK2011" t="s">
        <v>195</v>
      </c>
      <c r="BL2011" t="s">
        <v>16455</v>
      </c>
      <c r="BM2011" t="s">
        <v>7155</v>
      </c>
      <c r="BN2011" t="s">
        <v>182</v>
      </c>
      <c r="BO2011" t="s">
        <v>198</v>
      </c>
      <c r="BP2011" t="s">
        <v>198</v>
      </c>
      <c r="BQ2011" t="s">
        <v>198</v>
      </c>
      <c r="BR2011" t="s">
        <v>198</v>
      </c>
      <c r="BS2011" t="s">
        <v>198</v>
      </c>
      <c r="BT2011" t="s">
        <v>198</v>
      </c>
      <c r="BU2011" t="s">
        <v>182</v>
      </c>
      <c r="BV2011" t="s">
        <v>198</v>
      </c>
      <c r="BW2011" t="s">
        <v>198</v>
      </c>
      <c r="BX2011" t="s">
        <v>199</v>
      </c>
      <c r="BY2011" t="s">
        <v>198</v>
      </c>
      <c r="BZ2011" t="s">
        <v>199</v>
      </c>
      <c r="CA2011" t="s">
        <v>199</v>
      </c>
      <c r="CB2011" t="s">
        <v>23708</v>
      </c>
      <c r="CC2011" t="s">
        <v>201</v>
      </c>
      <c r="CD2011" t="s">
        <v>202</v>
      </c>
      <c r="CE2011" t="s">
        <v>23709</v>
      </c>
      <c r="CF2011" t="s">
        <v>5331</v>
      </c>
      <c r="CG2011" t="s">
        <v>177</v>
      </c>
      <c r="CH2011" t="s">
        <v>371</v>
      </c>
      <c r="CI2011" t="s">
        <v>23710</v>
      </c>
      <c r="CJ2011" t="s">
        <v>17962</v>
      </c>
      <c r="CK2011" t="s">
        <v>232</v>
      </c>
      <c r="CL2011" t="s">
        <v>233</v>
      </c>
      <c r="CM2011" t="s">
        <v>23711</v>
      </c>
      <c r="CN2011" t="s">
        <v>235</v>
      </c>
      <c r="CO2011" t="s">
        <v>183</v>
      </c>
      <c r="CP2011" t="s">
        <v>266</v>
      </c>
      <c r="CS2011" t="s">
        <v>198</v>
      </c>
      <c r="CT2011" t="s">
        <v>20995</v>
      </c>
      <c r="CU2011" t="s">
        <v>292</v>
      </c>
      <c r="CV2011" t="s">
        <v>293</v>
      </c>
      <c r="CW2011" t="s">
        <v>23712</v>
      </c>
      <c r="CX2011" t="s">
        <v>235</v>
      </c>
      <c r="CY2011" t="s">
        <v>183</v>
      </c>
      <c r="CZ2011" t="s">
        <v>211</v>
      </c>
      <c r="DA2011" t="s">
        <v>298</v>
      </c>
      <c r="DC2011" t="s">
        <v>1641</v>
      </c>
      <c r="DD2011" t="s">
        <v>5486</v>
      </c>
      <c r="DE2011" t="s">
        <v>267</v>
      </c>
      <c r="DF2011" t="s">
        <v>268</v>
      </c>
      <c r="DG2011" t="s">
        <v>23713</v>
      </c>
      <c r="DH2011" t="s">
        <v>235</v>
      </c>
      <c r="DI2011" t="s">
        <v>183</v>
      </c>
      <c r="DJ2011" t="s">
        <v>211</v>
      </c>
      <c r="DK2011" t="s">
        <v>345</v>
      </c>
      <c r="DM2011" t="s">
        <v>542</v>
      </c>
      <c r="DN2011" t="s">
        <v>23714</v>
      </c>
      <c r="DO2011" t="s">
        <v>273</v>
      </c>
      <c r="DP2011" t="s">
        <v>274</v>
      </c>
      <c r="DQ2011" t="s">
        <v>23715</v>
      </c>
      <c r="DR2011" t="s">
        <v>235</v>
      </c>
      <c r="DS2011" t="s">
        <v>183</v>
      </c>
      <c r="DT2011" t="s">
        <v>211</v>
      </c>
      <c r="DU2011" t="s">
        <v>298</v>
      </c>
      <c r="DW2011" t="s">
        <v>2856</v>
      </c>
      <c r="DX2011" t="s">
        <v>1386</v>
      </c>
      <c r="DY2011" t="s">
        <v>302</v>
      </c>
      <c r="DZ2011" t="s">
        <v>303</v>
      </c>
      <c r="EA2011" t="s">
        <v>23716</v>
      </c>
      <c r="EB2011" t="s">
        <v>235</v>
      </c>
      <c r="EC2011" t="s">
        <v>183</v>
      </c>
      <c r="ED2011" t="s">
        <v>211</v>
      </c>
      <c r="EE2011" t="s">
        <v>345</v>
      </c>
      <c r="EG2011" t="s">
        <v>1372</v>
      </c>
      <c r="EH2011" t="s">
        <v>2885</v>
      </c>
      <c r="EI2011" t="s">
        <v>238</v>
      </c>
      <c r="EJ2011" t="s">
        <v>239</v>
      </c>
      <c r="EK2011" t="s">
        <v>3653</v>
      </c>
      <c r="EL2011" t="s">
        <v>235</v>
      </c>
      <c r="EM2011" t="s">
        <v>183</v>
      </c>
      <c r="EN2011" t="s">
        <v>211</v>
      </c>
      <c r="EO2011" t="s">
        <v>298</v>
      </c>
      <c r="EQ2011" t="s">
        <v>467</v>
      </c>
      <c r="ER2011" t="s">
        <v>23717</v>
      </c>
      <c r="ES2011" t="s">
        <v>346</v>
      </c>
      <c r="ET2011" t="s">
        <v>347</v>
      </c>
      <c r="EU2011" t="s">
        <v>23718</v>
      </c>
      <c r="EV2011" t="s">
        <v>511</v>
      </c>
      <c r="EW2011" t="s">
        <v>183</v>
      </c>
      <c r="EX2011" t="s">
        <v>211</v>
      </c>
      <c r="EY2011" t="s">
        <v>298</v>
      </c>
      <c r="FA2011" t="s">
        <v>1622</v>
      </c>
      <c r="FB2011" t="s">
        <v>23719</v>
      </c>
      <c r="FC2011" t="s">
        <v>207</v>
      </c>
      <c r="FD2011" t="s">
        <v>208</v>
      </c>
      <c r="FE2011" t="s">
        <v>23720</v>
      </c>
      <c r="FF2011" t="s">
        <v>235</v>
      </c>
      <c r="FG2011" t="s">
        <v>183</v>
      </c>
      <c r="FH2011" t="s">
        <v>211</v>
      </c>
      <c r="FI2011" t="s">
        <v>298</v>
      </c>
      <c r="FK2011" t="s">
        <v>1167</v>
      </c>
      <c r="FU2011" t="s">
        <v>198</v>
      </c>
    </row>
    <row r="2012" spans="1:177">
      <c r="A2012" s="1" t="str">
        <f>HYPERLINK("http://digipan.lumentumllc.com/apps/getLink/index.php?t=PropLink&amp;p=5244105","PL")</f>
        <v>PL</v>
      </c>
      <c r="B2012" s="1" t="str">
        <f>HYPERLINK("http://digipan.lumentumllc.com/apps/getLink/index.php?t=TaxLink&amp;p=5244105","TL")</f>
        <v>TL</v>
      </c>
      <c r="C2012" s="1" t="str">
        <f>HYPERLINK("http://digipan.lumentumllc.com/apps/getMap/index.php?p=5244105","Map")</f>
        <v>Map</v>
      </c>
      <c r="E2012" t="s">
        <v>177</v>
      </c>
      <c r="F2012" t="s">
        <v>178</v>
      </c>
      <c r="L2012" t="s">
        <v>23721</v>
      </c>
      <c r="N2012" t="s">
        <v>23721</v>
      </c>
      <c r="O2012" t="s">
        <v>23721</v>
      </c>
      <c r="P2012" t="s">
        <v>23722</v>
      </c>
      <c r="Q2012" t="s">
        <v>23721</v>
      </c>
      <c r="V2012">
        <v>2297</v>
      </c>
      <c r="W2012">
        <v>7</v>
      </c>
      <c r="X2012">
        <v>2017</v>
      </c>
      <c r="Y2012">
        <v>2018</v>
      </c>
      <c r="Z2012">
        <v>3201.78</v>
      </c>
      <c r="AB2012" t="s">
        <v>181</v>
      </c>
      <c r="AC2012" t="s">
        <v>182</v>
      </c>
      <c r="AD2012" t="s">
        <v>183</v>
      </c>
      <c r="AE2012">
        <v>1</v>
      </c>
      <c r="AF2012">
        <v>7</v>
      </c>
      <c r="AG2012" t="s">
        <v>418</v>
      </c>
      <c r="AH2012">
        <v>86</v>
      </c>
      <c r="AI2012">
        <v>3153.01</v>
      </c>
      <c r="AJ2012">
        <v>157.65</v>
      </c>
      <c r="AK2012">
        <v>3310.66</v>
      </c>
      <c r="AL2012">
        <v>279569</v>
      </c>
      <c r="AM2012">
        <v>90000</v>
      </c>
      <c r="AN2012">
        <v>189569</v>
      </c>
      <c r="AO2012">
        <v>2890</v>
      </c>
      <c r="AP2012">
        <v>2016</v>
      </c>
      <c r="AQ2012">
        <v>1.1499999999999999</v>
      </c>
      <c r="AR2012">
        <v>1.18</v>
      </c>
      <c r="AS2012" t="s">
        <v>23723</v>
      </c>
      <c r="AT2012" t="s">
        <v>15040</v>
      </c>
      <c r="AU2012" t="s">
        <v>177</v>
      </c>
      <c r="AV2012" t="s">
        <v>371</v>
      </c>
      <c r="AW2012" t="s">
        <v>202</v>
      </c>
      <c r="AX2012">
        <v>1</v>
      </c>
      <c r="AY2012" t="s">
        <v>188</v>
      </c>
      <c r="AZ2012" t="s">
        <v>206</v>
      </c>
      <c r="BA2012" t="s">
        <v>355</v>
      </c>
      <c r="BB2012" t="s">
        <v>191</v>
      </c>
      <c r="BC2012" t="s">
        <v>182</v>
      </c>
      <c r="BD2012" t="s">
        <v>182</v>
      </c>
      <c r="BE2012" t="s">
        <v>3956</v>
      </c>
      <c r="BF2012">
        <v>1</v>
      </c>
      <c r="BG2012">
        <v>1</v>
      </c>
      <c r="BH2012">
        <v>1998</v>
      </c>
      <c r="BI2012" t="s">
        <v>23724</v>
      </c>
      <c r="BJ2012" t="s">
        <v>396</v>
      </c>
      <c r="BK2012" t="s">
        <v>195</v>
      </c>
      <c r="BL2012" t="s">
        <v>23725</v>
      </c>
      <c r="BM2012" t="s">
        <v>368</v>
      </c>
      <c r="BN2012" t="s">
        <v>182</v>
      </c>
      <c r="BO2012" t="s">
        <v>23726</v>
      </c>
      <c r="BP2012" t="s">
        <v>1696</v>
      </c>
      <c r="BS2012" t="s">
        <v>23727</v>
      </c>
      <c r="BT2012" t="s">
        <v>198</v>
      </c>
      <c r="BU2012" t="s">
        <v>182</v>
      </c>
      <c r="BV2012" t="s">
        <v>198</v>
      </c>
      <c r="BW2012" t="s">
        <v>198</v>
      </c>
      <c r="BX2012" t="s">
        <v>199</v>
      </c>
      <c r="BY2012" t="s">
        <v>198</v>
      </c>
      <c r="BZ2012" t="s">
        <v>199</v>
      </c>
      <c r="CA2012" t="s">
        <v>199</v>
      </c>
      <c r="CB2012" t="s">
        <v>23728</v>
      </c>
      <c r="CC2012" t="s">
        <v>201</v>
      </c>
      <c r="CD2012" t="s">
        <v>182</v>
      </c>
      <c r="CE2012" t="s">
        <v>23729</v>
      </c>
      <c r="CF2012" t="s">
        <v>5331</v>
      </c>
      <c r="CG2012" t="s">
        <v>177</v>
      </c>
      <c r="CH2012" t="s">
        <v>371</v>
      </c>
      <c r="CI2012" t="s">
        <v>1335</v>
      </c>
      <c r="CJ2012" t="s">
        <v>20995</v>
      </c>
      <c r="CK2012" t="s">
        <v>232</v>
      </c>
      <c r="CL2012" t="s">
        <v>233</v>
      </c>
      <c r="CM2012" t="s">
        <v>23730</v>
      </c>
      <c r="CN2012" t="s">
        <v>235</v>
      </c>
      <c r="CO2012" t="s">
        <v>183</v>
      </c>
      <c r="CP2012" t="s">
        <v>266</v>
      </c>
      <c r="CS2012" t="s">
        <v>198</v>
      </c>
      <c r="CT2012" t="s">
        <v>23731</v>
      </c>
      <c r="CU2012" t="s">
        <v>292</v>
      </c>
      <c r="CV2012" t="s">
        <v>293</v>
      </c>
      <c r="CW2012" t="s">
        <v>23732</v>
      </c>
      <c r="CX2012" t="s">
        <v>235</v>
      </c>
      <c r="CY2012" t="s">
        <v>183</v>
      </c>
      <c r="CZ2012" t="s">
        <v>211</v>
      </c>
      <c r="DA2012" t="s">
        <v>298</v>
      </c>
      <c r="DC2012" t="s">
        <v>457</v>
      </c>
      <c r="DD2012" t="s">
        <v>15733</v>
      </c>
      <c r="DE2012" t="s">
        <v>267</v>
      </c>
      <c r="DF2012" t="s">
        <v>268</v>
      </c>
      <c r="DG2012" t="s">
        <v>23733</v>
      </c>
      <c r="DH2012" t="s">
        <v>235</v>
      </c>
      <c r="DI2012" t="s">
        <v>183</v>
      </c>
      <c r="DJ2012" t="s">
        <v>211</v>
      </c>
      <c r="DK2012" t="s">
        <v>298</v>
      </c>
      <c r="DM2012" t="s">
        <v>459</v>
      </c>
      <c r="DN2012" t="s">
        <v>18048</v>
      </c>
      <c r="DO2012" t="s">
        <v>273</v>
      </c>
      <c r="DP2012" t="s">
        <v>274</v>
      </c>
      <c r="DQ2012" t="s">
        <v>23734</v>
      </c>
      <c r="DR2012" t="s">
        <v>235</v>
      </c>
      <c r="DS2012" t="s">
        <v>183</v>
      </c>
      <c r="DT2012" t="s">
        <v>211</v>
      </c>
      <c r="DU2012" t="s">
        <v>298</v>
      </c>
      <c r="DW2012" t="s">
        <v>1645</v>
      </c>
      <c r="DX2012" t="s">
        <v>1823</v>
      </c>
      <c r="DY2012" t="s">
        <v>302</v>
      </c>
      <c r="DZ2012" t="s">
        <v>303</v>
      </c>
      <c r="EA2012" t="s">
        <v>23735</v>
      </c>
      <c r="EB2012" t="s">
        <v>235</v>
      </c>
      <c r="EC2012" t="s">
        <v>183</v>
      </c>
      <c r="ED2012" t="s">
        <v>211</v>
      </c>
      <c r="EE2012" t="s">
        <v>329</v>
      </c>
      <c r="EG2012" t="s">
        <v>1815</v>
      </c>
      <c r="EH2012" t="s">
        <v>2943</v>
      </c>
      <c r="EI2012" t="s">
        <v>238</v>
      </c>
      <c r="EJ2012" t="s">
        <v>239</v>
      </c>
      <c r="EK2012" t="s">
        <v>23736</v>
      </c>
      <c r="EL2012" t="s">
        <v>235</v>
      </c>
      <c r="EM2012" t="s">
        <v>183</v>
      </c>
      <c r="EN2012" t="s">
        <v>211</v>
      </c>
      <c r="EO2012" t="s">
        <v>298</v>
      </c>
      <c r="EQ2012" t="s">
        <v>1815</v>
      </c>
      <c r="ER2012" t="s">
        <v>23737</v>
      </c>
      <c r="ES2012" t="s">
        <v>346</v>
      </c>
      <c r="ET2012" t="s">
        <v>347</v>
      </c>
      <c r="EU2012" t="s">
        <v>23738</v>
      </c>
      <c r="EV2012" t="s">
        <v>511</v>
      </c>
      <c r="EW2012" t="s">
        <v>183</v>
      </c>
      <c r="EX2012" t="s">
        <v>211</v>
      </c>
      <c r="EY2012" t="s">
        <v>334</v>
      </c>
      <c r="FA2012" t="s">
        <v>279</v>
      </c>
      <c r="FB2012" t="s">
        <v>18758</v>
      </c>
      <c r="FC2012" t="s">
        <v>207</v>
      </c>
      <c r="FD2012" t="s">
        <v>208</v>
      </c>
      <c r="FE2012" t="s">
        <v>23739</v>
      </c>
      <c r="FF2012" t="s">
        <v>235</v>
      </c>
      <c r="FG2012" t="s">
        <v>183</v>
      </c>
      <c r="FH2012" t="s">
        <v>211</v>
      </c>
      <c r="FI2012" t="s">
        <v>337</v>
      </c>
      <c r="FK2012" t="s">
        <v>4656</v>
      </c>
      <c r="FU2012" t="s">
        <v>198</v>
      </c>
    </row>
    <row r="2013" spans="1:177">
      <c r="A2013" s="1" t="str">
        <f>HYPERLINK("http://digipan.lumentumllc.com/apps/getLink/index.php?t=PropLink&amp;p=6886570","PL")</f>
        <v>PL</v>
      </c>
      <c r="B2013" s="1" t="str">
        <f>HYPERLINK("http://digipan.lumentumllc.com/apps/getLink/index.php?t=TaxLink&amp;p=6886570","TL")</f>
        <v>TL</v>
      </c>
      <c r="C2013" s="1" t="str">
        <f>HYPERLINK("http://digipan.lumentumllc.com/apps/getMap/index.php?p=6886570","Map")</f>
        <v>Map</v>
      </c>
      <c r="E2013" t="s">
        <v>177</v>
      </c>
      <c r="F2013" t="s">
        <v>178</v>
      </c>
      <c r="L2013" t="s">
        <v>23740</v>
      </c>
      <c r="N2013" t="s">
        <v>23740</v>
      </c>
      <c r="O2013" t="s">
        <v>23740</v>
      </c>
      <c r="P2013" t="s">
        <v>23741</v>
      </c>
      <c r="Q2013" t="s">
        <v>23740</v>
      </c>
      <c r="V2013">
        <v>2299</v>
      </c>
      <c r="W2013">
        <v>7</v>
      </c>
      <c r="X2013">
        <v>2017</v>
      </c>
      <c r="Y2013">
        <v>2018</v>
      </c>
      <c r="Z2013">
        <v>382.28</v>
      </c>
      <c r="AB2013" t="s">
        <v>181</v>
      </c>
      <c r="AC2013" t="s">
        <v>182</v>
      </c>
      <c r="AD2013" t="s">
        <v>183</v>
      </c>
      <c r="AE2013">
        <v>1</v>
      </c>
      <c r="AF2013">
        <v>2</v>
      </c>
      <c r="AG2013" t="s">
        <v>363</v>
      </c>
      <c r="AH2013">
        <v>67</v>
      </c>
      <c r="AI2013">
        <v>366.32</v>
      </c>
      <c r="AJ2013">
        <v>18.32</v>
      </c>
      <c r="AK2013">
        <v>384.64</v>
      </c>
      <c r="AL2013">
        <v>84806</v>
      </c>
      <c r="AM2013">
        <v>46800</v>
      </c>
      <c r="AN2013">
        <v>38006</v>
      </c>
      <c r="AO2013">
        <v>314</v>
      </c>
      <c r="AP2013">
        <v>2016</v>
      </c>
      <c r="AQ2013">
        <v>0.45</v>
      </c>
      <c r="AR2013">
        <v>0.45</v>
      </c>
      <c r="AS2013" t="s">
        <v>23742</v>
      </c>
      <c r="AT2013" t="s">
        <v>15040</v>
      </c>
      <c r="AU2013" t="s">
        <v>177</v>
      </c>
      <c r="AV2013" t="s">
        <v>371</v>
      </c>
      <c r="AW2013" t="s">
        <v>202</v>
      </c>
      <c r="AX2013">
        <v>1</v>
      </c>
      <c r="AY2013" t="s">
        <v>188</v>
      </c>
      <c r="AZ2013" t="s">
        <v>206</v>
      </c>
      <c r="BA2013" t="s">
        <v>355</v>
      </c>
      <c r="BB2013" t="s">
        <v>191</v>
      </c>
      <c r="BC2013" t="s">
        <v>182</v>
      </c>
      <c r="BD2013" t="s">
        <v>182</v>
      </c>
      <c r="BE2013" t="s">
        <v>9756</v>
      </c>
      <c r="BF2013">
        <v>1</v>
      </c>
      <c r="BG2013">
        <v>1</v>
      </c>
      <c r="BH2013">
        <v>1956</v>
      </c>
      <c r="BI2013" t="s">
        <v>5539</v>
      </c>
      <c r="BJ2013" t="s">
        <v>194</v>
      </c>
      <c r="BK2013" t="s">
        <v>195</v>
      </c>
      <c r="BL2013" t="s">
        <v>2395</v>
      </c>
      <c r="BM2013" t="s">
        <v>4973</v>
      </c>
      <c r="BN2013" t="s">
        <v>182</v>
      </c>
      <c r="BO2013" t="s">
        <v>198</v>
      </c>
      <c r="BP2013" t="s">
        <v>198</v>
      </c>
      <c r="BQ2013" t="s">
        <v>198</v>
      </c>
      <c r="BR2013" t="s">
        <v>198</v>
      </c>
      <c r="BS2013" t="s">
        <v>198</v>
      </c>
      <c r="BT2013" t="s">
        <v>198</v>
      </c>
      <c r="BU2013" t="s">
        <v>182</v>
      </c>
      <c r="BV2013" t="s">
        <v>198</v>
      </c>
      <c r="BW2013" t="s">
        <v>198</v>
      </c>
      <c r="BX2013" t="s">
        <v>199</v>
      </c>
      <c r="BY2013" t="s">
        <v>198</v>
      </c>
      <c r="BZ2013" t="s">
        <v>199</v>
      </c>
      <c r="CA2013" t="s">
        <v>199</v>
      </c>
      <c r="CB2013" t="s">
        <v>23743</v>
      </c>
      <c r="CC2013" t="s">
        <v>201</v>
      </c>
      <c r="CD2013" t="s">
        <v>202</v>
      </c>
      <c r="CE2013" t="s">
        <v>23744</v>
      </c>
      <c r="CF2013" t="s">
        <v>5331</v>
      </c>
      <c r="CG2013" t="s">
        <v>177</v>
      </c>
      <c r="CH2013" t="s">
        <v>371</v>
      </c>
      <c r="CI2013" t="s">
        <v>23745</v>
      </c>
      <c r="CJ2013" t="s">
        <v>23731</v>
      </c>
      <c r="CK2013" t="s">
        <v>232</v>
      </c>
      <c r="CL2013" t="s">
        <v>233</v>
      </c>
      <c r="CM2013" t="s">
        <v>23746</v>
      </c>
      <c r="CN2013" t="s">
        <v>235</v>
      </c>
      <c r="CO2013" t="s">
        <v>183</v>
      </c>
      <c r="CP2013" t="s">
        <v>266</v>
      </c>
      <c r="CS2013" t="s">
        <v>198</v>
      </c>
      <c r="CT2013" t="s">
        <v>8300</v>
      </c>
      <c r="CU2013" t="s">
        <v>292</v>
      </c>
      <c r="CV2013" t="s">
        <v>293</v>
      </c>
      <c r="CW2013" t="s">
        <v>23747</v>
      </c>
      <c r="CX2013" t="s">
        <v>235</v>
      </c>
      <c r="CY2013" t="s">
        <v>183</v>
      </c>
      <c r="CZ2013" t="s">
        <v>211</v>
      </c>
      <c r="DA2013" t="s">
        <v>427</v>
      </c>
      <c r="DC2013" t="s">
        <v>913</v>
      </c>
      <c r="DD2013" t="s">
        <v>15782</v>
      </c>
      <c r="DE2013" t="s">
        <v>267</v>
      </c>
      <c r="DF2013" t="s">
        <v>268</v>
      </c>
      <c r="DG2013" t="s">
        <v>23748</v>
      </c>
      <c r="DH2013" t="s">
        <v>235</v>
      </c>
      <c r="DI2013" t="s">
        <v>183</v>
      </c>
      <c r="DJ2013" t="s">
        <v>211</v>
      </c>
      <c r="DK2013" t="s">
        <v>306</v>
      </c>
      <c r="DM2013" t="s">
        <v>23749</v>
      </c>
      <c r="DW2013" t="s">
        <v>198</v>
      </c>
      <c r="EG2013" t="s">
        <v>198</v>
      </c>
      <c r="EQ2013" t="s">
        <v>198</v>
      </c>
      <c r="FA2013" t="s">
        <v>198</v>
      </c>
      <c r="FK2013" t="s">
        <v>198</v>
      </c>
      <c r="FU2013" t="s">
        <v>198</v>
      </c>
    </row>
    <row r="2014" spans="1:177">
      <c r="A2014" s="1" t="str">
        <f>HYPERLINK("http://digipan.lumentumllc.com/apps/getLink/index.php?t=PropLink&amp;p=5244114","PL")</f>
        <v>PL</v>
      </c>
      <c r="B2014" s="1" t="str">
        <f>HYPERLINK("http://digipan.lumentumllc.com/apps/getLink/index.php?t=TaxLink&amp;p=5244114","TL")</f>
        <v>TL</v>
      </c>
      <c r="C2014" s="1" t="str">
        <f>HYPERLINK("http://digipan.lumentumllc.com/apps/getMap/index.php?p=5244114","Map")</f>
        <v>Map</v>
      </c>
      <c r="E2014" t="s">
        <v>177</v>
      </c>
      <c r="F2014" t="s">
        <v>178</v>
      </c>
      <c r="L2014" t="s">
        <v>23750</v>
      </c>
      <c r="N2014" t="s">
        <v>23750</v>
      </c>
      <c r="O2014" t="s">
        <v>23750</v>
      </c>
      <c r="P2014" t="s">
        <v>23751</v>
      </c>
      <c r="Q2014" t="s">
        <v>23750</v>
      </c>
      <c r="V2014">
        <v>2300</v>
      </c>
      <c r="W2014">
        <v>7</v>
      </c>
      <c r="X2014">
        <v>2017</v>
      </c>
      <c r="Y2014">
        <v>2018</v>
      </c>
      <c r="Z2014">
        <v>416.12</v>
      </c>
      <c r="AB2014" t="s">
        <v>181</v>
      </c>
      <c r="AC2014" t="s">
        <v>182</v>
      </c>
      <c r="AD2014" t="s">
        <v>183</v>
      </c>
      <c r="AE2014">
        <v>3</v>
      </c>
      <c r="AF2014">
        <v>4</v>
      </c>
      <c r="AG2014" t="s">
        <v>1776</v>
      </c>
      <c r="AH2014">
        <v>57</v>
      </c>
      <c r="AI2014">
        <v>1186.58</v>
      </c>
      <c r="AJ2014">
        <v>142.44</v>
      </c>
      <c r="AK2014">
        <v>1329.02</v>
      </c>
      <c r="AL2014">
        <v>74270</v>
      </c>
      <c r="AM2014">
        <v>48600</v>
      </c>
      <c r="AN2014">
        <v>25670</v>
      </c>
      <c r="AO2014">
        <v>345</v>
      </c>
      <c r="AP2014">
        <v>2016</v>
      </c>
      <c r="AQ2014">
        <v>0.56000000000000005</v>
      </c>
      <c r="AR2014">
        <v>1.79</v>
      </c>
      <c r="AS2014" t="s">
        <v>23752</v>
      </c>
      <c r="AT2014" t="s">
        <v>15040</v>
      </c>
      <c r="AU2014" t="s">
        <v>177</v>
      </c>
      <c r="AV2014" t="s">
        <v>371</v>
      </c>
      <c r="AW2014" t="s">
        <v>202</v>
      </c>
      <c r="AX2014">
        <v>1</v>
      </c>
      <c r="AY2014" t="s">
        <v>188</v>
      </c>
      <c r="AZ2014" t="s">
        <v>206</v>
      </c>
      <c r="BA2014" t="s">
        <v>355</v>
      </c>
      <c r="BB2014" t="s">
        <v>191</v>
      </c>
      <c r="BC2014" t="s">
        <v>182</v>
      </c>
      <c r="BD2014" t="s">
        <v>182</v>
      </c>
      <c r="BE2014" t="s">
        <v>7188</v>
      </c>
      <c r="BF2014">
        <v>1</v>
      </c>
      <c r="BG2014">
        <v>1</v>
      </c>
      <c r="BH2014">
        <v>1955</v>
      </c>
      <c r="BI2014" t="s">
        <v>6552</v>
      </c>
      <c r="BJ2014" t="s">
        <v>194</v>
      </c>
      <c r="BK2014" t="s">
        <v>195</v>
      </c>
      <c r="BL2014" t="s">
        <v>1144</v>
      </c>
      <c r="BM2014" t="s">
        <v>410</v>
      </c>
      <c r="BN2014" t="s">
        <v>182</v>
      </c>
      <c r="BO2014" t="s">
        <v>198</v>
      </c>
      <c r="BP2014" t="s">
        <v>198</v>
      </c>
      <c r="BQ2014" t="s">
        <v>198</v>
      </c>
      <c r="BR2014" t="s">
        <v>198</v>
      </c>
      <c r="BS2014" t="s">
        <v>198</v>
      </c>
      <c r="BT2014" t="s">
        <v>198</v>
      </c>
      <c r="BU2014" t="s">
        <v>182</v>
      </c>
      <c r="BV2014" t="s">
        <v>198</v>
      </c>
      <c r="BW2014" t="s">
        <v>198</v>
      </c>
      <c r="BX2014" t="s">
        <v>199</v>
      </c>
      <c r="BY2014" t="s">
        <v>198</v>
      </c>
      <c r="BZ2014" t="s">
        <v>199</v>
      </c>
      <c r="CA2014" t="s">
        <v>199</v>
      </c>
      <c r="CB2014" t="s">
        <v>23753</v>
      </c>
      <c r="CC2014" t="s">
        <v>201</v>
      </c>
      <c r="CD2014" t="s">
        <v>182</v>
      </c>
      <c r="CE2014" t="s">
        <v>23754</v>
      </c>
      <c r="CF2014" t="s">
        <v>5331</v>
      </c>
      <c r="CG2014" t="s">
        <v>177</v>
      </c>
      <c r="CH2014" t="s">
        <v>371</v>
      </c>
      <c r="CI2014" t="s">
        <v>4045</v>
      </c>
      <c r="CJ2014" t="s">
        <v>8300</v>
      </c>
      <c r="CK2014" t="s">
        <v>232</v>
      </c>
      <c r="CL2014" t="s">
        <v>233</v>
      </c>
      <c r="CM2014" t="s">
        <v>23755</v>
      </c>
      <c r="CN2014" t="s">
        <v>235</v>
      </c>
      <c r="CO2014" t="s">
        <v>183</v>
      </c>
      <c r="CP2014" t="s">
        <v>266</v>
      </c>
      <c r="CS2014" t="s">
        <v>198</v>
      </c>
      <c r="CT2014" t="s">
        <v>8203</v>
      </c>
      <c r="CU2014" t="s">
        <v>292</v>
      </c>
      <c r="CV2014" t="s">
        <v>293</v>
      </c>
      <c r="CW2014" t="s">
        <v>23756</v>
      </c>
      <c r="CX2014" t="s">
        <v>235</v>
      </c>
      <c r="CY2014" t="s">
        <v>183</v>
      </c>
      <c r="CZ2014" t="s">
        <v>266</v>
      </c>
      <c r="DC2014" t="s">
        <v>198</v>
      </c>
      <c r="DD2014" t="s">
        <v>16966</v>
      </c>
      <c r="DE2014" t="s">
        <v>267</v>
      </c>
      <c r="DF2014" t="s">
        <v>268</v>
      </c>
      <c r="DG2014" t="s">
        <v>23757</v>
      </c>
      <c r="DH2014" t="s">
        <v>254</v>
      </c>
      <c r="DI2014" t="s">
        <v>183</v>
      </c>
      <c r="DJ2014" t="s">
        <v>266</v>
      </c>
      <c r="DM2014" t="s">
        <v>198</v>
      </c>
      <c r="DN2014" t="s">
        <v>9972</v>
      </c>
      <c r="DO2014" t="s">
        <v>273</v>
      </c>
      <c r="DP2014" t="s">
        <v>274</v>
      </c>
      <c r="DQ2014" t="s">
        <v>23758</v>
      </c>
      <c r="DR2014" t="s">
        <v>235</v>
      </c>
      <c r="DS2014" t="s">
        <v>183</v>
      </c>
      <c r="DT2014" t="s">
        <v>211</v>
      </c>
      <c r="DU2014" t="s">
        <v>345</v>
      </c>
      <c r="DW2014" t="s">
        <v>3676</v>
      </c>
      <c r="DX2014" t="s">
        <v>20254</v>
      </c>
      <c r="DY2014" t="s">
        <v>302</v>
      </c>
      <c r="DZ2014" t="s">
        <v>303</v>
      </c>
      <c r="EA2014" t="s">
        <v>23759</v>
      </c>
      <c r="EB2014" t="s">
        <v>235</v>
      </c>
      <c r="EC2014" t="s">
        <v>183</v>
      </c>
      <c r="ED2014" t="s">
        <v>211</v>
      </c>
      <c r="EE2014" t="s">
        <v>865</v>
      </c>
      <c r="EG2014" t="s">
        <v>3676</v>
      </c>
      <c r="EH2014" t="s">
        <v>1588</v>
      </c>
      <c r="EI2014" t="s">
        <v>238</v>
      </c>
      <c r="EJ2014" t="s">
        <v>239</v>
      </c>
      <c r="EK2014" t="s">
        <v>23760</v>
      </c>
      <c r="EL2014" t="s">
        <v>1551</v>
      </c>
      <c r="EM2014" t="s">
        <v>183</v>
      </c>
      <c r="EN2014" t="s">
        <v>211</v>
      </c>
      <c r="EO2014" t="s">
        <v>298</v>
      </c>
      <c r="EQ2014" t="s">
        <v>1815</v>
      </c>
      <c r="ER2014" t="s">
        <v>23761</v>
      </c>
      <c r="ES2014" t="s">
        <v>346</v>
      </c>
      <c r="ET2014" t="s">
        <v>347</v>
      </c>
      <c r="EU2014" t="s">
        <v>23762</v>
      </c>
      <c r="EV2014" t="s">
        <v>235</v>
      </c>
      <c r="EW2014" t="s">
        <v>183</v>
      </c>
      <c r="EX2014" t="s">
        <v>211</v>
      </c>
      <c r="EY2014" t="s">
        <v>298</v>
      </c>
      <c r="FA2014" t="s">
        <v>878</v>
      </c>
      <c r="FK2014" t="s">
        <v>198</v>
      </c>
      <c r="FU2014" t="s">
        <v>198</v>
      </c>
    </row>
    <row r="2015" spans="1:177">
      <c r="A2015" s="1" t="str">
        <f>HYPERLINK("http://digipan.lumentumllc.com/apps/getLink/index.php?t=PropLink&amp;p=7112334","PL")</f>
        <v>PL</v>
      </c>
      <c r="B2015" s="1" t="str">
        <f>HYPERLINK("http://digipan.lumentumllc.com/apps/getLink/index.php?t=TaxLink&amp;p=7112334","TL")</f>
        <v>TL</v>
      </c>
      <c r="C2015" s="1" t="str">
        <f>HYPERLINK("http://digipan.lumentumllc.com/apps/getMap/index.php?p=7112334","Map")</f>
        <v>Map</v>
      </c>
      <c r="E2015" t="s">
        <v>177</v>
      </c>
      <c r="F2015" t="s">
        <v>178</v>
      </c>
      <c r="L2015" t="s">
        <v>23763</v>
      </c>
      <c r="N2015" t="s">
        <v>23763</v>
      </c>
      <c r="O2015" t="s">
        <v>23763</v>
      </c>
      <c r="P2015" t="s">
        <v>23764</v>
      </c>
      <c r="Q2015" t="s">
        <v>23763</v>
      </c>
      <c r="V2015">
        <v>2302</v>
      </c>
      <c r="W2015">
        <v>7</v>
      </c>
      <c r="X2015">
        <v>2017</v>
      </c>
      <c r="Y2015">
        <v>2018</v>
      </c>
      <c r="Z2015">
        <v>484.75</v>
      </c>
      <c r="AB2015" t="s">
        <v>181</v>
      </c>
      <c r="AC2015" t="s">
        <v>182</v>
      </c>
      <c r="AD2015" t="s">
        <v>183</v>
      </c>
      <c r="AE2015">
        <v>0</v>
      </c>
      <c r="AF2015">
        <v>1</v>
      </c>
      <c r="AG2015" t="s">
        <v>821</v>
      </c>
      <c r="AH2015">
        <v>100</v>
      </c>
      <c r="AK2015">
        <v>0</v>
      </c>
      <c r="AL2015">
        <v>27200</v>
      </c>
      <c r="AM2015">
        <v>0</v>
      </c>
      <c r="AN2015">
        <v>27200</v>
      </c>
      <c r="AO2015">
        <v>422</v>
      </c>
      <c r="AP2015">
        <v>2016</v>
      </c>
      <c r="AQ2015">
        <v>1.78</v>
      </c>
      <c r="AS2015" t="s">
        <v>23765</v>
      </c>
      <c r="AT2015" t="s">
        <v>15040</v>
      </c>
      <c r="AU2015" t="s">
        <v>177</v>
      </c>
      <c r="AV2015" t="s">
        <v>371</v>
      </c>
      <c r="AW2015" t="s">
        <v>182</v>
      </c>
      <c r="AX2015">
        <v>4</v>
      </c>
      <c r="AY2015" t="s">
        <v>188</v>
      </c>
      <c r="AZ2015" t="s">
        <v>296</v>
      </c>
      <c r="BA2015" t="s">
        <v>19069</v>
      </c>
      <c r="BB2015" t="s">
        <v>191</v>
      </c>
      <c r="BC2015" t="s">
        <v>182</v>
      </c>
      <c r="BD2015" t="s">
        <v>182</v>
      </c>
      <c r="BE2015" t="s">
        <v>1722</v>
      </c>
      <c r="BF2015">
        <v>1</v>
      </c>
      <c r="BG2015">
        <v>1</v>
      </c>
      <c r="BH2015">
        <v>1999</v>
      </c>
      <c r="BI2015" t="s">
        <v>3810</v>
      </c>
      <c r="BJ2015" t="s">
        <v>248</v>
      </c>
      <c r="BL2015" t="s">
        <v>23766</v>
      </c>
      <c r="BM2015" t="s">
        <v>292</v>
      </c>
      <c r="BN2015" t="s">
        <v>182</v>
      </c>
      <c r="BO2015" t="s">
        <v>198</v>
      </c>
      <c r="BP2015" t="s">
        <v>198</v>
      </c>
      <c r="BQ2015" t="s">
        <v>198</v>
      </c>
      <c r="BR2015" t="s">
        <v>198</v>
      </c>
      <c r="BS2015" t="s">
        <v>198</v>
      </c>
      <c r="BT2015" t="s">
        <v>198</v>
      </c>
      <c r="BU2015" t="s">
        <v>182</v>
      </c>
      <c r="BV2015" t="s">
        <v>198</v>
      </c>
      <c r="BW2015" t="s">
        <v>198</v>
      </c>
      <c r="BX2015" t="s">
        <v>199</v>
      </c>
      <c r="BY2015" t="s">
        <v>198</v>
      </c>
      <c r="BZ2015" t="s">
        <v>199</v>
      </c>
      <c r="CA2015" t="s">
        <v>199</v>
      </c>
      <c r="CB2015" t="s">
        <v>23767</v>
      </c>
      <c r="CC2015" t="s">
        <v>201</v>
      </c>
      <c r="CD2015" t="s">
        <v>182</v>
      </c>
      <c r="CE2015" t="s">
        <v>23768</v>
      </c>
      <c r="CF2015" t="s">
        <v>23769</v>
      </c>
      <c r="CG2015" t="s">
        <v>1602</v>
      </c>
      <c r="CH2015" t="s">
        <v>23770</v>
      </c>
      <c r="CI2015" t="s">
        <v>23771</v>
      </c>
      <c r="CJ2015" t="s">
        <v>23772</v>
      </c>
      <c r="CK2015" t="s">
        <v>292</v>
      </c>
      <c r="CL2015" t="s">
        <v>293</v>
      </c>
      <c r="CM2015" t="s">
        <v>23773</v>
      </c>
      <c r="CN2015" t="s">
        <v>235</v>
      </c>
      <c r="CO2015" t="s">
        <v>183</v>
      </c>
      <c r="CP2015" t="s">
        <v>211</v>
      </c>
      <c r="CQ2015" t="s">
        <v>427</v>
      </c>
      <c r="CS2015" t="s">
        <v>2149</v>
      </c>
      <c r="DC2015" t="s">
        <v>198</v>
      </c>
      <c r="DM2015" t="s">
        <v>198</v>
      </c>
      <c r="DW2015" t="s">
        <v>198</v>
      </c>
      <c r="EG2015" t="s">
        <v>198</v>
      </c>
      <c r="EQ2015" t="s">
        <v>198</v>
      </c>
      <c r="FA2015" t="s">
        <v>198</v>
      </c>
      <c r="FK2015" t="s">
        <v>198</v>
      </c>
      <c r="FU2015" t="s">
        <v>198</v>
      </c>
    </row>
    <row r="2016" spans="1:177">
      <c r="A2016" s="1" t="str">
        <f>HYPERLINK("http://digipan.lumentumllc.com/apps/getLink/index.php?t=PropLink&amp;p=15736001","PL")</f>
        <v>PL</v>
      </c>
      <c r="B2016" s="1" t="str">
        <f>HYPERLINK("http://digipan.lumentumllc.com/apps/getLink/index.php?t=TaxLink&amp;p=15736001","TL")</f>
        <v>TL</v>
      </c>
      <c r="C2016" s="1" t="str">
        <f>HYPERLINK("http://digipan.lumentumllc.com/apps/getMap/index.php?p=15736001","Map")</f>
        <v>Map</v>
      </c>
      <c r="E2016" t="s">
        <v>177</v>
      </c>
      <c r="F2016" t="s">
        <v>178</v>
      </c>
      <c r="L2016" t="s">
        <v>23774</v>
      </c>
      <c r="N2016" t="s">
        <v>23774</v>
      </c>
      <c r="O2016" t="s">
        <v>23774</v>
      </c>
      <c r="Q2016" t="s">
        <v>23774</v>
      </c>
      <c r="V2016">
        <v>2306</v>
      </c>
      <c r="W2016">
        <v>8</v>
      </c>
      <c r="X2016">
        <v>2017</v>
      </c>
      <c r="Y2016">
        <v>2018</v>
      </c>
      <c r="Z2016">
        <v>7291.32</v>
      </c>
      <c r="AG2016" t="s">
        <v>184</v>
      </c>
      <c r="AH2016">
        <v>0</v>
      </c>
      <c r="AK2016">
        <v>0</v>
      </c>
      <c r="AL2016">
        <v>436134</v>
      </c>
      <c r="AM2016">
        <v>195000</v>
      </c>
      <c r="AN2016">
        <v>241134</v>
      </c>
      <c r="AO2016">
        <v>6675</v>
      </c>
      <c r="AP2016">
        <v>2016</v>
      </c>
      <c r="AQ2016">
        <v>1.67</v>
      </c>
      <c r="AS2016" t="s">
        <v>23775</v>
      </c>
      <c r="AT2016" t="s">
        <v>15040</v>
      </c>
      <c r="AU2016" t="s">
        <v>177</v>
      </c>
      <c r="AV2016" t="s">
        <v>371</v>
      </c>
      <c r="AW2016" t="s">
        <v>182</v>
      </c>
      <c r="AX2016">
        <v>1</v>
      </c>
      <c r="AY2016" t="s">
        <v>188</v>
      </c>
      <c r="AZ2016" t="s">
        <v>206</v>
      </c>
      <c r="BA2016" t="s">
        <v>355</v>
      </c>
      <c r="BB2016" t="s">
        <v>191</v>
      </c>
      <c r="BC2016" t="s">
        <v>182</v>
      </c>
      <c r="BD2016" t="s">
        <v>182</v>
      </c>
      <c r="BE2016" t="s">
        <v>11684</v>
      </c>
      <c r="BF2016">
        <v>1</v>
      </c>
      <c r="BG2016">
        <v>1</v>
      </c>
      <c r="BH2016">
        <v>1992</v>
      </c>
      <c r="BI2016" t="s">
        <v>21799</v>
      </c>
      <c r="BJ2016" t="s">
        <v>396</v>
      </c>
      <c r="BK2016" t="s">
        <v>195</v>
      </c>
      <c r="BL2016" t="s">
        <v>23444</v>
      </c>
      <c r="BM2016" t="s">
        <v>232</v>
      </c>
      <c r="BN2016" t="s">
        <v>182</v>
      </c>
      <c r="BO2016" t="s">
        <v>198</v>
      </c>
      <c r="BP2016" t="s">
        <v>198</v>
      </c>
      <c r="BQ2016" t="s">
        <v>198</v>
      </c>
      <c r="BR2016" t="s">
        <v>198</v>
      </c>
      <c r="BS2016" t="s">
        <v>198</v>
      </c>
      <c r="BT2016" t="s">
        <v>198</v>
      </c>
      <c r="BU2016" t="s">
        <v>182</v>
      </c>
      <c r="BV2016" t="s">
        <v>198</v>
      </c>
      <c r="BW2016" t="s">
        <v>198</v>
      </c>
      <c r="BX2016" t="s">
        <v>199</v>
      </c>
      <c r="BY2016" t="s">
        <v>198</v>
      </c>
      <c r="BZ2016" t="s">
        <v>199</v>
      </c>
      <c r="CA2016" t="s">
        <v>199</v>
      </c>
      <c r="CB2016" t="s">
        <v>23776</v>
      </c>
      <c r="CC2016" t="s">
        <v>201</v>
      </c>
      <c r="CD2016" t="s">
        <v>182</v>
      </c>
      <c r="CE2016" t="s">
        <v>23777</v>
      </c>
      <c r="CF2016" t="s">
        <v>22556</v>
      </c>
      <c r="CG2016" t="s">
        <v>18872</v>
      </c>
      <c r="CH2016" t="s">
        <v>22557</v>
      </c>
      <c r="CI2016" t="s">
        <v>23778</v>
      </c>
      <c r="CS2016" t="s">
        <v>198</v>
      </c>
      <c r="DC2016" t="s">
        <v>198</v>
      </c>
      <c r="DM2016" t="s">
        <v>198</v>
      </c>
      <c r="DW2016" t="s">
        <v>198</v>
      </c>
      <c r="EG2016" t="s">
        <v>198</v>
      </c>
      <c r="EQ2016" t="s">
        <v>198</v>
      </c>
      <c r="FA2016" t="s">
        <v>198</v>
      </c>
      <c r="FK2016" t="s">
        <v>198</v>
      </c>
      <c r="FU2016" t="s">
        <v>198</v>
      </c>
    </row>
    <row r="2017" spans="1:177">
      <c r="A2017" s="1" t="str">
        <f>HYPERLINK("http://digipan.lumentumllc.com/apps/getLink/index.php?t=PropLink&amp;p=15736164","PL")</f>
        <v>PL</v>
      </c>
      <c r="B2017" s="1" t="str">
        <f>HYPERLINK("http://digipan.lumentumllc.com/apps/getLink/index.php?t=TaxLink&amp;p=15736164","TL")</f>
        <v>TL</v>
      </c>
      <c r="C2017" s="1" t="str">
        <f>HYPERLINK("http://digipan.lumentumllc.com/apps/getMap/index.php?p=15736164","Map")</f>
        <v>Map</v>
      </c>
      <c r="E2017" t="s">
        <v>177</v>
      </c>
      <c r="F2017" t="s">
        <v>178</v>
      </c>
      <c r="L2017" t="s">
        <v>23779</v>
      </c>
      <c r="N2017" t="s">
        <v>23779</v>
      </c>
      <c r="O2017" t="s">
        <v>23779</v>
      </c>
      <c r="Q2017" t="s">
        <v>23779</v>
      </c>
      <c r="V2017">
        <v>2309</v>
      </c>
      <c r="W2017">
        <v>8</v>
      </c>
      <c r="X2017">
        <v>2017</v>
      </c>
      <c r="Y2017">
        <v>2018</v>
      </c>
      <c r="Z2017">
        <v>364.89</v>
      </c>
      <c r="AB2017" t="s">
        <v>181</v>
      </c>
      <c r="AC2017" t="s">
        <v>182</v>
      </c>
      <c r="AD2017" t="s">
        <v>183</v>
      </c>
      <c r="AE2017">
        <v>1</v>
      </c>
      <c r="AF2017">
        <v>0</v>
      </c>
      <c r="AG2017" t="s">
        <v>1200</v>
      </c>
      <c r="AH2017">
        <v>0</v>
      </c>
      <c r="AI2017">
        <v>364.68</v>
      </c>
      <c r="AJ2017">
        <v>18.23</v>
      </c>
      <c r="AK2017">
        <v>382.91</v>
      </c>
      <c r="AL2017">
        <v>20000</v>
      </c>
      <c r="AM2017">
        <v>0</v>
      </c>
      <c r="AN2017">
        <v>20000</v>
      </c>
      <c r="AO2017">
        <v>312</v>
      </c>
      <c r="AP2017">
        <v>2016</v>
      </c>
      <c r="AQ2017">
        <v>1.82</v>
      </c>
      <c r="AR2017">
        <v>1.91</v>
      </c>
      <c r="AS2017" t="s">
        <v>18742</v>
      </c>
      <c r="AT2017" t="s">
        <v>15040</v>
      </c>
      <c r="AU2017" t="s">
        <v>177</v>
      </c>
      <c r="AV2017" t="s">
        <v>371</v>
      </c>
      <c r="AW2017" t="s">
        <v>182</v>
      </c>
      <c r="AX2017">
        <v>4</v>
      </c>
      <c r="AY2017" t="s">
        <v>188</v>
      </c>
      <c r="AZ2017" t="s">
        <v>296</v>
      </c>
      <c r="BA2017" t="s">
        <v>19069</v>
      </c>
      <c r="BB2017" t="s">
        <v>191</v>
      </c>
      <c r="BC2017" t="s">
        <v>182</v>
      </c>
      <c r="BD2017" t="s">
        <v>182</v>
      </c>
      <c r="BE2017" t="s">
        <v>1722</v>
      </c>
      <c r="BF2017">
        <v>1</v>
      </c>
      <c r="BG2017">
        <v>1</v>
      </c>
      <c r="BH2017">
        <v>1997</v>
      </c>
      <c r="BI2017" t="s">
        <v>4371</v>
      </c>
      <c r="BJ2017" t="s">
        <v>396</v>
      </c>
      <c r="BL2017" t="s">
        <v>23780</v>
      </c>
      <c r="BM2017" t="s">
        <v>501</v>
      </c>
      <c r="BN2017" t="s">
        <v>182</v>
      </c>
      <c r="BO2017" t="s">
        <v>198</v>
      </c>
      <c r="BP2017" t="s">
        <v>198</v>
      </c>
      <c r="BQ2017" t="s">
        <v>198</v>
      </c>
      <c r="BR2017" t="s">
        <v>198</v>
      </c>
      <c r="BS2017" t="s">
        <v>198</v>
      </c>
      <c r="BT2017" t="s">
        <v>198</v>
      </c>
      <c r="BU2017" t="s">
        <v>182</v>
      </c>
      <c r="BV2017" t="s">
        <v>198</v>
      </c>
      <c r="BW2017" t="s">
        <v>198</v>
      </c>
      <c r="BX2017" t="s">
        <v>199</v>
      </c>
      <c r="BY2017" t="s">
        <v>198</v>
      </c>
      <c r="BZ2017" t="s">
        <v>199</v>
      </c>
      <c r="CA2017" t="s">
        <v>199</v>
      </c>
      <c r="CB2017" t="s">
        <v>23781</v>
      </c>
      <c r="CC2017" t="s">
        <v>201</v>
      </c>
      <c r="CD2017" t="s">
        <v>182</v>
      </c>
      <c r="CE2017" t="s">
        <v>23782</v>
      </c>
      <c r="CF2017" t="s">
        <v>23783</v>
      </c>
      <c r="CG2017" t="s">
        <v>1602</v>
      </c>
      <c r="CH2017" t="s">
        <v>23784</v>
      </c>
      <c r="CI2017" t="s">
        <v>23785</v>
      </c>
      <c r="CJ2017" t="s">
        <v>2604</v>
      </c>
      <c r="CK2017" t="s">
        <v>232</v>
      </c>
      <c r="CL2017" t="s">
        <v>233</v>
      </c>
      <c r="CM2017" t="s">
        <v>23786</v>
      </c>
      <c r="CN2017" t="s">
        <v>235</v>
      </c>
      <c r="CO2017" t="s">
        <v>183</v>
      </c>
      <c r="CP2017" t="s">
        <v>266</v>
      </c>
      <c r="CS2017" t="s">
        <v>198</v>
      </c>
      <c r="DC2017" t="s">
        <v>198</v>
      </c>
      <c r="DM2017" t="s">
        <v>198</v>
      </c>
      <c r="DW2017" t="s">
        <v>198</v>
      </c>
      <c r="EG2017" t="s">
        <v>198</v>
      </c>
      <c r="EQ2017" t="s">
        <v>198</v>
      </c>
      <c r="FA2017" t="s">
        <v>198</v>
      </c>
      <c r="FK2017" t="s">
        <v>198</v>
      </c>
      <c r="FU2017" t="s">
        <v>198</v>
      </c>
    </row>
    <row r="2018" spans="1:177">
      <c r="A2018" s="1" t="str">
        <f>HYPERLINK("http://digipan.lumentumllc.com/apps/getLink/index.php?t=PropLink&amp;p=6128775","PL")</f>
        <v>PL</v>
      </c>
      <c r="B2018" s="1" t="str">
        <f>HYPERLINK("http://digipan.lumentumllc.com/apps/getLink/index.php?t=TaxLink&amp;p=6128775","TL")</f>
        <v>TL</v>
      </c>
      <c r="C2018" s="1" t="str">
        <f>HYPERLINK("http://digipan.lumentumllc.com/apps/getMap/index.php?p=6128775","Map")</f>
        <v>Map</v>
      </c>
      <c r="E2018" t="s">
        <v>177</v>
      </c>
      <c r="F2018" t="s">
        <v>178</v>
      </c>
      <c r="L2018" t="s">
        <v>23787</v>
      </c>
      <c r="N2018" t="s">
        <v>23787</v>
      </c>
      <c r="O2018" t="s">
        <v>23787</v>
      </c>
      <c r="P2018" t="s">
        <v>23788</v>
      </c>
      <c r="Q2018" t="s">
        <v>23787</v>
      </c>
      <c r="V2018">
        <v>2310</v>
      </c>
      <c r="W2018">
        <v>8</v>
      </c>
      <c r="X2018">
        <v>2017</v>
      </c>
      <c r="Y2018">
        <v>2018</v>
      </c>
      <c r="Z2018">
        <v>7508.22</v>
      </c>
      <c r="AG2018" t="s">
        <v>184</v>
      </c>
      <c r="AH2018">
        <v>0</v>
      </c>
      <c r="AK2018">
        <v>0</v>
      </c>
      <c r="AL2018">
        <v>449165</v>
      </c>
      <c r="AM2018">
        <v>220000</v>
      </c>
      <c r="AN2018">
        <v>229165</v>
      </c>
      <c r="AO2018">
        <v>3670</v>
      </c>
      <c r="AP2018">
        <v>2016</v>
      </c>
      <c r="AQ2018">
        <v>1.67</v>
      </c>
      <c r="AS2018" t="s">
        <v>23789</v>
      </c>
      <c r="AT2018" t="s">
        <v>15040</v>
      </c>
      <c r="AU2018" t="s">
        <v>177</v>
      </c>
      <c r="AV2018" t="s">
        <v>371</v>
      </c>
      <c r="AW2018" t="s">
        <v>182</v>
      </c>
      <c r="AX2018">
        <v>1</v>
      </c>
      <c r="AY2018" t="s">
        <v>188</v>
      </c>
      <c r="AZ2018" t="s">
        <v>206</v>
      </c>
      <c r="BA2018" t="s">
        <v>355</v>
      </c>
      <c r="BB2018" t="s">
        <v>191</v>
      </c>
      <c r="BC2018" t="s">
        <v>182</v>
      </c>
      <c r="BD2018" t="s">
        <v>182</v>
      </c>
      <c r="BE2018" t="s">
        <v>3930</v>
      </c>
      <c r="BF2018">
        <v>1</v>
      </c>
      <c r="BG2018">
        <v>1</v>
      </c>
      <c r="BH2018">
        <v>1997</v>
      </c>
      <c r="BI2018" t="s">
        <v>883</v>
      </c>
      <c r="BJ2018" t="s">
        <v>396</v>
      </c>
      <c r="BK2018" t="s">
        <v>195</v>
      </c>
      <c r="BL2018" t="s">
        <v>23790</v>
      </c>
      <c r="BM2018" t="s">
        <v>1825</v>
      </c>
      <c r="BN2018" t="s">
        <v>182</v>
      </c>
      <c r="BO2018" t="s">
        <v>23791</v>
      </c>
      <c r="BP2018" t="s">
        <v>23792</v>
      </c>
      <c r="BQ2018" t="s">
        <v>800</v>
      </c>
      <c r="BR2018" t="s">
        <v>4715</v>
      </c>
      <c r="BS2018" t="s">
        <v>23793</v>
      </c>
      <c r="BT2018" t="s">
        <v>3245</v>
      </c>
      <c r="BU2018" t="s">
        <v>182</v>
      </c>
      <c r="BV2018" t="s">
        <v>198</v>
      </c>
      <c r="BW2018" t="s">
        <v>198</v>
      </c>
      <c r="BX2018" t="s">
        <v>199</v>
      </c>
      <c r="BY2018" t="s">
        <v>198</v>
      </c>
      <c r="BZ2018" t="s">
        <v>199</v>
      </c>
      <c r="CA2018" t="s">
        <v>199</v>
      </c>
      <c r="CB2018" t="s">
        <v>23794</v>
      </c>
      <c r="CC2018" t="s">
        <v>201</v>
      </c>
      <c r="CD2018" t="s">
        <v>182</v>
      </c>
      <c r="CE2018" t="s">
        <v>23795</v>
      </c>
      <c r="CF2018" t="s">
        <v>5331</v>
      </c>
      <c r="CG2018" t="s">
        <v>177</v>
      </c>
      <c r="CH2018" t="s">
        <v>371</v>
      </c>
      <c r="CI2018" t="s">
        <v>23796</v>
      </c>
      <c r="CS2018" t="s">
        <v>198</v>
      </c>
      <c r="DC2018" t="s">
        <v>198</v>
      </c>
      <c r="DM2018" t="s">
        <v>198</v>
      </c>
      <c r="DW2018" t="s">
        <v>198</v>
      </c>
      <c r="EG2018" t="s">
        <v>198</v>
      </c>
      <c r="EQ2018" t="s">
        <v>198</v>
      </c>
      <c r="FA2018" t="s">
        <v>198</v>
      </c>
      <c r="FK2018" t="s">
        <v>198</v>
      </c>
      <c r="FU2018" t="s">
        <v>198</v>
      </c>
    </row>
    <row r="2019" spans="1:177">
      <c r="A2019" s="1" t="str">
        <f>HYPERLINK("http://digipan.lumentumllc.com/apps/getLink/index.php?t=PropLink&amp;p=15736432","PL")</f>
        <v>PL</v>
      </c>
      <c r="B2019" s="1" t="str">
        <f>HYPERLINK("http://digipan.lumentumllc.com/apps/getLink/index.php?t=TaxLink&amp;p=15736432","TL")</f>
        <v>TL</v>
      </c>
      <c r="C2019" s="1" t="str">
        <f>HYPERLINK("http://digipan.lumentumllc.com/apps/getMap/index.php?p=15736432","Map")</f>
        <v>Map</v>
      </c>
      <c r="E2019" t="s">
        <v>177</v>
      </c>
      <c r="F2019" t="s">
        <v>178</v>
      </c>
      <c r="L2019" t="s">
        <v>23797</v>
      </c>
      <c r="N2019" t="s">
        <v>23797</v>
      </c>
      <c r="O2019" t="s">
        <v>23797</v>
      </c>
      <c r="Q2019" t="s">
        <v>23797</v>
      </c>
      <c r="V2019">
        <v>2311</v>
      </c>
      <c r="W2019">
        <v>8</v>
      </c>
      <c r="X2019">
        <v>2017</v>
      </c>
      <c r="Y2019">
        <v>2018</v>
      </c>
      <c r="Z2019">
        <v>7057.74</v>
      </c>
      <c r="AG2019" t="s">
        <v>184</v>
      </c>
      <c r="AH2019">
        <v>0</v>
      </c>
      <c r="AK2019">
        <v>0</v>
      </c>
      <c r="AL2019">
        <v>422100</v>
      </c>
      <c r="AM2019">
        <v>0</v>
      </c>
      <c r="AN2019">
        <v>422100</v>
      </c>
      <c r="AO2019">
        <v>6054</v>
      </c>
      <c r="AP2019">
        <v>2016</v>
      </c>
      <c r="AQ2019">
        <v>1.67</v>
      </c>
      <c r="AS2019" t="s">
        <v>23798</v>
      </c>
      <c r="AT2019" t="s">
        <v>15040</v>
      </c>
      <c r="AU2019" t="s">
        <v>177</v>
      </c>
      <c r="AV2019" t="s">
        <v>371</v>
      </c>
      <c r="AW2019" t="s">
        <v>182</v>
      </c>
      <c r="AX2019">
        <v>4</v>
      </c>
      <c r="AY2019" t="s">
        <v>188</v>
      </c>
      <c r="AZ2019" t="s">
        <v>296</v>
      </c>
      <c r="BA2019" t="s">
        <v>19069</v>
      </c>
      <c r="BB2019" t="s">
        <v>191</v>
      </c>
      <c r="BC2019" t="s">
        <v>182</v>
      </c>
      <c r="BD2019" t="s">
        <v>182</v>
      </c>
      <c r="BE2019" t="s">
        <v>1722</v>
      </c>
      <c r="BF2019">
        <v>1</v>
      </c>
      <c r="BG2019">
        <v>1</v>
      </c>
      <c r="BH2019">
        <v>1986</v>
      </c>
      <c r="BI2019" t="s">
        <v>10823</v>
      </c>
      <c r="BJ2019" t="s">
        <v>396</v>
      </c>
      <c r="BL2019" t="s">
        <v>11981</v>
      </c>
      <c r="BM2019" t="s">
        <v>451</v>
      </c>
      <c r="BN2019" t="s">
        <v>182</v>
      </c>
      <c r="BO2019" t="s">
        <v>198</v>
      </c>
      <c r="BP2019" t="s">
        <v>198</v>
      </c>
      <c r="BQ2019" t="s">
        <v>198</v>
      </c>
      <c r="BR2019" t="s">
        <v>198</v>
      </c>
      <c r="BS2019" t="s">
        <v>198</v>
      </c>
      <c r="BT2019" t="s">
        <v>198</v>
      </c>
      <c r="BU2019" t="s">
        <v>182</v>
      </c>
      <c r="BV2019" t="s">
        <v>198</v>
      </c>
      <c r="BW2019" t="s">
        <v>198</v>
      </c>
      <c r="BX2019" t="s">
        <v>199</v>
      </c>
      <c r="BY2019" t="s">
        <v>198</v>
      </c>
      <c r="BZ2019" t="s">
        <v>199</v>
      </c>
      <c r="CA2019" t="s">
        <v>199</v>
      </c>
      <c r="CB2019" t="s">
        <v>23799</v>
      </c>
      <c r="CC2019" t="s">
        <v>1407</v>
      </c>
      <c r="CD2019" t="s">
        <v>202</v>
      </c>
      <c r="CE2019" t="s">
        <v>23800</v>
      </c>
      <c r="CF2019" t="s">
        <v>5331</v>
      </c>
      <c r="CG2019" t="s">
        <v>177</v>
      </c>
      <c r="CH2019" t="s">
        <v>371</v>
      </c>
      <c r="CI2019" t="s">
        <v>23801</v>
      </c>
      <c r="CS2019" t="s">
        <v>198</v>
      </c>
      <c r="DC2019" t="s">
        <v>198</v>
      </c>
      <c r="DM2019" t="s">
        <v>198</v>
      </c>
      <c r="DW2019" t="s">
        <v>198</v>
      </c>
      <c r="EG2019" t="s">
        <v>198</v>
      </c>
      <c r="EQ2019" t="s">
        <v>198</v>
      </c>
      <c r="FA2019" t="s">
        <v>198</v>
      </c>
      <c r="FK2019" t="s">
        <v>198</v>
      </c>
      <c r="FU2019" t="s">
        <v>198</v>
      </c>
    </row>
    <row r="2020" spans="1:177">
      <c r="A2020" s="1" t="str">
        <f>HYPERLINK("http://digipan.lumentumllc.com/apps/getLink/index.php?t=PropLink&amp;p=15736439","PL")</f>
        <v>PL</v>
      </c>
      <c r="B2020" s="1" t="str">
        <f>HYPERLINK("http://digipan.lumentumllc.com/apps/getLink/index.php?t=TaxLink&amp;p=15736439","TL")</f>
        <v>TL</v>
      </c>
      <c r="C2020" s="1" t="str">
        <f>HYPERLINK("http://digipan.lumentumllc.com/apps/getMap/index.php?p=15736439","Map")</f>
        <v>Map</v>
      </c>
      <c r="E2020" t="s">
        <v>177</v>
      </c>
      <c r="F2020" t="s">
        <v>178</v>
      </c>
      <c r="L2020" t="s">
        <v>23802</v>
      </c>
      <c r="N2020" t="s">
        <v>23802</v>
      </c>
      <c r="O2020" t="s">
        <v>23802</v>
      </c>
      <c r="Q2020" t="s">
        <v>23802</v>
      </c>
      <c r="V2020">
        <v>2312</v>
      </c>
      <c r="W2020">
        <v>8</v>
      </c>
      <c r="X2020">
        <v>2017</v>
      </c>
      <c r="Y2020">
        <v>2018</v>
      </c>
      <c r="Z2020">
        <v>1937.25</v>
      </c>
      <c r="AG2020" t="s">
        <v>184</v>
      </c>
      <c r="AH2020">
        <v>0</v>
      </c>
      <c r="AK2020">
        <v>0</v>
      </c>
      <c r="AL2020">
        <v>429100</v>
      </c>
      <c r="AM2020">
        <v>0</v>
      </c>
      <c r="AN2020">
        <v>429100</v>
      </c>
      <c r="AO2020">
        <v>0</v>
      </c>
      <c r="AP2020">
        <v>0</v>
      </c>
      <c r="AQ2020">
        <v>0.45</v>
      </c>
      <c r="AS2020" t="s">
        <v>23803</v>
      </c>
      <c r="AT2020" t="s">
        <v>15040</v>
      </c>
      <c r="AU2020" t="s">
        <v>177</v>
      </c>
      <c r="AV2020" t="s">
        <v>371</v>
      </c>
      <c r="AW2020" t="s">
        <v>182</v>
      </c>
      <c r="AX2020">
        <v>4</v>
      </c>
      <c r="AY2020" t="s">
        <v>188</v>
      </c>
      <c r="AZ2020" t="s">
        <v>296</v>
      </c>
      <c r="BA2020" t="s">
        <v>19069</v>
      </c>
      <c r="BB2020" t="s">
        <v>191</v>
      </c>
      <c r="BC2020" t="s">
        <v>182</v>
      </c>
      <c r="BD2020" t="s">
        <v>182</v>
      </c>
      <c r="BE2020" t="s">
        <v>1722</v>
      </c>
      <c r="BF2020">
        <v>1</v>
      </c>
      <c r="BG2020">
        <v>1</v>
      </c>
      <c r="BH2020">
        <v>1986</v>
      </c>
      <c r="BI2020" t="s">
        <v>547</v>
      </c>
      <c r="BJ2020" t="s">
        <v>396</v>
      </c>
      <c r="BL2020" t="s">
        <v>199</v>
      </c>
      <c r="BM2020" t="s">
        <v>559</v>
      </c>
      <c r="BN2020" t="s">
        <v>182</v>
      </c>
      <c r="BO2020" t="s">
        <v>198</v>
      </c>
      <c r="BP2020" t="s">
        <v>198</v>
      </c>
      <c r="BQ2020" t="s">
        <v>198</v>
      </c>
      <c r="BR2020" t="s">
        <v>198</v>
      </c>
      <c r="BS2020" t="s">
        <v>198</v>
      </c>
      <c r="BT2020" t="s">
        <v>198</v>
      </c>
      <c r="BU2020" t="s">
        <v>182</v>
      </c>
      <c r="BV2020" t="s">
        <v>198</v>
      </c>
      <c r="BW2020" t="s">
        <v>198</v>
      </c>
      <c r="BX2020" t="s">
        <v>199</v>
      </c>
      <c r="BY2020" t="s">
        <v>198</v>
      </c>
      <c r="BZ2020" t="s">
        <v>199</v>
      </c>
      <c r="CA2020" t="s">
        <v>199</v>
      </c>
      <c r="CB2020" t="s">
        <v>23804</v>
      </c>
      <c r="CC2020" t="s">
        <v>1407</v>
      </c>
      <c r="CD2020" t="s">
        <v>202</v>
      </c>
      <c r="CE2020" t="s">
        <v>23805</v>
      </c>
      <c r="CF2020" t="s">
        <v>6417</v>
      </c>
      <c r="CG2020" t="s">
        <v>9693</v>
      </c>
      <c r="CH2020" t="s">
        <v>22466</v>
      </c>
      <c r="CI2020" t="s">
        <v>23806</v>
      </c>
      <c r="CS2020" t="s">
        <v>198</v>
      </c>
      <c r="DC2020" t="s">
        <v>198</v>
      </c>
      <c r="DM2020" t="s">
        <v>198</v>
      </c>
      <c r="DW2020" t="s">
        <v>198</v>
      </c>
      <c r="EG2020" t="s">
        <v>198</v>
      </c>
      <c r="EQ2020" t="s">
        <v>198</v>
      </c>
      <c r="FA2020" t="s">
        <v>198</v>
      </c>
      <c r="FK2020" t="s">
        <v>198</v>
      </c>
      <c r="FU2020" t="s">
        <v>198</v>
      </c>
    </row>
    <row r="2021" spans="1:177">
      <c r="A2021" s="1" t="str">
        <f>HYPERLINK("http://digipan.lumentumllc.com/apps/getLink/index.php?t=PropLink&amp;p=15728732","PL")</f>
        <v>PL</v>
      </c>
      <c r="B2021" s="1" t="str">
        <f>HYPERLINK("http://digipan.lumentumllc.com/apps/getLink/index.php?t=TaxLink&amp;p=15728732","TL")</f>
        <v>TL</v>
      </c>
      <c r="C2021" s="1" t="str">
        <f>HYPERLINK("http://digipan.lumentumllc.com/apps/getMap/index.php?p=15728732","Map")</f>
        <v>Map</v>
      </c>
      <c r="E2021" t="s">
        <v>177</v>
      </c>
      <c r="F2021" t="s">
        <v>178</v>
      </c>
      <c r="L2021" t="s">
        <v>23807</v>
      </c>
      <c r="N2021" t="s">
        <v>23807</v>
      </c>
      <c r="O2021" t="s">
        <v>23807</v>
      </c>
      <c r="Q2021" t="s">
        <v>23807</v>
      </c>
      <c r="V2021">
        <v>2313</v>
      </c>
      <c r="W2021">
        <v>8</v>
      </c>
      <c r="X2021">
        <v>2017</v>
      </c>
      <c r="Y2021">
        <v>2018</v>
      </c>
      <c r="Z2021">
        <v>6375.84</v>
      </c>
      <c r="AG2021" t="s">
        <v>184</v>
      </c>
      <c r="AH2021">
        <v>0</v>
      </c>
      <c r="AK2021">
        <v>0</v>
      </c>
      <c r="AL2021">
        <v>339978</v>
      </c>
      <c r="AM2021">
        <v>75000</v>
      </c>
      <c r="AN2021">
        <v>264978</v>
      </c>
      <c r="AO2021">
        <v>5821</v>
      </c>
      <c r="AP2021">
        <v>2016</v>
      </c>
      <c r="AQ2021">
        <v>1.88</v>
      </c>
      <c r="AS2021" t="s">
        <v>23808</v>
      </c>
      <c r="AT2021" t="s">
        <v>15040</v>
      </c>
      <c r="AU2021" t="s">
        <v>177</v>
      </c>
      <c r="AV2021" t="s">
        <v>371</v>
      </c>
      <c r="AW2021" t="s">
        <v>202</v>
      </c>
      <c r="AX2021">
        <v>1</v>
      </c>
      <c r="AY2021" t="s">
        <v>188</v>
      </c>
      <c r="AZ2021" t="s">
        <v>206</v>
      </c>
      <c r="BA2021" t="s">
        <v>355</v>
      </c>
      <c r="BB2021" t="s">
        <v>191</v>
      </c>
      <c r="BC2021" t="s">
        <v>182</v>
      </c>
      <c r="BD2021" t="s">
        <v>182</v>
      </c>
      <c r="BE2021" t="s">
        <v>478</v>
      </c>
      <c r="BF2021">
        <v>1</v>
      </c>
      <c r="BG2021">
        <v>1</v>
      </c>
      <c r="BH2021">
        <v>2008</v>
      </c>
      <c r="BI2021" t="s">
        <v>12573</v>
      </c>
      <c r="BJ2021" t="s">
        <v>1945</v>
      </c>
      <c r="BK2021" t="s">
        <v>195</v>
      </c>
      <c r="BL2021" t="s">
        <v>23809</v>
      </c>
      <c r="BM2021" t="s">
        <v>197</v>
      </c>
      <c r="BN2021" t="s">
        <v>182</v>
      </c>
      <c r="BO2021" t="s">
        <v>23810</v>
      </c>
      <c r="BP2021" t="s">
        <v>5435</v>
      </c>
      <c r="BQ2021" t="s">
        <v>800</v>
      </c>
      <c r="BR2021" t="s">
        <v>23811</v>
      </c>
      <c r="BS2021" t="s">
        <v>198</v>
      </c>
      <c r="BT2021" t="s">
        <v>23812</v>
      </c>
      <c r="BU2021" t="s">
        <v>182</v>
      </c>
      <c r="BV2021" t="s">
        <v>198</v>
      </c>
      <c r="BW2021" t="s">
        <v>198</v>
      </c>
      <c r="BX2021" t="s">
        <v>199</v>
      </c>
      <c r="BY2021" t="s">
        <v>198</v>
      </c>
      <c r="BZ2021" t="s">
        <v>199</v>
      </c>
      <c r="CA2021" t="s">
        <v>199</v>
      </c>
      <c r="CB2021" t="s">
        <v>23813</v>
      </c>
      <c r="CC2021" t="s">
        <v>201</v>
      </c>
      <c r="CD2021" t="s">
        <v>202</v>
      </c>
      <c r="CE2021" t="s">
        <v>23814</v>
      </c>
      <c r="CF2021" t="s">
        <v>23815</v>
      </c>
      <c r="CG2021" t="s">
        <v>1602</v>
      </c>
      <c r="CH2021" t="s">
        <v>23816</v>
      </c>
      <c r="CI2021" t="s">
        <v>15533</v>
      </c>
      <c r="CS2021" t="s">
        <v>198</v>
      </c>
      <c r="DC2021" t="s">
        <v>198</v>
      </c>
      <c r="DM2021" t="s">
        <v>198</v>
      </c>
      <c r="DW2021" t="s">
        <v>198</v>
      </c>
      <c r="EG2021" t="s">
        <v>198</v>
      </c>
      <c r="EQ2021" t="s">
        <v>198</v>
      </c>
      <c r="FA2021" t="s">
        <v>198</v>
      </c>
      <c r="FK2021" t="s">
        <v>198</v>
      </c>
      <c r="FU2021" t="s">
        <v>198</v>
      </c>
    </row>
    <row r="2022" spans="1:177">
      <c r="A2022" s="1" t="str">
        <f>HYPERLINK("http://digipan.lumentumllc.com/apps/getLink/index.php?t=PropLink&amp;p=15728781","PL")</f>
        <v>PL</v>
      </c>
      <c r="B2022" s="1" t="str">
        <f>HYPERLINK("http://digipan.lumentumllc.com/apps/getLink/index.php?t=TaxLink&amp;p=15728781","TL")</f>
        <v>TL</v>
      </c>
      <c r="C2022" s="1" t="str">
        <f>HYPERLINK("http://digipan.lumentumllc.com/apps/getMap/index.php?p=15728781","Map")</f>
        <v>Map</v>
      </c>
      <c r="E2022" t="s">
        <v>177</v>
      </c>
      <c r="F2022" t="s">
        <v>178</v>
      </c>
      <c r="L2022" t="s">
        <v>23817</v>
      </c>
      <c r="N2022" t="s">
        <v>23817</v>
      </c>
      <c r="O2022" t="s">
        <v>23817</v>
      </c>
      <c r="Q2022" t="s">
        <v>23817</v>
      </c>
      <c r="V2022">
        <v>2314</v>
      </c>
      <c r="W2022">
        <v>8</v>
      </c>
      <c r="X2022">
        <v>2017</v>
      </c>
      <c r="Y2022">
        <v>2018</v>
      </c>
      <c r="Z2022">
        <v>5206.13</v>
      </c>
      <c r="AG2022" t="s">
        <v>184</v>
      </c>
      <c r="AH2022">
        <v>0</v>
      </c>
      <c r="AK2022">
        <v>0</v>
      </c>
      <c r="AL2022">
        <v>281766</v>
      </c>
      <c r="AM2022">
        <v>75000</v>
      </c>
      <c r="AN2022">
        <v>206766</v>
      </c>
      <c r="AO2022">
        <v>4785</v>
      </c>
      <c r="AP2022">
        <v>2016</v>
      </c>
      <c r="AQ2022">
        <v>1.85</v>
      </c>
      <c r="AS2022" t="s">
        <v>23818</v>
      </c>
      <c r="AT2022" t="s">
        <v>15040</v>
      </c>
      <c r="AU2022" t="s">
        <v>177</v>
      </c>
      <c r="AV2022" t="s">
        <v>371</v>
      </c>
      <c r="AW2022" t="s">
        <v>202</v>
      </c>
      <c r="AX2022">
        <v>1</v>
      </c>
      <c r="AY2022" t="s">
        <v>188</v>
      </c>
      <c r="AZ2022" t="s">
        <v>206</v>
      </c>
      <c r="BA2022" t="s">
        <v>355</v>
      </c>
      <c r="BB2022" t="s">
        <v>191</v>
      </c>
      <c r="BC2022" t="s">
        <v>182</v>
      </c>
      <c r="BD2022" t="s">
        <v>182</v>
      </c>
      <c r="BE2022" t="s">
        <v>11684</v>
      </c>
      <c r="BF2022">
        <v>1</v>
      </c>
      <c r="BG2022">
        <v>1</v>
      </c>
      <c r="BH2022">
        <v>2007</v>
      </c>
      <c r="BI2022" t="s">
        <v>16395</v>
      </c>
      <c r="BJ2022" t="s">
        <v>248</v>
      </c>
      <c r="BK2022" t="s">
        <v>195</v>
      </c>
      <c r="BL2022" t="s">
        <v>5667</v>
      </c>
      <c r="BM2022" t="s">
        <v>197</v>
      </c>
      <c r="BN2022" t="s">
        <v>182</v>
      </c>
      <c r="BO2022" t="s">
        <v>9979</v>
      </c>
      <c r="BP2022" t="s">
        <v>23819</v>
      </c>
      <c r="BQ2022" t="s">
        <v>800</v>
      </c>
      <c r="BR2022" t="s">
        <v>4682</v>
      </c>
      <c r="BS2022" t="s">
        <v>198</v>
      </c>
      <c r="BT2022" t="s">
        <v>23820</v>
      </c>
      <c r="BU2022" t="s">
        <v>182</v>
      </c>
      <c r="BV2022" t="s">
        <v>198</v>
      </c>
      <c r="BW2022" t="s">
        <v>198</v>
      </c>
      <c r="BX2022" t="s">
        <v>199</v>
      </c>
      <c r="BY2022" t="s">
        <v>198</v>
      </c>
      <c r="BZ2022" t="s">
        <v>199</v>
      </c>
      <c r="CA2022" t="s">
        <v>199</v>
      </c>
      <c r="CB2022" t="s">
        <v>23821</v>
      </c>
      <c r="CC2022" t="s">
        <v>201</v>
      </c>
      <c r="CD2022" t="s">
        <v>202</v>
      </c>
      <c r="CE2022" t="s">
        <v>23822</v>
      </c>
      <c r="CF2022" t="s">
        <v>5331</v>
      </c>
      <c r="CG2022" t="s">
        <v>177</v>
      </c>
      <c r="CH2022" t="s">
        <v>371</v>
      </c>
      <c r="CI2022" t="s">
        <v>23823</v>
      </c>
      <c r="CS2022" t="s">
        <v>198</v>
      </c>
      <c r="DC2022" t="s">
        <v>198</v>
      </c>
      <c r="DM2022" t="s">
        <v>198</v>
      </c>
      <c r="DW2022" t="s">
        <v>198</v>
      </c>
      <c r="EG2022" t="s">
        <v>198</v>
      </c>
      <c r="EQ2022" t="s">
        <v>198</v>
      </c>
      <c r="FA2022" t="s">
        <v>198</v>
      </c>
      <c r="FK2022" t="s">
        <v>198</v>
      </c>
      <c r="FU2022" t="s">
        <v>198</v>
      </c>
    </row>
    <row r="2023" spans="1:177">
      <c r="A2023" s="1" t="str">
        <f>HYPERLINK("http://digipan.lumentumllc.com/apps/getLink/index.php?t=PropLink&amp;p=5244124","PL")</f>
        <v>PL</v>
      </c>
      <c r="B2023" s="1" t="str">
        <f>HYPERLINK("http://digipan.lumentumllc.com/apps/getLink/index.php?t=TaxLink&amp;p=5244124","TL")</f>
        <v>TL</v>
      </c>
      <c r="C2023" s="1" t="str">
        <f>HYPERLINK("http://digipan.lumentumllc.com/apps/getMap/index.php?p=5244124","Map")</f>
        <v>Map</v>
      </c>
      <c r="E2023" t="s">
        <v>177</v>
      </c>
      <c r="F2023" t="s">
        <v>178</v>
      </c>
      <c r="L2023" t="s">
        <v>23824</v>
      </c>
      <c r="N2023" t="s">
        <v>23824</v>
      </c>
      <c r="O2023" t="s">
        <v>23824</v>
      </c>
      <c r="P2023" t="s">
        <v>23825</v>
      </c>
      <c r="Q2023" t="s">
        <v>23824</v>
      </c>
      <c r="V2023">
        <v>2315</v>
      </c>
      <c r="W2023">
        <v>8</v>
      </c>
      <c r="X2023">
        <v>2017</v>
      </c>
      <c r="Y2023">
        <v>2018</v>
      </c>
      <c r="Z2023">
        <v>6735.62</v>
      </c>
      <c r="AB2023" t="s">
        <v>181</v>
      </c>
      <c r="AC2023" t="s">
        <v>182</v>
      </c>
      <c r="AD2023" t="s">
        <v>183</v>
      </c>
      <c r="AE2023">
        <v>1</v>
      </c>
      <c r="AF2023">
        <v>6</v>
      </c>
      <c r="AG2023" t="s">
        <v>322</v>
      </c>
      <c r="AH2023">
        <v>83</v>
      </c>
      <c r="AI2023">
        <v>6577.87</v>
      </c>
      <c r="AJ2023">
        <v>328.89</v>
      </c>
      <c r="AK2023">
        <v>6906.76</v>
      </c>
      <c r="AL2023">
        <v>311000</v>
      </c>
      <c r="AM2023">
        <v>0</v>
      </c>
      <c r="AN2023">
        <v>311000</v>
      </c>
      <c r="AO2023">
        <v>6057</v>
      </c>
      <c r="AP2023">
        <v>2016</v>
      </c>
      <c r="AQ2023">
        <v>2.17</v>
      </c>
      <c r="AR2023">
        <v>2.2200000000000002</v>
      </c>
      <c r="AS2023" t="s">
        <v>23826</v>
      </c>
      <c r="AT2023" t="s">
        <v>15040</v>
      </c>
      <c r="AU2023" t="s">
        <v>177</v>
      </c>
      <c r="AV2023" t="s">
        <v>371</v>
      </c>
      <c r="AW2023" t="s">
        <v>182</v>
      </c>
      <c r="AX2023">
        <v>4</v>
      </c>
      <c r="AY2023" t="s">
        <v>188</v>
      </c>
      <c r="AZ2023" t="s">
        <v>296</v>
      </c>
      <c r="BA2023" t="s">
        <v>19069</v>
      </c>
      <c r="BB2023" t="s">
        <v>191</v>
      </c>
      <c r="BC2023" t="s">
        <v>182</v>
      </c>
      <c r="BD2023" t="s">
        <v>182</v>
      </c>
      <c r="BE2023" t="s">
        <v>1722</v>
      </c>
      <c r="BF2023">
        <v>1</v>
      </c>
      <c r="BG2023">
        <v>1</v>
      </c>
      <c r="BH2023">
        <v>1973</v>
      </c>
      <c r="BI2023" t="s">
        <v>23827</v>
      </c>
      <c r="BJ2023" t="s">
        <v>194</v>
      </c>
      <c r="BL2023" t="s">
        <v>199</v>
      </c>
      <c r="BM2023" t="s">
        <v>1332</v>
      </c>
      <c r="BN2023" t="s">
        <v>182</v>
      </c>
      <c r="BO2023" t="s">
        <v>7615</v>
      </c>
      <c r="BP2023" t="s">
        <v>23643</v>
      </c>
      <c r="BQ2023" t="s">
        <v>800</v>
      </c>
      <c r="BR2023" t="s">
        <v>563</v>
      </c>
      <c r="BS2023" t="s">
        <v>198</v>
      </c>
      <c r="BT2023" t="s">
        <v>23828</v>
      </c>
      <c r="BU2023" t="s">
        <v>182</v>
      </c>
      <c r="BV2023" t="s">
        <v>198</v>
      </c>
      <c r="BW2023" t="s">
        <v>198</v>
      </c>
      <c r="BX2023" t="s">
        <v>199</v>
      </c>
      <c r="BY2023" t="s">
        <v>198</v>
      </c>
      <c r="BZ2023" t="s">
        <v>199</v>
      </c>
      <c r="CA2023" t="s">
        <v>199</v>
      </c>
      <c r="CB2023" t="s">
        <v>23829</v>
      </c>
      <c r="CC2023" t="s">
        <v>201</v>
      </c>
      <c r="CD2023" t="s">
        <v>202</v>
      </c>
      <c r="CE2023" t="s">
        <v>23830</v>
      </c>
      <c r="CF2023" t="s">
        <v>5331</v>
      </c>
      <c r="CG2023" t="s">
        <v>177</v>
      </c>
      <c r="CH2023" t="s">
        <v>371</v>
      </c>
      <c r="CI2023" t="s">
        <v>23831</v>
      </c>
      <c r="CJ2023" t="s">
        <v>1414</v>
      </c>
      <c r="CK2023" t="s">
        <v>232</v>
      </c>
      <c r="CL2023" t="s">
        <v>233</v>
      </c>
      <c r="CM2023" t="s">
        <v>23832</v>
      </c>
      <c r="CN2023" t="s">
        <v>235</v>
      </c>
      <c r="CO2023" t="s">
        <v>183</v>
      </c>
      <c r="CP2023" t="s">
        <v>266</v>
      </c>
      <c r="CS2023" t="s">
        <v>198</v>
      </c>
      <c r="CT2023" t="s">
        <v>1742</v>
      </c>
      <c r="CU2023" t="s">
        <v>292</v>
      </c>
      <c r="CV2023" t="s">
        <v>293</v>
      </c>
      <c r="CW2023" t="s">
        <v>23833</v>
      </c>
      <c r="CX2023" t="s">
        <v>235</v>
      </c>
      <c r="CY2023" t="s">
        <v>183</v>
      </c>
      <c r="CZ2023" t="s">
        <v>211</v>
      </c>
      <c r="DA2023" t="s">
        <v>270</v>
      </c>
      <c r="DC2023" t="s">
        <v>23834</v>
      </c>
      <c r="DD2023" t="s">
        <v>19920</v>
      </c>
      <c r="DE2023" t="s">
        <v>267</v>
      </c>
      <c r="DF2023" t="s">
        <v>268</v>
      </c>
      <c r="DG2023" t="s">
        <v>23835</v>
      </c>
      <c r="DH2023" t="s">
        <v>235</v>
      </c>
      <c r="DI2023" t="s">
        <v>183</v>
      </c>
      <c r="DJ2023" t="s">
        <v>211</v>
      </c>
      <c r="DK2023" t="s">
        <v>306</v>
      </c>
      <c r="DM2023" t="s">
        <v>12325</v>
      </c>
      <c r="DN2023" t="s">
        <v>10095</v>
      </c>
      <c r="DO2023" t="s">
        <v>273</v>
      </c>
      <c r="DP2023" t="s">
        <v>274</v>
      </c>
      <c r="DQ2023" t="s">
        <v>23836</v>
      </c>
      <c r="DR2023" t="s">
        <v>235</v>
      </c>
      <c r="DS2023" t="s">
        <v>183</v>
      </c>
      <c r="DT2023" t="s">
        <v>211</v>
      </c>
      <c r="DU2023" t="s">
        <v>444</v>
      </c>
      <c r="DW2023" t="s">
        <v>23837</v>
      </c>
      <c r="DX2023" t="s">
        <v>1701</v>
      </c>
      <c r="DY2023" t="s">
        <v>238</v>
      </c>
      <c r="DZ2023" t="s">
        <v>239</v>
      </c>
      <c r="EA2023" t="s">
        <v>23838</v>
      </c>
      <c r="EB2023" t="s">
        <v>235</v>
      </c>
      <c r="EC2023" t="s">
        <v>183</v>
      </c>
      <c r="ED2023" t="s">
        <v>211</v>
      </c>
      <c r="EE2023" t="s">
        <v>329</v>
      </c>
      <c r="EG2023" t="s">
        <v>443</v>
      </c>
      <c r="EH2023" t="s">
        <v>23839</v>
      </c>
      <c r="EI2023" t="s">
        <v>346</v>
      </c>
      <c r="EJ2023" t="s">
        <v>347</v>
      </c>
      <c r="EK2023" t="s">
        <v>23840</v>
      </c>
      <c r="EL2023" t="s">
        <v>235</v>
      </c>
      <c r="EM2023" t="s">
        <v>183</v>
      </c>
      <c r="EN2023" t="s">
        <v>211</v>
      </c>
      <c r="EO2023" t="s">
        <v>460</v>
      </c>
      <c r="EQ2023" t="s">
        <v>887</v>
      </c>
      <c r="ER2023" t="s">
        <v>18642</v>
      </c>
      <c r="ES2023" t="s">
        <v>207</v>
      </c>
      <c r="ET2023" t="s">
        <v>208</v>
      </c>
      <c r="EU2023" t="s">
        <v>23841</v>
      </c>
      <c r="EV2023" t="s">
        <v>235</v>
      </c>
      <c r="EW2023" t="s">
        <v>183</v>
      </c>
      <c r="EX2023" t="s">
        <v>211</v>
      </c>
      <c r="EY2023" t="s">
        <v>206</v>
      </c>
      <c r="FA2023" t="s">
        <v>573</v>
      </c>
      <c r="FK2023" t="s">
        <v>198</v>
      </c>
      <c r="FU2023" t="s">
        <v>198</v>
      </c>
    </row>
    <row r="2024" spans="1:177">
      <c r="A2024" s="1" t="str">
        <f>HYPERLINK("http://digipan.lumentumllc.com/apps/getLink/index.php?t=PropLink&amp;p=6461633","PL")</f>
        <v>PL</v>
      </c>
      <c r="B2024" s="1" t="str">
        <f>HYPERLINK("http://digipan.lumentumllc.com/apps/getLink/index.php?t=TaxLink&amp;p=6461633","TL")</f>
        <v>TL</v>
      </c>
      <c r="C2024" s="1" t="str">
        <f>HYPERLINK("http://digipan.lumentumllc.com/apps/getMap/index.php?p=6461633","Map")</f>
        <v>Map</v>
      </c>
      <c r="E2024" t="s">
        <v>177</v>
      </c>
      <c r="F2024" t="s">
        <v>178</v>
      </c>
      <c r="L2024" t="s">
        <v>23842</v>
      </c>
      <c r="N2024" t="s">
        <v>23842</v>
      </c>
      <c r="O2024" t="s">
        <v>23842</v>
      </c>
      <c r="P2024" t="s">
        <v>23843</v>
      </c>
      <c r="Q2024" t="s">
        <v>23842</v>
      </c>
      <c r="V2024">
        <v>2316</v>
      </c>
      <c r="W2024">
        <v>8</v>
      </c>
      <c r="X2024">
        <v>2017</v>
      </c>
      <c r="Y2024">
        <v>2018</v>
      </c>
      <c r="Z2024">
        <v>6735.62</v>
      </c>
      <c r="AB2024" t="s">
        <v>181</v>
      </c>
      <c r="AC2024" t="s">
        <v>182</v>
      </c>
      <c r="AD2024" t="s">
        <v>183</v>
      </c>
      <c r="AE2024">
        <v>0</v>
      </c>
      <c r="AF2024">
        <v>5</v>
      </c>
      <c r="AG2024" t="s">
        <v>3266</v>
      </c>
      <c r="AH2024">
        <v>100</v>
      </c>
      <c r="AK2024">
        <v>0</v>
      </c>
      <c r="AL2024">
        <v>311000</v>
      </c>
      <c r="AM2024">
        <v>0</v>
      </c>
      <c r="AN2024">
        <v>311000</v>
      </c>
      <c r="AO2024">
        <v>6057</v>
      </c>
      <c r="AP2024">
        <v>2016</v>
      </c>
      <c r="AQ2024">
        <v>2.17</v>
      </c>
      <c r="AS2024" t="s">
        <v>23844</v>
      </c>
      <c r="AT2024" t="s">
        <v>15040</v>
      </c>
      <c r="AU2024" t="s">
        <v>177</v>
      </c>
      <c r="AV2024" t="s">
        <v>371</v>
      </c>
      <c r="AW2024" t="s">
        <v>182</v>
      </c>
      <c r="AX2024">
        <v>4</v>
      </c>
      <c r="AY2024" t="s">
        <v>188</v>
      </c>
      <c r="AZ2024" t="s">
        <v>296</v>
      </c>
      <c r="BA2024" t="s">
        <v>19069</v>
      </c>
      <c r="BB2024" t="s">
        <v>191</v>
      </c>
      <c r="BC2024" t="s">
        <v>182</v>
      </c>
      <c r="BD2024" t="s">
        <v>182</v>
      </c>
      <c r="BE2024" t="s">
        <v>1722</v>
      </c>
      <c r="BF2024">
        <v>1</v>
      </c>
      <c r="BG2024">
        <v>1</v>
      </c>
      <c r="BH2024">
        <v>1973</v>
      </c>
      <c r="BI2024" t="s">
        <v>23827</v>
      </c>
      <c r="BJ2024" t="s">
        <v>194</v>
      </c>
      <c r="BL2024" t="s">
        <v>2191</v>
      </c>
      <c r="BM2024" t="s">
        <v>1825</v>
      </c>
      <c r="BN2024" t="s">
        <v>182</v>
      </c>
      <c r="BO2024" t="s">
        <v>198</v>
      </c>
      <c r="BP2024" t="s">
        <v>198</v>
      </c>
      <c r="BQ2024" t="s">
        <v>198</v>
      </c>
      <c r="BR2024" t="s">
        <v>198</v>
      </c>
      <c r="BS2024" t="s">
        <v>198</v>
      </c>
      <c r="BT2024" t="s">
        <v>198</v>
      </c>
      <c r="BU2024" t="s">
        <v>182</v>
      </c>
      <c r="BV2024" t="s">
        <v>198</v>
      </c>
      <c r="BW2024" t="s">
        <v>198</v>
      </c>
      <c r="BX2024" t="s">
        <v>199</v>
      </c>
      <c r="BY2024" t="s">
        <v>198</v>
      </c>
      <c r="BZ2024" t="s">
        <v>199</v>
      </c>
      <c r="CA2024" t="s">
        <v>199</v>
      </c>
      <c r="CB2024" t="s">
        <v>23845</v>
      </c>
      <c r="CC2024" t="s">
        <v>201</v>
      </c>
      <c r="CD2024" t="s">
        <v>182</v>
      </c>
      <c r="CE2024" t="s">
        <v>23846</v>
      </c>
      <c r="CF2024" t="s">
        <v>15835</v>
      </c>
      <c r="CG2024" t="s">
        <v>1602</v>
      </c>
      <c r="CH2024" t="s">
        <v>23847</v>
      </c>
      <c r="CI2024" t="s">
        <v>23848</v>
      </c>
      <c r="CJ2024" t="s">
        <v>4724</v>
      </c>
      <c r="CK2024" t="s">
        <v>232</v>
      </c>
      <c r="CL2024" t="s">
        <v>233</v>
      </c>
      <c r="CM2024" t="s">
        <v>23832</v>
      </c>
      <c r="CN2024" t="s">
        <v>235</v>
      </c>
      <c r="CO2024" t="s">
        <v>183</v>
      </c>
      <c r="CP2024" t="s">
        <v>211</v>
      </c>
      <c r="CQ2024" t="s">
        <v>270</v>
      </c>
      <c r="CS2024" t="s">
        <v>5443</v>
      </c>
      <c r="CT2024" t="s">
        <v>930</v>
      </c>
      <c r="CU2024" t="s">
        <v>292</v>
      </c>
      <c r="CV2024" t="s">
        <v>293</v>
      </c>
      <c r="CW2024" t="s">
        <v>23833</v>
      </c>
      <c r="CX2024" t="s">
        <v>235</v>
      </c>
      <c r="CY2024" t="s">
        <v>183</v>
      </c>
      <c r="CZ2024" t="s">
        <v>211</v>
      </c>
      <c r="DA2024" t="s">
        <v>298</v>
      </c>
      <c r="DC2024" t="s">
        <v>8314</v>
      </c>
      <c r="DD2024" t="s">
        <v>20845</v>
      </c>
      <c r="DE2024" t="s">
        <v>267</v>
      </c>
      <c r="DF2024" t="s">
        <v>268</v>
      </c>
      <c r="DG2024" t="s">
        <v>23835</v>
      </c>
      <c r="DH2024" t="s">
        <v>235</v>
      </c>
      <c r="DI2024" t="s">
        <v>183</v>
      </c>
      <c r="DJ2024" t="s">
        <v>211</v>
      </c>
      <c r="DK2024" t="s">
        <v>487</v>
      </c>
      <c r="DM2024" t="s">
        <v>23849</v>
      </c>
      <c r="DN2024" t="s">
        <v>10110</v>
      </c>
      <c r="DO2024" t="s">
        <v>273</v>
      </c>
      <c r="DP2024" t="s">
        <v>274</v>
      </c>
      <c r="DQ2024" t="s">
        <v>23836</v>
      </c>
      <c r="DR2024" t="s">
        <v>235</v>
      </c>
      <c r="DS2024" t="s">
        <v>183</v>
      </c>
      <c r="DT2024" t="s">
        <v>211</v>
      </c>
      <c r="DU2024" t="s">
        <v>337</v>
      </c>
      <c r="DW2024" t="s">
        <v>4871</v>
      </c>
      <c r="DX2024" t="s">
        <v>23850</v>
      </c>
      <c r="DY2024" t="s">
        <v>302</v>
      </c>
      <c r="DZ2024" t="s">
        <v>303</v>
      </c>
      <c r="EA2024" t="s">
        <v>23851</v>
      </c>
      <c r="EB2024" t="s">
        <v>235</v>
      </c>
      <c r="EC2024" t="s">
        <v>183</v>
      </c>
      <c r="ED2024" t="s">
        <v>211</v>
      </c>
      <c r="EE2024" t="s">
        <v>290</v>
      </c>
      <c r="EG2024" t="s">
        <v>7554</v>
      </c>
      <c r="EQ2024" t="s">
        <v>198</v>
      </c>
      <c r="FA2024" t="s">
        <v>198</v>
      </c>
      <c r="FK2024" t="s">
        <v>198</v>
      </c>
      <c r="FU2024" t="s">
        <v>198</v>
      </c>
    </row>
    <row r="2025" spans="1:177">
      <c r="A2025" s="1" t="str">
        <f>HYPERLINK("http://digipan.lumentumllc.com/apps/getLink/index.php?t=PropLink&amp;p=6461634","PL")</f>
        <v>PL</v>
      </c>
      <c r="B2025" s="1" t="str">
        <f>HYPERLINK("http://digipan.lumentumllc.com/apps/getLink/index.php?t=TaxLink&amp;p=6461634","TL")</f>
        <v>TL</v>
      </c>
      <c r="C2025" s="1" t="str">
        <f>HYPERLINK("http://digipan.lumentumllc.com/apps/getMap/index.php?p=6461634","Map")</f>
        <v>Map</v>
      </c>
      <c r="E2025" t="s">
        <v>177</v>
      </c>
      <c r="F2025" t="s">
        <v>178</v>
      </c>
      <c r="L2025" t="s">
        <v>23852</v>
      </c>
      <c r="N2025" t="s">
        <v>23852</v>
      </c>
      <c r="O2025" t="s">
        <v>23852</v>
      </c>
      <c r="P2025" t="s">
        <v>23853</v>
      </c>
      <c r="Q2025" t="s">
        <v>23852</v>
      </c>
      <c r="V2025">
        <v>2317</v>
      </c>
      <c r="W2025">
        <v>8</v>
      </c>
      <c r="X2025">
        <v>2017</v>
      </c>
      <c r="Y2025">
        <v>2018</v>
      </c>
      <c r="Z2025">
        <v>5405.18</v>
      </c>
      <c r="AG2025" t="s">
        <v>184</v>
      </c>
      <c r="AH2025">
        <v>0</v>
      </c>
      <c r="AK2025">
        <v>0</v>
      </c>
      <c r="AL2025">
        <v>291000</v>
      </c>
      <c r="AM2025">
        <v>0</v>
      </c>
      <c r="AN2025">
        <v>291000</v>
      </c>
      <c r="AO2025">
        <v>4049</v>
      </c>
      <c r="AP2025">
        <v>2016</v>
      </c>
      <c r="AQ2025">
        <v>1.86</v>
      </c>
      <c r="AS2025" t="s">
        <v>23854</v>
      </c>
      <c r="AT2025" t="s">
        <v>15040</v>
      </c>
      <c r="AU2025" t="s">
        <v>177</v>
      </c>
      <c r="AV2025" t="s">
        <v>371</v>
      </c>
      <c r="AW2025" t="s">
        <v>202</v>
      </c>
      <c r="AX2025">
        <v>4</v>
      </c>
      <c r="AY2025" t="s">
        <v>188</v>
      </c>
      <c r="AZ2025" t="s">
        <v>296</v>
      </c>
      <c r="BA2025" t="s">
        <v>19069</v>
      </c>
      <c r="BB2025" t="s">
        <v>191</v>
      </c>
      <c r="BC2025" t="s">
        <v>182</v>
      </c>
      <c r="BD2025" t="s">
        <v>182</v>
      </c>
      <c r="BE2025" t="s">
        <v>1722</v>
      </c>
      <c r="BF2025">
        <v>1</v>
      </c>
      <c r="BG2025">
        <v>1</v>
      </c>
      <c r="BH2025">
        <v>1973</v>
      </c>
      <c r="BI2025" t="s">
        <v>14445</v>
      </c>
      <c r="BJ2025" t="s">
        <v>194</v>
      </c>
      <c r="BL2025" t="s">
        <v>199</v>
      </c>
      <c r="BM2025" t="s">
        <v>346</v>
      </c>
      <c r="BN2025" t="s">
        <v>182</v>
      </c>
      <c r="BO2025" t="s">
        <v>198</v>
      </c>
      <c r="BP2025" t="s">
        <v>198</v>
      </c>
      <c r="BQ2025" t="s">
        <v>198</v>
      </c>
      <c r="BR2025" t="s">
        <v>198</v>
      </c>
      <c r="BS2025" t="s">
        <v>198</v>
      </c>
      <c r="BT2025" t="s">
        <v>198</v>
      </c>
      <c r="BU2025" t="s">
        <v>182</v>
      </c>
      <c r="BV2025" t="s">
        <v>198</v>
      </c>
      <c r="BW2025" t="s">
        <v>198</v>
      </c>
      <c r="BX2025" t="s">
        <v>199</v>
      </c>
      <c r="BY2025" t="s">
        <v>198</v>
      </c>
      <c r="BZ2025" t="s">
        <v>199</v>
      </c>
      <c r="CA2025" t="s">
        <v>199</v>
      </c>
      <c r="CB2025" t="s">
        <v>23855</v>
      </c>
      <c r="CC2025" t="s">
        <v>201</v>
      </c>
      <c r="CD2025" t="s">
        <v>202</v>
      </c>
      <c r="CE2025" t="s">
        <v>23856</v>
      </c>
      <c r="CF2025" t="s">
        <v>5331</v>
      </c>
      <c r="CG2025" t="s">
        <v>177</v>
      </c>
      <c r="CH2025" t="s">
        <v>371</v>
      </c>
      <c r="CI2025" t="s">
        <v>23857</v>
      </c>
      <c r="CS2025" t="s">
        <v>198</v>
      </c>
      <c r="DC2025" t="s">
        <v>198</v>
      </c>
      <c r="DM2025" t="s">
        <v>198</v>
      </c>
      <c r="DW2025" t="s">
        <v>198</v>
      </c>
      <c r="EG2025" t="s">
        <v>198</v>
      </c>
      <c r="EQ2025" t="s">
        <v>198</v>
      </c>
      <c r="FA2025" t="s">
        <v>198</v>
      </c>
      <c r="FK2025" t="s">
        <v>198</v>
      </c>
      <c r="FU2025" t="s">
        <v>198</v>
      </c>
    </row>
    <row r="2026" spans="1:177">
      <c r="A2026" s="1" t="str">
        <f>HYPERLINK("http://digipan.lumentumllc.com/apps/getLink/index.php?t=PropLink&amp;p=7112291","PL")</f>
        <v>PL</v>
      </c>
      <c r="B2026" s="1" t="str">
        <f>HYPERLINK("http://digipan.lumentumllc.com/apps/getLink/index.php?t=TaxLink&amp;p=7112291","TL")</f>
        <v>TL</v>
      </c>
      <c r="C2026" s="1" t="str">
        <f>HYPERLINK("http://digipan.lumentumllc.com/apps/getMap/index.php?p=7112291","Map")</f>
        <v>Map</v>
      </c>
      <c r="E2026" t="s">
        <v>177</v>
      </c>
      <c r="F2026" t="s">
        <v>178</v>
      </c>
      <c r="L2026" t="s">
        <v>23858</v>
      </c>
      <c r="N2026" t="s">
        <v>23858</v>
      </c>
      <c r="O2026" t="s">
        <v>23858</v>
      </c>
      <c r="P2026" t="s">
        <v>23859</v>
      </c>
      <c r="Q2026" t="s">
        <v>23858</v>
      </c>
      <c r="V2026">
        <v>2318</v>
      </c>
      <c r="W2026">
        <v>8</v>
      </c>
      <c r="X2026">
        <v>2017</v>
      </c>
      <c r="Y2026">
        <v>2018</v>
      </c>
      <c r="Z2026">
        <v>6735.62</v>
      </c>
      <c r="AG2026" t="s">
        <v>184</v>
      </c>
      <c r="AH2026">
        <v>0</v>
      </c>
      <c r="AK2026">
        <v>0</v>
      </c>
      <c r="AL2026">
        <v>311000</v>
      </c>
      <c r="AM2026">
        <v>0</v>
      </c>
      <c r="AN2026">
        <v>311000</v>
      </c>
      <c r="AO2026">
        <v>6057</v>
      </c>
      <c r="AP2026">
        <v>2016</v>
      </c>
      <c r="AQ2026">
        <v>2.17</v>
      </c>
      <c r="AS2026" t="s">
        <v>23860</v>
      </c>
      <c r="AT2026" t="s">
        <v>15040</v>
      </c>
      <c r="AU2026" t="s">
        <v>177</v>
      </c>
      <c r="AV2026" t="s">
        <v>371</v>
      </c>
      <c r="AW2026" t="s">
        <v>182</v>
      </c>
      <c r="AX2026">
        <v>4</v>
      </c>
      <c r="AY2026" t="s">
        <v>188</v>
      </c>
      <c r="AZ2026" t="s">
        <v>296</v>
      </c>
      <c r="BA2026" t="s">
        <v>19069</v>
      </c>
      <c r="BB2026" t="s">
        <v>191</v>
      </c>
      <c r="BC2026" t="s">
        <v>182</v>
      </c>
      <c r="BD2026" t="s">
        <v>182</v>
      </c>
      <c r="BE2026" t="s">
        <v>1722</v>
      </c>
      <c r="BF2026">
        <v>1</v>
      </c>
      <c r="BG2026">
        <v>1</v>
      </c>
      <c r="BH2026">
        <v>1973</v>
      </c>
      <c r="BI2026" t="s">
        <v>23827</v>
      </c>
      <c r="BJ2026" t="s">
        <v>194</v>
      </c>
      <c r="BL2026" t="s">
        <v>23861</v>
      </c>
      <c r="BM2026" t="s">
        <v>559</v>
      </c>
      <c r="BN2026" t="s">
        <v>182</v>
      </c>
      <c r="BO2026" t="s">
        <v>8224</v>
      </c>
      <c r="BP2026" t="s">
        <v>23862</v>
      </c>
      <c r="BQ2026" t="s">
        <v>581</v>
      </c>
      <c r="BR2026" t="s">
        <v>563</v>
      </c>
      <c r="BS2026" t="s">
        <v>198</v>
      </c>
      <c r="BT2026" t="s">
        <v>23863</v>
      </c>
      <c r="BU2026" t="s">
        <v>182</v>
      </c>
      <c r="BV2026" t="s">
        <v>198</v>
      </c>
      <c r="BW2026" t="s">
        <v>198</v>
      </c>
      <c r="BX2026" t="s">
        <v>199</v>
      </c>
      <c r="BY2026" t="s">
        <v>198</v>
      </c>
      <c r="BZ2026" t="s">
        <v>199</v>
      </c>
      <c r="CA2026" t="s">
        <v>199</v>
      </c>
      <c r="CB2026" t="s">
        <v>23864</v>
      </c>
      <c r="CC2026" t="s">
        <v>201</v>
      </c>
      <c r="CD2026" t="s">
        <v>202</v>
      </c>
      <c r="CE2026" t="s">
        <v>23865</v>
      </c>
      <c r="CF2026" t="s">
        <v>23866</v>
      </c>
      <c r="CG2026" t="s">
        <v>1602</v>
      </c>
      <c r="CH2026" t="s">
        <v>23867</v>
      </c>
      <c r="CI2026" t="s">
        <v>23868</v>
      </c>
      <c r="CS2026" t="s">
        <v>198</v>
      </c>
      <c r="DC2026" t="s">
        <v>198</v>
      </c>
      <c r="DM2026" t="s">
        <v>198</v>
      </c>
      <c r="DW2026" t="s">
        <v>198</v>
      </c>
      <c r="EG2026" t="s">
        <v>198</v>
      </c>
      <c r="EQ2026" t="s">
        <v>198</v>
      </c>
      <c r="FA2026" t="s">
        <v>198</v>
      </c>
      <c r="FK2026" t="s">
        <v>198</v>
      </c>
      <c r="FU2026" t="s">
        <v>198</v>
      </c>
    </row>
    <row r="2027" spans="1:177">
      <c r="A2027" s="1" t="str">
        <f>HYPERLINK("http://digipan.lumentumllc.com/apps/getLink/index.php?t=PropLink&amp;p=5244137","PL")</f>
        <v>PL</v>
      </c>
      <c r="B2027" s="1" t="str">
        <f>HYPERLINK("http://digipan.lumentumllc.com/apps/getLink/index.php?t=TaxLink&amp;p=5244137","TL")</f>
        <v>TL</v>
      </c>
      <c r="C2027" s="1" t="str">
        <f>HYPERLINK("http://digipan.lumentumllc.com/apps/getMap/index.php?p=5244137","Map")</f>
        <v>Map</v>
      </c>
      <c r="E2027" t="s">
        <v>177</v>
      </c>
      <c r="F2027" t="s">
        <v>178</v>
      </c>
      <c r="L2027" t="s">
        <v>23869</v>
      </c>
      <c r="N2027" t="s">
        <v>23869</v>
      </c>
      <c r="O2027" t="s">
        <v>23869</v>
      </c>
      <c r="P2027" t="s">
        <v>23870</v>
      </c>
      <c r="Q2027" t="s">
        <v>23869</v>
      </c>
      <c r="V2027">
        <v>2323</v>
      </c>
      <c r="W2027">
        <v>8</v>
      </c>
      <c r="X2027">
        <v>2017</v>
      </c>
      <c r="Y2027">
        <v>2018</v>
      </c>
      <c r="Z2027">
        <v>11204.51</v>
      </c>
      <c r="AB2027" t="s">
        <v>181</v>
      </c>
      <c r="AC2027" t="s">
        <v>182</v>
      </c>
      <c r="AD2027" t="s">
        <v>183</v>
      </c>
      <c r="AE2027">
        <v>1</v>
      </c>
      <c r="AF2027">
        <v>5</v>
      </c>
      <c r="AG2027" t="s">
        <v>951</v>
      </c>
      <c r="AH2027">
        <v>80</v>
      </c>
      <c r="AI2027">
        <v>11535.08</v>
      </c>
      <c r="AJ2027">
        <v>576.75</v>
      </c>
      <c r="AK2027">
        <v>12111.83</v>
      </c>
      <c r="AL2027">
        <v>518325</v>
      </c>
      <c r="AM2027">
        <v>250000</v>
      </c>
      <c r="AN2027">
        <v>268325</v>
      </c>
      <c r="AO2027">
        <v>10641</v>
      </c>
      <c r="AP2027">
        <v>2016</v>
      </c>
      <c r="AQ2027">
        <v>2.16</v>
      </c>
      <c r="AR2027">
        <v>2.34</v>
      </c>
      <c r="AS2027" t="s">
        <v>23871</v>
      </c>
      <c r="AT2027" t="s">
        <v>15040</v>
      </c>
      <c r="AU2027" t="s">
        <v>177</v>
      </c>
      <c r="AV2027" t="s">
        <v>371</v>
      </c>
      <c r="AW2027" t="s">
        <v>182</v>
      </c>
      <c r="AX2027">
        <v>41</v>
      </c>
      <c r="AY2027" t="s">
        <v>5663</v>
      </c>
      <c r="AZ2027" t="s">
        <v>1006</v>
      </c>
      <c r="BA2027" t="s">
        <v>5664</v>
      </c>
      <c r="BB2027" t="s">
        <v>191</v>
      </c>
      <c r="BC2027" t="s">
        <v>182</v>
      </c>
      <c r="BD2027" t="s">
        <v>182</v>
      </c>
      <c r="BE2027" t="s">
        <v>2800</v>
      </c>
      <c r="BF2027">
        <v>2</v>
      </c>
      <c r="BG2027">
        <v>0</v>
      </c>
      <c r="BH2027">
        <v>1978</v>
      </c>
      <c r="BI2027" t="s">
        <v>23872</v>
      </c>
      <c r="BJ2027" t="s">
        <v>194</v>
      </c>
      <c r="BK2027" t="s">
        <v>3643</v>
      </c>
      <c r="BL2027" t="s">
        <v>23873</v>
      </c>
      <c r="BM2027" t="s">
        <v>238</v>
      </c>
      <c r="BN2027" t="s">
        <v>182</v>
      </c>
      <c r="BO2027" t="s">
        <v>1668</v>
      </c>
      <c r="BP2027" t="s">
        <v>19222</v>
      </c>
      <c r="BS2027" t="s">
        <v>23874</v>
      </c>
      <c r="BT2027" t="s">
        <v>198</v>
      </c>
      <c r="BU2027" t="s">
        <v>182</v>
      </c>
      <c r="BV2027" t="s">
        <v>198</v>
      </c>
      <c r="BW2027" t="s">
        <v>198</v>
      </c>
      <c r="BX2027" t="s">
        <v>199</v>
      </c>
      <c r="BY2027" t="s">
        <v>198</v>
      </c>
      <c r="BZ2027" t="s">
        <v>199</v>
      </c>
      <c r="CA2027" t="s">
        <v>199</v>
      </c>
      <c r="CB2027" t="s">
        <v>23875</v>
      </c>
      <c r="CC2027" t="s">
        <v>201</v>
      </c>
      <c r="CD2027" t="s">
        <v>182</v>
      </c>
      <c r="CE2027" t="s">
        <v>23876</v>
      </c>
      <c r="CF2027" t="s">
        <v>5331</v>
      </c>
      <c r="CG2027" t="s">
        <v>177</v>
      </c>
      <c r="CH2027" t="s">
        <v>371</v>
      </c>
      <c r="CI2027" t="s">
        <v>23877</v>
      </c>
      <c r="CJ2027" t="s">
        <v>4973</v>
      </c>
      <c r="CK2027" t="s">
        <v>232</v>
      </c>
      <c r="CL2027" t="s">
        <v>233</v>
      </c>
      <c r="CM2027" t="s">
        <v>23878</v>
      </c>
      <c r="CN2027" t="s">
        <v>235</v>
      </c>
      <c r="CO2027" t="s">
        <v>183</v>
      </c>
      <c r="CP2027" t="s">
        <v>266</v>
      </c>
      <c r="CS2027" t="s">
        <v>198</v>
      </c>
      <c r="CT2027" t="s">
        <v>2269</v>
      </c>
      <c r="CU2027" t="s">
        <v>292</v>
      </c>
      <c r="CV2027" t="s">
        <v>293</v>
      </c>
      <c r="CW2027" t="s">
        <v>23879</v>
      </c>
      <c r="CX2027" t="s">
        <v>235</v>
      </c>
      <c r="CY2027" t="s">
        <v>183</v>
      </c>
      <c r="CZ2027" t="s">
        <v>211</v>
      </c>
      <c r="DA2027" t="s">
        <v>306</v>
      </c>
      <c r="DC2027" t="s">
        <v>21787</v>
      </c>
      <c r="DD2027" t="s">
        <v>15861</v>
      </c>
      <c r="DE2027" t="s">
        <v>267</v>
      </c>
      <c r="DF2027" t="s">
        <v>268</v>
      </c>
      <c r="DG2027" t="s">
        <v>23880</v>
      </c>
      <c r="DH2027" t="s">
        <v>235</v>
      </c>
      <c r="DI2027" t="s">
        <v>183</v>
      </c>
      <c r="DJ2027" t="s">
        <v>211</v>
      </c>
      <c r="DK2027" t="s">
        <v>189</v>
      </c>
      <c r="DM2027" t="s">
        <v>23881</v>
      </c>
      <c r="DN2027" t="s">
        <v>5550</v>
      </c>
      <c r="DO2027" t="s">
        <v>273</v>
      </c>
      <c r="DP2027" t="s">
        <v>274</v>
      </c>
      <c r="DQ2027" t="s">
        <v>23882</v>
      </c>
      <c r="DR2027" t="s">
        <v>235</v>
      </c>
      <c r="DS2027" t="s">
        <v>183</v>
      </c>
      <c r="DT2027" t="s">
        <v>211</v>
      </c>
      <c r="DU2027" t="s">
        <v>206</v>
      </c>
      <c r="DW2027" t="s">
        <v>23883</v>
      </c>
      <c r="DX2027" t="s">
        <v>23884</v>
      </c>
      <c r="DY2027" t="s">
        <v>346</v>
      </c>
      <c r="DZ2027" t="s">
        <v>347</v>
      </c>
      <c r="EA2027" t="s">
        <v>23885</v>
      </c>
      <c r="EB2027" t="s">
        <v>247</v>
      </c>
      <c r="EC2027" t="s">
        <v>183</v>
      </c>
      <c r="ED2027" t="s">
        <v>211</v>
      </c>
      <c r="EE2027" t="s">
        <v>250</v>
      </c>
      <c r="EG2027" t="s">
        <v>19668</v>
      </c>
      <c r="EH2027" t="s">
        <v>18736</v>
      </c>
      <c r="EI2027" t="s">
        <v>207</v>
      </c>
      <c r="EJ2027" t="s">
        <v>208</v>
      </c>
      <c r="EK2027" t="s">
        <v>23886</v>
      </c>
      <c r="EL2027" t="s">
        <v>833</v>
      </c>
      <c r="EM2027" t="s">
        <v>183</v>
      </c>
      <c r="EN2027" t="s">
        <v>211</v>
      </c>
      <c r="EO2027" t="s">
        <v>487</v>
      </c>
      <c r="EQ2027" t="s">
        <v>19668</v>
      </c>
      <c r="FA2027" t="s">
        <v>198</v>
      </c>
      <c r="FK2027" t="s">
        <v>198</v>
      </c>
      <c r="FU2027" t="s">
        <v>198</v>
      </c>
    </row>
    <row r="2028" spans="1:177">
      <c r="A2028" s="1" t="str">
        <f>HYPERLINK("http://digipan.lumentumllc.com/apps/getLink/index.php?t=PropLink&amp;p=5244141","PL")</f>
        <v>PL</v>
      </c>
      <c r="B2028" s="1" t="str">
        <f>HYPERLINK("http://digipan.lumentumllc.com/apps/getLink/index.php?t=TaxLink&amp;p=5244141","TL")</f>
        <v>TL</v>
      </c>
      <c r="C2028" s="1" t="str">
        <f>HYPERLINK("http://digipan.lumentumllc.com/apps/getMap/index.php?p=5244141","Map")</f>
        <v>Map</v>
      </c>
      <c r="E2028" t="s">
        <v>177</v>
      </c>
      <c r="F2028" t="s">
        <v>178</v>
      </c>
      <c r="L2028" t="s">
        <v>23887</v>
      </c>
      <c r="N2028" t="s">
        <v>23887</v>
      </c>
      <c r="O2028" t="s">
        <v>23887</v>
      </c>
      <c r="P2028" t="s">
        <v>23888</v>
      </c>
      <c r="Q2028" t="s">
        <v>23887</v>
      </c>
      <c r="V2028">
        <v>2324</v>
      </c>
      <c r="W2028">
        <v>8</v>
      </c>
      <c r="X2028">
        <v>2017</v>
      </c>
      <c r="Y2028">
        <v>2018</v>
      </c>
      <c r="Z2028">
        <v>5355.69</v>
      </c>
      <c r="AB2028" t="s">
        <v>181</v>
      </c>
      <c r="AC2028" t="s">
        <v>182</v>
      </c>
      <c r="AD2028" t="s">
        <v>183</v>
      </c>
      <c r="AE2028">
        <v>1</v>
      </c>
      <c r="AF2028">
        <v>7</v>
      </c>
      <c r="AG2028" t="s">
        <v>418</v>
      </c>
      <c r="AH2028">
        <v>86</v>
      </c>
      <c r="AI2028">
        <v>5457.82</v>
      </c>
      <c r="AJ2028">
        <v>272.89</v>
      </c>
      <c r="AK2028">
        <v>5730.71</v>
      </c>
      <c r="AL2028">
        <v>246981</v>
      </c>
      <c r="AM2028">
        <v>165000</v>
      </c>
      <c r="AN2028">
        <v>81981</v>
      </c>
      <c r="AO2028">
        <v>5022</v>
      </c>
      <c r="AP2028">
        <v>2016</v>
      </c>
      <c r="AQ2028">
        <v>2.17</v>
      </c>
      <c r="AR2028">
        <v>2.3199999999999998</v>
      </c>
      <c r="AS2028" t="s">
        <v>23889</v>
      </c>
      <c r="AT2028" t="s">
        <v>15040</v>
      </c>
      <c r="AU2028" t="s">
        <v>177</v>
      </c>
      <c r="AV2028" t="s">
        <v>371</v>
      </c>
      <c r="AW2028" t="s">
        <v>182</v>
      </c>
      <c r="AX2028">
        <v>48</v>
      </c>
      <c r="AY2028" t="s">
        <v>5663</v>
      </c>
      <c r="AZ2028" t="s">
        <v>1162</v>
      </c>
      <c r="BA2028" t="s">
        <v>5947</v>
      </c>
      <c r="BB2028" t="s">
        <v>191</v>
      </c>
      <c r="BC2028" t="s">
        <v>182</v>
      </c>
      <c r="BD2028" t="s">
        <v>182</v>
      </c>
      <c r="BE2028" t="s">
        <v>5880</v>
      </c>
      <c r="BF2028">
        <v>1</v>
      </c>
      <c r="BG2028">
        <v>0</v>
      </c>
      <c r="BH2028">
        <v>1998</v>
      </c>
      <c r="BI2028" t="s">
        <v>23890</v>
      </c>
      <c r="BJ2028" t="s">
        <v>194</v>
      </c>
      <c r="BK2028" t="s">
        <v>3643</v>
      </c>
      <c r="BL2028" t="s">
        <v>199</v>
      </c>
      <c r="BM2028" t="s">
        <v>559</v>
      </c>
      <c r="BN2028" t="s">
        <v>182</v>
      </c>
      <c r="BO2028" t="s">
        <v>15599</v>
      </c>
      <c r="BP2028" t="s">
        <v>23891</v>
      </c>
      <c r="BS2028" t="s">
        <v>23892</v>
      </c>
      <c r="BT2028" t="s">
        <v>198</v>
      </c>
      <c r="BU2028" t="s">
        <v>182</v>
      </c>
      <c r="BV2028" t="s">
        <v>198</v>
      </c>
      <c r="BW2028" t="s">
        <v>198</v>
      </c>
      <c r="BX2028" t="s">
        <v>199</v>
      </c>
      <c r="BY2028" t="s">
        <v>198</v>
      </c>
      <c r="BZ2028" t="s">
        <v>199</v>
      </c>
      <c r="CA2028" t="s">
        <v>199</v>
      </c>
      <c r="CB2028" t="s">
        <v>23487</v>
      </c>
      <c r="CC2028" t="s">
        <v>201</v>
      </c>
      <c r="CD2028" t="s">
        <v>202</v>
      </c>
      <c r="CE2028" t="s">
        <v>23488</v>
      </c>
      <c r="CF2028" t="s">
        <v>5331</v>
      </c>
      <c r="CG2028" t="s">
        <v>177</v>
      </c>
      <c r="CH2028" t="s">
        <v>5332</v>
      </c>
      <c r="CI2028" t="s">
        <v>15503</v>
      </c>
      <c r="CJ2028" t="s">
        <v>1474</v>
      </c>
      <c r="CK2028" t="s">
        <v>232</v>
      </c>
      <c r="CL2028" t="s">
        <v>233</v>
      </c>
      <c r="CM2028" t="s">
        <v>23893</v>
      </c>
      <c r="CN2028" t="s">
        <v>235</v>
      </c>
      <c r="CO2028" t="s">
        <v>183</v>
      </c>
      <c r="CP2028" t="s">
        <v>266</v>
      </c>
      <c r="CS2028" t="s">
        <v>198</v>
      </c>
      <c r="CT2028" t="s">
        <v>1779</v>
      </c>
      <c r="CU2028" t="s">
        <v>292</v>
      </c>
      <c r="CV2028" t="s">
        <v>293</v>
      </c>
      <c r="CW2028" t="s">
        <v>23894</v>
      </c>
      <c r="CX2028" t="s">
        <v>235</v>
      </c>
      <c r="CY2028" t="s">
        <v>183</v>
      </c>
      <c r="CZ2028" t="s">
        <v>211</v>
      </c>
      <c r="DA2028" t="s">
        <v>212</v>
      </c>
      <c r="DC2028" t="s">
        <v>17152</v>
      </c>
      <c r="DD2028" t="s">
        <v>23079</v>
      </c>
      <c r="DE2028" t="s">
        <v>267</v>
      </c>
      <c r="DF2028" t="s">
        <v>268</v>
      </c>
      <c r="DG2028" t="s">
        <v>23895</v>
      </c>
      <c r="DH2028" t="s">
        <v>235</v>
      </c>
      <c r="DI2028" t="s">
        <v>183</v>
      </c>
      <c r="DJ2028" t="s">
        <v>211</v>
      </c>
      <c r="DK2028" t="s">
        <v>339</v>
      </c>
      <c r="DM2028" t="s">
        <v>23896</v>
      </c>
      <c r="DN2028" t="s">
        <v>10197</v>
      </c>
      <c r="DO2028" t="s">
        <v>273</v>
      </c>
      <c r="DP2028" t="s">
        <v>274</v>
      </c>
      <c r="DQ2028" t="s">
        <v>23897</v>
      </c>
      <c r="DR2028" t="s">
        <v>235</v>
      </c>
      <c r="DS2028" t="s">
        <v>183</v>
      </c>
      <c r="DT2028" t="s">
        <v>211</v>
      </c>
      <c r="DU2028" t="s">
        <v>493</v>
      </c>
      <c r="DW2028" t="s">
        <v>23896</v>
      </c>
      <c r="DX2028" t="s">
        <v>20421</v>
      </c>
      <c r="DY2028" t="s">
        <v>302</v>
      </c>
      <c r="DZ2028" t="s">
        <v>303</v>
      </c>
      <c r="EA2028" t="s">
        <v>23898</v>
      </c>
      <c r="EB2028" t="s">
        <v>235</v>
      </c>
      <c r="EC2028" t="s">
        <v>183</v>
      </c>
      <c r="ED2028" t="s">
        <v>211</v>
      </c>
      <c r="EE2028" t="s">
        <v>296</v>
      </c>
      <c r="EG2028" t="s">
        <v>23899</v>
      </c>
      <c r="EH2028" t="s">
        <v>3381</v>
      </c>
      <c r="EI2028" t="s">
        <v>238</v>
      </c>
      <c r="EJ2028" t="s">
        <v>239</v>
      </c>
      <c r="EK2028" t="s">
        <v>23900</v>
      </c>
      <c r="EL2028" t="s">
        <v>927</v>
      </c>
      <c r="EM2028" t="s">
        <v>183</v>
      </c>
      <c r="EN2028" t="s">
        <v>211</v>
      </c>
      <c r="EO2028" t="s">
        <v>444</v>
      </c>
      <c r="EQ2028" t="s">
        <v>23899</v>
      </c>
      <c r="ER2028" t="s">
        <v>23901</v>
      </c>
      <c r="ES2028" t="s">
        <v>346</v>
      </c>
      <c r="ET2028" t="s">
        <v>347</v>
      </c>
      <c r="EU2028" t="s">
        <v>23902</v>
      </c>
      <c r="EV2028" t="s">
        <v>247</v>
      </c>
      <c r="EW2028" t="s">
        <v>183</v>
      </c>
      <c r="EX2028" t="s">
        <v>211</v>
      </c>
      <c r="EY2028" t="s">
        <v>337</v>
      </c>
      <c r="FA2028" t="s">
        <v>9506</v>
      </c>
      <c r="FB2028" t="s">
        <v>23903</v>
      </c>
      <c r="FC2028" t="s">
        <v>207</v>
      </c>
      <c r="FD2028" t="s">
        <v>208</v>
      </c>
      <c r="FE2028" t="s">
        <v>23904</v>
      </c>
      <c r="FF2028" t="s">
        <v>833</v>
      </c>
      <c r="FG2028" t="s">
        <v>183</v>
      </c>
      <c r="FH2028" t="s">
        <v>211</v>
      </c>
      <c r="FI2028" t="s">
        <v>339</v>
      </c>
      <c r="FK2028" t="s">
        <v>23905</v>
      </c>
      <c r="FU2028" t="s">
        <v>198</v>
      </c>
    </row>
    <row r="2029" spans="1:177">
      <c r="A2029" s="1" t="str">
        <f>HYPERLINK("http://digipan.lumentumllc.com/apps/getLink/index.php?t=PropLink&amp;p=15729006","PL")</f>
        <v>PL</v>
      </c>
      <c r="B2029" s="1" t="str">
        <f>HYPERLINK("http://digipan.lumentumllc.com/apps/getLink/index.php?t=TaxLink&amp;p=15729006","TL")</f>
        <v>TL</v>
      </c>
      <c r="C2029" s="1" t="str">
        <f>HYPERLINK("http://digipan.lumentumllc.com/apps/getMap/index.php?p=15729006","Map")</f>
        <v>Map</v>
      </c>
      <c r="E2029" t="s">
        <v>177</v>
      </c>
      <c r="F2029" t="s">
        <v>178</v>
      </c>
      <c r="L2029" t="s">
        <v>23906</v>
      </c>
      <c r="N2029" t="s">
        <v>23906</v>
      </c>
      <c r="O2029" t="s">
        <v>23906</v>
      </c>
      <c r="Q2029" t="s">
        <v>23906</v>
      </c>
      <c r="V2029">
        <v>2325</v>
      </c>
      <c r="W2029">
        <v>8</v>
      </c>
      <c r="X2029">
        <v>2017</v>
      </c>
      <c r="Y2029">
        <v>2018</v>
      </c>
      <c r="Z2029">
        <v>31833.61</v>
      </c>
      <c r="AG2029" t="s">
        <v>184</v>
      </c>
      <c r="AH2029">
        <v>0</v>
      </c>
      <c r="AK2029">
        <v>0</v>
      </c>
      <c r="AL2029">
        <v>1475367</v>
      </c>
      <c r="AM2029">
        <v>422680</v>
      </c>
      <c r="AN2029">
        <v>1052687</v>
      </c>
      <c r="AO2029">
        <v>34573</v>
      </c>
      <c r="AP2029">
        <v>2016</v>
      </c>
      <c r="AQ2029">
        <v>2.16</v>
      </c>
      <c r="AS2029" t="s">
        <v>23907</v>
      </c>
      <c r="AT2029" t="s">
        <v>15040</v>
      </c>
      <c r="AU2029" t="s">
        <v>177</v>
      </c>
      <c r="AV2029" t="s">
        <v>371</v>
      </c>
      <c r="AW2029" t="s">
        <v>182</v>
      </c>
      <c r="AX2029">
        <v>18</v>
      </c>
      <c r="AY2029" t="s">
        <v>3641</v>
      </c>
      <c r="AZ2029" t="s">
        <v>493</v>
      </c>
      <c r="BA2029" t="s">
        <v>23908</v>
      </c>
      <c r="BB2029" t="s">
        <v>191</v>
      </c>
      <c r="BC2029" t="s">
        <v>182</v>
      </c>
      <c r="BD2029" t="s">
        <v>182</v>
      </c>
      <c r="BE2029" t="s">
        <v>8262</v>
      </c>
      <c r="BF2029">
        <v>1</v>
      </c>
      <c r="BG2029">
        <v>0</v>
      </c>
      <c r="BH2029">
        <v>2000</v>
      </c>
      <c r="BI2029" t="s">
        <v>23909</v>
      </c>
      <c r="BJ2029" t="s">
        <v>396</v>
      </c>
      <c r="BK2029" t="s">
        <v>3643</v>
      </c>
      <c r="BL2029" t="s">
        <v>23910</v>
      </c>
      <c r="BM2029" t="s">
        <v>232</v>
      </c>
      <c r="BN2029" t="s">
        <v>182</v>
      </c>
      <c r="BO2029" t="s">
        <v>23911</v>
      </c>
      <c r="BP2029" t="s">
        <v>23912</v>
      </c>
      <c r="BQ2029" t="s">
        <v>1520</v>
      </c>
      <c r="BR2029" t="s">
        <v>563</v>
      </c>
      <c r="BS2029" t="s">
        <v>198</v>
      </c>
      <c r="BT2029" t="s">
        <v>228</v>
      </c>
      <c r="BU2029" t="s">
        <v>182</v>
      </c>
      <c r="BV2029" t="s">
        <v>198</v>
      </c>
      <c r="BW2029" t="s">
        <v>198</v>
      </c>
      <c r="BX2029" t="s">
        <v>199</v>
      </c>
      <c r="BY2029" t="s">
        <v>198</v>
      </c>
      <c r="BZ2029" t="s">
        <v>199</v>
      </c>
      <c r="CA2029" t="s">
        <v>199</v>
      </c>
      <c r="CB2029" t="s">
        <v>23913</v>
      </c>
      <c r="CC2029" t="s">
        <v>201</v>
      </c>
      <c r="CD2029" t="s">
        <v>202</v>
      </c>
      <c r="CE2029" t="s">
        <v>23914</v>
      </c>
      <c r="CF2029" t="s">
        <v>23915</v>
      </c>
      <c r="CG2029" t="s">
        <v>177</v>
      </c>
      <c r="CH2029" t="s">
        <v>23916</v>
      </c>
      <c r="CI2029" t="s">
        <v>23917</v>
      </c>
      <c r="CS2029" t="s">
        <v>198</v>
      </c>
      <c r="DC2029" t="s">
        <v>198</v>
      </c>
      <c r="DM2029" t="s">
        <v>198</v>
      </c>
      <c r="DW2029" t="s">
        <v>198</v>
      </c>
      <c r="EG2029" t="s">
        <v>198</v>
      </c>
      <c r="EQ2029" t="s">
        <v>198</v>
      </c>
      <c r="FA2029" t="s">
        <v>198</v>
      </c>
      <c r="FK2029" t="s">
        <v>198</v>
      </c>
      <c r="FU2029" t="s">
        <v>198</v>
      </c>
    </row>
    <row r="2030" spans="1:177">
      <c r="A2030" s="1" t="str">
        <f>HYPERLINK("http://digipan.lumentumllc.com/apps/getLink/index.php?t=PropLink&amp;p=5244145","PL")</f>
        <v>PL</v>
      </c>
      <c r="B2030" s="1" t="str">
        <f>HYPERLINK("http://digipan.lumentumllc.com/apps/getLink/index.php?t=TaxLink&amp;p=5244145","TL")</f>
        <v>TL</v>
      </c>
      <c r="C2030" s="1" t="str">
        <f>HYPERLINK("http://digipan.lumentumllc.com/apps/getMap/index.php?p=5244145","Map")</f>
        <v>Map</v>
      </c>
      <c r="E2030" t="s">
        <v>177</v>
      </c>
      <c r="F2030" t="s">
        <v>178</v>
      </c>
      <c r="L2030" t="s">
        <v>23918</v>
      </c>
      <c r="N2030" t="s">
        <v>23918</v>
      </c>
      <c r="O2030" t="s">
        <v>23918</v>
      </c>
      <c r="P2030" t="s">
        <v>23919</v>
      </c>
      <c r="Q2030" t="s">
        <v>23918</v>
      </c>
      <c r="V2030">
        <v>2326</v>
      </c>
      <c r="W2030">
        <v>8</v>
      </c>
      <c r="X2030">
        <v>2017</v>
      </c>
      <c r="Y2030">
        <v>2018</v>
      </c>
      <c r="Z2030">
        <v>5868.16</v>
      </c>
      <c r="AB2030" t="s">
        <v>181</v>
      </c>
      <c r="AC2030" t="s">
        <v>202</v>
      </c>
      <c r="AD2030" t="s">
        <v>183</v>
      </c>
      <c r="AE2030">
        <v>1</v>
      </c>
      <c r="AF2030">
        <v>6</v>
      </c>
      <c r="AG2030" t="s">
        <v>322</v>
      </c>
      <c r="AH2030">
        <v>83</v>
      </c>
      <c r="AI2030">
        <v>6038.63</v>
      </c>
      <c r="AJ2030">
        <v>301.93</v>
      </c>
      <c r="AK2030">
        <v>6340.56</v>
      </c>
      <c r="AL2030">
        <v>270757</v>
      </c>
      <c r="AM2030">
        <v>200000</v>
      </c>
      <c r="AN2030">
        <v>70757</v>
      </c>
      <c r="AO2030">
        <v>5559</v>
      </c>
      <c r="AP2030">
        <v>2016</v>
      </c>
      <c r="AQ2030">
        <v>2.17</v>
      </c>
      <c r="AR2030">
        <v>2.34</v>
      </c>
      <c r="AS2030" t="s">
        <v>23920</v>
      </c>
      <c r="AT2030" t="s">
        <v>15040</v>
      </c>
      <c r="AU2030" t="s">
        <v>177</v>
      </c>
      <c r="AV2030" t="s">
        <v>371</v>
      </c>
      <c r="AW2030" t="s">
        <v>182</v>
      </c>
      <c r="AX2030">
        <v>48</v>
      </c>
      <c r="AY2030" t="s">
        <v>5663</v>
      </c>
      <c r="AZ2030" t="s">
        <v>1162</v>
      </c>
      <c r="BA2030" t="s">
        <v>5947</v>
      </c>
      <c r="BB2030" t="s">
        <v>191</v>
      </c>
      <c r="BC2030" t="s">
        <v>182</v>
      </c>
      <c r="BD2030" t="s">
        <v>182</v>
      </c>
      <c r="BE2030" t="s">
        <v>15298</v>
      </c>
      <c r="BF2030">
        <v>1</v>
      </c>
      <c r="BG2030">
        <v>0</v>
      </c>
      <c r="BH2030">
        <v>1986</v>
      </c>
      <c r="BI2030" t="s">
        <v>23921</v>
      </c>
      <c r="BJ2030" t="s">
        <v>194</v>
      </c>
      <c r="BK2030" t="s">
        <v>3643</v>
      </c>
      <c r="BL2030" t="s">
        <v>1801</v>
      </c>
      <c r="BM2030" t="s">
        <v>286</v>
      </c>
      <c r="BN2030" t="s">
        <v>182</v>
      </c>
      <c r="BO2030" t="s">
        <v>2328</v>
      </c>
      <c r="BP2030" t="s">
        <v>12362</v>
      </c>
      <c r="BS2030" t="s">
        <v>23922</v>
      </c>
      <c r="BT2030" t="s">
        <v>198</v>
      </c>
      <c r="BU2030" t="s">
        <v>182</v>
      </c>
      <c r="BV2030" t="s">
        <v>198</v>
      </c>
      <c r="BW2030" t="s">
        <v>198</v>
      </c>
      <c r="BX2030" t="s">
        <v>199</v>
      </c>
      <c r="BY2030" t="s">
        <v>198</v>
      </c>
      <c r="BZ2030" t="s">
        <v>199</v>
      </c>
      <c r="CA2030" t="s">
        <v>199</v>
      </c>
      <c r="CB2030" t="s">
        <v>23923</v>
      </c>
      <c r="CC2030" t="s">
        <v>201</v>
      </c>
      <c r="CD2030" t="s">
        <v>202</v>
      </c>
      <c r="CE2030" t="s">
        <v>23488</v>
      </c>
      <c r="CF2030" t="s">
        <v>5331</v>
      </c>
      <c r="CG2030" t="s">
        <v>177</v>
      </c>
      <c r="CH2030" t="s">
        <v>5332</v>
      </c>
      <c r="CI2030" t="s">
        <v>15821</v>
      </c>
      <c r="CJ2030" t="s">
        <v>945</v>
      </c>
      <c r="CK2030" t="s">
        <v>232</v>
      </c>
      <c r="CL2030" t="s">
        <v>233</v>
      </c>
      <c r="CM2030" t="s">
        <v>23924</v>
      </c>
      <c r="CN2030" t="s">
        <v>235</v>
      </c>
      <c r="CO2030" t="s">
        <v>183</v>
      </c>
      <c r="CP2030" t="s">
        <v>266</v>
      </c>
      <c r="CS2030" t="s">
        <v>198</v>
      </c>
      <c r="CT2030" t="s">
        <v>4973</v>
      </c>
      <c r="CU2030" t="s">
        <v>292</v>
      </c>
      <c r="CV2030" t="s">
        <v>293</v>
      </c>
      <c r="CW2030" t="s">
        <v>23925</v>
      </c>
      <c r="CX2030" t="s">
        <v>235</v>
      </c>
      <c r="CY2030" t="s">
        <v>183</v>
      </c>
      <c r="CZ2030" t="s">
        <v>211</v>
      </c>
      <c r="DA2030" t="s">
        <v>427</v>
      </c>
      <c r="DC2030" t="s">
        <v>15194</v>
      </c>
      <c r="DD2030" t="s">
        <v>18307</v>
      </c>
      <c r="DE2030" t="s">
        <v>273</v>
      </c>
      <c r="DF2030" t="s">
        <v>274</v>
      </c>
      <c r="DG2030" t="s">
        <v>23926</v>
      </c>
      <c r="DH2030" t="s">
        <v>235</v>
      </c>
      <c r="DI2030" t="s">
        <v>183</v>
      </c>
      <c r="DJ2030" t="s">
        <v>211</v>
      </c>
      <c r="DL2030" t="s">
        <v>271</v>
      </c>
      <c r="DM2030" t="s">
        <v>198</v>
      </c>
      <c r="DN2030" t="s">
        <v>16111</v>
      </c>
      <c r="DO2030" t="s">
        <v>302</v>
      </c>
      <c r="DP2030" t="s">
        <v>303</v>
      </c>
      <c r="DQ2030" t="s">
        <v>23927</v>
      </c>
      <c r="DR2030" t="s">
        <v>235</v>
      </c>
      <c r="DS2030" t="s">
        <v>183</v>
      </c>
      <c r="DT2030" t="s">
        <v>211</v>
      </c>
      <c r="DV2030" t="s">
        <v>271</v>
      </c>
      <c r="DW2030" t="s">
        <v>198</v>
      </c>
      <c r="DX2030" t="s">
        <v>1980</v>
      </c>
      <c r="DY2030" t="s">
        <v>238</v>
      </c>
      <c r="DZ2030" t="s">
        <v>239</v>
      </c>
      <c r="EA2030" t="s">
        <v>23928</v>
      </c>
      <c r="EB2030" t="s">
        <v>235</v>
      </c>
      <c r="EC2030" t="s">
        <v>183</v>
      </c>
      <c r="ED2030" t="s">
        <v>211</v>
      </c>
      <c r="EE2030" t="s">
        <v>298</v>
      </c>
      <c r="EG2030" t="s">
        <v>1815</v>
      </c>
      <c r="EH2030" t="s">
        <v>23929</v>
      </c>
      <c r="EI2030" t="s">
        <v>346</v>
      </c>
      <c r="EJ2030" t="s">
        <v>347</v>
      </c>
      <c r="EK2030" t="s">
        <v>23930</v>
      </c>
      <c r="EL2030" t="s">
        <v>247</v>
      </c>
      <c r="EM2030" t="s">
        <v>183</v>
      </c>
      <c r="EN2030" t="s">
        <v>211</v>
      </c>
      <c r="EO2030" t="s">
        <v>342</v>
      </c>
      <c r="EQ2030" t="s">
        <v>4545</v>
      </c>
      <c r="ER2030" t="s">
        <v>23931</v>
      </c>
      <c r="ES2030" t="s">
        <v>207</v>
      </c>
      <c r="ET2030" t="s">
        <v>208</v>
      </c>
      <c r="EU2030" t="s">
        <v>23932</v>
      </c>
      <c r="EV2030" t="s">
        <v>833</v>
      </c>
      <c r="EW2030" t="s">
        <v>183</v>
      </c>
      <c r="EX2030" t="s">
        <v>211</v>
      </c>
      <c r="EY2030" t="s">
        <v>298</v>
      </c>
      <c r="FA2030" t="s">
        <v>1167</v>
      </c>
      <c r="FK2030" t="s">
        <v>198</v>
      </c>
      <c r="FU2030" t="s">
        <v>198</v>
      </c>
    </row>
    <row r="2031" spans="1:177">
      <c r="A2031" s="1" t="str">
        <f>HYPERLINK("http://digipan.lumentumllc.com/apps/getLink/index.php?t=PropLink&amp;p=6461636","PL")</f>
        <v>PL</v>
      </c>
      <c r="B2031" s="1" t="str">
        <f>HYPERLINK("http://digipan.lumentumllc.com/apps/getLink/index.php?t=TaxLink&amp;p=6461636","TL")</f>
        <v>TL</v>
      </c>
      <c r="C2031" s="1" t="str">
        <f>HYPERLINK("http://digipan.lumentumllc.com/apps/getMap/index.php?p=6461636","Map")</f>
        <v>Map</v>
      </c>
      <c r="E2031" t="s">
        <v>177</v>
      </c>
      <c r="F2031" t="s">
        <v>178</v>
      </c>
      <c r="L2031" t="s">
        <v>23933</v>
      </c>
      <c r="N2031" t="s">
        <v>23933</v>
      </c>
      <c r="O2031" t="s">
        <v>23933</v>
      </c>
      <c r="P2031" t="s">
        <v>23934</v>
      </c>
      <c r="Q2031" t="s">
        <v>23933</v>
      </c>
      <c r="V2031">
        <v>2327</v>
      </c>
      <c r="W2031">
        <v>8</v>
      </c>
      <c r="X2031">
        <v>2017</v>
      </c>
      <c r="Y2031">
        <v>2018</v>
      </c>
      <c r="Z2031">
        <v>5683.87</v>
      </c>
      <c r="AB2031" t="s">
        <v>181</v>
      </c>
      <c r="AC2031" t="s">
        <v>182</v>
      </c>
      <c r="AD2031" t="s">
        <v>183</v>
      </c>
      <c r="AE2031">
        <v>1</v>
      </c>
      <c r="AF2031">
        <v>7</v>
      </c>
      <c r="AG2031" t="s">
        <v>418</v>
      </c>
      <c r="AH2031">
        <v>86</v>
      </c>
      <c r="AI2031">
        <v>5873.2</v>
      </c>
      <c r="AJ2031">
        <v>293.66000000000003</v>
      </c>
      <c r="AK2031">
        <v>6166.86</v>
      </c>
      <c r="AL2031">
        <v>262206</v>
      </c>
      <c r="AM2031">
        <v>170000</v>
      </c>
      <c r="AN2031">
        <v>92206</v>
      </c>
      <c r="AO2031">
        <v>5406</v>
      </c>
      <c r="AP2031">
        <v>2016</v>
      </c>
      <c r="AQ2031">
        <v>2.17</v>
      </c>
      <c r="AR2031">
        <v>2.35</v>
      </c>
      <c r="AS2031" t="s">
        <v>23935</v>
      </c>
      <c r="AT2031" t="s">
        <v>15040</v>
      </c>
      <c r="AU2031" t="s">
        <v>177</v>
      </c>
      <c r="AV2031" t="s">
        <v>371</v>
      </c>
      <c r="AW2031" t="s">
        <v>182</v>
      </c>
      <c r="AX2031">
        <v>41</v>
      </c>
      <c r="AY2031" t="s">
        <v>5663</v>
      </c>
      <c r="AZ2031" t="s">
        <v>1006</v>
      </c>
      <c r="BA2031" t="s">
        <v>5664</v>
      </c>
      <c r="BB2031" t="s">
        <v>191</v>
      </c>
      <c r="BC2031" t="s">
        <v>182</v>
      </c>
      <c r="BD2031" t="s">
        <v>182</v>
      </c>
      <c r="BE2031" t="s">
        <v>3682</v>
      </c>
      <c r="BF2031">
        <v>1</v>
      </c>
      <c r="BG2031">
        <v>0</v>
      </c>
      <c r="BH2031">
        <v>1986</v>
      </c>
      <c r="BI2031" t="s">
        <v>23921</v>
      </c>
      <c r="BJ2031" t="s">
        <v>194</v>
      </c>
      <c r="BK2031" t="s">
        <v>3643</v>
      </c>
      <c r="BL2031" t="s">
        <v>4712</v>
      </c>
      <c r="BM2031" t="s">
        <v>1332</v>
      </c>
      <c r="BN2031" t="s">
        <v>182</v>
      </c>
      <c r="BO2031" t="s">
        <v>3184</v>
      </c>
      <c r="BP2031" t="s">
        <v>23936</v>
      </c>
      <c r="BS2031" t="s">
        <v>23937</v>
      </c>
      <c r="BT2031" t="s">
        <v>198</v>
      </c>
      <c r="BU2031" t="s">
        <v>182</v>
      </c>
      <c r="BV2031" t="s">
        <v>198</v>
      </c>
      <c r="BW2031" t="s">
        <v>198</v>
      </c>
      <c r="BX2031" t="s">
        <v>199</v>
      </c>
      <c r="BY2031" t="s">
        <v>198</v>
      </c>
      <c r="BZ2031" t="s">
        <v>199</v>
      </c>
      <c r="CA2031" t="s">
        <v>199</v>
      </c>
      <c r="CB2031" t="s">
        <v>23938</v>
      </c>
      <c r="CC2031" t="s">
        <v>201</v>
      </c>
      <c r="CD2031" t="s">
        <v>182</v>
      </c>
      <c r="CE2031" t="s">
        <v>23939</v>
      </c>
      <c r="CF2031" t="s">
        <v>5331</v>
      </c>
      <c r="CG2031" t="s">
        <v>177</v>
      </c>
      <c r="CH2031" t="s">
        <v>371</v>
      </c>
      <c r="CI2031" t="s">
        <v>23940</v>
      </c>
      <c r="CJ2031" t="s">
        <v>1387</v>
      </c>
      <c r="CK2031" t="s">
        <v>232</v>
      </c>
      <c r="CL2031" t="s">
        <v>233</v>
      </c>
      <c r="CM2031" t="s">
        <v>23941</v>
      </c>
      <c r="CN2031" t="s">
        <v>235</v>
      </c>
      <c r="CO2031" t="s">
        <v>183</v>
      </c>
      <c r="CP2031" t="s">
        <v>266</v>
      </c>
      <c r="CS2031" t="s">
        <v>198</v>
      </c>
      <c r="CT2031" t="s">
        <v>1474</v>
      </c>
      <c r="CU2031" t="s">
        <v>292</v>
      </c>
      <c r="CV2031" t="s">
        <v>293</v>
      </c>
      <c r="CW2031" t="s">
        <v>23942</v>
      </c>
      <c r="CX2031" t="s">
        <v>235</v>
      </c>
      <c r="CY2031" t="s">
        <v>183</v>
      </c>
      <c r="CZ2031" t="s">
        <v>211</v>
      </c>
      <c r="DA2031" t="s">
        <v>345</v>
      </c>
      <c r="DC2031" t="s">
        <v>11641</v>
      </c>
      <c r="DD2031" t="s">
        <v>3606</v>
      </c>
      <c r="DE2031" t="s">
        <v>267</v>
      </c>
      <c r="DF2031" t="s">
        <v>268</v>
      </c>
      <c r="DG2031" t="s">
        <v>23943</v>
      </c>
      <c r="DH2031" t="s">
        <v>235</v>
      </c>
      <c r="DI2031" t="s">
        <v>183</v>
      </c>
      <c r="DJ2031" t="s">
        <v>211</v>
      </c>
      <c r="DK2031" t="s">
        <v>298</v>
      </c>
      <c r="DM2031" t="s">
        <v>5919</v>
      </c>
      <c r="DN2031" t="s">
        <v>10217</v>
      </c>
      <c r="DO2031" t="s">
        <v>273</v>
      </c>
      <c r="DP2031" t="s">
        <v>274</v>
      </c>
      <c r="DQ2031" t="s">
        <v>23944</v>
      </c>
      <c r="DR2031" t="s">
        <v>235</v>
      </c>
      <c r="DS2031" t="s">
        <v>183</v>
      </c>
      <c r="DT2031" t="s">
        <v>211</v>
      </c>
      <c r="DU2031" t="s">
        <v>298</v>
      </c>
      <c r="DW2031" t="s">
        <v>1069</v>
      </c>
      <c r="DX2031" t="s">
        <v>23945</v>
      </c>
      <c r="DY2031" t="s">
        <v>302</v>
      </c>
      <c r="DZ2031" t="s">
        <v>303</v>
      </c>
      <c r="EA2031" t="s">
        <v>23946</v>
      </c>
      <c r="EB2031" t="s">
        <v>235</v>
      </c>
      <c r="EC2031" t="s">
        <v>183</v>
      </c>
      <c r="ED2031" t="s">
        <v>211</v>
      </c>
      <c r="EE2031" t="s">
        <v>298</v>
      </c>
      <c r="EG2031" t="s">
        <v>464</v>
      </c>
      <c r="EH2031" t="s">
        <v>21719</v>
      </c>
      <c r="EI2031" t="s">
        <v>238</v>
      </c>
      <c r="EJ2031" t="s">
        <v>303</v>
      </c>
      <c r="EK2031" t="s">
        <v>23947</v>
      </c>
      <c r="EL2031" t="s">
        <v>511</v>
      </c>
      <c r="EM2031" t="s">
        <v>183</v>
      </c>
      <c r="EN2031" t="s">
        <v>211</v>
      </c>
      <c r="EO2031" t="s">
        <v>298</v>
      </c>
      <c r="EQ2031" t="s">
        <v>464</v>
      </c>
      <c r="ER2031" t="s">
        <v>20771</v>
      </c>
      <c r="ES2031" t="s">
        <v>346</v>
      </c>
      <c r="ET2031" t="s">
        <v>303</v>
      </c>
      <c r="EU2031" t="s">
        <v>23948</v>
      </c>
      <c r="EV2031" t="s">
        <v>511</v>
      </c>
      <c r="EW2031" t="s">
        <v>183</v>
      </c>
      <c r="EX2031" t="s">
        <v>211</v>
      </c>
      <c r="EY2031" t="s">
        <v>487</v>
      </c>
      <c r="FA2031" t="s">
        <v>23949</v>
      </c>
      <c r="FB2031" t="s">
        <v>23950</v>
      </c>
      <c r="FC2031" t="s">
        <v>207</v>
      </c>
      <c r="FD2031" t="s">
        <v>208</v>
      </c>
      <c r="FE2031" t="s">
        <v>23951</v>
      </c>
      <c r="FF2031" t="s">
        <v>833</v>
      </c>
      <c r="FG2031" t="s">
        <v>183</v>
      </c>
      <c r="FH2031" t="s">
        <v>211</v>
      </c>
      <c r="FI2031" t="s">
        <v>963</v>
      </c>
      <c r="FK2031" t="s">
        <v>2312</v>
      </c>
      <c r="FU2031" t="s">
        <v>198</v>
      </c>
    </row>
    <row r="2032" spans="1:177">
      <c r="A2032" s="1" t="str">
        <f>HYPERLINK("http://digipan.lumentumllc.com/apps/getLink/index.php?t=PropLink&amp;p=5244182","PL")</f>
        <v>PL</v>
      </c>
      <c r="B2032" s="1" t="str">
        <f>HYPERLINK("http://digipan.lumentumllc.com/apps/getLink/index.php?t=TaxLink&amp;p=5244182","TL")</f>
        <v>TL</v>
      </c>
      <c r="C2032" s="1" t="str">
        <f>HYPERLINK("http://digipan.lumentumllc.com/apps/getMap/index.php?p=5244182","Map")</f>
        <v>Map</v>
      </c>
      <c r="E2032" t="s">
        <v>177</v>
      </c>
      <c r="F2032" t="s">
        <v>178</v>
      </c>
      <c r="L2032" t="s">
        <v>23952</v>
      </c>
      <c r="N2032" t="s">
        <v>23952</v>
      </c>
      <c r="O2032" t="s">
        <v>23952</v>
      </c>
      <c r="P2032" t="s">
        <v>23953</v>
      </c>
      <c r="Q2032" t="s">
        <v>23952</v>
      </c>
      <c r="V2032">
        <v>2328</v>
      </c>
      <c r="W2032">
        <v>8</v>
      </c>
      <c r="X2032">
        <v>2017</v>
      </c>
      <c r="Y2032">
        <v>2018</v>
      </c>
      <c r="Z2032">
        <v>1664.47</v>
      </c>
      <c r="AB2032" t="s">
        <v>181</v>
      </c>
      <c r="AC2032" t="s">
        <v>182</v>
      </c>
      <c r="AD2032" t="s">
        <v>183</v>
      </c>
      <c r="AE2032">
        <v>0</v>
      </c>
      <c r="AF2032">
        <v>2</v>
      </c>
      <c r="AG2032" t="s">
        <v>216</v>
      </c>
      <c r="AH2032">
        <v>100</v>
      </c>
      <c r="AK2032">
        <v>0</v>
      </c>
      <c r="AL2032">
        <v>307934</v>
      </c>
      <c r="AM2032">
        <v>225000</v>
      </c>
      <c r="AN2032">
        <v>82934</v>
      </c>
      <c r="AO2032">
        <v>0</v>
      </c>
      <c r="AP2032">
        <v>0</v>
      </c>
      <c r="AQ2032">
        <v>0.54</v>
      </c>
      <c r="AS2032" t="s">
        <v>23954</v>
      </c>
      <c r="AT2032" t="s">
        <v>15040</v>
      </c>
      <c r="AU2032" t="s">
        <v>177</v>
      </c>
      <c r="AV2032" t="s">
        <v>371</v>
      </c>
      <c r="AW2032" t="s">
        <v>182</v>
      </c>
      <c r="AX2032">
        <v>11</v>
      </c>
      <c r="AY2032" t="s">
        <v>3641</v>
      </c>
      <c r="AZ2032" t="s">
        <v>212</v>
      </c>
      <c r="BA2032" t="s">
        <v>5959</v>
      </c>
      <c r="BB2032" t="s">
        <v>11220</v>
      </c>
      <c r="BC2032" t="s">
        <v>182</v>
      </c>
      <c r="BD2032" t="s">
        <v>182</v>
      </c>
      <c r="BE2032" t="s">
        <v>5608</v>
      </c>
      <c r="BF2032">
        <v>1</v>
      </c>
      <c r="BG2032">
        <v>0</v>
      </c>
      <c r="BH2032">
        <v>1973</v>
      </c>
      <c r="BI2032" t="s">
        <v>12652</v>
      </c>
      <c r="BJ2032" t="s">
        <v>194</v>
      </c>
      <c r="BK2032" t="s">
        <v>840</v>
      </c>
      <c r="BL2032" t="s">
        <v>8160</v>
      </c>
      <c r="BM2032" t="s">
        <v>1332</v>
      </c>
      <c r="BN2032" t="s">
        <v>182</v>
      </c>
      <c r="BO2032" t="s">
        <v>23955</v>
      </c>
      <c r="BP2032" t="s">
        <v>9588</v>
      </c>
      <c r="BQ2032" t="s">
        <v>2053</v>
      </c>
      <c r="BR2032" t="s">
        <v>227</v>
      </c>
      <c r="BS2032" t="s">
        <v>198</v>
      </c>
      <c r="BT2032" t="s">
        <v>228</v>
      </c>
      <c r="BU2032" t="s">
        <v>182</v>
      </c>
      <c r="BV2032" t="s">
        <v>198</v>
      </c>
      <c r="BW2032" t="s">
        <v>198</v>
      </c>
      <c r="BX2032" t="s">
        <v>199</v>
      </c>
      <c r="BY2032" t="s">
        <v>198</v>
      </c>
      <c r="BZ2032" t="s">
        <v>199</v>
      </c>
      <c r="CA2032" t="s">
        <v>199</v>
      </c>
      <c r="CB2032" t="s">
        <v>23956</v>
      </c>
      <c r="CC2032" t="s">
        <v>201</v>
      </c>
      <c r="CD2032" t="s">
        <v>182</v>
      </c>
      <c r="CE2032" t="s">
        <v>23957</v>
      </c>
      <c r="CF2032" t="s">
        <v>5331</v>
      </c>
      <c r="CG2032" t="s">
        <v>177</v>
      </c>
      <c r="CH2032" t="s">
        <v>371</v>
      </c>
      <c r="CI2032" t="s">
        <v>23958</v>
      </c>
      <c r="CJ2032" t="s">
        <v>2494</v>
      </c>
      <c r="CK2032" t="s">
        <v>238</v>
      </c>
      <c r="CL2032" t="s">
        <v>239</v>
      </c>
      <c r="CM2032" t="s">
        <v>23959</v>
      </c>
      <c r="CN2032" t="s">
        <v>235</v>
      </c>
      <c r="CO2032" t="s">
        <v>183</v>
      </c>
      <c r="CP2032" t="s">
        <v>211</v>
      </c>
      <c r="CQ2032" t="s">
        <v>339</v>
      </c>
      <c r="CS2032" t="s">
        <v>8816</v>
      </c>
      <c r="CT2032" t="s">
        <v>23960</v>
      </c>
      <c r="CU2032" t="s">
        <v>346</v>
      </c>
      <c r="CV2032" t="s">
        <v>347</v>
      </c>
      <c r="CW2032" t="s">
        <v>23961</v>
      </c>
      <c r="CX2032" t="s">
        <v>927</v>
      </c>
      <c r="CY2032" t="s">
        <v>183</v>
      </c>
      <c r="CZ2032" t="s">
        <v>211</v>
      </c>
      <c r="DA2032" t="s">
        <v>493</v>
      </c>
      <c r="DC2032" t="s">
        <v>8816</v>
      </c>
      <c r="DM2032" t="s">
        <v>198</v>
      </c>
      <c r="DW2032" t="s">
        <v>198</v>
      </c>
      <c r="EG2032" t="s">
        <v>198</v>
      </c>
      <c r="EQ2032" t="s">
        <v>198</v>
      </c>
      <c r="FA2032" t="s">
        <v>198</v>
      </c>
      <c r="FK2032" t="s">
        <v>198</v>
      </c>
      <c r="FU2032" t="s">
        <v>198</v>
      </c>
    </row>
    <row r="2033" spans="1:177">
      <c r="A2033" s="1" t="str">
        <f>HYPERLINK("http://digipan.lumentumllc.com/apps/getLink/index.php?t=PropLink&amp;p=5244192","PL")</f>
        <v>PL</v>
      </c>
      <c r="B2033" s="1" t="str">
        <f>HYPERLINK("http://digipan.lumentumllc.com/apps/getLink/index.php?t=TaxLink&amp;p=5244192","TL")</f>
        <v>TL</v>
      </c>
      <c r="C2033" s="1" t="str">
        <f>HYPERLINK("http://digipan.lumentumllc.com/apps/getMap/index.php?p=5244192","Map")</f>
        <v>Map</v>
      </c>
      <c r="E2033" t="s">
        <v>177</v>
      </c>
      <c r="F2033" t="s">
        <v>178</v>
      </c>
      <c r="L2033" t="s">
        <v>23962</v>
      </c>
      <c r="N2033" t="s">
        <v>23962</v>
      </c>
      <c r="O2033" t="s">
        <v>23962</v>
      </c>
      <c r="P2033" t="s">
        <v>23963</v>
      </c>
      <c r="Q2033" t="s">
        <v>23962</v>
      </c>
      <c r="V2033">
        <v>2329</v>
      </c>
      <c r="W2033">
        <v>8</v>
      </c>
      <c r="X2033">
        <v>2017</v>
      </c>
      <c r="Y2033">
        <v>2018</v>
      </c>
      <c r="Z2033">
        <v>2671.88</v>
      </c>
      <c r="AB2033" t="s">
        <v>181</v>
      </c>
      <c r="AC2033" t="s">
        <v>182</v>
      </c>
      <c r="AD2033" t="s">
        <v>183</v>
      </c>
      <c r="AE2033">
        <v>1</v>
      </c>
      <c r="AF2033">
        <v>7</v>
      </c>
      <c r="AG2033" t="s">
        <v>418</v>
      </c>
      <c r="AH2033">
        <v>86</v>
      </c>
      <c r="AI2033">
        <v>3219.57</v>
      </c>
      <c r="AJ2033">
        <v>160.97999999999999</v>
      </c>
      <c r="AK2033">
        <v>3380.55</v>
      </c>
      <c r="AL2033">
        <v>122472</v>
      </c>
      <c r="AM2033">
        <v>0</v>
      </c>
      <c r="AN2033">
        <v>122472</v>
      </c>
      <c r="AO2033">
        <v>2952</v>
      </c>
      <c r="AP2033">
        <v>2016</v>
      </c>
      <c r="AQ2033">
        <v>2.1800000000000002</v>
      </c>
      <c r="AR2033">
        <v>2.76</v>
      </c>
      <c r="AS2033" t="s">
        <v>23964</v>
      </c>
      <c r="AT2033" t="s">
        <v>15040</v>
      </c>
      <c r="AU2033" t="s">
        <v>177</v>
      </c>
      <c r="AV2033" t="s">
        <v>371</v>
      </c>
      <c r="AW2033" t="s">
        <v>182</v>
      </c>
      <c r="AX2033">
        <v>4</v>
      </c>
      <c r="AY2033" t="s">
        <v>188</v>
      </c>
      <c r="AZ2033" t="s">
        <v>296</v>
      </c>
      <c r="BA2033" t="s">
        <v>19069</v>
      </c>
      <c r="BB2033" t="s">
        <v>191</v>
      </c>
      <c r="BC2033" t="s">
        <v>182</v>
      </c>
      <c r="BD2033" t="s">
        <v>182</v>
      </c>
      <c r="BE2033" t="s">
        <v>1722</v>
      </c>
      <c r="BF2033">
        <v>1</v>
      </c>
      <c r="BG2033">
        <v>1</v>
      </c>
      <c r="BH2033">
        <v>2006</v>
      </c>
      <c r="BI2033" t="s">
        <v>16242</v>
      </c>
      <c r="BJ2033" t="s">
        <v>194</v>
      </c>
      <c r="BL2033" t="s">
        <v>199</v>
      </c>
      <c r="BM2033" t="s">
        <v>358</v>
      </c>
      <c r="BN2033" t="s">
        <v>182</v>
      </c>
      <c r="BO2033" t="s">
        <v>198</v>
      </c>
      <c r="BP2033" t="s">
        <v>198</v>
      </c>
      <c r="BQ2033" t="s">
        <v>198</v>
      </c>
      <c r="BR2033" t="s">
        <v>198</v>
      </c>
      <c r="BS2033" t="s">
        <v>198</v>
      </c>
      <c r="BT2033" t="s">
        <v>198</v>
      </c>
      <c r="BU2033" t="s">
        <v>182</v>
      </c>
      <c r="BV2033" t="s">
        <v>198</v>
      </c>
      <c r="BW2033" t="s">
        <v>198</v>
      </c>
      <c r="BX2033" t="s">
        <v>199</v>
      </c>
      <c r="BY2033" t="s">
        <v>198</v>
      </c>
      <c r="BZ2033" t="s">
        <v>199</v>
      </c>
      <c r="CA2033" t="s">
        <v>199</v>
      </c>
      <c r="CB2033" t="s">
        <v>23965</v>
      </c>
      <c r="CC2033" t="s">
        <v>201</v>
      </c>
      <c r="CD2033" t="s">
        <v>182</v>
      </c>
      <c r="CE2033" t="s">
        <v>23966</v>
      </c>
      <c r="CF2033" t="s">
        <v>5331</v>
      </c>
      <c r="CG2033" t="s">
        <v>177</v>
      </c>
      <c r="CH2033" t="s">
        <v>371</v>
      </c>
      <c r="CI2033" t="s">
        <v>23967</v>
      </c>
      <c r="CJ2033" t="s">
        <v>451</v>
      </c>
      <c r="CK2033" t="s">
        <v>232</v>
      </c>
      <c r="CL2033" t="s">
        <v>233</v>
      </c>
      <c r="CM2033" t="s">
        <v>23968</v>
      </c>
      <c r="CN2033" t="s">
        <v>235</v>
      </c>
      <c r="CO2033" t="s">
        <v>183</v>
      </c>
      <c r="CP2033" t="s">
        <v>266</v>
      </c>
      <c r="CS2033" t="s">
        <v>198</v>
      </c>
      <c r="CT2033" t="s">
        <v>945</v>
      </c>
      <c r="CU2033" t="s">
        <v>292</v>
      </c>
      <c r="CV2033" t="s">
        <v>293</v>
      </c>
      <c r="CW2033" t="s">
        <v>23969</v>
      </c>
      <c r="CX2033" t="s">
        <v>235</v>
      </c>
      <c r="CY2033" t="s">
        <v>183</v>
      </c>
      <c r="CZ2033" t="s">
        <v>211</v>
      </c>
      <c r="DA2033" t="s">
        <v>298</v>
      </c>
      <c r="DC2033" t="s">
        <v>1641</v>
      </c>
      <c r="DD2033" t="s">
        <v>17387</v>
      </c>
      <c r="DE2033" t="s">
        <v>267</v>
      </c>
      <c r="DF2033" t="s">
        <v>268</v>
      </c>
      <c r="DG2033" t="s">
        <v>23970</v>
      </c>
      <c r="DH2033" t="s">
        <v>235</v>
      </c>
      <c r="DI2033" t="s">
        <v>183</v>
      </c>
      <c r="DJ2033" t="s">
        <v>211</v>
      </c>
      <c r="DK2033" t="s">
        <v>298</v>
      </c>
      <c r="DM2033" t="s">
        <v>459</v>
      </c>
      <c r="DN2033" t="s">
        <v>16816</v>
      </c>
      <c r="DO2033" t="s">
        <v>273</v>
      </c>
      <c r="DP2033" t="s">
        <v>274</v>
      </c>
      <c r="DQ2033" t="s">
        <v>23971</v>
      </c>
      <c r="DR2033" t="s">
        <v>235</v>
      </c>
      <c r="DS2033" t="s">
        <v>183</v>
      </c>
      <c r="DT2033" t="s">
        <v>211</v>
      </c>
      <c r="DU2033" t="s">
        <v>298</v>
      </c>
      <c r="DW2033" t="s">
        <v>462</v>
      </c>
      <c r="DX2033" t="s">
        <v>20441</v>
      </c>
      <c r="DY2033" t="s">
        <v>302</v>
      </c>
      <c r="DZ2033" t="s">
        <v>303</v>
      </c>
      <c r="EA2033" t="s">
        <v>23972</v>
      </c>
      <c r="EB2033" t="s">
        <v>235</v>
      </c>
      <c r="EC2033" t="s">
        <v>183</v>
      </c>
      <c r="ED2033" t="s">
        <v>211</v>
      </c>
      <c r="EE2033" t="s">
        <v>306</v>
      </c>
      <c r="EG2033" t="s">
        <v>1237</v>
      </c>
      <c r="EH2033" t="s">
        <v>2700</v>
      </c>
      <c r="EI2033" t="s">
        <v>238</v>
      </c>
      <c r="EJ2033" t="s">
        <v>239</v>
      </c>
      <c r="EK2033" t="s">
        <v>23973</v>
      </c>
      <c r="EL2033" t="s">
        <v>235</v>
      </c>
      <c r="EM2033" t="s">
        <v>183</v>
      </c>
      <c r="EN2033" t="s">
        <v>211</v>
      </c>
      <c r="EO2033" t="s">
        <v>298</v>
      </c>
      <c r="EQ2033" t="s">
        <v>3501</v>
      </c>
      <c r="ER2033" t="s">
        <v>23974</v>
      </c>
      <c r="ES2033" t="s">
        <v>346</v>
      </c>
      <c r="ET2033" t="s">
        <v>347</v>
      </c>
      <c r="EU2033" t="s">
        <v>23975</v>
      </c>
      <c r="EV2033" t="s">
        <v>247</v>
      </c>
      <c r="EW2033" t="s">
        <v>183</v>
      </c>
      <c r="EX2033" t="s">
        <v>211</v>
      </c>
      <c r="EY2033" t="s">
        <v>264</v>
      </c>
      <c r="FA2033" t="s">
        <v>23976</v>
      </c>
      <c r="FB2033" t="s">
        <v>23977</v>
      </c>
      <c r="FC2033" t="s">
        <v>207</v>
      </c>
      <c r="FD2033" t="s">
        <v>208</v>
      </c>
      <c r="FE2033" t="s">
        <v>23978</v>
      </c>
      <c r="FF2033" t="s">
        <v>2679</v>
      </c>
      <c r="FG2033" t="s">
        <v>183</v>
      </c>
      <c r="FH2033" t="s">
        <v>211</v>
      </c>
      <c r="FI2033" t="s">
        <v>342</v>
      </c>
      <c r="FK2033" t="s">
        <v>23979</v>
      </c>
      <c r="FU2033" t="s">
        <v>198</v>
      </c>
    </row>
    <row r="2034" spans="1:177">
      <c r="A2034" s="1" t="str">
        <f>HYPERLINK("http://digipan.lumentumllc.com/apps/getLink/index.php?t=PropLink&amp;p=5244193","PL")</f>
        <v>PL</v>
      </c>
      <c r="B2034" s="1" t="str">
        <f>HYPERLINK("http://digipan.lumentumllc.com/apps/getLink/index.php?t=TaxLink&amp;p=5244193","TL")</f>
        <v>TL</v>
      </c>
      <c r="C2034" s="1" t="str">
        <f>HYPERLINK("http://digipan.lumentumllc.com/apps/getMap/index.php?p=5244193","Map")</f>
        <v>Map</v>
      </c>
      <c r="E2034" t="s">
        <v>177</v>
      </c>
      <c r="F2034" t="s">
        <v>178</v>
      </c>
      <c r="L2034" t="s">
        <v>23980</v>
      </c>
      <c r="N2034" t="s">
        <v>23980</v>
      </c>
      <c r="O2034" t="s">
        <v>23980</v>
      </c>
      <c r="P2034" t="s">
        <v>23981</v>
      </c>
      <c r="Q2034" t="s">
        <v>23980</v>
      </c>
      <c r="V2034">
        <v>2330</v>
      </c>
      <c r="W2034">
        <v>8</v>
      </c>
      <c r="X2034">
        <v>2017</v>
      </c>
      <c r="Y2034">
        <v>2018</v>
      </c>
      <c r="Z2034">
        <v>2852.95</v>
      </c>
      <c r="AB2034" t="s">
        <v>181</v>
      </c>
      <c r="AC2034" t="s">
        <v>182</v>
      </c>
      <c r="AD2034" t="s">
        <v>183</v>
      </c>
      <c r="AE2034">
        <v>1</v>
      </c>
      <c r="AF2034">
        <v>7</v>
      </c>
      <c r="AG2034" t="s">
        <v>418</v>
      </c>
      <c r="AH2034">
        <v>86</v>
      </c>
      <c r="AI2034">
        <v>3438.54</v>
      </c>
      <c r="AJ2034">
        <v>171.93</v>
      </c>
      <c r="AK2034">
        <v>3610.47</v>
      </c>
      <c r="AL2034">
        <v>130872</v>
      </c>
      <c r="AM2034">
        <v>0</v>
      </c>
      <c r="AN2034">
        <v>130872</v>
      </c>
      <c r="AO2034">
        <v>3154</v>
      </c>
      <c r="AP2034">
        <v>2016</v>
      </c>
      <c r="AQ2034">
        <v>2.1800000000000002</v>
      </c>
      <c r="AR2034">
        <v>2.76</v>
      </c>
      <c r="AS2034" t="s">
        <v>23982</v>
      </c>
      <c r="AT2034" t="s">
        <v>15040</v>
      </c>
      <c r="AU2034" t="s">
        <v>177</v>
      </c>
      <c r="AV2034" t="s">
        <v>371</v>
      </c>
      <c r="AW2034" t="s">
        <v>182</v>
      </c>
      <c r="AX2034">
        <v>4</v>
      </c>
      <c r="AY2034" t="s">
        <v>188</v>
      </c>
      <c r="AZ2034" t="s">
        <v>296</v>
      </c>
      <c r="BA2034" t="s">
        <v>19069</v>
      </c>
      <c r="BB2034" t="s">
        <v>191</v>
      </c>
      <c r="BC2034" t="s">
        <v>182</v>
      </c>
      <c r="BD2034" t="s">
        <v>182</v>
      </c>
      <c r="BE2034" t="s">
        <v>1722</v>
      </c>
      <c r="BF2034">
        <v>1</v>
      </c>
      <c r="BG2034">
        <v>1</v>
      </c>
      <c r="BH2034">
        <v>2006</v>
      </c>
      <c r="BI2034" t="s">
        <v>17416</v>
      </c>
      <c r="BJ2034" t="s">
        <v>194</v>
      </c>
      <c r="BL2034" t="s">
        <v>199</v>
      </c>
      <c r="BM2034" t="s">
        <v>358</v>
      </c>
      <c r="BN2034" t="s">
        <v>182</v>
      </c>
      <c r="BO2034" t="s">
        <v>198</v>
      </c>
      <c r="BP2034" t="s">
        <v>198</v>
      </c>
      <c r="BQ2034" t="s">
        <v>198</v>
      </c>
      <c r="BR2034" t="s">
        <v>198</v>
      </c>
      <c r="BS2034" t="s">
        <v>198</v>
      </c>
      <c r="BT2034" t="s">
        <v>198</v>
      </c>
      <c r="BU2034" t="s">
        <v>182</v>
      </c>
      <c r="BV2034" t="s">
        <v>198</v>
      </c>
      <c r="BW2034" t="s">
        <v>198</v>
      </c>
      <c r="BX2034" t="s">
        <v>199</v>
      </c>
      <c r="BY2034" t="s">
        <v>198</v>
      </c>
      <c r="BZ2034" t="s">
        <v>199</v>
      </c>
      <c r="CA2034" t="s">
        <v>199</v>
      </c>
      <c r="CB2034" t="s">
        <v>23965</v>
      </c>
      <c r="CC2034" t="s">
        <v>201</v>
      </c>
      <c r="CD2034" t="s">
        <v>182</v>
      </c>
      <c r="CE2034" t="s">
        <v>23966</v>
      </c>
      <c r="CF2034" t="s">
        <v>5331</v>
      </c>
      <c r="CG2034" t="s">
        <v>177</v>
      </c>
      <c r="CH2034" t="s">
        <v>371</v>
      </c>
      <c r="CI2034" t="s">
        <v>23983</v>
      </c>
      <c r="CJ2034" t="s">
        <v>2351</v>
      </c>
      <c r="CK2034" t="s">
        <v>232</v>
      </c>
      <c r="CL2034" t="s">
        <v>233</v>
      </c>
      <c r="CM2034" t="s">
        <v>23984</v>
      </c>
      <c r="CN2034" t="s">
        <v>235</v>
      </c>
      <c r="CO2034" t="s">
        <v>183</v>
      </c>
      <c r="CP2034" t="s">
        <v>266</v>
      </c>
      <c r="CS2034" t="s">
        <v>198</v>
      </c>
      <c r="CT2034" t="s">
        <v>1387</v>
      </c>
      <c r="CU2034" t="s">
        <v>292</v>
      </c>
      <c r="CV2034" t="s">
        <v>293</v>
      </c>
      <c r="CW2034" t="s">
        <v>23985</v>
      </c>
      <c r="CX2034" t="s">
        <v>235</v>
      </c>
      <c r="CY2034" t="s">
        <v>183</v>
      </c>
      <c r="CZ2034" t="s">
        <v>211</v>
      </c>
      <c r="DA2034" t="s">
        <v>298</v>
      </c>
      <c r="DC2034" t="s">
        <v>1641</v>
      </c>
      <c r="DD2034" t="s">
        <v>17404</v>
      </c>
      <c r="DE2034" t="s">
        <v>267</v>
      </c>
      <c r="DF2034" t="s">
        <v>268</v>
      </c>
      <c r="DG2034" t="s">
        <v>23986</v>
      </c>
      <c r="DH2034" t="s">
        <v>235</v>
      </c>
      <c r="DI2034" t="s">
        <v>183</v>
      </c>
      <c r="DJ2034" t="s">
        <v>211</v>
      </c>
      <c r="DK2034" t="s">
        <v>298</v>
      </c>
      <c r="DM2034" t="s">
        <v>459</v>
      </c>
      <c r="DN2034" t="s">
        <v>10383</v>
      </c>
      <c r="DO2034" t="s">
        <v>273</v>
      </c>
      <c r="DP2034" t="s">
        <v>274</v>
      </c>
      <c r="DQ2034" t="s">
        <v>23987</v>
      </c>
      <c r="DR2034" t="s">
        <v>235</v>
      </c>
      <c r="DS2034" t="s">
        <v>183</v>
      </c>
      <c r="DT2034" t="s">
        <v>211</v>
      </c>
      <c r="DU2034" t="s">
        <v>298</v>
      </c>
      <c r="DW2034" t="s">
        <v>462</v>
      </c>
      <c r="DX2034" t="s">
        <v>23988</v>
      </c>
      <c r="DY2034" t="s">
        <v>302</v>
      </c>
      <c r="DZ2034" t="s">
        <v>303</v>
      </c>
      <c r="EA2034" t="s">
        <v>23989</v>
      </c>
      <c r="EB2034" t="s">
        <v>235</v>
      </c>
      <c r="EC2034" t="s">
        <v>183</v>
      </c>
      <c r="ED2034" t="s">
        <v>211</v>
      </c>
      <c r="EE2034" t="s">
        <v>306</v>
      </c>
      <c r="EG2034" t="s">
        <v>1237</v>
      </c>
      <c r="EH2034" t="s">
        <v>2729</v>
      </c>
      <c r="EI2034" t="s">
        <v>238</v>
      </c>
      <c r="EJ2034" t="s">
        <v>239</v>
      </c>
      <c r="EK2034" t="s">
        <v>23990</v>
      </c>
      <c r="EL2034" t="s">
        <v>235</v>
      </c>
      <c r="EM2034" t="s">
        <v>183</v>
      </c>
      <c r="EN2034" t="s">
        <v>211</v>
      </c>
      <c r="EO2034" t="s">
        <v>298</v>
      </c>
      <c r="EQ2034" t="s">
        <v>3501</v>
      </c>
      <c r="ER2034" t="s">
        <v>23991</v>
      </c>
      <c r="ES2034" t="s">
        <v>346</v>
      </c>
      <c r="ET2034" t="s">
        <v>347</v>
      </c>
      <c r="EU2034" t="s">
        <v>23992</v>
      </c>
      <c r="EV2034" t="s">
        <v>331</v>
      </c>
      <c r="EW2034" t="s">
        <v>183</v>
      </c>
      <c r="EX2034" t="s">
        <v>211</v>
      </c>
      <c r="EY2034" t="s">
        <v>264</v>
      </c>
      <c r="FA2034" t="s">
        <v>23976</v>
      </c>
      <c r="FB2034" t="s">
        <v>23993</v>
      </c>
      <c r="FC2034" t="s">
        <v>207</v>
      </c>
      <c r="FD2034" t="s">
        <v>208</v>
      </c>
      <c r="FE2034" t="s">
        <v>23994</v>
      </c>
      <c r="FF2034" t="s">
        <v>2679</v>
      </c>
      <c r="FG2034" t="s">
        <v>183</v>
      </c>
      <c r="FH2034" t="s">
        <v>211</v>
      </c>
      <c r="FI2034" t="s">
        <v>206</v>
      </c>
      <c r="FK2034" t="s">
        <v>7014</v>
      </c>
      <c r="FU2034" t="s">
        <v>198</v>
      </c>
    </row>
    <row r="2035" spans="1:177">
      <c r="A2035" s="1" t="str">
        <f>HYPERLINK("http://digipan.lumentumllc.com/apps/getLink/index.php?t=PropLink&amp;p=5244194","PL")</f>
        <v>PL</v>
      </c>
      <c r="B2035" s="1" t="str">
        <f>HYPERLINK("http://digipan.lumentumllc.com/apps/getLink/index.php?t=TaxLink&amp;p=5244194","TL")</f>
        <v>TL</v>
      </c>
      <c r="C2035" s="1" t="str">
        <f>HYPERLINK("http://digipan.lumentumllc.com/apps/getMap/index.php?p=5244194","Map")</f>
        <v>Map</v>
      </c>
      <c r="E2035" t="s">
        <v>177</v>
      </c>
      <c r="F2035" t="s">
        <v>178</v>
      </c>
      <c r="L2035" t="s">
        <v>23995</v>
      </c>
      <c r="N2035" t="s">
        <v>23995</v>
      </c>
      <c r="O2035" t="s">
        <v>23995</v>
      </c>
      <c r="P2035" t="s">
        <v>23996</v>
      </c>
      <c r="Q2035" t="s">
        <v>23995</v>
      </c>
      <c r="V2035">
        <v>2331</v>
      </c>
      <c r="W2035">
        <v>8</v>
      </c>
      <c r="X2035">
        <v>2017</v>
      </c>
      <c r="Y2035">
        <v>2018</v>
      </c>
      <c r="Z2035">
        <v>4557.49</v>
      </c>
      <c r="AB2035" t="s">
        <v>181</v>
      </c>
      <c r="AC2035" t="s">
        <v>182</v>
      </c>
      <c r="AD2035" t="s">
        <v>183</v>
      </c>
      <c r="AE2035">
        <v>1</v>
      </c>
      <c r="AF2035">
        <v>7</v>
      </c>
      <c r="AG2035" t="s">
        <v>418</v>
      </c>
      <c r="AH2035">
        <v>86</v>
      </c>
      <c r="AI2035">
        <v>4624.24</v>
      </c>
      <c r="AJ2035">
        <v>231.21</v>
      </c>
      <c r="AK2035">
        <v>4855.45</v>
      </c>
      <c r="AL2035">
        <v>209950</v>
      </c>
      <c r="AM2035">
        <v>0</v>
      </c>
      <c r="AN2035">
        <v>209950</v>
      </c>
      <c r="AO2035">
        <v>4251</v>
      </c>
      <c r="AP2035">
        <v>2016</v>
      </c>
      <c r="AQ2035">
        <v>2.17</v>
      </c>
      <c r="AR2035">
        <v>2.31</v>
      </c>
      <c r="AS2035" t="s">
        <v>23997</v>
      </c>
      <c r="AT2035" t="s">
        <v>15040</v>
      </c>
      <c r="AU2035" t="s">
        <v>177</v>
      </c>
      <c r="AV2035" t="s">
        <v>371</v>
      </c>
      <c r="AW2035" t="s">
        <v>182</v>
      </c>
      <c r="AX2035">
        <v>4</v>
      </c>
      <c r="AY2035" t="s">
        <v>188</v>
      </c>
      <c r="AZ2035" t="s">
        <v>296</v>
      </c>
      <c r="BA2035" t="s">
        <v>19069</v>
      </c>
      <c r="BB2035" t="s">
        <v>191</v>
      </c>
      <c r="BC2035" t="s">
        <v>182</v>
      </c>
      <c r="BD2035" t="s">
        <v>182</v>
      </c>
      <c r="BE2035" t="s">
        <v>1722</v>
      </c>
      <c r="BF2035">
        <v>1</v>
      </c>
      <c r="BG2035">
        <v>1</v>
      </c>
      <c r="BH2035">
        <v>2006</v>
      </c>
      <c r="BI2035" t="s">
        <v>20600</v>
      </c>
      <c r="BJ2035" t="s">
        <v>194</v>
      </c>
      <c r="BL2035" t="s">
        <v>199</v>
      </c>
      <c r="BM2035" t="s">
        <v>358</v>
      </c>
      <c r="BN2035" t="s">
        <v>182</v>
      </c>
      <c r="BO2035" t="s">
        <v>198</v>
      </c>
      <c r="BP2035" t="s">
        <v>198</v>
      </c>
      <c r="BQ2035" t="s">
        <v>198</v>
      </c>
      <c r="BR2035" t="s">
        <v>198</v>
      </c>
      <c r="BS2035" t="s">
        <v>198</v>
      </c>
      <c r="BT2035" t="s">
        <v>198</v>
      </c>
      <c r="BU2035" t="s">
        <v>182</v>
      </c>
      <c r="BV2035" t="s">
        <v>198</v>
      </c>
      <c r="BW2035" t="s">
        <v>198</v>
      </c>
      <c r="BX2035" t="s">
        <v>199</v>
      </c>
      <c r="BY2035" t="s">
        <v>198</v>
      </c>
      <c r="BZ2035" t="s">
        <v>199</v>
      </c>
      <c r="CA2035" t="s">
        <v>199</v>
      </c>
      <c r="CB2035" t="s">
        <v>23965</v>
      </c>
      <c r="CC2035" t="s">
        <v>201</v>
      </c>
      <c r="CD2035" t="s">
        <v>182</v>
      </c>
      <c r="CE2035" t="s">
        <v>23998</v>
      </c>
      <c r="CF2035" t="s">
        <v>5331</v>
      </c>
      <c r="CG2035" t="s">
        <v>177</v>
      </c>
      <c r="CH2035" t="s">
        <v>371</v>
      </c>
      <c r="CI2035" t="s">
        <v>23999</v>
      </c>
      <c r="CJ2035" t="s">
        <v>1156</v>
      </c>
      <c r="CK2035" t="s">
        <v>232</v>
      </c>
      <c r="CL2035" t="s">
        <v>233</v>
      </c>
      <c r="CM2035" t="s">
        <v>24000</v>
      </c>
      <c r="CN2035" t="s">
        <v>235</v>
      </c>
      <c r="CO2035" t="s">
        <v>183</v>
      </c>
      <c r="CP2035" t="s">
        <v>266</v>
      </c>
      <c r="CS2035" t="s">
        <v>198</v>
      </c>
      <c r="CT2035" t="s">
        <v>451</v>
      </c>
      <c r="CU2035" t="s">
        <v>292</v>
      </c>
      <c r="CV2035" t="s">
        <v>293</v>
      </c>
      <c r="CW2035" t="s">
        <v>24001</v>
      </c>
      <c r="CX2035" t="s">
        <v>235</v>
      </c>
      <c r="CY2035" t="s">
        <v>183</v>
      </c>
      <c r="CZ2035" t="s">
        <v>211</v>
      </c>
      <c r="DA2035" t="s">
        <v>298</v>
      </c>
      <c r="DC2035" t="s">
        <v>1641</v>
      </c>
      <c r="DD2035" t="s">
        <v>21658</v>
      </c>
      <c r="DE2035" t="s">
        <v>267</v>
      </c>
      <c r="DF2035" t="s">
        <v>268</v>
      </c>
      <c r="DG2035" t="s">
        <v>24002</v>
      </c>
      <c r="DH2035" t="s">
        <v>235</v>
      </c>
      <c r="DI2035" t="s">
        <v>183</v>
      </c>
      <c r="DJ2035" t="s">
        <v>211</v>
      </c>
      <c r="DK2035" t="s">
        <v>298</v>
      </c>
      <c r="DM2035" t="s">
        <v>459</v>
      </c>
      <c r="DN2035" t="s">
        <v>10413</v>
      </c>
      <c r="DO2035" t="s">
        <v>273</v>
      </c>
      <c r="DP2035" t="s">
        <v>274</v>
      </c>
      <c r="DQ2035" t="s">
        <v>24003</v>
      </c>
      <c r="DR2035" t="s">
        <v>235</v>
      </c>
      <c r="DS2035" t="s">
        <v>183</v>
      </c>
      <c r="DT2035" t="s">
        <v>211</v>
      </c>
      <c r="DU2035" t="s">
        <v>298</v>
      </c>
      <c r="DW2035" t="s">
        <v>462</v>
      </c>
      <c r="DX2035" t="s">
        <v>20477</v>
      </c>
      <c r="DY2035" t="s">
        <v>302</v>
      </c>
      <c r="DZ2035" t="s">
        <v>303</v>
      </c>
      <c r="EA2035" t="s">
        <v>24004</v>
      </c>
      <c r="EB2035" t="s">
        <v>235</v>
      </c>
      <c r="EC2035" t="s">
        <v>183</v>
      </c>
      <c r="ED2035" t="s">
        <v>211</v>
      </c>
      <c r="EE2035" t="s">
        <v>306</v>
      </c>
      <c r="EG2035" t="s">
        <v>1237</v>
      </c>
      <c r="EH2035" t="s">
        <v>3852</v>
      </c>
      <c r="EI2035" t="s">
        <v>238</v>
      </c>
      <c r="EJ2035" t="s">
        <v>239</v>
      </c>
      <c r="EK2035" t="s">
        <v>24005</v>
      </c>
      <c r="EL2035" t="s">
        <v>235</v>
      </c>
      <c r="EM2035" t="s">
        <v>183</v>
      </c>
      <c r="EN2035" t="s">
        <v>211</v>
      </c>
      <c r="EO2035" t="s">
        <v>298</v>
      </c>
      <c r="EQ2035" t="s">
        <v>3501</v>
      </c>
      <c r="ER2035" t="s">
        <v>24006</v>
      </c>
      <c r="ES2035" t="s">
        <v>346</v>
      </c>
      <c r="ET2035" t="s">
        <v>347</v>
      </c>
      <c r="EU2035" t="s">
        <v>24007</v>
      </c>
      <c r="EV2035" t="s">
        <v>331</v>
      </c>
      <c r="EW2035" t="s">
        <v>183</v>
      </c>
      <c r="EX2035" t="s">
        <v>211</v>
      </c>
      <c r="EY2035" t="s">
        <v>264</v>
      </c>
      <c r="FA2035" t="s">
        <v>23976</v>
      </c>
      <c r="FB2035" t="s">
        <v>3624</v>
      </c>
      <c r="FC2035" t="s">
        <v>207</v>
      </c>
      <c r="FD2035" t="s">
        <v>208</v>
      </c>
      <c r="FE2035" t="s">
        <v>24008</v>
      </c>
      <c r="FF2035" t="s">
        <v>2679</v>
      </c>
      <c r="FG2035" t="s">
        <v>183</v>
      </c>
      <c r="FH2035" t="s">
        <v>211</v>
      </c>
      <c r="FI2035" t="s">
        <v>206</v>
      </c>
      <c r="FK2035" t="s">
        <v>7014</v>
      </c>
      <c r="FU2035" t="s">
        <v>198</v>
      </c>
    </row>
    <row r="2036" spans="1:177">
      <c r="A2036" s="1" t="str">
        <f>HYPERLINK("http://digipan.lumentumllc.com/apps/getLink/index.php?t=PropLink&amp;p=5244195","PL")</f>
        <v>PL</v>
      </c>
      <c r="B2036" s="1" t="str">
        <f>HYPERLINK("http://digipan.lumentumllc.com/apps/getLink/index.php?t=TaxLink&amp;p=5244195","TL")</f>
        <v>TL</v>
      </c>
      <c r="C2036" s="1" t="str">
        <f>HYPERLINK("http://digipan.lumentumllc.com/apps/getMap/index.php?p=5244195","Map")</f>
        <v>Map</v>
      </c>
      <c r="E2036" t="s">
        <v>177</v>
      </c>
      <c r="F2036" t="s">
        <v>178</v>
      </c>
      <c r="L2036" t="s">
        <v>24009</v>
      </c>
      <c r="N2036" t="s">
        <v>24009</v>
      </c>
      <c r="O2036" t="s">
        <v>24009</v>
      </c>
      <c r="P2036" t="s">
        <v>24010</v>
      </c>
      <c r="Q2036" t="s">
        <v>24009</v>
      </c>
      <c r="V2036">
        <v>2332</v>
      </c>
      <c r="W2036">
        <v>8</v>
      </c>
      <c r="X2036">
        <v>2017</v>
      </c>
      <c r="Y2036">
        <v>2018</v>
      </c>
      <c r="Z2036">
        <v>4840.51</v>
      </c>
      <c r="AB2036" t="s">
        <v>181</v>
      </c>
      <c r="AC2036" t="s">
        <v>182</v>
      </c>
      <c r="AD2036" t="s">
        <v>183</v>
      </c>
      <c r="AE2036">
        <v>1</v>
      </c>
      <c r="AF2036">
        <v>7</v>
      </c>
      <c r="AG2036" t="s">
        <v>418</v>
      </c>
      <c r="AH2036">
        <v>86</v>
      </c>
      <c r="AI2036">
        <v>4911.75</v>
      </c>
      <c r="AJ2036">
        <v>245.59</v>
      </c>
      <c r="AK2036">
        <v>5157.34</v>
      </c>
      <c r="AL2036">
        <v>223080</v>
      </c>
      <c r="AM2036">
        <v>0</v>
      </c>
      <c r="AN2036">
        <v>223080</v>
      </c>
      <c r="AO2036">
        <v>4517</v>
      </c>
      <c r="AP2036">
        <v>2016</v>
      </c>
      <c r="AQ2036">
        <v>2.17</v>
      </c>
      <c r="AR2036">
        <v>2.31</v>
      </c>
      <c r="AS2036" t="s">
        <v>24011</v>
      </c>
      <c r="AT2036" t="s">
        <v>15040</v>
      </c>
      <c r="AU2036" t="s">
        <v>177</v>
      </c>
      <c r="AV2036" t="s">
        <v>371</v>
      </c>
      <c r="AW2036" t="s">
        <v>182</v>
      </c>
      <c r="AX2036">
        <v>4</v>
      </c>
      <c r="AY2036" t="s">
        <v>188</v>
      </c>
      <c r="AZ2036" t="s">
        <v>296</v>
      </c>
      <c r="BA2036" t="s">
        <v>19069</v>
      </c>
      <c r="BB2036" t="s">
        <v>191</v>
      </c>
      <c r="BC2036" t="s">
        <v>182</v>
      </c>
      <c r="BD2036" t="s">
        <v>182</v>
      </c>
      <c r="BE2036" t="s">
        <v>1722</v>
      </c>
      <c r="BF2036">
        <v>1</v>
      </c>
      <c r="BG2036">
        <v>1</v>
      </c>
      <c r="BH2036">
        <v>2006</v>
      </c>
      <c r="BI2036" t="s">
        <v>18933</v>
      </c>
      <c r="BJ2036" t="s">
        <v>194</v>
      </c>
      <c r="BL2036" t="s">
        <v>199</v>
      </c>
      <c r="BM2036" t="s">
        <v>358</v>
      </c>
      <c r="BN2036" t="s">
        <v>182</v>
      </c>
      <c r="BO2036" t="s">
        <v>198</v>
      </c>
      <c r="BP2036" t="s">
        <v>198</v>
      </c>
      <c r="BQ2036" t="s">
        <v>198</v>
      </c>
      <c r="BR2036" t="s">
        <v>198</v>
      </c>
      <c r="BS2036" t="s">
        <v>198</v>
      </c>
      <c r="BT2036" t="s">
        <v>198</v>
      </c>
      <c r="BU2036" t="s">
        <v>182</v>
      </c>
      <c r="BV2036" t="s">
        <v>198</v>
      </c>
      <c r="BW2036" t="s">
        <v>198</v>
      </c>
      <c r="BX2036" t="s">
        <v>199</v>
      </c>
      <c r="BY2036" t="s">
        <v>198</v>
      </c>
      <c r="BZ2036" t="s">
        <v>199</v>
      </c>
      <c r="CA2036" t="s">
        <v>199</v>
      </c>
      <c r="CB2036" t="s">
        <v>23965</v>
      </c>
      <c r="CC2036" t="s">
        <v>201</v>
      </c>
      <c r="CD2036" t="s">
        <v>182</v>
      </c>
      <c r="CE2036" t="s">
        <v>23998</v>
      </c>
      <c r="CF2036" t="s">
        <v>5331</v>
      </c>
      <c r="CG2036" t="s">
        <v>177</v>
      </c>
      <c r="CH2036" t="s">
        <v>371</v>
      </c>
      <c r="CI2036" t="s">
        <v>24012</v>
      </c>
      <c r="CJ2036" t="s">
        <v>1825</v>
      </c>
      <c r="CK2036" t="s">
        <v>232</v>
      </c>
      <c r="CL2036" t="s">
        <v>233</v>
      </c>
      <c r="CM2036" t="s">
        <v>24013</v>
      </c>
      <c r="CN2036" t="s">
        <v>235</v>
      </c>
      <c r="CO2036" t="s">
        <v>183</v>
      </c>
      <c r="CP2036" t="s">
        <v>266</v>
      </c>
      <c r="CS2036" t="s">
        <v>198</v>
      </c>
      <c r="CT2036" t="s">
        <v>2351</v>
      </c>
      <c r="CU2036" t="s">
        <v>292</v>
      </c>
      <c r="CV2036" t="s">
        <v>293</v>
      </c>
      <c r="CW2036" t="s">
        <v>24014</v>
      </c>
      <c r="CX2036" t="s">
        <v>235</v>
      </c>
      <c r="CY2036" t="s">
        <v>183</v>
      </c>
      <c r="CZ2036" t="s">
        <v>211</v>
      </c>
      <c r="DA2036" t="s">
        <v>298</v>
      </c>
      <c r="DC2036" t="s">
        <v>1641</v>
      </c>
      <c r="DD2036" t="s">
        <v>24015</v>
      </c>
      <c r="DE2036" t="s">
        <v>267</v>
      </c>
      <c r="DF2036" t="s">
        <v>268</v>
      </c>
      <c r="DG2036" t="s">
        <v>24016</v>
      </c>
      <c r="DH2036" t="s">
        <v>235</v>
      </c>
      <c r="DI2036" t="s">
        <v>183</v>
      </c>
      <c r="DJ2036" t="s">
        <v>211</v>
      </c>
      <c r="DK2036" t="s">
        <v>298</v>
      </c>
      <c r="DM2036" t="s">
        <v>459</v>
      </c>
      <c r="DN2036" t="s">
        <v>24017</v>
      </c>
      <c r="DO2036" t="s">
        <v>273</v>
      </c>
      <c r="DP2036" t="s">
        <v>274</v>
      </c>
      <c r="DQ2036" t="s">
        <v>24018</v>
      </c>
      <c r="DR2036" t="s">
        <v>235</v>
      </c>
      <c r="DS2036" t="s">
        <v>183</v>
      </c>
      <c r="DT2036" t="s">
        <v>211</v>
      </c>
      <c r="DU2036" t="s">
        <v>298</v>
      </c>
      <c r="DW2036" t="s">
        <v>462</v>
      </c>
      <c r="DX2036" t="s">
        <v>24019</v>
      </c>
      <c r="DY2036" t="s">
        <v>302</v>
      </c>
      <c r="DZ2036" t="s">
        <v>303</v>
      </c>
      <c r="EA2036" t="s">
        <v>24020</v>
      </c>
      <c r="EB2036" t="s">
        <v>235</v>
      </c>
      <c r="EC2036" t="s">
        <v>183</v>
      </c>
      <c r="ED2036" t="s">
        <v>211</v>
      </c>
      <c r="EE2036" t="s">
        <v>306</v>
      </c>
      <c r="EG2036" t="s">
        <v>1237</v>
      </c>
      <c r="EH2036" t="s">
        <v>2634</v>
      </c>
      <c r="EI2036" t="s">
        <v>238</v>
      </c>
      <c r="EJ2036" t="s">
        <v>239</v>
      </c>
      <c r="EK2036" t="s">
        <v>24021</v>
      </c>
      <c r="EL2036" t="s">
        <v>235</v>
      </c>
      <c r="EM2036" t="s">
        <v>183</v>
      </c>
      <c r="EN2036" t="s">
        <v>211</v>
      </c>
      <c r="EO2036" t="s">
        <v>298</v>
      </c>
      <c r="EQ2036" t="s">
        <v>3501</v>
      </c>
      <c r="ER2036" t="s">
        <v>24022</v>
      </c>
      <c r="ES2036" t="s">
        <v>346</v>
      </c>
      <c r="ET2036" t="s">
        <v>347</v>
      </c>
      <c r="EU2036" t="s">
        <v>24023</v>
      </c>
      <c r="EV2036" t="s">
        <v>247</v>
      </c>
      <c r="EW2036" t="s">
        <v>183</v>
      </c>
      <c r="EX2036" t="s">
        <v>211</v>
      </c>
      <c r="EY2036" t="s">
        <v>264</v>
      </c>
      <c r="FA2036" t="s">
        <v>23976</v>
      </c>
      <c r="FB2036" t="s">
        <v>19941</v>
      </c>
      <c r="FC2036" t="s">
        <v>207</v>
      </c>
      <c r="FD2036" t="s">
        <v>208</v>
      </c>
      <c r="FE2036" t="s">
        <v>24024</v>
      </c>
      <c r="FF2036" t="s">
        <v>2679</v>
      </c>
      <c r="FG2036" t="s">
        <v>183</v>
      </c>
      <c r="FH2036" t="s">
        <v>211</v>
      </c>
      <c r="FI2036" t="s">
        <v>342</v>
      </c>
      <c r="FK2036" t="s">
        <v>23979</v>
      </c>
      <c r="FU2036" t="s">
        <v>198</v>
      </c>
    </row>
    <row r="2037" spans="1:177">
      <c r="A2037" s="1" t="str">
        <f>HYPERLINK("http://digipan.lumentumllc.com/apps/getLink/index.php?t=PropLink&amp;p=5244196","PL")</f>
        <v>PL</v>
      </c>
      <c r="B2037" s="1" t="str">
        <f>HYPERLINK("http://digipan.lumentumllc.com/apps/getLink/index.php?t=TaxLink&amp;p=5244196","TL")</f>
        <v>TL</v>
      </c>
      <c r="C2037" s="1" t="str">
        <f>HYPERLINK("http://digipan.lumentumllc.com/apps/getMap/index.php?p=5244196","Map")</f>
        <v>Map</v>
      </c>
      <c r="E2037" t="s">
        <v>177</v>
      </c>
      <c r="F2037" t="s">
        <v>178</v>
      </c>
      <c r="L2037" t="s">
        <v>24025</v>
      </c>
      <c r="N2037" t="s">
        <v>24025</v>
      </c>
      <c r="O2037" t="s">
        <v>24025</v>
      </c>
      <c r="P2037" t="s">
        <v>24026</v>
      </c>
      <c r="Q2037" t="s">
        <v>24025</v>
      </c>
      <c r="V2037">
        <v>2333</v>
      </c>
      <c r="W2037">
        <v>8</v>
      </c>
      <c r="X2037">
        <v>2017</v>
      </c>
      <c r="Y2037">
        <v>2018</v>
      </c>
      <c r="Z2037">
        <v>2968.12</v>
      </c>
      <c r="AB2037" t="s">
        <v>181</v>
      </c>
      <c r="AC2037" t="s">
        <v>182</v>
      </c>
      <c r="AD2037" t="s">
        <v>183</v>
      </c>
      <c r="AE2037">
        <v>1</v>
      </c>
      <c r="AF2037">
        <v>7</v>
      </c>
      <c r="AG2037" t="s">
        <v>418</v>
      </c>
      <c r="AH2037">
        <v>86</v>
      </c>
      <c r="AI2037">
        <v>3009.67</v>
      </c>
      <c r="AJ2037">
        <v>150.47999999999999</v>
      </c>
      <c r="AK2037">
        <v>3160.15</v>
      </c>
      <c r="AL2037">
        <v>136215</v>
      </c>
      <c r="AM2037">
        <v>0</v>
      </c>
      <c r="AN2037">
        <v>136215</v>
      </c>
      <c r="AO2037">
        <v>2758</v>
      </c>
      <c r="AP2037">
        <v>2016</v>
      </c>
      <c r="AQ2037">
        <v>2.1800000000000002</v>
      </c>
      <c r="AR2037">
        <v>2.3199999999999998</v>
      </c>
      <c r="AS2037" t="s">
        <v>24027</v>
      </c>
      <c r="AT2037" t="s">
        <v>15040</v>
      </c>
      <c r="AU2037" t="s">
        <v>177</v>
      </c>
      <c r="AV2037" t="s">
        <v>371</v>
      </c>
      <c r="AW2037" t="s">
        <v>182</v>
      </c>
      <c r="AX2037">
        <v>4</v>
      </c>
      <c r="AY2037" t="s">
        <v>188</v>
      </c>
      <c r="AZ2037" t="s">
        <v>296</v>
      </c>
      <c r="BA2037" t="s">
        <v>19069</v>
      </c>
      <c r="BB2037" t="s">
        <v>191</v>
      </c>
      <c r="BC2037" t="s">
        <v>182</v>
      </c>
      <c r="BD2037" t="s">
        <v>182</v>
      </c>
      <c r="BE2037" t="s">
        <v>1722</v>
      </c>
      <c r="BF2037">
        <v>1</v>
      </c>
      <c r="BG2037">
        <v>1</v>
      </c>
      <c r="BH2037">
        <v>2006</v>
      </c>
      <c r="BI2037" t="s">
        <v>10385</v>
      </c>
      <c r="BJ2037" t="s">
        <v>194</v>
      </c>
      <c r="BL2037" t="s">
        <v>199</v>
      </c>
      <c r="BM2037" t="s">
        <v>358</v>
      </c>
      <c r="BN2037" t="s">
        <v>182</v>
      </c>
      <c r="BO2037" t="s">
        <v>198</v>
      </c>
      <c r="BP2037" t="s">
        <v>198</v>
      </c>
      <c r="BQ2037" t="s">
        <v>198</v>
      </c>
      <c r="BR2037" t="s">
        <v>198</v>
      </c>
      <c r="BS2037" t="s">
        <v>198</v>
      </c>
      <c r="BT2037" t="s">
        <v>198</v>
      </c>
      <c r="BU2037" t="s">
        <v>182</v>
      </c>
      <c r="BV2037" t="s">
        <v>198</v>
      </c>
      <c r="BW2037" t="s">
        <v>198</v>
      </c>
      <c r="BX2037" t="s">
        <v>199</v>
      </c>
      <c r="BY2037" t="s">
        <v>198</v>
      </c>
      <c r="BZ2037" t="s">
        <v>199</v>
      </c>
      <c r="CA2037" t="s">
        <v>199</v>
      </c>
      <c r="CB2037" t="s">
        <v>23965</v>
      </c>
      <c r="CC2037" t="s">
        <v>201</v>
      </c>
      <c r="CD2037" t="s">
        <v>182</v>
      </c>
      <c r="CE2037" t="s">
        <v>23998</v>
      </c>
      <c r="CF2037" t="s">
        <v>5331</v>
      </c>
      <c r="CG2037" t="s">
        <v>177</v>
      </c>
      <c r="CH2037" t="s">
        <v>371</v>
      </c>
      <c r="CI2037" t="s">
        <v>24028</v>
      </c>
      <c r="CJ2037" t="s">
        <v>1311</v>
      </c>
      <c r="CK2037" t="s">
        <v>232</v>
      </c>
      <c r="CL2037" t="s">
        <v>233</v>
      </c>
      <c r="CM2037" t="s">
        <v>24029</v>
      </c>
      <c r="CN2037" t="s">
        <v>235</v>
      </c>
      <c r="CO2037" t="s">
        <v>183</v>
      </c>
      <c r="CP2037" t="s">
        <v>266</v>
      </c>
      <c r="CS2037" t="s">
        <v>198</v>
      </c>
      <c r="CT2037" t="s">
        <v>1156</v>
      </c>
      <c r="CU2037" t="s">
        <v>292</v>
      </c>
      <c r="CV2037" t="s">
        <v>293</v>
      </c>
      <c r="CW2037" t="s">
        <v>24030</v>
      </c>
      <c r="CX2037" t="s">
        <v>235</v>
      </c>
      <c r="CY2037" t="s">
        <v>183</v>
      </c>
      <c r="CZ2037" t="s">
        <v>211</v>
      </c>
      <c r="DA2037" t="s">
        <v>298</v>
      </c>
      <c r="DC2037" t="s">
        <v>1641</v>
      </c>
      <c r="DD2037" t="s">
        <v>17444</v>
      </c>
      <c r="DE2037" t="s">
        <v>267</v>
      </c>
      <c r="DF2037" t="s">
        <v>268</v>
      </c>
      <c r="DG2037" t="s">
        <v>24031</v>
      </c>
      <c r="DH2037" t="s">
        <v>235</v>
      </c>
      <c r="DI2037" t="s">
        <v>183</v>
      </c>
      <c r="DJ2037" t="s">
        <v>211</v>
      </c>
      <c r="DK2037" t="s">
        <v>298</v>
      </c>
      <c r="DM2037" t="s">
        <v>459</v>
      </c>
      <c r="DN2037" t="s">
        <v>10429</v>
      </c>
      <c r="DO2037" t="s">
        <v>273</v>
      </c>
      <c r="DP2037" t="s">
        <v>274</v>
      </c>
      <c r="DQ2037" t="s">
        <v>24032</v>
      </c>
      <c r="DR2037" t="s">
        <v>235</v>
      </c>
      <c r="DS2037" t="s">
        <v>183</v>
      </c>
      <c r="DT2037" t="s">
        <v>211</v>
      </c>
      <c r="DU2037" t="s">
        <v>298</v>
      </c>
      <c r="DW2037" t="s">
        <v>462</v>
      </c>
      <c r="DX2037" t="s">
        <v>19231</v>
      </c>
      <c r="DY2037" t="s">
        <v>302</v>
      </c>
      <c r="DZ2037" t="s">
        <v>303</v>
      </c>
      <c r="EA2037" t="s">
        <v>24033</v>
      </c>
      <c r="EB2037" t="s">
        <v>235</v>
      </c>
      <c r="EC2037" t="s">
        <v>183</v>
      </c>
      <c r="ED2037" t="s">
        <v>211</v>
      </c>
      <c r="EE2037" t="s">
        <v>306</v>
      </c>
      <c r="EG2037" t="s">
        <v>1237</v>
      </c>
      <c r="EH2037" t="s">
        <v>4290</v>
      </c>
      <c r="EI2037" t="s">
        <v>238</v>
      </c>
      <c r="EJ2037" t="s">
        <v>239</v>
      </c>
      <c r="EK2037" t="s">
        <v>24034</v>
      </c>
      <c r="EL2037" t="s">
        <v>235</v>
      </c>
      <c r="EM2037" t="s">
        <v>183</v>
      </c>
      <c r="EN2037" t="s">
        <v>211</v>
      </c>
      <c r="EO2037" t="s">
        <v>298</v>
      </c>
      <c r="EQ2037" t="s">
        <v>3501</v>
      </c>
      <c r="ER2037" t="s">
        <v>20459</v>
      </c>
      <c r="ES2037" t="s">
        <v>346</v>
      </c>
      <c r="ET2037" t="s">
        <v>347</v>
      </c>
      <c r="EU2037" t="s">
        <v>24035</v>
      </c>
      <c r="EV2037" t="s">
        <v>247</v>
      </c>
      <c r="EW2037" t="s">
        <v>183</v>
      </c>
      <c r="EX2037" t="s">
        <v>211</v>
      </c>
      <c r="EY2037" t="s">
        <v>264</v>
      </c>
      <c r="FA2037" t="s">
        <v>23976</v>
      </c>
      <c r="FB2037" t="s">
        <v>9959</v>
      </c>
      <c r="FC2037" t="s">
        <v>207</v>
      </c>
      <c r="FD2037" t="s">
        <v>208</v>
      </c>
      <c r="FE2037" t="s">
        <v>24036</v>
      </c>
      <c r="FF2037" t="s">
        <v>1966</v>
      </c>
      <c r="FG2037" t="s">
        <v>183</v>
      </c>
      <c r="FH2037" t="s">
        <v>211</v>
      </c>
      <c r="FI2037" t="s">
        <v>342</v>
      </c>
      <c r="FK2037" t="s">
        <v>23979</v>
      </c>
      <c r="FU2037" t="s">
        <v>198</v>
      </c>
    </row>
    <row r="2038" spans="1:177">
      <c r="A2038" s="1" t="str">
        <f>HYPERLINK("http://digipan.lumentumllc.com/apps/getLink/index.php?t=PropLink&amp;p=5244197","PL")</f>
        <v>PL</v>
      </c>
      <c r="B2038" s="1" t="str">
        <f>HYPERLINK("http://digipan.lumentumllc.com/apps/getLink/index.php?t=TaxLink&amp;p=5244197","TL")</f>
        <v>TL</v>
      </c>
      <c r="C2038" s="1" t="str">
        <f>HYPERLINK("http://digipan.lumentumllc.com/apps/getMap/index.php?p=5244197","Map")</f>
        <v>Map</v>
      </c>
      <c r="E2038" t="s">
        <v>177</v>
      </c>
      <c r="F2038" t="s">
        <v>178</v>
      </c>
      <c r="L2038" t="s">
        <v>24037</v>
      </c>
      <c r="N2038" t="s">
        <v>24037</v>
      </c>
      <c r="O2038" t="s">
        <v>24037</v>
      </c>
      <c r="P2038" t="s">
        <v>24038</v>
      </c>
      <c r="Q2038" t="s">
        <v>24037</v>
      </c>
      <c r="V2038">
        <v>2334</v>
      </c>
      <c r="W2038">
        <v>8</v>
      </c>
      <c r="X2038">
        <v>2017</v>
      </c>
      <c r="Y2038">
        <v>2018</v>
      </c>
      <c r="Z2038">
        <v>3337.7</v>
      </c>
      <c r="AB2038" t="s">
        <v>181</v>
      </c>
      <c r="AC2038" t="s">
        <v>182</v>
      </c>
      <c r="AD2038" t="s">
        <v>183</v>
      </c>
      <c r="AE2038">
        <v>1</v>
      </c>
      <c r="AF2038">
        <v>7</v>
      </c>
      <c r="AG2038" t="s">
        <v>418</v>
      </c>
      <c r="AH2038">
        <v>86</v>
      </c>
      <c r="AI2038">
        <v>3385.1</v>
      </c>
      <c r="AJ2038">
        <v>169.26</v>
      </c>
      <c r="AK2038">
        <v>3554.36</v>
      </c>
      <c r="AL2038">
        <v>153360</v>
      </c>
      <c r="AM2038">
        <v>0</v>
      </c>
      <c r="AN2038">
        <v>153360</v>
      </c>
      <c r="AO2038">
        <v>3105</v>
      </c>
      <c r="AP2038">
        <v>2016</v>
      </c>
      <c r="AQ2038">
        <v>2.1800000000000002</v>
      </c>
      <c r="AR2038">
        <v>2.3199999999999998</v>
      </c>
      <c r="AS2038" t="s">
        <v>24039</v>
      </c>
      <c r="AT2038" t="s">
        <v>15040</v>
      </c>
      <c r="AU2038" t="s">
        <v>177</v>
      </c>
      <c r="AV2038" t="s">
        <v>371</v>
      </c>
      <c r="AW2038" t="s">
        <v>182</v>
      </c>
      <c r="AX2038">
        <v>4</v>
      </c>
      <c r="AY2038" t="s">
        <v>188</v>
      </c>
      <c r="AZ2038" t="s">
        <v>296</v>
      </c>
      <c r="BA2038" t="s">
        <v>19069</v>
      </c>
      <c r="BB2038" t="s">
        <v>191</v>
      </c>
      <c r="BC2038" t="s">
        <v>182</v>
      </c>
      <c r="BD2038" t="s">
        <v>182</v>
      </c>
      <c r="BE2038" t="s">
        <v>1722</v>
      </c>
      <c r="BF2038">
        <v>1</v>
      </c>
      <c r="BG2038">
        <v>1</v>
      </c>
      <c r="BH2038">
        <v>2006</v>
      </c>
      <c r="BI2038" t="s">
        <v>14017</v>
      </c>
      <c r="BJ2038" t="s">
        <v>194</v>
      </c>
      <c r="BL2038" t="s">
        <v>199</v>
      </c>
      <c r="BM2038" t="s">
        <v>358</v>
      </c>
      <c r="BN2038" t="s">
        <v>182</v>
      </c>
      <c r="BO2038" t="s">
        <v>198</v>
      </c>
      <c r="BP2038" t="s">
        <v>198</v>
      </c>
      <c r="BQ2038" t="s">
        <v>198</v>
      </c>
      <c r="BR2038" t="s">
        <v>198</v>
      </c>
      <c r="BS2038" t="s">
        <v>198</v>
      </c>
      <c r="BT2038" t="s">
        <v>198</v>
      </c>
      <c r="BU2038" t="s">
        <v>182</v>
      </c>
      <c r="BV2038" t="s">
        <v>198</v>
      </c>
      <c r="BW2038" t="s">
        <v>198</v>
      </c>
      <c r="BX2038" t="s">
        <v>199</v>
      </c>
      <c r="BY2038" t="s">
        <v>198</v>
      </c>
      <c r="BZ2038" t="s">
        <v>199</v>
      </c>
      <c r="CA2038" t="s">
        <v>199</v>
      </c>
      <c r="CB2038" t="s">
        <v>23965</v>
      </c>
      <c r="CC2038" t="s">
        <v>201</v>
      </c>
      <c r="CD2038" t="s">
        <v>182</v>
      </c>
      <c r="CE2038" t="s">
        <v>23998</v>
      </c>
      <c r="CF2038" t="s">
        <v>5331</v>
      </c>
      <c r="CG2038" t="s">
        <v>177</v>
      </c>
      <c r="CH2038" t="s">
        <v>371</v>
      </c>
      <c r="CI2038" t="s">
        <v>24040</v>
      </c>
      <c r="CJ2038" t="s">
        <v>501</v>
      </c>
      <c r="CK2038" t="s">
        <v>232</v>
      </c>
      <c r="CL2038" t="s">
        <v>233</v>
      </c>
      <c r="CM2038" t="s">
        <v>24041</v>
      </c>
      <c r="CN2038" t="s">
        <v>235</v>
      </c>
      <c r="CO2038" t="s">
        <v>183</v>
      </c>
      <c r="CP2038" t="s">
        <v>266</v>
      </c>
      <c r="CS2038" t="s">
        <v>198</v>
      </c>
      <c r="CT2038" t="s">
        <v>1825</v>
      </c>
      <c r="CU2038" t="s">
        <v>292</v>
      </c>
      <c r="CV2038" t="s">
        <v>293</v>
      </c>
      <c r="CW2038" t="s">
        <v>24042</v>
      </c>
      <c r="CX2038" t="s">
        <v>235</v>
      </c>
      <c r="CY2038" t="s">
        <v>183</v>
      </c>
      <c r="CZ2038" t="s">
        <v>211</v>
      </c>
      <c r="DA2038" t="s">
        <v>298</v>
      </c>
      <c r="DC2038" t="s">
        <v>1641</v>
      </c>
      <c r="DD2038" t="s">
        <v>17470</v>
      </c>
      <c r="DE2038" t="s">
        <v>267</v>
      </c>
      <c r="DF2038" t="s">
        <v>268</v>
      </c>
      <c r="DG2038" t="s">
        <v>24043</v>
      </c>
      <c r="DH2038" t="s">
        <v>235</v>
      </c>
      <c r="DI2038" t="s">
        <v>183</v>
      </c>
      <c r="DJ2038" t="s">
        <v>211</v>
      </c>
      <c r="DK2038" t="s">
        <v>298</v>
      </c>
      <c r="DM2038" t="s">
        <v>459</v>
      </c>
      <c r="DN2038" t="s">
        <v>16841</v>
      </c>
      <c r="DO2038" t="s">
        <v>273</v>
      </c>
      <c r="DP2038" t="s">
        <v>274</v>
      </c>
      <c r="DQ2038" t="s">
        <v>24044</v>
      </c>
      <c r="DR2038" t="s">
        <v>235</v>
      </c>
      <c r="DS2038" t="s">
        <v>183</v>
      </c>
      <c r="DT2038" t="s">
        <v>211</v>
      </c>
      <c r="DU2038" t="s">
        <v>298</v>
      </c>
      <c r="DW2038" t="s">
        <v>462</v>
      </c>
      <c r="DX2038" t="s">
        <v>24045</v>
      </c>
      <c r="DY2038" t="s">
        <v>302</v>
      </c>
      <c r="DZ2038" t="s">
        <v>303</v>
      </c>
      <c r="EA2038" t="s">
        <v>24046</v>
      </c>
      <c r="EB2038" t="s">
        <v>235</v>
      </c>
      <c r="EC2038" t="s">
        <v>183</v>
      </c>
      <c r="ED2038" t="s">
        <v>211</v>
      </c>
      <c r="EE2038" t="s">
        <v>306</v>
      </c>
      <c r="EG2038" t="s">
        <v>1237</v>
      </c>
      <c r="EH2038" t="s">
        <v>4013</v>
      </c>
      <c r="EI2038" t="s">
        <v>238</v>
      </c>
      <c r="EJ2038" t="s">
        <v>239</v>
      </c>
      <c r="EK2038" t="s">
        <v>24047</v>
      </c>
      <c r="EL2038" t="s">
        <v>235</v>
      </c>
      <c r="EM2038" t="s">
        <v>183</v>
      </c>
      <c r="EN2038" t="s">
        <v>211</v>
      </c>
      <c r="EO2038" t="s">
        <v>298</v>
      </c>
      <c r="EQ2038" t="s">
        <v>3501</v>
      </c>
      <c r="ER2038" t="s">
        <v>24048</v>
      </c>
      <c r="ES2038" t="s">
        <v>346</v>
      </c>
      <c r="ET2038" t="s">
        <v>347</v>
      </c>
      <c r="EU2038" t="s">
        <v>24049</v>
      </c>
      <c r="EV2038" t="s">
        <v>247</v>
      </c>
      <c r="EW2038" t="s">
        <v>183</v>
      </c>
      <c r="EX2038" t="s">
        <v>211</v>
      </c>
      <c r="EY2038" t="s">
        <v>264</v>
      </c>
      <c r="FA2038" t="s">
        <v>23976</v>
      </c>
      <c r="FB2038" t="s">
        <v>22126</v>
      </c>
      <c r="FC2038" t="s">
        <v>207</v>
      </c>
      <c r="FD2038" t="s">
        <v>208</v>
      </c>
      <c r="FE2038" t="s">
        <v>24050</v>
      </c>
      <c r="FF2038" t="s">
        <v>1966</v>
      </c>
      <c r="FG2038" t="s">
        <v>183</v>
      </c>
      <c r="FH2038" t="s">
        <v>211</v>
      </c>
      <c r="FI2038" t="s">
        <v>342</v>
      </c>
      <c r="FK2038" t="s">
        <v>23979</v>
      </c>
      <c r="FU2038" t="s">
        <v>198</v>
      </c>
    </row>
    <row r="2039" spans="1:177">
      <c r="A2039" s="1" t="str">
        <f>HYPERLINK("http://digipan.lumentumllc.com/apps/getLink/index.php?t=PropLink&amp;p=5244198","PL")</f>
        <v>PL</v>
      </c>
      <c r="B2039" s="1" t="str">
        <f>HYPERLINK("http://digipan.lumentumllc.com/apps/getLink/index.php?t=TaxLink&amp;p=5244198","TL")</f>
        <v>TL</v>
      </c>
      <c r="C2039" s="1" t="str">
        <f>HYPERLINK("http://digipan.lumentumllc.com/apps/getMap/index.php?p=5244198","Map")</f>
        <v>Map</v>
      </c>
      <c r="E2039" t="s">
        <v>177</v>
      </c>
      <c r="F2039" t="s">
        <v>178</v>
      </c>
      <c r="L2039" t="s">
        <v>24051</v>
      </c>
      <c r="N2039" t="s">
        <v>24051</v>
      </c>
      <c r="O2039" t="s">
        <v>24051</v>
      </c>
      <c r="P2039" t="s">
        <v>24052</v>
      </c>
      <c r="Q2039" t="s">
        <v>24051</v>
      </c>
      <c r="V2039">
        <v>2335</v>
      </c>
      <c r="W2039">
        <v>8</v>
      </c>
      <c r="X2039">
        <v>2017</v>
      </c>
      <c r="Y2039">
        <v>2018</v>
      </c>
      <c r="Z2039">
        <v>3326.05</v>
      </c>
      <c r="AB2039" t="s">
        <v>181</v>
      </c>
      <c r="AC2039" t="s">
        <v>182</v>
      </c>
      <c r="AD2039" t="s">
        <v>183</v>
      </c>
      <c r="AE2039">
        <v>1</v>
      </c>
      <c r="AF2039">
        <v>7</v>
      </c>
      <c r="AG2039" t="s">
        <v>418</v>
      </c>
      <c r="AH2039">
        <v>86</v>
      </c>
      <c r="AI2039">
        <v>3373.27</v>
      </c>
      <c r="AJ2039">
        <v>168.66</v>
      </c>
      <c r="AK2039">
        <v>3541.93</v>
      </c>
      <c r="AL2039">
        <v>152820</v>
      </c>
      <c r="AM2039">
        <v>0</v>
      </c>
      <c r="AN2039">
        <v>152820</v>
      </c>
      <c r="AO2039">
        <v>3094</v>
      </c>
      <c r="AP2039">
        <v>2016</v>
      </c>
      <c r="AQ2039">
        <v>2.1800000000000002</v>
      </c>
      <c r="AR2039">
        <v>2.3199999999999998</v>
      </c>
      <c r="AS2039" t="s">
        <v>24053</v>
      </c>
      <c r="AT2039" t="s">
        <v>15040</v>
      </c>
      <c r="AU2039" t="s">
        <v>177</v>
      </c>
      <c r="AV2039" t="s">
        <v>371</v>
      </c>
      <c r="AW2039" t="s">
        <v>182</v>
      </c>
      <c r="AX2039">
        <v>4</v>
      </c>
      <c r="AY2039" t="s">
        <v>188</v>
      </c>
      <c r="AZ2039" t="s">
        <v>296</v>
      </c>
      <c r="BA2039" t="s">
        <v>19069</v>
      </c>
      <c r="BB2039" t="s">
        <v>191</v>
      </c>
      <c r="BC2039" t="s">
        <v>182</v>
      </c>
      <c r="BD2039" t="s">
        <v>182</v>
      </c>
      <c r="BE2039" t="s">
        <v>1722</v>
      </c>
      <c r="BF2039">
        <v>1</v>
      </c>
      <c r="BG2039">
        <v>1</v>
      </c>
      <c r="BH2039">
        <v>2006</v>
      </c>
      <c r="BI2039" t="s">
        <v>11628</v>
      </c>
      <c r="BJ2039" t="s">
        <v>194</v>
      </c>
      <c r="BL2039" t="s">
        <v>199</v>
      </c>
      <c r="BM2039" t="s">
        <v>358</v>
      </c>
      <c r="BN2039" t="s">
        <v>182</v>
      </c>
      <c r="BO2039" t="s">
        <v>198</v>
      </c>
      <c r="BP2039" t="s">
        <v>198</v>
      </c>
      <c r="BQ2039" t="s">
        <v>198</v>
      </c>
      <c r="BR2039" t="s">
        <v>198</v>
      </c>
      <c r="BS2039" t="s">
        <v>198</v>
      </c>
      <c r="BT2039" t="s">
        <v>198</v>
      </c>
      <c r="BU2039" t="s">
        <v>182</v>
      </c>
      <c r="BV2039" t="s">
        <v>198</v>
      </c>
      <c r="BW2039" t="s">
        <v>198</v>
      </c>
      <c r="BX2039" t="s">
        <v>199</v>
      </c>
      <c r="BY2039" t="s">
        <v>198</v>
      </c>
      <c r="BZ2039" t="s">
        <v>199</v>
      </c>
      <c r="CA2039" t="s">
        <v>199</v>
      </c>
      <c r="CB2039" t="s">
        <v>23965</v>
      </c>
      <c r="CC2039" t="s">
        <v>201</v>
      </c>
      <c r="CD2039" t="s">
        <v>182</v>
      </c>
      <c r="CE2039" t="s">
        <v>23998</v>
      </c>
      <c r="CF2039" t="s">
        <v>5331</v>
      </c>
      <c r="CG2039" t="s">
        <v>177</v>
      </c>
      <c r="CH2039" t="s">
        <v>371</v>
      </c>
      <c r="CI2039" t="s">
        <v>24054</v>
      </c>
      <c r="CJ2039" t="s">
        <v>1332</v>
      </c>
      <c r="CK2039" t="s">
        <v>232</v>
      </c>
      <c r="CL2039" t="s">
        <v>233</v>
      </c>
      <c r="CM2039" t="s">
        <v>24055</v>
      </c>
      <c r="CN2039" t="s">
        <v>235</v>
      </c>
      <c r="CO2039" t="s">
        <v>183</v>
      </c>
      <c r="CP2039" t="s">
        <v>266</v>
      </c>
      <c r="CS2039" t="s">
        <v>198</v>
      </c>
      <c r="CT2039" t="s">
        <v>1311</v>
      </c>
      <c r="CU2039" t="s">
        <v>292</v>
      </c>
      <c r="CV2039" t="s">
        <v>293</v>
      </c>
      <c r="CW2039" t="s">
        <v>24056</v>
      </c>
      <c r="CX2039" t="s">
        <v>235</v>
      </c>
      <c r="CY2039" t="s">
        <v>183</v>
      </c>
      <c r="CZ2039" t="s">
        <v>211</v>
      </c>
      <c r="DA2039" t="s">
        <v>298</v>
      </c>
      <c r="DC2039" t="s">
        <v>1641</v>
      </c>
      <c r="DD2039" t="s">
        <v>15938</v>
      </c>
      <c r="DE2039" t="s">
        <v>267</v>
      </c>
      <c r="DF2039" t="s">
        <v>268</v>
      </c>
      <c r="DG2039" t="s">
        <v>24057</v>
      </c>
      <c r="DH2039" t="s">
        <v>235</v>
      </c>
      <c r="DI2039" t="s">
        <v>183</v>
      </c>
      <c r="DJ2039" t="s">
        <v>211</v>
      </c>
      <c r="DK2039" t="s">
        <v>298</v>
      </c>
      <c r="DM2039" t="s">
        <v>459</v>
      </c>
      <c r="DN2039" t="s">
        <v>24058</v>
      </c>
      <c r="DO2039" t="s">
        <v>273</v>
      </c>
      <c r="DP2039" t="s">
        <v>274</v>
      </c>
      <c r="DQ2039" t="s">
        <v>24059</v>
      </c>
      <c r="DR2039" t="s">
        <v>235</v>
      </c>
      <c r="DS2039" t="s">
        <v>183</v>
      </c>
      <c r="DT2039" t="s">
        <v>211</v>
      </c>
      <c r="DU2039" t="s">
        <v>298</v>
      </c>
      <c r="DW2039" t="s">
        <v>462</v>
      </c>
      <c r="DX2039" t="s">
        <v>23724</v>
      </c>
      <c r="DY2039" t="s">
        <v>302</v>
      </c>
      <c r="DZ2039" t="s">
        <v>303</v>
      </c>
      <c r="EA2039" t="s">
        <v>24060</v>
      </c>
      <c r="EB2039" t="s">
        <v>235</v>
      </c>
      <c r="EC2039" t="s">
        <v>183</v>
      </c>
      <c r="ED2039" t="s">
        <v>211</v>
      </c>
      <c r="EE2039" t="s">
        <v>306</v>
      </c>
      <c r="EG2039" t="s">
        <v>1237</v>
      </c>
      <c r="EH2039" t="s">
        <v>2815</v>
      </c>
      <c r="EI2039" t="s">
        <v>238</v>
      </c>
      <c r="EJ2039" t="s">
        <v>239</v>
      </c>
      <c r="EK2039" t="s">
        <v>24061</v>
      </c>
      <c r="EL2039" t="s">
        <v>235</v>
      </c>
      <c r="EM2039" t="s">
        <v>183</v>
      </c>
      <c r="EN2039" t="s">
        <v>211</v>
      </c>
      <c r="EO2039" t="s">
        <v>298</v>
      </c>
      <c r="EQ2039" t="s">
        <v>3501</v>
      </c>
      <c r="ER2039" t="s">
        <v>24062</v>
      </c>
      <c r="ES2039" t="s">
        <v>346</v>
      </c>
      <c r="ET2039" t="s">
        <v>347</v>
      </c>
      <c r="EU2039" t="s">
        <v>24063</v>
      </c>
      <c r="EV2039" t="s">
        <v>247</v>
      </c>
      <c r="EW2039" t="s">
        <v>183</v>
      </c>
      <c r="EX2039" t="s">
        <v>211</v>
      </c>
      <c r="EY2039" t="s">
        <v>264</v>
      </c>
      <c r="FA2039" t="s">
        <v>23976</v>
      </c>
      <c r="FB2039" t="s">
        <v>24064</v>
      </c>
      <c r="FC2039" t="s">
        <v>207</v>
      </c>
      <c r="FD2039" t="s">
        <v>208</v>
      </c>
      <c r="FE2039" t="s">
        <v>24065</v>
      </c>
      <c r="FF2039" t="s">
        <v>2679</v>
      </c>
      <c r="FG2039" t="s">
        <v>183</v>
      </c>
      <c r="FH2039" t="s">
        <v>211</v>
      </c>
      <c r="FI2039" t="s">
        <v>342</v>
      </c>
      <c r="FK2039" t="s">
        <v>23979</v>
      </c>
      <c r="FU2039" t="s">
        <v>198</v>
      </c>
    </row>
    <row r="2040" spans="1:177">
      <c r="A2040" s="1" t="str">
        <f>HYPERLINK("http://digipan.lumentumllc.com/apps/getLink/index.php?t=PropLink&amp;p=5244207","PL")</f>
        <v>PL</v>
      </c>
      <c r="B2040" s="1" t="str">
        <f>HYPERLINK("http://digipan.lumentumllc.com/apps/getLink/index.php?t=TaxLink&amp;p=5244207","TL")</f>
        <v>TL</v>
      </c>
      <c r="C2040" s="1" t="str">
        <f>HYPERLINK("http://digipan.lumentumllc.com/apps/getMap/index.php?p=5244207","Map")</f>
        <v>Map</v>
      </c>
      <c r="E2040" t="s">
        <v>177</v>
      </c>
      <c r="F2040" t="s">
        <v>178</v>
      </c>
      <c r="L2040" t="s">
        <v>24066</v>
      </c>
      <c r="N2040" t="s">
        <v>24066</v>
      </c>
      <c r="O2040" t="s">
        <v>24066</v>
      </c>
      <c r="P2040" t="s">
        <v>24067</v>
      </c>
      <c r="Q2040" t="s">
        <v>24066</v>
      </c>
      <c r="V2040">
        <v>2336</v>
      </c>
      <c r="W2040">
        <v>8</v>
      </c>
      <c r="X2040">
        <v>2017</v>
      </c>
      <c r="Y2040">
        <v>2018</v>
      </c>
      <c r="Z2040">
        <v>5359.34</v>
      </c>
      <c r="AB2040" t="s">
        <v>181</v>
      </c>
      <c r="AC2040" t="s">
        <v>182</v>
      </c>
      <c r="AD2040" t="s">
        <v>183</v>
      </c>
      <c r="AE2040">
        <v>1</v>
      </c>
      <c r="AF2040">
        <v>7</v>
      </c>
      <c r="AG2040" t="s">
        <v>418</v>
      </c>
      <c r="AH2040">
        <v>86</v>
      </c>
      <c r="AI2040">
        <v>5106.04</v>
      </c>
      <c r="AJ2040">
        <v>255.3</v>
      </c>
      <c r="AK2040">
        <v>5361.34</v>
      </c>
      <c r="AL2040">
        <v>249000</v>
      </c>
      <c r="AM2040">
        <v>0</v>
      </c>
      <c r="AN2040">
        <v>249000</v>
      </c>
      <c r="AO2040">
        <v>4696</v>
      </c>
      <c r="AP2040">
        <v>2016</v>
      </c>
      <c r="AQ2040">
        <v>2.15</v>
      </c>
      <c r="AR2040">
        <v>2.15</v>
      </c>
      <c r="AS2040" t="s">
        <v>24068</v>
      </c>
      <c r="AT2040" t="s">
        <v>15040</v>
      </c>
      <c r="AU2040" t="s">
        <v>177</v>
      </c>
      <c r="AV2040" t="s">
        <v>371</v>
      </c>
      <c r="AW2040" t="s">
        <v>182</v>
      </c>
      <c r="AX2040">
        <v>4</v>
      </c>
      <c r="AY2040" t="s">
        <v>188</v>
      </c>
      <c r="AZ2040" t="s">
        <v>296</v>
      </c>
      <c r="BA2040" t="s">
        <v>19069</v>
      </c>
      <c r="BB2040" t="s">
        <v>191</v>
      </c>
      <c r="BC2040" t="s">
        <v>182</v>
      </c>
      <c r="BD2040" t="s">
        <v>182</v>
      </c>
      <c r="BE2040" t="s">
        <v>1722</v>
      </c>
      <c r="BF2040">
        <v>1</v>
      </c>
      <c r="BG2040">
        <v>1</v>
      </c>
      <c r="BH2040">
        <v>1974</v>
      </c>
      <c r="BI2040" t="s">
        <v>7864</v>
      </c>
      <c r="BJ2040" t="s">
        <v>194</v>
      </c>
      <c r="BL2040" t="s">
        <v>199</v>
      </c>
      <c r="BM2040" t="s">
        <v>945</v>
      </c>
      <c r="BN2040" t="s">
        <v>182</v>
      </c>
      <c r="BO2040" t="s">
        <v>198</v>
      </c>
      <c r="BP2040" t="s">
        <v>198</v>
      </c>
      <c r="BQ2040" t="s">
        <v>198</v>
      </c>
      <c r="BR2040" t="s">
        <v>198</v>
      </c>
      <c r="BS2040" t="s">
        <v>198</v>
      </c>
      <c r="BT2040" t="s">
        <v>198</v>
      </c>
      <c r="BU2040" t="s">
        <v>182</v>
      </c>
      <c r="BV2040" t="s">
        <v>198</v>
      </c>
      <c r="BW2040" t="s">
        <v>198</v>
      </c>
      <c r="BX2040" t="s">
        <v>199</v>
      </c>
      <c r="BY2040" t="s">
        <v>198</v>
      </c>
      <c r="BZ2040" t="s">
        <v>199</v>
      </c>
      <c r="CA2040" t="s">
        <v>199</v>
      </c>
      <c r="CB2040" t="s">
        <v>24069</v>
      </c>
      <c r="CC2040" t="s">
        <v>1407</v>
      </c>
      <c r="CD2040" t="s">
        <v>182</v>
      </c>
      <c r="CE2040" t="s">
        <v>24070</v>
      </c>
      <c r="CF2040" t="s">
        <v>413</v>
      </c>
      <c r="CG2040" t="s">
        <v>177</v>
      </c>
      <c r="CH2040" t="s">
        <v>4044</v>
      </c>
      <c r="CI2040" t="s">
        <v>24071</v>
      </c>
      <c r="CJ2040" t="s">
        <v>368</v>
      </c>
      <c r="CK2040" t="s">
        <v>232</v>
      </c>
      <c r="CL2040" t="s">
        <v>233</v>
      </c>
      <c r="CM2040" t="s">
        <v>24072</v>
      </c>
      <c r="CN2040" t="s">
        <v>235</v>
      </c>
      <c r="CO2040" t="s">
        <v>183</v>
      </c>
      <c r="CP2040" t="s">
        <v>266</v>
      </c>
      <c r="CS2040" t="s">
        <v>198</v>
      </c>
      <c r="CT2040" t="s">
        <v>1332</v>
      </c>
      <c r="CU2040" t="s">
        <v>292</v>
      </c>
      <c r="CV2040" t="s">
        <v>293</v>
      </c>
      <c r="CW2040" t="s">
        <v>24073</v>
      </c>
      <c r="CX2040" t="s">
        <v>235</v>
      </c>
      <c r="CY2040" t="s">
        <v>183</v>
      </c>
      <c r="CZ2040" t="s">
        <v>211</v>
      </c>
      <c r="DA2040" t="s">
        <v>298</v>
      </c>
      <c r="DC2040" t="s">
        <v>1235</v>
      </c>
      <c r="DD2040" t="s">
        <v>15987</v>
      </c>
      <c r="DE2040" t="s">
        <v>267</v>
      </c>
      <c r="DF2040" t="s">
        <v>268</v>
      </c>
      <c r="DG2040" t="s">
        <v>24074</v>
      </c>
      <c r="DH2040" t="s">
        <v>235</v>
      </c>
      <c r="DI2040" t="s">
        <v>183</v>
      </c>
      <c r="DJ2040" t="s">
        <v>211</v>
      </c>
      <c r="DK2040" t="s">
        <v>298</v>
      </c>
      <c r="DM2040" t="s">
        <v>7501</v>
      </c>
      <c r="DN2040" t="s">
        <v>16895</v>
      </c>
      <c r="DO2040" t="s">
        <v>273</v>
      </c>
      <c r="DP2040" t="s">
        <v>274</v>
      </c>
      <c r="DQ2040" t="s">
        <v>24075</v>
      </c>
      <c r="DR2040" t="s">
        <v>235</v>
      </c>
      <c r="DS2040" t="s">
        <v>183</v>
      </c>
      <c r="DT2040" t="s">
        <v>211</v>
      </c>
      <c r="DU2040" t="s">
        <v>298</v>
      </c>
      <c r="DW2040" t="s">
        <v>3408</v>
      </c>
      <c r="DX2040" t="s">
        <v>24076</v>
      </c>
      <c r="DY2040" t="s">
        <v>302</v>
      </c>
      <c r="DZ2040" t="s">
        <v>303</v>
      </c>
      <c r="EA2040" t="s">
        <v>24077</v>
      </c>
      <c r="EB2040" t="s">
        <v>235</v>
      </c>
      <c r="EC2040" t="s">
        <v>183</v>
      </c>
      <c r="ED2040" t="s">
        <v>211</v>
      </c>
      <c r="EE2040" t="s">
        <v>298</v>
      </c>
      <c r="EG2040" t="s">
        <v>4379</v>
      </c>
      <c r="EH2040" t="s">
        <v>2726</v>
      </c>
      <c r="EI2040" t="s">
        <v>238</v>
      </c>
      <c r="EJ2040" t="s">
        <v>239</v>
      </c>
      <c r="EK2040" t="s">
        <v>24078</v>
      </c>
      <c r="EL2040" t="s">
        <v>235</v>
      </c>
      <c r="EM2040" t="s">
        <v>183</v>
      </c>
      <c r="EN2040" t="s">
        <v>211</v>
      </c>
      <c r="EO2040" t="s">
        <v>298</v>
      </c>
      <c r="EQ2040" t="s">
        <v>546</v>
      </c>
      <c r="ER2040" t="s">
        <v>24079</v>
      </c>
      <c r="ES2040" t="s">
        <v>346</v>
      </c>
      <c r="ET2040" t="s">
        <v>347</v>
      </c>
      <c r="EU2040" t="s">
        <v>24080</v>
      </c>
      <c r="EV2040" t="s">
        <v>511</v>
      </c>
      <c r="EW2040" t="s">
        <v>183</v>
      </c>
      <c r="EX2040" t="s">
        <v>211</v>
      </c>
      <c r="EY2040" t="s">
        <v>523</v>
      </c>
      <c r="FA2040" t="s">
        <v>9624</v>
      </c>
      <c r="FB2040" t="s">
        <v>24081</v>
      </c>
      <c r="FC2040" t="s">
        <v>207</v>
      </c>
      <c r="FD2040" t="s">
        <v>208</v>
      </c>
      <c r="FE2040" t="s">
        <v>24082</v>
      </c>
      <c r="FF2040" t="s">
        <v>235</v>
      </c>
      <c r="FG2040" t="s">
        <v>183</v>
      </c>
      <c r="FH2040" t="s">
        <v>211</v>
      </c>
      <c r="FI2040" t="s">
        <v>523</v>
      </c>
      <c r="FK2040" t="s">
        <v>1020</v>
      </c>
      <c r="FU2040" t="s">
        <v>198</v>
      </c>
    </row>
    <row r="2041" spans="1:177">
      <c r="A2041" s="1" t="str">
        <f>HYPERLINK("http://digipan.lumentumllc.com/apps/getLink/index.php?t=PropLink&amp;p=15729425","PL")</f>
        <v>PL</v>
      </c>
      <c r="B2041" s="1" t="str">
        <f>HYPERLINK("http://digipan.lumentumllc.com/apps/getLink/index.php?t=TaxLink&amp;p=15729425","TL")</f>
        <v>TL</v>
      </c>
      <c r="C2041" s="1" t="str">
        <f>HYPERLINK("http://digipan.lumentumllc.com/apps/getMap/index.php?p=15729425","Map")</f>
        <v>Map</v>
      </c>
      <c r="E2041" t="s">
        <v>177</v>
      </c>
      <c r="F2041" t="s">
        <v>178</v>
      </c>
      <c r="L2041" t="s">
        <v>24083</v>
      </c>
      <c r="N2041" t="s">
        <v>24083</v>
      </c>
      <c r="O2041" t="s">
        <v>24083</v>
      </c>
      <c r="Q2041" t="s">
        <v>24083</v>
      </c>
      <c r="V2041">
        <v>2337</v>
      </c>
      <c r="W2041">
        <v>8</v>
      </c>
      <c r="X2041">
        <v>2017</v>
      </c>
      <c r="Y2041">
        <v>2018</v>
      </c>
      <c r="Z2041">
        <v>5359.34</v>
      </c>
      <c r="AG2041" t="s">
        <v>184</v>
      </c>
      <c r="AH2041">
        <v>0</v>
      </c>
      <c r="AK2041">
        <v>0</v>
      </c>
      <c r="AL2041">
        <v>249000</v>
      </c>
      <c r="AM2041">
        <v>0</v>
      </c>
      <c r="AN2041">
        <v>249000</v>
      </c>
      <c r="AO2041">
        <v>4696</v>
      </c>
      <c r="AP2041">
        <v>2016</v>
      </c>
      <c r="AQ2041">
        <v>2.15</v>
      </c>
      <c r="AS2041" t="s">
        <v>24084</v>
      </c>
      <c r="AT2041" t="s">
        <v>15040</v>
      </c>
      <c r="AU2041" t="s">
        <v>177</v>
      </c>
      <c r="AV2041" t="s">
        <v>371</v>
      </c>
      <c r="AW2041" t="s">
        <v>182</v>
      </c>
      <c r="AX2041">
        <v>4</v>
      </c>
      <c r="AY2041" t="s">
        <v>188</v>
      </c>
      <c r="AZ2041" t="s">
        <v>296</v>
      </c>
      <c r="BA2041" t="s">
        <v>19069</v>
      </c>
      <c r="BB2041" t="s">
        <v>191</v>
      </c>
      <c r="BC2041" t="s">
        <v>182</v>
      </c>
      <c r="BD2041" t="s">
        <v>182</v>
      </c>
      <c r="BE2041" t="s">
        <v>1722</v>
      </c>
      <c r="BF2041">
        <v>1</v>
      </c>
      <c r="BG2041">
        <v>1</v>
      </c>
      <c r="BH2041">
        <v>1974</v>
      </c>
      <c r="BI2041" t="s">
        <v>7864</v>
      </c>
      <c r="BJ2041" t="s">
        <v>194</v>
      </c>
      <c r="BL2041" t="s">
        <v>2075</v>
      </c>
      <c r="BM2041" t="s">
        <v>2582</v>
      </c>
      <c r="BN2041" t="s">
        <v>182</v>
      </c>
      <c r="BO2041" t="s">
        <v>198</v>
      </c>
      <c r="BP2041" t="s">
        <v>198</v>
      </c>
      <c r="BQ2041" t="s">
        <v>198</v>
      </c>
      <c r="BR2041" t="s">
        <v>198</v>
      </c>
      <c r="BS2041" t="s">
        <v>198</v>
      </c>
      <c r="BT2041" t="s">
        <v>198</v>
      </c>
      <c r="BU2041" t="s">
        <v>182</v>
      </c>
      <c r="BV2041" t="s">
        <v>198</v>
      </c>
      <c r="BW2041" t="s">
        <v>198</v>
      </c>
      <c r="BX2041" t="s">
        <v>199</v>
      </c>
      <c r="BY2041" t="s">
        <v>198</v>
      </c>
      <c r="BZ2041" t="s">
        <v>199</v>
      </c>
      <c r="CA2041" t="s">
        <v>199</v>
      </c>
      <c r="CB2041" t="s">
        <v>24085</v>
      </c>
      <c r="CC2041" t="s">
        <v>201</v>
      </c>
      <c r="CD2041" t="s">
        <v>182</v>
      </c>
      <c r="CE2041" t="s">
        <v>24086</v>
      </c>
      <c r="CF2041" t="s">
        <v>5331</v>
      </c>
      <c r="CG2041" t="s">
        <v>177</v>
      </c>
      <c r="CH2041" t="s">
        <v>371</v>
      </c>
      <c r="CI2041" t="s">
        <v>24087</v>
      </c>
      <c r="CS2041" t="s">
        <v>198</v>
      </c>
      <c r="DC2041" t="s">
        <v>198</v>
      </c>
      <c r="DM2041" t="s">
        <v>198</v>
      </c>
      <c r="DW2041" t="s">
        <v>198</v>
      </c>
      <c r="EG2041" t="s">
        <v>198</v>
      </c>
      <c r="EQ2041" t="s">
        <v>198</v>
      </c>
      <c r="FA2041" t="s">
        <v>198</v>
      </c>
      <c r="FK2041" t="s">
        <v>198</v>
      </c>
      <c r="FU2041" t="s">
        <v>198</v>
      </c>
    </row>
    <row r="2042" spans="1:177">
      <c r="A2042" s="1" t="str">
        <f>HYPERLINK("http://digipan.lumentumllc.com/apps/getLink/index.php?t=PropLink&amp;p=15729428","PL")</f>
        <v>PL</v>
      </c>
      <c r="B2042" s="1" t="str">
        <f>HYPERLINK("http://digipan.lumentumllc.com/apps/getLink/index.php?t=TaxLink&amp;p=15729428","TL")</f>
        <v>TL</v>
      </c>
      <c r="C2042" s="1" t="str">
        <f>HYPERLINK("http://digipan.lumentumllc.com/apps/getMap/index.php?p=15729428","Map")</f>
        <v>Map</v>
      </c>
      <c r="E2042" t="s">
        <v>177</v>
      </c>
      <c r="F2042" t="s">
        <v>178</v>
      </c>
      <c r="L2042" t="s">
        <v>24088</v>
      </c>
      <c r="N2042" t="s">
        <v>24088</v>
      </c>
      <c r="O2042" t="s">
        <v>24088</v>
      </c>
      <c r="Q2042" t="s">
        <v>24088</v>
      </c>
      <c r="V2042">
        <v>2338</v>
      </c>
      <c r="W2042">
        <v>8</v>
      </c>
      <c r="X2042">
        <v>2017</v>
      </c>
      <c r="Y2042">
        <v>2018</v>
      </c>
      <c r="Z2042">
        <v>5359.34</v>
      </c>
      <c r="AG2042" t="s">
        <v>184</v>
      </c>
      <c r="AH2042">
        <v>0</v>
      </c>
      <c r="AK2042">
        <v>0</v>
      </c>
      <c r="AL2042">
        <v>249000</v>
      </c>
      <c r="AM2042">
        <v>0</v>
      </c>
      <c r="AN2042">
        <v>249000</v>
      </c>
      <c r="AO2042">
        <v>4696</v>
      </c>
      <c r="AP2042">
        <v>2016</v>
      </c>
      <c r="AQ2042">
        <v>2.15</v>
      </c>
      <c r="AS2042" t="s">
        <v>24089</v>
      </c>
      <c r="AT2042" t="s">
        <v>15040</v>
      </c>
      <c r="AU2042" t="s">
        <v>177</v>
      </c>
      <c r="AV2042" t="s">
        <v>371</v>
      </c>
      <c r="AW2042" t="s">
        <v>182</v>
      </c>
      <c r="AX2042">
        <v>4</v>
      </c>
      <c r="AY2042" t="s">
        <v>188</v>
      </c>
      <c r="AZ2042" t="s">
        <v>296</v>
      </c>
      <c r="BA2042" t="s">
        <v>19069</v>
      </c>
      <c r="BB2042" t="s">
        <v>191</v>
      </c>
      <c r="BC2042" t="s">
        <v>182</v>
      </c>
      <c r="BD2042" t="s">
        <v>182</v>
      </c>
      <c r="BE2042" t="s">
        <v>1722</v>
      </c>
      <c r="BF2042">
        <v>1</v>
      </c>
      <c r="BG2042">
        <v>1</v>
      </c>
      <c r="BH2042">
        <v>1974</v>
      </c>
      <c r="BI2042" t="s">
        <v>7864</v>
      </c>
      <c r="BJ2042" t="s">
        <v>194</v>
      </c>
      <c r="BL2042" t="s">
        <v>24090</v>
      </c>
      <c r="BM2042" t="s">
        <v>197</v>
      </c>
      <c r="BN2042" t="s">
        <v>182</v>
      </c>
      <c r="BO2042" t="s">
        <v>23206</v>
      </c>
      <c r="BP2042" t="s">
        <v>9588</v>
      </c>
      <c r="BQ2042" t="s">
        <v>800</v>
      </c>
      <c r="BR2042" t="s">
        <v>563</v>
      </c>
      <c r="BS2042" t="s">
        <v>198</v>
      </c>
      <c r="BT2042" t="s">
        <v>2793</v>
      </c>
      <c r="BU2042" t="s">
        <v>182</v>
      </c>
      <c r="BV2042" t="s">
        <v>198</v>
      </c>
      <c r="BW2042" t="s">
        <v>198</v>
      </c>
      <c r="BX2042" t="s">
        <v>199</v>
      </c>
      <c r="BY2042" t="s">
        <v>198</v>
      </c>
      <c r="BZ2042" t="s">
        <v>199</v>
      </c>
      <c r="CA2042" t="s">
        <v>199</v>
      </c>
      <c r="CB2042" t="s">
        <v>24091</v>
      </c>
      <c r="CC2042" t="s">
        <v>201</v>
      </c>
      <c r="CD2042" t="s">
        <v>202</v>
      </c>
      <c r="CE2042" t="s">
        <v>24092</v>
      </c>
      <c r="CF2042" t="s">
        <v>5331</v>
      </c>
      <c r="CG2042" t="s">
        <v>177</v>
      </c>
      <c r="CH2042" t="s">
        <v>371</v>
      </c>
      <c r="CI2042" t="s">
        <v>24093</v>
      </c>
      <c r="CS2042" t="s">
        <v>198</v>
      </c>
      <c r="DC2042" t="s">
        <v>198</v>
      </c>
      <c r="DM2042" t="s">
        <v>198</v>
      </c>
      <c r="DW2042" t="s">
        <v>198</v>
      </c>
      <c r="EG2042" t="s">
        <v>198</v>
      </c>
      <c r="EQ2042" t="s">
        <v>198</v>
      </c>
      <c r="FA2042" t="s">
        <v>198</v>
      </c>
      <c r="FK2042" t="s">
        <v>198</v>
      </c>
      <c r="FU2042" t="s">
        <v>198</v>
      </c>
    </row>
    <row r="2043" spans="1:177">
      <c r="A2043" s="1" t="str">
        <f>HYPERLINK("http://digipan.lumentumllc.com/apps/getLink/index.php?t=PropLink&amp;p=15729465","PL")</f>
        <v>PL</v>
      </c>
      <c r="B2043" s="1" t="str">
        <f>HYPERLINK("http://digipan.lumentumllc.com/apps/getLink/index.php?t=TaxLink&amp;p=15729465","TL")</f>
        <v>TL</v>
      </c>
      <c r="C2043" s="1" t="str">
        <f>HYPERLINK("http://digipan.lumentumllc.com/apps/getMap/index.php?p=15729465","Map")</f>
        <v>Map</v>
      </c>
      <c r="E2043" t="s">
        <v>177</v>
      </c>
      <c r="F2043" t="s">
        <v>178</v>
      </c>
      <c r="L2043" t="s">
        <v>24094</v>
      </c>
      <c r="N2043" t="s">
        <v>24094</v>
      </c>
      <c r="O2043" t="s">
        <v>24094</v>
      </c>
      <c r="Q2043" t="s">
        <v>24094</v>
      </c>
      <c r="V2043">
        <v>2339</v>
      </c>
      <c r="W2043">
        <v>8</v>
      </c>
      <c r="X2043">
        <v>2017</v>
      </c>
      <c r="Y2043">
        <v>2018</v>
      </c>
      <c r="Z2043">
        <v>5399.21</v>
      </c>
      <c r="AG2043" t="s">
        <v>184</v>
      </c>
      <c r="AH2043">
        <v>0</v>
      </c>
      <c r="AK2043">
        <v>0</v>
      </c>
      <c r="AL2043">
        <v>249000</v>
      </c>
      <c r="AM2043">
        <v>0</v>
      </c>
      <c r="AN2043">
        <v>249000</v>
      </c>
      <c r="AO2043">
        <v>4696</v>
      </c>
      <c r="AP2043">
        <v>2016</v>
      </c>
      <c r="AQ2043">
        <v>2.17</v>
      </c>
      <c r="AS2043" t="s">
        <v>24095</v>
      </c>
      <c r="AT2043" t="s">
        <v>15040</v>
      </c>
      <c r="AU2043" t="s">
        <v>177</v>
      </c>
      <c r="AV2043" t="s">
        <v>371</v>
      </c>
      <c r="AW2043" t="s">
        <v>182</v>
      </c>
      <c r="AX2043">
        <v>4</v>
      </c>
      <c r="AY2043" t="s">
        <v>188</v>
      </c>
      <c r="AZ2043" t="s">
        <v>296</v>
      </c>
      <c r="BA2043" t="s">
        <v>19069</v>
      </c>
      <c r="BB2043" t="s">
        <v>191</v>
      </c>
      <c r="BC2043" t="s">
        <v>182</v>
      </c>
      <c r="BD2043" t="s">
        <v>182</v>
      </c>
      <c r="BE2043" t="s">
        <v>1722</v>
      </c>
      <c r="BF2043">
        <v>1</v>
      </c>
      <c r="BG2043">
        <v>1</v>
      </c>
      <c r="BH2043">
        <v>1974</v>
      </c>
      <c r="BI2043" t="s">
        <v>7864</v>
      </c>
      <c r="BJ2043" t="s">
        <v>194</v>
      </c>
      <c r="BL2043" t="s">
        <v>24096</v>
      </c>
      <c r="BM2043" t="s">
        <v>232</v>
      </c>
      <c r="BN2043" t="s">
        <v>182</v>
      </c>
      <c r="BO2043" t="s">
        <v>24097</v>
      </c>
      <c r="BP2043" t="s">
        <v>24098</v>
      </c>
      <c r="BQ2043" t="s">
        <v>581</v>
      </c>
      <c r="BR2043" t="s">
        <v>582</v>
      </c>
      <c r="BS2043" t="s">
        <v>198</v>
      </c>
      <c r="BT2043" t="s">
        <v>19342</v>
      </c>
      <c r="BU2043" t="s">
        <v>182</v>
      </c>
      <c r="BV2043" t="s">
        <v>198</v>
      </c>
      <c r="BW2043" t="s">
        <v>198</v>
      </c>
      <c r="BX2043" t="s">
        <v>199</v>
      </c>
      <c r="BY2043" t="s">
        <v>198</v>
      </c>
      <c r="BZ2043" t="s">
        <v>199</v>
      </c>
      <c r="CA2043" t="s">
        <v>199</v>
      </c>
      <c r="CB2043" t="s">
        <v>24099</v>
      </c>
      <c r="CC2043" t="s">
        <v>201</v>
      </c>
      <c r="CD2043" t="s">
        <v>202</v>
      </c>
      <c r="CE2043" t="s">
        <v>24100</v>
      </c>
      <c r="CF2043" t="s">
        <v>1601</v>
      </c>
      <c r="CG2043" t="s">
        <v>1602</v>
      </c>
      <c r="CH2043" t="s">
        <v>1603</v>
      </c>
      <c r="CI2043" t="s">
        <v>24101</v>
      </c>
      <c r="CS2043" t="s">
        <v>198</v>
      </c>
      <c r="DC2043" t="s">
        <v>198</v>
      </c>
      <c r="DM2043" t="s">
        <v>198</v>
      </c>
      <c r="DW2043" t="s">
        <v>198</v>
      </c>
      <c r="EG2043" t="s">
        <v>198</v>
      </c>
      <c r="EQ2043" t="s">
        <v>198</v>
      </c>
      <c r="FA2043" t="s">
        <v>198</v>
      </c>
      <c r="FK2043" t="s">
        <v>198</v>
      </c>
      <c r="FU2043" t="s">
        <v>198</v>
      </c>
    </row>
    <row r="2044" spans="1:177">
      <c r="A2044" s="1" t="str">
        <f>HYPERLINK("http://digipan.lumentumllc.com/apps/getLink/index.php?t=PropLink&amp;p=5244208","PL")</f>
        <v>PL</v>
      </c>
      <c r="B2044" s="1" t="str">
        <f>HYPERLINK("http://digipan.lumentumllc.com/apps/getLink/index.php?t=TaxLink&amp;p=5244208","TL")</f>
        <v>TL</v>
      </c>
      <c r="C2044" s="1" t="str">
        <f>HYPERLINK("http://digipan.lumentumllc.com/apps/getMap/index.php?p=5244208","Map")</f>
        <v>Map</v>
      </c>
      <c r="E2044" t="s">
        <v>177</v>
      </c>
      <c r="F2044" t="s">
        <v>178</v>
      </c>
      <c r="L2044" t="s">
        <v>24102</v>
      </c>
      <c r="N2044" t="s">
        <v>24102</v>
      </c>
      <c r="O2044" t="s">
        <v>24102</v>
      </c>
      <c r="P2044" t="s">
        <v>24103</v>
      </c>
      <c r="Q2044" t="s">
        <v>24102</v>
      </c>
      <c r="V2044">
        <v>2340</v>
      </c>
      <c r="W2044">
        <v>8</v>
      </c>
      <c r="X2044">
        <v>2017</v>
      </c>
      <c r="Y2044">
        <v>2018</v>
      </c>
      <c r="Z2044">
        <v>5892.07</v>
      </c>
      <c r="AB2044" t="s">
        <v>181</v>
      </c>
      <c r="AC2044" t="s">
        <v>182</v>
      </c>
      <c r="AD2044" t="s">
        <v>183</v>
      </c>
      <c r="AE2044">
        <v>0</v>
      </c>
      <c r="AF2044">
        <v>1</v>
      </c>
      <c r="AG2044" t="s">
        <v>184</v>
      </c>
      <c r="AH2044">
        <v>0</v>
      </c>
      <c r="AK2044">
        <v>0</v>
      </c>
      <c r="AL2044">
        <v>273900</v>
      </c>
      <c r="AM2044">
        <v>0</v>
      </c>
      <c r="AN2044">
        <v>273900</v>
      </c>
      <c r="AO2044">
        <v>5166</v>
      </c>
      <c r="AP2044">
        <v>2016</v>
      </c>
      <c r="AQ2044">
        <v>2.15</v>
      </c>
      <c r="AS2044" t="s">
        <v>24104</v>
      </c>
      <c r="AT2044" t="s">
        <v>15040</v>
      </c>
      <c r="AU2044" t="s">
        <v>177</v>
      </c>
      <c r="AV2044" t="s">
        <v>371</v>
      </c>
      <c r="AW2044" t="s">
        <v>182</v>
      </c>
      <c r="AX2044">
        <v>4</v>
      </c>
      <c r="AY2044" t="s">
        <v>188</v>
      </c>
      <c r="AZ2044" t="s">
        <v>296</v>
      </c>
      <c r="BA2044" t="s">
        <v>19069</v>
      </c>
      <c r="BB2044" t="s">
        <v>191</v>
      </c>
      <c r="BC2044" t="s">
        <v>182</v>
      </c>
      <c r="BD2044" t="s">
        <v>182</v>
      </c>
      <c r="BE2044" t="s">
        <v>1722</v>
      </c>
      <c r="BF2044">
        <v>1</v>
      </c>
      <c r="BG2044">
        <v>1</v>
      </c>
      <c r="BH2044">
        <v>1974</v>
      </c>
      <c r="BI2044" t="s">
        <v>7864</v>
      </c>
      <c r="BJ2044" t="s">
        <v>194</v>
      </c>
      <c r="BL2044" t="s">
        <v>17030</v>
      </c>
      <c r="BM2044" t="s">
        <v>1825</v>
      </c>
      <c r="BN2044" t="s">
        <v>182</v>
      </c>
      <c r="BO2044" t="s">
        <v>198</v>
      </c>
      <c r="BP2044" t="s">
        <v>198</v>
      </c>
      <c r="BQ2044" t="s">
        <v>198</v>
      </c>
      <c r="BR2044" t="s">
        <v>198</v>
      </c>
      <c r="BS2044" t="s">
        <v>198</v>
      </c>
      <c r="BT2044" t="s">
        <v>198</v>
      </c>
      <c r="BU2044" t="s">
        <v>182</v>
      </c>
      <c r="BV2044" t="s">
        <v>198</v>
      </c>
      <c r="BW2044" t="s">
        <v>198</v>
      </c>
      <c r="BX2044" t="s">
        <v>199</v>
      </c>
      <c r="BY2044" t="s">
        <v>198</v>
      </c>
      <c r="BZ2044" t="s">
        <v>199</v>
      </c>
      <c r="CA2044" t="s">
        <v>199</v>
      </c>
      <c r="CB2044" t="s">
        <v>24105</v>
      </c>
      <c r="CC2044" t="s">
        <v>201</v>
      </c>
      <c r="CD2044" t="s">
        <v>182</v>
      </c>
      <c r="CE2044" t="s">
        <v>24106</v>
      </c>
      <c r="CF2044" t="s">
        <v>24107</v>
      </c>
      <c r="CG2044" t="s">
        <v>1602</v>
      </c>
      <c r="CH2044" t="s">
        <v>24108</v>
      </c>
      <c r="CI2044" t="s">
        <v>24109</v>
      </c>
      <c r="CJ2044" t="s">
        <v>24110</v>
      </c>
      <c r="CK2044" t="s">
        <v>207</v>
      </c>
      <c r="CL2044" t="s">
        <v>208</v>
      </c>
      <c r="CM2044" t="s">
        <v>24111</v>
      </c>
      <c r="CN2044" t="s">
        <v>235</v>
      </c>
      <c r="CO2044" t="s">
        <v>183</v>
      </c>
      <c r="CP2044" t="s">
        <v>211</v>
      </c>
      <c r="CQ2044" t="s">
        <v>250</v>
      </c>
      <c r="CS2044" t="s">
        <v>24112</v>
      </c>
      <c r="DC2044" t="s">
        <v>198</v>
      </c>
      <c r="DM2044" t="s">
        <v>198</v>
      </c>
      <c r="DW2044" t="s">
        <v>198</v>
      </c>
      <c r="EG2044" t="s">
        <v>198</v>
      </c>
      <c r="EQ2044" t="s">
        <v>198</v>
      </c>
      <c r="FA2044" t="s">
        <v>198</v>
      </c>
      <c r="FK2044" t="s">
        <v>198</v>
      </c>
      <c r="FU2044" t="s">
        <v>198</v>
      </c>
    </row>
    <row r="2045" spans="1:177">
      <c r="A2045" s="1" t="str">
        <f>HYPERLINK("http://digipan.lumentumllc.com/apps/getLink/index.php?t=PropLink&amp;p=15729615","PL")</f>
        <v>PL</v>
      </c>
      <c r="B2045" s="1" t="str">
        <f>HYPERLINK("http://digipan.lumentumllc.com/apps/getLink/index.php?t=TaxLink&amp;p=15729615","TL")</f>
        <v>TL</v>
      </c>
      <c r="C2045" s="1" t="str">
        <f>HYPERLINK("http://digipan.lumentumllc.com/apps/getMap/index.php?p=15729615","Map")</f>
        <v>Map</v>
      </c>
      <c r="E2045" t="s">
        <v>177</v>
      </c>
      <c r="F2045" t="s">
        <v>178</v>
      </c>
      <c r="L2045" t="s">
        <v>24113</v>
      </c>
      <c r="N2045" t="s">
        <v>24113</v>
      </c>
      <c r="O2045" t="s">
        <v>24113</v>
      </c>
      <c r="Q2045" t="s">
        <v>24113</v>
      </c>
      <c r="V2045">
        <v>2342</v>
      </c>
      <c r="W2045">
        <v>8</v>
      </c>
      <c r="X2045">
        <v>2017</v>
      </c>
      <c r="Y2045">
        <v>2018</v>
      </c>
      <c r="Z2045">
        <v>15856.17</v>
      </c>
      <c r="AG2045" t="s">
        <v>184</v>
      </c>
      <c r="AH2045">
        <v>0</v>
      </c>
      <c r="AK2045">
        <v>0</v>
      </c>
      <c r="AL2045">
        <v>734128</v>
      </c>
      <c r="AM2045">
        <v>400000</v>
      </c>
      <c r="AN2045">
        <v>334128</v>
      </c>
      <c r="AO2045">
        <v>13744</v>
      </c>
      <c r="AP2045">
        <v>2016</v>
      </c>
      <c r="AQ2045">
        <v>2.16</v>
      </c>
      <c r="AS2045" t="s">
        <v>24114</v>
      </c>
      <c r="AT2045" t="s">
        <v>15040</v>
      </c>
      <c r="AU2045" t="s">
        <v>177</v>
      </c>
      <c r="AV2045" t="s">
        <v>371</v>
      </c>
      <c r="AW2045" t="s">
        <v>182</v>
      </c>
      <c r="AX2045">
        <v>1</v>
      </c>
      <c r="AY2045" t="s">
        <v>188</v>
      </c>
      <c r="AZ2045" t="s">
        <v>206</v>
      </c>
      <c r="BA2045" t="s">
        <v>355</v>
      </c>
      <c r="BB2045" t="s">
        <v>191</v>
      </c>
      <c r="BC2045" t="s">
        <v>182</v>
      </c>
      <c r="BD2045" t="s">
        <v>182</v>
      </c>
      <c r="BE2045" t="s">
        <v>5985</v>
      </c>
      <c r="BF2045">
        <v>1</v>
      </c>
      <c r="BG2045">
        <v>1</v>
      </c>
      <c r="BH2045">
        <v>1945</v>
      </c>
      <c r="BI2045" t="s">
        <v>24115</v>
      </c>
      <c r="BJ2045" t="s">
        <v>396</v>
      </c>
      <c r="BK2045" t="s">
        <v>195</v>
      </c>
      <c r="BL2045" t="s">
        <v>24116</v>
      </c>
      <c r="BM2045" t="s">
        <v>410</v>
      </c>
      <c r="BN2045" t="s">
        <v>182</v>
      </c>
      <c r="BO2045" t="s">
        <v>198</v>
      </c>
      <c r="BP2045" t="s">
        <v>198</v>
      </c>
      <c r="BQ2045" t="s">
        <v>198</v>
      </c>
      <c r="BR2045" t="s">
        <v>198</v>
      </c>
      <c r="BS2045" t="s">
        <v>198</v>
      </c>
      <c r="BT2045" t="s">
        <v>198</v>
      </c>
      <c r="BU2045" t="s">
        <v>182</v>
      </c>
      <c r="BV2045" t="s">
        <v>198</v>
      </c>
      <c r="BW2045" t="s">
        <v>198</v>
      </c>
      <c r="BX2045" t="s">
        <v>199</v>
      </c>
      <c r="BY2045" t="s">
        <v>198</v>
      </c>
      <c r="BZ2045" t="s">
        <v>199</v>
      </c>
      <c r="CA2045" t="s">
        <v>199</v>
      </c>
      <c r="CB2045" t="s">
        <v>24117</v>
      </c>
      <c r="CC2045" t="s">
        <v>201</v>
      </c>
      <c r="CD2045" t="s">
        <v>182</v>
      </c>
      <c r="CE2045" t="s">
        <v>24118</v>
      </c>
      <c r="CF2045" t="s">
        <v>24119</v>
      </c>
      <c r="CG2045" t="s">
        <v>1602</v>
      </c>
      <c r="CH2045" t="s">
        <v>24120</v>
      </c>
      <c r="CI2045" t="s">
        <v>24121</v>
      </c>
      <c r="CS2045" t="s">
        <v>198</v>
      </c>
      <c r="DC2045" t="s">
        <v>198</v>
      </c>
      <c r="DM2045" t="s">
        <v>198</v>
      </c>
      <c r="DW2045" t="s">
        <v>198</v>
      </c>
      <c r="EG2045" t="s">
        <v>198</v>
      </c>
      <c r="EQ2045" t="s">
        <v>198</v>
      </c>
      <c r="FA2045" t="s">
        <v>198</v>
      </c>
      <c r="FK2045" t="s">
        <v>198</v>
      </c>
      <c r="FU2045" t="s">
        <v>198</v>
      </c>
    </row>
    <row r="2046" spans="1:177">
      <c r="A2046" s="1" t="str">
        <f>HYPERLINK("http://digipan.lumentumllc.com/apps/getLink/index.php?t=PropLink&amp;p=15729646","PL")</f>
        <v>PL</v>
      </c>
      <c r="B2046" s="1" t="str">
        <f>HYPERLINK("http://digipan.lumentumllc.com/apps/getLink/index.php?t=TaxLink&amp;p=15729646","TL")</f>
        <v>TL</v>
      </c>
      <c r="C2046" s="1" t="str">
        <f>HYPERLINK("http://digipan.lumentumllc.com/apps/getMap/index.php?p=15729646","Map")</f>
        <v>Map</v>
      </c>
      <c r="E2046" t="s">
        <v>177</v>
      </c>
      <c r="F2046" t="s">
        <v>178</v>
      </c>
      <c r="L2046" t="s">
        <v>24122</v>
      </c>
      <c r="N2046" t="s">
        <v>24122</v>
      </c>
      <c r="O2046" t="s">
        <v>24122</v>
      </c>
      <c r="Q2046" t="s">
        <v>24122</v>
      </c>
      <c r="V2046">
        <v>2344</v>
      </c>
      <c r="W2046">
        <v>8</v>
      </c>
      <c r="X2046">
        <v>2017</v>
      </c>
      <c r="Y2046">
        <v>2018</v>
      </c>
      <c r="Z2046">
        <v>667.09</v>
      </c>
      <c r="AG2046" t="s">
        <v>184</v>
      </c>
      <c r="AH2046">
        <v>0</v>
      </c>
      <c r="AK2046">
        <v>0</v>
      </c>
      <c r="AL2046">
        <v>129966</v>
      </c>
      <c r="AM2046">
        <v>51000</v>
      </c>
      <c r="AN2046">
        <v>78966</v>
      </c>
      <c r="AO2046">
        <v>2374</v>
      </c>
      <c r="AP2046">
        <v>2016</v>
      </c>
      <c r="AQ2046">
        <v>0.51</v>
      </c>
      <c r="AS2046" t="s">
        <v>24123</v>
      </c>
      <c r="AT2046" t="s">
        <v>15040</v>
      </c>
      <c r="AU2046" t="s">
        <v>177</v>
      </c>
      <c r="AV2046" t="s">
        <v>371</v>
      </c>
      <c r="AW2046" t="s">
        <v>182</v>
      </c>
      <c r="AX2046">
        <v>1</v>
      </c>
      <c r="AY2046" t="s">
        <v>188</v>
      </c>
      <c r="AZ2046" t="s">
        <v>206</v>
      </c>
      <c r="BA2046" t="s">
        <v>355</v>
      </c>
      <c r="BB2046" t="s">
        <v>191</v>
      </c>
      <c r="BC2046" t="s">
        <v>182</v>
      </c>
      <c r="BD2046" t="s">
        <v>182</v>
      </c>
      <c r="BE2046" t="s">
        <v>13126</v>
      </c>
      <c r="BF2046">
        <v>1</v>
      </c>
      <c r="BG2046">
        <v>1</v>
      </c>
      <c r="BH2046">
        <v>1960</v>
      </c>
      <c r="BI2046" t="s">
        <v>15315</v>
      </c>
      <c r="BJ2046" t="s">
        <v>194</v>
      </c>
      <c r="BK2046" t="s">
        <v>195</v>
      </c>
      <c r="BL2046" t="s">
        <v>24124</v>
      </c>
      <c r="BM2046" t="s">
        <v>238</v>
      </c>
      <c r="BN2046" t="s">
        <v>182</v>
      </c>
      <c r="BO2046" t="s">
        <v>198</v>
      </c>
      <c r="BP2046" t="s">
        <v>198</v>
      </c>
      <c r="BQ2046" t="s">
        <v>198</v>
      </c>
      <c r="BR2046" t="s">
        <v>198</v>
      </c>
      <c r="BS2046" t="s">
        <v>198</v>
      </c>
      <c r="BT2046" t="s">
        <v>198</v>
      </c>
      <c r="BU2046" t="s">
        <v>182</v>
      </c>
      <c r="BV2046" t="s">
        <v>198</v>
      </c>
      <c r="BW2046" t="s">
        <v>198</v>
      </c>
      <c r="BX2046" t="s">
        <v>199</v>
      </c>
      <c r="BY2046" t="s">
        <v>198</v>
      </c>
      <c r="BZ2046" t="s">
        <v>199</v>
      </c>
      <c r="CA2046" t="s">
        <v>199</v>
      </c>
      <c r="CB2046" t="s">
        <v>24125</v>
      </c>
      <c r="CC2046" t="s">
        <v>201</v>
      </c>
      <c r="CD2046" t="s">
        <v>182</v>
      </c>
      <c r="CE2046" t="s">
        <v>24126</v>
      </c>
      <c r="CF2046" t="s">
        <v>24127</v>
      </c>
      <c r="CG2046" t="s">
        <v>5450</v>
      </c>
      <c r="CH2046" t="s">
        <v>24128</v>
      </c>
      <c r="CI2046" t="s">
        <v>24129</v>
      </c>
      <c r="CS2046" t="s">
        <v>198</v>
      </c>
      <c r="DC2046" t="s">
        <v>198</v>
      </c>
      <c r="DM2046" t="s">
        <v>198</v>
      </c>
      <c r="DW2046" t="s">
        <v>198</v>
      </c>
      <c r="EG2046" t="s">
        <v>198</v>
      </c>
      <c r="EQ2046" t="s">
        <v>198</v>
      </c>
      <c r="FA2046" t="s">
        <v>198</v>
      </c>
      <c r="FK2046" t="s">
        <v>198</v>
      </c>
      <c r="FU2046" t="s">
        <v>198</v>
      </c>
    </row>
    <row r="2047" spans="1:177">
      <c r="A2047" s="1" t="str">
        <f>HYPERLINK("http://digipan.lumentumllc.com/apps/getLink/index.php?t=PropLink&amp;p=6594035","PL")</f>
        <v>PL</v>
      </c>
      <c r="B2047" s="1" t="str">
        <f>HYPERLINK("http://digipan.lumentumllc.com/apps/getLink/index.php?t=TaxLink&amp;p=6594035","TL")</f>
        <v>TL</v>
      </c>
      <c r="C2047" s="1" t="str">
        <f>HYPERLINK("http://digipan.lumentumllc.com/apps/getMap/index.php?p=6594035","Map")</f>
        <v>Map</v>
      </c>
      <c r="E2047" t="s">
        <v>177</v>
      </c>
      <c r="F2047" t="s">
        <v>178</v>
      </c>
      <c r="L2047" t="s">
        <v>24130</v>
      </c>
      <c r="N2047" t="s">
        <v>24130</v>
      </c>
      <c r="O2047" t="s">
        <v>24130</v>
      </c>
      <c r="P2047" t="s">
        <v>24131</v>
      </c>
      <c r="Q2047" t="s">
        <v>24130</v>
      </c>
      <c r="V2047">
        <v>2345</v>
      </c>
      <c r="W2047">
        <v>8</v>
      </c>
      <c r="X2047">
        <v>2017</v>
      </c>
      <c r="Y2047">
        <v>2018</v>
      </c>
      <c r="Z2047">
        <v>1134.6500000000001</v>
      </c>
      <c r="AB2047" t="s">
        <v>181</v>
      </c>
      <c r="AC2047" t="s">
        <v>182</v>
      </c>
      <c r="AD2047" t="s">
        <v>183</v>
      </c>
      <c r="AE2047">
        <v>2</v>
      </c>
      <c r="AF2047">
        <v>1</v>
      </c>
      <c r="AG2047" t="s">
        <v>2087</v>
      </c>
      <c r="AH2047">
        <v>33</v>
      </c>
      <c r="AI2047">
        <v>2217.73</v>
      </c>
      <c r="AJ2047">
        <v>110.89</v>
      </c>
      <c r="AK2047">
        <v>2328.62</v>
      </c>
      <c r="AL2047">
        <v>134874</v>
      </c>
      <c r="AM2047">
        <v>56950</v>
      </c>
      <c r="AN2047">
        <v>77924</v>
      </c>
      <c r="AO2047">
        <v>999</v>
      </c>
      <c r="AP2047">
        <v>2016</v>
      </c>
      <c r="AQ2047">
        <v>0.84</v>
      </c>
      <c r="AR2047">
        <v>1.73</v>
      </c>
      <c r="AS2047" t="s">
        <v>24132</v>
      </c>
      <c r="AT2047" t="s">
        <v>15040</v>
      </c>
      <c r="AU2047" t="s">
        <v>177</v>
      </c>
      <c r="AV2047" t="s">
        <v>371</v>
      </c>
      <c r="AW2047" t="s">
        <v>202</v>
      </c>
      <c r="AX2047">
        <v>1</v>
      </c>
      <c r="AY2047" t="s">
        <v>188</v>
      </c>
      <c r="AZ2047" t="s">
        <v>206</v>
      </c>
      <c r="BA2047" t="s">
        <v>355</v>
      </c>
      <c r="BB2047" t="s">
        <v>191</v>
      </c>
      <c r="BC2047" t="s">
        <v>182</v>
      </c>
      <c r="BD2047" t="s">
        <v>182</v>
      </c>
      <c r="BE2047" t="s">
        <v>6008</v>
      </c>
      <c r="BF2047">
        <v>1</v>
      </c>
      <c r="BG2047">
        <v>1</v>
      </c>
      <c r="BH2047">
        <v>1967</v>
      </c>
      <c r="BI2047" t="s">
        <v>20831</v>
      </c>
      <c r="BJ2047" t="s">
        <v>194</v>
      </c>
      <c r="BK2047" t="s">
        <v>195</v>
      </c>
      <c r="BL2047" t="s">
        <v>24133</v>
      </c>
      <c r="BM2047" t="s">
        <v>930</v>
      </c>
      <c r="BN2047" t="s">
        <v>182</v>
      </c>
      <c r="BO2047" t="s">
        <v>198</v>
      </c>
      <c r="BP2047" t="s">
        <v>198</v>
      </c>
      <c r="BQ2047" t="s">
        <v>198</v>
      </c>
      <c r="BR2047" t="s">
        <v>198</v>
      </c>
      <c r="BS2047" t="s">
        <v>198</v>
      </c>
      <c r="BT2047" t="s">
        <v>198</v>
      </c>
      <c r="BU2047" t="s">
        <v>182</v>
      </c>
      <c r="BV2047" t="s">
        <v>198</v>
      </c>
      <c r="BW2047" t="s">
        <v>198</v>
      </c>
      <c r="BX2047" t="s">
        <v>199</v>
      </c>
      <c r="BY2047" t="s">
        <v>198</v>
      </c>
      <c r="BZ2047" t="s">
        <v>199</v>
      </c>
      <c r="CA2047" t="s">
        <v>199</v>
      </c>
      <c r="CB2047" t="s">
        <v>24134</v>
      </c>
      <c r="CC2047" t="s">
        <v>201</v>
      </c>
      <c r="CD2047" t="s">
        <v>182</v>
      </c>
      <c r="CE2047" t="s">
        <v>24135</v>
      </c>
      <c r="CF2047" t="s">
        <v>5331</v>
      </c>
      <c r="CG2047" t="s">
        <v>177</v>
      </c>
      <c r="CH2047" t="s">
        <v>371</v>
      </c>
      <c r="CI2047" t="s">
        <v>24136</v>
      </c>
      <c r="CJ2047" t="s">
        <v>410</v>
      </c>
      <c r="CK2047" t="s">
        <v>232</v>
      </c>
      <c r="CL2047" t="s">
        <v>233</v>
      </c>
      <c r="CM2047" t="s">
        <v>24137</v>
      </c>
      <c r="CN2047" t="s">
        <v>235</v>
      </c>
      <c r="CO2047" t="s">
        <v>183</v>
      </c>
      <c r="CP2047" t="s">
        <v>266</v>
      </c>
      <c r="CS2047" t="s">
        <v>198</v>
      </c>
      <c r="CT2047" t="s">
        <v>325</v>
      </c>
      <c r="CU2047" t="s">
        <v>292</v>
      </c>
      <c r="CV2047" t="s">
        <v>293</v>
      </c>
      <c r="CW2047" t="s">
        <v>24138</v>
      </c>
      <c r="CX2047" t="s">
        <v>235</v>
      </c>
      <c r="CY2047" t="s">
        <v>183</v>
      </c>
      <c r="CZ2047" t="s">
        <v>266</v>
      </c>
      <c r="DC2047" t="s">
        <v>198</v>
      </c>
      <c r="DD2047" t="s">
        <v>16925</v>
      </c>
      <c r="DE2047" t="s">
        <v>273</v>
      </c>
      <c r="DF2047" t="s">
        <v>274</v>
      </c>
      <c r="DG2047" t="s">
        <v>24139</v>
      </c>
      <c r="DH2047" t="s">
        <v>235</v>
      </c>
      <c r="DI2047" t="s">
        <v>183</v>
      </c>
      <c r="DJ2047" t="s">
        <v>211</v>
      </c>
      <c r="DK2047" t="s">
        <v>212</v>
      </c>
      <c r="DM2047" t="s">
        <v>4967</v>
      </c>
      <c r="DW2047" t="s">
        <v>198</v>
      </c>
      <c r="EG2047" t="s">
        <v>198</v>
      </c>
      <c r="EQ2047" t="s">
        <v>198</v>
      </c>
      <c r="FA2047" t="s">
        <v>198</v>
      </c>
      <c r="FK2047" t="s">
        <v>198</v>
      </c>
      <c r="FU2047" t="s">
        <v>198</v>
      </c>
    </row>
    <row r="2048" spans="1:177">
      <c r="A2048" s="1" t="str">
        <f>HYPERLINK("http://digipan.lumentumllc.com/apps/getLink/index.php?t=PropLink&amp;p=4636845","PL")</f>
        <v>PL</v>
      </c>
      <c r="B2048" s="1" t="str">
        <f>HYPERLINK("http://digipan.lumentumllc.com/apps/getLink/index.php?t=TaxLink&amp;p=4636845","TL")</f>
        <v>TL</v>
      </c>
      <c r="C2048" s="1" t="str">
        <f>HYPERLINK("http://digipan.lumentumllc.com/apps/getMap/index.php?p=4636845","Map")</f>
        <v>Map</v>
      </c>
      <c r="E2048" t="s">
        <v>177</v>
      </c>
      <c r="F2048" t="s">
        <v>178</v>
      </c>
      <c r="L2048" t="s">
        <v>24140</v>
      </c>
      <c r="N2048" t="s">
        <v>24140</v>
      </c>
      <c r="O2048" t="s">
        <v>24140</v>
      </c>
      <c r="P2048" t="s">
        <v>24141</v>
      </c>
      <c r="Q2048" t="s">
        <v>24140</v>
      </c>
      <c r="V2048">
        <v>2346</v>
      </c>
      <c r="W2048">
        <v>8</v>
      </c>
      <c r="X2048">
        <v>2017</v>
      </c>
      <c r="Y2048">
        <v>2018</v>
      </c>
      <c r="Z2048">
        <v>832.71</v>
      </c>
      <c r="AG2048" t="s">
        <v>184</v>
      </c>
      <c r="AH2048">
        <v>0</v>
      </c>
      <c r="AK2048">
        <v>0</v>
      </c>
      <c r="AL2048">
        <v>134855</v>
      </c>
      <c r="AM2048">
        <v>56950</v>
      </c>
      <c r="AN2048">
        <v>77905</v>
      </c>
      <c r="AO2048">
        <v>722</v>
      </c>
      <c r="AP2048">
        <v>2016</v>
      </c>
      <c r="AQ2048">
        <v>0.62</v>
      </c>
      <c r="AS2048" t="s">
        <v>24142</v>
      </c>
      <c r="AT2048" t="s">
        <v>15040</v>
      </c>
      <c r="AU2048" t="s">
        <v>177</v>
      </c>
      <c r="AV2048" t="s">
        <v>371</v>
      </c>
      <c r="AW2048" t="s">
        <v>202</v>
      </c>
      <c r="AX2048">
        <v>1</v>
      </c>
      <c r="AY2048" t="s">
        <v>188</v>
      </c>
      <c r="AZ2048" t="s">
        <v>206</v>
      </c>
      <c r="BA2048" t="s">
        <v>355</v>
      </c>
      <c r="BB2048" t="s">
        <v>191</v>
      </c>
      <c r="BC2048" t="s">
        <v>182</v>
      </c>
      <c r="BD2048" t="s">
        <v>182</v>
      </c>
      <c r="BE2048" t="s">
        <v>5608</v>
      </c>
      <c r="BF2048">
        <v>1</v>
      </c>
      <c r="BG2048">
        <v>1</v>
      </c>
      <c r="BH2048">
        <v>1961</v>
      </c>
      <c r="BI2048" t="s">
        <v>3358</v>
      </c>
      <c r="BJ2048" t="s">
        <v>194</v>
      </c>
      <c r="BK2048" t="s">
        <v>195</v>
      </c>
      <c r="BL2048" t="s">
        <v>199</v>
      </c>
      <c r="BM2048" t="s">
        <v>358</v>
      </c>
      <c r="BN2048" t="s">
        <v>182</v>
      </c>
      <c r="BO2048" t="s">
        <v>198</v>
      </c>
      <c r="BP2048" t="s">
        <v>198</v>
      </c>
      <c r="BQ2048" t="s">
        <v>198</v>
      </c>
      <c r="BR2048" t="s">
        <v>198</v>
      </c>
      <c r="BS2048" t="s">
        <v>198</v>
      </c>
      <c r="BT2048" t="s">
        <v>198</v>
      </c>
      <c r="BU2048" t="s">
        <v>182</v>
      </c>
      <c r="BV2048" t="s">
        <v>198</v>
      </c>
      <c r="BW2048" t="s">
        <v>198</v>
      </c>
      <c r="BX2048" t="s">
        <v>199</v>
      </c>
      <c r="BY2048" t="s">
        <v>198</v>
      </c>
      <c r="BZ2048" t="s">
        <v>199</v>
      </c>
      <c r="CA2048" t="s">
        <v>199</v>
      </c>
      <c r="CB2048" t="s">
        <v>24143</v>
      </c>
      <c r="CC2048" t="s">
        <v>201</v>
      </c>
      <c r="CD2048" t="s">
        <v>182</v>
      </c>
      <c r="CE2048" t="s">
        <v>24144</v>
      </c>
      <c r="CF2048" t="s">
        <v>5331</v>
      </c>
      <c r="CG2048" t="s">
        <v>177</v>
      </c>
      <c r="CH2048" t="s">
        <v>371</v>
      </c>
      <c r="CI2048" t="s">
        <v>24145</v>
      </c>
      <c r="CS2048" t="s">
        <v>198</v>
      </c>
      <c r="DC2048" t="s">
        <v>198</v>
      </c>
      <c r="DM2048" t="s">
        <v>198</v>
      </c>
      <c r="DW2048" t="s">
        <v>198</v>
      </c>
      <c r="EG2048" t="s">
        <v>198</v>
      </c>
      <c r="EQ2048" t="s">
        <v>198</v>
      </c>
      <c r="FA2048" t="s">
        <v>198</v>
      </c>
      <c r="FK2048" t="s">
        <v>198</v>
      </c>
      <c r="FU2048" t="s">
        <v>198</v>
      </c>
    </row>
    <row r="2049" spans="1:177">
      <c r="A2049" s="1" t="str">
        <f>HYPERLINK("http://digipan.lumentumllc.com/apps/getLink/index.php?t=PropLink&amp;p=5244219","PL")</f>
        <v>PL</v>
      </c>
      <c r="B2049" s="1" t="str">
        <f>HYPERLINK("http://digipan.lumentumllc.com/apps/getLink/index.php?t=TaxLink&amp;p=5244219","TL")</f>
        <v>TL</v>
      </c>
      <c r="C2049" s="1" t="str">
        <f>HYPERLINK("http://digipan.lumentumllc.com/apps/getMap/index.php?p=5244219","Map")</f>
        <v>Map</v>
      </c>
      <c r="E2049" t="s">
        <v>177</v>
      </c>
      <c r="F2049" t="s">
        <v>178</v>
      </c>
      <c r="L2049" t="s">
        <v>24146</v>
      </c>
      <c r="N2049" t="s">
        <v>24146</v>
      </c>
      <c r="O2049" t="s">
        <v>24146</v>
      </c>
      <c r="P2049" t="s">
        <v>24147</v>
      </c>
      <c r="Q2049" t="s">
        <v>24146</v>
      </c>
      <c r="V2049">
        <v>2347</v>
      </c>
      <c r="W2049">
        <v>8</v>
      </c>
      <c r="X2049">
        <v>2017</v>
      </c>
      <c r="Y2049">
        <v>2018</v>
      </c>
      <c r="Z2049">
        <v>2259.9299999999998</v>
      </c>
      <c r="AG2049" t="s">
        <v>184</v>
      </c>
      <c r="AH2049">
        <v>0</v>
      </c>
      <c r="AK2049">
        <v>0</v>
      </c>
      <c r="AL2049">
        <v>105157</v>
      </c>
      <c r="AM2049">
        <v>56950</v>
      </c>
      <c r="AN2049">
        <v>48207</v>
      </c>
      <c r="AO2049">
        <v>1895</v>
      </c>
      <c r="AP2049">
        <v>2016</v>
      </c>
      <c r="AQ2049">
        <v>2.15</v>
      </c>
      <c r="AS2049" t="s">
        <v>24148</v>
      </c>
      <c r="AT2049" t="s">
        <v>15040</v>
      </c>
      <c r="AU2049" t="s">
        <v>177</v>
      </c>
      <c r="AV2049" t="s">
        <v>371</v>
      </c>
      <c r="AW2049" t="s">
        <v>182</v>
      </c>
      <c r="AX2049">
        <v>1</v>
      </c>
      <c r="AY2049" t="s">
        <v>188</v>
      </c>
      <c r="AZ2049" t="s">
        <v>206</v>
      </c>
      <c r="BA2049" t="s">
        <v>355</v>
      </c>
      <c r="BB2049" t="s">
        <v>191</v>
      </c>
      <c r="BC2049" t="s">
        <v>182</v>
      </c>
      <c r="BD2049" t="s">
        <v>182</v>
      </c>
      <c r="BE2049" t="s">
        <v>5608</v>
      </c>
      <c r="BF2049">
        <v>1</v>
      </c>
      <c r="BG2049">
        <v>1</v>
      </c>
      <c r="BH2049">
        <v>1940</v>
      </c>
      <c r="BI2049" t="s">
        <v>14204</v>
      </c>
      <c r="BJ2049" t="s">
        <v>194</v>
      </c>
      <c r="BK2049" t="s">
        <v>195</v>
      </c>
      <c r="BL2049" t="s">
        <v>199</v>
      </c>
      <c r="BM2049" t="s">
        <v>501</v>
      </c>
      <c r="BN2049" t="s">
        <v>182</v>
      </c>
      <c r="BO2049" t="s">
        <v>198</v>
      </c>
      <c r="BP2049" t="s">
        <v>198</v>
      </c>
      <c r="BQ2049" t="s">
        <v>198</v>
      </c>
      <c r="BR2049" t="s">
        <v>198</v>
      </c>
      <c r="BS2049" t="s">
        <v>198</v>
      </c>
      <c r="BT2049" t="s">
        <v>198</v>
      </c>
      <c r="BU2049" t="s">
        <v>182</v>
      </c>
      <c r="BV2049" t="s">
        <v>198</v>
      </c>
      <c r="BW2049" t="s">
        <v>198</v>
      </c>
      <c r="BX2049" t="s">
        <v>199</v>
      </c>
      <c r="BY2049" t="s">
        <v>198</v>
      </c>
      <c r="BZ2049" t="s">
        <v>199</v>
      </c>
      <c r="CA2049" t="s">
        <v>199</v>
      </c>
      <c r="CB2049" t="s">
        <v>24149</v>
      </c>
      <c r="CC2049" t="s">
        <v>201</v>
      </c>
      <c r="CD2049" t="s">
        <v>202</v>
      </c>
      <c r="CE2049" t="s">
        <v>24150</v>
      </c>
      <c r="CF2049" t="s">
        <v>24151</v>
      </c>
      <c r="CG2049" t="s">
        <v>2769</v>
      </c>
      <c r="CH2049" t="s">
        <v>24152</v>
      </c>
      <c r="CI2049" t="s">
        <v>24153</v>
      </c>
      <c r="CS2049" t="s">
        <v>198</v>
      </c>
      <c r="DC2049" t="s">
        <v>198</v>
      </c>
      <c r="DM2049" t="s">
        <v>198</v>
      </c>
      <c r="DW2049" t="s">
        <v>198</v>
      </c>
      <c r="EG2049" t="s">
        <v>198</v>
      </c>
      <c r="EQ2049" t="s">
        <v>198</v>
      </c>
      <c r="FA2049" t="s">
        <v>198</v>
      </c>
      <c r="FK2049" t="s">
        <v>198</v>
      </c>
      <c r="FU2049" t="s">
        <v>198</v>
      </c>
    </row>
    <row r="2050" spans="1:177">
      <c r="A2050" s="1" t="str">
        <f>HYPERLINK("http://digipan.lumentumllc.com/apps/getLink/index.php?t=PropLink&amp;p=6461657","PL")</f>
        <v>PL</v>
      </c>
      <c r="B2050" s="1" t="str">
        <f>HYPERLINK("http://digipan.lumentumllc.com/apps/getLink/index.php?t=TaxLink&amp;p=6461657","TL")</f>
        <v>TL</v>
      </c>
      <c r="C2050" s="1" t="str">
        <f>HYPERLINK("http://digipan.lumentumllc.com/apps/getMap/index.php?p=6461657","Map")</f>
        <v>Map</v>
      </c>
      <c r="E2050" t="s">
        <v>177</v>
      </c>
      <c r="F2050" t="s">
        <v>178</v>
      </c>
      <c r="L2050" t="s">
        <v>24154</v>
      </c>
      <c r="N2050" t="s">
        <v>24154</v>
      </c>
      <c r="O2050" t="s">
        <v>24154</v>
      </c>
      <c r="P2050" t="s">
        <v>24155</v>
      </c>
      <c r="Q2050" t="s">
        <v>24154</v>
      </c>
      <c r="V2050">
        <v>2348</v>
      </c>
      <c r="W2050">
        <v>8</v>
      </c>
      <c r="X2050">
        <v>2017</v>
      </c>
      <c r="Y2050">
        <v>2018</v>
      </c>
      <c r="Z2050">
        <v>5932.9</v>
      </c>
      <c r="AG2050" t="s">
        <v>184</v>
      </c>
      <c r="AH2050">
        <v>0</v>
      </c>
      <c r="AK2050">
        <v>0</v>
      </c>
      <c r="AL2050">
        <v>273759</v>
      </c>
      <c r="AM2050">
        <v>168000</v>
      </c>
      <c r="AN2050">
        <v>105759</v>
      </c>
      <c r="AO2050">
        <v>5072</v>
      </c>
      <c r="AP2050">
        <v>2016</v>
      </c>
      <c r="AQ2050">
        <v>2.17</v>
      </c>
      <c r="AS2050" t="s">
        <v>24156</v>
      </c>
      <c r="AT2050" t="s">
        <v>15040</v>
      </c>
      <c r="AU2050" t="s">
        <v>177</v>
      </c>
      <c r="AV2050" t="s">
        <v>371</v>
      </c>
      <c r="AW2050" t="s">
        <v>182</v>
      </c>
      <c r="AX2050">
        <v>8</v>
      </c>
      <c r="AY2050" t="s">
        <v>188</v>
      </c>
      <c r="AZ2050" t="s">
        <v>329</v>
      </c>
      <c r="BA2050" t="s">
        <v>6773</v>
      </c>
      <c r="BB2050" t="s">
        <v>191</v>
      </c>
      <c r="BC2050" t="s">
        <v>182</v>
      </c>
      <c r="BD2050" t="s">
        <v>182</v>
      </c>
      <c r="BE2050" t="s">
        <v>12936</v>
      </c>
      <c r="BF2050">
        <v>1</v>
      </c>
      <c r="BG2050">
        <v>1</v>
      </c>
      <c r="BH2050">
        <v>1952</v>
      </c>
      <c r="BI2050" t="s">
        <v>24157</v>
      </c>
      <c r="BJ2050" t="s">
        <v>194</v>
      </c>
      <c r="BK2050" t="s">
        <v>195</v>
      </c>
      <c r="BL2050" t="s">
        <v>199</v>
      </c>
      <c r="BM2050" t="s">
        <v>292</v>
      </c>
      <c r="BN2050" t="s">
        <v>182</v>
      </c>
      <c r="BO2050" t="s">
        <v>198</v>
      </c>
      <c r="BP2050" t="s">
        <v>198</v>
      </c>
      <c r="BQ2050" t="s">
        <v>198</v>
      </c>
      <c r="BR2050" t="s">
        <v>198</v>
      </c>
      <c r="BS2050" t="s">
        <v>198</v>
      </c>
      <c r="BT2050" t="s">
        <v>198</v>
      </c>
      <c r="BU2050" t="s">
        <v>182</v>
      </c>
      <c r="BV2050" t="s">
        <v>198</v>
      </c>
      <c r="BW2050" t="s">
        <v>198</v>
      </c>
      <c r="BX2050" t="s">
        <v>199</v>
      </c>
      <c r="BY2050" t="s">
        <v>198</v>
      </c>
      <c r="BZ2050" t="s">
        <v>199</v>
      </c>
      <c r="CA2050" t="s">
        <v>199</v>
      </c>
      <c r="CB2050" t="s">
        <v>16450</v>
      </c>
      <c r="CC2050" t="s">
        <v>1407</v>
      </c>
      <c r="CD2050" t="s">
        <v>202</v>
      </c>
      <c r="CE2050" t="s">
        <v>16451</v>
      </c>
      <c r="CF2050" t="s">
        <v>5331</v>
      </c>
      <c r="CG2050" t="s">
        <v>177</v>
      </c>
      <c r="CH2050" t="s">
        <v>5332</v>
      </c>
      <c r="CI2050" t="s">
        <v>15517</v>
      </c>
      <c r="CS2050" t="s">
        <v>198</v>
      </c>
      <c r="DC2050" t="s">
        <v>198</v>
      </c>
      <c r="DM2050" t="s">
        <v>198</v>
      </c>
      <c r="DW2050" t="s">
        <v>198</v>
      </c>
      <c r="EG2050" t="s">
        <v>198</v>
      </c>
      <c r="EQ2050" t="s">
        <v>198</v>
      </c>
      <c r="FA2050" t="s">
        <v>198</v>
      </c>
      <c r="FK2050" t="s">
        <v>198</v>
      </c>
      <c r="FU2050" t="s">
        <v>198</v>
      </c>
    </row>
    <row r="2051" spans="1:177">
      <c r="A2051" s="1" t="str">
        <f>HYPERLINK("http://digipan.lumentumllc.com/apps/getLink/index.php?t=PropLink&amp;p=4636862","PL")</f>
        <v>PL</v>
      </c>
      <c r="B2051" s="1" t="str">
        <f>HYPERLINK("http://digipan.lumentumllc.com/apps/getLink/index.php?t=TaxLink&amp;p=4636862","TL")</f>
        <v>TL</v>
      </c>
      <c r="C2051" s="1" t="str">
        <f>HYPERLINK("http://digipan.lumentumllc.com/apps/getMap/index.php?p=4636862","Map")</f>
        <v>Map</v>
      </c>
      <c r="E2051" t="s">
        <v>177</v>
      </c>
      <c r="F2051" t="s">
        <v>178</v>
      </c>
      <c r="L2051" t="s">
        <v>24158</v>
      </c>
      <c r="N2051" t="s">
        <v>24158</v>
      </c>
      <c r="O2051" t="s">
        <v>24158</v>
      </c>
      <c r="P2051" t="s">
        <v>24159</v>
      </c>
      <c r="Q2051" t="s">
        <v>24158</v>
      </c>
      <c r="V2051">
        <v>2349</v>
      </c>
      <c r="W2051">
        <v>8</v>
      </c>
      <c r="X2051">
        <v>2017</v>
      </c>
      <c r="Y2051">
        <v>2018</v>
      </c>
      <c r="Z2051">
        <v>11901.46</v>
      </c>
      <c r="AG2051" t="s">
        <v>184</v>
      </c>
      <c r="AH2051">
        <v>0</v>
      </c>
      <c r="AK2051">
        <v>0</v>
      </c>
      <c r="AL2051">
        <v>789228</v>
      </c>
      <c r="AM2051">
        <v>500000</v>
      </c>
      <c r="AN2051">
        <v>289228</v>
      </c>
      <c r="AO2051">
        <v>10905</v>
      </c>
      <c r="AP2051">
        <v>2016</v>
      </c>
      <c r="AQ2051">
        <v>1.51</v>
      </c>
      <c r="AS2051" t="s">
        <v>24160</v>
      </c>
      <c r="AT2051" t="s">
        <v>15040</v>
      </c>
      <c r="AU2051" t="s">
        <v>177</v>
      </c>
      <c r="AV2051" t="s">
        <v>371</v>
      </c>
      <c r="AW2051" t="s">
        <v>202</v>
      </c>
      <c r="AX2051">
        <v>1</v>
      </c>
      <c r="AY2051" t="s">
        <v>188</v>
      </c>
      <c r="AZ2051" t="s">
        <v>206</v>
      </c>
      <c r="BA2051" t="s">
        <v>355</v>
      </c>
      <c r="BB2051" t="s">
        <v>191</v>
      </c>
      <c r="BC2051" t="s">
        <v>182</v>
      </c>
      <c r="BD2051" t="s">
        <v>182</v>
      </c>
      <c r="BE2051" t="s">
        <v>7188</v>
      </c>
      <c r="BF2051">
        <v>1</v>
      </c>
      <c r="BG2051">
        <v>1</v>
      </c>
      <c r="BH2051">
        <v>2004</v>
      </c>
      <c r="BI2051" t="s">
        <v>20699</v>
      </c>
      <c r="BJ2051" t="s">
        <v>194</v>
      </c>
      <c r="BK2051" t="s">
        <v>195</v>
      </c>
      <c r="BL2051" t="s">
        <v>19027</v>
      </c>
      <c r="BM2051" t="s">
        <v>410</v>
      </c>
      <c r="BN2051" t="s">
        <v>182</v>
      </c>
      <c r="BO2051" t="s">
        <v>24161</v>
      </c>
      <c r="BP2051" t="s">
        <v>24162</v>
      </c>
      <c r="BQ2051" t="s">
        <v>562</v>
      </c>
      <c r="BS2051" t="s">
        <v>198</v>
      </c>
      <c r="BT2051" t="s">
        <v>24163</v>
      </c>
      <c r="BU2051" t="s">
        <v>182</v>
      </c>
      <c r="BV2051" t="s">
        <v>198</v>
      </c>
      <c r="BW2051" t="s">
        <v>198</v>
      </c>
      <c r="BX2051" t="s">
        <v>199</v>
      </c>
      <c r="BY2051" t="s">
        <v>198</v>
      </c>
      <c r="BZ2051" t="s">
        <v>199</v>
      </c>
      <c r="CA2051" t="s">
        <v>199</v>
      </c>
      <c r="CB2051" t="s">
        <v>24164</v>
      </c>
      <c r="CC2051" t="s">
        <v>201</v>
      </c>
      <c r="CD2051" t="s">
        <v>182</v>
      </c>
      <c r="CE2051" t="s">
        <v>24165</v>
      </c>
      <c r="CF2051" t="s">
        <v>5331</v>
      </c>
      <c r="CG2051" t="s">
        <v>177</v>
      </c>
      <c r="CH2051" t="s">
        <v>371</v>
      </c>
      <c r="CI2051" t="s">
        <v>12031</v>
      </c>
      <c r="CS2051" t="s">
        <v>198</v>
      </c>
      <c r="DC2051" t="s">
        <v>198</v>
      </c>
      <c r="DM2051" t="s">
        <v>198</v>
      </c>
      <c r="DW2051" t="s">
        <v>198</v>
      </c>
      <c r="EG2051" t="s">
        <v>198</v>
      </c>
      <c r="EQ2051" t="s">
        <v>198</v>
      </c>
      <c r="FA2051" t="s">
        <v>198</v>
      </c>
      <c r="FK2051" t="s">
        <v>198</v>
      </c>
      <c r="FU2051" t="s">
        <v>198</v>
      </c>
    </row>
    <row r="2052" spans="1:177">
      <c r="A2052" s="1" t="str">
        <f>HYPERLINK("http://digipan.lumentumllc.com/apps/getLink/index.php?t=PropLink&amp;p=6461658","PL")</f>
        <v>PL</v>
      </c>
      <c r="B2052" s="1" t="str">
        <f>HYPERLINK("http://digipan.lumentumllc.com/apps/getLink/index.php?t=TaxLink&amp;p=6461658","TL")</f>
        <v>TL</v>
      </c>
      <c r="C2052" s="1" t="str">
        <f>HYPERLINK("http://digipan.lumentumllc.com/apps/getMap/index.php?p=6461658","Map")</f>
        <v>Map</v>
      </c>
      <c r="E2052" t="s">
        <v>177</v>
      </c>
      <c r="F2052" t="s">
        <v>178</v>
      </c>
      <c r="L2052" t="s">
        <v>24166</v>
      </c>
      <c r="N2052" t="s">
        <v>24166</v>
      </c>
      <c r="O2052" t="s">
        <v>24166</v>
      </c>
      <c r="P2052" t="s">
        <v>24167</v>
      </c>
      <c r="Q2052" t="s">
        <v>24166</v>
      </c>
      <c r="V2052">
        <v>2351</v>
      </c>
      <c r="W2052">
        <v>8</v>
      </c>
      <c r="X2052">
        <v>2017</v>
      </c>
      <c r="Y2052">
        <v>2018</v>
      </c>
      <c r="Z2052">
        <v>3514.82</v>
      </c>
      <c r="AG2052" t="s">
        <v>184</v>
      </c>
      <c r="AH2052">
        <v>0</v>
      </c>
      <c r="AK2052">
        <v>0</v>
      </c>
      <c r="AL2052">
        <v>168000</v>
      </c>
      <c r="AM2052">
        <v>168000</v>
      </c>
      <c r="AN2052">
        <v>0</v>
      </c>
      <c r="AO2052">
        <v>2916</v>
      </c>
      <c r="AP2052">
        <v>2016</v>
      </c>
      <c r="AQ2052">
        <v>2.09</v>
      </c>
      <c r="AS2052" t="s">
        <v>24168</v>
      </c>
      <c r="AT2052" t="s">
        <v>15040</v>
      </c>
      <c r="AU2052" t="s">
        <v>177</v>
      </c>
      <c r="AV2052" t="s">
        <v>371</v>
      </c>
      <c r="AW2052" t="s">
        <v>182</v>
      </c>
      <c r="AX2052">
        <v>0</v>
      </c>
      <c r="AY2052" t="s">
        <v>312</v>
      </c>
      <c r="AZ2052" t="s">
        <v>199</v>
      </c>
      <c r="BA2052" t="s">
        <v>313</v>
      </c>
      <c r="BB2052" t="s">
        <v>191</v>
      </c>
      <c r="BC2052" t="s">
        <v>182</v>
      </c>
      <c r="BD2052" t="s">
        <v>182</v>
      </c>
      <c r="BE2052" t="s">
        <v>12936</v>
      </c>
      <c r="BF2052">
        <v>0</v>
      </c>
      <c r="BG2052">
        <v>0</v>
      </c>
      <c r="BH2052">
        <v>0</v>
      </c>
      <c r="BI2052" t="s">
        <v>199</v>
      </c>
      <c r="BJ2052" t="s">
        <v>315</v>
      </c>
      <c r="BL2052" t="s">
        <v>199</v>
      </c>
      <c r="BM2052" t="s">
        <v>292</v>
      </c>
      <c r="BN2052" t="s">
        <v>182</v>
      </c>
      <c r="BO2052" t="s">
        <v>198</v>
      </c>
      <c r="BP2052" t="s">
        <v>198</v>
      </c>
      <c r="BQ2052" t="s">
        <v>198</v>
      </c>
      <c r="BR2052" t="s">
        <v>198</v>
      </c>
      <c r="BS2052" t="s">
        <v>198</v>
      </c>
      <c r="BT2052" t="s">
        <v>198</v>
      </c>
      <c r="BU2052" t="s">
        <v>182</v>
      </c>
      <c r="BV2052" t="s">
        <v>198</v>
      </c>
      <c r="BW2052" t="s">
        <v>198</v>
      </c>
      <c r="BX2052" t="s">
        <v>199</v>
      </c>
      <c r="BY2052" t="s">
        <v>198</v>
      </c>
      <c r="BZ2052" t="s">
        <v>199</v>
      </c>
      <c r="CA2052" t="s">
        <v>199</v>
      </c>
      <c r="CB2052" t="s">
        <v>24169</v>
      </c>
      <c r="CC2052" t="s">
        <v>201</v>
      </c>
      <c r="CD2052" t="s">
        <v>202</v>
      </c>
      <c r="CE2052" t="s">
        <v>24170</v>
      </c>
      <c r="CF2052" t="s">
        <v>5331</v>
      </c>
      <c r="CG2052" t="s">
        <v>177</v>
      </c>
      <c r="CH2052" t="s">
        <v>371</v>
      </c>
      <c r="CI2052" t="s">
        <v>783</v>
      </c>
      <c r="CS2052" t="s">
        <v>198</v>
      </c>
      <c r="DC2052" t="s">
        <v>198</v>
      </c>
      <c r="DM2052" t="s">
        <v>198</v>
      </c>
      <c r="DW2052" t="s">
        <v>198</v>
      </c>
      <c r="EG2052" t="s">
        <v>198</v>
      </c>
      <c r="EQ2052" t="s">
        <v>198</v>
      </c>
      <c r="FA2052" t="s">
        <v>198</v>
      </c>
      <c r="FK2052" t="s">
        <v>198</v>
      </c>
      <c r="FU2052" t="s">
        <v>198</v>
      </c>
    </row>
    <row r="2053" spans="1:177">
      <c r="A2053" s="1" t="str">
        <f>HYPERLINK("http://digipan.lumentumllc.com/apps/getLink/index.php?t=PropLink&amp;p=5244235","PL")</f>
        <v>PL</v>
      </c>
      <c r="B2053" s="1" t="str">
        <f>HYPERLINK("http://digipan.lumentumllc.com/apps/getLink/index.php?t=TaxLink&amp;p=5244235","TL")</f>
        <v>TL</v>
      </c>
      <c r="C2053" s="1" t="str">
        <f>HYPERLINK("http://digipan.lumentumllc.com/apps/getMap/index.php?p=5244235","Map")</f>
        <v>Map</v>
      </c>
      <c r="E2053" t="s">
        <v>177</v>
      </c>
      <c r="F2053" t="s">
        <v>178</v>
      </c>
      <c r="L2053" t="s">
        <v>24171</v>
      </c>
      <c r="N2053" t="s">
        <v>24171</v>
      </c>
      <c r="O2053" t="s">
        <v>24171</v>
      </c>
      <c r="P2053" t="s">
        <v>24172</v>
      </c>
      <c r="Q2053" t="s">
        <v>24171</v>
      </c>
      <c r="V2053">
        <v>2352</v>
      </c>
      <c r="W2053">
        <v>8</v>
      </c>
      <c r="X2053">
        <v>2017</v>
      </c>
      <c r="Y2053">
        <v>2018</v>
      </c>
      <c r="Z2053">
        <v>2020.43</v>
      </c>
      <c r="AB2053" t="s">
        <v>181</v>
      </c>
      <c r="AC2053" t="s">
        <v>182</v>
      </c>
      <c r="AD2053" t="s">
        <v>183</v>
      </c>
      <c r="AE2053">
        <v>1</v>
      </c>
      <c r="AF2053">
        <v>7</v>
      </c>
      <c r="AG2053" t="s">
        <v>418</v>
      </c>
      <c r="AH2053">
        <v>86</v>
      </c>
      <c r="AI2053">
        <v>1989.07</v>
      </c>
      <c r="AJ2053">
        <v>99.45</v>
      </c>
      <c r="AK2053">
        <v>2088.52</v>
      </c>
      <c r="AL2053">
        <v>148027</v>
      </c>
      <c r="AM2053">
        <v>105000</v>
      </c>
      <c r="AN2053">
        <v>43027</v>
      </c>
      <c r="AO2053">
        <v>1814</v>
      </c>
      <c r="AP2053">
        <v>2016</v>
      </c>
      <c r="AQ2053">
        <v>1.36</v>
      </c>
      <c r="AR2053">
        <v>1.41</v>
      </c>
      <c r="AS2053" t="s">
        <v>24173</v>
      </c>
      <c r="AT2053" t="s">
        <v>15040</v>
      </c>
      <c r="AU2053" t="s">
        <v>177</v>
      </c>
      <c r="AV2053" t="s">
        <v>371</v>
      </c>
      <c r="AW2053" t="s">
        <v>202</v>
      </c>
      <c r="AX2053">
        <v>1</v>
      </c>
      <c r="AY2053" t="s">
        <v>188</v>
      </c>
      <c r="AZ2053" t="s">
        <v>206</v>
      </c>
      <c r="BA2053" t="s">
        <v>355</v>
      </c>
      <c r="BB2053" t="s">
        <v>191</v>
      </c>
      <c r="BC2053" t="s">
        <v>182</v>
      </c>
      <c r="BD2053" t="s">
        <v>182</v>
      </c>
      <c r="BE2053" t="s">
        <v>13126</v>
      </c>
      <c r="BF2053">
        <v>1</v>
      </c>
      <c r="BG2053">
        <v>1</v>
      </c>
      <c r="BH2053">
        <v>1977</v>
      </c>
      <c r="BI2053" t="s">
        <v>11703</v>
      </c>
      <c r="BJ2053" t="s">
        <v>194</v>
      </c>
      <c r="BK2053" t="s">
        <v>195</v>
      </c>
      <c r="BL2053" t="s">
        <v>199</v>
      </c>
      <c r="BM2053" t="s">
        <v>368</v>
      </c>
      <c r="BN2053" t="s">
        <v>182</v>
      </c>
      <c r="BO2053" t="s">
        <v>24174</v>
      </c>
      <c r="BP2053" t="s">
        <v>6213</v>
      </c>
      <c r="BR2053" t="s">
        <v>1461</v>
      </c>
      <c r="BS2053" t="s">
        <v>24175</v>
      </c>
      <c r="BT2053" t="s">
        <v>198</v>
      </c>
      <c r="BU2053" t="s">
        <v>182</v>
      </c>
      <c r="BV2053" t="s">
        <v>198</v>
      </c>
      <c r="BW2053" t="s">
        <v>198</v>
      </c>
      <c r="BX2053" t="s">
        <v>199</v>
      </c>
      <c r="BY2053" t="s">
        <v>198</v>
      </c>
      <c r="BZ2053" t="s">
        <v>199</v>
      </c>
      <c r="CA2053" t="s">
        <v>199</v>
      </c>
      <c r="CB2053" t="s">
        <v>24176</v>
      </c>
      <c r="CC2053" t="s">
        <v>201</v>
      </c>
      <c r="CD2053" t="s">
        <v>182</v>
      </c>
      <c r="CE2053" t="s">
        <v>24173</v>
      </c>
      <c r="CF2053" t="s">
        <v>5331</v>
      </c>
      <c r="CG2053" t="s">
        <v>177</v>
      </c>
      <c r="CH2053" t="s">
        <v>371</v>
      </c>
      <c r="CI2053" t="s">
        <v>24177</v>
      </c>
      <c r="CJ2053" t="s">
        <v>533</v>
      </c>
      <c r="CK2053" t="s">
        <v>232</v>
      </c>
      <c r="CL2053" t="s">
        <v>233</v>
      </c>
      <c r="CM2053" t="s">
        <v>24178</v>
      </c>
      <c r="CN2053" t="s">
        <v>235</v>
      </c>
      <c r="CO2053" t="s">
        <v>183</v>
      </c>
      <c r="CP2053" t="s">
        <v>266</v>
      </c>
      <c r="CS2053" t="s">
        <v>198</v>
      </c>
      <c r="CT2053" t="s">
        <v>286</v>
      </c>
      <c r="CU2053" t="s">
        <v>292</v>
      </c>
      <c r="CV2053" t="s">
        <v>293</v>
      </c>
      <c r="CW2053" t="s">
        <v>24179</v>
      </c>
      <c r="CX2053" t="s">
        <v>235</v>
      </c>
      <c r="CY2053" t="s">
        <v>183</v>
      </c>
      <c r="CZ2053" t="s">
        <v>211</v>
      </c>
      <c r="DA2053" t="s">
        <v>523</v>
      </c>
      <c r="DC2053" t="s">
        <v>24180</v>
      </c>
      <c r="DD2053" t="s">
        <v>15570</v>
      </c>
      <c r="DE2053" t="s">
        <v>267</v>
      </c>
      <c r="DF2053" t="s">
        <v>268</v>
      </c>
      <c r="DG2053" t="s">
        <v>24181</v>
      </c>
      <c r="DH2053" t="s">
        <v>235</v>
      </c>
      <c r="DI2053" t="s">
        <v>183</v>
      </c>
      <c r="DJ2053" t="s">
        <v>211</v>
      </c>
      <c r="DK2053" t="s">
        <v>298</v>
      </c>
      <c r="DM2053" t="s">
        <v>459</v>
      </c>
      <c r="DN2053" t="s">
        <v>18492</v>
      </c>
      <c r="DO2053" t="s">
        <v>273</v>
      </c>
      <c r="DP2053" t="s">
        <v>274</v>
      </c>
      <c r="DQ2053" t="s">
        <v>24182</v>
      </c>
      <c r="DR2053" t="s">
        <v>235</v>
      </c>
      <c r="DS2053" t="s">
        <v>183</v>
      </c>
      <c r="DT2053" t="s">
        <v>211</v>
      </c>
      <c r="DU2053" t="s">
        <v>298</v>
      </c>
      <c r="DW2053" t="s">
        <v>2856</v>
      </c>
      <c r="DX2053" t="s">
        <v>21524</v>
      </c>
      <c r="DY2053" t="s">
        <v>302</v>
      </c>
      <c r="DZ2053" t="s">
        <v>303</v>
      </c>
      <c r="EA2053" t="s">
        <v>24183</v>
      </c>
      <c r="EB2053" t="s">
        <v>235</v>
      </c>
      <c r="EC2053" t="s">
        <v>183</v>
      </c>
      <c r="ED2053" t="s">
        <v>211</v>
      </c>
      <c r="EE2053" t="s">
        <v>212</v>
      </c>
      <c r="EG2053" t="s">
        <v>892</v>
      </c>
      <c r="EH2053" t="s">
        <v>3063</v>
      </c>
      <c r="EI2053" t="s">
        <v>238</v>
      </c>
      <c r="EJ2053" t="s">
        <v>239</v>
      </c>
      <c r="EK2053" t="s">
        <v>24184</v>
      </c>
      <c r="EL2053" t="s">
        <v>235</v>
      </c>
      <c r="EM2053" t="s">
        <v>183</v>
      </c>
      <c r="EN2053" t="s">
        <v>211</v>
      </c>
      <c r="EO2053" t="s">
        <v>298</v>
      </c>
      <c r="EQ2053" t="s">
        <v>546</v>
      </c>
      <c r="ER2053" t="s">
        <v>24185</v>
      </c>
      <c r="ES2053" t="s">
        <v>346</v>
      </c>
      <c r="ET2053" t="s">
        <v>347</v>
      </c>
      <c r="EU2053" t="s">
        <v>24186</v>
      </c>
      <c r="EV2053" t="s">
        <v>511</v>
      </c>
      <c r="EW2053" t="s">
        <v>183</v>
      </c>
      <c r="EX2053" t="s">
        <v>211</v>
      </c>
      <c r="EY2053" t="s">
        <v>298</v>
      </c>
      <c r="FA2053" t="s">
        <v>1622</v>
      </c>
      <c r="FB2053" t="s">
        <v>24187</v>
      </c>
      <c r="FC2053" t="s">
        <v>207</v>
      </c>
      <c r="FD2053" t="s">
        <v>208</v>
      </c>
      <c r="FE2053" t="s">
        <v>24188</v>
      </c>
      <c r="FF2053" t="s">
        <v>235</v>
      </c>
      <c r="FG2053" t="s">
        <v>183</v>
      </c>
      <c r="FH2053" t="s">
        <v>211</v>
      </c>
      <c r="FI2053" t="s">
        <v>298</v>
      </c>
      <c r="FK2053" t="s">
        <v>5101</v>
      </c>
      <c r="FU2053" t="s">
        <v>198</v>
      </c>
    </row>
    <row r="2054" spans="1:177">
      <c r="A2054" s="1" t="str">
        <f>HYPERLINK("http://digipan.lumentumllc.com/apps/getLink/index.php?t=PropLink&amp;p=15730139","PL")</f>
        <v>PL</v>
      </c>
      <c r="B2054" s="1" t="str">
        <f>HYPERLINK("http://digipan.lumentumllc.com/apps/getLink/index.php?t=TaxLink&amp;p=15730139","TL")</f>
        <v>TL</v>
      </c>
      <c r="C2054" s="1" t="str">
        <f>HYPERLINK("http://digipan.lumentumllc.com/apps/getMap/index.php?p=15730139","Map")</f>
        <v>Map</v>
      </c>
      <c r="E2054" t="s">
        <v>177</v>
      </c>
      <c r="F2054" t="s">
        <v>178</v>
      </c>
      <c r="L2054" t="s">
        <v>24189</v>
      </c>
      <c r="N2054" t="s">
        <v>24189</v>
      </c>
      <c r="O2054" t="s">
        <v>24189</v>
      </c>
      <c r="Q2054" t="s">
        <v>24189</v>
      </c>
      <c r="V2054">
        <v>2353</v>
      </c>
      <c r="W2054">
        <v>8</v>
      </c>
      <c r="X2054">
        <v>2017</v>
      </c>
      <c r="Y2054">
        <v>2018</v>
      </c>
      <c r="Z2054">
        <v>642.07000000000005</v>
      </c>
      <c r="AG2054" t="s">
        <v>184</v>
      </c>
      <c r="AH2054">
        <v>0</v>
      </c>
      <c r="AK2054">
        <v>0</v>
      </c>
      <c r="AL2054">
        <v>132696</v>
      </c>
      <c r="AM2054">
        <v>74250</v>
      </c>
      <c r="AN2054">
        <v>58446</v>
      </c>
      <c r="AO2054">
        <v>566</v>
      </c>
      <c r="AP2054">
        <v>2016</v>
      </c>
      <c r="AQ2054">
        <v>0.48</v>
      </c>
      <c r="AS2054" t="s">
        <v>24190</v>
      </c>
      <c r="AT2054" t="s">
        <v>15040</v>
      </c>
      <c r="AU2054" t="s">
        <v>177</v>
      </c>
      <c r="AV2054" t="s">
        <v>371</v>
      </c>
      <c r="AW2054" t="s">
        <v>202</v>
      </c>
      <c r="AX2054">
        <v>1</v>
      </c>
      <c r="AY2054" t="s">
        <v>188</v>
      </c>
      <c r="AZ2054" t="s">
        <v>206</v>
      </c>
      <c r="BA2054" t="s">
        <v>355</v>
      </c>
      <c r="BB2054" t="s">
        <v>191</v>
      </c>
      <c r="BC2054" t="s">
        <v>182</v>
      </c>
      <c r="BD2054" t="s">
        <v>182</v>
      </c>
      <c r="BE2054" t="s">
        <v>6673</v>
      </c>
      <c r="BF2054">
        <v>1</v>
      </c>
      <c r="BG2054">
        <v>1</v>
      </c>
      <c r="BH2054">
        <v>1962</v>
      </c>
      <c r="BI2054" t="s">
        <v>13789</v>
      </c>
      <c r="BJ2054" t="s">
        <v>194</v>
      </c>
      <c r="BK2054" t="s">
        <v>840</v>
      </c>
      <c r="BL2054" t="s">
        <v>24191</v>
      </c>
      <c r="BM2054" t="s">
        <v>981</v>
      </c>
      <c r="BN2054" t="s">
        <v>182</v>
      </c>
      <c r="BO2054" t="s">
        <v>198</v>
      </c>
      <c r="BP2054" t="s">
        <v>198</v>
      </c>
      <c r="BQ2054" t="s">
        <v>198</v>
      </c>
      <c r="BR2054" t="s">
        <v>198</v>
      </c>
      <c r="BS2054" t="s">
        <v>198</v>
      </c>
      <c r="BT2054" t="s">
        <v>198</v>
      </c>
      <c r="BU2054" t="s">
        <v>182</v>
      </c>
      <c r="BV2054" t="s">
        <v>198</v>
      </c>
      <c r="BW2054" t="s">
        <v>198</v>
      </c>
      <c r="BX2054" t="s">
        <v>199</v>
      </c>
      <c r="BY2054" t="s">
        <v>198</v>
      </c>
      <c r="BZ2054" t="s">
        <v>199</v>
      </c>
      <c r="CA2054" t="s">
        <v>199</v>
      </c>
      <c r="CB2054" t="s">
        <v>24192</v>
      </c>
      <c r="CC2054" t="s">
        <v>201</v>
      </c>
      <c r="CD2054" t="s">
        <v>182</v>
      </c>
      <c r="CE2054" t="s">
        <v>24193</v>
      </c>
      <c r="CF2054" t="s">
        <v>5331</v>
      </c>
      <c r="CG2054" t="s">
        <v>177</v>
      </c>
      <c r="CH2054" t="s">
        <v>371</v>
      </c>
      <c r="CI2054" t="s">
        <v>24194</v>
      </c>
      <c r="CS2054" t="s">
        <v>198</v>
      </c>
      <c r="DC2054" t="s">
        <v>198</v>
      </c>
      <c r="DM2054" t="s">
        <v>198</v>
      </c>
      <c r="DW2054" t="s">
        <v>198</v>
      </c>
      <c r="EG2054" t="s">
        <v>198</v>
      </c>
      <c r="EQ2054" t="s">
        <v>198</v>
      </c>
      <c r="FA2054" t="s">
        <v>198</v>
      </c>
      <c r="FK2054" t="s">
        <v>198</v>
      </c>
      <c r="FU2054" t="s">
        <v>198</v>
      </c>
    </row>
    <row r="2055" spans="1:177">
      <c r="A2055" s="1" t="str">
        <f>HYPERLINK("http://digipan.lumentumllc.com/apps/getLink/index.php?t=PropLink&amp;p=5244250","PL")</f>
        <v>PL</v>
      </c>
      <c r="B2055" s="1" t="str">
        <f>HYPERLINK("http://digipan.lumentumllc.com/apps/getLink/index.php?t=TaxLink&amp;p=5244250","TL")</f>
        <v>TL</v>
      </c>
      <c r="C2055" s="1" t="str">
        <f>HYPERLINK("http://digipan.lumentumllc.com/apps/getMap/index.php?p=5244250","Map")</f>
        <v>Map</v>
      </c>
      <c r="E2055" t="s">
        <v>177</v>
      </c>
      <c r="F2055" t="s">
        <v>178</v>
      </c>
      <c r="L2055" t="s">
        <v>24195</v>
      </c>
      <c r="N2055" t="s">
        <v>24195</v>
      </c>
      <c r="O2055" t="s">
        <v>24195</v>
      </c>
      <c r="P2055" t="s">
        <v>24196</v>
      </c>
      <c r="Q2055" t="s">
        <v>24195</v>
      </c>
      <c r="V2055">
        <v>2355</v>
      </c>
      <c r="W2055">
        <v>8</v>
      </c>
      <c r="X2055">
        <v>2017</v>
      </c>
      <c r="Y2055">
        <v>2018</v>
      </c>
      <c r="Z2055">
        <v>3437.7</v>
      </c>
      <c r="AB2055" t="s">
        <v>181</v>
      </c>
      <c r="AC2055" t="s">
        <v>182</v>
      </c>
      <c r="AD2055" t="s">
        <v>183</v>
      </c>
      <c r="AE2055">
        <v>1</v>
      </c>
      <c r="AF2055">
        <v>7</v>
      </c>
      <c r="AG2055" t="s">
        <v>418</v>
      </c>
      <c r="AH2055">
        <v>86</v>
      </c>
      <c r="AI2055">
        <v>3421.02</v>
      </c>
      <c r="AJ2055">
        <v>171.05</v>
      </c>
      <c r="AK2055">
        <v>3592.07</v>
      </c>
      <c r="AL2055">
        <v>158000</v>
      </c>
      <c r="AM2055">
        <v>0</v>
      </c>
      <c r="AN2055">
        <v>158000</v>
      </c>
      <c r="AO2055">
        <v>3138</v>
      </c>
      <c r="AP2055">
        <v>2016</v>
      </c>
      <c r="AQ2055">
        <v>2.1800000000000002</v>
      </c>
      <c r="AR2055">
        <v>2.27</v>
      </c>
      <c r="AS2055" t="s">
        <v>24197</v>
      </c>
      <c r="AT2055" t="s">
        <v>15040</v>
      </c>
      <c r="AU2055" t="s">
        <v>177</v>
      </c>
      <c r="AV2055" t="s">
        <v>371</v>
      </c>
      <c r="AW2055" t="s">
        <v>182</v>
      </c>
      <c r="AX2055">
        <v>4</v>
      </c>
      <c r="AY2055" t="s">
        <v>188</v>
      </c>
      <c r="AZ2055" t="s">
        <v>296</v>
      </c>
      <c r="BA2055" t="s">
        <v>19069</v>
      </c>
      <c r="BB2055" t="s">
        <v>191</v>
      </c>
      <c r="BC2055" t="s">
        <v>182</v>
      </c>
      <c r="BD2055" t="s">
        <v>182</v>
      </c>
      <c r="BE2055" t="s">
        <v>1722</v>
      </c>
      <c r="BF2055">
        <v>1</v>
      </c>
      <c r="BG2055">
        <v>1</v>
      </c>
      <c r="BH2055">
        <v>1974</v>
      </c>
      <c r="BI2055" t="s">
        <v>18876</v>
      </c>
      <c r="BJ2055" t="s">
        <v>194</v>
      </c>
      <c r="BL2055" t="s">
        <v>24198</v>
      </c>
      <c r="BM2055" t="s">
        <v>325</v>
      </c>
      <c r="BN2055" t="s">
        <v>182</v>
      </c>
      <c r="BO2055" t="s">
        <v>11379</v>
      </c>
      <c r="BP2055" t="s">
        <v>24199</v>
      </c>
      <c r="BR2055" t="s">
        <v>1461</v>
      </c>
      <c r="BS2055" t="s">
        <v>21953</v>
      </c>
      <c r="BT2055" t="s">
        <v>198</v>
      </c>
      <c r="BU2055" t="s">
        <v>182</v>
      </c>
      <c r="BV2055" t="s">
        <v>198</v>
      </c>
      <c r="BW2055" t="s">
        <v>198</v>
      </c>
      <c r="BX2055" t="s">
        <v>199</v>
      </c>
      <c r="BY2055" t="s">
        <v>198</v>
      </c>
      <c r="BZ2055" t="s">
        <v>199</v>
      </c>
      <c r="CA2055" t="s">
        <v>199</v>
      </c>
      <c r="CB2055" t="s">
        <v>24200</v>
      </c>
      <c r="CC2055" t="s">
        <v>201</v>
      </c>
      <c r="CD2055" t="s">
        <v>182</v>
      </c>
      <c r="CE2055" t="s">
        <v>24201</v>
      </c>
      <c r="CF2055" t="s">
        <v>24202</v>
      </c>
      <c r="CG2055" t="s">
        <v>1602</v>
      </c>
      <c r="CH2055" t="s">
        <v>24203</v>
      </c>
      <c r="CI2055" t="s">
        <v>24204</v>
      </c>
      <c r="CJ2055" t="s">
        <v>238</v>
      </c>
      <c r="CK2055" t="s">
        <v>232</v>
      </c>
      <c r="CL2055" t="s">
        <v>233</v>
      </c>
      <c r="CM2055" t="s">
        <v>24205</v>
      </c>
      <c r="CN2055" t="s">
        <v>235</v>
      </c>
      <c r="CO2055" t="s">
        <v>183</v>
      </c>
      <c r="CP2055" t="s">
        <v>266</v>
      </c>
      <c r="CS2055" t="s">
        <v>198</v>
      </c>
      <c r="CT2055" t="s">
        <v>346</v>
      </c>
      <c r="CU2055" t="s">
        <v>292</v>
      </c>
      <c r="CV2055" t="s">
        <v>293</v>
      </c>
      <c r="CW2055" t="s">
        <v>24206</v>
      </c>
      <c r="CX2055" t="s">
        <v>235</v>
      </c>
      <c r="CY2055" t="s">
        <v>183</v>
      </c>
      <c r="CZ2055" t="s">
        <v>211</v>
      </c>
      <c r="DA2055" t="s">
        <v>345</v>
      </c>
      <c r="DC2055" t="s">
        <v>8184</v>
      </c>
      <c r="DD2055" t="s">
        <v>15650</v>
      </c>
      <c r="DE2055" t="s">
        <v>267</v>
      </c>
      <c r="DF2055" t="s">
        <v>268</v>
      </c>
      <c r="DG2055" t="s">
        <v>24207</v>
      </c>
      <c r="DH2055" t="s">
        <v>235</v>
      </c>
      <c r="DI2055" t="s">
        <v>183</v>
      </c>
      <c r="DJ2055" t="s">
        <v>211</v>
      </c>
      <c r="DK2055" t="s">
        <v>298</v>
      </c>
      <c r="DM2055" t="s">
        <v>459</v>
      </c>
      <c r="DN2055" t="s">
        <v>19958</v>
      </c>
      <c r="DO2055" t="s">
        <v>273</v>
      </c>
      <c r="DP2055" t="s">
        <v>274</v>
      </c>
      <c r="DQ2055" t="s">
        <v>24208</v>
      </c>
      <c r="DR2055" t="s">
        <v>235</v>
      </c>
      <c r="DS2055" t="s">
        <v>183</v>
      </c>
      <c r="DT2055" t="s">
        <v>211</v>
      </c>
      <c r="DU2055" t="s">
        <v>298</v>
      </c>
      <c r="DW2055" t="s">
        <v>1069</v>
      </c>
      <c r="DX2055" t="s">
        <v>19250</v>
      </c>
      <c r="DY2055" t="s">
        <v>302</v>
      </c>
      <c r="DZ2055" t="s">
        <v>303</v>
      </c>
      <c r="EA2055" t="s">
        <v>24209</v>
      </c>
      <c r="EB2055" t="s">
        <v>816</v>
      </c>
      <c r="EC2055" t="s">
        <v>183</v>
      </c>
      <c r="ED2055" t="s">
        <v>211</v>
      </c>
      <c r="EE2055" t="s">
        <v>298</v>
      </c>
      <c r="EG2055" t="s">
        <v>2359</v>
      </c>
      <c r="EH2055" t="s">
        <v>2923</v>
      </c>
      <c r="EI2055" t="s">
        <v>238</v>
      </c>
      <c r="EJ2055" t="s">
        <v>239</v>
      </c>
      <c r="EK2055" t="s">
        <v>24210</v>
      </c>
      <c r="EL2055" t="s">
        <v>235</v>
      </c>
      <c r="EM2055" t="s">
        <v>183</v>
      </c>
      <c r="EN2055" t="s">
        <v>211</v>
      </c>
      <c r="EO2055" t="s">
        <v>334</v>
      </c>
      <c r="EQ2055" t="s">
        <v>915</v>
      </c>
      <c r="ER2055" t="s">
        <v>24211</v>
      </c>
      <c r="ES2055" t="s">
        <v>346</v>
      </c>
      <c r="ET2055" t="s">
        <v>347</v>
      </c>
      <c r="EU2055" t="s">
        <v>24212</v>
      </c>
      <c r="EV2055" t="s">
        <v>511</v>
      </c>
      <c r="EW2055" t="s">
        <v>183</v>
      </c>
      <c r="EX2055" t="s">
        <v>211</v>
      </c>
      <c r="EY2055" t="s">
        <v>616</v>
      </c>
      <c r="FA2055" t="s">
        <v>2950</v>
      </c>
      <c r="FB2055" t="s">
        <v>24213</v>
      </c>
      <c r="FC2055" t="s">
        <v>207</v>
      </c>
      <c r="FD2055" t="s">
        <v>208</v>
      </c>
      <c r="FE2055" t="s">
        <v>24214</v>
      </c>
      <c r="FF2055" t="s">
        <v>235</v>
      </c>
      <c r="FG2055" t="s">
        <v>183</v>
      </c>
      <c r="FH2055" t="s">
        <v>211</v>
      </c>
      <c r="FI2055" t="s">
        <v>9675</v>
      </c>
      <c r="FK2055" t="s">
        <v>4444</v>
      </c>
      <c r="FU2055" t="s">
        <v>198</v>
      </c>
    </row>
    <row r="2056" spans="1:177">
      <c r="A2056" s="1" t="str">
        <f>HYPERLINK("http://digipan.lumentumllc.com/apps/getLink/index.php?t=PropLink&amp;p=4636874","PL")</f>
        <v>PL</v>
      </c>
      <c r="B2056" s="1" t="str">
        <f>HYPERLINK("http://digipan.lumentumllc.com/apps/getLink/index.php?t=TaxLink&amp;p=4636874","TL")</f>
        <v>TL</v>
      </c>
      <c r="C2056" s="1" t="str">
        <f>HYPERLINK("http://digipan.lumentumllc.com/apps/getMap/index.php?p=4636874","Map")</f>
        <v>Map</v>
      </c>
      <c r="E2056" t="s">
        <v>177</v>
      </c>
      <c r="F2056" t="s">
        <v>178</v>
      </c>
      <c r="L2056" t="s">
        <v>24215</v>
      </c>
      <c r="N2056" t="s">
        <v>24215</v>
      </c>
      <c r="O2056" t="s">
        <v>24215</v>
      </c>
      <c r="P2056" t="s">
        <v>24216</v>
      </c>
      <c r="Q2056" t="s">
        <v>24215</v>
      </c>
      <c r="V2056">
        <v>2356</v>
      </c>
      <c r="W2056">
        <v>8</v>
      </c>
      <c r="X2056">
        <v>2017</v>
      </c>
      <c r="Y2056">
        <v>2018</v>
      </c>
      <c r="Z2056">
        <v>6609.83</v>
      </c>
      <c r="AB2056" t="s">
        <v>181</v>
      </c>
      <c r="AC2056" t="s">
        <v>182</v>
      </c>
      <c r="AD2056" t="s">
        <v>183</v>
      </c>
      <c r="AE2056">
        <v>0</v>
      </c>
      <c r="AF2056">
        <v>4</v>
      </c>
      <c r="AG2056" t="s">
        <v>744</v>
      </c>
      <c r="AH2056">
        <v>100</v>
      </c>
      <c r="AK2056">
        <v>0</v>
      </c>
      <c r="AL2056">
        <v>335000</v>
      </c>
      <c r="AM2056">
        <v>0</v>
      </c>
      <c r="AN2056">
        <v>335000</v>
      </c>
      <c r="AO2056">
        <v>5352</v>
      </c>
      <c r="AP2056">
        <v>2016</v>
      </c>
      <c r="AQ2056">
        <v>1.97</v>
      </c>
      <c r="AS2056" t="s">
        <v>24217</v>
      </c>
      <c r="AT2056" t="s">
        <v>15040</v>
      </c>
      <c r="AU2056" t="s">
        <v>177</v>
      </c>
      <c r="AV2056" t="s">
        <v>371</v>
      </c>
      <c r="AW2056" t="s">
        <v>182</v>
      </c>
      <c r="AX2056">
        <v>4</v>
      </c>
      <c r="AY2056" t="s">
        <v>188</v>
      </c>
      <c r="AZ2056" t="s">
        <v>296</v>
      </c>
      <c r="BA2056" t="s">
        <v>19069</v>
      </c>
      <c r="BB2056" t="s">
        <v>191</v>
      </c>
      <c r="BC2056" t="s">
        <v>182</v>
      </c>
      <c r="BD2056" t="s">
        <v>182</v>
      </c>
      <c r="BE2056" t="s">
        <v>1722</v>
      </c>
      <c r="BF2056">
        <v>1</v>
      </c>
      <c r="BG2056">
        <v>1</v>
      </c>
      <c r="BH2056">
        <v>2004</v>
      </c>
      <c r="BI2056" t="s">
        <v>19626</v>
      </c>
      <c r="BJ2056" t="s">
        <v>194</v>
      </c>
      <c r="BL2056" t="s">
        <v>199</v>
      </c>
      <c r="BM2056" t="s">
        <v>286</v>
      </c>
      <c r="BN2056" t="s">
        <v>182</v>
      </c>
      <c r="BO2056" t="s">
        <v>3184</v>
      </c>
      <c r="BP2056" t="s">
        <v>12362</v>
      </c>
      <c r="BR2056" t="s">
        <v>1461</v>
      </c>
      <c r="BS2056" t="s">
        <v>24218</v>
      </c>
      <c r="BT2056" t="s">
        <v>198</v>
      </c>
      <c r="BU2056" t="s">
        <v>182</v>
      </c>
      <c r="BV2056" t="s">
        <v>198</v>
      </c>
      <c r="BW2056" t="s">
        <v>198</v>
      </c>
      <c r="BX2056" t="s">
        <v>199</v>
      </c>
      <c r="BY2056" t="s">
        <v>198</v>
      </c>
      <c r="BZ2056" t="s">
        <v>199</v>
      </c>
      <c r="CA2056" t="s">
        <v>199</v>
      </c>
      <c r="CB2056" t="s">
        <v>24219</v>
      </c>
      <c r="CC2056" t="s">
        <v>201</v>
      </c>
      <c r="CD2056" t="s">
        <v>182</v>
      </c>
      <c r="CE2056" t="s">
        <v>24220</v>
      </c>
      <c r="CF2056" t="s">
        <v>24221</v>
      </c>
      <c r="CG2056" t="s">
        <v>1602</v>
      </c>
      <c r="CH2056" t="s">
        <v>24222</v>
      </c>
      <c r="CI2056" t="s">
        <v>24223</v>
      </c>
      <c r="CJ2056" t="s">
        <v>267</v>
      </c>
      <c r="CK2056" t="s">
        <v>292</v>
      </c>
      <c r="CL2056" t="s">
        <v>293</v>
      </c>
      <c r="CM2056" t="s">
        <v>24224</v>
      </c>
      <c r="CN2056" t="s">
        <v>235</v>
      </c>
      <c r="CO2056" t="s">
        <v>183</v>
      </c>
      <c r="CP2056" t="s">
        <v>211</v>
      </c>
      <c r="CQ2056" t="s">
        <v>298</v>
      </c>
      <c r="CS2056" t="s">
        <v>457</v>
      </c>
      <c r="CT2056" t="s">
        <v>21856</v>
      </c>
      <c r="CU2056" t="s">
        <v>267</v>
      </c>
      <c r="CV2056" t="s">
        <v>268</v>
      </c>
      <c r="CW2056" t="s">
        <v>24225</v>
      </c>
      <c r="CX2056" t="s">
        <v>235</v>
      </c>
      <c r="CY2056" t="s">
        <v>183</v>
      </c>
      <c r="CZ2056" t="s">
        <v>211</v>
      </c>
      <c r="DA2056" t="s">
        <v>270</v>
      </c>
      <c r="DC2056" t="s">
        <v>7805</v>
      </c>
      <c r="DD2056" t="s">
        <v>18506</v>
      </c>
      <c r="DE2056" t="s">
        <v>273</v>
      </c>
      <c r="DF2056" t="s">
        <v>274</v>
      </c>
      <c r="DG2056" t="s">
        <v>24226</v>
      </c>
      <c r="DH2056" t="s">
        <v>235</v>
      </c>
      <c r="DI2056" t="s">
        <v>183</v>
      </c>
      <c r="DJ2056" t="s">
        <v>211</v>
      </c>
      <c r="DK2056" t="s">
        <v>342</v>
      </c>
      <c r="DM2056" t="s">
        <v>2598</v>
      </c>
      <c r="DN2056" t="s">
        <v>20652</v>
      </c>
      <c r="DO2056" t="s">
        <v>302</v>
      </c>
      <c r="DP2056" t="s">
        <v>303</v>
      </c>
      <c r="DQ2056" t="s">
        <v>24227</v>
      </c>
      <c r="DR2056" t="s">
        <v>235</v>
      </c>
      <c r="DS2056" t="s">
        <v>183</v>
      </c>
      <c r="DT2056" t="s">
        <v>211</v>
      </c>
      <c r="DU2056" t="s">
        <v>270</v>
      </c>
      <c r="DW2056" t="s">
        <v>10713</v>
      </c>
      <c r="EG2056" t="s">
        <v>198</v>
      </c>
      <c r="EQ2056" t="s">
        <v>198</v>
      </c>
      <c r="FA2056" t="s">
        <v>198</v>
      </c>
      <c r="FK2056" t="s">
        <v>198</v>
      </c>
      <c r="FU2056" t="s">
        <v>198</v>
      </c>
    </row>
    <row r="2057" spans="1:177">
      <c r="A2057" s="1" t="str">
        <f>HYPERLINK("http://digipan.lumentumllc.com/apps/getLink/index.php?t=PropLink&amp;p=15730355","PL")</f>
        <v>PL</v>
      </c>
      <c r="B2057" s="1" t="str">
        <f>HYPERLINK("http://digipan.lumentumllc.com/apps/getLink/index.php?t=TaxLink&amp;p=15730355","TL")</f>
        <v>TL</v>
      </c>
      <c r="C2057" s="1" t="str">
        <f>HYPERLINK("http://digipan.lumentumllc.com/apps/getMap/index.php?p=15730355","Map")</f>
        <v>Map</v>
      </c>
      <c r="E2057" t="s">
        <v>177</v>
      </c>
      <c r="F2057" t="s">
        <v>178</v>
      </c>
      <c r="L2057" t="s">
        <v>24228</v>
      </c>
      <c r="N2057" t="s">
        <v>24228</v>
      </c>
      <c r="O2057" t="s">
        <v>24228</v>
      </c>
      <c r="Q2057" t="s">
        <v>24228</v>
      </c>
      <c r="V2057">
        <v>2357</v>
      </c>
      <c r="W2057">
        <v>8</v>
      </c>
      <c r="X2057">
        <v>2017</v>
      </c>
      <c r="Y2057">
        <v>2018</v>
      </c>
      <c r="Z2057">
        <v>888.74</v>
      </c>
      <c r="AG2057" t="s">
        <v>184</v>
      </c>
      <c r="AH2057">
        <v>0</v>
      </c>
      <c r="AK2057">
        <v>0</v>
      </c>
      <c r="AL2057">
        <v>161948</v>
      </c>
      <c r="AM2057">
        <v>90000</v>
      </c>
      <c r="AN2057">
        <v>71948</v>
      </c>
      <c r="AO2057">
        <v>3287</v>
      </c>
      <c r="AP2057">
        <v>2016</v>
      </c>
      <c r="AQ2057">
        <v>0.55000000000000004</v>
      </c>
      <c r="AS2057" t="s">
        <v>24229</v>
      </c>
      <c r="AT2057" t="s">
        <v>15040</v>
      </c>
      <c r="AU2057" t="s">
        <v>177</v>
      </c>
      <c r="AV2057" t="s">
        <v>371</v>
      </c>
      <c r="AW2057" t="s">
        <v>182</v>
      </c>
      <c r="AX2057">
        <v>1</v>
      </c>
      <c r="AY2057" t="s">
        <v>188</v>
      </c>
      <c r="AZ2057" t="s">
        <v>206</v>
      </c>
      <c r="BA2057" t="s">
        <v>355</v>
      </c>
      <c r="BB2057" t="s">
        <v>191</v>
      </c>
      <c r="BC2057" t="s">
        <v>182</v>
      </c>
      <c r="BD2057" t="s">
        <v>182</v>
      </c>
      <c r="BE2057" t="s">
        <v>3930</v>
      </c>
      <c r="BF2057">
        <v>1</v>
      </c>
      <c r="BG2057">
        <v>1</v>
      </c>
      <c r="BH2057">
        <v>1949</v>
      </c>
      <c r="BI2057" t="s">
        <v>10710</v>
      </c>
      <c r="BJ2057" t="s">
        <v>194</v>
      </c>
      <c r="BK2057" t="s">
        <v>24230</v>
      </c>
      <c r="BL2057" t="s">
        <v>199</v>
      </c>
      <c r="BM2057" t="s">
        <v>559</v>
      </c>
      <c r="BN2057" t="s">
        <v>182</v>
      </c>
      <c r="BO2057" t="s">
        <v>198</v>
      </c>
      <c r="BP2057" t="s">
        <v>198</v>
      </c>
      <c r="BQ2057" t="s">
        <v>198</v>
      </c>
      <c r="BR2057" t="s">
        <v>198</v>
      </c>
      <c r="BS2057" t="s">
        <v>198</v>
      </c>
      <c r="BT2057" t="s">
        <v>198</v>
      </c>
      <c r="BU2057" t="s">
        <v>182</v>
      </c>
      <c r="BV2057" t="s">
        <v>198</v>
      </c>
      <c r="BW2057" t="s">
        <v>198</v>
      </c>
      <c r="BX2057" t="s">
        <v>199</v>
      </c>
      <c r="BY2057" t="s">
        <v>198</v>
      </c>
      <c r="BZ2057" t="s">
        <v>199</v>
      </c>
      <c r="CA2057" t="s">
        <v>199</v>
      </c>
      <c r="CB2057" t="s">
        <v>24231</v>
      </c>
      <c r="CC2057" t="s">
        <v>201</v>
      </c>
      <c r="CD2057" t="s">
        <v>182</v>
      </c>
      <c r="CE2057" t="s">
        <v>24232</v>
      </c>
      <c r="CF2057" t="s">
        <v>5331</v>
      </c>
      <c r="CG2057" t="s">
        <v>177</v>
      </c>
      <c r="CH2057" t="s">
        <v>371</v>
      </c>
      <c r="CI2057" t="s">
        <v>24233</v>
      </c>
      <c r="CS2057" t="s">
        <v>198</v>
      </c>
      <c r="DC2057" t="s">
        <v>198</v>
      </c>
      <c r="DM2057" t="s">
        <v>198</v>
      </c>
      <c r="DW2057" t="s">
        <v>198</v>
      </c>
      <c r="EG2057" t="s">
        <v>198</v>
      </c>
      <c r="EQ2057" t="s">
        <v>198</v>
      </c>
      <c r="FA2057" t="s">
        <v>198</v>
      </c>
      <c r="FK2057" t="s">
        <v>198</v>
      </c>
      <c r="FU2057" t="s">
        <v>198</v>
      </c>
    </row>
    <row r="2058" spans="1:177">
      <c r="A2058" s="1" t="str">
        <f>HYPERLINK("http://digipan.lumentumllc.com/apps/getLink/index.php?t=PropLink&amp;p=15730356","PL")</f>
        <v>PL</v>
      </c>
      <c r="B2058" s="1" t="str">
        <f>HYPERLINK("http://digipan.lumentumllc.com/apps/getLink/index.php?t=TaxLink&amp;p=15730356","TL")</f>
        <v>TL</v>
      </c>
      <c r="C2058" s="1" t="str">
        <f>HYPERLINK("http://digipan.lumentumllc.com/apps/getMap/index.php?p=15730356","Map")</f>
        <v>Map</v>
      </c>
      <c r="E2058" t="s">
        <v>177</v>
      </c>
      <c r="F2058" t="s">
        <v>178</v>
      </c>
      <c r="L2058" t="s">
        <v>24234</v>
      </c>
      <c r="N2058" t="s">
        <v>24234</v>
      </c>
      <c r="O2058" t="s">
        <v>24234</v>
      </c>
      <c r="Q2058" t="s">
        <v>24234</v>
      </c>
      <c r="V2058">
        <v>2358</v>
      </c>
      <c r="W2058">
        <v>8</v>
      </c>
      <c r="X2058">
        <v>2017</v>
      </c>
      <c r="Y2058">
        <v>2018</v>
      </c>
      <c r="Z2058">
        <v>3108.19</v>
      </c>
      <c r="AG2058" t="s">
        <v>184</v>
      </c>
      <c r="AH2058">
        <v>0</v>
      </c>
      <c r="AK2058">
        <v>0</v>
      </c>
      <c r="AL2058">
        <v>203911</v>
      </c>
      <c r="AM2058">
        <v>90000</v>
      </c>
      <c r="AN2058">
        <v>113911</v>
      </c>
      <c r="AO2058">
        <v>2784</v>
      </c>
      <c r="AP2058">
        <v>2016</v>
      </c>
      <c r="AQ2058">
        <v>1.52</v>
      </c>
      <c r="AS2058" t="s">
        <v>24235</v>
      </c>
      <c r="AT2058" t="s">
        <v>15040</v>
      </c>
      <c r="AU2058" t="s">
        <v>177</v>
      </c>
      <c r="AV2058" t="s">
        <v>371</v>
      </c>
      <c r="AW2058" t="s">
        <v>202</v>
      </c>
      <c r="AX2058">
        <v>8</v>
      </c>
      <c r="AY2058" t="s">
        <v>188</v>
      </c>
      <c r="AZ2058" t="s">
        <v>329</v>
      </c>
      <c r="BA2058" t="s">
        <v>6773</v>
      </c>
      <c r="BB2058" t="s">
        <v>191</v>
      </c>
      <c r="BC2058" t="s">
        <v>182</v>
      </c>
      <c r="BD2058" t="s">
        <v>182</v>
      </c>
      <c r="BE2058" t="s">
        <v>3930</v>
      </c>
      <c r="BF2058">
        <v>1</v>
      </c>
      <c r="BG2058">
        <v>1</v>
      </c>
      <c r="BH2058">
        <v>1957</v>
      </c>
      <c r="BI2058" t="s">
        <v>18165</v>
      </c>
      <c r="BJ2058" t="s">
        <v>194</v>
      </c>
      <c r="BK2058" t="s">
        <v>840</v>
      </c>
      <c r="BL2058" t="s">
        <v>7887</v>
      </c>
      <c r="BM2058" t="s">
        <v>267</v>
      </c>
      <c r="BN2058" t="s">
        <v>182</v>
      </c>
      <c r="BO2058" t="s">
        <v>24236</v>
      </c>
      <c r="BP2058" t="s">
        <v>24237</v>
      </c>
      <c r="BQ2058" t="s">
        <v>24238</v>
      </c>
      <c r="BR2058" t="s">
        <v>563</v>
      </c>
      <c r="BS2058" t="s">
        <v>198</v>
      </c>
      <c r="BT2058" t="s">
        <v>24239</v>
      </c>
      <c r="BU2058" t="s">
        <v>182</v>
      </c>
      <c r="BV2058" t="s">
        <v>198</v>
      </c>
      <c r="BW2058" t="s">
        <v>198</v>
      </c>
      <c r="BX2058" t="s">
        <v>199</v>
      </c>
      <c r="BY2058" t="s">
        <v>198</v>
      </c>
      <c r="BZ2058" t="s">
        <v>199</v>
      </c>
      <c r="CA2058" t="s">
        <v>199</v>
      </c>
      <c r="CB2058" t="s">
        <v>24240</v>
      </c>
      <c r="CC2058" t="s">
        <v>201</v>
      </c>
      <c r="CD2058" t="s">
        <v>182</v>
      </c>
      <c r="CE2058" t="s">
        <v>24241</v>
      </c>
      <c r="CF2058" t="s">
        <v>5331</v>
      </c>
      <c r="CG2058" t="s">
        <v>177</v>
      </c>
      <c r="CH2058" t="s">
        <v>371</v>
      </c>
      <c r="CI2058" t="s">
        <v>3818</v>
      </c>
      <c r="CS2058" t="s">
        <v>198</v>
      </c>
      <c r="DC2058" t="s">
        <v>198</v>
      </c>
      <c r="DM2058" t="s">
        <v>198</v>
      </c>
      <c r="DW2058" t="s">
        <v>198</v>
      </c>
      <c r="EG2058" t="s">
        <v>198</v>
      </c>
      <c r="EQ2058" t="s">
        <v>198</v>
      </c>
      <c r="FA2058" t="s">
        <v>198</v>
      </c>
      <c r="FK2058" t="s">
        <v>198</v>
      </c>
      <c r="FU2058" t="s">
        <v>198</v>
      </c>
    </row>
    <row r="2059" spans="1:177">
      <c r="A2059" s="1" t="str">
        <f>HYPERLINK("http://digipan.lumentumllc.com/apps/getLink/index.php?t=PropLink&amp;p=15730396","PL")</f>
        <v>PL</v>
      </c>
      <c r="B2059" s="1" t="str">
        <f>HYPERLINK("http://digipan.lumentumllc.com/apps/getLink/index.php?t=TaxLink&amp;p=15730396","TL")</f>
        <v>TL</v>
      </c>
      <c r="C2059" s="1" t="str">
        <f>HYPERLINK("http://digipan.lumentumllc.com/apps/getMap/index.php?p=15730396","Map")</f>
        <v>Map</v>
      </c>
      <c r="E2059" t="s">
        <v>177</v>
      </c>
      <c r="F2059" t="s">
        <v>178</v>
      </c>
      <c r="L2059" t="s">
        <v>24242</v>
      </c>
      <c r="N2059" t="s">
        <v>24242</v>
      </c>
      <c r="O2059" t="s">
        <v>24242</v>
      </c>
      <c r="Q2059" t="s">
        <v>24242</v>
      </c>
      <c r="V2059">
        <v>2359</v>
      </c>
      <c r="W2059">
        <v>8</v>
      </c>
      <c r="X2059">
        <v>2017</v>
      </c>
      <c r="Y2059">
        <v>2018</v>
      </c>
      <c r="Z2059">
        <v>6691.81</v>
      </c>
      <c r="AB2059" t="s">
        <v>181</v>
      </c>
      <c r="AC2059" t="s">
        <v>182</v>
      </c>
      <c r="AD2059" t="s">
        <v>183</v>
      </c>
      <c r="AE2059">
        <v>1</v>
      </c>
      <c r="AF2059">
        <v>0</v>
      </c>
      <c r="AG2059" t="s">
        <v>1200</v>
      </c>
      <c r="AH2059">
        <v>0</v>
      </c>
      <c r="AI2059">
        <v>6141.97</v>
      </c>
      <c r="AJ2059">
        <v>307.10000000000002</v>
      </c>
      <c r="AK2059">
        <v>6449.07</v>
      </c>
      <c r="AL2059">
        <v>312563</v>
      </c>
      <c r="AM2059">
        <v>80000</v>
      </c>
      <c r="AN2059">
        <v>232563</v>
      </c>
      <c r="AO2059">
        <v>5654</v>
      </c>
      <c r="AP2059">
        <v>2016</v>
      </c>
      <c r="AQ2059">
        <v>2.14</v>
      </c>
      <c r="AR2059">
        <v>2.06</v>
      </c>
      <c r="AS2059" t="s">
        <v>24243</v>
      </c>
      <c r="AT2059" t="s">
        <v>15040</v>
      </c>
      <c r="AU2059" t="s">
        <v>177</v>
      </c>
      <c r="AV2059" t="s">
        <v>371</v>
      </c>
      <c r="AW2059" t="s">
        <v>182</v>
      </c>
      <c r="AX2059">
        <v>1</v>
      </c>
      <c r="AY2059" t="s">
        <v>188</v>
      </c>
      <c r="AZ2059" t="s">
        <v>206</v>
      </c>
      <c r="BA2059" t="s">
        <v>355</v>
      </c>
      <c r="BB2059" t="s">
        <v>191</v>
      </c>
      <c r="BC2059" t="s">
        <v>182</v>
      </c>
      <c r="BD2059" t="s">
        <v>182</v>
      </c>
      <c r="BE2059" t="s">
        <v>2503</v>
      </c>
      <c r="BF2059">
        <v>1</v>
      </c>
      <c r="BG2059">
        <v>1</v>
      </c>
      <c r="BH2059">
        <v>1954</v>
      </c>
      <c r="BI2059" t="s">
        <v>20477</v>
      </c>
      <c r="BJ2059" t="s">
        <v>396</v>
      </c>
      <c r="BK2059" t="s">
        <v>195</v>
      </c>
      <c r="BL2059" t="s">
        <v>23205</v>
      </c>
      <c r="BM2059" t="s">
        <v>292</v>
      </c>
      <c r="BN2059" t="s">
        <v>182</v>
      </c>
      <c r="BO2059" t="s">
        <v>3233</v>
      </c>
      <c r="BP2059" t="s">
        <v>24244</v>
      </c>
      <c r="BQ2059" t="s">
        <v>562</v>
      </c>
      <c r="BS2059" t="s">
        <v>198</v>
      </c>
      <c r="BT2059" t="s">
        <v>24245</v>
      </c>
      <c r="BU2059" t="s">
        <v>182</v>
      </c>
      <c r="BV2059" t="s">
        <v>198</v>
      </c>
      <c r="BW2059" t="s">
        <v>198</v>
      </c>
      <c r="BX2059" t="s">
        <v>199</v>
      </c>
      <c r="BY2059" t="s">
        <v>198</v>
      </c>
      <c r="BZ2059" t="s">
        <v>199</v>
      </c>
      <c r="CA2059" t="s">
        <v>199</v>
      </c>
      <c r="CB2059" t="s">
        <v>24246</v>
      </c>
      <c r="CC2059" t="s">
        <v>201</v>
      </c>
      <c r="CD2059" t="s">
        <v>182</v>
      </c>
      <c r="CE2059" t="s">
        <v>24247</v>
      </c>
      <c r="CF2059" t="s">
        <v>24248</v>
      </c>
      <c r="CG2059" t="s">
        <v>24249</v>
      </c>
      <c r="CH2059" t="s">
        <v>24250</v>
      </c>
      <c r="CI2059" t="s">
        <v>4659</v>
      </c>
      <c r="CJ2059" t="s">
        <v>302</v>
      </c>
      <c r="CK2059" t="s">
        <v>232</v>
      </c>
      <c r="CL2059" t="s">
        <v>233</v>
      </c>
      <c r="CM2059" t="s">
        <v>24251</v>
      </c>
      <c r="CN2059" t="s">
        <v>235</v>
      </c>
      <c r="CO2059" t="s">
        <v>183</v>
      </c>
      <c r="CP2059" t="s">
        <v>266</v>
      </c>
      <c r="CS2059" t="s">
        <v>198</v>
      </c>
      <c r="DC2059" t="s">
        <v>198</v>
      </c>
      <c r="DM2059" t="s">
        <v>198</v>
      </c>
      <c r="DW2059" t="s">
        <v>198</v>
      </c>
      <c r="EG2059" t="s">
        <v>198</v>
      </c>
      <c r="EQ2059" t="s">
        <v>198</v>
      </c>
      <c r="FA2059" t="s">
        <v>198</v>
      </c>
      <c r="FK2059" t="s">
        <v>198</v>
      </c>
      <c r="FU2059" t="s">
        <v>198</v>
      </c>
    </row>
    <row r="2060" spans="1:177">
      <c r="A2060" s="1" t="str">
        <f>HYPERLINK("http://digipan.lumentumllc.com/apps/getLink/index.php?t=PropLink&amp;p=5244258","PL")</f>
        <v>PL</v>
      </c>
      <c r="B2060" s="1" t="str">
        <f>HYPERLINK("http://digipan.lumentumllc.com/apps/getLink/index.php?t=TaxLink&amp;p=5244258","TL")</f>
        <v>TL</v>
      </c>
      <c r="C2060" s="1" t="str">
        <f>HYPERLINK("http://digipan.lumentumllc.com/apps/getMap/index.php?p=5244258","Map")</f>
        <v>Map</v>
      </c>
      <c r="E2060" t="s">
        <v>177</v>
      </c>
      <c r="F2060" t="s">
        <v>178</v>
      </c>
      <c r="L2060" t="s">
        <v>24252</v>
      </c>
      <c r="N2060" t="s">
        <v>24252</v>
      </c>
      <c r="O2060" t="s">
        <v>24252</v>
      </c>
      <c r="P2060" t="s">
        <v>24253</v>
      </c>
      <c r="Q2060" t="s">
        <v>24252</v>
      </c>
      <c r="V2060">
        <v>2360</v>
      </c>
      <c r="W2060">
        <v>8</v>
      </c>
      <c r="X2060">
        <v>2017</v>
      </c>
      <c r="Y2060">
        <v>2018</v>
      </c>
      <c r="Z2060">
        <v>2926.45</v>
      </c>
      <c r="AB2060" t="s">
        <v>181</v>
      </c>
      <c r="AC2060" t="s">
        <v>182</v>
      </c>
      <c r="AD2060" t="s">
        <v>183</v>
      </c>
      <c r="AE2060">
        <v>1</v>
      </c>
      <c r="AF2060">
        <v>2</v>
      </c>
      <c r="AG2060" t="s">
        <v>2222</v>
      </c>
      <c r="AH2060">
        <v>50</v>
      </c>
      <c r="AI2060">
        <v>2684.14</v>
      </c>
      <c r="AJ2060">
        <v>134.21</v>
      </c>
      <c r="AK2060">
        <v>2818.35</v>
      </c>
      <c r="AL2060">
        <v>140267</v>
      </c>
      <c r="AM2060">
        <v>80000</v>
      </c>
      <c r="AN2060">
        <v>60267</v>
      </c>
      <c r="AO2060">
        <v>2457</v>
      </c>
      <c r="AP2060">
        <v>2016</v>
      </c>
      <c r="AQ2060">
        <v>2.09</v>
      </c>
      <c r="AR2060">
        <v>2.0099999999999998</v>
      </c>
      <c r="AS2060" t="s">
        <v>24254</v>
      </c>
      <c r="AT2060" t="s">
        <v>15040</v>
      </c>
      <c r="AU2060" t="s">
        <v>177</v>
      </c>
      <c r="AV2060" t="s">
        <v>371</v>
      </c>
      <c r="AW2060" t="s">
        <v>182</v>
      </c>
      <c r="AX2060">
        <v>1</v>
      </c>
      <c r="AY2060" t="s">
        <v>188</v>
      </c>
      <c r="AZ2060" t="s">
        <v>206</v>
      </c>
      <c r="BA2060" t="s">
        <v>355</v>
      </c>
      <c r="BB2060" t="s">
        <v>191</v>
      </c>
      <c r="BC2060" t="s">
        <v>182</v>
      </c>
      <c r="BD2060" t="s">
        <v>182</v>
      </c>
      <c r="BE2060" t="s">
        <v>2503</v>
      </c>
      <c r="BF2060">
        <v>1</v>
      </c>
      <c r="BG2060">
        <v>1</v>
      </c>
      <c r="BH2060">
        <v>1953</v>
      </c>
      <c r="BI2060" t="s">
        <v>11847</v>
      </c>
      <c r="BJ2060" t="s">
        <v>194</v>
      </c>
      <c r="BK2060" t="s">
        <v>840</v>
      </c>
      <c r="BL2060" t="s">
        <v>199</v>
      </c>
      <c r="BM2060" t="s">
        <v>533</v>
      </c>
      <c r="BN2060" t="s">
        <v>182</v>
      </c>
      <c r="BO2060" t="s">
        <v>198</v>
      </c>
      <c r="BP2060" t="s">
        <v>198</v>
      </c>
      <c r="BQ2060" t="s">
        <v>198</v>
      </c>
      <c r="BR2060" t="s">
        <v>198</v>
      </c>
      <c r="BS2060" t="s">
        <v>198</v>
      </c>
      <c r="BT2060" t="s">
        <v>198</v>
      </c>
      <c r="BU2060" t="s">
        <v>182</v>
      </c>
      <c r="BV2060" t="s">
        <v>198</v>
      </c>
      <c r="BW2060" t="s">
        <v>198</v>
      </c>
      <c r="BX2060" t="s">
        <v>199</v>
      </c>
      <c r="BY2060" t="s">
        <v>198</v>
      </c>
      <c r="BZ2060" t="s">
        <v>199</v>
      </c>
      <c r="CA2060" t="s">
        <v>199</v>
      </c>
      <c r="CB2060" t="s">
        <v>24255</v>
      </c>
      <c r="CC2060" t="s">
        <v>201</v>
      </c>
      <c r="CD2060" t="s">
        <v>202</v>
      </c>
      <c r="CE2060" t="s">
        <v>24256</v>
      </c>
      <c r="CF2060" t="s">
        <v>5331</v>
      </c>
      <c r="CG2060" t="s">
        <v>177</v>
      </c>
      <c r="CH2060" t="s">
        <v>371</v>
      </c>
      <c r="CI2060" t="s">
        <v>15821</v>
      </c>
      <c r="CJ2060" t="s">
        <v>273</v>
      </c>
      <c r="CK2060" t="s">
        <v>232</v>
      </c>
      <c r="CL2060" t="s">
        <v>233</v>
      </c>
      <c r="CM2060" t="s">
        <v>24257</v>
      </c>
      <c r="CN2060" t="s">
        <v>235</v>
      </c>
      <c r="CO2060" t="s">
        <v>183</v>
      </c>
      <c r="CP2060" t="s">
        <v>266</v>
      </c>
      <c r="CS2060" t="s">
        <v>198</v>
      </c>
      <c r="CT2060" t="s">
        <v>24258</v>
      </c>
      <c r="CU2060" t="s">
        <v>346</v>
      </c>
      <c r="CV2060" t="s">
        <v>347</v>
      </c>
      <c r="CW2060" t="s">
        <v>24259</v>
      </c>
      <c r="CX2060" t="s">
        <v>235</v>
      </c>
      <c r="CY2060" t="s">
        <v>183</v>
      </c>
      <c r="CZ2060" t="s">
        <v>211</v>
      </c>
      <c r="DA2060" t="s">
        <v>199</v>
      </c>
      <c r="DC2060" t="s">
        <v>14057</v>
      </c>
      <c r="DD2060" t="s">
        <v>24260</v>
      </c>
      <c r="DE2060" t="s">
        <v>207</v>
      </c>
      <c r="DF2060" t="s">
        <v>208</v>
      </c>
      <c r="DG2060" t="s">
        <v>24261</v>
      </c>
      <c r="DH2060" t="s">
        <v>235</v>
      </c>
      <c r="DI2060" t="s">
        <v>183</v>
      </c>
      <c r="DJ2060" t="s">
        <v>211</v>
      </c>
      <c r="DK2060" t="s">
        <v>189</v>
      </c>
      <c r="DM2060" t="s">
        <v>9091</v>
      </c>
      <c r="DW2060" t="s">
        <v>198</v>
      </c>
      <c r="EG2060" t="s">
        <v>198</v>
      </c>
      <c r="EQ2060" t="s">
        <v>198</v>
      </c>
      <c r="FA2060" t="s">
        <v>198</v>
      </c>
      <c r="FK2060" t="s">
        <v>198</v>
      </c>
      <c r="FU2060" t="s">
        <v>198</v>
      </c>
    </row>
    <row r="2061" spans="1:177">
      <c r="A2061" s="1" t="str">
        <f>HYPERLINK("http://digipan.lumentumllc.com/apps/getLink/index.php?t=PropLink&amp;p=6128659","PL")</f>
        <v>PL</v>
      </c>
      <c r="B2061" s="1" t="str">
        <f>HYPERLINK("http://digipan.lumentumllc.com/apps/getLink/index.php?t=TaxLink&amp;p=6128659","TL")</f>
        <v>TL</v>
      </c>
      <c r="C2061" s="1" t="str">
        <f>HYPERLINK("http://digipan.lumentumllc.com/apps/getMap/index.php?p=6128659","Map")</f>
        <v>Map</v>
      </c>
      <c r="E2061" t="s">
        <v>177</v>
      </c>
      <c r="F2061" t="s">
        <v>178</v>
      </c>
      <c r="L2061" t="s">
        <v>24262</v>
      </c>
      <c r="N2061" t="s">
        <v>24262</v>
      </c>
      <c r="O2061" t="s">
        <v>24262</v>
      </c>
      <c r="P2061" t="s">
        <v>24263</v>
      </c>
      <c r="Q2061" t="s">
        <v>24262</v>
      </c>
      <c r="V2061">
        <v>2361</v>
      </c>
      <c r="W2061">
        <v>8</v>
      </c>
      <c r="X2061">
        <v>2017</v>
      </c>
      <c r="Y2061">
        <v>2018</v>
      </c>
      <c r="Z2061">
        <v>4711.03</v>
      </c>
      <c r="AB2061" t="s">
        <v>181</v>
      </c>
      <c r="AC2061" t="s">
        <v>182</v>
      </c>
      <c r="AD2061" t="s">
        <v>183</v>
      </c>
      <c r="AE2061">
        <v>1</v>
      </c>
      <c r="AF2061">
        <v>2</v>
      </c>
      <c r="AG2061" t="s">
        <v>363</v>
      </c>
      <c r="AH2061">
        <v>67</v>
      </c>
      <c r="AI2061">
        <v>4346.8100000000004</v>
      </c>
      <c r="AJ2061">
        <v>217.34</v>
      </c>
      <c r="AK2061">
        <v>4564.1499999999996</v>
      </c>
      <c r="AL2061">
        <v>217206</v>
      </c>
      <c r="AM2061">
        <v>100000</v>
      </c>
      <c r="AN2061">
        <v>117206</v>
      </c>
      <c r="AO2061">
        <v>3994</v>
      </c>
      <c r="AP2061">
        <v>2016</v>
      </c>
      <c r="AQ2061">
        <v>2.17</v>
      </c>
      <c r="AR2061">
        <v>2.1</v>
      </c>
      <c r="AS2061" t="s">
        <v>24264</v>
      </c>
      <c r="AT2061" t="s">
        <v>15040</v>
      </c>
      <c r="AU2061" t="s">
        <v>177</v>
      </c>
      <c r="AV2061" t="s">
        <v>371</v>
      </c>
      <c r="AW2061" t="s">
        <v>182</v>
      </c>
      <c r="AX2061">
        <v>1</v>
      </c>
      <c r="AY2061" t="s">
        <v>188</v>
      </c>
      <c r="AZ2061" t="s">
        <v>206</v>
      </c>
      <c r="BA2061" t="s">
        <v>355</v>
      </c>
      <c r="BB2061" t="s">
        <v>191</v>
      </c>
      <c r="BC2061" t="s">
        <v>182</v>
      </c>
      <c r="BD2061" t="s">
        <v>182</v>
      </c>
      <c r="BE2061" t="s">
        <v>5948</v>
      </c>
      <c r="BF2061">
        <v>1</v>
      </c>
      <c r="BG2061">
        <v>1</v>
      </c>
      <c r="BH2061">
        <v>1959</v>
      </c>
      <c r="BI2061" t="s">
        <v>3011</v>
      </c>
      <c r="BJ2061" t="s">
        <v>194</v>
      </c>
      <c r="BK2061" t="s">
        <v>840</v>
      </c>
      <c r="BL2061" t="s">
        <v>24265</v>
      </c>
      <c r="BM2061" t="s">
        <v>533</v>
      </c>
      <c r="BN2061" t="s">
        <v>182</v>
      </c>
      <c r="BO2061" t="s">
        <v>198</v>
      </c>
      <c r="BP2061" t="s">
        <v>198</v>
      </c>
      <c r="BQ2061" t="s">
        <v>198</v>
      </c>
      <c r="BR2061" t="s">
        <v>198</v>
      </c>
      <c r="BS2061" t="s">
        <v>198</v>
      </c>
      <c r="BT2061" t="s">
        <v>198</v>
      </c>
      <c r="BU2061" t="s">
        <v>182</v>
      </c>
      <c r="BV2061" t="s">
        <v>198</v>
      </c>
      <c r="BW2061" t="s">
        <v>198</v>
      </c>
      <c r="BX2061" t="s">
        <v>199</v>
      </c>
      <c r="BY2061" t="s">
        <v>198</v>
      </c>
      <c r="BZ2061" t="s">
        <v>199</v>
      </c>
      <c r="CA2061" t="s">
        <v>199</v>
      </c>
      <c r="CB2061" t="s">
        <v>24266</v>
      </c>
      <c r="CC2061" t="s">
        <v>201</v>
      </c>
      <c r="CD2061" t="s">
        <v>182</v>
      </c>
      <c r="CE2061" t="s">
        <v>24267</v>
      </c>
      <c r="CF2061" t="s">
        <v>5331</v>
      </c>
      <c r="CG2061" t="s">
        <v>177</v>
      </c>
      <c r="CH2061" t="s">
        <v>371</v>
      </c>
      <c r="CI2061" t="s">
        <v>7271</v>
      </c>
      <c r="CJ2061" t="s">
        <v>267</v>
      </c>
      <c r="CK2061" t="s">
        <v>232</v>
      </c>
      <c r="CL2061" t="s">
        <v>233</v>
      </c>
      <c r="CM2061" t="s">
        <v>24268</v>
      </c>
      <c r="CN2061" t="s">
        <v>235</v>
      </c>
      <c r="CO2061" t="s">
        <v>183</v>
      </c>
      <c r="CP2061" t="s">
        <v>266</v>
      </c>
      <c r="CS2061" t="s">
        <v>198</v>
      </c>
      <c r="CT2061" t="s">
        <v>292</v>
      </c>
      <c r="CU2061" t="s">
        <v>292</v>
      </c>
      <c r="CV2061" t="s">
        <v>293</v>
      </c>
      <c r="CW2061" t="s">
        <v>24269</v>
      </c>
      <c r="CX2061" t="s">
        <v>235</v>
      </c>
      <c r="CY2061" t="s">
        <v>183</v>
      </c>
      <c r="CZ2061" t="s">
        <v>211</v>
      </c>
      <c r="DA2061" t="s">
        <v>460</v>
      </c>
      <c r="DC2061" t="s">
        <v>24270</v>
      </c>
      <c r="DD2061" t="s">
        <v>4345</v>
      </c>
      <c r="DE2061" t="s">
        <v>238</v>
      </c>
      <c r="DF2061" t="s">
        <v>239</v>
      </c>
      <c r="DG2061" t="s">
        <v>24271</v>
      </c>
      <c r="DH2061" t="s">
        <v>235</v>
      </c>
      <c r="DI2061" t="s">
        <v>183</v>
      </c>
      <c r="DJ2061" t="s">
        <v>211</v>
      </c>
      <c r="DK2061" t="s">
        <v>199</v>
      </c>
      <c r="DM2061" t="s">
        <v>7383</v>
      </c>
      <c r="DW2061" t="s">
        <v>198</v>
      </c>
      <c r="EG2061" t="s">
        <v>198</v>
      </c>
      <c r="EQ2061" t="s">
        <v>198</v>
      </c>
      <c r="FA2061" t="s">
        <v>198</v>
      </c>
      <c r="FK2061" t="s">
        <v>198</v>
      </c>
      <c r="FU2061" t="s">
        <v>198</v>
      </c>
    </row>
    <row r="2062" spans="1:177">
      <c r="A2062" s="1" t="str">
        <f>HYPERLINK("http://digipan.lumentumllc.com/apps/getLink/index.php?t=PropLink&amp;p=6886590","PL")</f>
        <v>PL</v>
      </c>
      <c r="B2062" s="1" t="str">
        <f>HYPERLINK("http://digipan.lumentumllc.com/apps/getLink/index.php?t=TaxLink&amp;p=6886590","TL")</f>
        <v>TL</v>
      </c>
      <c r="C2062" s="1" t="str">
        <f>HYPERLINK("http://digipan.lumentumllc.com/apps/getMap/index.php?p=6886590","Map")</f>
        <v>Map</v>
      </c>
      <c r="E2062" t="s">
        <v>177</v>
      </c>
      <c r="F2062" t="s">
        <v>178</v>
      </c>
      <c r="L2062" t="s">
        <v>24272</v>
      </c>
      <c r="N2062" t="s">
        <v>24272</v>
      </c>
      <c r="O2062" t="s">
        <v>24272</v>
      </c>
      <c r="P2062" t="s">
        <v>24273</v>
      </c>
      <c r="Q2062" t="s">
        <v>24272</v>
      </c>
      <c r="V2062">
        <v>2362</v>
      </c>
      <c r="W2062">
        <v>8</v>
      </c>
      <c r="X2062">
        <v>2017</v>
      </c>
      <c r="Y2062">
        <v>2018</v>
      </c>
      <c r="Z2062">
        <v>3416.14</v>
      </c>
      <c r="AB2062" t="s">
        <v>181</v>
      </c>
      <c r="AC2062" t="s">
        <v>182</v>
      </c>
      <c r="AD2062" t="s">
        <v>183</v>
      </c>
      <c r="AE2062">
        <v>1</v>
      </c>
      <c r="AF2062">
        <v>2</v>
      </c>
      <c r="AG2062" t="s">
        <v>363</v>
      </c>
      <c r="AH2062">
        <v>67</v>
      </c>
      <c r="AI2062">
        <v>3158.25</v>
      </c>
      <c r="AJ2062">
        <v>157.91</v>
      </c>
      <c r="AK2062">
        <v>3316.16</v>
      </c>
      <c r="AL2062">
        <v>157000</v>
      </c>
      <c r="AM2062">
        <v>0</v>
      </c>
      <c r="AN2062">
        <v>157000</v>
      </c>
      <c r="AO2062">
        <v>2895</v>
      </c>
      <c r="AP2062">
        <v>2016</v>
      </c>
      <c r="AQ2062">
        <v>2.1800000000000002</v>
      </c>
      <c r="AR2062">
        <v>2.11</v>
      </c>
      <c r="AS2062" t="s">
        <v>24274</v>
      </c>
      <c r="AT2062" t="s">
        <v>15040</v>
      </c>
      <c r="AU2062" t="s">
        <v>177</v>
      </c>
      <c r="AV2062" t="s">
        <v>371</v>
      </c>
      <c r="AW2062" t="s">
        <v>182</v>
      </c>
      <c r="AX2062">
        <v>4</v>
      </c>
      <c r="AY2062" t="s">
        <v>188</v>
      </c>
      <c r="AZ2062" t="s">
        <v>296</v>
      </c>
      <c r="BA2062" t="s">
        <v>19069</v>
      </c>
      <c r="BB2062" t="s">
        <v>191</v>
      </c>
      <c r="BC2062" t="s">
        <v>182</v>
      </c>
      <c r="BD2062" t="s">
        <v>182</v>
      </c>
      <c r="BE2062" t="s">
        <v>1722</v>
      </c>
      <c r="BF2062">
        <v>1</v>
      </c>
      <c r="BG2062">
        <v>1</v>
      </c>
      <c r="BH2062">
        <v>1983</v>
      </c>
      <c r="BI2062" t="s">
        <v>9552</v>
      </c>
      <c r="BJ2062" t="s">
        <v>194</v>
      </c>
      <c r="BL2062" t="s">
        <v>21737</v>
      </c>
      <c r="BM2062" t="s">
        <v>346</v>
      </c>
      <c r="BN2062" t="s">
        <v>182</v>
      </c>
      <c r="BO2062" t="s">
        <v>24275</v>
      </c>
      <c r="BP2062" t="s">
        <v>12362</v>
      </c>
      <c r="BQ2062" t="s">
        <v>581</v>
      </c>
      <c r="BR2062" t="s">
        <v>563</v>
      </c>
      <c r="BS2062" t="s">
        <v>198</v>
      </c>
      <c r="BT2062" t="s">
        <v>15080</v>
      </c>
      <c r="BU2062" t="s">
        <v>182</v>
      </c>
      <c r="BV2062" t="s">
        <v>198</v>
      </c>
      <c r="BW2062" t="s">
        <v>198</v>
      </c>
      <c r="BX2062" t="s">
        <v>199</v>
      </c>
      <c r="BY2062" t="s">
        <v>198</v>
      </c>
      <c r="BZ2062" t="s">
        <v>199</v>
      </c>
      <c r="CA2062" t="s">
        <v>199</v>
      </c>
      <c r="CB2062" t="s">
        <v>24276</v>
      </c>
      <c r="CC2062" t="s">
        <v>201</v>
      </c>
      <c r="CD2062" t="s">
        <v>182</v>
      </c>
      <c r="CE2062" t="s">
        <v>24277</v>
      </c>
      <c r="CF2062" t="s">
        <v>5331</v>
      </c>
      <c r="CG2062" t="s">
        <v>177</v>
      </c>
      <c r="CH2062" t="s">
        <v>371</v>
      </c>
      <c r="CI2062" t="s">
        <v>24278</v>
      </c>
      <c r="CJ2062" t="s">
        <v>1870</v>
      </c>
      <c r="CK2062" t="s">
        <v>232</v>
      </c>
      <c r="CL2062" t="s">
        <v>233</v>
      </c>
      <c r="CM2062" t="s">
        <v>24279</v>
      </c>
      <c r="CN2062" t="s">
        <v>235</v>
      </c>
      <c r="CO2062" t="s">
        <v>183</v>
      </c>
      <c r="CP2062" t="s">
        <v>266</v>
      </c>
      <c r="CS2062" t="s">
        <v>198</v>
      </c>
      <c r="CT2062" t="s">
        <v>197</v>
      </c>
      <c r="CU2062" t="s">
        <v>292</v>
      </c>
      <c r="CV2062" t="s">
        <v>293</v>
      </c>
      <c r="CW2062" t="s">
        <v>24280</v>
      </c>
      <c r="CX2062" t="s">
        <v>235</v>
      </c>
      <c r="CY2062" t="s">
        <v>183</v>
      </c>
      <c r="CZ2062" t="s">
        <v>211</v>
      </c>
      <c r="DA2062" t="s">
        <v>345</v>
      </c>
      <c r="DC2062" t="s">
        <v>24281</v>
      </c>
      <c r="DD2062" t="s">
        <v>14644</v>
      </c>
      <c r="DE2062" t="s">
        <v>267</v>
      </c>
      <c r="DF2062" t="s">
        <v>268</v>
      </c>
      <c r="DG2062" t="s">
        <v>24282</v>
      </c>
      <c r="DH2062" t="s">
        <v>235</v>
      </c>
      <c r="DI2062" t="s">
        <v>183</v>
      </c>
      <c r="DJ2062" t="s">
        <v>211</v>
      </c>
      <c r="DK2062" t="s">
        <v>298</v>
      </c>
      <c r="DM2062" t="s">
        <v>459</v>
      </c>
      <c r="DW2062" t="s">
        <v>198</v>
      </c>
      <c r="EG2062" t="s">
        <v>198</v>
      </c>
      <c r="EQ2062" t="s">
        <v>198</v>
      </c>
      <c r="FA2062" t="s">
        <v>198</v>
      </c>
      <c r="FK2062" t="s">
        <v>198</v>
      </c>
      <c r="FU2062" t="s">
        <v>198</v>
      </c>
    </row>
    <row r="2063" spans="1:177">
      <c r="A2063" s="1" t="str">
        <f>HYPERLINK("http://digipan.lumentumllc.com/apps/getLink/index.php?t=PropLink&amp;p=15730576","PL")</f>
        <v>PL</v>
      </c>
      <c r="B2063" s="1" t="str">
        <f>HYPERLINK("http://digipan.lumentumllc.com/apps/getLink/index.php?t=TaxLink&amp;p=15730576","TL")</f>
        <v>TL</v>
      </c>
      <c r="C2063" s="1" t="str">
        <f>HYPERLINK("http://digipan.lumentumllc.com/apps/getMap/index.php?p=15730576","Map")</f>
        <v>Map</v>
      </c>
      <c r="E2063" t="s">
        <v>177</v>
      </c>
      <c r="F2063" t="s">
        <v>178</v>
      </c>
      <c r="L2063" t="s">
        <v>24283</v>
      </c>
      <c r="N2063" t="s">
        <v>24283</v>
      </c>
      <c r="O2063" t="s">
        <v>24283</v>
      </c>
      <c r="Q2063" t="s">
        <v>24283</v>
      </c>
      <c r="V2063">
        <v>2364</v>
      </c>
      <c r="W2063">
        <v>8</v>
      </c>
      <c r="X2063">
        <v>2017</v>
      </c>
      <c r="Y2063">
        <v>2018</v>
      </c>
      <c r="Z2063">
        <v>2196.9</v>
      </c>
      <c r="AG2063" t="s">
        <v>184</v>
      </c>
      <c r="AH2063">
        <v>0</v>
      </c>
      <c r="AK2063">
        <v>0</v>
      </c>
      <c r="AL2063">
        <v>117000</v>
      </c>
      <c r="AM2063">
        <v>0</v>
      </c>
      <c r="AN2063">
        <v>117000</v>
      </c>
      <c r="AO2063">
        <v>1828</v>
      </c>
      <c r="AP2063">
        <v>2016</v>
      </c>
      <c r="AQ2063">
        <v>1.88</v>
      </c>
      <c r="AS2063" t="s">
        <v>24284</v>
      </c>
      <c r="AT2063" t="s">
        <v>15040</v>
      </c>
      <c r="AU2063" t="s">
        <v>177</v>
      </c>
      <c r="AV2063" t="s">
        <v>371</v>
      </c>
      <c r="AW2063" t="s">
        <v>182</v>
      </c>
      <c r="AX2063">
        <v>4</v>
      </c>
      <c r="AY2063" t="s">
        <v>188</v>
      </c>
      <c r="AZ2063" t="s">
        <v>296</v>
      </c>
      <c r="BA2063" t="s">
        <v>19069</v>
      </c>
      <c r="BB2063" t="s">
        <v>191</v>
      </c>
      <c r="BC2063" t="s">
        <v>182</v>
      </c>
      <c r="BD2063" t="s">
        <v>182</v>
      </c>
      <c r="BE2063" t="s">
        <v>1722</v>
      </c>
      <c r="BF2063">
        <v>1</v>
      </c>
      <c r="BG2063">
        <v>1</v>
      </c>
      <c r="BH2063">
        <v>1983</v>
      </c>
      <c r="BI2063" t="s">
        <v>5641</v>
      </c>
      <c r="BJ2063" t="s">
        <v>194</v>
      </c>
      <c r="BL2063" t="s">
        <v>24285</v>
      </c>
      <c r="BM2063" t="s">
        <v>368</v>
      </c>
      <c r="BN2063" t="s">
        <v>182</v>
      </c>
      <c r="BO2063" t="s">
        <v>15832</v>
      </c>
      <c r="BP2063" t="s">
        <v>24286</v>
      </c>
      <c r="BQ2063" t="s">
        <v>562</v>
      </c>
      <c r="BR2063" t="s">
        <v>563</v>
      </c>
      <c r="BS2063" t="s">
        <v>198</v>
      </c>
      <c r="BT2063" t="s">
        <v>12356</v>
      </c>
      <c r="BU2063" t="s">
        <v>182</v>
      </c>
      <c r="BV2063" t="s">
        <v>198</v>
      </c>
      <c r="BW2063" t="s">
        <v>198</v>
      </c>
      <c r="BX2063" t="s">
        <v>199</v>
      </c>
      <c r="BY2063" t="s">
        <v>198</v>
      </c>
      <c r="BZ2063" t="s">
        <v>199</v>
      </c>
      <c r="CA2063" t="s">
        <v>199</v>
      </c>
      <c r="CB2063" t="s">
        <v>24287</v>
      </c>
      <c r="CC2063" t="s">
        <v>201</v>
      </c>
      <c r="CD2063" t="s">
        <v>182</v>
      </c>
      <c r="CE2063" t="s">
        <v>24288</v>
      </c>
      <c r="CF2063" t="s">
        <v>5331</v>
      </c>
      <c r="CG2063" t="s">
        <v>177</v>
      </c>
      <c r="CH2063" t="s">
        <v>371</v>
      </c>
      <c r="CI2063" t="s">
        <v>24289</v>
      </c>
      <c r="CS2063" t="s">
        <v>198</v>
      </c>
      <c r="DC2063" t="s">
        <v>198</v>
      </c>
      <c r="DM2063" t="s">
        <v>198</v>
      </c>
      <c r="DW2063" t="s">
        <v>198</v>
      </c>
      <c r="EG2063" t="s">
        <v>198</v>
      </c>
      <c r="EQ2063" t="s">
        <v>198</v>
      </c>
      <c r="FA2063" t="s">
        <v>198</v>
      </c>
      <c r="FK2063" t="s">
        <v>198</v>
      </c>
      <c r="FU2063" t="s">
        <v>198</v>
      </c>
    </row>
    <row r="2064" spans="1:177">
      <c r="A2064" s="1" t="str">
        <f>HYPERLINK("http://digipan.lumentumllc.com/apps/getLink/index.php?t=PropLink&amp;p=6886592","PL")</f>
        <v>PL</v>
      </c>
      <c r="B2064" s="1" t="str">
        <f>HYPERLINK("http://digipan.lumentumllc.com/apps/getLink/index.php?t=TaxLink&amp;p=6886592","TL")</f>
        <v>TL</v>
      </c>
      <c r="C2064" s="1" t="str">
        <f>HYPERLINK("http://digipan.lumentumllc.com/apps/getMap/index.php?p=6886592","Map")</f>
        <v>Map</v>
      </c>
      <c r="E2064" t="s">
        <v>177</v>
      </c>
      <c r="F2064" t="s">
        <v>178</v>
      </c>
      <c r="L2064" t="s">
        <v>24290</v>
      </c>
      <c r="N2064" t="s">
        <v>24290</v>
      </c>
      <c r="O2064" t="s">
        <v>24290</v>
      </c>
      <c r="P2064" t="s">
        <v>24291</v>
      </c>
      <c r="Q2064" t="s">
        <v>24290</v>
      </c>
      <c r="V2064">
        <v>2365</v>
      </c>
      <c r="W2064">
        <v>8</v>
      </c>
      <c r="X2064">
        <v>2017</v>
      </c>
      <c r="Y2064">
        <v>2018</v>
      </c>
      <c r="Z2064">
        <v>2886.77</v>
      </c>
      <c r="AB2064" t="s">
        <v>181</v>
      </c>
      <c r="AC2064" t="s">
        <v>182</v>
      </c>
      <c r="AD2064" t="s">
        <v>183</v>
      </c>
      <c r="AE2064">
        <v>0</v>
      </c>
      <c r="AF2064">
        <v>1</v>
      </c>
      <c r="AG2064" t="s">
        <v>821</v>
      </c>
      <c r="AH2064">
        <v>100</v>
      </c>
      <c r="AK2064">
        <v>0</v>
      </c>
      <c r="AL2064">
        <v>140000</v>
      </c>
      <c r="AM2064">
        <v>0</v>
      </c>
      <c r="AN2064">
        <v>140000</v>
      </c>
      <c r="AO2064">
        <v>2369</v>
      </c>
      <c r="AP2064">
        <v>2016</v>
      </c>
      <c r="AQ2064">
        <v>2.06</v>
      </c>
      <c r="AS2064" t="s">
        <v>24292</v>
      </c>
      <c r="AT2064" t="s">
        <v>15040</v>
      </c>
      <c r="AU2064" t="s">
        <v>177</v>
      </c>
      <c r="AV2064" t="s">
        <v>371</v>
      </c>
      <c r="AW2064" t="s">
        <v>182</v>
      </c>
      <c r="AX2064">
        <v>4</v>
      </c>
      <c r="AY2064" t="s">
        <v>188</v>
      </c>
      <c r="AZ2064" t="s">
        <v>296</v>
      </c>
      <c r="BA2064" t="s">
        <v>19069</v>
      </c>
      <c r="BB2064" t="s">
        <v>191</v>
      </c>
      <c r="BC2064" t="s">
        <v>182</v>
      </c>
      <c r="BD2064" t="s">
        <v>182</v>
      </c>
      <c r="BE2064" t="s">
        <v>1722</v>
      </c>
      <c r="BF2064">
        <v>1</v>
      </c>
      <c r="BG2064">
        <v>1</v>
      </c>
      <c r="BH2064">
        <v>1983</v>
      </c>
      <c r="BI2064" t="s">
        <v>13320</v>
      </c>
      <c r="BJ2064" t="s">
        <v>194</v>
      </c>
      <c r="BL2064" t="s">
        <v>2801</v>
      </c>
      <c r="BM2064" t="s">
        <v>273</v>
      </c>
      <c r="BN2064" t="s">
        <v>182</v>
      </c>
      <c r="BO2064" t="s">
        <v>198</v>
      </c>
      <c r="BP2064" t="s">
        <v>198</v>
      </c>
      <c r="BQ2064" t="s">
        <v>198</v>
      </c>
      <c r="BR2064" t="s">
        <v>198</v>
      </c>
      <c r="BS2064" t="s">
        <v>198</v>
      </c>
      <c r="BT2064" t="s">
        <v>198</v>
      </c>
      <c r="BU2064" t="s">
        <v>182</v>
      </c>
      <c r="BV2064" t="s">
        <v>198</v>
      </c>
      <c r="BW2064" t="s">
        <v>198</v>
      </c>
      <c r="BX2064" t="s">
        <v>199</v>
      </c>
      <c r="BY2064" t="s">
        <v>198</v>
      </c>
      <c r="BZ2064" t="s">
        <v>199</v>
      </c>
      <c r="CA2064" t="s">
        <v>199</v>
      </c>
      <c r="CB2064" t="s">
        <v>24293</v>
      </c>
      <c r="CC2064" t="s">
        <v>201</v>
      </c>
      <c r="CD2064" t="s">
        <v>182</v>
      </c>
      <c r="CE2064" t="s">
        <v>24294</v>
      </c>
      <c r="CF2064" t="s">
        <v>24295</v>
      </c>
      <c r="CG2064" t="s">
        <v>24296</v>
      </c>
      <c r="CH2064" t="s">
        <v>24297</v>
      </c>
      <c r="CI2064" t="s">
        <v>24298</v>
      </c>
      <c r="CJ2064" t="s">
        <v>21883</v>
      </c>
      <c r="CK2064" t="s">
        <v>267</v>
      </c>
      <c r="CL2064" t="s">
        <v>268</v>
      </c>
      <c r="CM2064" t="s">
        <v>24299</v>
      </c>
      <c r="CN2064" t="s">
        <v>235</v>
      </c>
      <c r="CO2064" t="s">
        <v>183</v>
      </c>
      <c r="CP2064" t="s">
        <v>211</v>
      </c>
      <c r="CQ2064" t="s">
        <v>189</v>
      </c>
      <c r="CS2064" t="s">
        <v>11762</v>
      </c>
      <c r="DC2064" t="s">
        <v>198</v>
      </c>
      <c r="DM2064" t="s">
        <v>198</v>
      </c>
      <c r="DW2064" t="s">
        <v>198</v>
      </c>
      <c r="EG2064" t="s">
        <v>198</v>
      </c>
      <c r="EQ2064" t="s">
        <v>198</v>
      </c>
      <c r="FA2064" t="s">
        <v>198</v>
      </c>
      <c r="FK2064" t="s">
        <v>198</v>
      </c>
      <c r="FU2064" t="s">
        <v>198</v>
      </c>
    </row>
    <row r="2065" spans="1:177">
      <c r="A2065" s="1" t="str">
        <f>HYPERLINK("http://digipan.lumentumllc.com/apps/getLink/index.php?t=PropLink&amp;p=6886594","PL")</f>
        <v>PL</v>
      </c>
      <c r="B2065" s="1" t="str">
        <f>HYPERLINK("http://digipan.lumentumllc.com/apps/getLink/index.php?t=TaxLink&amp;p=6886594","TL")</f>
        <v>TL</v>
      </c>
      <c r="C2065" s="1" t="str">
        <f>HYPERLINK("http://digipan.lumentumllc.com/apps/getMap/index.php?p=6886594","Map")</f>
        <v>Map</v>
      </c>
      <c r="E2065" t="s">
        <v>177</v>
      </c>
      <c r="F2065" t="s">
        <v>178</v>
      </c>
      <c r="L2065" t="s">
        <v>24300</v>
      </c>
      <c r="N2065" t="s">
        <v>24300</v>
      </c>
      <c r="O2065" t="s">
        <v>24300</v>
      </c>
      <c r="P2065" t="s">
        <v>24301</v>
      </c>
      <c r="Q2065" t="s">
        <v>24300</v>
      </c>
      <c r="V2065">
        <v>2366</v>
      </c>
      <c r="W2065">
        <v>8</v>
      </c>
      <c r="X2065">
        <v>2017</v>
      </c>
      <c r="Y2065">
        <v>2018</v>
      </c>
      <c r="Z2065">
        <v>9131.51</v>
      </c>
      <c r="AB2065" t="s">
        <v>181</v>
      </c>
      <c r="AC2065" t="s">
        <v>202</v>
      </c>
      <c r="AD2065" t="s">
        <v>183</v>
      </c>
      <c r="AE2065">
        <v>0</v>
      </c>
      <c r="AF2065">
        <v>2</v>
      </c>
      <c r="AG2065" t="s">
        <v>216</v>
      </c>
      <c r="AH2065">
        <v>100</v>
      </c>
      <c r="AK2065">
        <v>0</v>
      </c>
      <c r="AL2065">
        <v>475000</v>
      </c>
      <c r="AM2065">
        <v>475000</v>
      </c>
      <c r="AN2065">
        <v>0</v>
      </c>
      <c r="AO2065">
        <v>7289</v>
      </c>
      <c r="AP2065">
        <v>2016</v>
      </c>
      <c r="AQ2065">
        <v>1.92</v>
      </c>
      <c r="AS2065" t="s">
        <v>24302</v>
      </c>
      <c r="AT2065" t="s">
        <v>15040</v>
      </c>
      <c r="AU2065" t="s">
        <v>177</v>
      </c>
      <c r="AV2065" t="s">
        <v>371</v>
      </c>
      <c r="AW2065" t="s">
        <v>182</v>
      </c>
      <c r="AX2065">
        <v>0</v>
      </c>
      <c r="AY2065" t="s">
        <v>312</v>
      </c>
      <c r="AZ2065" t="s">
        <v>199</v>
      </c>
      <c r="BA2065" t="s">
        <v>313</v>
      </c>
      <c r="BB2065" t="s">
        <v>191</v>
      </c>
      <c r="BC2065" t="s">
        <v>182</v>
      </c>
      <c r="BD2065" t="s">
        <v>182</v>
      </c>
      <c r="BE2065" t="s">
        <v>3956</v>
      </c>
      <c r="BF2065">
        <v>0</v>
      </c>
      <c r="BG2065">
        <v>0</v>
      </c>
      <c r="BH2065">
        <v>0</v>
      </c>
      <c r="BI2065" t="s">
        <v>199</v>
      </c>
      <c r="BJ2065" t="s">
        <v>396</v>
      </c>
      <c r="BL2065" t="s">
        <v>3815</v>
      </c>
      <c r="BM2065" t="s">
        <v>302</v>
      </c>
      <c r="BN2065" t="s">
        <v>182</v>
      </c>
      <c r="BO2065" t="s">
        <v>3184</v>
      </c>
      <c r="BP2065" t="s">
        <v>24303</v>
      </c>
      <c r="BS2065" t="s">
        <v>24304</v>
      </c>
      <c r="BT2065" t="s">
        <v>198</v>
      </c>
      <c r="BU2065" t="s">
        <v>182</v>
      </c>
      <c r="BV2065" t="s">
        <v>198</v>
      </c>
      <c r="BW2065" t="s">
        <v>198</v>
      </c>
      <c r="BX2065" t="s">
        <v>199</v>
      </c>
      <c r="BY2065" t="s">
        <v>198</v>
      </c>
      <c r="BZ2065" t="s">
        <v>199</v>
      </c>
      <c r="CA2065" t="s">
        <v>199</v>
      </c>
      <c r="CB2065" t="s">
        <v>24305</v>
      </c>
      <c r="CC2065" t="s">
        <v>201</v>
      </c>
      <c r="CD2065" t="s">
        <v>202</v>
      </c>
      <c r="CE2065" t="s">
        <v>24306</v>
      </c>
      <c r="CF2065" t="s">
        <v>24307</v>
      </c>
      <c r="CG2065" t="s">
        <v>5520</v>
      </c>
      <c r="CH2065" t="s">
        <v>24308</v>
      </c>
      <c r="CI2065" t="s">
        <v>24309</v>
      </c>
      <c r="CJ2065" t="s">
        <v>15078</v>
      </c>
      <c r="CK2065" t="s">
        <v>292</v>
      </c>
      <c r="CL2065" t="s">
        <v>293</v>
      </c>
      <c r="CM2065" t="s">
        <v>24310</v>
      </c>
      <c r="CN2065" t="s">
        <v>235</v>
      </c>
      <c r="CO2065" t="s">
        <v>183</v>
      </c>
      <c r="CP2065" t="s">
        <v>211</v>
      </c>
      <c r="CQ2065" t="s">
        <v>270</v>
      </c>
      <c r="CR2065" t="s">
        <v>271</v>
      </c>
      <c r="CS2065" t="s">
        <v>2808</v>
      </c>
      <c r="CT2065" t="s">
        <v>9702</v>
      </c>
      <c r="CU2065" t="s">
        <v>267</v>
      </c>
      <c r="CV2065" t="s">
        <v>268</v>
      </c>
      <c r="CW2065" t="s">
        <v>24311</v>
      </c>
      <c r="CX2065" t="s">
        <v>235</v>
      </c>
      <c r="CY2065" t="s">
        <v>183</v>
      </c>
      <c r="CZ2065" t="s">
        <v>211</v>
      </c>
      <c r="DB2065" t="s">
        <v>271</v>
      </c>
      <c r="DC2065" t="s">
        <v>198</v>
      </c>
      <c r="DM2065" t="s">
        <v>198</v>
      </c>
      <c r="DW2065" t="s">
        <v>198</v>
      </c>
      <c r="EG2065" t="s">
        <v>198</v>
      </c>
      <c r="EQ2065" t="s">
        <v>198</v>
      </c>
      <c r="FA2065" t="s">
        <v>198</v>
      </c>
      <c r="FK2065" t="s">
        <v>198</v>
      </c>
      <c r="FU2065" t="s">
        <v>198</v>
      </c>
    </row>
    <row r="2066" spans="1:177">
      <c r="A2066" s="1" t="str">
        <f>HYPERLINK("http://digipan.lumentumllc.com/apps/getLink/index.php?t=PropLink&amp;p=4636890","PL")</f>
        <v>PL</v>
      </c>
      <c r="B2066" s="1" t="str">
        <f>HYPERLINK("http://digipan.lumentumllc.com/apps/getLink/index.php?t=TaxLink&amp;p=4636890","TL")</f>
        <v>TL</v>
      </c>
      <c r="C2066" s="1" t="str">
        <f>HYPERLINK("http://digipan.lumentumllc.com/apps/getMap/index.php?p=4636890","Map")</f>
        <v>Map</v>
      </c>
      <c r="E2066" t="s">
        <v>177</v>
      </c>
      <c r="F2066" t="s">
        <v>178</v>
      </c>
      <c r="L2066" t="s">
        <v>24312</v>
      </c>
      <c r="N2066" t="s">
        <v>24312</v>
      </c>
      <c r="O2066" t="s">
        <v>24312</v>
      </c>
      <c r="P2066" t="s">
        <v>24313</v>
      </c>
      <c r="Q2066" t="s">
        <v>24312</v>
      </c>
      <c r="V2066">
        <v>2367</v>
      </c>
      <c r="W2066">
        <v>8</v>
      </c>
      <c r="X2066">
        <v>2017</v>
      </c>
      <c r="Y2066">
        <v>2018</v>
      </c>
      <c r="Z2066">
        <v>10149.66</v>
      </c>
      <c r="AB2066" t="s">
        <v>181</v>
      </c>
      <c r="AC2066" t="s">
        <v>182</v>
      </c>
      <c r="AD2066" t="s">
        <v>183</v>
      </c>
      <c r="AE2066">
        <v>0</v>
      </c>
      <c r="AF2066">
        <v>3</v>
      </c>
      <c r="AG2066" t="s">
        <v>216</v>
      </c>
      <c r="AH2066">
        <v>100</v>
      </c>
      <c r="AK2066">
        <v>0</v>
      </c>
      <c r="AL2066">
        <v>691118</v>
      </c>
      <c r="AM2066">
        <v>365000</v>
      </c>
      <c r="AN2066">
        <v>326118</v>
      </c>
      <c r="AO2066">
        <v>9293</v>
      </c>
      <c r="AP2066">
        <v>2016</v>
      </c>
      <c r="AQ2066">
        <v>1.47</v>
      </c>
      <c r="AS2066" t="s">
        <v>24314</v>
      </c>
      <c r="AT2066" t="s">
        <v>15040</v>
      </c>
      <c r="AU2066" t="s">
        <v>177</v>
      </c>
      <c r="AV2066" t="s">
        <v>371</v>
      </c>
      <c r="AW2066" t="s">
        <v>202</v>
      </c>
      <c r="AX2066">
        <v>1</v>
      </c>
      <c r="AY2066" t="s">
        <v>188</v>
      </c>
      <c r="AZ2066" t="s">
        <v>206</v>
      </c>
      <c r="BA2066" t="s">
        <v>355</v>
      </c>
      <c r="BB2066" t="s">
        <v>191</v>
      </c>
      <c r="BC2066" t="s">
        <v>182</v>
      </c>
      <c r="BD2066" t="s">
        <v>182</v>
      </c>
      <c r="BE2066" t="s">
        <v>3930</v>
      </c>
      <c r="BF2066">
        <v>1</v>
      </c>
      <c r="BG2066">
        <v>1</v>
      </c>
      <c r="BH2066">
        <v>2006</v>
      </c>
      <c r="BI2066" t="s">
        <v>24315</v>
      </c>
      <c r="BJ2066" t="s">
        <v>396</v>
      </c>
      <c r="BK2066" t="s">
        <v>24230</v>
      </c>
      <c r="BL2066" t="s">
        <v>24316</v>
      </c>
      <c r="BM2066" t="s">
        <v>559</v>
      </c>
      <c r="BN2066" t="s">
        <v>182</v>
      </c>
      <c r="BO2066" t="s">
        <v>3184</v>
      </c>
      <c r="BP2066" t="s">
        <v>24317</v>
      </c>
      <c r="BS2066" t="s">
        <v>4387</v>
      </c>
      <c r="BT2066" t="s">
        <v>198</v>
      </c>
      <c r="BU2066" t="s">
        <v>182</v>
      </c>
      <c r="BV2066" t="s">
        <v>198</v>
      </c>
      <c r="BW2066" t="s">
        <v>198</v>
      </c>
      <c r="BX2066" t="s">
        <v>199</v>
      </c>
      <c r="BY2066" t="s">
        <v>198</v>
      </c>
      <c r="BZ2066" t="s">
        <v>199</v>
      </c>
      <c r="CA2066" t="s">
        <v>199</v>
      </c>
      <c r="CB2066" t="s">
        <v>24318</v>
      </c>
      <c r="CC2066" t="s">
        <v>201</v>
      </c>
      <c r="CD2066" t="s">
        <v>182</v>
      </c>
      <c r="CE2066" t="s">
        <v>24319</v>
      </c>
      <c r="CF2066" t="s">
        <v>5331</v>
      </c>
      <c r="CG2066" t="s">
        <v>177</v>
      </c>
      <c r="CH2066" t="s">
        <v>371</v>
      </c>
      <c r="CI2066" t="s">
        <v>783</v>
      </c>
      <c r="CJ2066" t="s">
        <v>9343</v>
      </c>
      <c r="CK2066" t="s">
        <v>292</v>
      </c>
      <c r="CL2066" t="s">
        <v>293</v>
      </c>
      <c r="CM2066" t="s">
        <v>24320</v>
      </c>
      <c r="CN2066" t="s">
        <v>235</v>
      </c>
      <c r="CO2066" t="s">
        <v>183</v>
      </c>
      <c r="CP2066" t="s">
        <v>211</v>
      </c>
      <c r="CQ2066" t="s">
        <v>206</v>
      </c>
      <c r="CS2066" t="s">
        <v>24321</v>
      </c>
      <c r="CT2066" t="s">
        <v>24322</v>
      </c>
      <c r="CU2066" t="s">
        <v>302</v>
      </c>
      <c r="CV2066" t="s">
        <v>303</v>
      </c>
      <c r="CW2066" t="s">
        <v>24323</v>
      </c>
      <c r="CX2066" t="s">
        <v>235</v>
      </c>
      <c r="CY2066" t="s">
        <v>183</v>
      </c>
      <c r="CZ2066" t="s">
        <v>211</v>
      </c>
      <c r="DA2066" t="s">
        <v>199</v>
      </c>
      <c r="DC2066" t="s">
        <v>6165</v>
      </c>
      <c r="DD2066" t="s">
        <v>24324</v>
      </c>
      <c r="DE2066" t="s">
        <v>207</v>
      </c>
      <c r="DF2066" t="s">
        <v>208</v>
      </c>
      <c r="DG2066" t="s">
        <v>24325</v>
      </c>
      <c r="DH2066" t="s">
        <v>235</v>
      </c>
      <c r="DI2066" t="s">
        <v>183</v>
      </c>
      <c r="DJ2066" t="s">
        <v>211</v>
      </c>
      <c r="DK2066" t="s">
        <v>206</v>
      </c>
      <c r="DM2066" t="s">
        <v>7014</v>
      </c>
      <c r="DW2066" t="s">
        <v>198</v>
      </c>
      <c r="EG2066" t="s">
        <v>198</v>
      </c>
      <c r="EQ2066" t="s">
        <v>198</v>
      </c>
      <c r="FA2066" t="s">
        <v>198</v>
      </c>
      <c r="FK2066" t="s">
        <v>198</v>
      </c>
      <c r="FU2066" t="s">
        <v>198</v>
      </c>
    </row>
    <row r="2067" spans="1:177">
      <c r="A2067" s="1" t="str">
        <f>HYPERLINK("http://digipan.lumentumllc.com/apps/getLink/index.php?t=PropLink&amp;p=5244268","PL")</f>
        <v>PL</v>
      </c>
      <c r="B2067" s="1" t="str">
        <f>HYPERLINK("http://digipan.lumentumllc.com/apps/getLink/index.php?t=TaxLink&amp;p=5244268","TL")</f>
        <v>TL</v>
      </c>
      <c r="C2067" s="1" t="str">
        <f>HYPERLINK("http://digipan.lumentumllc.com/apps/getMap/index.php?p=5244268","Map")</f>
        <v>Map</v>
      </c>
      <c r="E2067" t="s">
        <v>177</v>
      </c>
      <c r="F2067" t="s">
        <v>178</v>
      </c>
      <c r="L2067" t="s">
        <v>24326</v>
      </c>
      <c r="N2067" t="s">
        <v>24326</v>
      </c>
      <c r="O2067" t="s">
        <v>24326</v>
      </c>
      <c r="P2067" t="s">
        <v>24327</v>
      </c>
      <c r="Q2067" t="s">
        <v>24326</v>
      </c>
      <c r="V2067">
        <v>2369</v>
      </c>
      <c r="W2067">
        <v>8</v>
      </c>
      <c r="X2067">
        <v>2017</v>
      </c>
      <c r="Y2067">
        <v>2018</v>
      </c>
      <c r="Z2067">
        <v>3084.99</v>
      </c>
      <c r="AB2067" t="s">
        <v>181</v>
      </c>
      <c r="AC2067" t="s">
        <v>202</v>
      </c>
      <c r="AD2067" t="s">
        <v>183</v>
      </c>
      <c r="AE2067">
        <v>0</v>
      </c>
      <c r="AF2067">
        <v>7</v>
      </c>
      <c r="AG2067" t="s">
        <v>528</v>
      </c>
      <c r="AH2067">
        <v>100</v>
      </c>
      <c r="AK2067">
        <v>0</v>
      </c>
      <c r="AL2067">
        <v>165000</v>
      </c>
      <c r="AM2067">
        <v>165000</v>
      </c>
      <c r="AN2067">
        <v>0</v>
      </c>
      <c r="AO2067">
        <v>2440</v>
      </c>
      <c r="AP2067">
        <v>2016</v>
      </c>
      <c r="AQ2067">
        <v>1.87</v>
      </c>
      <c r="AS2067" t="s">
        <v>24328</v>
      </c>
      <c r="AT2067" t="s">
        <v>15040</v>
      </c>
      <c r="AU2067" t="s">
        <v>177</v>
      </c>
      <c r="AV2067" t="s">
        <v>371</v>
      </c>
      <c r="AW2067" t="s">
        <v>182</v>
      </c>
      <c r="AX2067">
        <v>0</v>
      </c>
      <c r="AY2067" t="s">
        <v>312</v>
      </c>
      <c r="AZ2067" t="s">
        <v>199</v>
      </c>
      <c r="BA2067" t="s">
        <v>313</v>
      </c>
      <c r="BB2067" t="s">
        <v>191</v>
      </c>
      <c r="BC2067" t="s">
        <v>182</v>
      </c>
      <c r="BD2067" t="s">
        <v>182</v>
      </c>
      <c r="BE2067" t="s">
        <v>3930</v>
      </c>
      <c r="BF2067">
        <v>0</v>
      </c>
      <c r="BG2067">
        <v>0</v>
      </c>
      <c r="BH2067">
        <v>0</v>
      </c>
      <c r="BI2067" t="s">
        <v>199</v>
      </c>
      <c r="BJ2067" t="s">
        <v>396</v>
      </c>
      <c r="BL2067" t="s">
        <v>199</v>
      </c>
      <c r="BM2067" t="s">
        <v>286</v>
      </c>
      <c r="BN2067" t="s">
        <v>182</v>
      </c>
      <c r="BO2067" t="s">
        <v>198</v>
      </c>
      <c r="BP2067" t="s">
        <v>198</v>
      </c>
      <c r="BQ2067" t="s">
        <v>198</v>
      </c>
      <c r="BR2067" t="s">
        <v>198</v>
      </c>
      <c r="BS2067" t="s">
        <v>198</v>
      </c>
      <c r="BT2067" t="s">
        <v>198</v>
      </c>
      <c r="BU2067" t="s">
        <v>182</v>
      </c>
      <c r="BV2067" t="s">
        <v>198</v>
      </c>
      <c r="BW2067" t="s">
        <v>198</v>
      </c>
      <c r="BX2067" t="s">
        <v>199</v>
      </c>
      <c r="BY2067" t="s">
        <v>198</v>
      </c>
      <c r="BZ2067" t="s">
        <v>199</v>
      </c>
      <c r="CA2067" t="s">
        <v>199</v>
      </c>
      <c r="CB2067" t="s">
        <v>24318</v>
      </c>
      <c r="CC2067" t="s">
        <v>201</v>
      </c>
      <c r="CD2067" t="s">
        <v>182</v>
      </c>
      <c r="CE2067" t="s">
        <v>24329</v>
      </c>
      <c r="CF2067" t="s">
        <v>5331</v>
      </c>
      <c r="CG2067" t="s">
        <v>177</v>
      </c>
      <c r="CH2067" t="s">
        <v>371</v>
      </c>
      <c r="CI2067" t="s">
        <v>19158</v>
      </c>
      <c r="CJ2067" t="s">
        <v>15612</v>
      </c>
      <c r="CK2067" t="s">
        <v>292</v>
      </c>
      <c r="CL2067" t="s">
        <v>293</v>
      </c>
      <c r="CM2067" t="s">
        <v>24330</v>
      </c>
      <c r="CN2067" t="s">
        <v>235</v>
      </c>
      <c r="CO2067" t="s">
        <v>183</v>
      </c>
      <c r="CP2067" t="s">
        <v>211</v>
      </c>
      <c r="CQ2067" t="s">
        <v>270</v>
      </c>
      <c r="CR2067" t="s">
        <v>271</v>
      </c>
      <c r="CS2067" t="s">
        <v>338</v>
      </c>
      <c r="CT2067" t="s">
        <v>21985</v>
      </c>
      <c r="CU2067" t="s">
        <v>267</v>
      </c>
      <c r="CV2067" t="s">
        <v>268</v>
      </c>
      <c r="CW2067" t="s">
        <v>24331</v>
      </c>
      <c r="CX2067" t="s">
        <v>235</v>
      </c>
      <c r="CY2067" t="s">
        <v>183</v>
      </c>
      <c r="CZ2067" t="s">
        <v>211</v>
      </c>
      <c r="DB2067" t="s">
        <v>271</v>
      </c>
      <c r="DC2067" t="s">
        <v>198</v>
      </c>
      <c r="DD2067" t="s">
        <v>5404</v>
      </c>
      <c r="DE2067" t="s">
        <v>273</v>
      </c>
      <c r="DF2067" t="s">
        <v>274</v>
      </c>
      <c r="DG2067" t="s">
        <v>24332</v>
      </c>
      <c r="DH2067" t="s">
        <v>235</v>
      </c>
      <c r="DI2067" t="s">
        <v>183</v>
      </c>
      <c r="DJ2067" t="s">
        <v>211</v>
      </c>
      <c r="DK2067" t="s">
        <v>345</v>
      </c>
      <c r="DM2067" t="s">
        <v>3539</v>
      </c>
      <c r="DN2067" t="s">
        <v>20753</v>
      </c>
      <c r="DO2067" t="s">
        <v>302</v>
      </c>
      <c r="DP2067" t="s">
        <v>303</v>
      </c>
      <c r="DQ2067" t="s">
        <v>24333</v>
      </c>
      <c r="DR2067" t="s">
        <v>235</v>
      </c>
      <c r="DS2067" t="s">
        <v>183</v>
      </c>
      <c r="DT2067" t="s">
        <v>211</v>
      </c>
      <c r="DU2067" t="s">
        <v>298</v>
      </c>
      <c r="DW2067" t="s">
        <v>1346</v>
      </c>
      <c r="DX2067" t="s">
        <v>4764</v>
      </c>
      <c r="DY2067" t="s">
        <v>238</v>
      </c>
      <c r="DZ2067" t="s">
        <v>239</v>
      </c>
      <c r="EA2067" t="s">
        <v>24334</v>
      </c>
      <c r="EB2067" t="s">
        <v>1551</v>
      </c>
      <c r="EC2067" t="s">
        <v>183</v>
      </c>
      <c r="ED2067" t="s">
        <v>211</v>
      </c>
      <c r="EE2067" t="s">
        <v>345</v>
      </c>
      <c r="EG2067" t="s">
        <v>2493</v>
      </c>
      <c r="EH2067" t="s">
        <v>24335</v>
      </c>
      <c r="EI2067" t="s">
        <v>346</v>
      </c>
      <c r="EJ2067" t="s">
        <v>347</v>
      </c>
      <c r="EK2067" t="s">
        <v>24212</v>
      </c>
      <c r="EL2067" t="s">
        <v>1491</v>
      </c>
      <c r="EM2067" t="s">
        <v>183</v>
      </c>
      <c r="EN2067" t="s">
        <v>211</v>
      </c>
      <c r="EO2067" t="s">
        <v>633</v>
      </c>
      <c r="EQ2067" t="s">
        <v>24336</v>
      </c>
      <c r="ER2067" t="s">
        <v>24337</v>
      </c>
      <c r="ES2067" t="s">
        <v>207</v>
      </c>
      <c r="ET2067" t="s">
        <v>208</v>
      </c>
      <c r="EU2067" t="s">
        <v>24338</v>
      </c>
      <c r="EV2067" t="s">
        <v>688</v>
      </c>
      <c r="EW2067" t="s">
        <v>183</v>
      </c>
      <c r="EX2067" t="s">
        <v>211</v>
      </c>
      <c r="EY2067" t="s">
        <v>345</v>
      </c>
      <c r="FA2067" t="s">
        <v>1703</v>
      </c>
      <c r="FK2067" t="s">
        <v>198</v>
      </c>
      <c r="FU2067" t="s">
        <v>198</v>
      </c>
    </row>
    <row r="2068" spans="1:177">
      <c r="A2068" s="1" t="str">
        <f>HYPERLINK("http://digipan.lumentumllc.com/apps/getLink/index.php?t=PropLink&amp;p=15730766","PL")</f>
        <v>PL</v>
      </c>
      <c r="B2068" s="1" t="str">
        <f>HYPERLINK("http://digipan.lumentumllc.com/apps/getLink/index.php?t=TaxLink&amp;p=15730766","TL")</f>
        <v>TL</v>
      </c>
      <c r="C2068" s="1" t="str">
        <f>HYPERLINK("http://digipan.lumentumllc.com/apps/getMap/index.php?p=15730766","Map")</f>
        <v>Map</v>
      </c>
      <c r="E2068" t="s">
        <v>177</v>
      </c>
      <c r="F2068" t="s">
        <v>178</v>
      </c>
      <c r="L2068" t="s">
        <v>24339</v>
      </c>
      <c r="N2068" t="s">
        <v>24339</v>
      </c>
      <c r="O2068" t="s">
        <v>24339</v>
      </c>
      <c r="Q2068" t="s">
        <v>24339</v>
      </c>
      <c r="V2068">
        <v>2370</v>
      </c>
      <c r="W2068">
        <v>8</v>
      </c>
      <c r="X2068">
        <v>2017</v>
      </c>
      <c r="Y2068">
        <v>2018</v>
      </c>
      <c r="Z2068">
        <v>2601.27</v>
      </c>
      <c r="AG2068" t="s">
        <v>184</v>
      </c>
      <c r="AH2068">
        <v>0</v>
      </c>
      <c r="AK2068">
        <v>0</v>
      </c>
      <c r="AL2068">
        <v>140000</v>
      </c>
      <c r="AM2068">
        <v>140000</v>
      </c>
      <c r="AN2068">
        <v>0</v>
      </c>
      <c r="AO2068">
        <v>2079</v>
      </c>
      <c r="AP2068">
        <v>2016</v>
      </c>
      <c r="AQ2068">
        <v>1.86</v>
      </c>
      <c r="AS2068" t="s">
        <v>24340</v>
      </c>
      <c r="AT2068" t="s">
        <v>15040</v>
      </c>
      <c r="AU2068" t="s">
        <v>177</v>
      </c>
      <c r="AV2068" t="s">
        <v>371</v>
      </c>
      <c r="AW2068" t="s">
        <v>182</v>
      </c>
      <c r="AX2068">
        <v>0</v>
      </c>
      <c r="AY2068" t="s">
        <v>312</v>
      </c>
      <c r="AZ2068" t="s">
        <v>199</v>
      </c>
      <c r="BA2068" t="s">
        <v>313</v>
      </c>
      <c r="BB2068" t="s">
        <v>191</v>
      </c>
      <c r="BC2068" t="s">
        <v>182</v>
      </c>
      <c r="BD2068" t="s">
        <v>182</v>
      </c>
      <c r="BE2068" t="s">
        <v>3930</v>
      </c>
      <c r="BF2068">
        <v>0</v>
      </c>
      <c r="BG2068">
        <v>0</v>
      </c>
      <c r="BH2068">
        <v>0</v>
      </c>
      <c r="BI2068" t="s">
        <v>199</v>
      </c>
      <c r="BJ2068" t="s">
        <v>248</v>
      </c>
      <c r="BL2068" t="s">
        <v>578</v>
      </c>
      <c r="BM2068" t="s">
        <v>197</v>
      </c>
      <c r="BN2068" t="s">
        <v>182</v>
      </c>
      <c r="BO2068" t="s">
        <v>2015</v>
      </c>
      <c r="BP2068" t="s">
        <v>24341</v>
      </c>
      <c r="BQ2068" t="s">
        <v>800</v>
      </c>
      <c r="BR2068" t="s">
        <v>563</v>
      </c>
      <c r="BS2068" t="s">
        <v>198</v>
      </c>
      <c r="BT2068" t="s">
        <v>24342</v>
      </c>
      <c r="BU2068" t="s">
        <v>182</v>
      </c>
      <c r="BV2068" t="s">
        <v>198</v>
      </c>
      <c r="BW2068" t="s">
        <v>198</v>
      </c>
      <c r="BX2068" t="s">
        <v>199</v>
      </c>
      <c r="BY2068" t="s">
        <v>198</v>
      </c>
      <c r="BZ2068" t="s">
        <v>199</v>
      </c>
      <c r="CA2068" t="s">
        <v>199</v>
      </c>
      <c r="CB2068" t="s">
        <v>24343</v>
      </c>
      <c r="CC2068" t="s">
        <v>201</v>
      </c>
      <c r="CD2068" t="s">
        <v>202</v>
      </c>
      <c r="CE2068" t="s">
        <v>24344</v>
      </c>
      <c r="CF2068" t="s">
        <v>413</v>
      </c>
      <c r="CG2068" t="s">
        <v>177</v>
      </c>
      <c r="CH2068" t="s">
        <v>24345</v>
      </c>
      <c r="CI2068" t="s">
        <v>24346</v>
      </c>
      <c r="CS2068" t="s">
        <v>198</v>
      </c>
      <c r="DC2068" t="s">
        <v>198</v>
      </c>
      <c r="DM2068" t="s">
        <v>198</v>
      </c>
      <c r="DW2068" t="s">
        <v>198</v>
      </c>
      <c r="EG2068" t="s">
        <v>198</v>
      </c>
      <c r="EQ2068" t="s">
        <v>198</v>
      </c>
      <c r="FA2068" t="s">
        <v>198</v>
      </c>
      <c r="FK2068" t="s">
        <v>198</v>
      </c>
      <c r="FU2068" t="s">
        <v>198</v>
      </c>
    </row>
    <row r="2069" spans="1:177">
      <c r="A2069" s="1" t="str">
        <f>HYPERLINK("http://digipan.lumentumllc.com/apps/getLink/index.php?t=PropLink&amp;p=6594042","PL")</f>
        <v>PL</v>
      </c>
      <c r="B2069" s="1" t="str">
        <f>HYPERLINK("http://digipan.lumentumllc.com/apps/getLink/index.php?t=TaxLink&amp;p=6594042","TL")</f>
        <v>TL</v>
      </c>
      <c r="C2069" s="1" t="str">
        <f>HYPERLINK("http://digipan.lumentumllc.com/apps/getMap/index.php?p=6594042","Map")</f>
        <v>Map</v>
      </c>
      <c r="E2069" t="s">
        <v>177</v>
      </c>
      <c r="F2069" t="s">
        <v>178</v>
      </c>
      <c r="L2069" t="s">
        <v>24347</v>
      </c>
      <c r="N2069" t="s">
        <v>24347</v>
      </c>
      <c r="O2069" t="s">
        <v>24347</v>
      </c>
      <c r="P2069" t="s">
        <v>24348</v>
      </c>
      <c r="Q2069" t="s">
        <v>24347</v>
      </c>
      <c r="V2069">
        <v>2371</v>
      </c>
      <c r="W2069">
        <v>8</v>
      </c>
      <c r="X2069">
        <v>2017</v>
      </c>
      <c r="Y2069">
        <v>2018</v>
      </c>
      <c r="Z2069">
        <v>3595.5</v>
      </c>
      <c r="AB2069" t="s">
        <v>181</v>
      </c>
      <c r="AC2069" t="s">
        <v>182</v>
      </c>
      <c r="AD2069" t="s">
        <v>183</v>
      </c>
      <c r="AE2069">
        <v>0</v>
      </c>
      <c r="AF2069">
        <v>2</v>
      </c>
      <c r="AG2069" t="s">
        <v>216</v>
      </c>
      <c r="AH2069">
        <v>100</v>
      </c>
      <c r="AK2069">
        <v>0</v>
      </c>
      <c r="AL2069">
        <v>202750</v>
      </c>
      <c r="AM2069">
        <v>140000</v>
      </c>
      <c r="AN2069">
        <v>62750</v>
      </c>
      <c r="AO2069">
        <v>2518</v>
      </c>
      <c r="AP2069">
        <v>2016</v>
      </c>
      <c r="AQ2069">
        <v>1.77</v>
      </c>
      <c r="AS2069" t="s">
        <v>24349</v>
      </c>
      <c r="AT2069" t="s">
        <v>15040</v>
      </c>
      <c r="AU2069" t="s">
        <v>177</v>
      </c>
      <c r="AV2069" t="s">
        <v>371</v>
      </c>
      <c r="AW2069" t="s">
        <v>182</v>
      </c>
      <c r="AX2069">
        <v>1</v>
      </c>
      <c r="AY2069" t="s">
        <v>188</v>
      </c>
      <c r="AZ2069" t="s">
        <v>206</v>
      </c>
      <c r="BA2069" t="s">
        <v>355</v>
      </c>
      <c r="BB2069" t="s">
        <v>191</v>
      </c>
      <c r="BC2069" t="s">
        <v>182</v>
      </c>
      <c r="BD2069" t="s">
        <v>182</v>
      </c>
      <c r="BE2069" t="s">
        <v>3930</v>
      </c>
      <c r="BF2069">
        <v>1</v>
      </c>
      <c r="BG2069">
        <v>1</v>
      </c>
      <c r="BH2069">
        <v>1957</v>
      </c>
      <c r="BI2069" t="s">
        <v>20515</v>
      </c>
      <c r="BJ2069" t="s">
        <v>194</v>
      </c>
      <c r="BK2069" t="s">
        <v>195</v>
      </c>
      <c r="BL2069" t="s">
        <v>24350</v>
      </c>
      <c r="BM2069" t="s">
        <v>273</v>
      </c>
      <c r="BN2069" t="s">
        <v>182</v>
      </c>
      <c r="BO2069" t="s">
        <v>24351</v>
      </c>
      <c r="BP2069" t="s">
        <v>8325</v>
      </c>
      <c r="BS2069" t="s">
        <v>13104</v>
      </c>
      <c r="BT2069" t="s">
        <v>198</v>
      </c>
      <c r="BU2069" t="s">
        <v>182</v>
      </c>
      <c r="BV2069" t="s">
        <v>198</v>
      </c>
      <c r="BW2069" t="s">
        <v>198</v>
      </c>
      <c r="BX2069" t="s">
        <v>199</v>
      </c>
      <c r="BY2069" t="s">
        <v>198</v>
      </c>
      <c r="BZ2069" t="s">
        <v>199</v>
      </c>
      <c r="CA2069" t="s">
        <v>199</v>
      </c>
      <c r="CB2069" t="s">
        <v>24352</v>
      </c>
      <c r="CC2069" t="s">
        <v>201</v>
      </c>
      <c r="CD2069" t="s">
        <v>182</v>
      </c>
      <c r="CE2069" t="s">
        <v>24353</v>
      </c>
      <c r="CF2069" t="s">
        <v>5331</v>
      </c>
      <c r="CG2069" t="s">
        <v>177</v>
      </c>
      <c r="CH2069" t="s">
        <v>371</v>
      </c>
      <c r="CI2069" t="s">
        <v>24354</v>
      </c>
      <c r="CJ2069" t="s">
        <v>3593</v>
      </c>
      <c r="CK2069" t="s">
        <v>292</v>
      </c>
      <c r="CL2069" t="s">
        <v>293</v>
      </c>
      <c r="CM2069" t="s">
        <v>24355</v>
      </c>
      <c r="CN2069" t="s">
        <v>235</v>
      </c>
      <c r="CO2069" t="s">
        <v>183</v>
      </c>
      <c r="CP2069" t="s">
        <v>211</v>
      </c>
      <c r="CQ2069" t="s">
        <v>264</v>
      </c>
      <c r="CS2069" t="s">
        <v>18537</v>
      </c>
      <c r="CT2069" t="s">
        <v>16382</v>
      </c>
      <c r="CU2069" t="s">
        <v>267</v>
      </c>
      <c r="CV2069" t="s">
        <v>268</v>
      </c>
      <c r="CW2069" t="s">
        <v>24356</v>
      </c>
      <c r="CX2069" t="s">
        <v>235</v>
      </c>
      <c r="CY2069" t="s">
        <v>183</v>
      </c>
      <c r="CZ2069" t="s">
        <v>211</v>
      </c>
      <c r="DA2069" t="s">
        <v>471</v>
      </c>
      <c r="DC2069" t="s">
        <v>18537</v>
      </c>
      <c r="DM2069" t="s">
        <v>198</v>
      </c>
      <c r="DW2069" t="s">
        <v>198</v>
      </c>
      <c r="EG2069" t="s">
        <v>198</v>
      </c>
      <c r="EQ2069" t="s">
        <v>198</v>
      </c>
      <c r="FA2069" t="s">
        <v>198</v>
      </c>
      <c r="FK2069" t="s">
        <v>198</v>
      </c>
      <c r="FU2069" t="s">
        <v>198</v>
      </c>
    </row>
    <row r="2070" spans="1:177">
      <c r="A2070" s="1" t="str">
        <f>HYPERLINK("http://digipan.lumentumllc.com/apps/getLink/index.php?t=PropLink&amp;p=7112300","PL")</f>
        <v>PL</v>
      </c>
      <c r="B2070" s="1" t="str">
        <f>HYPERLINK("http://digipan.lumentumllc.com/apps/getLink/index.php?t=TaxLink&amp;p=7112300","TL")</f>
        <v>TL</v>
      </c>
      <c r="C2070" s="1" t="str">
        <f>HYPERLINK("http://digipan.lumentumllc.com/apps/getMap/index.php?p=7112300","Map")</f>
        <v>Map</v>
      </c>
      <c r="E2070" t="s">
        <v>177</v>
      </c>
      <c r="F2070" t="s">
        <v>178</v>
      </c>
      <c r="L2070" t="s">
        <v>24357</v>
      </c>
      <c r="N2070" t="s">
        <v>24357</v>
      </c>
      <c r="O2070" t="s">
        <v>24357</v>
      </c>
      <c r="P2070" t="s">
        <v>24358</v>
      </c>
      <c r="Q2070" t="s">
        <v>24357</v>
      </c>
      <c r="V2070">
        <v>2372</v>
      </c>
      <c r="W2070">
        <v>8</v>
      </c>
      <c r="X2070">
        <v>2017</v>
      </c>
      <c r="Y2070">
        <v>2018</v>
      </c>
      <c r="Z2070">
        <v>5447.62</v>
      </c>
      <c r="AB2070" t="s">
        <v>181</v>
      </c>
      <c r="AC2070" t="s">
        <v>182</v>
      </c>
      <c r="AD2070" t="s">
        <v>183</v>
      </c>
      <c r="AE2070">
        <v>1</v>
      </c>
      <c r="AF2070">
        <v>1</v>
      </c>
      <c r="AG2070" t="s">
        <v>2222</v>
      </c>
      <c r="AH2070">
        <v>50</v>
      </c>
      <c r="AI2070">
        <v>4352.2299999999996</v>
      </c>
      <c r="AJ2070">
        <v>217.61</v>
      </c>
      <c r="AK2070">
        <v>4569.84</v>
      </c>
      <c r="AL2070">
        <v>251245</v>
      </c>
      <c r="AM2070">
        <v>140000</v>
      </c>
      <c r="AN2070">
        <v>111245</v>
      </c>
      <c r="AO2070">
        <v>3999</v>
      </c>
      <c r="AP2070">
        <v>2016</v>
      </c>
      <c r="AQ2070">
        <v>2.17</v>
      </c>
      <c r="AR2070">
        <v>1.82</v>
      </c>
      <c r="AS2070" t="s">
        <v>24359</v>
      </c>
      <c r="AT2070" t="s">
        <v>15040</v>
      </c>
      <c r="AU2070" t="s">
        <v>177</v>
      </c>
      <c r="AV2070" t="s">
        <v>371</v>
      </c>
      <c r="AW2070" t="s">
        <v>182</v>
      </c>
      <c r="AX2070">
        <v>8</v>
      </c>
      <c r="AY2070" t="s">
        <v>188</v>
      </c>
      <c r="AZ2070" t="s">
        <v>329</v>
      </c>
      <c r="BA2070" t="s">
        <v>6773</v>
      </c>
      <c r="BB2070" t="s">
        <v>191</v>
      </c>
      <c r="BC2070" t="s">
        <v>182</v>
      </c>
      <c r="BD2070" t="s">
        <v>182</v>
      </c>
      <c r="BE2070" t="s">
        <v>3930</v>
      </c>
      <c r="BF2070">
        <v>1</v>
      </c>
      <c r="BG2070">
        <v>1</v>
      </c>
      <c r="BH2070">
        <v>1957</v>
      </c>
      <c r="BI2070" t="s">
        <v>16314</v>
      </c>
      <c r="BJ2070" t="s">
        <v>194</v>
      </c>
      <c r="BK2070" t="s">
        <v>840</v>
      </c>
      <c r="BL2070" t="s">
        <v>199</v>
      </c>
      <c r="BM2070" t="s">
        <v>1414</v>
      </c>
      <c r="BN2070" t="s">
        <v>182</v>
      </c>
      <c r="BO2070" t="s">
        <v>198</v>
      </c>
      <c r="BP2070" t="s">
        <v>198</v>
      </c>
      <c r="BQ2070" t="s">
        <v>198</v>
      </c>
      <c r="BR2070" t="s">
        <v>198</v>
      </c>
      <c r="BS2070" t="s">
        <v>198</v>
      </c>
      <c r="BT2070" t="s">
        <v>198</v>
      </c>
      <c r="BU2070" t="s">
        <v>182</v>
      </c>
      <c r="BV2070" t="s">
        <v>198</v>
      </c>
      <c r="BW2070" t="s">
        <v>198</v>
      </c>
      <c r="BX2070" t="s">
        <v>199</v>
      </c>
      <c r="BY2070" t="s">
        <v>198</v>
      </c>
      <c r="BZ2070" t="s">
        <v>199</v>
      </c>
      <c r="CA2070" t="s">
        <v>199</v>
      </c>
      <c r="CB2070" t="s">
        <v>24360</v>
      </c>
      <c r="CC2070" t="s">
        <v>201</v>
      </c>
      <c r="CD2070" t="s">
        <v>202</v>
      </c>
      <c r="CE2070" t="s">
        <v>24361</v>
      </c>
      <c r="CF2070" t="s">
        <v>6108</v>
      </c>
      <c r="CG2070" t="s">
        <v>1602</v>
      </c>
      <c r="CH2070" t="s">
        <v>6109</v>
      </c>
      <c r="CI2070" t="s">
        <v>24362</v>
      </c>
      <c r="CJ2070" t="s">
        <v>15612</v>
      </c>
      <c r="CK2070" t="s">
        <v>232</v>
      </c>
      <c r="CL2070" t="s">
        <v>233</v>
      </c>
      <c r="CM2070" t="s">
        <v>24363</v>
      </c>
      <c r="CN2070" t="s">
        <v>235</v>
      </c>
      <c r="CO2070" t="s">
        <v>183</v>
      </c>
      <c r="CP2070" t="s">
        <v>266</v>
      </c>
      <c r="CS2070" t="s">
        <v>198</v>
      </c>
      <c r="CT2070" t="s">
        <v>15653</v>
      </c>
      <c r="CU2070" t="s">
        <v>292</v>
      </c>
      <c r="CV2070" t="s">
        <v>293</v>
      </c>
      <c r="CW2070" t="s">
        <v>24364</v>
      </c>
      <c r="CX2070" t="s">
        <v>235</v>
      </c>
      <c r="CY2070" t="s">
        <v>183</v>
      </c>
      <c r="CZ2070" t="s">
        <v>211</v>
      </c>
      <c r="DA2070" t="s">
        <v>337</v>
      </c>
      <c r="DC2070" t="s">
        <v>540</v>
      </c>
      <c r="DM2070" t="s">
        <v>198</v>
      </c>
      <c r="DW2070" t="s">
        <v>198</v>
      </c>
      <c r="EG2070" t="s">
        <v>198</v>
      </c>
      <c r="EQ2070" t="s">
        <v>198</v>
      </c>
      <c r="FA2070" t="s">
        <v>198</v>
      </c>
      <c r="FK2070" t="s">
        <v>198</v>
      </c>
      <c r="FU2070" t="s">
        <v>198</v>
      </c>
    </row>
    <row r="2071" spans="1:177">
      <c r="A2071" s="1" t="str">
        <f>HYPERLINK("http://digipan.lumentumllc.com/apps/getLink/index.php?t=PropLink&amp;p=15730812","PL")</f>
        <v>PL</v>
      </c>
      <c r="B2071" s="1" t="str">
        <f>HYPERLINK("http://digipan.lumentumllc.com/apps/getLink/index.php?t=TaxLink&amp;p=15730812","TL")</f>
        <v>TL</v>
      </c>
      <c r="C2071" s="1" t="str">
        <f>HYPERLINK("http://digipan.lumentumllc.com/apps/getMap/index.php?p=15730812","Map")</f>
        <v>Map</v>
      </c>
      <c r="E2071" t="s">
        <v>177</v>
      </c>
      <c r="F2071" t="s">
        <v>178</v>
      </c>
      <c r="L2071" t="s">
        <v>24365</v>
      </c>
      <c r="N2071" t="s">
        <v>24365</v>
      </c>
      <c r="O2071" t="s">
        <v>24365</v>
      </c>
      <c r="Q2071" t="s">
        <v>24365</v>
      </c>
      <c r="V2071">
        <v>2373</v>
      </c>
      <c r="W2071">
        <v>8</v>
      </c>
      <c r="X2071">
        <v>2017</v>
      </c>
      <c r="Y2071">
        <v>2018</v>
      </c>
      <c r="Z2071">
        <v>2216.3000000000002</v>
      </c>
      <c r="AG2071" t="s">
        <v>184</v>
      </c>
      <c r="AH2071">
        <v>0</v>
      </c>
      <c r="AK2071">
        <v>0</v>
      </c>
      <c r="AL2071">
        <v>217480</v>
      </c>
      <c r="AM2071">
        <v>90000</v>
      </c>
      <c r="AN2071">
        <v>127480</v>
      </c>
      <c r="AO2071">
        <v>1994</v>
      </c>
      <c r="AP2071">
        <v>2016</v>
      </c>
      <c r="AQ2071">
        <v>1.02</v>
      </c>
      <c r="AS2071" t="s">
        <v>24366</v>
      </c>
      <c r="AT2071" t="s">
        <v>15040</v>
      </c>
      <c r="AU2071" t="s">
        <v>177</v>
      </c>
      <c r="AV2071" t="s">
        <v>371</v>
      </c>
      <c r="AW2071" t="s">
        <v>202</v>
      </c>
      <c r="AX2071">
        <v>1</v>
      </c>
      <c r="AY2071" t="s">
        <v>188</v>
      </c>
      <c r="AZ2071" t="s">
        <v>206</v>
      </c>
      <c r="BA2071" t="s">
        <v>355</v>
      </c>
      <c r="BB2071" t="s">
        <v>191</v>
      </c>
      <c r="BC2071" t="s">
        <v>182</v>
      </c>
      <c r="BD2071" t="s">
        <v>182</v>
      </c>
      <c r="BE2071" t="s">
        <v>11838</v>
      </c>
      <c r="BF2071">
        <v>1</v>
      </c>
      <c r="BG2071">
        <v>1</v>
      </c>
      <c r="BH2071">
        <v>1991</v>
      </c>
      <c r="BI2071" t="s">
        <v>15008</v>
      </c>
      <c r="BJ2071" t="s">
        <v>396</v>
      </c>
      <c r="BK2071" t="s">
        <v>195</v>
      </c>
      <c r="BL2071" t="s">
        <v>24367</v>
      </c>
      <c r="BM2071" t="s">
        <v>501</v>
      </c>
      <c r="BN2071" t="s">
        <v>182</v>
      </c>
      <c r="BO2071" t="s">
        <v>24368</v>
      </c>
      <c r="BP2071" t="s">
        <v>24369</v>
      </c>
      <c r="BQ2071" t="s">
        <v>562</v>
      </c>
      <c r="BR2071" t="s">
        <v>563</v>
      </c>
      <c r="BS2071" t="s">
        <v>198</v>
      </c>
      <c r="BT2071" t="s">
        <v>24370</v>
      </c>
      <c r="BU2071" t="s">
        <v>182</v>
      </c>
      <c r="BV2071" t="s">
        <v>198</v>
      </c>
      <c r="BW2071" t="s">
        <v>198</v>
      </c>
      <c r="BX2071" t="s">
        <v>199</v>
      </c>
      <c r="BY2071" t="s">
        <v>198</v>
      </c>
      <c r="BZ2071" t="s">
        <v>199</v>
      </c>
      <c r="CA2071" t="s">
        <v>199</v>
      </c>
      <c r="CB2071" t="s">
        <v>24371</v>
      </c>
      <c r="CC2071" t="s">
        <v>201</v>
      </c>
      <c r="CD2071" t="s">
        <v>182</v>
      </c>
      <c r="CE2071" t="s">
        <v>24372</v>
      </c>
      <c r="CF2071" t="s">
        <v>5331</v>
      </c>
      <c r="CG2071" t="s">
        <v>177</v>
      </c>
      <c r="CH2071" t="s">
        <v>371</v>
      </c>
      <c r="CI2071" t="s">
        <v>24373</v>
      </c>
      <c r="CS2071" t="s">
        <v>198</v>
      </c>
      <c r="DC2071" t="s">
        <v>198</v>
      </c>
      <c r="DM2071" t="s">
        <v>198</v>
      </c>
      <c r="DW2071" t="s">
        <v>198</v>
      </c>
      <c r="EG2071" t="s">
        <v>198</v>
      </c>
      <c r="EQ2071" t="s">
        <v>198</v>
      </c>
      <c r="FA2071" t="s">
        <v>198</v>
      </c>
      <c r="FK2071" t="s">
        <v>198</v>
      </c>
      <c r="FU2071" t="s">
        <v>198</v>
      </c>
    </row>
    <row r="2072" spans="1:177">
      <c r="A2072" s="1" t="str">
        <f>HYPERLINK("http://digipan.lumentumllc.com/apps/getLink/index.php?t=PropLink&amp;p=4636901","PL")</f>
        <v>PL</v>
      </c>
      <c r="B2072" s="1" t="str">
        <f>HYPERLINK("http://digipan.lumentumllc.com/apps/getLink/index.php?t=TaxLink&amp;p=4636901","TL")</f>
        <v>TL</v>
      </c>
      <c r="C2072" s="1" t="str">
        <f>HYPERLINK("http://digipan.lumentumllc.com/apps/getMap/index.php?p=4636901","Map")</f>
        <v>Map</v>
      </c>
      <c r="E2072" t="s">
        <v>177</v>
      </c>
      <c r="F2072" t="s">
        <v>178</v>
      </c>
      <c r="L2072" t="s">
        <v>24374</v>
      </c>
      <c r="N2072" t="s">
        <v>24374</v>
      </c>
      <c r="O2072" t="s">
        <v>24374</v>
      </c>
      <c r="P2072" t="s">
        <v>24375</v>
      </c>
      <c r="Q2072" t="s">
        <v>24374</v>
      </c>
      <c r="V2072">
        <v>2374</v>
      </c>
      <c r="W2072">
        <v>8</v>
      </c>
      <c r="X2072">
        <v>2017</v>
      </c>
      <c r="Y2072">
        <v>2018</v>
      </c>
      <c r="Z2072">
        <v>19809.02</v>
      </c>
      <c r="AB2072" t="s">
        <v>181</v>
      </c>
      <c r="AC2072" t="s">
        <v>182</v>
      </c>
      <c r="AD2072" t="s">
        <v>183</v>
      </c>
      <c r="AE2072">
        <v>0</v>
      </c>
      <c r="AF2072">
        <v>1</v>
      </c>
      <c r="AG2072" t="s">
        <v>821</v>
      </c>
      <c r="AH2072">
        <v>100</v>
      </c>
      <c r="AK2072">
        <v>0</v>
      </c>
      <c r="AL2072">
        <v>917512</v>
      </c>
      <c r="AM2072">
        <v>600000</v>
      </c>
      <c r="AN2072">
        <v>317512</v>
      </c>
      <c r="AO2072">
        <v>18100</v>
      </c>
      <c r="AP2072">
        <v>2016</v>
      </c>
      <c r="AQ2072">
        <v>2.16</v>
      </c>
      <c r="AS2072" t="s">
        <v>24376</v>
      </c>
      <c r="AT2072" t="s">
        <v>15040</v>
      </c>
      <c r="AU2072" t="s">
        <v>177</v>
      </c>
      <c r="AV2072" t="s">
        <v>371</v>
      </c>
      <c r="AW2072" t="s">
        <v>182</v>
      </c>
      <c r="AX2072">
        <v>1</v>
      </c>
      <c r="AY2072" t="s">
        <v>188</v>
      </c>
      <c r="AZ2072" t="s">
        <v>206</v>
      </c>
      <c r="BA2072" t="s">
        <v>355</v>
      </c>
      <c r="BB2072" t="s">
        <v>191</v>
      </c>
      <c r="BC2072" t="s">
        <v>182</v>
      </c>
      <c r="BD2072" t="s">
        <v>182</v>
      </c>
      <c r="BE2072" t="s">
        <v>6523</v>
      </c>
      <c r="BF2072">
        <v>1</v>
      </c>
      <c r="BG2072">
        <v>1</v>
      </c>
      <c r="BH2072">
        <v>1996</v>
      </c>
      <c r="BI2072" t="s">
        <v>24377</v>
      </c>
      <c r="BJ2072" t="s">
        <v>1945</v>
      </c>
      <c r="BK2072" t="s">
        <v>195</v>
      </c>
      <c r="BL2072" t="s">
        <v>24378</v>
      </c>
      <c r="BM2072" t="s">
        <v>559</v>
      </c>
      <c r="BN2072" t="s">
        <v>182</v>
      </c>
      <c r="BO2072" t="s">
        <v>24379</v>
      </c>
      <c r="BP2072" t="s">
        <v>24380</v>
      </c>
      <c r="BR2072" t="s">
        <v>1123</v>
      </c>
      <c r="BS2072" t="s">
        <v>24381</v>
      </c>
      <c r="BT2072" t="s">
        <v>12123</v>
      </c>
      <c r="BU2072" t="s">
        <v>182</v>
      </c>
      <c r="BV2072" t="s">
        <v>198</v>
      </c>
      <c r="BW2072" t="s">
        <v>198</v>
      </c>
      <c r="BX2072" t="s">
        <v>199</v>
      </c>
      <c r="BY2072" t="s">
        <v>198</v>
      </c>
      <c r="BZ2072" t="s">
        <v>199</v>
      </c>
      <c r="CA2072" t="s">
        <v>199</v>
      </c>
      <c r="CB2072" t="s">
        <v>24382</v>
      </c>
      <c r="CC2072" t="s">
        <v>201</v>
      </c>
      <c r="CD2072" t="s">
        <v>182</v>
      </c>
      <c r="CE2072" t="s">
        <v>24383</v>
      </c>
      <c r="CF2072" t="s">
        <v>5331</v>
      </c>
      <c r="CG2072" t="s">
        <v>177</v>
      </c>
      <c r="CH2072" t="s">
        <v>371</v>
      </c>
      <c r="CI2072" t="s">
        <v>23423</v>
      </c>
      <c r="CJ2072" t="s">
        <v>17135</v>
      </c>
      <c r="CK2072" t="s">
        <v>273</v>
      </c>
      <c r="CL2072" t="s">
        <v>274</v>
      </c>
      <c r="CM2072" t="s">
        <v>24384</v>
      </c>
      <c r="CN2072" t="s">
        <v>235</v>
      </c>
      <c r="CO2072" t="s">
        <v>183</v>
      </c>
      <c r="CP2072" t="s">
        <v>211</v>
      </c>
      <c r="CQ2072" t="s">
        <v>342</v>
      </c>
      <c r="CS2072" t="s">
        <v>3807</v>
      </c>
      <c r="DC2072" t="s">
        <v>198</v>
      </c>
      <c r="DM2072" t="s">
        <v>198</v>
      </c>
      <c r="DW2072" t="s">
        <v>198</v>
      </c>
      <c r="EG2072" t="s">
        <v>198</v>
      </c>
      <c r="EQ2072" t="s">
        <v>198</v>
      </c>
      <c r="FA2072" t="s">
        <v>198</v>
      </c>
      <c r="FK2072" t="s">
        <v>198</v>
      </c>
      <c r="FU2072" t="s">
        <v>198</v>
      </c>
    </row>
    <row r="2073" spans="1:177">
      <c r="A2073" s="1" t="str">
        <f>HYPERLINK("http://digipan.lumentumllc.com/apps/getLink/index.php?t=PropLink&amp;p=15730978","PL")</f>
        <v>PL</v>
      </c>
      <c r="B2073" s="1" t="str">
        <f>HYPERLINK("http://digipan.lumentumllc.com/apps/getLink/index.php?t=TaxLink&amp;p=15730978","TL")</f>
        <v>TL</v>
      </c>
      <c r="C2073" s="1" t="str">
        <f>HYPERLINK("http://digipan.lumentumllc.com/apps/getMap/index.php?p=15730978","Map")</f>
        <v>Map</v>
      </c>
      <c r="E2073" t="s">
        <v>177</v>
      </c>
      <c r="F2073" t="s">
        <v>178</v>
      </c>
      <c r="L2073" t="s">
        <v>24385</v>
      </c>
      <c r="N2073" t="s">
        <v>24385</v>
      </c>
      <c r="O2073" t="s">
        <v>24385</v>
      </c>
      <c r="Q2073" t="s">
        <v>24385</v>
      </c>
      <c r="V2073">
        <v>2375</v>
      </c>
      <c r="W2073">
        <v>8</v>
      </c>
      <c r="X2073">
        <v>2017</v>
      </c>
      <c r="Y2073">
        <v>2018</v>
      </c>
      <c r="Z2073">
        <v>2676.28</v>
      </c>
      <c r="AB2073" t="s">
        <v>181</v>
      </c>
      <c r="AC2073" t="s">
        <v>182</v>
      </c>
      <c r="AD2073" t="s">
        <v>183</v>
      </c>
      <c r="AE2073">
        <v>0</v>
      </c>
      <c r="AF2073">
        <v>1</v>
      </c>
      <c r="AG2073" t="s">
        <v>821</v>
      </c>
      <c r="AH2073">
        <v>100</v>
      </c>
      <c r="AK2073">
        <v>0</v>
      </c>
      <c r="AL2073">
        <v>216753</v>
      </c>
      <c r="AM2073">
        <v>56000</v>
      </c>
      <c r="AN2073">
        <v>160753</v>
      </c>
      <c r="AO2073">
        <v>2418</v>
      </c>
      <c r="AP2073">
        <v>2016</v>
      </c>
      <c r="AQ2073">
        <v>1.23</v>
      </c>
      <c r="AS2073" t="s">
        <v>24386</v>
      </c>
      <c r="AT2073" t="s">
        <v>15040</v>
      </c>
      <c r="AU2073" t="s">
        <v>177</v>
      </c>
      <c r="AV2073" t="s">
        <v>371</v>
      </c>
      <c r="AW2073" t="s">
        <v>202</v>
      </c>
      <c r="AX2073">
        <v>1</v>
      </c>
      <c r="AY2073" t="s">
        <v>188</v>
      </c>
      <c r="AZ2073" t="s">
        <v>206</v>
      </c>
      <c r="BA2073" t="s">
        <v>355</v>
      </c>
      <c r="BB2073" t="s">
        <v>191</v>
      </c>
      <c r="BC2073" t="s">
        <v>182</v>
      </c>
      <c r="BD2073" t="s">
        <v>182</v>
      </c>
      <c r="BE2073" t="s">
        <v>12856</v>
      </c>
      <c r="BF2073">
        <v>1</v>
      </c>
      <c r="BG2073">
        <v>1</v>
      </c>
      <c r="BH2073">
        <v>1998</v>
      </c>
      <c r="BI2073" t="s">
        <v>21315</v>
      </c>
      <c r="BJ2073" t="s">
        <v>396</v>
      </c>
      <c r="BK2073" t="s">
        <v>195</v>
      </c>
      <c r="BL2073" t="s">
        <v>199</v>
      </c>
      <c r="BM2073" t="s">
        <v>679</v>
      </c>
      <c r="BN2073" t="s">
        <v>182</v>
      </c>
      <c r="BO2073" t="s">
        <v>5326</v>
      </c>
      <c r="BP2073" t="s">
        <v>24387</v>
      </c>
      <c r="BQ2073" t="s">
        <v>1285</v>
      </c>
      <c r="BR2073" t="s">
        <v>6777</v>
      </c>
      <c r="BS2073" t="s">
        <v>198</v>
      </c>
      <c r="BT2073" t="s">
        <v>24388</v>
      </c>
      <c r="BU2073" t="s">
        <v>182</v>
      </c>
      <c r="BV2073" t="s">
        <v>198</v>
      </c>
      <c r="BW2073" t="s">
        <v>198</v>
      </c>
      <c r="BX2073" t="s">
        <v>199</v>
      </c>
      <c r="BY2073" t="s">
        <v>198</v>
      </c>
      <c r="BZ2073" t="s">
        <v>199</v>
      </c>
      <c r="CA2073" t="s">
        <v>199</v>
      </c>
      <c r="CB2073" t="s">
        <v>24389</v>
      </c>
      <c r="CC2073" t="s">
        <v>201</v>
      </c>
      <c r="CD2073" t="s">
        <v>182</v>
      </c>
      <c r="CE2073" t="s">
        <v>24390</v>
      </c>
      <c r="CF2073" t="s">
        <v>5331</v>
      </c>
      <c r="CG2073" t="s">
        <v>177</v>
      </c>
      <c r="CH2073" t="s">
        <v>371</v>
      </c>
      <c r="CI2073" t="s">
        <v>21771</v>
      </c>
      <c r="CJ2073" t="s">
        <v>3570</v>
      </c>
      <c r="CK2073" t="s">
        <v>232</v>
      </c>
      <c r="CL2073" t="s">
        <v>233</v>
      </c>
      <c r="CM2073" t="s">
        <v>24391</v>
      </c>
      <c r="CN2073" t="s">
        <v>235</v>
      </c>
      <c r="CO2073" t="s">
        <v>183</v>
      </c>
      <c r="CP2073" t="s">
        <v>211</v>
      </c>
      <c r="CQ2073" t="s">
        <v>206</v>
      </c>
      <c r="CS2073" t="s">
        <v>668</v>
      </c>
      <c r="DC2073" t="s">
        <v>198</v>
      </c>
      <c r="DM2073" t="s">
        <v>198</v>
      </c>
      <c r="DW2073" t="s">
        <v>198</v>
      </c>
      <c r="EG2073" t="s">
        <v>198</v>
      </c>
      <c r="EQ2073" t="s">
        <v>198</v>
      </c>
      <c r="FA2073" t="s">
        <v>198</v>
      </c>
      <c r="FK2073" t="s">
        <v>198</v>
      </c>
      <c r="FU2073" t="s">
        <v>198</v>
      </c>
    </row>
    <row r="2074" spans="1:177">
      <c r="A2074" s="1" t="str">
        <f>HYPERLINK("http://digipan.lumentumllc.com/apps/getLink/index.php?t=PropLink&amp;p=15730979","PL")</f>
        <v>PL</v>
      </c>
      <c r="B2074" s="1" t="str">
        <f>HYPERLINK("http://digipan.lumentumllc.com/apps/getLink/index.php?t=TaxLink&amp;p=15730979","TL")</f>
        <v>TL</v>
      </c>
      <c r="C2074" s="1" t="str">
        <f>HYPERLINK("http://digipan.lumentumllc.com/apps/getMap/index.php?p=15730979","Map")</f>
        <v>Map</v>
      </c>
      <c r="E2074" t="s">
        <v>177</v>
      </c>
      <c r="F2074" t="s">
        <v>178</v>
      </c>
      <c r="L2074" t="s">
        <v>24392</v>
      </c>
      <c r="N2074" t="s">
        <v>24392</v>
      </c>
      <c r="O2074" t="s">
        <v>24392</v>
      </c>
      <c r="Q2074" t="s">
        <v>24392</v>
      </c>
      <c r="V2074">
        <v>2376</v>
      </c>
      <c r="W2074">
        <v>8</v>
      </c>
      <c r="X2074">
        <v>2017</v>
      </c>
      <c r="Y2074">
        <v>2018</v>
      </c>
      <c r="Z2074">
        <v>2974.28</v>
      </c>
      <c r="AB2074" t="s">
        <v>181</v>
      </c>
      <c r="AC2074" t="s">
        <v>182</v>
      </c>
      <c r="AD2074" t="s">
        <v>183</v>
      </c>
      <c r="AE2074">
        <v>1</v>
      </c>
      <c r="AF2074">
        <v>0</v>
      </c>
      <c r="AG2074" t="s">
        <v>1200</v>
      </c>
      <c r="AH2074">
        <v>0</v>
      </c>
      <c r="AI2074">
        <v>2588.94</v>
      </c>
      <c r="AJ2074">
        <v>129.44999999999999</v>
      </c>
      <c r="AK2074">
        <v>2718.39</v>
      </c>
      <c r="AL2074">
        <v>136500</v>
      </c>
      <c r="AM2074">
        <v>136500</v>
      </c>
      <c r="AN2074">
        <v>0</v>
      </c>
      <c r="AO2074">
        <v>2369</v>
      </c>
      <c r="AP2074">
        <v>2016</v>
      </c>
      <c r="AQ2074">
        <v>2.1800000000000002</v>
      </c>
      <c r="AR2074">
        <v>1.99</v>
      </c>
      <c r="AS2074" t="s">
        <v>24393</v>
      </c>
      <c r="AT2074" t="s">
        <v>15040</v>
      </c>
      <c r="AU2074" t="s">
        <v>177</v>
      </c>
      <c r="AV2074" t="s">
        <v>371</v>
      </c>
      <c r="AW2074" t="s">
        <v>182</v>
      </c>
      <c r="AX2074">
        <v>0</v>
      </c>
      <c r="AY2074" t="s">
        <v>312</v>
      </c>
      <c r="AZ2074" t="s">
        <v>199</v>
      </c>
      <c r="BA2074" t="s">
        <v>313</v>
      </c>
      <c r="BB2074" t="s">
        <v>191</v>
      </c>
      <c r="BC2074" t="s">
        <v>182</v>
      </c>
      <c r="BD2074" t="s">
        <v>182</v>
      </c>
      <c r="BE2074" t="s">
        <v>5608</v>
      </c>
      <c r="BF2074">
        <v>0</v>
      </c>
      <c r="BG2074">
        <v>0</v>
      </c>
      <c r="BH2074">
        <v>0</v>
      </c>
      <c r="BI2074" t="s">
        <v>199</v>
      </c>
      <c r="BJ2074" t="s">
        <v>315</v>
      </c>
      <c r="BL2074" t="s">
        <v>5504</v>
      </c>
      <c r="BM2074" t="s">
        <v>232</v>
      </c>
      <c r="BN2074" t="s">
        <v>182</v>
      </c>
      <c r="BO2074" t="s">
        <v>24394</v>
      </c>
      <c r="BP2074" t="s">
        <v>24395</v>
      </c>
      <c r="BQ2074" t="s">
        <v>904</v>
      </c>
      <c r="BR2074" t="s">
        <v>643</v>
      </c>
      <c r="BS2074" t="s">
        <v>198</v>
      </c>
      <c r="BT2074" t="s">
        <v>20568</v>
      </c>
      <c r="BU2074" t="s">
        <v>182</v>
      </c>
      <c r="BV2074" t="s">
        <v>198</v>
      </c>
      <c r="BW2074" t="s">
        <v>198</v>
      </c>
      <c r="BX2074" t="s">
        <v>199</v>
      </c>
      <c r="BY2074" t="s">
        <v>198</v>
      </c>
      <c r="BZ2074" t="s">
        <v>199</v>
      </c>
      <c r="CA2074" t="s">
        <v>199</v>
      </c>
      <c r="CB2074" t="s">
        <v>24396</v>
      </c>
      <c r="CC2074" t="s">
        <v>1407</v>
      </c>
      <c r="CD2074" t="s">
        <v>202</v>
      </c>
      <c r="CE2074" t="s">
        <v>24397</v>
      </c>
      <c r="CF2074" t="s">
        <v>413</v>
      </c>
      <c r="CG2074" t="s">
        <v>177</v>
      </c>
      <c r="CH2074" t="s">
        <v>2991</v>
      </c>
      <c r="CI2074" t="s">
        <v>9984</v>
      </c>
      <c r="CJ2074" t="s">
        <v>3593</v>
      </c>
      <c r="CK2074" t="s">
        <v>232</v>
      </c>
      <c r="CL2074" t="s">
        <v>233</v>
      </c>
      <c r="CM2074" t="s">
        <v>24398</v>
      </c>
      <c r="CN2074" t="s">
        <v>235</v>
      </c>
      <c r="CO2074" t="s">
        <v>183</v>
      </c>
      <c r="CP2074" t="s">
        <v>266</v>
      </c>
      <c r="CS2074" t="s">
        <v>198</v>
      </c>
      <c r="DC2074" t="s">
        <v>198</v>
      </c>
      <c r="DM2074" t="s">
        <v>198</v>
      </c>
      <c r="DW2074" t="s">
        <v>198</v>
      </c>
      <c r="EG2074" t="s">
        <v>198</v>
      </c>
      <c r="EQ2074" t="s">
        <v>198</v>
      </c>
      <c r="FA2074" t="s">
        <v>198</v>
      </c>
      <c r="FK2074" t="s">
        <v>198</v>
      </c>
      <c r="FU2074" t="s">
        <v>198</v>
      </c>
    </row>
    <row r="2075" spans="1:177">
      <c r="A2075" s="1" t="str">
        <f>HYPERLINK("http://digipan.lumentumllc.com/apps/getLink/index.php?t=PropLink&amp;p=6594047","PL")</f>
        <v>PL</v>
      </c>
      <c r="B2075" s="1" t="str">
        <f>HYPERLINK("http://digipan.lumentumllc.com/apps/getLink/index.php?t=TaxLink&amp;p=6594047","TL")</f>
        <v>TL</v>
      </c>
      <c r="C2075" s="1" t="str">
        <f>HYPERLINK("http://digipan.lumentumllc.com/apps/getMap/index.php?p=6594047","Map")</f>
        <v>Map</v>
      </c>
      <c r="E2075" t="s">
        <v>177</v>
      </c>
      <c r="F2075" t="s">
        <v>178</v>
      </c>
      <c r="L2075" t="s">
        <v>24399</v>
      </c>
      <c r="N2075" t="s">
        <v>24399</v>
      </c>
      <c r="O2075" t="s">
        <v>24399</v>
      </c>
      <c r="P2075" t="s">
        <v>24400</v>
      </c>
      <c r="Q2075" t="s">
        <v>24399</v>
      </c>
      <c r="V2075">
        <v>2378</v>
      </c>
      <c r="W2075">
        <v>8</v>
      </c>
      <c r="X2075">
        <v>2017</v>
      </c>
      <c r="Y2075">
        <v>2018</v>
      </c>
      <c r="Z2075">
        <v>2743</v>
      </c>
      <c r="AB2075" t="s">
        <v>181</v>
      </c>
      <c r="AC2075" t="s">
        <v>182</v>
      </c>
      <c r="AD2075" t="s">
        <v>183</v>
      </c>
      <c r="AE2075">
        <v>0</v>
      </c>
      <c r="AF2075">
        <v>2</v>
      </c>
      <c r="AG2075" t="s">
        <v>216</v>
      </c>
      <c r="AH2075">
        <v>100</v>
      </c>
      <c r="AK2075">
        <v>0</v>
      </c>
      <c r="AL2075">
        <v>179527</v>
      </c>
      <c r="AM2075">
        <v>63000</v>
      </c>
      <c r="AN2075">
        <v>116527</v>
      </c>
      <c r="AO2075">
        <v>2479</v>
      </c>
      <c r="AP2075">
        <v>2016</v>
      </c>
      <c r="AQ2075">
        <v>1.53</v>
      </c>
      <c r="AS2075" t="s">
        <v>24401</v>
      </c>
      <c r="AT2075" t="s">
        <v>15040</v>
      </c>
      <c r="AU2075" t="s">
        <v>177</v>
      </c>
      <c r="AV2075" t="s">
        <v>371</v>
      </c>
      <c r="AW2075" t="s">
        <v>202</v>
      </c>
      <c r="AX2075">
        <v>1</v>
      </c>
      <c r="AY2075" t="s">
        <v>188</v>
      </c>
      <c r="AZ2075" t="s">
        <v>206</v>
      </c>
      <c r="BA2075" t="s">
        <v>355</v>
      </c>
      <c r="BB2075" t="s">
        <v>191</v>
      </c>
      <c r="BC2075" t="s">
        <v>182</v>
      </c>
      <c r="BD2075" t="s">
        <v>182</v>
      </c>
      <c r="BE2075" t="s">
        <v>5992</v>
      </c>
      <c r="BF2075">
        <v>1</v>
      </c>
      <c r="BG2075">
        <v>1</v>
      </c>
      <c r="BH2075">
        <v>2002</v>
      </c>
      <c r="BI2075" t="s">
        <v>11767</v>
      </c>
      <c r="BJ2075" t="s">
        <v>248</v>
      </c>
      <c r="BK2075" t="s">
        <v>195</v>
      </c>
      <c r="BL2075" t="s">
        <v>9690</v>
      </c>
      <c r="BM2075" t="s">
        <v>302</v>
      </c>
      <c r="BN2075" t="s">
        <v>182</v>
      </c>
      <c r="BO2075" t="s">
        <v>24402</v>
      </c>
      <c r="BP2075" t="s">
        <v>5669</v>
      </c>
      <c r="BS2075" t="s">
        <v>24403</v>
      </c>
      <c r="BT2075" t="s">
        <v>198</v>
      </c>
      <c r="BU2075" t="s">
        <v>182</v>
      </c>
      <c r="BV2075" t="s">
        <v>198</v>
      </c>
      <c r="BW2075" t="s">
        <v>198</v>
      </c>
      <c r="BX2075" t="s">
        <v>199</v>
      </c>
      <c r="BY2075" t="s">
        <v>198</v>
      </c>
      <c r="BZ2075" t="s">
        <v>199</v>
      </c>
      <c r="CA2075" t="s">
        <v>199</v>
      </c>
      <c r="CB2075" t="s">
        <v>24404</v>
      </c>
      <c r="CC2075" t="s">
        <v>201</v>
      </c>
      <c r="CD2075" t="s">
        <v>182</v>
      </c>
      <c r="CE2075" t="s">
        <v>24405</v>
      </c>
      <c r="CF2075" t="s">
        <v>5331</v>
      </c>
      <c r="CG2075" t="s">
        <v>177</v>
      </c>
      <c r="CH2075" t="s">
        <v>371</v>
      </c>
      <c r="CI2075" t="s">
        <v>649</v>
      </c>
      <c r="CJ2075" t="s">
        <v>8346</v>
      </c>
      <c r="CK2075" t="s">
        <v>232</v>
      </c>
      <c r="CL2075" t="s">
        <v>233</v>
      </c>
      <c r="CM2075" t="s">
        <v>24406</v>
      </c>
      <c r="CN2075" t="s">
        <v>235</v>
      </c>
      <c r="CO2075" t="s">
        <v>183</v>
      </c>
      <c r="CP2075" t="s">
        <v>211</v>
      </c>
      <c r="CQ2075" t="s">
        <v>199</v>
      </c>
      <c r="CS2075" t="s">
        <v>2774</v>
      </c>
      <c r="CT2075" t="s">
        <v>1001</v>
      </c>
      <c r="CU2075" t="s">
        <v>273</v>
      </c>
      <c r="CV2075" t="s">
        <v>274</v>
      </c>
      <c r="CW2075" t="s">
        <v>24407</v>
      </c>
      <c r="CX2075" t="s">
        <v>235</v>
      </c>
      <c r="CY2075" t="s">
        <v>183</v>
      </c>
      <c r="CZ2075" t="s">
        <v>211</v>
      </c>
      <c r="DA2075" t="s">
        <v>212</v>
      </c>
      <c r="DC2075" t="s">
        <v>24408</v>
      </c>
      <c r="DM2075" t="s">
        <v>198</v>
      </c>
      <c r="DW2075" t="s">
        <v>198</v>
      </c>
      <c r="EG2075" t="s">
        <v>198</v>
      </c>
      <c r="EQ2075" t="s">
        <v>198</v>
      </c>
      <c r="FA2075" t="s">
        <v>198</v>
      </c>
      <c r="FK2075" t="s">
        <v>198</v>
      </c>
      <c r="FU2075" t="s">
        <v>198</v>
      </c>
    </row>
    <row r="2076" spans="1:177">
      <c r="A2076" s="1" t="str">
        <f>HYPERLINK("http://digipan.lumentumllc.com/apps/getLink/index.php?t=PropLink&amp;p=5244328","PL")</f>
        <v>PL</v>
      </c>
      <c r="B2076" s="1" t="str">
        <f>HYPERLINK("http://digipan.lumentumllc.com/apps/getLink/index.php?t=TaxLink&amp;p=5244328","TL")</f>
        <v>TL</v>
      </c>
      <c r="C2076" s="1" t="str">
        <f>HYPERLINK("http://digipan.lumentumllc.com/apps/getMap/index.php?p=5244328","Map")</f>
        <v>Map</v>
      </c>
      <c r="E2076" t="s">
        <v>177</v>
      </c>
      <c r="F2076" t="s">
        <v>178</v>
      </c>
      <c r="L2076" t="s">
        <v>24409</v>
      </c>
      <c r="N2076" t="s">
        <v>24409</v>
      </c>
      <c r="O2076" t="s">
        <v>24409</v>
      </c>
      <c r="P2076" t="s">
        <v>24410</v>
      </c>
      <c r="Q2076" t="s">
        <v>24409</v>
      </c>
      <c r="V2076">
        <v>2379</v>
      </c>
      <c r="W2076">
        <v>8</v>
      </c>
      <c r="X2076">
        <v>2017</v>
      </c>
      <c r="Y2076">
        <v>2018</v>
      </c>
      <c r="Z2076">
        <v>2489.27</v>
      </c>
      <c r="AB2076" t="s">
        <v>181</v>
      </c>
      <c r="AC2076" t="s">
        <v>182</v>
      </c>
      <c r="AD2076" t="s">
        <v>183</v>
      </c>
      <c r="AE2076">
        <v>1</v>
      </c>
      <c r="AF2076">
        <v>7</v>
      </c>
      <c r="AG2076" t="s">
        <v>418</v>
      </c>
      <c r="AH2076">
        <v>86</v>
      </c>
      <c r="AI2076">
        <v>2326.16</v>
      </c>
      <c r="AJ2076">
        <v>116.31</v>
      </c>
      <c r="AK2076">
        <v>2442.4699999999998</v>
      </c>
      <c r="AL2076">
        <v>114000</v>
      </c>
      <c r="AM2076">
        <v>0</v>
      </c>
      <c r="AN2076">
        <v>114000</v>
      </c>
      <c r="AO2076">
        <v>2126</v>
      </c>
      <c r="AP2076">
        <v>2016</v>
      </c>
      <c r="AQ2076">
        <v>2.1800000000000002</v>
      </c>
      <c r="AR2076">
        <v>2.14</v>
      </c>
      <c r="AS2076" t="s">
        <v>24411</v>
      </c>
      <c r="AT2076" t="s">
        <v>15040</v>
      </c>
      <c r="AU2076" t="s">
        <v>177</v>
      </c>
      <c r="AV2076" t="s">
        <v>371</v>
      </c>
      <c r="AW2076" t="s">
        <v>182</v>
      </c>
      <c r="AX2076">
        <v>4</v>
      </c>
      <c r="AY2076" t="s">
        <v>188</v>
      </c>
      <c r="AZ2076" t="s">
        <v>296</v>
      </c>
      <c r="BA2076" t="s">
        <v>19069</v>
      </c>
      <c r="BB2076" t="s">
        <v>191</v>
      </c>
      <c r="BC2076" t="s">
        <v>182</v>
      </c>
      <c r="BD2076" t="s">
        <v>182</v>
      </c>
      <c r="BE2076" t="s">
        <v>1722</v>
      </c>
      <c r="BF2076">
        <v>1</v>
      </c>
      <c r="BG2076">
        <v>1</v>
      </c>
      <c r="BH2076">
        <v>1983</v>
      </c>
      <c r="BI2076" t="s">
        <v>10574</v>
      </c>
      <c r="BJ2076" t="s">
        <v>194</v>
      </c>
      <c r="BL2076" t="s">
        <v>1720</v>
      </c>
      <c r="BM2076" t="s">
        <v>1332</v>
      </c>
      <c r="BN2076" t="s">
        <v>182</v>
      </c>
      <c r="BO2076" t="s">
        <v>198</v>
      </c>
      <c r="BP2076" t="s">
        <v>198</v>
      </c>
      <c r="BQ2076" t="s">
        <v>198</v>
      </c>
      <c r="BR2076" t="s">
        <v>198</v>
      </c>
      <c r="BS2076" t="s">
        <v>198</v>
      </c>
      <c r="BT2076" t="s">
        <v>198</v>
      </c>
      <c r="BU2076" t="s">
        <v>182</v>
      </c>
      <c r="BV2076" t="s">
        <v>198</v>
      </c>
      <c r="BW2076" t="s">
        <v>198</v>
      </c>
      <c r="BX2076" t="s">
        <v>199</v>
      </c>
      <c r="BY2076" t="s">
        <v>198</v>
      </c>
      <c r="BZ2076" t="s">
        <v>199</v>
      </c>
      <c r="CA2076" t="s">
        <v>199</v>
      </c>
      <c r="CB2076" t="s">
        <v>24412</v>
      </c>
      <c r="CC2076" t="s">
        <v>201</v>
      </c>
      <c r="CD2076" t="s">
        <v>182</v>
      </c>
      <c r="CE2076" t="s">
        <v>24413</v>
      </c>
      <c r="CF2076" t="s">
        <v>24414</v>
      </c>
      <c r="CG2076" t="s">
        <v>1602</v>
      </c>
      <c r="CH2076" t="s">
        <v>24415</v>
      </c>
      <c r="CI2076" t="s">
        <v>24416</v>
      </c>
      <c r="CJ2076" t="s">
        <v>13895</v>
      </c>
      <c r="CK2076" t="s">
        <v>232</v>
      </c>
      <c r="CL2076" t="s">
        <v>233</v>
      </c>
      <c r="CM2076" t="s">
        <v>24417</v>
      </c>
      <c r="CN2076" t="s">
        <v>235</v>
      </c>
      <c r="CO2076" t="s">
        <v>183</v>
      </c>
      <c r="CP2076" t="s">
        <v>266</v>
      </c>
      <c r="CS2076" t="s">
        <v>198</v>
      </c>
      <c r="CT2076" t="s">
        <v>5486</v>
      </c>
      <c r="CU2076" t="s">
        <v>292</v>
      </c>
      <c r="CV2076" t="s">
        <v>293</v>
      </c>
      <c r="CW2076" t="s">
        <v>24418</v>
      </c>
      <c r="CX2076" t="s">
        <v>235</v>
      </c>
      <c r="CY2076" t="s">
        <v>183</v>
      </c>
      <c r="CZ2076" t="s">
        <v>211</v>
      </c>
      <c r="DA2076" t="s">
        <v>493</v>
      </c>
      <c r="DC2076" t="s">
        <v>24419</v>
      </c>
      <c r="DD2076" t="s">
        <v>9780</v>
      </c>
      <c r="DE2076" t="s">
        <v>267</v>
      </c>
      <c r="DF2076" t="s">
        <v>268</v>
      </c>
      <c r="DG2076" t="s">
        <v>24420</v>
      </c>
      <c r="DH2076" t="s">
        <v>235</v>
      </c>
      <c r="DI2076" t="s">
        <v>183</v>
      </c>
      <c r="DJ2076" t="s">
        <v>211</v>
      </c>
      <c r="DK2076" t="s">
        <v>460</v>
      </c>
      <c r="DM2076" t="s">
        <v>3081</v>
      </c>
      <c r="DN2076" t="s">
        <v>18863</v>
      </c>
      <c r="DO2076" t="s">
        <v>273</v>
      </c>
      <c r="DP2076" t="s">
        <v>274</v>
      </c>
      <c r="DQ2076" t="s">
        <v>24421</v>
      </c>
      <c r="DR2076" t="s">
        <v>235</v>
      </c>
      <c r="DS2076" t="s">
        <v>183</v>
      </c>
      <c r="DT2076" t="s">
        <v>211</v>
      </c>
      <c r="DU2076" t="s">
        <v>460</v>
      </c>
      <c r="DW2076" t="s">
        <v>22569</v>
      </c>
      <c r="DX2076" t="s">
        <v>21614</v>
      </c>
      <c r="DY2076" t="s">
        <v>302</v>
      </c>
      <c r="DZ2076" t="s">
        <v>303</v>
      </c>
      <c r="EA2076" t="s">
        <v>24422</v>
      </c>
      <c r="EB2076" t="s">
        <v>235</v>
      </c>
      <c r="EC2076" t="s">
        <v>183</v>
      </c>
      <c r="ED2076" t="s">
        <v>211</v>
      </c>
      <c r="EE2076" t="s">
        <v>270</v>
      </c>
      <c r="EG2076" t="s">
        <v>7988</v>
      </c>
      <c r="EH2076" t="s">
        <v>3296</v>
      </c>
      <c r="EI2076" t="s">
        <v>238</v>
      </c>
      <c r="EJ2076" t="s">
        <v>239</v>
      </c>
      <c r="EK2076" t="s">
        <v>24423</v>
      </c>
      <c r="EL2076" t="s">
        <v>235</v>
      </c>
      <c r="EM2076" t="s">
        <v>183</v>
      </c>
      <c r="EN2076" t="s">
        <v>211</v>
      </c>
      <c r="EO2076" t="s">
        <v>212</v>
      </c>
      <c r="EQ2076" t="s">
        <v>279</v>
      </c>
      <c r="ER2076" t="s">
        <v>24424</v>
      </c>
      <c r="ES2076" t="s">
        <v>346</v>
      </c>
      <c r="ET2076" t="s">
        <v>347</v>
      </c>
      <c r="EU2076" t="s">
        <v>24425</v>
      </c>
      <c r="EV2076" t="s">
        <v>511</v>
      </c>
      <c r="EW2076" t="s">
        <v>183</v>
      </c>
      <c r="EX2076" t="s">
        <v>211</v>
      </c>
      <c r="EY2076" t="s">
        <v>306</v>
      </c>
      <c r="FA2076" t="s">
        <v>378</v>
      </c>
      <c r="FB2076" t="s">
        <v>24426</v>
      </c>
      <c r="FC2076" t="s">
        <v>207</v>
      </c>
      <c r="FD2076" t="s">
        <v>208</v>
      </c>
      <c r="FE2076" t="s">
        <v>24427</v>
      </c>
      <c r="FF2076" t="s">
        <v>235</v>
      </c>
      <c r="FG2076" t="s">
        <v>183</v>
      </c>
      <c r="FH2076" t="s">
        <v>211</v>
      </c>
      <c r="FI2076" t="s">
        <v>427</v>
      </c>
      <c r="FK2076" t="s">
        <v>17604</v>
      </c>
      <c r="FU2076" t="s">
        <v>198</v>
      </c>
    </row>
    <row r="2077" spans="1:177">
      <c r="A2077" s="1" t="str">
        <f>HYPERLINK("http://digipan.lumentumllc.com/apps/getLink/index.php?t=PropLink&amp;p=5244332","PL")</f>
        <v>PL</v>
      </c>
      <c r="B2077" s="1" t="str">
        <f>HYPERLINK("http://digipan.lumentumllc.com/apps/getLink/index.php?t=TaxLink&amp;p=5244332","TL")</f>
        <v>TL</v>
      </c>
      <c r="C2077" s="1" t="str">
        <f>HYPERLINK("http://digipan.lumentumllc.com/apps/getMap/index.php?p=5244332","Map")</f>
        <v>Map</v>
      </c>
      <c r="E2077" t="s">
        <v>177</v>
      </c>
      <c r="F2077" t="s">
        <v>178</v>
      </c>
      <c r="L2077" t="s">
        <v>24428</v>
      </c>
      <c r="N2077" t="s">
        <v>24428</v>
      </c>
      <c r="O2077" t="s">
        <v>24428</v>
      </c>
      <c r="P2077" t="s">
        <v>24429</v>
      </c>
      <c r="Q2077" t="s">
        <v>24428</v>
      </c>
      <c r="V2077">
        <v>2380</v>
      </c>
      <c r="W2077">
        <v>8</v>
      </c>
      <c r="X2077">
        <v>2017</v>
      </c>
      <c r="Y2077">
        <v>2018</v>
      </c>
      <c r="Z2077">
        <v>2568.6799999999998</v>
      </c>
      <c r="AB2077" t="s">
        <v>181</v>
      </c>
      <c r="AC2077" t="s">
        <v>182</v>
      </c>
      <c r="AD2077" t="s">
        <v>183</v>
      </c>
      <c r="AE2077">
        <v>1</v>
      </c>
      <c r="AF2077">
        <v>2</v>
      </c>
      <c r="AG2077" t="s">
        <v>363</v>
      </c>
      <c r="AH2077">
        <v>67</v>
      </c>
      <c r="AI2077">
        <v>1902.78</v>
      </c>
      <c r="AJ2077">
        <v>95.14</v>
      </c>
      <c r="AK2077">
        <v>1997.92</v>
      </c>
      <c r="AL2077">
        <v>197807</v>
      </c>
      <c r="AM2077">
        <v>75000</v>
      </c>
      <c r="AN2077">
        <v>122807</v>
      </c>
      <c r="AO2077">
        <v>0</v>
      </c>
      <c r="AP2077">
        <v>0</v>
      </c>
      <c r="AQ2077">
        <v>1.3</v>
      </c>
      <c r="AR2077">
        <v>1.01</v>
      </c>
      <c r="AS2077" t="s">
        <v>24430</v>
      </c>
      <c r="AT2077" t="s">
        <v>15040</v>
      </c>
      <c r="AU2077" t="s">
        <v>177</v>
      </c>
      <c r="AV2077" t="s">
        <v>371</v>
      </c>
      <c r="AW2077" t="s">
        <v>202</v>
      </c>
      <c r="AX2077">
        <v>1</v>
      </c>
      <c r="AY2077" t="s">
        <v>188</v>
      </c>
      <c r="AZ2077" t="s">
        <v>206</v>
      </c>
      <c r="BA2077" t="s">
        <v>355</v>
      </c>
      <c r="BB2077" t="s">
        <v>191</v>
      </c>
      <c r="BC2077" t="s">
        <v>182</v>
      </c>
      <c r="BD2077" t="s">
        <v>182</v>
      </c>
      <c r="BE2077" t="s">
        <v>5992</v>
      </c>
      <c r="BF2077">
        <v>1</v>
      </c>
      <c r="BG2077">
        <v>1</v>
      </c>
      <c r="BH2077">
        <v>1989</v>
      </c>
      <c r="BI2077" t="s">
        <v>16299</v>
      </c>
      <c r="BJ2077" t="s">
        <v>315</v>
      </c>
      <c r="BK2077" t="s">
        <v>195</v>
      </c>
      <c r="BL2077" t="s">
        <v>199</v>
      </c>
      <c r="BM2077" t="s">
        <v>325</v>
      </c>
      <c r="BN2077" t="s">
        <v>182</v>
      </c>
      <c r="BO2077" t="s">
        <v>198</v>
      </c>
      <c r="BP2077" t="s">
        <v>198</v>
      </c>
      <c r="BQ2077" t="s">
        <v>198</v>
      </c>
      <c r="BR2077" t="s">
        <v>198</v>
      </c>
      <c r="BS2077" t="s">
        <v>198</v>
      </c>
      <c r="BT2077" t="s">
        <v>198</v>
      </c>
      <c r="BU2077" t="s">
        <v>182</v>
      </c>
      <c r="BV2077" t="s">
        <v>198</v>
      </c>
      <c r="BW2077" t="s">
        <v>198</v>
      </c>
      <c r="BX2077" t="s">
        <v>199</v>
      </c>
      <c r="BY2077" t="s">
        <v>198</v>
      </c>
      <c r="BZ2077" t="s">
        <v>199</v>
      </c>
      <c r="CA2077" t="s">
        <v>199</v>
      </c>
      <c r="CB2077" t="s">
        <v>24431</v>
      </c>
      <c r="CC2077" t="s">
        <v>201</v>
      </c>
      <c r="CD2077" t="s">
        <v>182</v>
      </c>
      <c r="CE2077" t="s">
        <v>23287</v>
      </c>
      <c r="CF2077" t="s">
        <v>5331</v>
      </c>
      <c r="CG2077" t="s">
        <v>177</v>
      </c>
      <c r="CH2077" t="s">
        <v>371</v>
      </c>
      <c r="CI2077" t="s">
        <v>1364</v>
      </c>
      <c r="CJ2077" t="s">
        <v>5486</v>
      </c>
      <c r="CK2077" t="s">
        <v>232</v>
      </c>
      <c r="CL2077" t="s">
        <v>233</v>
      </c>
      <c r="CM2077" t="s">
        <v>24432</v>
      </c>
      <c r="CN2077" t="s">
        <v>235</v>
      </c>
      <c r="CO2077" t="s">
        <v>183</v>
      </c>
      <c r="CP2077" t="s">
        <v>266</v>
      </c>
      <c r="CS2077" t="s">
        <v>198</v>
      </c>
      <c r="CT2077" t="s">
        <v>6956</v>
      </c>
      <c r="CU2077" t="s">
        <v>292</v>
      </c>
      <c r="CV2077" t="s">
        <v>293</v>
      </c>
      <c r="CW2077" t="s">
        <v>24433</v>
      </c>
      <c r="CX2077" t="s">
        <v>235</v>
      </c>
      <c r="CY2077" t="s">
        <v>183</v>
      </c>
      <c r="CZ2077" t="s">
        <v>211</v>
      </c>
      <c r="DA2077" t="s">
        <v>298</v>
      </c>
      <c r="DC2077" t="s">
        <v>1760</v>
      </c>
      <c r="DD2077" t="s">
        <v>9796</v>
      </c>
      <c r="DE2077" t="s">
        <v>267</v>
      </c>
      <c r="DF2077" t="s">
        <v>268</v>
      </c>
      <c r="DG2077" t="s">
        <v>24434</v>
      </c>
      <c r="DH2077" t="s">
        <v>235</v>
      </c>
      <c r="DI2077" t="s">
        <v>183</v>
      </c>
      <c r="DJ2077" t="s">
        <v>211</v>
      </c>
      <c r="DK2077" t="s">
        <v>523</v>
      </c>
      <c r="DM2077" t="s">
        <v>4890</v>
      </c>
      <c r="DW2077" t="s">
        <v>198</v>
      </c>
      <c r="EG2077" t="s">
        <v>198</v>
      </c>
      <c r="EQ2077" t="s">
        <v>198</v>
      </c>
      <c r="FA2077" t="s">
        <v>198</v>
      </c>
      <c r="FK2077" t="s">
        <v>198</v>
      </c>
      <c r="FU2077" t="s">
        <v>198</v>
      </c>
    </row>
    <row r="2078" spans="1:177">
      <c r="A2078" s="1" t="str">
        <f>HYPERLINK("http://digipan.lumentumllc.com/apps/getLink/index.php?t=PropLink&amp;p=5244335","PL")</f>
        <v>PL</v>
      </c>
      <c r="B2078" s="1" t="str">
        <f>HYPERLINK("http://digipan.lumentumllc.com/apps/getLink/index.php?t=TaxLink&amp;p=5244335","TL")</f>
        <v>TL</v>
      </c>
      <c r="C2078" s="1" t="str">
        <f>HYPERLINK("http://digipan.lumentumllc.com/apps/getMap/index.php?p=5244335","Map")</f>
        <v>Map</v>
      </c>
      <c r="E2078" t="s">
        <v>177</v>
      </c>
      <c r="F2078" t="s">
        <v>178</v>
      </c>
      <c r="L2078" t="s">
        <v>24435</v>
      </c>
      <c r="N2078" t="s">
        <v>24435</v>
      </c>
      <c r="O2078" t="s">
        <v>24435</v>
      </c>
      <c r="P2078" t="s">
        <v>24436</v>
      </c>
      <c r="Q2078" t="s">
        <v>24435</v>
      </c>
      <c r="V2078">
        <v>2381</v>
      </c>
      <c r="W2078">
        <v>8</v>
      </c>
      <c r="X2078">
        <v>2017</v>
      </c>
      <c r="Y2078">
        <v>2018</v>
      </c>
      <c r="Z2078">
        <v>4006.2</v>
      </c>
      <c r="AB2078" t="s">
        <v>181</v>
      </c>
      <c r="AC2078" t="s">
        <v>202</v>
      </c>
      <c r="AD2078" t="s">
        <v>183</v>
      </c>
      <c r="AE2078">
        <v>0</v>
      </c>
      <c r="AF2078">
        <v>5</v>
      </c>
      <c r="AG2078" t="s">
        <v>3266</v>
      </c>
      <c r="AH2078">
        <v>100</v>
      </c>
      <c r="AK2078">
        <v>0</v>
      </c>
      <c r="AL2078">
        <v>184375</v>
      </c>
      <c r="AM2078">
        <v>75000</v>
      </c>
      <c r="AN2078">
        <v>109375</v>
      </c>
      <c r="AO2078">
        <v>3632</v>
      </c>
      <c r="AP2078">
        <v>2016</v>
      </c>
      <c r="AQ2078">
        <v>2.17</v>
      </c>
      <c r="AS2078" t="s">
        <v>24437</v>
      </c>
      <c r="AT2078" t="s">
        <v>15040</v>
      </c>
      <c r="AU2078" t="s">
        <v>177</v>
      </c>
      <c r="AV2078" t="s">
        <v>371</v>
      </c>
      <c r="AW2078" t="s">
        <v>182</v>
      </c>
      <c r="AX2078">
        <v>1</v>
      </c>
      <c r="AY2078" t="s">
        <v>188</v>
      </c>
      <c r="AZ2078" t="s">
        <v>206</v>
      </c>
      <c r="BA2078" t="s">
        <v>355</v>
      </c>
      <c r="BB2078" t="s">
        <v>191</v>
      </c>
      <c r="BC2078" t="s">
        <v>182</v>
      </c>
      <c r="BD2078" t="s">
        <v>182</v>
      </c>
      <c r="BE2078" t="s">
        <v>478</v>
      </c>
      <c r="BF2078">
        <v>1</v>
      </c>
      <c r="BG2078">
        <v>1</v>
      </c>
      <c r="BH2078">
        <v>1991</v>
      </c>
      <c r="BI2078" t="s">
        <v>22771</v>
      </c>
      <c r="BJ2078" t="s">
        <v>315</v>
      </c>
      <c r="BK2078" t="s">
        <v>195</v>
      </c>
      <c r="BL2078" t="s">
        <v>24438</v>
      </c>
      <c r="BM2078" t="s">
        <v>1474</v>
      </c>
      <c r="BN2078" t="s">
        <v>182</v>
      </c>
      <c r="BO2078" t="s">
        <v>198</v>
      </c>
      <c r="BP2078" t="s">
        <v>198</v>
      </c>
      <c r="BQ2078" t="s">
        <v>198</v>
      </c>
      <c r="BR2078" t="s">
        <v>198</v>
      </c>
      <c r="BS2078" t="s">
        <v>198</v>
      </c>
      <c r="BT2078" t="s">
        <v>198</v>
      </c>
      <c r="BU2078" t="s">
        <v>182</v>
      </c>
      <c r="BV2078" t="s">
        <v>198</v>
      </c>
      <c r="BW2078" t="s">
        <v>198</v>
      </c>
      <c r="BX2078" t="s">
        <v>199</v>
      </c>
      <c r="BY2078" t="s">
        <v>198</v>
      </c>
      <c r="BZ2078" t="s">
        <v>199</v>
      </c>
      <c r="CA2078" t="s">
        <v>199</v>
      </c>
      <c r="CB2078" t="s">
        <v>24439</v>
      </c>
      <c r="CC2078" t="s">
        <v>201</v>
      </c>
      <c r="CD2078" t="s">
        <v>202</v>
      </c>
      <c r="CE2078" t="s">
        <v>24440</v>
      </c>
      <c r="CF2078" t="s">
        <v>5331</v>
      </c>
      <c r="CG2078" t="s">
        <v>177</v>
      </c>
      <c r="CH2078" t="s">
        <v>371</v>
      </c>
      <c r="CI2078" t="s">
        <v>1114</v>
      </c>
      <c r="CJ2078" t="s">
        <v>15718</v>
      </c>
      <c r="CK2078" t="s">
        <v>292</v>
      </c>
      <c r="CL2078" t="s">
        <v>293</v>
      </c>
      <c r="CM2078" t="s">
        <v>24441</v>
      </c>
      <c r="CN2078" t="s">
        <v>235</v>
      </c>
      <c r="CO2078" t="s">
        <v>183</v>
      </c>
      <c r="CP2078" t="s">
        <v>211</v>
      </c>
      <c r="CQ2078" t="s">
        <v>270</v>
      </c>
      <c r="CR2078" t="s">
        <v>271</v>
      </c>
      <c r="CS2078" t="s">
        <v>6710</v>
      </c>
      <c r="CT2078" t="s">
        <v>24442</v>
      </c>
      <c r="CU2078" t="s">
        <v>267</v>
      </c>
      <c r="CV2078" t="s">
        <v>268</v>
      </c>
      <c r="CW2078" t="s">
        <v>24443</v>
      </c>
      <c r="CX2078" t="s">
        <v>235</v>
      </c>
      <c r="CY2078" t="s">
        <v>183</v>
      </c>
      <c r="CZ2078" t="s">
        <v>211</v>
      </c>
      <c r="DB2078" t="s">
        <v>271</v>
      </c>
      <c r="DC2078" t="s">
        <v>198</v>
      </c>
      <c r="DD2078" t="s">
        <v>18878</v>
      </c>
      <c r="DE2078" t="s">
        <v>273</v>
      </c>
      <c r="DF2078" t="s">
        <v>274</v>
      </c>
      <c r="DG2078" t="s">
        <v>24444</v>
      </c>
      <c r="DH2078" t="s">
        <v>235</v>
      </c>
      <c r="DI2078" t="s">
        <v>183</v>
      </c>
      <c r="DJ2078" t="s">
        <v>211</v>
      </c>
      <c r="DK2078" t="s">
        <v>345</v>
      </c>
      <c r="DM2078" t="s">
        <v>3539</v>
      </c>
      <c r="DN2078" t="s">
        <v>3504</v>
      </c>
      <c r="DO2078" t="s">
        <v>238</v>
      </c>
      <c r="DP2078" t="s">
        <v>239</v>
      </c>
      <c r="DQ2078" t="s">
        <v>24445</v>
      </c>
      <c r="DR2078" t="s">
        <v>235</v>
      </c>
      <c r="DS2078" t="s">
        <v>183</v>
      </c>
      <c r="DT2078" t="s">
        <v>211</v>
      </c>
      <c r="DU2078" t="s">
        <v>212</v>
      </c>
      <c r="DV2078" t="s">
        <v>271</v>
      </c>
      <c r="DW2078" t="s">
        <v>970</v>
      </c>
      <c r="DX2078" t="s">
        <v>24446</v>
      </c>
      <c r="DY2078" t="s">
        <v>346</v>
      </c>
      <c r="DZ2078" t="s">
        <v>347</v>
      </c>
      <c r="EA2078" t="s">
        <v>24447</v>
      </c>
      <c r="EB2078" t="s">
        <v>235</v>
      </c>
      <c r="EC2078" t="s">
        <v>183</v>
      </c>
      <c r="ED2078" t="s">
        <v>211</v>
      </c>
      <c r="EF2078" t="s">
        <v>271</v>
      </c>
      <c r="EG2078" t="s">
        <v>198</v>
      </c>
      <c r="EQ2078" t="s">
        <v>198</v>
      </c>
      <c r="FA2078" t="s">
        <v>198</v>
      </c>
      <c r="FK2078" t="s">
        <v>198</v>
      </c>
      <c r="FU2078" t="s">
        <v>198</v>
      </c>
    </row>
    <row r="2079" spans="1:177">
      <c r="A2079" s="1" t="str">
        <f>HYPERLINK("http://digipan.lumentumllc.com/apps/getLink/index.php?t=PropLink&amp;p=15731389","PL")</f>
        <v>PL</v>
      </c>
      <c r="B2079" s="1" t="str">
        <f>HYPERLINK("http://digipan.lumentumllc.com/apps/getLink/index.php?t=TaxLink&amp;p=15731389","TL")</f>
        <v>TL</v>
      </c>
      <c r="C2079" s="1" t="str">
        <f>HYPERLINK("http://digipan.lumentumllc.com/apps/getMap/index.php?p=15731389","Map")</f>
        <v>Map</v>
      </c>
      <c r="E2079" t="s">
        <v>177</v>
      </c>
      <c r="F2079" t="s">
        <v>178</v>
      </c>
      <c r="L2079" t="s">
        <v>24448</v>
      </c>
      <c r="N2079" t="s">
        <v>24448</v>
      </c>
      <c r="O2079" t="s">
        <v>24448</v>
      </c>
      <c r="Q2079" t="s">
        <v>24448</v>
      </c>
      <c r="V2079">
        <v>2382</v>
      </c>
      <c r="W2079">
        <v>8</v>
      </c>
      <c r="X2079">
        <v>2017</v>
      </c>
      <c r="Y2079">
        <v>2018</v>
      </c>
      <c r="Z2079">
        <v>1299.18</v>
      </c>
      <c r="AG2079" t="s">
        <v>184</v>
      </c>
      <c r="AH2079">
        <v>0</v>
      </c>
      <c r="AK2079">
        <v>0</v>
      </c>
      <c r="AL2079">
        <v>177081</v>
      </c>
      <c r="AM2079">
        <v>75000</v>
      </c>
      <c r="AN2079">
        <v>102081</v>
      </c>
      <c r="AO2079">
        <v>1150</v>
      </c>
      <c r="AP2079">
        <v>2016</v>
      </c>
      <c r="AQ2079">
        <v>0.73</v>
      </c>
      <c r="AS2079" t="s">
        <v>24449</v>
      </c>
      <c r="AT2079" t="s">
        <v>15040</v>
      </c>
      <c r="AU2079" t="s">
        <v>177</v>
      </c>
      <c r="AV2079" t="s">
        <v>371</v>
      </c>
      <c r="AW2079" t="s">
        <v>202</v>
      </c>
      <c r="AX2079">
        <v>1</v>
      </c>
      <c r="AY2079" t="s">
        <v>188</v>
      </c>
      <c r="AZ2079" t="s">
        <v>206</v>
      </c>
      <c r="BA2079" t="s">
        <v>355</v>
      </c>
      <c r="BB2079" t="s">
        <v>191</v>
      </c>
      <c r="BC2079" t="s">
        <v>182</v>
      </c>
      <c r="BD2079" t="s">
        <v>182</v>
      </c>
      <c r="BE2079" t="s">
        <v>478</v>
      </c>
      <c r="BF2079">
        <v>1</v>
      </c>
      <c r="BG2079">
        <v>1</v>
      </c>
      <c r="BH2079">
        <v>1995</v>
      </c>
      <c r="BI2079" t="s">
        <v>19552</v>
      </c>
      <c r="BJ2079" t="s">
        <v>315</v>
      </c>
      <c r="BK2079" t="s">
        <v>195</v>
      </c>
      <c r="BL2079" t="s">
        <v>24450</v>
      </c>
      <c r="BM2079" t="s">
        <v>2351</v>
      </c>
      <c r="BN2079" t="s">
        <v>182</v>
      </c>
      <c r="BO2079" t="s">
        <v>198</v>
      </c>
      <c r="BP2079" t="s">
        <v>198</v>
      </c>
      <c r="BQ2079" t="s">
        <v>198</v>
      </c>
      <c r="BR2079" t="s">
        <v>198</v>
      </c>
      <c r="BS2079" t="s">
        <v>198</v>
      </c>
      <c r="BT2079" t="s">
        <v>198</v>
      </c>
      <c r="BU2079" t="s">
        <v>182</v>
      </c>
      <c r="BV2079" t="s">
        <v>198</v>
      </c>
      <c r="BW2079" t="s">
        <v>198</v>
      </c>
      <c r="BX2079" t="s">
        <v>199</v>
      </c>
      <c r="BY2079" t="s">
        <v>198</v>
      </c>
      <c r="BZ2079" t="s">
        <v>199</v>
      </c>
      <c r="CA2079" t="s">
        <v>199</v>
      </c>
      <c r="CB2079" t="s">
        <v>24451</v>
      </c>
      <c r="CC2079" t="s">
        <v>201</v>
      </c>
      <c r="CD2079" t="s">
        <v>182</v>
      </c>
      <c r="CE2079" t="s">
        <v>24452</v>
      </c>
      <c r="CF2079" t="s">
        <v>5331</v>
      </c>
      <c r="CG2079" t="s">
        <v>177</v>
      </c>
      <c r="CH2079" t="s">
        <v>371</v>
      </c>
      <c r="CI2079" t="s">
        <v>686</v>
      </c>
      <c r="CS2079" t="s">
        <v>198</v>
      </c>
      <c r="DC2079" t="s">
        <v>198</v>
      </c>
      <c r="DM2079" t="s">
        <v>198</v>
      </c>
      <c r="DW2079" t="s">
        <v>198</v>
      </c>
      <c r="EG2079" t="s">
        <v>198</v>
      </c>
      <c r="EQ2079" t="s">
        <v>198</v>
      </c>
      <c r="FA2079" t="s">
        <v>198</v>
      </c>
      <c r="FK2079" t="s">
        <v>198</v>
      </c>
      <c r="FU2079" t="s">
        <v>198</v>
      </c>
    </row>
    <row r="2080" spans="1:177">
      <c r="A2080" s="1" t="str">
        <f>HYPERLINK("http://digipan.lumentumllc.com/apps/getLink/index.php?t=PropLink&amp;p=6128676","PL")</f>
        <v>PL</v>
      </c>
      <c r="B2080" s="1" t="str">
        <f>HYPERLINK("http://digipan.lumentumllc.com/apps/getLink/index.php?t=TaxLink&amp;p=6128676","TL")</f>
        <v>TL</v>
      </c>
      <c r="C2080" s="1" t="str">
        <f>HYPERLINK("http://digipan.lumentumllc.com/apps/getMap/index.php?p=6128676","Map")</f>
        <v>Map</v>
      </c>
      <c r="E2080" t="s">
        <v>177</v>
      </c>
      <c r="F2080" t="s">
        <v>178</v>
      </c>
      <c r="L2080" t="s">
        <v>24453</v>
      </c>
      <c r="N2080" t="s">
        <v>24453</v>
      </c>
      <c r="O2080" t="s">
        <v>24453</v>
      </c>
      <c r="P2080" t="s">
        <v>24454</v>
      </c>
      <c r="Q2080" t="s">
        <v>24453</v>
      </c>
      <c r="V2080">
        <v>2383</v>
      </c>
      <c r="W2080">
        <v>8</v>
      </c>
      <c r="X2080">
        <v>2017</v>
      </c>
      <c r="Y2080">
        <v>2018</v>
      </c>
      <c r="Z2080">
        <v>16490.91</v>
      </c>
      <c r="AG2080" t="s">
        <v>184</v>
      </c>
      <c r="AH2080">
        <v>0</v>
      </c>
      <c r="AK2080">
        <v>0</v>
      </c>
      <c r="AL2080">
        <v>765167</v>
      </c>
      <c r="AM2080">
        <v>600000</v>
      </c>
      <c r="AN2080">
        <v>165167</v>
      </c>
      <c r="AO2080">
        <v>14331</v>
      </c>
      <c r="AP2080">
        <v>2016</v>
      </c>
      <c r="AQ2080">
        <v>2.16</v>
      </c>
      <c r="AS2080" t="s">
        <v>24455</v>
      </c>
      <c r="AT2080" t="s">
        <v>15040</v>
      </c>
      <c r="AU2080" t="s">
        <v>177</v>
      </c>
      <c r="AV2080" t="s">
        <v>371</v>
      </c>
      <c r="AW2080" t="s">
        <v>182</v>
      </c>
      <c r="AX2080">
        <v>1</v>
      </c>
      <c r="AY2080" t="s">
        <v>188</v>
      </c>
      <c r="AZ2080" t="s">
        <v>206</v>
      </c>
      <c r="BA2080" t="s">
        <v>355</v>
      </c>
      <c r="BB2080" t="s">
        <v>191</v>
      </c>
      <c r="BC2080" t="s">
        <v>182</v>
      </c>
      <c r="BD2080" t="s">
        <v>182</v>
      </c>
      <c r="BE2080" t="s">
        <v>6008</v>
      </c>
      <c r="BF2080">
        <v>1</v>
      </c>
      <c r="BG2080">
        <v>1</v>
      </c>
      <c r="BH2080">
        <v>1978</v>
      </c>
      <c r="BI2080" t="s">
        <v>16143</v>
      </c>
      <c r="BJ2080" t="s">
        <v>396</v>
      </c>
      <c r="BK2080" t="s">
        <v>24230</v>
      </c>
      <c r="BL2080" t="s">
        <v>199</v>
      </c>
      <c r="BM2080" t="s">
        <v>273</v>
      </c>
      <c r="BN2080" t="s">
        <v>182</v>
      </c>
      <c r="BO2080" t="s">
        <v>198</v>
      </c>
      <c r="BP2080" t="s">
        <v>198</v>
      </c>
      <c r="BQ2080" t="s">
        <v>198</v>
      </c>
      <c r="BR2080" t="s">
        <v>198</v>
      </c>
      <c r="BS2080" t="s">
        <v>198</v>
      </c>
      <c r="BT2080" t="s">
        <v>198</v>
      </c>
      <c r="BU2080" t="s">
        <v>182</v>
      </c>
      <c r="BV2080" t="s">
        <v>198</v>
      </c>
      <c r="BW2080" t="s">
        <v>198</v>
      </c>
      <c r="BX2080" t="s">
        <v>199</v>
      </c>
      <c r="BY2080" t="s">
        <v>198</v>
      </c>
      <c r="BZ2080" t="s">
        <v>199</v>
      </c>
      <c r="CA2080" t="s">
        <v>199</v>
      </c>
      <c r="CB2080" t="s">
        <v>24456</v>
      </c>
      <c r="CC2080" t="s">
        <v>201</v>
      </c>
      <c r="CD2080" t="s">
        <v>182</v>
      </c>
      <c r="CE2080" t="s">
        <v>24457</v>
      </c>
      <c r="CF2080" t="s">
        <v>24458</v>
      </c>
      <c r="CG2080" t="s">
        <v>9098</v>
      </c>
      <c r="CH2080" t="s">
        <v>24459</v>
      </c>
      <c r="CI2080" t="s">
        <v>649</v>
      </c>
      <c r="CS2080" t="s">
        <v>198</v>
      </c>
      <c r="DC2080" t="s">
        <v>198</v>
      </c>
      <c r="DM2080" t="s">
        <v>198</v>
      </c>
      <c r="DW2080" t="s">
        <v>198</v>
      </c>
      <c r="EG2080" t="s">
        <v>198</v>
      </c>
      <c r="EQ2080" t="s">
        <v>198</v>
      </c>
      <c r="FA2080" t="s">
        <v>198</v>
      </c>
      <c r="FK2080" t="s">
        <v>198</v>
      </c>
      <c r="FU2080" t="s">
        <v>198</v>
      </c>
    </row>
    <row r="2081" spans="1:177">
      <c r="A2081" s="1" t="str">
        <f>HYPERLINK("http://digipan.lumentumllc.com/apps/getLink/index.php?t=PropLink&amp;p=6886600","PL")</f>
        <v>PL</v>
      </c>
      <c r="B2081" s="1" t="str">
        <f>HYPERLINK("http://digipan.lumentumllc.com/apps/getLink/index.php?t=TaxLink&amp;p=6886600","TL")</f>
        <v>TL</v>
      </c>
      <c r="C2081" s="1" t="str">
        <f>HYPERLINK("http://digipan.lumentumllc.com/apps/getMap/index.php?p=6886600","Map")</f>
        <v>Map</v>
      </c>
      <c r="E2081" t="s">
        <v>177</v>
      </c>
      <c r="F2081" t="s">
        <v>178</v>
      </c>
      <c r="L2081" t="s">
        <v>24460</v>
      </c>
      <c r="N2081" t="s">
        <v>24460</v>
      </c>
      <c r="O2081" t="s">
        <v>24460</v>
      </c>
      <c r="P2081" t="s">
        <v>24461</v>
      </c>
      <c r="Q2081" t="s">
        <v>24460</v>
      </c>
      <c r="V2081">
        <v>2384</v>
      </c>
      <c r="W2081">
        <v>8</v>
      </c>
      <c r="X2081">
        <v>2017</v>
      </c>
      <c r="Y2081">
        <v>2018</v>
      </c>
      <c r="Z2081">
        <v>2065.06</v>
      </c>
      <c r="AB2081" t="s">
        <v>181</v>
      </c>
      <c r="AC2081" t="s">
        <v>182</v>
      </c>
      <c r="AD2081" t="s">
        <v>183</v>
      </c>
      <c r="AE2081">
        <v>0</v>
      </c>
      <c r="AF2081">
        <v>1</v>
      </c>
      <c r="AG2081" t="s">
        <v>821</v>
      </c>
      <c r="AH2081">
        <v>100</v>
      </c>
      <c r="AK2081">
        <v>0</v>
      </c>
      <c r="AL2081">
        <v>133171</v>
      </c>
      <c r="AM2081">
        <v>40000</v>
      </c>
      <c r="AN2081">
        <v>93171</v>
      </c>
      <c r="AO2081">
        <v>1906</v>
      </c>
      <c r="AP2081">
        <v>2016</v>
      </c>
      <c r="AQ2081">
        <v>1.55</v>
      </c>
      <c r="AS2081" t="s">
        <v>24462</v>
      </c>
      <c r="AT2081" t="s">
        <v>15040</v>
      </c>
      <c r="AU2081" t="s">
        <v>177</v>
      </c>
      <c r="AV2081" t="s">
        <v>371</v>
      </c>
      <c r="AW2081" t="s">
        <v>202</v>
      </c>
      <c r="AX2081">
        <v>1</v>
      </c>
      <c r="AY2081" t="s">
        <v>188</v>
      </c>
      <c r="AZ2081" t="s">
        <v>206</v>
      </c>
      <c r="BA2081" t="s">
        <v>355</v>
      </c>
      <c r="BB2081" t="s">
        <v>191</v>
      </c>
      <c r="BC2081" t="s">
        <v>182</v>
      </c>
      <c r="BD2081" t="s">
        <v>182</v>
      </c>
      <c r="BE2081" t="s">
        <v>12856</v>
      </c>
      <c r="BF2081">
        <v>1</v>
      </c>
      <c r="BG2081">
        <v>1</v>
      </c>
      <c r="BH2081">
        <v>1990</v>
      </c>
      <c r="BI2081" t="s">
        <v>17449</v>
      </c>
      <c r="BJ2081" t="s">
        <v>285</v>
      </c>
      <c r="BK2081" t="s">
        <v>195</v>
      </c>
      <c r="BL2081" t="s">
        <v>199</v>
      </c>
      <c r="BM2081" t="s">
        <v>1332</v>
      </c>
      <c r="BN2081" t="s">
        <v>182</v>
      </c>
      <c r="BO2081" t="s">
        <v>198</v>
      </c>
      <c r="BP2081" t="s">
        <v>198</v>
      </c>
      <c r="BQ2081" t="s">
        <v>198</v>
      </c>
      <c r="BR2081" t="s">
        <v>198</v>
      </c>
      <c r="BS2081" t="s">
        <v>198</v>
      </c>
      <c r="BT2081" t="s">
        <v>198</v>
      </c>
      <c r="BU2081" t="s">
        <v>182</v>
      </c>
      <c r="BV2081" t="s">
        <v>198</v>
      </c>
      <c r="BW2081" t="s">
        <v>198</v>
      </c>
      <c r="BX2081" t="s">
        <v>199</v>
      </c>
      <c r="BY2081" t="s">
        <v>198</v>
      </c>
      <c r="BZ2081" t="s">
        <v>199</v>
      </c>
      <c r="CA2081" t="s">
        <v>199</v>
      </c>
      <c r="CB2081" t="s">
        <v>24463</v>
      </c>
      <c r="CC2081" t="s">
        <v>201</v>
      </c>
      <c r="CD2081" t="s">
        <v>202</v>
      </c>
      <c r="CE2081" t="s">
        <v>24464</v>
      </c>
      <c r="CF2081" t="s">
        <v>5331</v>
      </c>
      <c r="CG2081" t="s">
        <v>177</v>
      </c>
      <c r="CH2081" t="s">
        <v>371</v>
      </c>
      <c r="CI2081" t="s">
        <v>24465</v>
      </c>
      <c r="CJ2081" t="s">
        <v>15782</v>
      </c>
      <c r="CK2081" t="s">
        <v>232</v>
      </c>
      <c r="CL2081" t="s">
        <v>233</v>
      </c>
      <c r="CM2081" t="s">
        <v>24466</v>
      </c>
      <c r="CN2081" t="s">
        <v>235</v>
      </c>
      <c r="CO2081" t="s">
        <v>183</v>
      </c>
      <c r="CP2081" t="s">
        <v>211</v>
      </c>
      <c r="CQ2081" t="s">
        <v>270</v>
      </c>
      <c r="CS2081" t="s">
        <v>540</v>
      </c>
      <c r="DC2081" t="s">
        <v>198</v>
      </c>
      <c r="DM2081" t="s">
        <v>198</v>
      </c>
      <c r="DW2081" t="s">
        <v>198</v>
      </c>
      <c r="EG2081" t="s">
        <v>198</v>
      </c>
      <c r="EQ2081" t="s">
        <v>198</v>
      </c>
      <c r="FA2081" t="s">
        <v>198</v>
      </c>
      <c r="FK2081" t="s">
        <v>198</v>
      </c>
      <c r="FU2081" t="s">
        <v>198</v>
      </c>
    </row>
    <row r="2082" spans="1:177">
      <c r="A2082" s="1" t="str">
        <f>HYPERLINK("http://digipan.lumentumllc.com/apps/getLink/index.php?t=PropLink&amp;p=5244354","PL")</f>
        <v>PL</v>
      </c>
      <c r="B2082" s="1" t="str">
        <f>HYPERLINK("http://digipan.lumentumllc.com/apps/getLink/index.php?t=TaxLink&amp;p=5244354","TL")</f>
        <v>TL</v>
      </c>
      <c r="C2082" s="1" t="str">
        <f>HYPERLINK("http://digipan.lumentumllc.com/apps/getMap/index.php?p=5244354","Map")</f>
        <v>Map</v>
      </c>
      <c r="E2082" t="s">
        <v>177</v>
      </c>
      <c r="F2082" t="s">
        <v>178</v>
      </c>
      <c r="L2082" t="s">
        <v>24467</v>
      </c>
      <c r="N2082" t="s">
        <v>24467</v>
      </c>
      <c r="O2082" t="s">
        <v>24467</v>
      </c>
      <c r="P2082" t="s">
        <v>24468</v>
      </c>
      <c r="Q2082" t="s">
        <v>24467</v>
      </c>
      <c r="V2082">
        <v>2385</v>
      </c>
      <c r="W2082">
        <v>8</v>
      </c>
      <c r="X2082">
        <v>2017</v>
      </c>
      <c r="Y2082">
        <v>2018</v>
      </c>
      <c r="Z2082">
        <v>2950.25</v>
      </c>
      <c r="AB2082" t="s">
        <v>181</v>
      </c>
      <c r="AC2082" t="s">
        <v>182</v>
      </c>
      <c r="AD2082" t="s">
        <v>183</v>
      </c>
      <c r="AE2082">
        <v>0</v>
      </c>
      <c r="AF2082">
        <v>4</v>
      </c>
      <c r="AG2082" t="s">
        <v>744</v>
      </c>
      <c r="AH2082">
        <v>100</v>
      </c>
      <c r="AK2082">
        <v>0</v>
      </c>
      <c r="AL2082">
        <v>135386</v>
      </c>
      <c r="AM2082">
        <v>40000</v>
      </c>
      <c r="AN2082">
        <v>95386</v>
      </c>
      <c r="AO2082">
        <v>2753</v>
      </c>
      <c r="AP2082">
        <v>2016</v>
      </c>
      <c r="AQ2082">
        <v>2.1800000000000002</v>
      </c>
      <c r="AS2082" t="s">
        <v>24469</v>
      </c>
      <c r="AT2082" t="s">
        <v>15040</v>
      </c>
      <c r="AU2082" t="s">
        <v>177</v>
      </c>
      <c r="AV2082" t="s">
        <v>371</v>
      </c>
      <c r="AW2082" t="s">
        <v>182</v>
      </c>
      <c r="AX2082">
        <v>1</v>
      </c>
      <c r="AY2082" t="s">
        <v>188</v>
      </c>
      <c r="AZ2082" t="s">
        <v>206</v>
      </c>
      <c r="BA2082" t="s">
        <v>355</v>
      </c>
      <c r="BB2082" t="s">
        <v>191</v>
      </c>
      <c r="BC2082" t="s">
        <v>182</v>
      </c>
      <c r="BD2082" t="s">
        <v>182</v>
      </c>
      <c r="BE2082" t="s">
        <v>478</v>
      </c>
      <c r="BF2082">
        <v>1</v>
      </c>
      <c r="BG2082">
        <v>1</v>
      </c>
      <c r="BH2082">
        <v>1990</v>
      </c>
      <c r="BI2082" t="s">
        <v>18886</v>
      </c>
      <c r="BJ2082" t="s">
        <v>285</v>
      </c>
      <c r="BK2082" t="s">
        <v>195</v>
      </c>
      <c r="BL2082" t="s">
        <v>24470</v>
      </c>
      <c r="BM2082" t="s">
        <v>292</v>
      </c>
      <c r="BN2082" t="s">
        <v>182</v>
      </c>
      <c r="BO2082" t="s">
        <v>24471</v>
      </c>
      <c r="BP2082" t="s">
        <v>1696</v>
      </c>
      <c r="BR2082" t="s">
        <v>1123</v>
      </c>
      <c r="BS2082" t="s">
        <v>24472</v>
      </c>
      <c r="BT2082" t="s">
        <v>198</v>
      </c>
      <c r="BU2082" t="s">
        <v>182</v>
      </c>
      <c r="BV2082" t="s">
        <v>198</v>
      </c>
      <c r="BW2082" t="s">
        <v>198</v>
      </c>
      <c r="BX2082" t="s">
        <v>199</v>
      </c>
      <c r="BY2082" t="s">
        <v>198</v>
      </c>
      <c r="BZ2082" t="s">
        <v>199</v>
      </c>
      <c r="CA2082" t="s">
        <v>199</v>
      </c>
      <c r="CB2082" t="s">
        <v>24473</v>
      </c>
      <c r="CC2082" t="s">
        <v>201</v>
      </c>
      <c r="CD2082" t="s">
        <v>202</v>
      </c>
      <c r="CE2082" t="s">
        <v>24474</v>
      </c>
      <c r="CF2082" t="s">
        <v>5331</v>
      </c>
      <c r="CG2082" t="s">
        <v>177</v>
      </c>
      <c r="CH2082" t="s">
        <v>371</v>
      </c>
      <c r="CI2082" t="s">
        <v>24475</v>
      </c>
      <c r="CJ2082" t="s">
        <v>18421</v>
      </c>
      <c r="CK2082" t="s">
        <v>273</v>
      </c>
      <c r="CL2082" t="s">
        <v>274</v>
      </c>
      <c r="CM2082" t="s">
        <v>24476</v>
      </c>
      <c r="CN2082" t="s">
        <v>235</v>
      </c>
      <c r="CO2082" t="s">
        <v>183</v>
      </c>
      <c r="CP2082" t="s">
        <v>211</v>
      </c>
      <c r="CQ2082" t="s">
        <v>250</v>
      </c>
      <c r="CS2082" t="s">
        <v>14875</v>
      </c>
      <c r="CT2082" t="s">
        <v>20954</v>
      </c>
      <c r="CU2082" t="s">
        <v>302</v>
      </c>
      <c r="CV2082" t="s">
        <v>303</v>
      </c>
      <c r="CW2082" t="s">
        <v>24477</v>
      </c>
      <c r="CX2082" t="s">
        <v>235</v>
      </c>
      <c r="CY2082" t="s">
        <v>183</v>
      </c>
      <c r="CZ2082" t="s">
        <v>211</v>
      </c>
      <c r="DA2082" t="s">
        <v>206</v>
      </c>
      <c r="DC2082" t="s">
        <v>24478</v>
      </c>
      <c r="DD2082" t="s">
        <v>5112</v>
      </c>
      <c r="DE2082" t="s">
        <v>238</v>
      </c>
      <c r="DF2082" t="s">
        <v>239</v>
      </c>
      <c r="DG2082" t="s">
        <v>24479</v>
      </c>
      <c r="DH2082" t="s">
        <v>235</v>
      </c>
      <c r="DI2082" t="s">
        <v>183</v>
      </c>
      <c r="DJ2082" t="s">
        <v>211</v>
      </c>
      <c r="DK2082" t="s">
        <v>306</v>
      </c>
      <c r="DM2082" t="s">
        <v>24478</v>
      </c>
      <c r="DN2082" t="s">
        <v>24480</v>
      </c>
      <c r="DO2082" t="s">
        <v>346</v>
      </c>
      <c r="DP2082" t="s">
        <v>347</v>
      </c>
      <c r="DQ2082" t="s">
        <v>24481</v>
      </c>
      <c r="DR2082" t="s">
        <v>235</v>
      </c>
      <c r="DS2082" t="s">
        <v>183</v>
      </c>
      <c r="DT2082" t="s">
        <v>211</v>
      </c>
      <c r="DU2082" t="s">
        <v>345</v>
      </c>
      <c r="DW2082" t="s">
        <v>5179</v>
      </c>
      <c r="EG2082" t="s">
        <v>198</v>
      </c>
      <c r="EQ2082" t="s">
        <v>198</v>
      </c>
      <c r="FA2082" t="s">
        <v>198</v>
      </c>
      <c r="FK2082" t="s">
        <v>198</v>
      </c>
      <c r="FU2082" t="s">
        <v>198</v>
      </c>
    </row>
    <row r="2083" spans="1:177">
      <c r="A2083" s="1" t="str">
        <f>HYPERLINK("http://digipan.lumentumllc.com/apps/getLink/index.php?t=PropLink&amp;p=15731621","PL")</f>
        <v>PL</v>
      </c>
      <c r="B2083" s="1" t="str">
        <f>HYPERLINK("http://digipan.lumentumllc.com/apps/getLink/index.php?t=TaxLink&amp;p=15731621","TL")</f>
        <v>TL</v>
      </c>
      <c r="C2083" s="1" t="str">
        <f>HYPERLINK("http://digipan.lumentumllc.com/apps/getMap/index.php?p=15731621","Map")</f>
        <v>Map</v>
      </c>
      <c r="E2083" t="s">
        <v>177</v>
      </c>
      <c r="F2083" t="s">
        <v>178</v>
      </c>
      <c r="L2083" t="s">
        <v>24482</v>
      </c>
      <c r="N2083" t="s">
        <v>24482</v>
      </c>
      <c r="O2083" t="s">
        <v>24482</v>
      </c>
      <c r="Q2083" t="s">
        <v>24482</v>
      </c>
      <c r="V2083">
        <v>2386</v>
      </c>
      <c r="W2083">
        <v>8</v>
      </c>
      <c r="X2083">
        <v>2017</v>
      </c>
      <c r="Y2083">
        <v>2018</v>
      </c>
      <c r="Z2083">
        <v>1529.31</v>
      </c>
      <c r="AB2083" t="s">
        <v>181</v>
      </c>
      <c r="AC2083" t="s">
        <v>182</v>
      </c>
      <c r="AD2083" t="s">
        <v>183</v>
      </c>
      <c r="AE2083">
        <v>1</v>
      </c>
      <c r="AF2083">
        <v>0</v>
      </c>
      <c r="AG2083" t="s">
        <v>1200</v>
      </c>
      <c r="AH2083">
        <v>0</v>
      </c>
      <c r="AI2083">
        <v>1500.41</v>
      </c>
      <c r="AJ2083">
        <v>75.02</v>
      </c>
      <c r="AK2083">
        <v>1575.43</v>
      </c>
      <c r="AL2083">
        <v>154009</v>
      </c>
      <c r="AM2083">
        <v>40000</v>
      </c>
      <c r="AN2083">
        <v>114009</v>
      </c>
      <c r="AO2083">
        <v>1362</v>
      </c>
      <c r="AP2083">
        <v>2016</v>
      </c>
      <c r="AQ2083">
        <v>0.99</v>
      </c>
      <c r="AR2083">
        <v>1.02</v>
      </c>
      <c r="AS2083" t="s">
        <v>24483</v>
      </c>
      <c r="AT2083" t="s">
        <v>15040</v>
      </c>
      <c r="AU2083" t="s">
        <v>177</v>
      </c>
      <c r="AV2083" t="s">
        <v>371</v>
      </c>
      <c r="AW2083" t="s">
        <v>202</v>
      </c>
      <c r="AX2083">
        <v>1</v>
      </c>
      <c r="AY2083" t="s">
        <v>188</v>
      </c>
      <c r="AZ2083" t="s">
        <v>206</v>
      </c>
      <c r="BA2083" t="s">
        <v>355</v>
      </c>
      <c r="BB2083" t="s">
        <v>191</v>
      </c>
      <c r="BC2083" t="s">
        <v>182</v>
      </c>
      <c r="BD2083" t="s">
        <v>182</v>
      </c>
      <c r="BE2083" t="s">
        <v>12856</v>
      </c>
      <c r="BF2083">
        <v>1</v>
      </c>
      <c r="BG2083">
        <v>1</v>
      </c>
      <c r="BH2083">
        <v>1991</v>
      </c>
      <c r="BI2083" t="s">
        <v>5627</v>
      </c>
      <c r="BJ2083" t="s">
        <v>285</v>
      </c>
      <c r="BK2083" t="s">
        <v>195</v>
      </c>
      <c r="BL2083" t="s">
        <v>199</v>
      </c>
      <c r="BM2083" t="s">
        <v>302</v>
      </c>
      <c r="BN2083" t="s">
        <v>182</v>
      </c>
      <c r="BO2083" t="s">
        <v>23426</v>
      </c>
      <c r="BP2083" t="s">
        <v>24484</v>
      </c>
      <c r="BQ2083" t="s">
        <v>800</v>
      </c>
      <c r="BR2083" t="s">
        <v>563</v>
      </c>
      <c r="BS2083" t="s">
        <v>198</v>
      </c>
      <c r="BT2083" t="s">
        <v>10256</v>
      </c>
      <c r="BU2083" t="s">
        <v>182</v>
      </c>
      <c r="BV2083" t="s">
        <v>198</v>
      </c>
      <c r="BW2083" t="s">
        <v>198</v>
      </c>
      <c r="BX2083" t="s">
        <v>199</v>
      </c>
      <c r="BY2083" t="s">
        <v>198</v>
      </c>
      <c r="BZ2083" t="s">
        <v>199</v>
      </c>
      <c r="CA2083" t="s">
        <v>199</v>
      </c>
      <c r="CB2083" t="s">
        <v>24485</v>
      </c>
      <c r="CC2083" t="s">
        <v>201</v>
      </c>
      <c r="CD2083" t="s">
        <v>202</v>
      </c>
      <c r="CE2083" t="s">
        <v>24486</v>
      </c>
      <c r="CF2083" t="s">
        <v>5331</v>
      </c>
      <c r="CG2083" t="s">
        <v>177</v>
      </c>
      <c r="CH2083" t="s">
        <v>371</v>
      </c>
      <c r="CI2083" t="s">
        <v>24487</v>
      </c>
      <c r="CJ2083" t="s">
        <v>16966</v>
      </c>
      <c r="CK2083" t="s">
        <v>232</v>
      </c>
      <c r="CL2083" t="s">
        <v>233</v>
      </c>
      <c r="CM2083" t="s">
        <v>24488</v>
      </c>
      <c r="CN2083" t="s">
        <v>235</v>
      </c>
      <c r="CO2083" t="s">
        <v>183</v>
      </c>
      <c r="CP2083" t="s">
        <v>266</v>
      </c>
      <c r="CS2083" t="s">
        <v>198</v>
      </c>
      <c r="DC2083" t="s">
        <v>198</v>
      </c>
      <c r="DM2083" t="s">
        <v>198</v>
      </c>
      <c r="DW2083" t="s">
        <v>198</v>
      </c>
      <c r="EG2083" t="s">
        <v>198</v>
      </c>
      <c r="EQ2083" t="s">
        <v>198</v>
      </c>
      <c r="FA2083" t="s">
        <v>198</v>
      </c>
      <c r="FK2083" t="s">
        <v>198</v>
      </c>
      <c r="FU2083" t="s">
        <v>198</v>
      </c>
    </row>
    <row r="2084" spans="1:177">
      <c r="A2084" s="1" t="str">
        <f>HYPERLINK("http://digipan.lumentumllc.com/apps/getLink/index.php?t=PropLink&amp;p=15731671","PL")</f>
        <v>PL</v>
      </c>
      <c r="B2084" s="1" t="str">
        <f>HYPERLINK("http://digipan.lumentumllc.com/apps/getLink/index.php?t=TaxLink&amp;p=15731671","TL")</f>
        <v>TL</v>
      </c>
      <c r="C2084" s="1" t="str">
        <f>HYPERLINK("http://digipan.lumentumllc.com/apps/getMap/index.php?p=15731671","Map")</f>
        <v>Map</v>
      </c>
      <c r="E2084" t="s">
        <v>177</v>
      </c>
      <c r="F2084" t="s">
        <v>178</v>
      </c>
      <c r="L2084" t="s">
        <v>24489</v>
      </c>
      <c r="N2084" t="s">
        <v>24489</v>
      </c>
      <c r="O2084" t="s">
        <v>24489</v>
      </c>
      <c r="Q2084" t="s">
        <v>24489</v>
      </c>
      <c r="V2084">
        <v>2387</v>
      </c>
      <c r="W2084">
        <v>8</v>
      </c>
      <c r="X2084">
        <v>2017</v>
      </c>
      <c r="Y2084">
        <v>2018</v>
      </c>
      <c r="Z2084">
        <v>766.76</v>
      </c>
      <c r="AG2084" t="s">
        <v>184</v>
      </c>
      <c r="AH2084">
        <v>0</v>
      </c>
      <c r="AK2084">
        <v>0</v>
      </c>
      <c r="AL2084">
        <v>127073</v>
      </c>
      <c r="AM2084">
        <v>52800</v>
      </c>
      <c r="AN2084">
        <v>74273</v>
      </c>
      <c r="AO2084">
        <v>0</v>
      </c>
      <c r="AP2084">
        <v>0</v>
      </c>
      <c r="AQ2084">
        <v>0.6</v>
      </c>
      <c r="AS2084" t="s">
        <v>24490</v>
      </c>
      <c r="AT2084" t="s">
        <v>15040</v>
      </c>
      <c r="AU2084" t="s">
        <v>177</v>
      </c>
      <c r="AV2084" t="s">
        <v>371</v>
      </c>
      <c r="AW2084" t="s">
        <v>182</v>
      </c>
      <c r="AX2084">
        <v>1</v>
      </c>
      <c r="AY2084" t="s">
        <v>188</v>
      </c>
      <c r="AZ2084" t="s">
        <v>206</v>
      </c>
      <c r="BA2084" t="s">
        <v>355</v>
      </c>
      <c r="BB2084" t="s">
        <v>191</v>
      </c>
      <c r="BC2084" t="s">
        <v>182</v>
      </c>
      <c r="BD2084" t="s">
        <v>182</v>
      </c>
      <c r="BE2084" t="s">
        <v>3861</v>
      </c>
      <c r="BF2084">
        <v>1</v>
      </c>
      <c r="BG2084">
        <v>1</v>
      </c>
      <c r="BH2084">
        <v>1943</v>
      </c>
      <c r="BI2084" t="s">
        <v>13794</v>
      </c>
      <c r="BJ2084" t="s">
        <v>194</v>
      </c>
      <c r="BK2084" t="s">
        <v>195</v>
      </c>
      <c r="BL2084" t="s">
        <v>199</v>
      </c>
      <c r="BM2084" t="s">
        <v>292</v>
      </c>
      <c r="BN2084" t="s">
        <v>182</v>
      </c>
      <c r="BO2084" t="s">
        <v>198</v>
      </c>
      <c r="BP2084" t="s">
        <v>198</v>
      </c>
      <c r="BQ2084" t="s">
        <v>198</v>
      </c>
      <c r="BR2084" t="s">
        <v>198</v>
      </c>
      <c r="BS2084" t="s">
        <v>198</v>
      </c>
      <c r="BT2084" t="s">
        <v>198</v>
      </c>
      <c r="BU2084" t="s">
        <v>182</v>
      </c>
      <c r="BV2084" t="s">
        <v>198</v>
      </c>
      <c r="BW2084" t="s">
        <v>198</v>
      </c>
      <c r="BX2084" t="s">
        <v>199</v>
      </c>
      <c r="BY2084" t="s">
        <v>198</v>
      </c>
      <c r="BZ2084" t="s">
        <v>199</v>
      </c>
      <c r="CA2084" t="s">
        <v>199</v>
      </c>
      <c r="CB2084" t="s">
        <v>24491</v>
      </c>
      <c r="CC2084" t="s">
        <v>201</v>
      </c>
      <c r="CD2084" t="s">
        <v>202</v>
      </c>
      <c r="CE2084" t="s">
        <v>24492</v>
      </c>
      <c r="CF2084" t="s">
        <v>5331</v>
      </c>
      <c r="CG2084" t="s">
        <v>177</v>
      </c>
      <c r="CH2084" t="s">
        <v>371</v>
      </c>
      <c r="CI2084" t="s">
        <v>4114</v>
      </c>
      <c r="CS2084" t="s">
        <v>198</v>
      </c>
      <c r="DC2084" t="s">
        <v>198</v>
      </c>
      <c r="DM2084" t="s">
        <v>198</v>
      </c>
      <c r="DW2084" t="s">
        <v>198</v>
      </c>
      <c r="EG2084" t="s">
        <v>198</v>
      </c>
      <c r="EQ2084" t="s">
        <v>198</v>
      </c>
      <c r="FA2084" t="s">
        <v>198</v>
      </c>
      <c r="FK2084" t="s">
        <v>198</v>
      </c>
      <c r="FU2084" t="s">
        <v>198</v>
      </c>
    </row>
    <row r="2085" spans="1:177">
      <c r="A2085" s="1" t="str">
        <f>HYPERLINK("http://digipan.lumentumllc.com/apps/getLink/index.php?t=PropLink&amp;p=5244360","PL")</f>
        <v>PL</v>
      </c>
      <c r="B2085" s="1" t="str">
        <f>HYPERLINK("http://digipan.lumentumllc.com/apps/getLink/index.php?t=TaxLink&amp;p=5244360","TL")</f>
        <v>TL</v>
      </c>
      <c r="C2085" s="1" t="str">
        <f>HYPERLINK("http://digipan.lumentumllc.com/apps/getMap/index.php?p=5244360","Map")</f>
        <v>Map</v>
      </c>
      <c r="E2085" t="s">
        <v>177</v>
      </c>
      <c r="F2085" t="s">
        <v>178</v>
      </c>
      <c r="L2085" t="s">
        <v>24493</v>
      </c>
      <c r="N2085" t="s">
        <v>24493</v>
      </c>
      <c r="O2085" t="s">
        <v>24493</v>
      </c>
      <c r="P2085" t="s">
        <v>24494</v>
      </c>
      <c r="Q2085" t="s">
        <v>24493</v>
      </c>
      <c r="V2085">
        <v>2388</v>
      </c>
      <c r="W2085">
        <v>8</v>
      </c>
      <c r="X2085">
        <v>2017</v>
      </c>
      <c r="Y2085">
        <v>2018</v>
      </c>
      <c r="Z2085">
        <v>862.43</v>
      </c>
      <c r="AB2085" t="s">
        <v>181</v>
      </c>
      <c r="AC2085" t="s">
        <v>182</v>
      </c>
      <c r="AD2085" t="s">
        <v>183</v>
      </c>
      <c r="AE2085">
        <v>1</v>
      </c>
      <c r="AF2085">
        <v>7</v>
      </c>
      <c r="AG2085" t="s">
        <v>418</v>
      </c>
      <c r="AH2085">
        <v>86</v>
      </c>
      <c r="AI2085">
        <v>848.65</v>
      </c>
      <c r="AJ2085">
        <v>42.43</v>
      </c>
      <c r="AK2085">
        <v>891.08</v>
      </c>
      <c r="AL2085">
        <v>131226</v>
      </c>
      <c r="AM2085">
        <v>47371</v>
      </c>
      <c r="AN2085">
        <v>83855</v>
      </c>
      <c r="AO2085">
        <v>760</v>
      </c>
      <c r="AP2085">
        <v>2016</v>
      </c>
      <c r="AQ2085">
        <v>0.66</v>
      </c>
      <c r="AR2085">
        <v>0.68</v>
      </c>
      <c r="AS2085" t="s">
        <v>24495</v>
      </c>
      <c r="AT2085" t="s">
        <v>15040</v>
      </c>
      <c r="AU2085" t="s">
        <v>177</v>
      </c>
      <c r="AV2085" t="s">
        <v>371</v>
      </c>
      <c r="AW2085" t="s">
        <v>202</v>
      </c>
      <c r="AX2085">
        <v>1</v>
      </c>
      <c r="AY2085" t="s">
        <v>188</v>
      </c>
      <c r="AZ2085" t="s">
        <v>206</v>
      </c>
      <c r="BA2085" t="s">
        <v>355</v>
      </c>
      <c r="BB2085" t="s">
        <v>191</v>
      </c>
      <c r="BC2085" t="s">
        <v>182</v>
      </c>
      <c r="BD2085" t="s">
        <v>182</v>
      </c>
      <c r="BE2085" t="s">
        <v>7407</v>
      </c>
      <c r="BF2085">
        <v>1</v>
      </c>
      <c r="BG2085">
        <v>1</v>
      </c>
      <c r="BH2085">
        <v>1952</v>
      </c>
      <c r="BI2085" t="s">
        <v>814</v>
      </c>
      <c r="BJ2085" t="s">
        <v>285</v>
      </c>
      <c r="BK2085" t="s">
        <v>195</v>
      </c>
      <c r="BL2085" t="s">
        <v>199</v>
      </c>
      <c r="BM2085" t="s">
        <v>1825</v>
      </c>
      <c r="BN2085" t="s">
        <v>182</v>
      </c>
      <c r="BO2085" t="s">
        <v>13903</v>
      </c>
      <c r="BP2085" t="s">
        <v>24496</v>
      </c>
      <c r="BR2085" t="s">
        <v>1575</v>
      </c>
      <c r="BS2085" t="s">
        <v>24497</v>
      </c>
      <c r="BT2085" t="s">
        <v>198</v>
      </c>
      <c r="BU2085" t="s">
        <v>182</v>
      </c>
      <c r="BV2085" t="s">
        <v>198</v>
      </c>
      <c r="BW2085" t="s">
        <v>198</v>
      </c>
      <c r="BX2085" t="s">
        <v>199</v>
      </c>
      <c r="BY2085" t="s">
        <v>198</v>
      </c>
      <c r="BZ2085" t="s">
        <v>199</v>
      </c>
      <c r="CA2085" t="s">
        <v>199</v>
      </c>
      <c r="CB2085" t="s">
        <v>24498</v>
      </c>
      <c r="CC2085" t="s">
        <v>201</v>
      </c>
      <c r="CD2085" t="s">
        <v>182</v>
      </c>
      <c r="CE2085" t="s">
        <v>24499</v>
      </c>
      <c r="CF2085" t="s">
        <v>5331</v>
      </c>
      <c r="CG2085" t="s">
        <v>177</v>
      </c>
      <c r="CH2085" t="s">
        <v>371</v>
      </c>
      <c r="CI2085" t="s">
        <v>24500</v>
      </c>
      <c r="CJ2085" t="s">
        <v>5386</v>
      </c>
      <c r="CK2085" t="s">
        <v>232</v>
      </c>
      <c r="CL2085" t="s">
        <v>233</v>
      </c>
      <c r="CM2085" t="s">
        <v>24501</v>
      </c>
      <c r="CN2085" t="s">
        <v>235</v>
      </c>
      <c r="CO2085" t="s">
        <v>183</v>
      </c>
      <c r="CP2085" t="s">
        <v>266</v>
      </c>
      <c r="CS2085" t="s">
        <v>198</v>
      </c>
      <c r="CT2085" t="s">
        <v>16966</v>
      </c>
      <c r="CU2085" t="s">
        <v>292</v>
      </c>
      <c r="CV2085" t="s">
        <v>293</v>
      </c>
      <c r="CW2085" t="s">
        <v>24502</v>
      </c>
      <c r="CX2085" t="s">
        <v>235</v>
      </c>
      <c r="CY2085" t="s">
        <v>183</v>
      </c>
      <c r="CZ2085" t="s">
        <v>211</v>
      </c>
      <c r="DA2085" t="s">
        <v>345</v>
      </c>
      <c r="DC2085" t="s">
        <v>8184</v>
      </c>
      <c r="DD2085" t="s">
        <v>16511</v>
      </c>
      <c r="DE2085" t="s">
        <v>267</v>
      </c>
      <c r="DF2085" t="s">
        <v>268</v>
      </c>
      <c r="DG2085" t="s">
        <v>24503</v>
      </c>
      <c r="DH2085" t="s">
        <v>235</v>
      </c>
      <c r="DI2085" t="s">
        <v>183</v>
      </c>
      <c r="DJ2085" t="s">
        <v>211</v>
      </c>
      <c r="DK2085" t="s">
        <v>345</v>
      </c>
      <c r="DM2085" t="s">
        <v>13292</v>
      </c>
      <c r="DN2085" t="s">
        <v>24504</v>
      </c>
      <c r="DO2085" t="s">
        <v>273</v>
      </c>
      <c r="DP2085" t="s">
        <v>274</v>
      </c>
      <c r="DQ2085" t="s">
        <v>24505</v>
      </c>
      <c r="DR2085" t="s">
        <v>235</v>
      </c>
      <c r="DS2085" t="s">
        <v>183</v>
      </c>
      <c r="DT2085" t="s">
        <v>211</v>
      </c>
      <c r="DU2085" t="s">
        <v>337</v>
      </c>
      <c r="DW2085" t="s">
        <v>544</v>
      </c>
      <c r="DX2085" t="s">
        <v>24506</v>
      </c>
      <c r="DY2085" t="s">
        <v>302</v>
      </c>
      <c r="DZ2085" t="s">
        <v>303</v>
      </c>
      <c r="EA2085" t="s">
        <v>24507</v>
      </c>
      <c r="EB2085" t="s">
        <v>235</v>
      </c>
      <c r="EC2085" t="s">
        <v>183</v>
      </c>
      <c r="ED2085" t="s">
        <v>211</v>
      </c>
      <c r="EE2085" t="s">
        <v>345</v>
      </c>
      <c r="EG2085" t="s">
        <v>1372</v>
      </c>
      <c r="EH2085" t="s">
        <v>3544</v>
      </c>
      <c r="EI2085" t="s">
        <v>238</v>
      </c>
      <c r="EJ2085" t="s">
        <v>239</v>
      </c>
      <c r="EK2085" t="s">
        <v>24508</v>
      </c>
      <c r="EL2085" t="s">
        <v>235</v>
      </c>
      <c r="EM2085" t="s">
        <v>183</v>
      </c>
      <c r="EN2085" t="s">
        <v>211</v>
      </c>
      <c r="EO2085" t="s">
        <v>337</v>
      </c>
      <c r="EQ2085" t="s">
        <v>1349</v>
      </c>
      <c r="ER2085" t="s">
        <v>9160</v>
      </c>
      <c r="ES2085" t="s">
        <v>346</v>
      </c>
      <c r="ET2085" t="s">
        <v>347</v>
      </c>
      <c r="EU2085" t="s">
        <v>24509</v>
      </c>
      <c r="EV2085" t="s">
        <v>235</v>
      </c>
      <c r="EW2085" t="s">
        <v>183</v>
      </c>
      <c r="EX2085" t="s">
        <v>211</v>
      </c>
      <c r="EY2085" t="s">
        <v>334</v>
      </c>
      <c r="FA2085" t="s">
        <v>279</v>
      </c>
      <c r="FB2085" t="s">
        <v>24510</v>
      </c>
      <c r="FC2085" t="s">
        <v>207</v>
      </c>
      <c r="FD2085" t="s">
        <v>208</v>
      </c>
      <c r="FE2085" t="s">
        <v>24511</v>
      </c>
      <c r="FF2085" t="s">
        <v>688</v>
      </c>
      <c r="FG2085" t="s">
        <v>183</v>
      </c>
      <c r="FH2085" t="s">
        <v>211</v>
      </c>
      <c r="FI2085" t="s">
        <v>206</v>
      </c>
      <c r="FK2085" t="s">
        <v>24512</v>
      </c>
      <c r="FU2085" t="s">
        <v>198</v>
      </c>
    </row>
    <row r="2086" spans="1:177">
      <c r="A2086" s="1" t="str">
        <f>HYPERLINK("http://digipan.lumentumllc.com/apps/getLink/index.php?t=PropLink&amp;p=15731787","PL")</f>
        <v>PL</v>
      </c>
      <c r="B2086" s="1" t="str">
        <f>HYPERLINK("http://digipan.lumentumllc.com/apps/getLink/index.php?t=TaxLink&amp;p=15731787","TL")</f>
        <v>TL</v>
      </c>
      <c r="C2086" s="1" t="str">
        <f>HYPERLINK("http://digipan.lumentumllc.com/apps/getMap/index.php?p=15731787","Map")</f>
        <v>Map</v>
      </c>
      <c r="E2086" t="s">
        <v>177</v>
      </c>
      <c r="F2086" t="s">
        <v>178</v>
      </c>
      <c r="L2086" t="s">
        <v>24513</v>
      </c>
      <c r="N2086" t="s">
        <v>24513</v>
      </c>
      <c r="O2086" t="s">
        <v>24513</v>
      </c>
      <c r="Q2086" t="s">
        <v>24513</v>
      </c>
      <c r="V2086">
        <v>2389</v>
      </c>
      <c r="W2086">
        <v>8</v>
      </c>
      <c r="X2086">
        <v>2017</v>
      </c>
      <c r="Y2086">
        <v>2018</v>
      </c>
      <c r="Z2086">
        <v>769.87</v>
      </c>
      <c r="AG2086" t="s">
        <v>184</v>
      </c>
      <c r="AH2086">
        <v>0</v>
      </c>
      <c r="AK2086">
        <v>0</v>
      </c>
      <c r="AL2086">
        <v>134386</v>
      </c>
      <c r="AM2086">
        <v>45422</v>
      </c>
      <c r="AN2086">
        <v>88964</v>
      </c>
      <c r="AO2086">
        <v>0</v>
      </c>
      <c r="AP2086">
        <v>0</v>
      </c>
      <c r="AQ2086">
        <v>0.56999999999999995</v>
      </c>
      <c r="AS2086" t="s">
        <v>24514</v>
      </c>
      <c r="AT2086" t="s">
        <v>15040</v>
      </c>
      <c r="AU2086" t="s">
        <v>177</v>
      </c>
      <c r="AV2086" t="s">
        <v>371</v>
      </c>
      <c r="AW2086" t="s">
        <v>182</v>
      </c>
      <c r="AX2086">
        <v>1</v>
      </c>
      <c r="AY2086" t="s">
        <v>188</v>
      </c>
      <c r="AZ2086" t="s">
        <v>206</v>
      </c>
      <c r="BA2086" t="s">
        <v>355</v>
      </c>
      <c r="BB2086" t="s">
        <v>191</v>
      </c>
      <c r="BC2086" t="s">
        <v>182</v>
      </c>
      <c r="BD2086" t="s">
        <v>182</v>
      </c>
      <c r="BE2086" t="s">
        <v>11684</v>
      </c>
      <c r="BF2086">
        <v>1</v>
      </c>
      <c r="BG2086">
        <v>1</v>
      </c>
      <c r="BH2086">
        <v>1957</v>
      </c>
      <c r="BI2086" t="s">
        <v>24515</v>
      </c>
      <c r="BJ2086" t="s">
        <v>285</v>
      </c>
      <c r="BK2086" t="s">
        <v>840</v>
      </c>
      <c r="BL2086" t="s">
        <v>199</v>
      </c>
      <c r="BM2086" t="s">
        <v>358</v>
      </c>
      <c r="BN2086" t="s">
        <v>182</v>
      </c>
      <c r="BO2086" t="s">
        <v>198</v>
      </c>
      <c r="BP2086" t="s">
        <v>198</v>
      </c>
      <c r="BQ2086" t="s">
        <v>198</v>
      </c>
      <c r="BR2086" t="s">
        <v>198</v>
      </c>
      <c r="BS2086" t="s">
        <v>198</v>
      </c>
      <c r="BT2086" t="s">
        <v>198</v>
      </c>
      <c r="BU2086" t="s">
        <v>182</v>
      </c>
      <c r="BV2086" t="s">
        <v>198</v>
      </c>
      <c r="BW2086" t="s">
        <v>198</v>
      </c>
      <c r="BX2086" t="s">
        <v>199</v>
      </c>
      <c r="BY2086" t="s">
        <v>198</v>
      </c>
      <c r="BZ2086" t="s">
        <v>199</v>
      </c>
      <c r="CA2086" t="s">
        <v>199</v>
      </c>
      <c r="CB2086" t="s">
        <v>24516</v>
      </c>
      <c r="CC2086" t="s">
        <v>201</v>
      </c>
      <c r="CD2086" t="s">
        <v>202</v>
      </c>
      <c r="CE2086" t="s">
        <v>24517</v>
      </c>
      <c r="CF2086" t="s">
        <v>5331</v>
      </c>
      <c r="CG2086" t="s">
        <v>177</v>
      </c>
      <c r="CH2086" t="s">
        <v>371</v>
      </c>
      <c r="CI2086" t="s">
        <v>24518</v>
      </c>
      <c r="CS2086" t="s">
        <v>198</v>
      </c>
      <c r="DC2086" t="s">
        <v>198</v>
      </c>
      <c r="DM2086" t="s">
        <v>198</v>
      </c>
      <c r="DW2086" t="s">
        <v>198</v>
      </c>
      <c r="EG2086" t="s">
        <v>198</v>
      </c>
      <c r="EQ2086" t="s">
        <v>198</v>
      </c>
      <c r="FA2086" t="s">
        <v>198</v>
      </c>
      <c r="FK2086" t="s">
        <v>198</v>
      </c>
      <c r="FU2086" t="s">
        <v>198</v>
      </c>
    </row>
    <row r="2087" spans="1:177">
      <c r="A2087" s="1" t="str">
        <f>HYPERLINK("http://digipan.lumentumllc.com/apps/getLink/index.php?t=PropLink&amp;p=6594052","PL")</f>
        <v>PL</v>
      </c>
      <c r="B2087" s="1" t="str">
        <f>HYPERLINK("http://digipan.lumentumllc.com/apps/getLink/index.php?t=TaxLink&amp;p=6594052","TL")</f>
        <v>TL</v>
      </c>
      <c r="C2087" s="1" t="str">
        <f>HYPERLINK("http://digipan.lumentumllc.com/apps/getMap/index.php?p=6594052","Map")</f>
        <v>Map</v>
      </c>
      <c r="E2087" t="s">
        <v>177</v>
      </c>
      <c r="F2087" t="s">
        <v>178</v>
      </c>
      <c r="L2087" t="s">
        <v>24519</v>
      </c>
      <c r="N2087" t="s">
        <v>24519</v>
      </c>
      <c r="O2087" t="s">
        <v>24519</v>
      </c>
      <c r="P2087" t="s">
        <v>24520</v>
      </c>
      <c r="Q2087" t="s">
        <v>24519</v>
      </c>
      <c r="V2087">
        <v>2390</v>
      </c>
      <c r="W2087">
        <v>8</v>
      </c>
      <c r="X2087">
        <v>2017</v>
      </c>
      <c r="Y2087">
        <v>2018</v>
      </c>
      <c r="Z2087">
        <v>3024.51</v>
      </c>
      <c r="AB2087" t="s">
        <v>181</v>
      </c>
      <c r="AC2087" t="s">
        <v>202</v>
      </c>
      <c r="AD2087" t="s">
        <v>183</v>
      </c>
      <c r="AE2087">
        <v>1</v>
      </c>
      <c r="AF2087">
        <v>3</v>
      </c>
      <c r="AG2087" t="s">
        <v>257</v>
      </c>
      <c r="AH2087">
        <v>75</v>
      </c>
      <c r="AI2087">
        <v>2768.99</v>
      </c>
      <c r="AJ2087">
        <v>138.44999999999999</v>
      </c>
      <c r="AK2087">
        <v>2907.44</v>
      </c>
      <c r="AL2087">
        <v>149902</v>
      </c>
      <c r="AM2087">
        <v>45422</v>
      </c>
      <c r="AN2087">
        <v>104480</v>
      </c>
      <c r="AO2087">
        <v>2535</v>
      </c>
      <c r="AP2087">
        <v>2016</v>
      </c>
      <c r="AQ2087">
        <v>2.02</v>
      </c>
      <c r="AR2087">
        <v>1.94</v>
      </c>
      <c r="AS2087" t="s">
        <v>24521</v>
      </c>
      <c r="AT2087" t="s">
        <v>15040</v>
      </c>
      <c r="AU2087" t="s">
        <v>177</v>
      </c>
      <c r="AV2087" t="s">
        <v>371</v>
      </c>
      <c r="AW2087" t="s">
        <v>182</v>
      </c>
      <c r="AX2087">
        <v>1</v>
      </c>
      <c r="AY2087" t="s">
        <v>188</v>
      </c>
      <c r="AZ2087" t="s">
        <v>206</v>
      </c>
      <c r="BA2087" t="s">
        <v>355</v>
      </c>
      <c r="BB2087" t="s">
        <v>191</v>
      </c>
      <c r="BC2087" t="s">
        <v>182</v>
      </c>
      <c r="BD2087" t="s">
        <v>182</v>
      </c>
      <c r="BE2087" t="s">
        <v>11684</v>
      </c>
      <c r="BF2087">
        <v>1</v>
      </c>
      <c r="BG2087">
        <v>1</v>
      </c>
      <c r="BH2087">
        <v>1957</v>
      </c>
      <c r="BI2087" t="s">
        <v>24522</v>
      </c>
      <c r="BJ2087" t="s">
        <v>285</v>
      </c>
      <c r="BK2087" t="s">
        <v>840</v>
      </c>
      <c r="BL2087" t="s">
        <v>199</v>
      </c>
      <c r="BM2087" t="s">
        <v>533</v>
      </c>
      <c r="BN2087" t="s">
        <v>182</v>
      </c>
      <c r="BO2087" t="s">
        <v>8682</v>
      </c>
      <c r="BP2087" t="s">
        <v>21837</v>
      </c>
      <c r="BQ2087" t="s">
        <v>800</v>
      </c>
      <c r="BS2087" t="s">
        <v>198</v>
      </c>
      <c r="BT2087" t="s">
        <v>24523</v>
      </c>
      <c r="BU2087" t="s">
        <v>182</v>
      </c>
      <c r="BV2087" t="s">
        <v>198</v>
      </c>
      <c r="BW2087" t="s">
        <v>198</v>
      </c>
      <c r="BX2087" t="s">
        <v>199</v>
      </c>
      <c r="BY2087" t="s">
        <v>198</v>
      </c>
      <c r="BZ2087" t="s">
        <v>199</v>
      </c>
      <c r="CA2087" t="s">
        <v>199</v>
      </c>
      <c r="CB2087" t="s">
        <v>24524</v>
      </c>
      <c r="CC2087" t="s">
        <v>201</v>
      </c>
      <c r="CD2087" t="s">
        <v>202</v>
      </c>
      <c r="CE2087" t="s">
        <v>24525</v>
      </c>
      <c r="CF2087" t="s">
        <v>19602</v>
      </c>
      <c r="CG2087" t="s">
        <v>1602</v>
      </c>
      <c r="CH2087" t="s">
        <v>24526</v>
      </c>
      <c r="CI2087" t="s">
        <v>24527</v>
      </c>
      <c r="CJ2087" t="s">
        <v>9772</v>
      </c>
      <c r="CK2087" t="s">
        <v>232</v>
      </c>
      <c r="CL2087" t="s">
        <v>233</v>
      </c>
      <c r="CM2087" t="s">
        <v>24528</v>
      </c>
      <c r="CN2087" t="s">
        <v>235</v>
      </c>
      <c r="CO2087" t="s">
        <v>183</v>
      </c>
      <c r="CP2087" t="s">
        <v>266</v>
      </c>
      <c r="CS2087" t="s">
        <v>198</v>
      </c>
      <c r="CT2087" t="s">
        <v>9772</v>
      </c>
      <c r="CU2087" t="s">
        <v>292</v>
      </c>
      <c r="CV2087" t="s">
        <v>293</v>
      </c>
      <c r="CW2087" t="s">
        <v>24529</v>
      </c>
      <c r="CX2087" t="s">
        <v>235</v>
      </c>
      <c r="CY2087" t="s">
        <v>183</v>
      </c>
      <c r="CZ2087" t="s">
        <v>211</v>
      </c>
      <c r="DA2087" t="s">
        <v>250</v>
      </c>
      <c r="DB2087" t="s">
        <v>271</v>
      </c>
      <c r="DC2087" t="s">
        <v>20829</v>
      </c>
      <c r="DD2087" t="s">
        <v>9869</v>
      </c>
      <c r="DE2087" t="s">
        <v>267</v>
      </c>
      <c r="DF2087" t="s">
        <v>268</v>
      </c>
      <c r="DG2087" t="s">
        <v>24530</v>
      </c>
      <c r="DH2087" t="s">
        <v>235</v>
      </c>
      <c r="DI2087" t="s">
        <v>183</v>
      </c>
      <c r="DJ2087" t="s">
        <v>211</v>
      </c>
      <c r="DL2087" t="s">
        <v>271</v>
      </c>
      <c r="DM2087" t="s">
        <v>198</v>
      </c>
      <c r="DN2087" t="s">
        <v>24531</v>
      </c>
      <c r="DO2087" t="s">
        <v>273</v>
      </c>
      <c r="DP2087" t="s">
        <v>274</v>
      </c>
      <c r="DQ2087" t="s">
        <v>24532</v>
      </c>
      <c r="DR2087" t="s">
        <v>235</v>
      </c>
      <c r="DS2087" t="s">
        <v>183</v>
      </c>
      <c r="DT2087" t="s">
        <v>211</v>
      </c>
      <c r="DV2087" t="s">
        <v>271</v>
      </c>
      <c r="DW2087" t="s">
        <v>198</v>
      </c>
      <c r="EG2087" t="s">
        <v>198</v>
      </c>
      <c r="EQ2087" t="s">
        <v>198</v>
      </c>
      <c r="FA2087" t="s">
        <v>198</v>
      </c>
      <c r="FK2087" t="s">
        <v>198</v>
      </c>
      <c r="FU2087" t="s">
        <v>198</v>
      </c>
    </row>
    <row r="2088" spans="1:177">
      <c r="A2088" s="1" t="str">
        <f>HYPERLINK("http://digipan.lumentumllc.com/apps/getLink/index.php?t=PropLink&amp;p=5244364","PL")</f>
        <v>PL</v>
      </c>
      <c r="B2088" s="1" t="str">
        <f>HYPERLINK("http://digipan.lumentumllc.com/apps/getLink/index.php?t=TaxLink&amp;p=5244364","TL")</f>
        <v>TL</v>
      </c>
      <c r="C2088" s="1" t="str">
        <f>HYPERLINK("http://digipan.lumentumllc.com/apps/getMap/index.php?p=5244364","Map")</f>
        <v>Map</v>
      </c>
      <c r="E2088" t="s">
        <v>177</v>
      </c>
      <c r="F2088" t="s">
        <v>178</v>
      </c>
      <c r="L2088" t="s">
        <v>24533</v>
      </c>
      <c r="N2088" t="s">
        <v>24533</v>
      </c>
      <c r="O2088" t="s">
        <v>24533</v>
      </c>
      <c r="P2088" t="s">
        <v>24534</v>
      </c>
      <c r="Q2088" t="s">
        <v>24533</v>
      </c>
      <c r="V2088">
        <v>2391</v>
      </c>
      <c r="W2088">
        <v>8</v>
      </c>
      <c r="X2088">
        <v>2017</v>
      </c>
      <c r="Y2088">
        <v>2018</v>
      </c>
      <c r="Z2088">
        <v>692.92</v>
      </c>
      <c r="AB2088" t="s">
        <v>181</v>
      </c>
      <c r="AC2088" t="s">
        <v>182</v>
      </c>
      <c r="AD2088" t="s">
        <v>183</v>
      </c>
      <c r="AE2088">
        <v>1</v>
      </c>
      <c r="AF2088">
        <v>2</v>
      </c>
      <c r="AG2088" t="s">
        <v>363</v>
      </c>
      <c r="AH2088">
        <v>67</v>
      </c>
      <c r="AI2088">
        <v>694.96</v>
      </c>
      <c r="AJ2088">
        <v>34.75</v>
      </c>
      <c r="AK2088">
        <v>729.71</v>
      </c>
      <c r="AL2088">
        <v>117151</v>
      </c>
      <c r="AM2088">
        <v>45422</v>
      </c>
      <c r="AN2088">
        <v>71729</v>
      </c>
      <c r="AO2088">
        <v>618</v>
      </c>
      <c r="AP2088">
        <v>2016</v>
      </c>
      <c r="AQ2088">
        <v>0.59</v>
      </c>
      <c r="AR2088">
        <v>0.62</v>
      </c>
      <c r="AS2088" t="s">
        <v>24535</v>
      </c>
      <c r="AT2088" t="s">
        <v>15040</v>
      </c>
      <c r="AU2088" t="s">
        <v>177</v>
      </c>
      <c r="AV2088" t="s">
        <v>371</v>
      </c>
      <c r="AW2088" t="s">
        <v>202</v>
      </c>
      <c r="AX2088">
        <v>1</v>
      </c>
      <c r="AY2088" t="s">
        <v>188</v>
      </c>
      <c r="AZ2088" t="s">
        <v>206</v>
      </c>
      <c r="BA2088" t="s">
        <v>355</v>
      </c>
      <c r="BB2088" t="s">
        <v>191</v>
      </c>
      <c r="BC2088" t="s">
        <v>182</v>
      </c>
      <c r="BD2088" t="s">
        <v>182</v>
      </c>
      <c r="BE2088" t="s">
        <v>11684</v>
      </c>
      <c r="BF2088">
        <v>1</v>
      </c>
      <c r="BG2088">
        <v>1</v>
      </c>
      <c r="BH2088">
        <v>1957</v>
      </c>
      <c r="BI2088" t="s">
        <v>18448</v>
      </c>
      <c r="BJ2088" t="s">
        <v>285</v>
      </c>
      <c r="BK2088" t="s">
        <v>840</v>
      </c>
      <c r="BL2088" t="s">
        <v>199</v>
      </c>
      <c r="BM2088" t="s">
        <v>358</v>
      </c>
      <c r="BN2088" t="s">
        <v>182</v>
      </c>
      <c r="BO2088" t="s">
        <v>198</v>
      </c>
      <c r="BP2088" t="s">
        <v>198</v>
      </c>
      <c r="BQ2088" t="s">
        <v>198</v>
      </c>
      <c r="BR2088" t="s">
        <v>198</v>
      </c>
      <c r="BS2088" t="s">
        <v>198</v>
      </c>
      <c r="BT2088" t="s">
        <v>198</v>
      </c>
      <c r="BU2088" t="s">
        <v>182</v>
      </c>
      <c r="BV2088" t="s">
        <v>198</v>
      </c>
      <c r="BW2088" t="s">
        <v>198</v>
      </c>
      <c r="BX2088" t="s">
        <v>199</v>
      </c>
      <c r="BY2088" t="s">
        <v>198</v>
      </c>
      <c r="BZ2088" t="s">
        <v>199</v>
      </c>
      <c r="CA2088" t="s">
        <v>199</v>
      </c>
      <c r="CB2088" t="s">
        <v>24536</v>
      </c>
      <c r="CC2088" t="s">
        <v>201</v>
      </c>
      <c r="CD2088" t="s">
        <v>182</v>
      </c>
      <c r="CE2088" t="s">
        <v>24537</v>
      </c>
      <c r="CF2088" t="s">
        <v>5331</v>
      </c>
      <c r="CG2088" t="s">
        <v>177</v>
      </c>
      <c r="CH2088" t="s">
        <v>371</v>
      </c>
      <c r="CI2088" t="s">
        <v>24538</v>
      </c>
      <c r="CJ2088" t="s">
        <v>24539</v>
      </c>
      <c r="CK2088" t="s">
        <v>232</v>
      </c>
      <c r="CL2088" t="s">
        <v>233</v>
      </c>
      <c r="CM2088" t="s">
        <v>24540</v>
      </c>
      <c r="CN2088" t="s">
        <v>235</v>
      </c>
      <c r="CO2088" t="s">
        <v>183</v>
      </c>
      <c r="CP2088" t="s">
        <v>266</v>
      </c>
      <c r="CS2088" t="s">
        <v>198</v>
      </c>
      <c r="CT2088" t="s">
        <v>17855</v>
      </c>
      <c r="CU2088" t="s">
        <v>273</v>
      </c>
      <c r="CV2088" t="s">
        <v>274</v>
      </c>
      <c r="CW2088" t="s">
        <v>24541</v>
      </c>
      <c r="CX2088" t="s">
        <v>235</v>
      </c>
      <c r="CY2088" t="s">
        <v>183</v>
      </c>
      <c r="CZ2088" t="s">
        <v>211</v>
      </c>
      <c r="DA2088" t="s">
        <v>342</v>
      </c>
      <c r="DC2088" t="s">
        <v>5580</v>
      </c>
      <c r="DD2088" t="s">
        <v>24542</v>
      </c>
      <c r="DE2088" t="s">
        <v>346</v>
      </c>
      <c r="DF2088" t="s">
        <v>347</v>
      </c>
      <c r="DG2088" t="s">
        <v>20549</v>
      </c>
      <c r="DH2088" t="s">
        <v>235</v>
      </c>
      <c r="DI2088" t="s">
        <v>183</v>
      </c>
      <c r="DJ2088" t="s">
        <v>211</v>
      </c>
      <c r="DK2088" t="s">
        <v>342</v>
      </c>
      <c r="DM2088" t="s">
        <v>1419</v>
      </c>
      <c r="DW2088" t="s">
        <v>198</v>
      </c>
      <c r="EG2088" t="s">
        <v>198</v>
      </c>
      <c r="EQ2088" t="s">
        <v>198</v>
      </c>
      <c r="FA2088" t="s">
        <v>198</v>
      </c>
      <c r="FK2088" t="s">
        <v>198</v>
      </c>
      <c r="FU2088" t="s">
        <v>198</v>
      </c>
    </row>
    <row r="2089" spans="1:177">
      <c r="A2089" s="1" t="str">
        <f>HYPERLINK("http://digipan.lumentumllc.com/apps/getLink/index.php?t=PropLink&amp;p=5244366","PL")</f>
        <v>PL</v>
      </c>
      <c r="B2089" s="1" t="str">
        <f>HYPERLINK("http://digipan.lumentumllc.com/apps/getLink/index.php?t=TaxLink&amp;p=5244366","TL")</f>
        <v>TL</v>
      </c>
      <c r="C2089" s="1" t="str">
        <f>HYPERLINK("http://digipan.lumentumllc.com/apps/getMap/index.php?p=5244366","Map")</f>
        <v>Map</v>
      </c>
      <c r="E2089" t="s">
        <v>177</v>
      </c>
      <c r="F2089" t="s">
        <v>178</v>
      </c>
      <c r="L2089" t="s">
        <v>24543</v>
      </c>
      <c r="N2089" t="s">
        <v>24543</v>
      </c>
      <c r="O2089" t="s">
        <v>24543</v>
      </c>
      <c r="P2089" t="s">
        <v>24544</v>
      </c>
      <c r="Q2089" t="s">
        <v>24543</v>
      </c>
      <c r="V2089">
        <v>2392</v>
      </c>
      <c r="W2089">
        <v>8</v>
      </c>
      <c r="X2089">
        <v>2017</v>
      </c>
      <c r="Y2089">
        <v>2018</v>
      </c>
      <c r="Z2089">
        <v>875.29</v>
      </c>
      <c r="AB2089" t="s">
        <v>181</v>
      </c>
      <c r="AC2089" t="s">
        <v>182</v>
      </c>
      <c r="AD2089" t="s">
        <v>183</v>
      </c>
      <c r="AE2089">
        <v>1</v>
      </c>
      <c r="AF2089">
        <v>4</v>
      </c>
      <c r="AG2089" t="s">
        <v>951</v>
      </c>
      <c r="AH2089">
        <v>80</v>
      </c>
      <c r="AI2089">
        <v>853.68</v>
      </c>
      <c r="AJ2089">
        <v>42.68</v>
      </c>
      <c r="AK2089">
        <v>896.36</v>
      </c>
      <c r="AL2089">
        <v>90963</v>
      </c>
      <c r="AM2089">
        <v>45422</v>
      </c>
      <c r="AN2089">
        <v>45541</v>
      </c>
      <c r="AO2089">
        <v>764</v>
      </c>
      <c r="AP2089">
        <v>2016</v>
      </c>
      <c r="AQ2089">
        <v>0.96</v>
      </c>
      <c r="AR2089">
        <v>0.99</v>
      </c>
      <c r="AS2089" t="s">
        <v>24545</v>
      </c>
      <c r="AT2089" t="s">
        <v>15040</v>
      </c>
      <c r="AU2089" t="s">
        <v>177</v>
      </c>
      <c r="AV2089" t="s">
        <v>371</v>
      </c>
      <c r="AW2089" t="s">
        <v>202</v>
      </c>
      <c r="AX2089">
        <v>1</v>
      </c>
      <c r="AY2089" t="s">
        <v>188</v>
      </c>
      <c r="AZ2089" t="s">
        <v>206</v>
      </c>
      <c r="BA2089" t="s">
        <v>355</v>
      </c>
      <c r="BB2089" t="s">
        <v>191</v>
      </c>
      <c r="BC2089" t="s">
        <v>182</v>
      </c>
      <c r="BD2089" t="s">
        <v>182</v>
      </c>
      <c r="BE2089" t="s">
        <v>11684</v>
      </c>
      <c r="BF2089">
        <v>1</v>
      </c>
      <c r="BG2089">
        <v>1</v>
      </c>
      <c r="BH2089">
        <v>1957</v>
      </c>
      <c r="BI2089" t="s">
        <v>10802</v>
      </c>
      <c r="BJ2089" t="s">
        <v>285</v>
      </c>
      <c r="BK2089" t="s">
        <v>840</v>
      </c>
      <c r="BL2089" t="s">
        <v>199</v>
      </c>
      <c r="BM2089" t="s">
        <v>292</v>
      </c>
      <c r="BN2089" t="s">
        <v>182</v>
      </c>
      <c r="BO2089" t="s">
        <v>198</v>
      </c>
      <c r="BP2089" t="s">
        <v>198</v>
      </c>
      <c r="BQ2089" t="s">
        <v>198</v>
      </c>
      <c r="BR2089" t="s">
        <v>198</v>
      </c>
      <c r="BS2089" t="s">
        <v>198</v>
      </c>
      <c r="BT2089" t="s">
        <v>198</v>
      </c>
      <c r="BU2089" t="s">
        <v>182</v>
      </c>
      <c r="BV2089" t="s">
        <v>198</v>
      </c>
      <c r="BW2089" t="s">
        <v>198</v>
      </c>
      <c r="BX2089" t="s">
        <v>199</v>
      </c>
      <c r="BY2089" t="s">
        <v>198</v>
      </c>
      <c r="BZ2089" t="s">
        <v>199</v>
      </c>
      <c r="CA2089" t="s">
        <v>199</v>
      </c>
      <c r="CB2089" t="s">
        <v>24546</v>
      </c>
      <c r="CC2089" t="s">
        <v>201</v>
      </c>
      <c r="CD2089" t="s">
        <v>182</v>
      </c>
      <c r="CE2089" t="s">
        <v>24547</v>
      </c>
      <c r="CF2089" t="s">
        <v>5331</v>
      </c>
      <c r="CG2089" t="s">
        <v>177</v>
      </c>
      <c r="CH2089" t="s">
        <v>371</v>
      </c>
      <c r="CI2089" t="s">
        <v>10488</v>
      </c>
      <c r="CJ2089" t="s">
        <v>17089</v>
      </c>
      <c r="CK2089" t="s">
        <v>232</v>
      </c>
      <c r="CL2089" t="s">
        <v>233</v>
      </c>
      <c r="CM2089" t="s">
        <v>24548</v>
      </c>
      <c r="CN2089" t="s">
        <v>235</v>
      </c>
      <c r="CO2089" t="s">
        <v>183</v>
      </c>
      <c r="CP2089" t="s">
        <v>266</v>
      </c>
      <c r="CS2089" t="s">
        <v>198</v>
      </c>
      <c r="CT2089" t="s">
        <v>24539</v>
      </c>
      <c r="CU2089" t="s">
        <v>292</v>
      </c>
      <c r="CV2089" t="s">
        <v>293</v>
      </c>
      <c r="CW2089" t="s">
        <v>24549</v>
      </c>
      <c r="CX2089" t="s">
        <v>235</v>
      </c>
      <c r="CY2089" t="s">
        <v>183</v>
      </c>
      <c r="CZ2089" t="s">
        <v>211</v>
      </c>
      <c r="DA2089" t="s">
        <v>298</v>
      </c>
      <c r="DC2089" t="s">
        <v>1066</v>
      </c>
      <c r="DD2089" t="s">
        <v>24550</v>
      </c>
      <c r="DE2089" t="s">
        <v>273</v>
      </c>
      <c r="DF2089" t="s">
        <v>274</v>
      </c>
      <c r="DG2089" t="s">
        <v>24551</v>
      </c>
      <c r="DH2089" t="s">
        <v>235</v>
      </c>
      <c r="DI2089" t="s">
        <v>183</v>
      </c>
      <c r="DJ2089" t="s">
        <v>211</v>
      </c>
      <c r="DK2089" t="s">
        <v>212</v>
      </c>
      <c r="DM2089" t="s">
        <v>10363</v>
      </c>
      <c r="DN2089" t="s">
        <v>19524</v>
      </c>
      <c r="DO2089" t="s">
        <v>302</v>
      </c>
      <c r="DP2089" t="s">
        <v>303</v>
      </c>
      <c r="DQ2089" t="s">
        <v>24552</v>
      </c>
      <c r="DR2089" t="s">
        <v>235</v>
      </c>
      <c r="DS2089" t="s">
        <v>183</v>
      </c>
      <c r="DT2089" t="s">
        <v>211</v>
      </c>
      <c r="DU2089" t="s">
        <v>334</v>
      </c>
      <c r="DW2089" t="s">
        <v>10363</v>
      </c>
      <c r="DX2089" t="s">
        <v>23486</v>
      </c>
      <c r="DY2089" t="s">
        <v>346</v>
      </c>
      <c r="DZ2089" t="s">
        <v>347</v>
      </c>
      <c r="EA2089" t="s">
        <v>24553</v>
      </c>
      <c r="EB2089" t="s">
        <v>235</v>
      </c>
      <c r="EC2089" t="s">
        <v>183</v>
      </c>
      <c r="ED2089" t="s">
        <v>211</v>
      </c>
      <c r="EE2089" t="s">
        <v>212</v>
      </c>
      <c r="EG2089" t="s">
        <v>24554</v>
      </c>
      <c r="EQ2089" t="s">
        <v>198</v>
      </c>
      <c r="FA2089" t="s">
        <v>198</v>
      </c>
      <c r="FK2089" t="s">
        <v>198</v>
      </c>
      <c r="FU2089" t="s">
        <v>198</v>
      </c>
    </row>
    <row r="2090" spans="1:177">
      <c r="A2090" s="1" t="str">
        <f>HYPERLINK("http://digipan.lumentumllc.com/apps/getLink/index.php?t=PropLink&amp;p=6886603","PL")</f>
        <v>PL</v>
      </c>
      <c r="B2090" s="1" t="str">
        <f>HYPERLINK("http://digipan.lumentumllc.com/apps/getLink/index.php?t=TaxLink&amp;p=6886603","TL")</f>
        <v>TL</v>
      </c>
      <c r="C2090" s="1" t="str">
        <f>HYPERLINK("http://digipan.lumentumllc.com/apps/getMap/index.php?p=6886603","Map")</f>
        <v>Map</v>
      </c>
      <c r="E2090" t="s">
        <v>177</v>
      </c>
      <c r="F2090" t="s">
        <v>178</v>
      </c>
      <c r="L2090" t="s">
        <v>24555</v>
      </c>
      <c r="N2090" t="s">
        <v>24555</v>
      </c>
      <c r="O2090" t="s">
        <v>24555</v>
      </c>
      <c r="P2090" t="s">
        <v>24556</v>
      </c>
      <c r="Q2090" t="s">
        <v>24555</v>
      </c>
      <c r="V2090">
        <v>2393</v>
      </c>
      <c r="W2090">
        <v>8</v>
      </c>
      <c r="X2090">
        <v>2017</v>
      </c>
      <c r="Y2090">
        <v>2018</v>
      </c>
      <c r="Z2090">
        <v>1336.71</v>
      </c>
      <c r="AB2090" t="s">
        <v>181</v>
      </c>
      <c r="AC2090" t="s">
        <v>182</v>
      </c>
      <c r="AD2090" t="s">
        <v>183</v>
      </c>
      <c r="AE2090">
        <v>0</v>
      </c>
      <c r="AF2090">
        <v>1</v>
      </c>
      <c r="AG2090" t="s">
        <v>821</v>
      </c>
      <c r="AH2090">
        <v>100</v>
      </c>
      <c r="AK2090">
        <v>0</v>
      </c>
      <c r="AL2090">
        <v>121160</v>
      </c>
      <c r="AM2090">
        <v>45422</v>
      </c>
      <c r="AN2090">
        <v>75738</v>
      </c>
      <c r="AO2090">
        <v>1311</v>
      </c>
      <c r="AP2090">
        <v>2016</v>
      </c>
      <c r="AQ2090">
        <v>1.1000000000000001</v>
      </c>
      <c r="AS2090" t="s">
        <v>24557</v>
      </c>
      <c r="AT2090" t="s">
        <v>15040</v>
      </c>
      <c r="AU2090" t="s">
        <v>177</v>
      </c>
      <c r="AV2090" t="s">
        <v>371</v>
      </c>
      <c r="AW2090" t="s">
        <v>202</v>
      </c>
      <c r="AX2090">
        <v>1</v>
      </c>
      <c r="AY2090" t="s">
        <v>188</v>
      </c>
      <c r="AZ2090" t="s">
        <v>206</v>
      </c>
      <c r="BA2090" t="s">
        <v>355</v>
      </c>
      <c r="BB2090" t="s">
        <v>191</v>
      </c>
      <c r="BC2090" t="s">
        <v>182</v>
      </c>
      <c r="BD2090" t="s">
        <v>182</v>
      </c>
      <c r="BE2090" t="s">
        <v>11684</v>
      </c>
      <c r="BF2090">
        <v>1</v>
      </c>
      <c r="BG2090">
        <v>1</v>
      </c>
      <c r="BH2090">
        <v>1957</v>
      </c>
      <c r="BI2090" t="s">
        <v>1790</v>
      </c>
      <c r="BJ2090" t="s">
        <v>285</v>
      </c>
      <c r="BK2090" t="s">
        <v>840</v>
      </c>
      <c r="BL2090" t="s">
        <v>199</v>
      </c>
      <c r="BM2090" t="s">
        <v>232</v>
      </c>
      <c r="BN2090" t="s">
        <v>182</v>
      </c>
      <c r="BO2090" t="s">
        <v>1510</v>
      </c>
      <c r="BP2090" t="s">
        <v>24558</v>
      </c>
      <c r="BQ2090" t="s">
        <v>24559</v>
      </c>
      <c r="BS2090" t="s">
        <v>24560</v>
      </c>
      <c r="BT2090" t="s">
        <v>198</v>
      </c>
      <c r="BU2090" t="s">
        <v>182</v>
      </c>
      <c r="BV2090" t="s">
        <v>198</v>
      </c>
      <c r="BW2090" t="s">
        <v>198</v>
      </c>
      <c r="BX2090" t="s">
        <v>199</v>
      </c>
      <c r="BY2090" t="s">
        <v>198</v>
      </c>
      <c r="BZ2090" t="s">
        <v>199</v>
      </c>
      <c r="CA2090" t="s">
        <v>199</v>
      </c>
      <c r="CB2090" t="s">
        <v>24561</v>
      </c>
      <c r="CC2090" t="s">
        <v>201</v>
      </c>
      <c r="CD2090" t="s">
        <v>182</v>
      </c>
      <c r="CE2090" t="s">
        <v>24547</v>
      </c>
      <c r="CF2090" t="s">
        <v>5331</v>
      </c>
      <c r="CG2090" t="s">
        <v>177</v>
      </c>
      <c r="CH2090" t="s">
        <v>371</v>
      </c>
      <c r="CI2090" t="s">
        <v>24562</v>
      </c>
      <c r="CJ2090" t="s">
        <v>9530</v>
      </c>
      <c r="CK2090" t="s">
        <v>267</v>
      </c>
      <c r="CL2090" t="s">
        <v>268</v>
      </c>
      <c r="CM2090" t="s">
        <v>24563</v>
      </c>
      <c r="CN2090" t="s">
        <v>235</v>
      </c>
      <c r="CO2090" t="s">
        <v>183</v>
      </c>
      <c r="CP2090" t="s">
        <v>211</v>
      </c>
      <c r="CQ2090" t="s">
        <v>199</v>
      </c>
      <c r="CS2090" t="s">
        <v>10338</v>
      </c>
      <c r="DC2090" t="s">
        <v>198</v>
      </c>
      <c r="DM2090" t="s">
        <v>198</v>
      </c>
      <c r="DW2090" t="s">
        <v>198</v>
      </c>
      <c r="EG2090" t="s">
        <v>198</v>
      </c>
      <c r="EQ2090" t="s">
        <v>198</v>
      </c>
      <c r="FA2090" t="s">
        <v>198</v>
      </c>
      <c r="FK2090" t="s">
        <v>198</v>
      </c>
      <c r="FU2090" t="s">
        <v>198</v>
      </c>
    </row>
    <row r="2091" spans="1:177">
      <c r="A2091" s="1" t="str">
        <f>HYPERLINK("http://digipan.lumentumllc.com/apps/getLink/index.php?t=PropLink&amp;p=6886604","PL")</f>
        <v>PL</v>
      </c>
      <c r="B2091" s="1" t="str">
        <f>HYPERLINK("http://digipan.lumentumllc.com/apps/getLink/index.php?t=TaxLink&amp;p=6886604","TL")</f>
        <v>TL</v>
      </c>
      <c r="C2091" s="1" t="str">
        <f>HYPERLINK("http://digipan.lumentumllc.com/apps/getMap/index.php?p=6886604","Map")</f>
        <v>Map</v>
      </c>
      <c r="E2091" t="s">
        <v>177</v>
      </c>
      <c r="F2091" t="s">
        <v>178</v>
      </c>
      <c r="L2091" t="s">
        <v>24564</v>
      </c>
      <c r="N2091" t="s">
        <v>24564</v>
      </c>
      <c r="O2091" t="s">
        <v>24564</v>
      </c>
      <c r="P2091" t="s">
        <v>24565</v>
      </c>
      <c r="Q2091" t="s">
        <v>24564</v>
      </c>
      <c r="V2091">
        <v>2394</v>
      </c>
      <c r="W2091">
        <v>8</v>
      </c>
      <c r="X2091">
        <v>2017</v>
      </c>
      <c r="Y2091">
        <v>2018</v>
      </c>
      <c r="Z2091">
        <v>712.38</v>
      </c>
      <c r="AB2091" t="s">
        <v>181</v>
      </c>
      <c r="AC2091" t="s">
        <v>182</v>
      </c>
      <c r="AD2091" t="s">
        <v>183</v>
      </c>
      <c r="AE2091">
        <v>0</v>
      </c>
      <c r="AF2091">
        <v>2</v>
      </c>
      <c r="AG2091" t="s">
        <v>216</v>
      </c>
      <c r="AH2091">
        <v>100</v>
      </c>
      <c r="AK2091">
        <v>0</v>
      </c>
      <c r="AL2091">
        <v>110183</v>
      </c>
      <c r="AM2091">
        <v>45422</v>
      </c>
      <c r="AN2091">
        <v>64761</v>
      </c>
      <c r="AO2091">
        <v>632</v>
      </c>
      <c r="AP2091">
        <v>2016</v>
      </c>
      <c r="AQ2091">
        <v>0.65</v>
      </c>
      <c r="AS2091" t="s">
        <v>24566</v>
      </c>
      <c r="AT2091" t="s">
        <v>15040</v>
      </c>
      <c r="AU2091" t="s">
        <v>177</v>
      </c>
      <c r="AV2091" t="s">
        <v>371</v>
      </c>
      <c r="AW2091" t="s">
        <v>202</v>
      </c>
      <c r="AX2091">
        <v>1</v>
      </c>
      <c r="AY2091" t="s">
        <v>188</v>
      </c>
      <c r="AZ2091" t="s">
        <v>206</v>
      </c>
      <c r="BA2091" t="s">
        <v>355</v>
      </c>
      <c r="BB2091" t="s">
        <v>191</v>
      </c>
      <c r="BC2091" t="s">
        <v>182</v>
      </c>
      <c r="BD2091" t="s">
        <v>182</v>
      </c>
      <c r="BE2091" t="s">
        <v>11684</v>
      </c>
      <c r="BF2091">
        <v>1</v>
      </c>
      <c r="BG2091">
        <v>1</v>
      </c>
      <c r="BH2091">
        <v>1957</v>
      </c>
      <c r="BI2091" t="s">
        <v>9460</v>
      </c>
      <c r="BJ2091" t="s">
        <v>285</v>
      </c>
      <c r="BK2091" t="s">
        <v>840</v>
      </c>
      <c r="BL2091" t="s">
        <v>199</v>
      </c>
      <c r="BM2091" t="s">
        <v>286</v>
      </c>
      <c r="BN2091" t="s">
        <v>182</v>
      </c>
      <c r="BO2091" t="s">
        <v>14536</v>
      </c>
      <c r="BP2091" t="s">
        <v>24567</v>
      </c>
      <c r="BS2091" t="s">
        <v>3692</v>
      </c>
      <c r="BT2091" t="s">
        <v>198</v>
      </c>
      <c r="BU2091" t="s">
        <v>182</v>
      </c>
      <c r="BV2091" t="s">
        <v>198</v>
      </c>
      <c r="BW2091" t="s">
        <v>198</v>
      </c>
      <c r="BX2091" t="s">
        <v>199</v>
      </c>
      <c r="BY2091" t="s">
        <v>198</v>
      </c>
      <c r="BZ2091" t="s">
        <v>199</v>
      </c>
      <c r="CA2091" t="s">
        <v>199</v>
      </c>
      <c r="CB2091" t="s">
        <v>24568</v>
      </c>
      <c r="CC2091" t="s">
        <v>201</v>
      </c>
      <c r="CD2091" t="s">
        <v>182</v>
      </c>
      <c r="CE2091" t="s">
        <v>24569</v>
      </c>
      <c r="CF2091" t="s">
        <v>5331</v>
      </c>
      <c r="CG2091" t="s">
        <v>177</v>
      </c>
      <c r="CH2091" t="s">
        <v>371</v>
      </c>
      <c r="CI2091" t="s">
        <v>24570</v>
      </c>
      <c r="CJ2091" t="s">
        <v>17089</v>
      </c>
      <c r="CK2091" t="s">
        <v>292</v>
      </c>
      <c r="CL2091" t="s">
        <v>293</v>
      </c>
      <c r="CM2091" t="s">
        <v>24571</v>
      </c>
      <c r="CN2091" t="s">
        <v>235</v>
      </c>
      <c r="CO2091" t="s">
        <v>183</v>
      </c>
      <c r="CP2091" t="s">
        <v>211</v>
      </c>
      <c r="CQ2091" t="s">
        <v>189</v>
      </c>
      <c r="CS2091" t="s">
        <v>21055</v>
      </c>
      <c r="CT2091" t="s">
        <v>23696</v>
      </c>
      <c r="CU2091" t="s">
        <v>267</v>
      </c>
      <c r="CV2091" t="s">
        <v>268</v>
      </c>
      <c r="CW2091" t="s">
        <v>24572</v>
      </c>
      <c r="CX2091" t="s">
        <v>235</v>
      </c>
      <c r="CY2091" t="s">
        <v>183</v>
      </c>
      <c r="CZ2091" t="s">
        <v>211</v>
      </c>
      <c r="DA2091" t="s">
        <v>206</v>
      </c>
      <c r="DC2091" t="s">
        <v>1731</v>
      </c>
      <c r="DM2091" t="s">
        <v>198</v>
      </c>
      <c r="DW2091" t="s">
        <v>198</v>
      </c>
      <c r="EG2091" t="s">
        <v>198</v>
      </c>
      <c r="EQ2091" t="s">
        <v>198</v>
      </c>
      <c r="FA2091" t="s">
        <v>198</v>
      </c>
      <c r="FK2091" t="s">
        <v>198</v>
      </c>
      <c r="FU2091" t="s">
        <v>198</v>
      </c>
    </row>
    <row r="2092" spans="1:177">
      <c r="A2092" s="1" t="str">
        <f>HYPERLINK("http://digipan.lumentumllc.com/apps/getLink/index.php?t=PropLink&amp;p=15731830","PL")</f>
        <v>PL</v>
      </c>
      <c r="B2092" s="1" t="str">
        <f>HYPERLINK("http://digipan.lumentumllc.com/apps/getLink/index.php?t=TaxLink&amp;p=15731830","TL")</f>
        <v>TL</v>
      </c>
      <c r="C2092" s="1" t="str">
        <f>HYPERLINK("http://digipan.lumentumllc.com/apps/getMap/index.php?p=15731830","Map")</f>
        <v>Map</v>
      </c>
      <c r="E2092" t="s">
        <v>177</v>
      </c>
      <c r="F2092" t="s">
        <v>178</v>
      </c>
      <c r="L2092" t="s">
        <v>24573</v>
      </c>
      <c r="N2092" t="s">
        <v>24573</v>
      </c>
      <c r="O2092" t="s">
        <v>24573</v>
      </c>
      <c r="Q2092" t="s">
        <v>24573</v>
      </c>
      <c r="V2092">
        <v>2396</v>
      </c>
      <c r="W2092">
        <v>8</v>
      </c>
      <c r="X2092">
        <v>2017</v>
      </c>
      <c r="Y2092">
        <v>2018</v>
      </c>
      <c r="Z2092">
        <v>7174.23</v>
      </c>
      <c r="AG2092" t="s">
        <v>184</v>
      </c>
      <c r="AH2092">
        <v>0</v>
      </c>
      <c r="AK2092">
        <v>0</v>
      </c>
      <c r="AL2092">
        <v>332315</v>
      </c>
      <c r="AM2092">
        <v>211331</v>
      </c>
      <c r="AN2092">
        <v>120984</v>
      </c>
      <c r="AO2092">
        <v>6090</v>
      </c>
      <c r="AP2092">
        <v>2016</v>
      </c>
      <c r="AQ2092">
        <v>2.16</v>
      </c>
      <c r="AS2092" t="s">
        <v>24574</v>
      </c>
      <c r="AT2092" t="s">
        <v>15040</v>
      </c>
      <c r="AU2092" t="s">
        <v>177</v>
      </c>
      <c r="AV2092" t="s">
        <v>371</v>
      </c>
      <c r="AW2092" t="s">
        <v>182</v>
      </c>
      <c r="AX2092">
        <v>8</v>
      </c>
      <c r="AY2092" t="s">
        <v>188</v>
      </c>
      <c r="AZ2092" t="s">
        <v>329</v>
      </c>
      <c r="BA2092" t="s">
        <v>6773</v>
      </c>
      <c r="BB2092" t="s">
        <v>191</v>
      </c>
      <c r="BC2092" t="s">
        <v>182</v>
      </c>
      <c r="BD2092" t="s">
        <v>182</v>
      </c>
      <c r="BE2092" t="s">
        <v>3956</v>
      </c>
      <c r="BF2092">
        <v>1</v>
      </c>
      <c r="BG2092">
        <v>1</v>
      </c>
      <c r="BH2092">
        <v>1930</v>
      </c>
      <c r="BI2092" t="s">
        <v>24575</v>
      </c>
      <c r="BJ2092" t="s">
        <v>194</v>
      </c>
      <c r="BK2092" t="s">
        <v>195</v>
      </c>
      <c r="BL2092" t="s">
        <v>24576</v>
      </c>
      <c r="BM2092" t="s">
        <v>1041</v>
      </c>
      <c r="BN2092" t="s">
        <v>182</v>
      </c>
      <c r="BO2092" t="s">
        <v>16901</v>
      </c>
      <c r="BP2092" t="s">
        <v>24577</v>
      </c>
      <c r="BQ2092" t="s">
        <v>562</v>
      </c>
      <c r="BS2092" t="s">
        <v>198</v>
      </c>
      <c r="BT2092" t="s">
        <v>16903</v>
      </c>
      <c r="BU2092" t="s">
        <v>182</v>
      </c>
      <c r="BV2092" t="s">
        <v>198</v>
      </c>
      <c r="BW2092" t="s">
        <v>198</v>
      </c>
      <c r="BX2092" t="s">
        <v>199</v>
      </c>
      <c r="BY2092" t="s">
        <v>198</v>
      </c>
      <c r="BZ2092" t="s">
        <v>199</v>
      </c>
      <c r="CA2092" t="s">
        <v>199</v>
      </c>
      <c r="CB2092" t="s">
        <v>16450</v>
      </c>
      <c r="CC2092" t="s">
        <v>1407</v>
      </c>
      <c r="CD2092" t="s">
        <v>202</v>
      </c>
      <c r="CE2092" t="s">
        <v>16451</v>
      </c>
      <c r="CF2092" t="s">
        <v>5331</v>
      </c>
      <c r="CG2092" t="s">
        <v>177</v>
      </c>
      <c r="CH2092" t="s">
        <v>5332</v>
      </c>
      <c r="CI2092" t="s">
        <v>24578</v>
      </c>
      <c r="CS2092" t="s">
        <v>198</v>
      </c>
      <c r="DC2092" t="s">
        <v>198</v>
      </c>
      <c r="DM2092" t="s">
        <v>198</v>
      </c>
      <c r="DW2092" t="s">
        <v>198</v>
      </c>
      <c r="EG2092" t="s">
        <v>198</v>
      </c>
      <c r="EQ2092" t="s">
        <v>198</v>
      </c>
      <c r="FA2092" t="s">
        <v>198</v>
      </c>
      <c r="FK2092" t="s">
        <v>198</v>
      </c>
      <c r="FU2092" t="s">
        <v>198</v>
      </c>
    </row>
    <row r="2093" spans="1:177">
      <c r="A2093" s="1" t="str">
        <f>HYPERLINK("http://digipan.lumentumllc.com/apps/getLink/index.php?t=PropLink&amp;p=5244371","PL")</f>
        <v>PL</v>
      </c>
      <c r="B2093" s="1" t="str">
        <f>HYPERLINK("http://digipan.lumentumllc.com/apps/getLink/index.php?t=TaxLink&amp;p=5244371","TL")</f>
        <v>TL</v>
      </c>
      <c r="C2093" s="1" t="str">
        <f>HYPERLINK("http://digipan.lumentumllc.com/apps/getMap/index.php?p=5244371","Map")</f>
        <v>Map</v>
      </c>
      <c r="E2093" t="s">
        <v>177</v>
      </c>
      <c r="F2093" t="s">
        <v>178</v>
      </c>
      <c r="L2093" t="s">
        <v>24579</v>
      </c>
      <c r="N2093" t="s">
        <v>24579</v>
      </c>
      <c r="O2093" t="s">
        <v>24579</v>
      </c>
      <c r="P2093" t="s">
        <v>24580</v>
      </c>
      <c r="Q2093" t="s">
        <v>24579</v>
      </c>
      <c r="V2093">
        <v>2397</v>
      </c>
      <c r="W2093">
        <v>8</v>
      </c>
      <c r="X2093">
        <v>2017</v>
      </c>
      <c r="Y2093">
        <v>2018</v>
      </c>
      <c r="Z2093">
        <v>3832.24</v>
      </c>
      <c r="AB2093" t="s">
        <v>181</v>
      </c>
      <c r="AC2093" t="s">
        <v>202</v>
      </c>
      <c r="AD2093" t="s">
        <v>183</v>
      </c>
      <c r="AE2093">
        <v>0</v>
      </c>
      <c r="AF2093">
        <v>6</v>
      </c>
      <c r="AG2093" t="s">
        <v>528</v>
      </c>
      <c r="AH2093">
        <v>100</v>
      </c>
      <c r="AK2093">
        <v>0</v>
      </c>
      <c r="AL2093">
        <v>185250</v>
      </c>
      <c r="AM2093">
        <v>185250</v>
      </c>
      <c r="AN2093">
        <v>0</v>
      </c>
      <c r="AO2093">
        <v>3361</v>
      </c>
      <c r="AP2093">
        <v>2016</v>
      </c>
      <c r="AQ2093">
        <v>2.0699999999999998</v>
      </c>
      <c r="AS2093" t="s">
        <v>24581</v>
      </c>
      <c r="AT2093" t="s">
        <v>15040</v>
      </c>
      <c r="AU2093" t="s">
        <v>177</v>
      </c>
      <c r="AV2093" t="s">
        <v>371</v>
      </c>
      <c r="AW2093" t="s">
        <v>182</v>
      </c>
      <c r="AX2093">
        <v>0</v>
      </c>
      <c r="AY2093" t="s">
        <v>312</v>
      </c>
      <c r="AZ2093" t="s">
        <v>199</v>
      </c>
      <c r="BA2093" t="s">
        <v>313</v>
      </c>
      <c r="BB2093" t="s">
        <v>191</v>
      </c>
      <c r="BC2093" t="s">
        <v>182</v>
      </c>
      <c r="BD2093" t="s">
        <v>182</v>
      </c>
      <c r="BE2093" t="s">
        <v>24582</v>
      </c>
      <c r="BF2093">
        <v>0</v>
      </c>
      <c r="BG2093">
        <v>0</v>
      </c>
      <c r="BH2093">
        <v>0</v>
      </c>
      <c r="BI2093" t="s">
        <v>199</v>
      </c>
      <c r="BJ2093" t="s">
        <v>248</v>
      </c>
      <c r="BL2093" t="s">
        <v>24583</v>
      </c>
      <c r="BM2093" t="s">
        <v>273</v>
      </c>
      <c r="BN2093" t="s">
        <v>182</v>
      </c>
      <c r="BO2093" t="s">
        <v>8618</v>
      </c>
      <c r="BP2093" t="s">
        <v>24584</v>
      </c>
      <c r="BQ2093" t="s">
        <v>226</v>
      </c>
      <c r="BR2093" t="s">
        <v>227</v>
      </c>
      <c r="BS2093" t="s">
        <v>198</v>
      </c>
      <c r="BT2093" t="s">
        <v>228</v>
      </c>
      <c r="BU2093" t="s">
        <v>182</v>
      </c>
      <c r="BV2093" t="s">
        <v>198</v>
      </c>
      <c r="BW2093" t="s">
        <v>198</v>
      </c>
      <c r="BX2093" t="s">
        <v>199</v>
      </c>
      <c r="BY2093" t="s">
        <v>198</v>
      </c>
      <c r="BZ2093" t="s">
        <v>199</v>
      </c>
      <c r="CA2093" t="s">
        <v>199</v>
      </c>
      <c r="CB2093" t="s">
        <v>24585</v>
      </c>
      <c r="CC2093" t="s">
        <v>201</v>
      </c>
      <c r="CD2093" t="s">
        <v>202</v>
      </c>
      <c r="CE2093" t="s">
        <v>24586</v>
      </c>
      <c r="CF2093" t="s">
        <v>413</v>
      </c>
      <c r="CG2093" t="s">
        <v>177</v>
      </c>
      <c r="CH2093" t="s">
        <v>685</v>
      </c>
      <c r="CI2093" t="s">
        <v>24587</v>
      </c>
      <c r="CJ2093" t="s">
        <v>19852</v>
      </c>
      <c r="CK2093" t="s">
        <v>292</v>
      </c>
      <c r="CL2093" t="s">
        <v>293</v>
      </c>
      <c r="CM2093" t="s">
        <v>24588</v>
      </c>
      <c r="CN2093" t="s">
        <v>235</v>
      </c>
      <c r="CO2093" t="s">
        <v>183</v>
      </c>
      <c r="CP2093" t="s">
        <v>211</v>
      </c>
      <c r="CQ2093" t="s">
        <v>270</v>
      </c>
      <c r="CR2093" t="s">
        <v>271</v>
      </c>
      <c r="CS2093" t="s">
        <v>338</v>
      </c>
      <c r="CT2093" t="s">
        <v>24589</v>
      </c>
      <c r="CU2093" t="s">
        <v>267</v>
      </c>
      <c r="CV2093" t="s">
        <v>268</v>
      </c>
      <c r="CW2093" t="s">
        <v>24590</v>
      </c>
      <c r="CX2093" t="s">
        <v>235</v>
      </c>
      <c r="CY2093" t="s">
        <v>183</v>
      </c>
      <c r="CZ2093" t="s">
        <v>211</v>
      </c>
      <c r="DB2093" t="s">
        <v>271</v>
      </c>
      <c r="DC2093" t="s">
        <v>198</v>
      </c>
      <c r="DD2093" t="s">
        <v>18987</v>
      </c>
      <c r="DE2093" t="s">
        <v>273</v>
      </c>
      <c r="DF2093" t="s">
        <v>274</v>
      </c>
      <c r="DG2093" t="s">
        <v>24591</v>
      </c>
      <c r="DH2093" t="s">
        <v>235</v>
      </c>
      <c r="DI2093" t="s">
        <v>183</v>
      </c>
      <c r="DJ2093" t="s">
        <v>211</v>
      </c>
      <c r="DK2093" t="s">
        <v>206</v>
      </c>
      <c r="DM2093" t="s">
        <v>12258</v>
      </c>
      <c r="DN2093" t="s">
        <v>24592</v>
      </c>
      <c r="DO2093" t="s">
        <v>302</v>
      </c>
      <c r="DP2093" t="s">
        <v>303</v>
      </c>
      <c r="DQ2093" t="s">
        <v>24593</v>
      </c>
      <c r="DR2093" t="s">
        <v>511</v>
      </c>
      <c r="DS2093" t="s">
        <v>183</v>
      </c>
      <c r="DT2093" t="s">
        <v>211</v>
      </c>
      <c r="DU2093" t="s">
        <v>189</v>
      </c>
      <c r="DW2093" t="s">
        <v>20817</v>
      </c>
      <c r="DX2093" t="s">
        <v>5061</v>
      </c>
      <c r="DY2093" t="s">
        <v>238</v>
      </c>
      <c r="DZ2093" t="s">
        <v>239</v>
      </c>
      <c r="EA2093" t="s">
        <v>24594</v>
      </c>
      <c r="EB2093" t="s">
        <v>1551</v>
      </c>
      <c r="EC2093" t="s">
        <v>183</v>
      </c>
      <c r="ED2093" t="s">
        <v>211</v>
      </c>
      <c r="EE2093" t="s">
        <v>460</v>
      </c>
      <c r="EG2093" t="s">
        <v>20817</v>
      </c>
      <c r="EH2093" t="s">
        <v>7000</v>
      </c>
      <c r="EI2093" t="s">
        <v>346</v>
      </c>
      <c r="EJ2093" t="s">
        <v>347</v>
      </c>
      <c r="EK2093" t="s">
        <v>24595</v>
      </c>
      <c r="EL2093" t="s">
        <v>2515</v>
      </c>
      <c r="EM2093" t="s">
        <v>183</v>
      </c>
      <c r="EN2093" t="s">
        <v>211</v>
      </c>
      <c r="EO2093" t="s">
        <v>345</v>
      </c>
      <c r="EQ2093" t="s">
        <v>24596</v>
      </c>
      <c r="FA2093" t="s">
        <v>198</v>
      </c>
      <c r="FK2093" t="s">
        <v>198</v>
      </c>
      <c r="FU2093" t="s">
        <v>198</v>
      </c>
    </row>
    <row r="2094" spans="1:177">
      <c r="A2094" s="1" t="str">
        <f>HYPERLINK("http://digipan.lumentumllc.com/apps/getLink/index.php?t=PropLink&amp;p=15732074","PL")</f>
        <v>PL</v>
      </c>
      <c r="B2094" s="1" t="str">
        <f>HYPERLINK("http://digipan.lumentumllc.com/apps/getLink/index.php?t=TaxLink&amp;p=15732074","TL")</f>
        <v>TL</v>
      </c>
      <c r="C2094" s="1" t="str">
        <f>HYPERLINK("http://digipan.lumentumllc.com/apps/getMap/index.php?p=15732074","Map")</f>
        <v>Map</v>
      </c>
      <c r="E2094" t="s">
        <v>177</v>
      </c>
      <c r="F2094" t="s">
        <v>178</v>
      </c>
      <c r="L2094" t="s">
        <v>24597</v>
      </c>
      <c r="N2094" t="s">
        <v>24597</v>
      </c>
      <c r="O2094" t="s">
        <v>24597</v>
      </c>
      <c r="Q2094" t="s">
        <v>24597</v>
      </c>
      <c r="V2094">
        <v>2398</v>
      </c>
      <c r="W2094">
        <v>8</v>
      </c>
      <c r="X2094">
        <v>2017</v>
      </c>
      <c r="Y2094">
        <v>2018</v>
      </c>
      <c r="Z2094">
        <v>3265.28</v>
      </c>
      <c r="AG2094" t="s">
        <v>184</v>
      </c>
      <c r="AH2094">
        <v>0</v>
      </c>
      <c r="AK2094">
        <v>0</v>
      </c>
      <c r="AL2094">
        <v>150000</v>
      </c>
      <c r="AM2094">
        <v>150000</v>
      </c>
      <c r="AN2094">
        <v>0</v>
      </c>
      <c r="AO2094">
        <v>3037</v>
      </c>
      <c r="AP2094">
        <v>2016</v>
      </c>
      <c r="AQ2094">
        <v>2.1800000000000002</v>
      </c>
      <c r="AS2094" t="s">
        <v>24598</v>
      </c>
      <c r="AT2094" t="s">
        <v>15040</v>
      </c>
      <c r="AU2094" t="s">
        <v>177</v>
      </c>
      <c r="AV2094" t="s">
        <v>371</v>
      </c>
      <c r="AW2094" t="s">
        <v>182</v>
      </c>
      <c r="AX2094">
        <v>0</v>
      </c>
      <c r="AY2094" t="s">
        <v>312</v>
      </c>
      <c r="AZ2094" t="s">
        <v>199</v>
      </c>
      <c r="BA2094" t="s">
        <v>313</v>
      </c>
      <c r="BB2094" t="s">
        <v>191</v>
      </c>
      <c r="BC2094" t="s">
        <v>182</v>
      </c>
      <c r="BD2094" t="s">
        <v>182</v>
      </c>
      <c r="BE2094" t="s">
        <v>235</v>
      </c>
      <c r="BF2094">
        <v>0</v>
      </c>
      <c r="BG2094">
        <v>0</v>
      </c>
      <c r="BH2094">
        <v>0</v>
      </c>
      <c r="BI2094" t="s">
        <v>199</v>
      </c>
      <c r="BJ2094" t="s">
        <v>396</v>
      </c>
      <c r="BL2094" t="s">
        <v>10538</v>
      </c>
      <c r="BM2094" t="s">
        <v>232</v>
      </c>
      <c r="BN2094" t="s">
        <v>182</v>
      </c>
      <c r="BO2094" t="s">
        <v>198</v>
      </c>
      <c r="BP2094" t="s">
        <v>198</v>
      </c>
      <c r="BQ2094" t="s">
        <v>198</v>
      </c>
      <c r="BR2094" t="s">
        <v>198</v>
      </c>
      <c r="BS2094" t="s">
        <v>198</v>
      </c>
      <c r="BT2094" t="s">
        <v>198</v>
      </c>
      <c r="BU2094" t="s">
        <v>182</v>
      </c>
      <c r="BV2094" t="s">
        <v>198</v>
      </c>
      <c r="BW2094" t="s">
        <v>198</v>
      </c>
      <c r="BX2094" t="s">
        <v>199</v>
      </c>
      <c r="BY2094" t="s">
        <v>198</v>
      </c>
      <c r="BZ2094" t="s">
        <v>199</v>
      </c>
      <c r="CA2094" t="s">
        <v>199</v>
      </c>
      <c r="CB2094" t="s">
        <v>24599</v>
      </c>
      <c r="CC2094" t="s">
        <v>1407</v>
      </c>
      <c r="CD2094" t="s">
        <v>202</v>
      </c>
      <c r="CE2094" t="s">
        <v>24600</v>
      </c>
      <c r="CF2094" t="s">
        <v>413</v>
      </c>
      <c r="CG2094" t="s">
        <v>177</v>
      </c>
      <c r="CH2094" t="s">
        <v>4089</v>
      </c>
      <c r="CI2094" t="s">
        <v>4843</v>
      </c>
      <c r="CS2094" t="s">
        <v>198</v>
      </c>
      <c r="DC2094" t="s">
        <v>198</v>
      </c>
      <c r="DM2094" t="s">
        <v>198</v>
      </c>
      <c r="DW2094" t="s">
        <v>198</v>
      </c>
      <c r="EG2094" t="s">
        <v>198</v>
      </c>
      <c r="EQ2094" t="s">
        <v>198</v>
      </c>
      <c r="FA2094" t="s">
        <v>198</v>
      </c>
      <c r="FK2094" t="s">
        <v>198</v>
      </c>
      <c r="FU2094" t="s">
        <v>198</v>
      </c>
    </row>
    <row r="2095" spans="1:177">
      <c r="A2095" s="1" t="str">
        <f>HYPERLINK("http://digipan.lumentumllc.com/apps/getLink/index.php?t=PropLink&amp;p=15732087","PL")</f>
        <v>PL</v>
      </c>
      <c r="B2095" s="1" t="str">
        <f>HYPERLINK("http://digipan.lumentumllc.com/apps/getLink/index.php?t=TaxLink&amp;p=15732087","TL")</f>
        <v>TL</v>
      </c>
      <c r="C2095" s="1" t="str">
        <f>HYPERLINK("http://digipan.lumentumllc.com/apps/getMap/index.php?p=15732087","Map")</f>
        <v>Map</v>
      </c>
      <c r="E2095" t="s">
        <v>177</v>
      </c>
      <c r="F2095" t="s">
        <v>178</v>
      </c>
      <c r="L2095" t="s">
        <v>24601</v>
      </c>
      <c r="N2095" t="s">
        <v>24601</v>
      </c>
      <c r="O2095" t="s">
        <v>24601</v>
      </c>
      <c r="Q2095" t="s">
        <v>24601</v>
      </c>
      <c r="V2095">
        <v>2399</v>
      </c>
      <c r="W2095">
        <v>8</v>
      </c>
      <c r="X2095">
        <v>2017</v>
      </c>
      <c r="Y2095">
        <v>2018</v>
      </c>
      <c r="Z2095">
        <v>4925</v>
      </c>
      <c r="AG2095" t="s">
        <v>184</v>
      </c>
      <c r="AH2095">
        <v>0</v>
      </c>
      <c r="AK2095">
        <v>0</v>
      </c>
      <c r="AL2095">
        <v>227000</v>
      </c>
      <c r="AM2095">
        <v>0</v>
      </c>
      <c r="AN2095">
        <v>227000</v>
      </c>
      <c r="AO2095">
        <v>4556</v>
      </c>
      <c r="AP2095">
        <v>2016</v>
      </c>
      <c r="AQ2095">
        <v>2.17</v>
      </c>
      <c r="AS2095" t="s">
        <v>24602</v>
      </c>
      <c r="AT2095" t="s">
        <v>15040</v>
      </c>
      <c r="AU2095" t="s">
        <v>177</v>
      </c>
      <c r="AV2095" t="s">
        <v>371</v>
      </c>
      <c r="AW2095" t="s">
        <v>182</v>
      </c>
      <c r="AX2095">
        <v>4</v>
      </c>
      <c r="AY2095" t="s">
        <v>188</v>
      </c>
      <c r="AZ2095" t="s">
        <v>296</v>
      </c>
      <c r="BA2095" t="s">
        <v>19069</v>
      </c>
      <c r="BB2095" t="s">
        <v>191</v>
      </c>
      <c r="BC2095" t="s">
        <v>182</v>
      </c>
      <c r="BD2095" t="s">
        <v>182</v>
      </c>
      <c r="BE2095" t="s">
        <v>1722</v>
      </c>
      <c r="BF2095">
        <v>1</v>
      </c>
      <c r="BG2095">
        <v>1</v>
      </c>
      <c r="BH2095">
        <v>2008</v>
      </c>
      <c r="BI2095" t="s">
        <v>21922</v>
      </c>
      <c r="BJ2095" t="s">
        <v>396</v>
      </c>
      <c r="BL2095" t="s">
        <v>199</v>
      </c>
      <c r="BM2095" t="s">
        <v>358</v>
      </c>
      <c r="BN2095" t="s">
        <v>182</v>
      </c>
      <c r="BO2095" t="s">
        <v>198</v>
      </c>
      <c r="BP2095" t="s">
        <v>198</v>
      </c>
      <c r="BQ2095" t="s">
        <v>198</v>
      </c>
      <c r="BR2095" t="s">
        <v>198</v>
      </c>
      <c r="BS2095" t="s">
        <v>198</v>
      </c>
      <c r="BT2095" t="s">
        <v>198</v>
      </c>
      <c r="BU2095" t="s">
        <v>182</v>
      </c>
      <c r="BV2095" t="s">
        <v>198</v>
      </c>
      <c r="BW2095" t="s">
        <v>198</v>
      </c>
      <c r="BX2095" t="s">
        <v>199</v>
      </c>
      <c r="BY2095" t="s">
        <v>198</v>
      </c>
      <c r="BZ2095" t="s">
        <v>199</v>
      </c>
      <c r="CA2095" t="s">
        <v>199</v>
      </c>
      <c r="CB2095" t="s">
        <v>24603</v>
      </c>
      <c r="CC2095" t="s">
        <v>201</v>
      </c>
      <c r="CD2095" t="s">
        <v>182</v>
      </c>
      <c r="CE2095" t="s">
        <v>24604</v>
      </c>
      <c r="CF2095" t="s">
        <v>5331</v>
      </c>
      <c r="CG2095" t="s">
        <v>177</v>
      </c>
      <c r="CH2095" t="s">
        <v>371</v>
      </c>
      <c r="CI2095" t="s">
        <v>24605</v>
      </c>
      <c r="CS2095" t="s">
        <v>198</v>
      </c>
      <c r="DC2095" t="s">
        <v>198</v>
      </c>
      <c r="DM2095" t="s">
        <v>198</v>
      </c>
      <c r="DW2095" t="s">
        <v>198</v>
      </c>
      <c r="EG2095" t="s">
        <v>198</v>
      </c>
      <c r="EQ2095" t="s">
        <v>198</v>
      </c>
      <c r="FA2095" t="s">
        <v>198</v>
      </c>
      <c r="FK2095" t="s">
        <v>198</v>
      </c>
      <c r="FU2095" t="s">
        <v>198</v>
      </c>
    </row>
    <row r="2096" spans="1:177">
      <c r="A2096" s="1" t="str">
        <f>HYPERLINK("http://digipan.lumentumllc.com/apps/getLink/index.php?t=PropLink&amp;p=15732088","PL")</f>
        <v>PL</v>
      </c>
      <c r="B2096" s="1" t="str">
        <f>HYPERLINK("http://digipan.lumentumllc.com/apps/getLink/index.php?t=TaxLink&amp;p=15732088","TL")</f>
        <v>TL</v>
      </c>
      <c r="C2096" s="1" t="str">
        <f>HYPERLINK("http://digipan.lumentumllc.com/apps/getMap/index.php?p=15732088","Map")</f>
        <v>Map</v>
      </c>
      <c r="E2096" t="s">
        <v>177</v>
      </c>
      <c r="F2096" t="s">
        <v>178</v>
      </c>
      <c r="L2096" t="s">
        <v>24606</v>
      </c>
      <c r="N2096" t="s">
        <v>24606</v>
      </c>
      <c r="O2096" t="s">
        <v>24606</v>
      </c>
      <c r="Q2096" t="s">
        <v>24606</v>
      </c>
      <c r="V2096">
        <v>2400</v>
      </c>
      <c r="W2096">
        <v>8</v>
      </c>
      <c r="X2096">
        <v>2017</v>
      </c>
      <c r="Y2096">
        <v>2018</v>
      </c>
      <c r="Z2096">
        <v>4925</v>
      </c>
      <c r="AG2096" t="s">
        <v>184</v>
      </c>
      <c r="AH2096">
        <v>0</v>
      </c>
      <c r="AK2096">
        <v>0</v>
      </c>
      <c r="AL2096">
        <v>227000</v>
      </c>
      <c r="AM2096">
        <v>0</v>
      </c>
      <c r="AN2096">
        <v>227000</v>
      </c>
      <c r="AO2096">
        <v>4556</v>
      </c>
      <c r="AP2096">
        <v>2016</v>
      </c>
      <c r="AQ2096">
        <v>2.17</v>
      </c>
      <c r="AS2096" t="s">
        <v>24607</v>
      </c>
      <c r="AT2096" t="s">
        <v>15040</v>
      </c>
      <c r="AU2096" t="s">
        <v>177</v>
      </c>
      <c r="AV2096" t="s">
        <v>371</v>
      </c>
      <c r="AW2096" t="s">
        <v>182</v>
      </c>
      <c r="AX2096">
        <v>4</v>
      </c>
      <c r="AY2096" t="s">
        <v>188</v>
      </c>
      <c r="AZ2096" t="s">
        <v>296</v>
      </c>
      <c r="BA2096" t="s">
        <v>19069</v>
      </c>
      <c r="BB2096" t="s">
        <v>191</v>
      </c>
      <c r="BC2096" t="s">
        <v>182</v>
      </c>
      <c r="BD2096" t="s">
        <v>182</v>
      </c>
      <c r="BE2096" t="s">
        <v>1722</v>
      </c>
      <c r="BF2096">
        <v>1</v>
      </c>
      <c r="BG2096">
        <v>1</v>
      </c>
      <c r="BH2096">
        <v>2008</v>
      </c>
      <c r="BI2096" t="s">
        <v>21922</v>
      </c>
      <c r="BJ2096" t="s">
        <v>396</v>
      </c>
      <c r="BL2096" t="s">
        <v>199</v>
      </c>
      <c r="BM2096" t="s">
        <v>358</v>
      </c>
      <c r="BN2096" t="s">
        <v>182</v>
      </c>
      <c r="BO2096" t="s">
        <v>198</v>
      </c>
      <c r="BP2096" t="s">
        <v>198</v>
      </c>
      <c r="BQ2096" t="s">
        <v>198</v>
      </c>
      <c r="BR2096" t="s">
        <v>198</v>
      </c>
      <c r="BS2096" t="s">
        <v>198</v>
      </c>
      <c r="BT2096" t="s">
        <v>198</v>
      </c>
      <c r="BU2096" t="s">
        <v>182</v>
      </c>
      <c r="BV2096" t="s">
        <v>198</v>
      </c>
      <c r="BW2096" t="s">
        <v>198</v>
      </c>
      <c r="BX2096" t="s">
        <v>199</v>
      </c>
      <c r="BY2096" t="s">
        <v>198</v>
      </c>
      <c r="BZ2096" t="s">
        <v>199</v>
      </c>
      <c r="CA2096" t="s">
        <v>199</v>
      </c>
      <c r="CB2096" t="s">
        <v>24603</v>
      </c>
      <c r="CC2096" t="s">
        <v>201</v>
      </c>
      <c r="CD2096" t="s">
        <v>182</v>
      </c>
      <c r="CE2096" t="s">
        <v>24604</v>
      </c>
      <c r="CF2096" t="s">
        <v>5331</v>
      </c>
      <c r="CG2096" t="s">
        <v>177</v>
      </c>
      <c r="CH2096" t="s">
        <v>371</v>
      </c>
      <c r="CI2096" t="s">
        <v>24608</v>
      </c>
      <c r="CS2096" t="s">
        <v>198</v>
      </c>
      <c r="DC2096" t="s">
        <v>198</v>
      </c>
      <c r="DM2096" t="s">
        <v>198</v>
      </c>
      <c r="DW2096" t="s">
        <v>198</v>
      </c>
      <c r="EG2096" t="s">
        <v>198</v>
      </c>
      <c r="EQ2096" t="s">
        <v>198</v>
      </c>
      <c r="FA2096" t="s">
        <v>198</v>
      </c>
      <c r="FK2096" t="s">
        <v>198</v>
      </c>
      <c r="FU2096" t="s">
        <v>198</v>
      </c>
    </row>
    <row r="2097" spans="1:177">
      <c r="A2097" s="1" t="str">
        <f>HYPERLINK("http://digipan.lumentumllc.com/apps/getLink/index.php?t=PropLink&amp;p=15732261","PL")</f>
        <v>PL</v>
      </c>
      <c r="B2097" s="1" t="str">
        <f>HYPERLINK("http://digipan.lumentumllc.com/apps/getLink/index.php?t=TaxLink&amp;p=15732261","TL")</f>
        <v>TL</v>
      </c>
      <c r="C2097" s="1" t="str">
        <f>HYPERLINK("http://digipan.lumentumllc.com/apps/getMap/index.php?p=15732261","Map")</f>
        <v>Map</v>
      </c>
      <c r="E2097" t="s">
        <v>177</v>
      </c>
      <c r="F2097" t="s">
        <v>178</v>
      </c>
      <c r="L2097" t="s">
        <v>24609</v>
      </c>
      <c r="N2097" t="s">
        <v>24609</v>
      </c>
      <c r="O2097" t="s">
        <v>24609</v>
      </c>
      <c r="Q2097" t="s">
        <v>24609</v>
      </c>
      <c r="V2097">
        <v>2401</v>
      </c>
      <c r="W2097">
        <v>8</v>
      </c>
      <c r="X2097">
        <v>2017</v>
      </c>
      <c r="Y2097">
        <v>2018</v>
      </c>
      <c r="Z2097">
        <v>4622.72</v>
      </c>
      <c r="AB2097" t="s">
        <v>181</v>
      </c>
      <c r="AC2097" t="s">
        <v>182</v>
      </c>
      <c r="AD2097" t="s">
        <v>183</v>
      </c>
      <c r="AE2097">
        <v>1</v>
      </c>
      <c r="AF2097">
        <v>0</v>
      </c>
      <c r="AG2097" t="s">
        <v>1200</v>
      </c>
      <c r="AH2097">
        <v>0</v>
      </c>
      <c r="AI2097">
        <v>4450.8500000000004</v>
      </c>
      <c r="AJ2097">
        <v>222.54</v>
      </c>
      <c r="AK2097">
        <v>4673.3900000000003</v>
      </c>
      <c r="AL2097">
        <v>212977</v>
      </c>
      <c r="AM2097">
        <v>85000</v>
      </c>
      <c r="AN2097">
        <v>127977</v>
      </c>
      <c r="AO2097">
        <v>4090</v>
      </c>
      <c r="AP2097">
        <v>2016</v>
      </c>
      <c r="AQ2097">
        <v>2.17</v>
      </c>
      <c r="AR2097">
        <v>2.19</v>
      </c>
      <c r="AS2097" t="s">
        <v>24610</v>
      </c>
      <c r="AT2097" t="s">
        <v>15040</v>
      </c>
      <c r="AU2097" t="s">
        <v>177</v>
      </c>
      <c r="AV2097" t="s">
        <v>371</v>
      </c>
      <c r="AW2097" t="s">
        <v>182</v>
      </c>
      <c r="AX2097">
        <v>1</v>
      </c>
      <c r="AY2097" t="s">
        <v>188</v>
      </c>
      <c r="AZ2097" t="s">
        <v>206</v>
      </c>
      <c r="BA2097" t="s">
        <v>355</v>
      </c>
      <c r="BB2097" t="s">
        <v>191</v>
      </c>
      <c r="BC2097" t="s">
        <v>182</v>
      </c>
      <c r="BD2097" t="s">
        <v>182</v>
      </c>
      <c r="BE2097" t="s">
        <v>11045</v>
      </c>
      <c r="BF2097">
        <v>1</v>
      </c>
      <c r="BG2097">
        <v>1</v>
      </c>
      <c r="BH2097">
        <v>1989</v>
      </c>
      <c r="BI2097" t="s">
        <v>12174</v>
      </c>
      <c r="BJ2097" t="s">
        <v>315</v>
      </c>
      <c r="BK2097" t="s">
        <v>195</v>
      </c>
      <c r="BL2097" t="s">
        <v>24611</v>
      </c>
      <c r="BM2097" t="s">
        <v>238</v>
      </c>
      <c r="BN2097" t="s">
        <v>182</v>
      </c>
      <c r="BO2097" t="s">
        <v>24612</v>
      </c>
      <c r="BP2097" t="s">
        <v>24613</v>
      </c>
      <c r="BQ2097" t="s">
        <v>562</v>
      </c>
      <c r="BR2097" t="s">
        <v>563</v>
      </c>
      <c r="BS2097" t="s">
        <v>198</v>
      </c>
      <c r="BT2097" t="s">
        <v>7193</v>
      </c>
      <c r="BU2097" t="s">
        <v>182</v>
      </c>
      <c r="BV2097" t="s">
        <v>198</v>
      </c>
      <c r="BW2097" t="s">
        <v>198</v>
      </c>
      <c r="BX2097" t="s">
        <v>199</v>
      </c>
      <c r="BY2097" t="s">
        <v>198</v>
      </c>
      <c r="BZ2097" t="s">
        <v>199</v>
      </c>
      <c r="CA2097" t="s">
        <v>199</v>
      </c>
      <c r="CB2097" t="s">
        <v>24614</v>
      </c>
      <c r="CC2097" t="s">
        <v>201</v>
      </c>
      <c r="CD2097" t="s">
        <v>182</v>
      </c>
      <c r="CE2097" t="s">
        <v>24615</v>
      </c>
      <c r="CF2097" t="s">
        <v>23783</v>
      </c>
      <c r="CG2097" t="s">
        <v>1602</v>
      </c>
      <c r="CH2097" t="s">
        <v>24616</v>
      </c>
      <c r="CI2097" t="s">
        <v>16352</v>
      </c>
      <c r="CJ2097" t="s">
        <v>20845</v>
      </c>
      <c r="CK2097" t="s">
        <v>232</v>
      </c>
      <c r="CL2097" t="s">
        <v>233</v>
      </c>
      <c r="CM2097" t="s">
        <v>24617</v>
      </c>
      <c r="CN2097" t="s">
        <v>235</v>
      </c>
      <c r="CO2097" t="s">
        <v>183</v>
      </c>
      <c r="CP2097" t="s">
        <v>266</v>
      </c>
      <c r="CS2097" t="s">
        <v>198</v>
      </c>
      <c r="DC2097" t="s">
        <v>198</v>
      </c>
      <c r="DM2097" t="s">
        <v>198</v>
      </c>
      <c r="DW2097" t="s">
        <v>198</v>
      </c>
      <c r="EG2097" t="s">
        <v>198</v>
      </c>
      <c r="EQ2097" t="s">
        <v>198</v>
      </c>
      <c r="FA2097" t="s">
        <v>198</v>
      </c>
      <c r="FK2097" t="s">
        <v>198</v>
      </c>
      <c r="FU2097" t="s">
        <v>198</v>
      </c>
    </row>
    <row r="2098" spans="1:177">
      <c r="A2098" s="1" t="str">
        <f>HYPERLINK("http://digipan.lumentumllc.com/apps/getLink/index.php?t=PropLink&amp;p=15732311","PL")</f>
        <v>PL</v>
      </c>
      <c r="B2098" s="1" t="str">
        <f>HYPERLINK("http://digipan.lumentumllc.com/apps/getLink/index.php?t=TaxLink&amp;p=15732311","TL")</f>
        <v>TL</v>
      </c>
      <c r="C2098" s="1" t="str">
        <f>HYPERLINK("http://digipan.lumentumllc.com/apps/getMap/index.php?p=15732311","Map")</f>
        <v>Map</v>
      </c>
      <c r="E2098" t="s">
        <v>177</v>
      </c>
      <c r="F2098" t="s">
        <v>178</v>
      </c>
      <c r="L2098" t="s">
        <v>24618</v>
      </c>
      <c r="N2098" t="s">
        <v>24618</v>
      </c>
      <c r="O2098" t="s">
        <v>24618</v>
      </c>
      <c r="Q2098" t="s">
        <v>24618</v>
      </c>
      <c r="V2098">
        <v>2402</v>
      </c>
      <c r="W2098">
        <v>8</v>
      </c>
      <c r="X2098">
        <v>2017</v>
      </c>
      <c r="Y2098">
        <v>2018</v>
      </c>
      <c r="Z2098">
        <v>3262.8</v>
      </c>
      <c r="AG2098" t="s">
        <v>184</v>
      </c>
      <c r="AH2098">
        <v>0</v>
      </c>
      <c r="AK2098">
        <v>0</v>
      </c>
      <c r="AL2098">
        <v>272875</v>
      </c>
      <c r="AM2098">
        <v>105000</v>
      </c>
      <c r="AN2098">
        <v>167875</v>
      </c>
      <c r="AO2098">
        <v>2957</v>
      </c>
      <c r="AP2098">
        <v>2016</v>
      </c>
      <c r="AQ2098">
        <v>1.2</v>
      </c>
      <c r="AS2098" t="s">
        <v>24619</v>
      </c>
      <c r="AT2098" t="s">
        <v>15040</v>
      </c>
      <c r="AU2098" t="s">
        <v>177</v>
      </c>
      <c r="AV2098" t="s">
        <v>371</v>
      </c>
      <c r="AW2098" t="s">
        <v>202</v>
      </c>
      <c r="AX2098">
        <v>1</v>
      </c>
      <c r="AY2098" t="s">
        <v>188</v>
      </c>
      <c r="AZ2098" t="s">
        <v>206</v>
      </c>
      <c r="BA2098" t="s">
        <v>355</v>
      </c>
      <c r="BB2098" t="s">
        <v>191</v>
      </c>
      <c r="BC2098" t="s">
        <v>182</v>
      </c>
      <c r="BD2098" t="s">
        <v>182</v>
      </c>
      <c r="BE2098" t="s">
        <v>3956</v>
      </c>
      <c r="BF2098">
        <v>1</v>
      </c>
      <c r="BG2098">
        <v>1</v>
      </c>
      <c r="BH2098">
        <v>1995</v>
      </c>
      <c r="BI2098" t="s">
        <v>18352</v>
      </c>
      <c r="BJ2098" t="s">
        <v>396</v>
      </c>
      <c r="BK2098" t="s">
        <v>195</v>
      </c>
      <c r="BL2098" t="s">
        <v>9139</v>
      </c>
      <c r="BM2098" t="s">
        <v>1825</v>
      </c>
      <c r="BN2098" t="s">
        <v>182</v>
      </c>
      <c r="BO2098" t="s">
        <v>24620</v>
      </c>
      <c r="BP2098" t="s">
        <v>1574</v>
      </c>
      <c r="BQ2098" t="s">
        <v>1896</v>
      </c>
      <c r="BS2098" t="s">
        <v>198</v>
      </c>
      <c r="BT2098" t="s">
        <v>10676</v>
      </c>
      <c r="BU2098" t="s">
        <v>182</v>
      </c>
      <c r="BV2098" t="s">
        <v>198</v>
      </c>
      <c r="BW2098" t="s">
        <v>198</v>
      </c>
      <c r="BX2098" t="s">
        <v>199</v>
      </c>
      <c r="BY2098" t="s">
        <v>198</v>
      </c>
      <c r="BZ2098" t="s">
        <v>199</v>
      </c>
      <c r="CA2098" t="s">
        <v>199</v>
      </c>
      <c r="CB2098" t="s">
        <v>24621</v>
      </c>
      <c r="CC2098" t="s">
        <v>201</v>
      </c>
      <c r="CD2098" t="s">
        <v>182</v>
      </c>
      <c r="CE2098" t="s">
        <v>24622</v>
      </c>
      <c r="CF2098" t="s">
        <v>5331</v>
      </c>
      <c r="CG2098" t="s">
        <v>177</v>
      </c>
      <c r="CH2098" t="s">
        <v>371</v>
      </c>
      <c r="CI2098" t="s">
        <v>24623</v>
      </c>
      <c r="CS2098" t="s">
        <v>198</v>
      </c>
      <c r="DC2098" t="s">
        <v>198</v>
      </c>
      <c r="DM2098" t="s">
        <v>198</v>
      </c>
      <c r="DW2098" t="s">
        <v>198</v>
      </c>
      <c r="EG2098" t="s">
        <v>198</v>
      </c>
      <c r="EQ2098" t="s">
        <v>198</v>
      </c>
      <c r="FA2098" t="s">
        <v>198</v>
      </c>
      <c r="FK2098" t="s">
        <v>198</v>
      </c>
      <c r="FU2098" t="s">
        <v>198</v>
      </c>
    </row>
    <row r="2099" spans="1:177">
      <c r="A2099" s="1" t="str">
        <f>HYPERLINK("http://digipan.lumentumllc.com/apps/getLink/index.php?t=PropLink&amp;p=41029162","PL")</f>
        <v>PL</v>
      </c>
      <c r="B2099" s="1" t="str">
        <f>HYPERLINK("http://digipan.lumentumllc.com/apps/getLink/index.php?t=TaxLink&amp;p=41029162","TL")</f>
        <v>TL</v>
      </c>
      <c r="C2099" s="1" t="str">
        <f>HYPERLINK("","")</f>
        <v/>
      </c>
      <c r="E2099" t="s">
        <v>177</v>
      </c>
      <c r="F2099" t="s">
        <v>178</v>
      </c>
      <c r="L2099" t="s">
        <v>24624</v>
      </c>
      <c r="N2099" t="s">
        <v>24624</v>
      </c>
      <c r="O2099" t="s">
        <v>24624</v>
      </c>
      <c r="Q2099" t="s">
        <v>24624</v>
      </c>
      <c r="V2099">
        <v>2404</v>
      </c>
      <c r="W2099">
        <v>8</v>
      </c>
      <c r="X2099">
        <v>2017</v>
      </c>
      <c r="Y2099">
        <v>2018</v>
      </c>
      <c r="Z2099">
        <v>1237.3699999999999</v>
      </c>
      <c r="AG2099" t="s">
        <v>184</v>
      </c>
      <c r="AH2099">
        <v>0</v>
      </c>
      <c r="AK2099">
        <v>0</v>
      </c>
      <c r="AL2099">
        <v>55920</v>
      </c>
      <c r="AM2099">
        <v>55920</v>
      </c>
      <c r="AN2099">
        <v>0</v>
      </c>
      <c r="AQ2099">
        <v>2.21</v>
      </c>
      <c r="AS2099" t="s">
        <v>24625</v>
      </c>
      <c r="AT2099" t="s">
        <v>15040</v>
      </c>
      <c r="AU2099" t="s">
        <v>177</v>
      </c>
      <c r="AV2099" t="s">
        <v>371</v>
      </c>
      <c r="AW2099" t="s">
        <v>182</v>
      </c>
      <c r="AX2099">
        <v>0</v>
      </c>
      <c r="AY2099" t="s">
        <v>312</v>
      </c>
      <c r="AZ2099" t="s">
        <v>199</v>
      </c>
      <c r="BA2099" t="s">
        <v>313</v>
      </c>
      <c r="BB2099" t="s">
        <v>191</v>
      </c>
      <c r="BC2099" t="s">
        <v>202</v>
      </c>
      <c r="BD2099" t="s">
        <v>1528</v>
      </c>
      <c r="BE2099" t="s">
        <v>6986</v>
      </c>
      <c r="BI2099" t="s">
        <v>199</v>
      </c>
      <c r="BL2099" t="s">
        <v>17726</v>
      </c>
      <c r="BM2099" t="s">
        <v>197</v>
      </c>
      <c r="BN2099" t="s">
        <v>182</v>
      </c>
      <c r="BO2099" t="s">
        <v>198</v>
      </c>
      <c r="BP2099" t="s">
        <v>198</v>
      </c>
      <c r="BQ2099" t="s">
        <v>198</v>
      </c>
      <c r="BR2099" t="s">
        <v>198</v>
      </c>
      <c r="BS2099" t="s">
        <v>198</v>
      </c>
      <c r="BT2099" t="s">
        <v>198</v>
      </c>
      <c r="BU2099" t="s">
        <v>182</v>
      </c>
      <c r="BV2099" t="s">
        <v>198</v>
      </c>
      <c r="BW2099" t="s">
        <v>198</v>
      </c>
      <c r="BX2099" t="s">
        <v>199</v>
      </c>
      <c r="BY2099" t="s">
        <v>198</v>
      </c>
      <c r="CB2099" t="s">
        <v>24626</v>
      </c>
      <c r="CC2099" t="s">
        <v>201</v>
      </c>
      <c r="CD2099" t="s">
        <v>182</v>
      </c>
      <c r="CE2099" t="s">
        <v>24627</v>
      </c>
      <c r="CF2099" t="s">
        <v>702</v>
      </c>
      <c r="CG2099" t="s">
        <v>177</v>
      </c>
      <c r="CH2099" t="s">
        <v>24628</v>
      </c>
      <c r="CI2099" t="s">
        <v>24629</v>
      </c>
      <c r="CS2099" t="s">
        <v>198</v>
      </c>
      <c r="DC2099" t="s">
        <v>198</v>
      </c>
      <c r="DM2099" t="s">
        <v>198</v>
      </c>
      <c r="DW2099" t="s">
        <v>198</v>
      </c>
      <c r="EG2099" t="s">
        <v>198</v>
      </c>
      <c r="EQ2099" t="s">
        <v>198</v>
      </c>
      <c r="FA2099" t="s">
        <v>198</v>
      </c>
      <c r="FK2099" t="s">
        <v>198</v>
      </c>
      <c r="FU2099" t="s">
        <v>198</v>
      </c>
    </row>
    <row r="2100" spans="1:177">
      <c r="A2100" s="1" t="str">
        <f>HYPERLINK("http://digipan.lumentumllc.com/apps/getLink/index.php?t=PropLink&amp;p=6461685","PL")</f>
        <v>PL</v>
      </c>
      <c r="B2100" s="1" t="str">
        <f>HYPERLINK("http://digipan.lumentumllc.com/apps/getLink/index.php?t=TaxLink&amp;p=6461685","TL")</f>
        <v>TL</v>
      </c>
      <c r="C2100" s="1" t="str">
        <f>HYPERLINK("http://digipan.lumentumllc.com/apps/getMap/index.php?p=6461685","Map")</f>
        <v>Map</v>
      </c>
      <c r="E2100" t="s">
        <v>177</v>
      </c>
      <c r="F2100" t="s">
        <v>178</v>
      </c>
      <c r="L2100" t="s">
        <v>24630</v>
      </c>
      <c r="N2100" t="s">
        <v>24630</v>
      </c>
      <c r="O2100" t="s">
        <v>24630</v>
      </c>
      <c r="P2100" t="s">
        <v>24631</v>
      </c>
      <c r="Q2100" t="s">
        <v>24630</v>
      </c>
      <c r="V2100">
        <v>2405</v>
      </c>
      <c r="W2100">
        <v>8</v>
      </c>
      <c r="X2100">
        <v>2017</v>
      </c>
      <c r="Y2100">
        <v>2018</v>
      </c>
      <c r="Z2100">
        <v>939.05</v>
      </c>
      <c r="AB2100" t="s">
        <v>181</v>
      </c>
      <c r="AC2100" t="s">
        <v>182</v>
      </c>
      <c r="AD2100" t="s">
        <v>183</v>
      </c>
      <c r="AE2100">
        <v>0</v>
      </c>
      <c r="AF2100">
        <v>1</v>
      </c>
      <c r="AG2100" t="s">
        <v>821</v>
      </c>
      <c r="AH2100">
        <v>100</v>
      </c>
      <c r="AK2100">
        <v>0</v>
      </c>
      <c r="AL2100">
        <v>254726</v>
      </c>
      <c r="AM2100">
        <v>93500</v>
      </c>
      <c r="AN2100">
        <v>161226</v>
      </c>
      <c r="AO2100">
        <v>0</v>
      </c>
      <c r="AP2100">
        <v>0</v>
      </c>
      <c r="AQ2100">
        <v>0.37</v>
      </c>
      <c r="AS2100" t="s">
        <v>24632</v>
      </c>
      <c r="AT2100" t="s">
        <v>15040</v>
      </c>
      <c r="AU2100" t="s">
        <v>177</v>
      </c>
      <c r="AV2100" t="s">
        <v>371</v>
      </c>
      <c r="AW2100" t="s">
        <v>202</v>
      </c>
      <c r="AX2100">
        <v>1</v>
      </c>
      <c r="AY2100" t="s">
        <v>188</v>
      </c>
      <c r="AZ2100" t="s">
        <v>206</v>
      </c>
      <c r="BA2100" t="s">
        <v>355</v>
      </c>
      <c r="BB2100" t="s">
        <v>191</v>
      </c>
      <c r="BC2100" t="s">
        <v>182</v>
      </c>
      <c r="BD2100" t="s">
        <v>182</v>
      </c>
      <c r="BE2100" t="s">
        <v>13050</v>
      </c>
      <c r="BF2100">
        <v>1</v>
      </c>
      <c r="BG2100">
        <v>1</v>
      </c>
      <c r="BH2100">
        <v>1979</v>
      </c>
      <c r="BI2100" t="s">
        <v>9328</v>
      </c>
      <c r="BJ2100" t="s">
        <v>194</v>
      </c>
      <c r="BK2100" t="s">
        <v>195</v>
      </c>
      <c r="BL2100" t="s">
        <v>7887</v>
      </c>
      <c r="BM2100" t="s">
        <v>302</v>
      </c>
      <c r="BN2100" t="s">
        <v>182</v>
      </c>
      <c r="BO2100" t="s">
        <v>24633</v>
      </c>
      <c r="BP2100" t="s">
        <v>22666</v>
      </c>
      <c r="BQ2100" t="s">
        <v>226</v>
      </c>
      <c r="BR2100" t="s">
        <v>227</v>
      </c>
      <c r="BS2100" t="s">
        <v>1324</v>
      </c>
      <c r="BT2100" t="s">
        <v>11452</v>
      </c>
      <c r="BU2100" t="s">
        <v>182</v>
      </c>
      <c r="BV2100" t="s">
        <v>198</v>
      </c>
      <c r="BW2100" t="s">
        <v>198</v>
      </c>
      <c r="BX2100" t="s">
        <v>199</v>
      </c>
      <c r="BY2100" t="s">
        <v>198</v>
      </c>
      <c r="BZ2100" t="s">
        <v>199</v>
      </c>
      <c r="CA2100" t="s">
        <v>199</v>
      </c>
      <c r="CB2100" t="s">
        <v>24634</v>
      </c>
      <c r="CC2100" t="s">
        <v>1407</v>
      </c>
      <c r="CD2100" t="s">
        <v>202</v>
      </c>
      <c r="CE2100" t="s">
        <v>24635</v>
      </c>
      <c r="CF2100" t="s">
        <v>5331</v>
      </c>
      <c r="CG2100" t="s">
        <v>177</v>
      </c>
      <c r="CH2100" t="s">
        <v>371</v>
      </c>
      <c r="CI2100" t="s">
        <v>24636</v>
      </c>
      <c r="CJ2100" t="s">
        <v>3677</v>
      </c>
      <c r="CK2100" t="s">
        <v>302</v>
      </c>
      <c r="CL2100" t="s">
        <v>303</v>
      </c>
      <c r="CM2100" t="s">
        <v>24637</v>
      </c>
      <c r="CN2100" t="s">
        <v>235</v>
      </c>
      <c r="CO2100" t="s">
        <v>183</v>
      </c>
      <c r="CP2100" t="s">
        <v>211</v>
      </c>
      <c r="CQ2100" t="s">
        <v>250</v>
      </c>
      <c r="CS2100" t="s">
        <v>9330</v>
      </c>
      <c r="DC2100" t="s">
        <v>198</v>
      </c>
      <c r="DM2100" t="s">
        <v>198</v>
      </c>
      <c r="DW2100" t="s">
        <v>198</v>
      </c>
      <c r="EG2100" t="s">
        <v>198</v>
      </c>
      <c r="EQ2100" t="s">
        <v>198</v>
      </c>
      <c r="FA2100" t="s">
        <v>198</v>
      </c>
      <c r="FK2100" t="s">
        <v>198</v>
      </c>
      <c r="FU2100" t="s">
        <v>198</v>
      </c>
    </row>
    <row r="2101" spans="1:177">
      <c r="A2101" s="1" t="str">
        <f>HYPERLINK("http://digipan.lumentumllc.com/apps/getLink/index.php?t=PropLink&amp;p=7112302","PL")</f>
        <v>PL</v>
      </c>
      <c r="B2101" s="1" t="str">
        <f>HYPERLINK("http://digipan.lumentumllc.com/apps/getLink/index.php?t=TaxLink&amp;p=7112302","TL")</f>
        <v>TL</v>
      </c>
      <c r="C2101" s="1" t="str">
        <f>HYPERLINK("http://digipan.lumentumllc.com/apps/getMap/index.php?p=7112302","Map")</f>
        <v>Map</v>
      </c>
      <c r="E2101" t="s">
        <v>177</v>
      </c>
      <c r="F2101" t="s">
        <v>178</v>
      </c>
      <c r="L2101" t="s">
        <v>24638</v>
      </c>
      <c r="N2101" t="s">
        <v>24638</v>
      </c>
      <c r="O2101" t="s">
        <v>24638</v>
      </c>
      <c r="P2101" t="s">
        <v>24639</v>
      </c>
      <c r="Q2101" t="s">
        <v>24638</v>
      </c>
      <c r="V2101">
        <v>2406</v>
      </c>
      <c r="W2101">
        <v>8</v>
      </c>
      <c r="X2101">
        <v>2017</v>
      </c>
      <c r="Y2101">
        <v>2018</v>
      </c>
      <c r="Z2101">
        <v>2029.74</v>
      </c>
      <c r="AG2101" t="s">
        <v>184</v>
      </c>
      <c r="AH2101">
        <v>0</v>
      </c>
      <c r="AK2101">
        <v>0</v>
      </c>
      <c r="AL2101">
        <v>140487</v>
      </c>
      <c r="AM2101">
        <v>59500</v>
      </c>
      <c r="AN2101">
        <v>80987</v>
      </c>
      <c r="AO2101">
        <v>1727</v>
      </c>
      <c r="AP2101">
        <v>2016</v>
      </c>
      <c r="AQ2101">
        <v>1.44</v>
      </c>
      <c r="AS2101" t="s">
        <v>24640</v>
      </c>
      <c r="AT2101" t="s">
        <v>15040</v>
      </c>
      <c r="AU2101" t="s">
        <v>177</v>
      </c>
      <c r="AV2101" t="s">
        <v>371</v>
      </c>
      <c r="AW2101" t="s">
        <v>202</v>
      </c>
      <c r="AX2101">
        <v>1</v>
      </c>
      <c r="AY2101" t="s">
        <v>188</v>
      </c>
      <c r="AZ2101" t="s">
        <v>206</v>
      </c>
      <c r="BA2101" t="s">
        <v>355</v>
      </c>
      <c r="BB2101" t="s">
        <v>191</v>
      </c>
      <c r="BC2101" t="s">
        <v>182</v>
      </c>
      <c r="BD2101" t="s">
        <v>182</v>
      </c>
      <c r="BE2101" t="s">
        <v>3956</v>
      </c>
      <c r="BF2101">
        <v>1</v>
      </c>
      <c r="BG2101">
        <v>1</v>
      </c>
      <c r="BH2101">
        <v>1955</v>
      </c>
      <c r="BI2101" t="s">
        <v>21324</v>
      </c>
      <c r="BJ2101" t="s">
        <v>285</v>
      </c>
      <c r="BK2101" t="s">
        <v>840</v>
      </c>
      <c r="BL2101" t="s">
        <v>199</v>
      </c>
      <c r="BM2101" t="s">
        <v>358</v>
      </c>
      <c r="BN2101" t="s">
        <v>182</v>
      </c>
      <c r="BO2101" t="s">
        <v>198</v>
      </c>
      <c r="BP2101" t="s">
        <v>198</v>
      </c>
      <c r="BQ2101" t="s">
        <v>198</v>
      </c>
      <c r="BR2101" t="s">
        <v>198</v>
      </c>
      <c r="BS2101" t="s">
        <v>198</v>
      </c>
      <c r="BT2101" t="s">
        <v>198</v>
      </c>
      <c r="BU2101" t="s">
        <v>182</v>
      </c>
      <c r="BV2101" t="s">
        <v>198</v>
      </c>
      <c r="BW2101" t="s">
        <v>198</v>
      </c>
      <c r="BX2101" t="s">
        <v>199</v>
      </c>
      <c r="BY2101" t="s">
        <v>198</v>
      </c>
      <c r="BZ2101" t="s">
        <v>199</v>
      </c>
      <c r="CA2101" t="s">
        <v>199</v>
      </c>
      <c r="CB2101" t="s">
        <v>24641</v>
      </c>
      <c r="CC2101" t="s">
        <v>201</v>
      </c>
      <c r="CD2101" t="s">
        <v>202</v>
      </c>
      <c r="CE2101" t="s">
        <v>24642</v>
      </c>
      <c r="CF2101" t="s">
        <v>5331</v>
      </c>
      <c r="CG2101" t="s">
        <v>177</v>
      </c>
      <c r="CH2101" t="s">
        <v>371</v>
      </c>
      <c r="CI2101" t="s">
        <v>24643</v>
      </c>
      <c r="CS2101" t="s">
        <v>198</v>
      </c>
      <c r="DC2101" t="s">
        <v>198</v>
      </c>
      <c r="DM2101" t="s">
        <v>198</v>
      </c>
      <c r="DW2101" t="s">
        <v>198</v>
      </c>
      <c r="EG2101" t="s">
        <v>198</v>
      </c>
      <c r="EQ2101" t="s">
        <v>198</v>
      </c>
      <c r="FA2101" t="s">
        <v>198</v>
      </c>
      <c r="FK2101" t="s">
        <v>198</v>
      </c>
      <c r="FU2101" t="s">
        <v>198</v>
      </c>
    </row>
    <row r="2102" spans="1:177">
      <c r="A2102" s="1" t="str">
        <f>HYPERLINK("http://digipan.lumentumllc.com/apps/getLink/index.php?t=PropLink&amp;p=6128686","PL")</f>
        <v>PL</v>
      </c>
      <c r="B2102" s="1" t="str">
        <f>HYPERLINK("http://digipan.lumentumllc.com/apps/getLink/index.php?t=TaxLink&amp;p=6128686","TL")</f>
        <v>TL</v>
      </c>
      <c r="C2102" s="1" t="str">
        <f>HYPERLINK("http://digipan.lumentumllc.com/apps/getMap/index.php?p=6128686","Map")</f>
        <v>Map</v>
      </c>
      <c r="E2102" t="s">
        <v>177</v>
      </c>
      <c r="F2102" t="s">
        <v>178</v>
      </c>
      <c r="L2102" t="s">
        <v>24644</v>
      </c>
      <c r="N2102" t="s">
        <v>24644</v>
      </c>
      <c r="O2102" t="s">
        <v>24644</v>
      </c>
      <c r="P2102" t="s">
        <v>24645</v>
      </c>
      <c r="Q2102" t="s">
        <v>24644</v>
      </c>
      <c r="V2102">
        <v>2407</v>
      </c>
      <c r="W2102">
        <v>8</v>
      </c>
      <c r="X2102">
        <v>2017</v>
      </c>
      <c r="Y2102">
        <v>2018</v>
      </c>
      <c r="Z2102">
        <v>2794.91</v>
      </c>
      <c r="AB2102" t="s">
        <v>181</v>
      </c>
      <c r="AC2102" t="s">
        <v>182</v>
      </c>
      <c r="AD2102" t="s">
        <v>183</v>
      </c>
      <c r="AE2102">
        <v>0</v>
      </c>
      <c r="AF2102">
        <v>5</v>
      </c>
      <c r="AG2102" t="s">
        <v>3266</v>
      </c>
      <c r="AH2102">
        <v>100</v>
      </c>
      <c r="AK2102">
        <v>0</v>
      </c>
      <c r="AL2102">
        <v>162514</v>
      </c>
      <c r="AM2102">
        <v>78210</v>
      </c>
      <c r="AN2102">
        <v>84304</v>
      </c>
      <c r="AO2102">
        <v>2241</v>
      </c>
      <c r="AP2102">
        <v>2016</v>
      </c>
      <c r="AQ2102">
        <v>1.72</v>
      </c>
      <c r="AS2102" t="s">
        <v>24646</v>
      </c>
      <c r="AT2102" t="s">
        <v>15040</v>
      </c>
      <c r="AU2102" t="s">
        <v>177</v>
      </c>
      <c r="AV2102" t="s">
        <v>371</v>
      </c>
      <c r="AW2102" t="s">
        <v>182</v>
      </c>
      <c r="AX2102">
        <v>1</v>
      </c>
      <c r="AY2102" t="s">
        <v>188</v>
      </c>
      <c r="AZ2102" t="s">
        <v>206</v>
      </c>
      <c r="BA2102" t="s">
        <v>355</v>
      </c>
      <c r="BB2102" t="s">
        <v>191</v>
      </c>
      <c r="BC2102" t="s">
        <v>182</v>
      </c>
      <c r="BD2102" t="s">
        <v>182</v>
      </c>
      <c r="BE2102" t="s">
        <v>235</v>
      </c>
      <c r="BF2102">
        <v>1</v>
      </c>
      <c r="BG2102">
        <v>1</v>
      </c>
      <c r="BH2102">
        <v>1948</v>
      </c>
      <c r="BI2102" t="s">
        <v>18337</v>
      </c>
      <c r="BJ2102" t="s">
        <v>285</v>
      </c>
      <c r="BK2102" t="s">
        <v>195</v>
      </c>
      <c r="BL2102" t="s">
        <v>21242</v>
      </c>
      <c r="BM2102" t="s">
        <v>945</v>
      </c>
      <c r="BN2102" t="s">
        <v>182</v>
      </c>
      <c r="BO2102" t="s">
        <v>24647</v>
      </c>
      <c r="BP2102" t="s">
        <v>24648</v>
      </c>
      <c r="BS2102" t="s">
        <v>24649</v>
      </c>
      <c r="BT2102" t="s">
        <v>198</v>
      </c>
      <c r="BU2102" t="s">
        <v>182</v>
      </c>
      <c r="BV2102" t="s">
        <v>198</v>
      </c>
      <c r="BW2102" t="s">
        <v>198</v>
      </c>
      <c r="BX2102" t="s">
        <v>199</v>
      </c>
      <c r="BY2102" t="s">
        <v>198</v>
      </c>
      <c r="BZ2102" t="s">
        <v>199</v>
      </c>
      <c r="CA2102" t="s">
        <v>199</v>
      </c>
      <c r="CB2102" t="s">
        <v>24650</v>
      </c>
      <c r="CC2102" t="s">
        <v>201</v>
      </c>
      <c r="CD2102" t="s">
        <v>182</v>
      </c>
      <c r="CE2102" t="s">
        <v>24651</v>
      </c>
      <c r="CF2102" t="s">
        <v>5331</v>
      </c>
      <c r="CG2102" t="s">
        <v>177</v>
      </c>
      <c r="CH2102" t="s">
        <v>371</v>
      </c>
      <c r="CI2102" t="s">
        <v>24652</v>
      </c>
      <c r="CJ2102" t="s">
        <v>3606</v>
      </c>
      <c r="CK2102" t="s">
        <v>232</v>
      </c>
      <c r="CL2102" t="s">
        <v>233</v>
      </c>
      <c r="CM2102" t="s">
        <v>24653</v>
      </c>
      <c r="CN2102" t="s">
        <v>235</v>
      </c>
      <c r="CO2102" t="s">
        <v>183</v>
      </c>
      <c r="CP2102" t="s">
        <v>211</v>
      </c>
      <c r="CQ2102" t="s">
        <v>199</v>
      </c>
      <c r="CS2102" t="s">
        <v>236</v>
      </c>
      <c r="CT2102" t="s">
        <v>4667</v>
      </c>
      <c r="CU2102" t="s">
        <v>292</v>
      </c>
      <c r="CV2102" t="s">
        <v>293</v>
      </c>
      <c r="CW2102" t="s">
        <v>24654</v>
      </c>
      <c r="CX2102" t="s">
        <v>235</v>
      </c>
      <c r="CY2102" t="s">
        <v>183</v>
      </c>
      <c r="CZ2102" t="s">
        <v>211</v>
      </c>
      <c r="DA2102" t="s">
        <v>189</v>
      </c>
      <c r="DC2102" t="s">
        <v>3251</v>
      </c>
      <c r="DD2102" t="s">
        <v>16868</v>
      </c>
      <c r="DE2102" t="s">
        <v>267</v>
      </c>
      <c r="DF2102" t="s">
        <v>268</v>
      </c>
      <c r="DG2102" t="s">
        <v>24655</v>
      </c>
      <c r="DH2102" t="s">
        <v>235</v>
      </c>
      <c r="DI2102" t="s">
        <v>183</v>
      </c>
      <c r="DJ2102" t="s">
        <v>211</v>
      </c>
      <c r="DK2102" t="s">
        <v>460</v>
      </c>
      <c r="DM2102" t="s">
        <v>3251</v>
      </c>
      <c r="DN2102" t="s">
        <v>17940</v>
      </c>
      <c r="DO2102" t="s">
        <v>273</v>
      </c>
      <c r="DP2102" t="s">
        <v>274</v>
      </c>
      <c r="DQ2102" t="s">
        <v>24656</v>
      </c>
      <c r="DR2102" t="s">
        <v>235</v>
      </c>
      <c r="DS2102" t="s">
        <v>183</v>
      </c>
      <c r="DT2102" t="s">
        <v>211</v>
      </c>
      <c r="DU2102" t="s">
        <v>264</v>
      </c>
      <c r="DW2102" t="s">
        <v>24657</v>
      </c>
      <c r="DX2102" t="s">
        <v>3688</v>
      </c>
      <c r="DY2102" t="s">
        <v>302</v>
      </c>
      <c r="DZ2102" t="s">
        <v>303</v>
      </c>
      <c r="EA2102" t="s">
        <v>24658</v>
      </c>
      <c r="EB2102" t="s">
        <v>235</v>
      </c>
      <c r="EC2102" t="s">
        <v>183</v>
      </c>
      <c r="ED2102" t="s">
        <v>211</v>
      </c>
      <c r="EE2102" t="s">
        <v>206</v>
      </c>
      <c r="EG2102" t="s">
        <v>8365</v>
      </c>
      <c r="EQ2102" t="s">
        <v>198</v>
      </c>
      <c r="FA2102" t="s">
        <v>198</v>
      </c>
      <c r="FK2102" t="s">
        <v>198</v>
      </c>
      <c r="FU2102" t="s">
        <v>198</v>
      </c>
    </row>
    <row r="2103" spans="1:177">
      <c r="A2103" s="1" t="str">
        <f>HYPERLINK("http://digipan.lumentumllc.com/apps/getLink/index.php?t=PropLink&amp;p=15732656","PL")</f>
        <v>PL</v>
      </c>
      <c r="B2103" s="1" t="str">
        <f>HYPERLINK("http://digipan.lumentumllc.com/apps/getLink/index.php?t=TaxLink&amp;p=15732656","TL")</f>
        <v>TL</v>
      </c>
      <c r="C2103" s="1" t="str">
        <f>HYPERLINK("http://digipan.lumentumllc.com/apps/getMap/index.php?p=15732656","Map")</f>
        <v>Map</v>
      </c>
      <c r="E2103" t="s">
        <v>177</v>
      </c>
      <c r="F2103" t="s">
        <v>178</v>
      </c>
      <c r="L2103" t="s">
        <v>24659</v>
      </c>
      <c r="N2103" t="s">
        <v>24659</v>
      </c>
      <c r="O2103" t="s">
        <v>24659</v>
      </c>
      <c r="Q2103" t="s">
        <v>24659</v>
      </c>
      <c r="V2103">
        <v>2408</v>
      </c>
      <c r="W2103">
        <v>8</v>
      </c>
      <c r="X2103">
        <v>2017</v>
      </c>
      <c r="Y2103">
        <v>2018</v>
      </c>
      <c r="Z2103">
        <v>2079.73</v>
      </c>
      <c r="AG2103" t="s">
        <v>184</v>
      </c>
      <c r="AH2103">
        <v>0</v>
      </c>
      <c r="AK2103">
        <v>0</v>
      </c>
      <c r="AL2103">
        <v>95000</v>
      </c>
      <c r="AM2103">
        <v>95000</v>
      </c>
      <c r="AN2103">
        <v>0</v>
      </c>
      <c r="AO2103">
        <v>339</v>
      </c>
      <c r="AP2103">
        <v>2016</v>
      </c>
      <c r="AQ2103">
        <v>2.19</v>
      </c>
      <c r="AS2103" t="s">
        <v>24660</v>
      </c>
      <c r="AT2103" t="s">
        <v>15040</v>
      </c>
      <c r="AU2103" t="s">
        <v>177</v>
      </c>
      <c r="AV2103" t="s">
        <v>371</v>
      </c>
      <c r="AW2103" t="s">
        <v>182</v>
      </c>
      <c r="AX2103">
        <v>0</v>
      </c>
      <c r="AY2103" t="s">
        <v>312</v>
      </c>
      <c r="AZ2103" t="s">
        <v>199</v>
      </c>
      <c r="BA2103" t="s">
        <v>313</v>
      </c>
      <c r="BB2103" t="s">
        <v>191</v>
      </c>
      <c r="BC2103" t="s">
        <v>182</v>
      </c>
      <c r="BD2103" t="s">
        <v>182</v>
      </c>
      <c r="BE2103" t="s">
        <v>6673</v>
      </c>
      <c r="BF2103">
        <v>0</v>
      </c>
      <c r="BG2103">
        <v>0</v>
      </c>
      <c r="BH2103">
        <v>0</v>
      </c>
      <c r="BI2103" t="s">
        <v>199</v>
      </c>
      <c r="BJ2103" t="s">
        <v>194</v>
      </c>
      <c r="BL2103" t="s">
        <v>23222</v>
      </c>
      <c r="BM2103" t="s">
        <v>232</v>
      </c>
      <c r="BN2103" t="s">
        <v>182</v>
      </c>
      <c r="BO2103" t="s">
        <v>3012</v>
      </c>
      <c r="BP2103" t="s">
        <v>24661</v>
      </c>
      <c r="BQ2103" t="s">
        <v>800</v>
      </c>
      <c r="BR2103" t="s">
        <v>563</v>
      </c>
      <c r="BS2103" t="s">
        <v>198</v>
      </c>
      <c r="BT2103" t="s">
        <v>24662</v>
      </c>
      <c r="BU2103" t="s">
        <v>182</v>
      </c>
      <c r="BV2103" t="s">
        <v>198</v>
      </c>
      <c r="BW2103" t="s">
        <v>198</v>
      </c>
      <c r="BX2103" t="s">
        <v>199</v>
      </c>
      <c r="BY2103" t="s">
        <v>198</v>
      </c>
      <c r="BZ2103" t="s">
        <v>199</v>
      </c>
      <c r="CA2103" t="s">
        <v>199</v>
      </c>
      <c r="CB2103" t="s">
        <v>20218</v>
      </c>
      <c r="CC2103" t="s">
        <v>201</v>
      </c>
      <c r="CD2103" t="s">
        <v>202</v>
      </c>
      <c r="CE2103" t="s">
        <v>20219</v>
      </c>
      <c r="CF2103" t="s">
        <v>5331</v>
      </c>
      <c r="CG2103" t="s">
        <v>177</v>
      </c>
      <c r="CH2103" t="s">
        <v>371</v>
      </c>
      <c r="CI2103" t="s">
        <v>610</v>
      </c>
      <c r="CS2103" t="s">
        <v>198</v>
      </c>
      <c r="DC2103" t="s">
        <v>198</v>
      </c>
      <c r="DM2103" t="s">
        <v>198</v>
      </c>
      <c r="DW2103" t="s">
        <v>198</v>
      </c>
      <c r="EG2103" t="s">
        <v>198</v>
      </c>
      <c r="EQ2103" t="s">
        <v>198</v>
      </c>
      <c r="FA2103" t="s">
        <v>198</v>
      </c>
      <c r="FK2103" t="s">
        <v>198</v>
      </c>
      <c r="FU2103" t="s">
        <v>198</v>
      </c>
    </row>
    <row r="2104" spans="1:177">
      <c r="A2104" s="1" t="str">
        <f>HYPERLINK("http://digipan.lumentumllc.com/apps/getLink/index.php?t=PropLink&amp;p=15732659","PL")</f>
        <v>PL</v>
      </c>
      <c r="B2104" s="1" t="str">
        <f>HYPERLINK("http://digipan.lumentumllc.com/apps/getLink/index.php?t=TaxLink&amp;p=15732659","TL")</f>
        <v>TL</v>
      </c>
      <c r="C2104" s="1" t="str">
        <f>HYPERLINK("http://digipan.lumentumllc.com/apps/getMap/index.php?p=15732659","Map")</f>
        <v>Map</v>
      </c>
      <c r="E2104" t="s">
        <v>177</v>
      </c>
      <c r="F2104" t="s">
        <v>178</v>
      </c>
      <c r="L2104" t="s">
        <v>24663</v>
      </c>
      <c r="N2104" t="s">
        <v>24663</v>
      </c>
      <c r="O2104" t="s">
        <v>24663</v>
      </c>
      <c r="Q2104" t="s">
        <v>24663</v>
      </c>
      <c r="V2104">
        <v>2409</v>
      </c>
      <c r="W2104">
        <v>8</v>
      </c>
      <c r="X2104">
        <v>2017</v>
      </c>
      <c r="Y2104">
        <v>2018</v>
      </c>
      <c r="Z2104">
        <v>2079.73</v>
      </c>
      <c r="AG2104" t="s">
        <v>184</v>
      </c>
      <c r="AH2104">
        <v>0</v>
      </c>
      <c r="AK2104">
        <v>0</v>
      </c>
      <c r="AL2104">
        <v>95000</v>
      </c>
      <c r="AM2104">
        <v>95000</v>
      </c>
      <c r="AN2104">
        <v>0</v>
      </c>
      <c r="AO2104">
        <v>339</v>
      </c>
      <c r="AP2104">
        <v>2016</v>
      </c>
      <c r="AQ2104">
        <v>2.19</v>
      </c>
      <c r="AS2104" t="s">
        <v>24664</v>
      </c>
      <c r="AT2104" t="s">
        <v>15040</v>
      </c>
      <c r="AU2104" t="s">
        <v>177</v>
      </c>
      <c r="AV2104" t="s">
        <v>371</v>
      </c>
      <c r="AW2104" t="s">
        <v>182</v>
      </c>
      <c r="AX2104">
        <v>0</v>
      </c>
      <c r="AY2104" t="s">
        <v>312</v>
      </c>
      <c r="AZ2104" t="s">
        <v>199</v>
      </c>
      <c r="BA2104" t="s">
        <v>313</v>
      </c>
      <c r="BB2104" t="s">
        <v>191</v>
      </c>
      <c r="BC2104" t="s">
        <v>182</v>
      </c>
      <c r="BD2104" t="s">
        <v>182</v>
      </c>
      <c r="BE2104" t="s">
        <v>478</v>
      </c>
      <c r="BF2104">
        <v>0</v>
      </c>
      <c r="BG2104">
        <v>0</v>
      </c>
      <c r="BH2104">
        <v>0</v>
      </c>
      <c r="BI2104" t="s">
        <v>199</v>
      </c>
      <c r="BJ2104" t="s">
        <v>194</v>
      </c>
      <c r="BL2104" t="s">
        <v>23222</v>
      </c>
      <c r="BM2104" t="s">
        <v>232</v>
      </c>
      <c r="BN2104" t="s">
        <v>182</v>
      </c>
      <c r="BO2104" t="s">
        <v>3012</v>
      </c>
      <c r="BP2104" t="s">
        <v>24661</v>
      </c>
      <c r="BQ2104" t="s">
        <v>800</v>
      </c>
      <c r="BR2104" t="s">
        <v>563</v>
      </c>
      <c r="BS2104" t="s">
        <v>198</v>
      </c>
      <c r="BT2104" t="s">
        <v>24662</v>
      </c>
      <c r="BU2104" t="s">
        <v>182</v>
      </c>
      <c r="BV2104" t="s">
        <v>198</v>
      </c>
      <c r="BW2104" t="s">
        <v>198</v>
      </c>
      <c r="BX2104" t="s">
        <v>199</v>
      </c>
      <c r="BY2104" t="s">
        <v>198</v>
      </c>
      <c r="BZ2104" t="s">
        <v>199</v>
      </c>
      <c r="CA2104" t="s">
        <v>199</v>
      </c>
      <c r="CB2104" t="s">
        <v>20218</v>
      </c>
      <c r="CC2104" t="s">
        <v>201</v>
      </c>
      <c r="CD2104" t="s">
        <v>202</v>
      </c>
      <c r="CE2104" t="s">
        <v>20219</v>
      </c>
      <c r="CF2104" t="s">
        <v>5331</v>
      </c>
      <c r="CG2104" t="s">
        <v>177</v>
      </c>
      <c r="CH2104" t="s">
        <v>371</v>
      </c>
      <c r="CI2104" t="s">
        <v>4622</v>
      </c>
      <c r="CS2104" t="s">
        <v>198</v>
      </c>
      <c r="DC2104" t="s">
        <v>198</v>
      </c>
      <c r="DM2104" t="s">
        <v>198</v>
      </c>
      <c r="DW2104" t="s">
        <v>198</v>
      </c>
      <c r="EG2104" t="s">
        <v>198</v>
      </c>
      <c r="EQ2104" t="s">
        <v>198</v>
      </c>
      <c r="FA2104" t="s">
        <v>198</v>
      </c>
      <c r="FK2104" t="s">
        <v>198</v>
      </c>
      <c r="FU2104" t="s">
        <v>198</v>
      </c>
    </row>
    <row r="2105" spans="1:177">
      <c r="A2105" s="1" t="str">
        <f>HYPERLINK("http://digipan.lumentumllc.com/apps/getLink/index.php?t=PropLink&amp;p=15732660","PL")</f>
        <v>PL</v>
      </c>
      <c r="B2105" s="1" t="str">
        <f>HYPERLINK("http://digipan.lumentumllc.com/apps/getLink/index.php?t=TaxLink&amp;p=15732660","TL")</f>
        <v>TL</v>
      </c>
      <c r="C2105" s="1" t="str">
        <f>HYPERLINK("http://digipan.lumentumllc.com/apps/getMap/index.php?p=15732660","Map")</f>
        <v>Map</v>
      </c>
      <c r="E2105" t="s">
        <v>177</v>
      </c>
      <c r="F2105" t="s">
        <v>178</v>
      </c>
      <c r="L2105" t="s">
        <v>24665</v>
      </c>
      <c r="N2105" t="s">
        <v>24665</v>
      </c>
      <c r="O2105" t="s">
        <v>24665</v>
      </c>
      <c r="Q2105" t="s">
        <v>24665</v>
      </c>
      <c r="V2105">
        <v>2410</v>
      </c>
      <c r="W2105">
        <v>8</v>
      </c>
      <c r="X2105">
        <v>2017</v>
      </c>
      <c r="Y2105">
        <v>2018</v>
      </c>
      <c r="Z2105">
        <v>2079.73</v>
      </c>
      <c r="AG2105" t="s">
        <v>184</v>
      </c>
      <c r="AH2105">
        <v>0</v>
      </c>
      <c r="AK2105">
        <v>0</v>
      </c>
      <c r="AL2105">
        <v>95000</v>
      </c>
      <c r="AM2105">
        <v>95000</v>
      </c>
      <c r="AN2105">
        <v>0</v>
      </c>
      <c r="AO2105">
        <v>339</v>
      </c>
      <c r="AP2105">
        <v>2016</v>
      </c>
      <c r="AQ2105">
        <v>2.19</v>
      </c>
      <c r="AS2105" t="s">
        <v>24666</v>
      </c>
      <c r="AT2105" t="s">
        <v>15040</v>
      </c>
      <c r="AU2105" t="s">
        <v>177</v>
      </c>
      <c r="AV2105" t="s">
        <v>371</v>
      </c>
      <c r="AW2105" t="s">
        <v>182</v>
      </c>
      <c r="AX2105">
        <v>0</v>
      </c>
      <c r="AY2105" t="s">
        <v>312</v>
      </c>
      <c r="AZ2105" t="s">
        <v>199</v>
      </c>
      <c r="BA2105" t="s">
        <v>313</v>
      </c>
      <c r="BB2105" t="s">
        <v>191</v>
      </c>
      <c r="BC2105" t="s">
        <v>182</v>
      </c>
      <c r="BD2105" t="s">
        <v>182</v>
      </c>
      <c r="BE2105" t="s">
        <v>5975</v>
      </c>
      <c r="BF2105">
        <v>0</v>
      </c>
      <c r="BG2105">
        <v>0</v>
      </c>
      <c r="BH2105">
        <v>0</v>
      </c>
      <c r="BI2105" t="s">
        <v>199</v>
      </c>
      <c r="BJ2105" t="s">
        <v>194</v>
      </c>
      <c r="BL2105" t="s">
        <v>23222</v>
      </c>
      <c r="BM2105" t="s">
        <v>232</v>
      </c>
      <c r="BN2105" t="s">
        <v>182</v>
      </c>
      <c r="BO2105" t="s">
        <v>3012</v>
      </c>
      <c r="BP2105" t="s">
        <v>24661</v>
      </c>
      <c r="BQ2105" t="s">
        <v>800</v>
      </c>
      <c r="BR2105" t="s">
        <v>563</v>
      </c>
      <c r="BS2105" t="s">
        <v>198</v>
      </c>
      <c r="BT2105" t="s">
        <v>24662</v>
      </c>
      <c r="BU2105" t="s">
        <v>182</v>
      </c>
      <c r="BV2105" t="s">
        <v>198</v>
      </c>
      <c r="BW2105" t="s">
        <v>198</v>
      </c>
      <c r="BX2105" t="s">
        <v>199</v>
      </c>
      <c r="BY2105" t="s">
        <v>198</v>
      </c>
      <c r="BZ2105" t="s">
        <v>199</v>
      </c>
      <c r="CA2105" t="s">
        <v>199</v>
      </c>
      <c r="CB2105" t="s">
        <v>20218</v>
      </c>
      <c r="CC2105" t="s">
        <v>201</v>
      </c>
      <c r="CD2105" t="s">
        <v>202</v>
      </c>
      <c r="CE2105" t="s">
        <v>20219</v>
      </c>
      <c r="CF2105" t="s">
        <v>5331</v>
      </c>
      <c r="CG2105" t="s">
        <v>177</v>
      </c>
      <c r="CH2105" t="s">
        <v>371</v>
      </c>
      <c r="CI2105" t="s">
        <v>2399</v>
      </c>
      <c r="CS2105" t="s">
        <v>198</v>
      </c>
      <c r="DC2105" t="s">
        <v>198</v>
      </c>
      <c r="DM2105" t="s">
        <v>198</v>
      </c>
      <c r="DW2105" t="s">
        <v>198</v>
      </c>
      <c r="EG2105" t="s">
        <v>198</v>
      </c>
      <c r="EQ2105" t="s">
        <v>198</v>
      </c>
      <c r="FA2105" t="s">
        <v>198</v>
      </c>
      <c r="FK2105" t="s">
        <v>198</v>
      </c>
      <c r="FU2105" t="s">
        <v>198</v>
      </c>
    </row>
    <row r="2106" spans="1:177">
      <c r="A2106" s="1" t="str">
        <f>HYPERLINK("http://digipan.lumentumllc.com/apps/getLink/index.php?t=PropLink&amp;p=15732670","PL")</f>
        <v>PL</v>
      </c>
      <c r="B2106" s="1" t="str">
        <f>HYPERLINK("http://digipan.lumentumllc.com/apps/getLink/index.php?t=TaxLink&amp;p=15732670","TL")</f>
        <v>TL</v>
      </c>
      <c r="C2106" s="1" t="str">
        <f>HYPERLINK("http://digipan.lumentumllc.com/apps/getMap/index.php?p=15732670","Map")</f>
        <v>Map</v>
      </c>
      <c r="E2106" t="s">
        <v>177</v>
      </c>
      <c r="F2106" t="s">
        <v>178</v>
      </c>
      <c r="L2106" t="s">
        <v>24667</v>
      </c>
      <c r="N2106" t="s">
        <v>24667</v>
      </c>
      <c r="O2106" t="s">
        <v>24667</v>
      </c>
      <c r="Q2106" t="s">
        <v>24667</v>
      </c>
      <c r="V2106">
        <v>2411</v>
      </c>
      <c r="W2106">
        <v>8</v>
      </c>
      <c r="X2106">
        <v>2017</v>
      </c>
      <c r="Y2106">
        <v>2018</v>
      </c>
      <c r="Z2106">
        <v>2079.73</v>
      </c>
      <c r="AG2106" t="s">
        <v>184</v>
      </c>
      <c r="AH2106">
        <v>0</v>
      </c>
      <c r="AK2106">
        <v>0</v>
      </c>
      <c r="AL2106">
        <v>95000</v>
      </c>
      <c r="AM2106">
        <v>95000</v>
      </c>
      <c r="AN2106">
        <v>0</v>
      </c>
      <c r="AO2106">
        <v>339</v>
      </c>
      <c r="AP2106">
        <v>2016</v>
      </c>
      <c r="AQ2106">
        <v>2.19</v>
      </c>
      <c r="AS2106" t="s">
        <v>24668</v>
      </c>
      <c r="AT2106" t="s">
        <v>15040</v>
      </c>
      <c r="AU2106" t="s">
        <v>177</v>
      </c>
      <c r="AV2106" t="s">
        <v>371</v>
      </c>
      <c r="AW2106" t="s">
        <v>182</v>
      </c>
      <c r="AX2106">
        <v>0</v>
      </c>
      <c r="AY2106" t="s">
        <v>312</v>
      </c>
      <c r="AZ2106" t="s">
        <v>199</v>
      </c>
      <c r="BA2106" t="s">
        <v>313</v>
      </c>
      <c r="BB2106" t="s">
        <v>191</v>
      </c>
      <c r="BC2106" t="s">
        <v>182</v>
      </c>
      <c r="BD2106" t="s">
        <v>182</v>
      </c>
      <c r="BE2106" t="s">
        <v>13126</v>
      </c>
      <c r="BF2106">
        <v>0</v>
      </c>
      <c r="BG2106">
        <v>0</v>
      </c>
      <c r="BH2106">
        <v>0</v>
      </c>
      <c r="BI2106" t="s">
        <v>199</v>
      </c>
      <c r="BJ2106" t="s">
        <v>194</v>
      </c>
      <c r="BL2106" t="s">
        <v>23222</v>
      </c>
      <c r="BM2106" t="s">
        <v>232</v>
      </c>
      <c r="BN2106" t="s">
        <v>182</v>
      </c>
      <c r="BO2106" t="s">
        <v>3012</v>
      </c>
      <c r="BP2106" t="s">
        <v>24661</v>
      </c>
      <c r="BQ2106" t="s">
        <v>800</v>
      </c>
      <c r="BR2106" t="s">
        <v>563</v>
      </c>
      <c r="BS2106" t="s">
        <v>198</v>
      </c>
      <c r="BT2106" t="s">
        <v>24662</v>
      </c>
      <c r="BU2106" t="s">
        <v>182</v>
      </c>
      <c r="BV2106" t="s">
        <v>198</v>
      </c>
      <c r="BW2106" t="s">
        <v>198</v>
      </c>
      <c r="BX2106" t="s">
        <v>199</v>
      </c>
      <c r="BY2106" t="s">
        <v>198</v>
      </c>
      <c r="BZ2106" t="s">
        <v>199</v>
      </c>
      <c r="CA2106" t="s">
        <v>199</v>
      </c>
      <c r="CB2106" t="s">
        <v>20218</v>
      </c>
      <c r="CC2106" t="s">
        <v>201</v>
      </c>
      <c r="CD2106" t="s">
        <v>202</v>
      </c>
      <c r="CE2106" t="s">
        <v>20219</v>
      </c>
      <c r="CF2106" t="s">
        <v>5331</v>
      </c>
      <c r="CG2106" t="s">
        <v>177</v>
      </c>
      <c r="CH2106" t="s">
        <v>371</v>
      </c>
      <c r="CI2106" t="s">
        <v>4045</v>
      </c>
      <c r="CS2106" t="s">
        <v>198</v>
      </c>
      <c r="DC2106" t="s">
        <v>198</v>
      </c>
      <c r="DM2106" t="s">
        <v>198</v>
      </c>
      <c r="DW2106" t="s">
        <v>198</v>
      </c>
      <c r="EG2106" t="s">
        <v>198</v>
      </c>
      <c r="EQ2106" t="s">
        <v>198</v>
      </c>
      <c r="FA2106" t="s">
        <v>198</v>
      </c>
      <c r="FK2106" t="s">
        <v>198</v>
      </c>
      <c r="FU2106" t="s">
        <v>198</v>
      </c>
    </row>
    <row r="2107" spans="1:177">
      <c r="A2107" s="1" t="str">
        <f>HYPERLINK("http://digipan.lumentumllc.com/apps/getLink/index.php?t=PropLink&amp;p=15732673","PL")</f>
        <v>PL</v>
      </c>
      <c r="B2107" s="1" t="str">
        <f>HYPERLINK("http://digipan.lumentumllc.com/apps/getLink/index.php?t=TaxLink&amp;p=15732673","TL")</f>
        <v>TL</v>
      </c>
      <c r="C2107" s="1" t="str">
        <f>HYPERLINK("http://digipan.lumentumllc.com/apps/getMap/index.php?p=15732673","Map")</f>
        <v>Map</v>
      </c>
      <c r="E2107" t="s">
        <v>177</v>
      </c>
      <c r="F2107" t="s">
        <v>178</v>
      </c>
      <c r="L2107" t="s">
        <v>24669</v>
      </c>
      <c r="N2107" t="s">
        <v>24669</v>
      </c>
      <c r="O2107" t="s">
        <v>24669</v>
      </c>
      <c r="Q2107" t="s">
        <v>24669</v>
      </c>
      <c r="V2107">
        <v>2412</v>
      </c>
      <c r="W2107">
        <v>8</v>
      </c>
      <c r="X2107">
        <v>2017</v>
      </c>
      <c r="Y2107">
        <v>2018</v>
      </c>
      <c r="Z2107">
        <v>975.24</v>
      </c>
      <c r="AG2107" t="s">
        <v>184</v>
      </c>
      <c r="AH2107">
        <v>0</v>
      </c>
      <c r="AK2107">
        <v>0</v>
      </c>
      <c r="AL2107">
        <v>95000</v>
      </c>
      <c r="AM2107">
        <v>95000</v>
      </c>
      <c r="AN2107">
        <v>0</v>
      </c>
      <c r="AO2107">
        <v>339</v>
      </c>
      <c r="AP2107">
        <v>2016</v>
      </c>
      <c r="AQ2107">
        <v>1.03</v>
      </c>
      <c r="AS2107" t="s">
        <v>24670</v>
      </c>
      <c r="AT2107" t="s">
        <v>15040</v>
      </c>
      <c r="AU2107" t="s">
        <v>177</v>
      </c>
      <c r="AV2107" t="s">
        <v>371</v>
      </c>
      <c r="AW2107" t="s">
        <v>182</v>
      </c>
      <c r="AX2107">
        <v>0</v>
      </c>
      <c r="AY2107" t="s">
        <v>312</v>
      </c>
      <c r="AZ2107" t="s">
        <v>199</v>
      </c>
      <c r="BA2107" t="s">
        <v>313</v>
      </c>
      <c r="BB2107" t="s">
        <v>191</v>
      </c>
      <c r="BC2107" t="s">
        <v>182</v>
      </c>
      <c r="BD2107" t="s">
        <v>182</v>
      </c>
      <c r="BE2107" t="s">
        <v>13126</v>
      </c>
      <c r="BF2107">
        <v>0</v>
      </c>
      <c r="BG2107">
        <v>0</v>
      </c>
      <c r="BH2107">
        <v>0</v>
      </c>
      <c r="BI2107" t="s">
        <v>199</v>
      </c>
      <c r="BJ2107" t="s">
        <v>194</v>
      </c>
      <c r="BL2107" t="s">
        <v>3374</v>
      </c>
      <c r="BM2107" t="s">
        <v>197</v>
      </c>
      <c r="BN2107" t="s">
        <v>182</v>
      </c>
      <c r="BO2107" t="s">
        <v>21312</v>
      </c>
      <c r="BP2107" t="s">
        <v>24671</v>
      </c>
      <c r="BQ2107" t="s">
        <v>603</v>
      </c>
      <c r="BR2107" t="s">
        <v>563</v>
      </c>
      <c r="BS2107" t="s">
        <v>198</v>
      </c>
      <c r="BT2107" t="s">
        <v>228</v>
      </c>
      <c r="BU2107" t="s">
        <v>182</v>
      </c>
      <c r="BV2107" t="s">
        <v>198</v>
      </c>
      <c r="BW2107" t="s">
        <v>198</v>
      </c>
      <c r="BX2107" t="s">
        <v>199</v>
      </c>
      <c r="BY2107" t="s">
        <v>198</v>
      </c>
      <c r="BZ2107" t="s">
        <v>199</v>
      </c>
      <c r="CA2107" t="s">
        <v>199</v>
      </c>
      <c r="CB2107" t="s">
        <v>19179</v>
      </c>
      <c r="CC2107" t="s">
        <v>201</v>
      </c>
      <c r="CD2107" t="s">
        <v>202</v>
      </c>
      <c r="CE2107" t="s">
        <v>22372</v>
      </c>
      <c r="CF2107" t="s">
        <v>3714</v>
      </c>
      <c r="CG2107" t="s">
        <v>177</v>
      </c>
      <c r="CH2107" t="s">
        <v>19182</v>
      </c>
      <c r="CI2107" t="s">
        <v>649</v>
      </c>
      <c r="CS2107" t="s">
        <v>198</v>
      </c>
      <c r="DC2107" t="s">
        <v>198</v>
      </c>
      <c r="DM2107" t="s">
        <v>198</v>
      </c>
      <c r="DW2107" t="s">
        <v>198</v>
      </c>
      <c r="EG2107" t="s">
        <v>198</v>
      </c>
      <c r="EQ2107" t="s">
        <v>198</v>
      </c>
      <c r="FA2107" t="s">
        <v>198</v>
      </c>
      <c r="FK2107" t="s">
        <v>198</v>
      </c>
      <c r="FU2107" t="s">
        <v>198</v>
      </c>
    </row>
    <row r="2108" spans="1:177">
      <c r="A2108" s="1" t="str">
        <f>HYPERLINK("http://digipan.lumentumllc.com/apps/getLink/index.php?t=PropLink&amp;p=15732674","PL")</f>
        <v>PL</v>
      </c>
      <c r="B2108" s="1" t="str">
        <f>HYPERLINK("http://digipan.lumentumllc.com/apps/getLink/index.php?t=TaxLink&amp;p=15732674","TL")</f>
        <v>TL</v>
      </c>
      <c r="C2108" s="1" t="str">
        <f>HYPERLINK("http://digipan.lumentumllc.com/apps/getMap/index.php?p=15732674","Map")</f>
        <v>Map</v>
      </c>
      <c r="E2108" t="s">
        <v>177</v>
      </c>
      <c r="F2108" t="s">
        <v>178</v>
      </c>
      <c r="L2108" t="s">
        <v>24672</v>
      </c>
      <c r="N2108" t="s">
        <v>24672</v>
      </c>
      <c r="O2108" t="s">
        <v>24672</v>
      </c>
      <c r="Q2108" t="s">
        <v>24672</v>
      </c>
      <c r="V2108">
        <v>2413</v>
      </c>
      <c r="W2108">
        <v>8</v>
      </c>
      <c r="X2108">
        <v>2017</v>
      </c>
      <c r="Y2108">
        <v>2018</v>
      </c>
      <c r="Z2108">
        <v>975.24</v>
      </c>
      <c r="AG2108" t="s">
        <v>184</v>
      </c>
      <c r="AH2108">
        <v>0</v>
      </c>
      <c r="AK2108">
        <v>0</v>
      </c>
      <c r="AL2108">
        <v>95000</v>
      </c>
      <c r="AM2108">
        <v>95000</v>
      </c>
      <c r="AN2108">
        <v>0</v>
      </c>
      <c r="AO2108">
        <v>339</v>
      </c>
      <c r="AP2108">
        <v>2016</v>
      </c>
      <c r="AQ2108">
        <v>1.03</v>
      </c>
      <c r="AS2108" t="s">
        <v>24673</v>
      </c>
      <c r="AT2108" t="s">
        <v>15040</v>
      </c>
      <c r="AU2108" t="s">
        <v>177</v>
      </c>
      <c r="AV2108" t="s">
        <v>371</v>
      </c>
      <c r="AW2108" t="s">
        <v>182</v>
      </c>
      <c r="AX2108">
        <v>0</v>
      </c>
      <c r="AY2108" t="s">
        <v>312</v>
      </c>
      <c r="AZ2108" t="s">
        <v>199</v>
      </c>
      <c r="BA2108" t="s">
        <v>313</v>
      </c>
      <c r="BB2108" t="s">
        <v>191</v>
      </c>
      <c r="BC2108" t="s">
        <v>182</v>
      </c>
      <c r="BD2108" t="s">
        <v>182</v>
      </c>
      <c r="BE2108" t="s">
        <v>12936</v>
      </c>
      <c r="BF2108">
        <v>0</v>
      </c>
      <c r="BG2108">
        <v>0</v>
      </c>
      <c r="BH2108">
        <v>0</v>
      </c>
      <c r="BI2108" t="s">
        <v>199</v>
      </c>
      <c r="BJ2108" t="s">
        <v>194</v>
      </c>
      <c r="BL2108" t="s">
        <v>3374</v>
      </c>
      <c r="BM2108" t="s">
        <v>197</v>
      </c>
      <c r="BN2108" t="s">
        <v>182</v>
      </c>
      <c r="BO2108" t="s">
        <v>21312</v>
      </c>
      <c r="BP2108" t="s">
        <v>24674</v>
      </c>
      <c r="BQ2108" t="s">
        <v>603</v>
      </c>
      <c r="BR2108" t="s">
        <v>4041</v>
      </c>
      <c r="BS2108" t="s">
        <v>198</v>
      </c>
      <c r="BT2108" t="s">
        <v>228</v>
      </c>
      <c r="BU2108" t="s">
        <v>182</v>
      </c>
      <c r="BV2108" t="s">
        <v>198</v>
      </c>
      <c r="BW2108" t="s">
        <v>198</v>
      </c>
      <c r="BX2108" t="s">
        <v>199</v>
      </c>
      <c r="BY2108" t="s">
        <v>198</v>
      </c>
      <c r="BZ2108" t="s">
        <v>199</v>
      </c>
      <c r="CA2108" t="s">
        <v>199</v>
      </c>
      <c r="CB2108" t="s">
        <v>19179</v>
      </c>
      <c r="CC2108" t="s">
        <v>201</v>
      </c>
      <c r="CD2108" t="s">
        <v>202</v>
      </c>
      <c r="CE2108" t="s">
        <v>22385</v>
      </c>
      <c r="CF2108" t="s">
        <v>19181</v>
      </c>
      <c r="CG2108" t="s">
        <v>177</v>
      </c>
      <c r="CH2108" t="s">
        <v>19182</v>
      </c>
      <c r="CI2108" t="s">
        <v>3818</v>
      </c>
      <c r="CS2108" t="s">
        <v>198</v>
      </c>
      <c r="DC2108" t="s">
        <v>198</v>
      </c>
      <c r="DM2108" t="s">
        <v>198</v>
      </c>
      <c r="DW2108" t="s">
        <v>198</v>
      </c>
      <c r="EG2108" t="s">
        <v>198</v>
      </c>
      <c r="EQ2108" t="s">
        <v>198</v>
      </c>
      <c r="FA2108" t="s">
        <v>198</v>
      </c>
      <c r="FK2108" t="s">
        <v>198</v>
      </c>
      <c r="FU2108" t="s">
        <v>198</v>
      </c>
    </row>
    <row r="2109" spans="1:177">
      <c r="A2109" s="1" t="str">
        <f>HYPERLINK("http://digipan.lumentumllc.com/apps/getLink/index.php?t=PropLink&amp;p=15732676","PL")</f>
        <v>PL</v>
      </c>
      <c r="B2109" s="1" t="str">
        <f>HYPERLINK("http://digipan.lumentumllc.com/apps/getLink/index.php?t=TaxLink&amp;p=15732676","TL")</f>
        <v>TL</v>
      </c>
      <c r="C2109" s="1" t="str">
        <f>HYPERLINK("http://digipan.lumentumllc.com/apps/getMap/index.php?p=15732676","Map")</f>
        <v>Map</v>
      </c>
      <c r="E2109" t="s">
        <v>177</v>
      </c>
      <c r="F2109" t="s">
        <v>178</v>
      </c>
      <c r="L2109" t="s">
        <v>24675</v>
      </c>
      <c r="N2109" t="s">
        <v>24675</v>
      </c>
      <c r="O2109" t="s">
        <v>24675</v>
      </c>
      <c r="Q2109" t="s">
        <v>24675</v>
      </c>
      <c r="V2109">
        <v>2414</v>
      </c>
      <c r="W2109">
        <v>8</v>
      </c>
      <c r="X2109">
        <v>2017</v>
      </c>
      <c r="Y2109">
        <v>2018</v>
      </c>
      <c r="Z2109">
        <v>975.24</v>
      </c>
      <c r="AG2109" t="s">
        <v>184</v>
      </c>
      <c r="AH2109">
        <v>0</v>
      </c>
      <c r="AK2109">
        <v>0</v>
      </c>
      <c r="AL2109">
        <v>95000</v>
      </c>
      <c r="AM2109">
        <v>95000</v>
      </c>
      <c r="AN2109">
        <v>0</v>
      </c>
      <c r="AO2109">
        <v>339</v>
      </c>
      <c r="AP2109">
        <v>2016</v>
      </c>
      <c r="AQ2109">
        <v>1.03</v>
      </c>
      <c r="AS2109" t="s">
        <v>24676</v>
      </c>
      <c r="AT2109" t="s">
        <v>15040</v>
      </c>
      <c r="AU2109" t="s">
        <v>177</v>
      </c>
      <c r="AV2109" t="s">
        <v>371</v>
      </c>
      <c r="AW2109" t="s">
        <v>182</v>
      </c>
      <c r="AX2109">
        <v>0</v>
      </c>
      <c r="AY2109" t="s">
        <v>312</v>
      </c>
      <c r="AZ2109" t="s">
        <v>199</v>
      </c>
      <c r="BA2109" t="s">
        <v>313</v>
      </c>
      <c r="BB2109" t="s">
        <v>191</v>
      </c>
      <c r="BC2109" t="s">
        <v>182</v>
      </c>
      <c r="BD2109" t="s">
        <v>182</v>
      </c>
      <c r="BE2109" t="s">
        <v>5975</v>
      </c>
      <c r="BF2109">
        <v>0</v>
      </c>
      <c r="BG2109">
        <v>0</v>
      </c>
      <c r="BH2109">
        <v>0</v>
      </c>
      <c r="BI2109" t="s">
        <v>199</v>
      </c>
      <c r="BJ2109" t="s">
        <v>194</v>
      </c>
      <c r="BL2109" t="s">
        <v>8387</v>
      </c>
      <c r="BM2109" t="s">
        <v>197</v>
      </c>
      <c r="BN2109" t="s">
        <v>182</v>
      </c>
      <c r="BO2109" t="s">
        <v>21312</v>
      </c>
      <c r="BP2109" t="s">
        <v>24677</v>
      </c>
      <c r="BQ2109" t="s">
        <v>603</v>
      </c>
      <c r="BR2109" t="s">
        <v>563</v>
      </c>
      <c r="BS2109" t="s">
        <v>198</v>
      </c>
      <c r="BT2109" t="s">
        <v>228</v>
      </c>
      <c r="BU2109" t="s">
        <v>182</v>
      </c>
      <c r="BV2109" t="s">
        <v>198</v>
      </c>
      <c r="BW2109" t="s">
        <v>198</v>
      </c>
      <c r="BX2109" t="s">
        <v>199</v>
      </c>
      <c r="BY2109" t="s">
        <v>198</v>
      </c>
      <c r="BZ2109" t="s">
        <v>199</v>
      </c>
      <c r="CA2109" t="s">
        <v>199</v>
      </c>
      <c r="CB2109" t="s">
        <v>19179</v>
      </c>
      <c r="CC2109" t="s">
        <v>201</v>
      </c>
      <c r="CD2109" t="s">
        <v>202</v>
      </c>
      <c r="CE2109" t="s">
        <v>24678</v>
      </c>
      <c r="CF2109" t="s">
        <v>19181</v>
      </c>
      <c r="CG2109" t="s">
        <v>177</v>
      </c>
      <c r="CH2109" t="s">
        <v>19182</v>
      </c>
      <c r="CI2109" t="s">
        <v>9154</v>
      </c>
      <c r="CS2109" t="s">
        <v>198</v>
      </c>
      <c r="DC2109" t="s">
        <v>198</v>
      </c>
      <c r="DM2109" t="s">
        <v>198</v>
      </c>
      <c r="DW2109" t="s">
        <v>198</v>
      </c>
      <c r="EG2109" t="s">
        <v>198</v>
      </c>
      <c r="EQ2109" t="s">
        <v>198</v>
      </c>
      <c r="FA2109" t="s">
        <v>198</v>
      </c>
      <c r="FK2109" t="s">
        <v>198</v>
      </c>
      <c r="FU2109" t="s">
        <v>198</v>
      </c>
    </row>
    <row r="2110" spans="1:177">
      <c r="A2110" s="1" t="str">
        <f>HYPERLINK("http://digipan.lumentumllc.com/apps/getLink/index.php?t=PropLink&amp;p=15732679","PL")</f>
        <v>PL</v>
      </c>
      <c r="B2110" s="1" t="str">
        <f>HYPERLINK("http://digipan.lumentumllc.com/apps/getLink/index.php?t=TaxLink&amp;p=15732679","TL")</f>
        <v>TL</v>
      </c>
      <c r="C2110" s="1" t="str">
        <f>HYPERLINK("http://digipan.lumentumllc.com/apps/getMap/index.php?p=15732679","Map")</f>
        <v>Map</v>
      </c>
      <c r="E2110" t="s">
        <v>177</v>
      </c>
      <c r="F2110" t="s">
        <v>178</v>
      </c>
      <c r="L2110" t="s">
        <v>24679</v>
      </c>
      <c r="N2110" t="s">
        <v>24679</v>
      </c>
      <c r="O2110" t="s">
        <v>24679</v>
      </c>
      <c r="Q2110" t="s">
        <v>24679</v>
      </c>
      <c r="V2110">
        <v>2415</v>
      </c>
      <c r="W2110">
        <v>8</v>
      </c>
      <c r="X2110">
        <v>2017</v>
      </c>
      <c r="Y2110">
        <v>2018</v>
      </c>
      <c r="Z2110">
        <v>975.24</v>
      </c>
      <c r="AG2110" t="s">
        <v>184</v>
      </c>
      <c r="AH2110">
        <v>0</v>
      </c>
      <c r="AK2110">
        <v>0</v>
      </c>
      <c r="AL2110">
        <v>95000</v>
      </c>
      <c r="AM2110">
        <v>95000</v>
      </c>
      <c r="AN2110">
        <v>0</v>
      </c>
      <c r="AO2110">
        <v>339</v>
      </c>
      <c r="AP2110">
        <v>2016</v>
      </c>
      <c r="AQ2110">
        <v>1.03</v>
      </c>
      <c r="AS2110" t="s">
        <v>24680</v>
      </c>
      <c r="AT2110" t="s">
        <v>15040</v>
      </c>
      <c r="AU2110" t="s">
        <v>177</v>
      </c>
      <c r="AV2110" t="s">
        <v>371</v>
      </c>
      <c r="AW2110" t="s">
        <v>182</v>
      </c>
      <c r="AX2110">
        <v>0</v>
      </c>
      <c r="AY2110" t="s">
        <v>312</v>
      </c>
      <c r="AZ2110" t="s">
        <v>199</v>
      </c>
      <c r="BA2110" t="s">
        <v>313</v>
      </c>
      <c r="BB2110" t="s">
        <v>191</v>
      </c>
      <c r="BC2110" t="s">
        <v>182</v>
      </c>
      <c r="BD2110" t="s">
        <v>182</v>
      </c>
      <c r="BE2110" t="s">
        <v>478</v>
      </c>
      <c r="BF2110">
        <v>0</v>
      </c>
      <c r="BG2110">
        <v>0</v>
      </c>
      <c r="BH2110">
        <v>0</v>
      </c>
      <c r="BI2110" t="s">
        <v>199</v>
      </c>
      <c r="BJ2110" t="s">
        <v>194</v>
      </c>
      <c r="BL2110" t="s">
        <v>8387</v>
      </c>
      <c r="BM2110" t="s">
        <v>197</v>
      </c>
      <c r="BN2110" t="s">
        <v>182</v>
      </c>
      <c r="BO2110" t="s">
        <v>21312</v>
      </c>
      <c r="BP2110" t="s">
        <v>24681</v>
      </c>
      <c r="BQ2110" t="s">
        <v>603</v>
      </c>
      <c r="BR2110" t="s">
        <v>563</v>
      </c>
      <c r="BS2110" t="s">
        <v>198</v>
      </c>
      <c r="BT2110" t="s">
        <v>228</v>
      </c>
      <c r="BU2110" t="s">
        <v>182</v>
      </c>
      <c r="BV2110" t="s">
        <v>198</v>
      </c>
      <c r="BW2110" t="s">
        <v>198</v>
      </c>
      <c r="BX2110" t="s">
        <v>199</v>
      </c>
      <c r="BY2110" t="s">
        <v>198</v>
      </c>
      <c r="BZ2110" t="s">
        <v>199</v>
      </c>
      <c r="CA2110" t="s">
        <v>199</v>
      </c>
      <c r="CB2110" t="s">
        <v>19179</v>
      </c>
      <c r="CC2110" t="s">
        <v>201</v>
      </c>
      <c r="CD2110" t="s">
        <v>202</v>
      </c>
      <c r="CE2110" t="s">
        <v>24682</v>
      </c>
      <c r="CF2110" t="s">
        <v>19181</v>
      </c>
      <c r="CG2110" t="s">
        <v>177</v>
      </c>
      <c r="CH2110" t="s">
        <v>19182</v>
      </c>
      <c r="CI2110" t="s">
        <v>15503</v>
      </c>
      <c r="CS2110" t="s">
        <v>198</v>
      </c>
      <c r="DC2110" t="s">
        <v>198</v>
      </c>
      <c r="DM2110" t="s">
        <v>198</v>
      </c>
      <c r="DW2110" t="s">
        <v>198</v>
      </c>
      <c r="EG2110" t="s">
        <v>198</v>
      </c>
      <c r="EQ2110" t="s">
        <v>198</v>
      </c>
      <c r="FA2110" t="s">
        <v>198</v>
      </c>
      <c r="FK2110" t="s">
        <v>198</v>
      </c>
      <c r="FU2110" t="s">
        <v>198</v>
      </c>
    </row>
    <row r="2111" spans="1:177">
      <c r="A2111" s="1" t="str">
        <f>HYPERLINK("http://digipan.lumentumllc.com/apps/getLink/index.php?t=PropLink&amp;p=15732684","PL")</f>
        <v>PL</v>
      </c>
      <c r="B2111" s="1" t="str">
        <f>HYPERLINK("http://digipan.lumentumllc.com/apps/getLink/index.php?t=TaxLink&amp;p=15732684","TL")</f>
        <v>TL</v>
      </c>
      <c r="C2111" s="1" t="str">
        <f>HYPERLINK("http://digipan.lumentumllc.com/apps/getMap/index.php?p=15732684","Map")</f>
        <v>Map</v>
      </c>
      <c r="E2111" t="s">
        <v>177</v>
      </c>
      <c r="F2111" t="s">
        <v>178</v>
      </c>
      <c r="L2111" t="s">
        <v>24683</v>
      </c>
      <c r="N2111" t="s">
        <v>24683</v>
      </c>
      <c r="O2111" t="s">
        <v>24683</v>
      </c>
      <c r="Q2111" t="s">
        <v>24683</v>
      </c>
      <c r="V2111">
        <v>2416</v>
      </c>
      <c r="W2111">
        <v>8</v>
      </c>
      <c r="X2111">
        <v>2017</v>
      </c>
      <c r="Y2111">
        <v>2018</v>
      </c>
      <c r="Z2111">
        <v>975.24</v>
      </c>
      <c r="AG2111" t="s">
        <v>184</v>
      </c>
      <c r="AH2111">
        <v>0</v>
      </c>
      <c r="AK2111">
        <v>0</v>
      </c>
      <c r="AL2111">
        <v>95000</v>
      </c>
      <c r="AM2111">
        <v>95000</v>
      </c>
      <c r="AN2111">
        <v>0</v>
      </c>
      <c r="AO2111">
        <v>339</v>
      </c>
      <c r="AP2111">
        <v>2016</v>
      </c>
      <c r="AQ2111">
        <v>1.03</v>
      </c>
      <c r="AS2111" t="s">
        <v>24684</v>
      </c>
      <c r="AT2111" t="s">
        <v>15040</v>
      </c>
      <c r="AU2111" t="s">
        <v>177</v>
      </c>
      <c r="AV2111" t="s">
        <v>371</v>
      </c>
      <c r="AW2111" t="s">
        <v>182</v>
      </c>
      <c r="AX2111">
        <v>0</v>
      </c>
      <c r="AY2111" t="s">
        <v>312</v>
      </c>
      <c r="AZ2111" t="s">
        <v>199</v>
      </c>
      <c r="BA2111" t="s">
        <v>313</v>
      </c>
      <c r="BB2111" t="s">
        <v>191</v>
      </c>
      <c r="BC2111" t="s">
        <v>182</v>
      </c>
      <c r="BD2111" t="s">
        <v>182</v>
      </c>
      <c r="BE2111" t="s">
        <v>5992</v>
      </c>
      <c r="BF2111">
        <v>0</v>
      </c>
      <c r="BG2111">
        <v>0</v>
      </c>
      <c r="BH2111">
        <v>0</v>
      </c>
      <c r="BI2111" t="s">
        <v>199</v>
      </c>
      <c r="BJ2111" t="s">
        <v>194</v>
      </c>
      <c r="BL2111" t="s">
        <v>3374</v>
      </c>
      <c r="BM2111" t="s">
        <v>197</v>
      </c>
      <c r="BN2111" t="s">
        <v>182</v>
      </c>
      <c r="BO2111" t="s">
        <v>21312</v>
      </c>
      <c r="BP2111" t="s">
        <v>24685</v>
      </c>
      <c r="BQ2111" t="s">
        <v>603</v>
      </c>
      <c r="BR2111" t="s">
        <v>563</v>
      </c>
      <c r="BS2111" t="s">
        <v>198</v>
      </c>
      <c r="BT2111" t="s">
        <v>228</v>
      </c>
      <c r="BU2111" t="s">
        <v>182</v>
      </c>
      <c r="BV2111" t="s">
        <v>198</v>
      </c>
      <c r="BW2111" t="s">
        <v>198</v>
      </c>
      <c r="BX2111" t="s">
        <v>199</v>
      </c>
      <c r="BY2111" t="s">
        <v>198</v>
      </c>
      <c r="BZ2111" t="s">
        <v>199</v>
      </c>
      <c r="CA2111" t="s">
        <v>199</v>
      </c>
      <c r="CB2111" t="s">
        <v>19179</v>
      </c>
      <c r="CC2111" t="s">
        <v>201</v>
      </c>
      <c r="CD2111" t="s">
        <v>202</v>
      </c>
      <c r="CE2111" t="s">
        <v>24686</v>
      </c>
      <c r="CF2111" t="s">
        <v>19181</v>
      </c>
      <c r="CG2111" t="s">
        <v>177</v>
      </c>
      <c r="CH2111" t="s">
        <v>19182</v>
      </c>
      <c r="CI2111" t="s">
        <v>5129</v>
      </c>
      <c r="CS2111" t="s">
        <v>198</v>
      </c>
      <c r="DC2111" t="s">
        <v>198</v>
      </c>
      <c r="DM2111" t="s">
        <v>198</v>
      </c>
      <c r="DW2111" t="s">
        <v>198</v>
      </c>
      <c r="EG2111" t="s">
        <v>198</v>
      </c>
      <c r="EQ2111" t="s">
        <v>198</v>
      </c>
      <c r="FA2111" t="s">
        <v>198</v>
      </c>
      <c r="FK2111" t="s">
        <v>198</v>
      </c>
      <c r="FU2111" t="s">
        <v>198</v>
      </c>
    </row>
    <row r="2112" spans="1:177">
      <c r="A2112" s="1" t="str">
        <f>HYPERLINK("http://digipan.lumentumllc.com/apps/getLink/index.php?t=PropLink&amp;p=15732686","PL")</f>
        <v>PL</v>
      </c>
      <c r="B2112" s="1" t="str">
        <f>HYPERLINK("http://digipan.lumentumllc.com/apps/getLink/index.php?t=TaxLink&amp;p=15732686","TL")</f>
        <v>TL</v>
      </c>
      <c r="C2112" s="1" t="str">
        <f>HYPERLINK("http://digipan.lumentumllc.com/apps/getMap/index.php?p=15732686","Map")</f>
        <v>Map</v>
      </c>
      <c r="E2112" t="s">
        <v>177</v>
      </c>
      <c r="F2112" t="s">
        <v>178</v>
      </c>
      <c r="L2112" t="s">
        <v>24687</v>
      </c>
      <c r="N2112" t="s">
        <v>24687</v>
      </c>
      <c r="O2112" t="s">
        <v>24687</v>
      </c>
      <c r="Q2112" t="s">
        <v>24687</v>
      </c>
      <c r="V2112">
        <v>2417</v>
      </c>
      <c r="W2112">
        <v>8</v>
      </c>
      <c r="X2112">
        <v>2017</v>
      </c>
      <c r="Y2112">
        <v>2018</v>
      </c>
      <c r="Z2112">
        <v>2079.73</v>
      </c>
      <c r="AG2112" t="s">
        <v>184</v>
      </c>
      <c r="AH2112">
        <v>0</v>
      </c>
      <c r="AK2112">
        <v>0</v>
      </c>
      <c r="AL2112">
        <v>95000</v>
      </c>
      <c r="AM2112">
        <v>95000</v>
      </c>
      <c r="AN2112">
        <v>0</v>
      </c>
      <c r="AO2112">
        <v>339</v>
      </c>
      <c r="AP2112">
        <v>2016</v>
      </c>
      <c r="AQ2112">
        <v>2.19</v>
      </c>
      <c r="AS2112" t="s">
        <v>24688</v>
      </c>
      <c r="AT2112" t="s">
        <v>15040</v>
      </c>
      <c r="AU2112" t="s">
        <v>177</v>
      </c>
      <c r="AV2112" t="s">
        <v>371</v>
      </c>
      <c r="AW2112" t="s">
        <v>182</v>
      </c>
      <c r="AX2112">
        <v>0</v>
      </c>
      <c r="AY2112" t="s">
        <v>312</v>
      </c>
      <c r="AZ2112" t="s">
        <v>199</v>
      </c>
      <c r="BA2112" t="s">
        <v>313</v>
      </c>
      <c r="BB2112" t="s">
        <v>191</v>
      </c>
      <c r="BC2112" t="s">
        <v>182</v>
      </c>
      <c r="BD2112" t="s">
        <v>182</v>
      </c>
      <c r="BE2112" t="s">
        <v>5880</v>
      </c>
      <c r="BF2112">
        <v>0</v>
      </c>
      <c r="BG2112">
        <v>0</v>
      </c>
      <c r="BH2112">
        <v>0</v>
      </c>
      <c r="BI2112" t="s">
        <v>199</v>
      </c>
      <c r="BJ2112" t="s">
        <v>194</v>
      </c>
      <c r="BL2112" t="s">
        <v>23222</v>
      </c>
      <c r="BM2112" t="s">
        <v>232</v>
      </c>
      <c r="BN2112" t="s">
        <v>182</v>
      </c>
      <c r="BO2112" t="s">
        <v>3012</v>
      </c>
      <c r="BP2112" t="s">
        <v>24661</v>
      </c>
      <c r="BQ2112" t="s">
        <v>800</v>
      </c>
      <c r="BR2112" t="s">
        <v>563</v>
      </c>
      <c r="BS2112" t="s">
        <v>198</v>
      </c>
      <c r="BT2112" t="s">
        <v>24662</v>
      </c>
      <c r="BU2112" t="s">
        <v>182</v>
      </c>
      <c r="BV2112" t="s">
        <v>198</v>
      </c>
      <c r="BW2112" t="s">
        <v>198</v>
      </c>
      <c r="BX2112" t="s">
        <v>199</v>
      </c>
      <c r="BY2112" t="s">
        <v>198</v>
      </c>
      <c r="BZ2112" t="s">
        <v>199</v>
      </c>
      <c r="CA2112" t="s">
        <v>199</v>
      </c>
      <c r="CB2112" t="s">
        <v>20218</v>
      </c>
      <c r="CC2112" t="s">
        <v>201</v>
      </c>
      <c r="CD2112" t="s">
        <v>202</v>
      </c>
      <c r="CE2112" t="s">
        <v>20219</v>
      </c>
      <c r="CF2112" t="s">
        <v>5331</v>
      </c>
      <c r="CG2112" t="s">
        <v>177</v>
      </c>
      <c r="CH2112" t="s">
        <v>371</v>
      </c>
      <c r="CI2112" t="s">
        <v>2915</v>
      </c>
      <c r="CS2112" t="s">
        <v>198</v>
      </c>
      <c r="DC2112" t="s">
        <v>198</v>
      </c>
      <c r="DM2112" t="s">
        <v>198</v>
      </c>
      <c r="DW2112" t="s">
        <v>198</v>
      </c>
      <c r="EG2112" t="s">
        <v>198</v>
      </c>
      <c r="EQ2112" t="s">
        <v>198</v>
      </c>
      <c r="FA2112" t="s">
        <v>198</v>
      </c>
      <c r="FK2112" t="s">
        <v>198</v>
      </c>
      <c r="FU2112" t="s">
        <v>198</v>
      </c>
    </row>
    <row r="2113" spans="1:177">
      <c r="A2113" s="1" t="str">
        <f>HYPERLINK("http://digipan.lumentumllc.com/apps/getLink/index.php?t=PropLink&amp;p=15732687","PL")</f>
        <v>PL</v>
      </c>
      <c r="B2113" s="1" t="str">
        <f>HYPERLINK("http://digipan.lumentumllc.com/apps/getLink/index.php?t=TaxLink&amp;p=15732687","TL")</f>
        <v>TL</v>
      </c>
      <c r="C2113" s="1" t="str">
        <f>HYPERLINK("http://digipan.lumentumllc.com/apps/getMap/index.php?p=15732687","Map")</f>
        <v>Map</v>
      </c>
      <c r="E2113" t="s">
        <v>177</v>
      </c>
      <c r="F2113" t="s">
        <v>178</v>
      </c>
      <c r="L2113" t="s">
        <v>24689</v>
      </c>
      <c r="N2113" t="s">
        <v>24689</v>
      </c>
      <c r="O2113" t="s">
        <v>24689</v>
      </c>
      <c r="Q2113" t="s">
        <v>24689</v>
      </c>
      <c r="V2113">
        <v>2418</v>
      </c>
      <c r="W2113">
        <v>8</v>
      </c>
      <c r="X2113">
        <v>2017</v>
      </c>
      <c r="Y2113">
        <v>2018</v>
      </c>
      <c r="Z2113">
        <v>975.24</v>
      </c>
      <c r="AB2113" t="s">
        <v>181</v>
      </c>
      <c r="AC2113" t="s">
        <v>182</v>
      </c>
      <c r="AD2113" t="s">
        <v>183</v>
      </c>
      <c r="AE2113">
        <v>1</v>
      </c>
      <c r="AF2113">
        <v>0</v>
      </c>
      <c r="AG2113" t="s">
        <v>1200</v>
      </c>
      <c r="AH2113">
        <v>0</v>
      </c>
      <c r="AI2113">
        <v>393.3</v>
      </c>
      <c r="AJ2113">
        <v>19.670000000000002</v>
      </c>
      <c r="AK2113">
        <v>412.97</v>
      </c>
      <c r="AL2113">
        <v>95000</v>
      </c>
      <c r="AM2113">
        <v>95000</v>
      </c>
      <c r="AN2113">
        <v>0</v>
      </c>
      <c r="AO2113">
        <v>339</v>
      </c>
      <c r="AP2113">
        <v>2016</v>
      </c>
      <c r="AQ2113">
        <v>1.03</v>
      </c>
      <c r="AR2113">
        <v>0.43</v>
      </c>
      <c r="AS2113" t="s">
        <v>24690</v>
      </c>
      <c r="AT2113" t="s">
        <v>15040</v>
      </c>
      <c r="AU2113" t="s">
        <v>177</v>
      </c>
      <c r="AV2113" t="s">
        <v>371</v>
      </c>
      <c r="AW2113" t="s">
        <v>182</v>
      </c>
      <c r="AX2113">
        <v>0</v>
      </c>
      <c r="AY2113" t="s">
        <v>312</v>
      </c>
      <c r="AZ2113" t="s">
        <v>199</v>
      </c>
      <c r="BA2113" t="s">
        <v>313</v>
      </c>
      <c r="BB2113" t="s">
        <v>191</v>
      </c>
      <c r="BC2113" t="s">
        <v>182</v>
      </c>
      <c r="BD2113" t="s">
        <v>182</v>
      </c>
      <c r="BE2113" t="s">
        <v>3956</v>
      </c>
      <c r="BF2113">
        <v>0</v>
      </c>
      <c r="BG2113">
        <v>0</v>
      </c>
      <c r="BH2113">
        <v>0</v>
      </c>
      <c r="BI2113" t="s">
        <v>199</v>
      </c>
      <c r="BJ2113" t="s">
        <v>194</v>
      </c>
      <c r="BL2113" t="s">
        <v>3374</v>
      </c>
      <c r="BM2113" t="s">
        <v>197</v>
      </c>
      <c r="BN2113" t="s">
        <v>182</v>
      </c>
      <c r="BO2113" t="s">
        <v>21312</v>
      </c>
      <c r="BP2113" t="s">
        <v>24691</v>
      </c>
      <c r="BQ2113" t="s">
        <v>603</v>
      </c>
      <c r="BR2113" t="s">
        <v>4041</v>
      </c>
      <c r="BS2113" t="s">
        <v>198</v>
      </c>
      <c r="BT2113" t="s">
        <v>228</v>
      </c>
      <c r="BU2113" t="s">
        <v>182</v>
      </c>
      <c r="BV2113" t="s">
        <v>198</v>
      </c>
      <c r="BW2113" t="s">
        <v>198</v>
      </c>
      <c r="BX2113" t="s">
        <v>199</v>
      </c>
      <c r="BY2113" t="s">
        <v>198</v>
      </c>
      <c r="BZ2113" t="s">
        <v>199</v>
      </c>
      <c r="CA2113" t="s">
        <v>199</v>
      </c>
      <c r="CB2113" t="s">
        <v>19179</v>
      </c>
      <c r="CC2113" t="s">
        <v>201</v>
      </c>
      <c r="CD2113" t="s">
        <v>202</v>
      </c>
      <c r="CE2113" t="s">
        <v>22372</v>
      </c>
      <c r="CF2113" t="s">
        <v>3714</v>
      </c>
      <c r="CG2113" t="s">
        <v>177</v>
      </c>
      <c r="CH2113" t="s">
        <v>19182</v>
      </c>
      <c r="CI2113" t="s">
        <v>4659</v>
      </c>
      <c r="CJ2113" t="s">
        <v>5650</v>
      </c>
      <c r="CK2113" t="s">
        <v>232</v>
      </c>
      <c r="CL2113" t="s">
        <v>233</v>
      </c>
      <c r="CM2113" t="s">
        <v>24692</v>
      </c>
      <c r="CN2113" t="s">
        <v>235</v>
      </c>
      <c r="CO2113" t="s">
        <v>183</v>
      </c>
      <c r="CP2113" t="s">
        <v>266</v>
      </c>
      <c r="CS2113" t="s">
        <v>198</v>
      </c>
      <c r="DC2113" t="s">
        <v>198</v>
      </c>
      <c r="DM2113" t="s">
        <v>198</v>
      </c>
      <c r="DW2113" t="s">
        <v>198</v>
      </c>
      <c r="EG2113" t="s">
        <v>198</v>
      </c>
      <c r="EQ2113" t="s">
        <v>198</v>
      </c>
      <c r="FA2113" t="s">
        <v>198</v>
      </c>
      <c r="FK2113" t="s">
        <v>198</v>
      </c>
      <c r="FU2113" t="s">
        <v>198</v>
      </c>
    </row>
    <row r="2114" spans="1:177">
      <c r="A2114" s="1" t="str">
        <f>HYPERLINK("http://digipan.lumentumllc.com/apps/getLink/index.php?t=PropLink&amp;p=15732688","PL")</f>
        <v>PL</v>
      </c>
      <c r="B2114" s="1" t="str">
        <f>HYPERLINK("http://digipan.lumentumllc.com/apps/getLink/index.php?t=TaxLink&amp;p=15732688","TL")</f>
        <v>TL</v>
      </c>
      <c r="C2114" s="1" t="str">
        <f>HYPERLINK("http://digipan.lumentumllc.com/apps/getMap/index.php?p=15732688","Map")</f>
        <v>Map</v>
      </c>
      <c r="E2114" t="s">
        <v>177</v>
      </c>
      <c r="F2114" t="s">
        <v>178</v>
      </c>
      <c r="L2114" t="s">
        <v>24693</v>
      </c>
      <c r="N2114" t="s">
        <v>24693</v>
      </c>
      <c r="O2114" t="s">
        <v>24693</v>
      </c>
      <c r="Q2114" t="s">
        <v>24693</v>
      </c>
      <c r="V2114">
        <v>2419</v>
      </c>
      <c r="W2114">
        <v>8</v>
      </c>
      <c r="X2114">
        <v>2017</v>
      </c>
      <c r="Y2114">
        <v>2018</v>
      </c>
      <c r="Z2114">
        <v>975.24</v>
      </c>
      <c r="AG2114" t="s">
        <v>184</v>
      </c>
      <c r="AH2114">
        <v>0</v>
      </c>
      <c r="AK2114">
        <v>0</v>
      </c>
      <c r="AL2114">
        <v>95000</v>
      </c>
      <c r="AM2114">
        <v>95000</v>
      </c>
      <c r="AN2114">
        <v>0</v>
      </c>
      <c r="AO2114">
        <v>339</v>
      </c>
      <c r="AP2114">
        <v>2016</v>
      </c>
      <c r="AQ2114">
        <v>1.03</v>
      </c>
      <c r="AS2114" t="s">
        <v>24694</v>
      </c>
      <c r="AT2114" t="s">
        <v>15040</v>
      </c>
      <c r="AU2114" t="s">
        <v>177</v>
      </c>
      <c r="AV2114" t="s">
        <v>371</v>
      </c>
      <c r="AW2114" t="s">
        <v>182</v>
      </c>
      <c r="AX2114">
        <v>0</v>
      </c>
      <c r="AY2114" t="s">
        <v>312</v>
      </c>
      <c r="AZ2114" t="s">
        <v>199</v>
      </c>
      <c r="BA2114" t="s">
        <v>313</v>
      </c>
      <c r="BB2114" t="s">
        <v>191</v>
      </c>
      <c r="BC2114" t="s">
        <v>182</v>
      </c>
      <c r="BD2114" t="s">
        <v>182</v>
      </c>
      <c r="BE2114" t="s">
        <v>6986</v>
      </c>
      <c r="BF2114">
        <v>0</v>
      </c>
      <c r="BG2114">
        <v>0</v>
      </c>
      <c r="BH2114">
        <v>0</v>
      </c>
      <c r="BI2114" t="s">
        <v>199</v>
      </c>
      <c r="BJ2114" t="s">
        <v>194</v>
      </c>
      <c r="BL2114" t="s">
        <v>3374</v>
      </c>
      <c r="BM2114" t="s">
        <v>197</v>
      </c>
      <c r="BN2114" t="s">
        <v>182</v>
      </c>
      <c r="BO2114" t="s">
        <v>21312</v>
      </c>
      <c r="BP2114" t="s">
        <v>24695</v>
      </c>
      <c r="BQ2114" t="s">
        <v>603</v>
      </c>
      <c r="BR2114" t="s">
        <v>563</v>
      </c>
      <c r="BS2114" t="s">
        <v>198</v>
      </c>
      <c r="BT2114" t="s">
        <v>228</v>
      </c>
      <c r="BU2114" t="s">
        <v>182</v>
      </c>
      <c r="BV2114" t="s">
        <v>198</v>
      </c>
      <c r="BW2114" t="s">
        <v>198</v>
      </c>
      <c r="BX2114" t="s">
        <v>199</v>
      </c>
      <c r="BY2114" t="s">
        <v>198</v>
      </c>
      <c r="BZ2114" t="s">
        <v>199</v>
      </c>
      <c r="CA2114" t="s">
        <v>199</v>
      </c>
      <c r="CB2114" t="s">
        <v>19179</v>
      </c>
      <c r="CC2114" t="s">
        <v>201</v>
      </c>
      <c r="CD2114" t="s">
        <v>202</v>
      </c>
      <c r="CE2114" t="s">
        <v>22385</v>
      </c>
      <c r="CF2114" t="s">
        <v>19181</v>
      </c>
      <c r="CG2114" t="s">
        <v>177</v>
      </c>
      <c r="CH2114" t="s">
        <v>19182</v>
      </c>
      <c r="CI2114" t="s">
        <v>15821</v>
      </c>
      <c r="CS2114" t="s">
        <v>198</v>
      </c>
      <c r="DC2114" t="s">
        <v>198</v>
      </c>
      <c r="DM2114" t="s">
        <v>198</v>
      </c>
      <c r="DW2114" t="s">
        <v>198</v>
      </c>
      <c r="EG2114" t="s">
        <v>198</v>
      </c>
      <c r="EQ2114" t="s">
        <v>198</v>
      </c>
      <c r="FA2114" t="s">
        <v>198</v>
      </c>
      <c r="FK2114" t="s">
        <v>198</v>
      </c>
      <c r="FU2114" t="s">
        <v>198</v>
      </c>
    </row>
    <row r="2115" spans="1:177">
      <c r="A2115" s="1" t="str">
        <f>HYPERLINK("http://digipan.lumentumllc.com/apps/getLink/index.php?t=PropLink&amp;p=15732690","PL")</f>
        <v>PL</v>
      </c>
      <c r="B2115" s="1" t="str">
        <f>HYPERLINK("http://digipan.lumentumllc.com/apps/getLink/index.php?t=TaxLink&amp;p=15732690","TL")</f>
        <v>TL</v>
      </c>
      <c r="C2115" s="1" t="str">
        <f>HYPERLINK("http://digipan.lumentumllc.com/apps/getMap/index.php?p=15732690","Map")</f>
        <v>Map</v>
      </c>
      <c r="E2115" t="s">
        <v>177</v>
      </c>
      <c r="F2115" t="s">
        <v>178</v>
      </c>
      <c r="L2115" t="s">
        <v>24696</v>
      </c>
      <c r="N2115" t="s">
        <v>24696</v>
      </c>
      <c r="O2115" t="s">
        <v>24696</v>
      </c>
      <c r="Q2115" t="s">
        <v>24696</v>
      </c>
      <c r="V2115">
        <v>2420</v>
      </c>
      <c r="W2115">
        <v>8</v>
      </c>
      <c r="X2115">
        <v>2017</v>
      </c>
      <c r="Y2115">
        <v>2018</v>
      </c>
      <c r="Z2115">
        <v>975.24</v>
      </c>
      <c r="AG2115" t="s">
        <v>184</v>
      </c>
      <c r="AH2115">
        <v>0</v>
      </c>
      <c r="AK2115">
        <v>0</v>
      </c>
      <c r="AL2115">
        <v>95000</v>
      </c>
      <c r="AM2115">
        <v>95000</v>
      </c>
      <c r="AN2115">
        <v>0</v>
      </c>
      <c r="AO2115">
        <v>339</v>
      </c>
      <c r="AP2115">
        <v>2016</v>
      </c>
      <c r="AQ2115">
        <v>1.03</v>
      </c>
      <c r="AS2115" t="s">
        <v>24697</v>
      </c>
      <c r="AT2115" t="s">
        <v>15040</v>
      </c>
      <c r="AU2115" t="s">
        <v>177</v>
      </c>
      <c r="AV2115" t="s">
        <v>371</v>
      </c>
      <c r="AW2115" t="s">
        <v>182</v>
      </c>
      <c r="AX2115">
        <v>0</v>
      </c>
      <c r="AY2115" t="s">
        <v>312</v>
      </c>
      <c r="AZ2115" t="s">
        <v>199</v>
      </c>
      <c r="BA2115" t="s">
        <v>313</v>
      </c>
      <c r="BB2115" t="s">
        <v>191</v>
      </c>
      <c r="BC2115" t="s">
        <v>182</v>
      </c>
      <c r="BD2115" t="s">
        <v>182</v>
      </c>
      <c r="BE2115" t="s">
        <v>5975</v>
      </c>
      <c r="BF2115">
        <v>0</v>
      </c>
      <c r="BG2115">
        <v>0</v>
      </c>
      <c r="BH2115">
        <v>0</v>
      </c>
      <c r="BI2115" t="s">
        <v>199</v>
      </c>
      <c r="BJ2115" t="s">
        <v>194</v>
      </c>
      <c r="BL2115" t="s">
        <v>199</v>
      </c>
      <c r="BM2115" t="s">
        <v>197</v>
      </c>
      <c r="BN2115" t="s">
        <v>182</v>
      </c>
      <c r="BO2115" t="s">
        <v>198</v>
      </c>
      <c r="BP2115" t="s">
        <v>198</v>
      </c>
      <c r="BQ2115" t="s">
        <v>198</v>
      </c>
      <c r="BR2115" t="s">
        <v>198</v>
      </c>
      <c r="BS2115" t="s">
        <v>198</v>
      </c>
      <c r="BT2115" t="s">
        <v>198</v>
      </c>
      <c r="BU2115" t="s">
        <v>182</v>
      </c>
      <c r="BV2115" t="s">
        <v>198</v>
      </c>
      <c r="BW2115" t="s">
        <v>198</v>
      </c>
      <c r="BX2115" t="s">
        <v>199</v>
      </c>
      <c r="BY2115" t="s">
        <v>198</v>
      </c>
      <c r="BZ2115" t="s">
        <v>199</v>
      </c>
      <c r="CA2115" t="s">
        <v>199</v>
      </c>
      <c r="CB2115" t="s">
        <v>19179</v>
      </c>
      <c r="CC2115" t="s">
        <v>201</v>
      </c>
      <c r="CD2115" t="s">
        <v>202</v>
      </c>
      <c r="CE2115" t="s">
        <v>24698</v>
      </c>
      <c r="CF2115" t="s">
        <v>19181</v>
      </c>
      <c r="CG2115" t="s">
        <v>177</v>
      </c>
      <c r="CH2115" t="s">
        <v>19182</v>
      </c>
      <c r="CI2115" t="s">
        <v>9165</v>
      </c>
      <c r="CS2115" t="s">
        <v>198</v>
      </c>
      <c r="DC2115" t="s">
        <v>198</v>
      </c>
      <c r="DM2115" t="s">
        <v>198</v>
      </c>
      <c r="DW2115" t="s">
        <v>198</v>
      </c>
      <c r="EG2115" t="s">
        <v>198</v>
      </c>
      <c r="EQ2115" t="s">
        <v>198</v>
      </c>
      <c r="FA2115" t="s">
        <v>198</v>
      </c>
      <c r="FK2115" t="s">
        <v>198</v>
      </c>
      <c r="FU2115" t="s">
        <v>198</v>
      </c>
    </row>
    <row r="2116" spans="1:177">
      <c r="A2116" s="1" t="str">
        <f>HYPERLINK("http://digipan.lumentumllc.com/apps/getLink/index.php?t=PropLink&amp;p=15732696","PL")</f>
        <v>PL</v>
      </c>
      <c r="B2116" s="1" t="str">
        <f>HYPERLINK("http://digipan.lumentumllc.com/apps/getLink/index.php?t=TaxLink&amp;p=15732696","TL")</f>
        <v>TL</v>
      </c>
      <c r="C2116" s="1" t="str">
        <f>HYPERLINK("http://digipan.lumentumllc.com/apps/getMap/index.php?p=15732696","Map")</f>
        <v>Map</v>
      </c>
      <c r="E2116" t="s">
        <v>177</v>
      </c>
      <c r="F2116" t="s">
        <v>178</v>
      </c>
      <c r="L2116" t="s">
        <v>24699</v>
      </c>
      <c r="N2116" t="s">
        <v>24699</v>
      </c>
      <c r="O2116" t="s">
        <v>24699</v>
      </c>
      <c r="Q2116" t="s">
        <v>24699</v>
      </c>
      <c r="V2116">
        <v>2421</v>
      </c>
      <c r="W2116">
        <v>8</v>
      </c>
      <c r="X2116">
        <v>2017</v>
      </c>
      <c r="Y2116">
        <v>2018</v>
      </c>
      <c r="Z2116">
        <v>975.24</v>
      </c>
      <c r="AG2116" t="s">
        <v>184</v>
      </c>
      <c r="AH2116">
        <v>0</v>
      </c>
      <c r="AK2116">
        <v>0</v>
      </c>
      <c r="AL2116">
        <v>95000</v>
      </c>
      <c r="AM2116">
        <v>95000</v>
      </c>
      <c r="AN2116">
        <v>0</v>
      </c>
      <c r="AO2116">
        <v>339</v>
      </c>
      <c r="AP2116">
        <v>2016</v>
      </c>
      <c r="AQ2116">
        <v>1.03</v>
      </c>
      <c r="AS2116" t="s">
        <v>24700</v>
      </c>
      <c r="AT2116" t="s">
        <v>15040</v>
      </c>
      <c r="AU2116" t="s">
        <v>177</v>
      </c>
      <c r="AV2116" t="s">
        <v>371</v>
      </c>
      <c r="AW2116" t="s">
        <v>182</v>
      </c>
      <c r="AX2116">
        <v>0</v>
      </c>
      <c r="AY2116" t="s">
        <v>312</v>
      </c>
      <c r="AZ2116" t="s">
        <v>199</v>
      </c>
      <c r="BA2116" t="s">
        <v>313</v>
      </c>
      <c r="BB2116" t="s">
        <v>191</v>
      </c>
      <c r="BC2116" t="s">
        <v>182</v>
      </c>
      <c r="BD2116" t="s">
        <v>182</v>
      </c>
      <c r="BE2116" t="s">
        <v>6180</v>
      </c>
      <c r="BF2116">
        <v>0</v>
      </c>
      <c r="BG2116">
        <v>0</v>
      </c>
      <c r="BH2116">
        <v>0</v>
      </c>
      <c r="BI2116" t="s">
        <v>199</v>
      </c>
      <c r="BJ2116" t="s">
        <v>194</v>
      </c>
      <c r="BL2116" t="s">
        <v>3374</v>
      </c>
      <c r="BM2116" t="s">
        <v>197</v>
      </c>
      <c r="BN2116" t="s">
        <v>182</v>
      </c>
      <c r="BO2116" t="s">
        <v>21312</v>
      </c>
      <c r="BP2116" t="s">
        <v>24685</v>
      </c>
      <c r="BQ2116" t="s">
        <v>603</v>
      </c>
      <c r="BR2116" t="s">
        <v>563</v>
      </c>
      <c r="BS2116" t="s">
        <v>198</v>
      </c>
      <c r="BT2116" t="s">
        <v>228</v>
      </c>
      <c r="BU2116" t="s">
        <v>182</v>
      </c>
      <c r="BV2116" t="s">
        <v>198</v>
      </c>
      <c r="BW2116" t="s">
        <v>198</v>
      </c>
      <c r="BX2116" t="s">
        <v>199</v>
      </c>
      <c r="BY2116" t="s">
        <v>198</v>
      </c>
      <c r="BZ2116" t="s">
        <v>199</v>
      </c>
      <c r="CA2116" t="s">
        <v>199</v>
      </c>
      <c r="CB2116" t="s">
        <v>19179</v>
      </c>
      <c r="CC2116" t="s">
        <v>201</v>
      </c>
      <c r="CD2116" t="s">
        <v>202</v>
      </c>
      <c r="CE2116" t="s">
        <v>22380</v>
      </c>
      <c r="CF2116" t="s">
        <v>19181</v>
      </c>
      <c r="CG2116" t="s">
        <v>177</v>
      </c>
      <c r="CH2116" t="s">
        <v>19182</v>
      </c>
      <c r="CI2116" t="s">
        <v>13012</v>
      </c>
      <c r="CS2116" t="s">
        <v>198</v>
      </c>
      <c r="DC2116" t="s">
        <v>198</v>
      </c>
      <c r="DM2116" t="s">
        <v>198</v>
      </c>
      <c r="DW2116" t="s">
        <v>198</v>
      </c>
      <c r="EG2116" t="s">
        <v>198</v>
      </c>
      <c r="EQ2116" t="s">
        <v>198</v>
      </c>
      <c r="FA2116" t="s">
        <v>198</v>
      </c>
      <c r="FK2116" t="s">
        <v>198</v>
      </c>
      <c r="FU2116" t="s">
        <v>198</v>
      </c>
    </row>
    <row r="2117" spans="1:177">
      <c r="A2117" s="1" t="str">
        <f>HYPERLINK("http://digipan.lumentumllc.com/apps/getLink/index.php?t=PropLink&amp;p=15732700","PL")</f>
        <v>PL</v>
      </c>
      <c r="B2117" s="1" t="str">
        <f>HYPERLINK("http://digipan.lumentumllc.com/apps/getLink/index.php?t=TaxLink&amp;p=15732700","TL")</f>
        <v>TL</v>
      </c>
      <c r="C2117" s="1" t="str">
        <f>HYPERLINK("http://digipan.lumentumllc.com/apps/getMap/index.php?p=15732700","Map")</f>
        <v>Map</v>
      </c>
      <c r="E2117" t="s">
        <v>177</v>
      </c>
      <c r="F2117" t="s">
        <v>178</v>
      </c>
      <c r="L2117" t="s">
        <v>24701</v>
      </c>
      <c r="N2117" t="s">
        <v>24701</v>
      </c>
      <c r="O2117" t="s">
        <v>24701</v>
      </c>
      <c r="Q2117" t="s">
        <v>24701</v>
      </c>
      <c r="V2117">
        <v>2422</v>
      </c>
      <c r="W2117">
        <v>8</v>
      </c>
      <c r="X2117">
        <v>2017</v>
      </c>
      <c r="Y2117">
        <v>2018</v>
      </c>
      <c r="Z2117">
        <v>975.24</v>
      </c>
      <c r="AG2117" t="s">
        <v>184</v>
      </c>
      <c r="AH2117">
        <v>0</v>
      </c>
      <c r="AK2117">
        <v>0</v>
      </c>
      <c r="AL2117">
        <v>95000</v>
      </c>
      <c r="AM2117">
        <v>95000</v>
      </c>
      <c r="AN2117">
        <v>0</v>
      </c>
      <c r="AO2117">
        <v>339</v>
      </c>
      <c r="AP2117">
        <v>2016</v>
      </c>
      <c r="AQ2117">
        <v>1.03</v>
      </c>
      <c r="AS2117" t="s">
        <v>24702</v>
      </c>
      <c r="AT2117" t="s">
        <v>15040</v>
      </c>
      <c r="AU2117" t="s">
        <v>177</v>
      </c>
      <c r="AV2117" t="s">
        <v>371</v>
      </c>
      <c r="AW2117" t="s">
        <v>182</v>
      </c>
      <c r="AX2117">
        <v>0</v>
      </c>
      <c r="AY2117" t="s">
        <v>312</v>
      </c>
      <c r="AZ2117" t="s">
        <v>199</v>
      </c>
      <c r="BA2117" t="s">
        <v>313</v>
      </c>
      <c r="BB2117" t="s">
        <v>191</v>
      </c>
      <c r="BC2117" t="s">
        <v>182</v>
      </c>
      <c r="BD2117" t="s">
        <v>182</v>
      </c>
      <c r="BE2117" t="s">
        <v>12565</v>
      </c>
      <c r="BF2117">
        <v>0</v>
      </c>
      <c r="BG2117">
        <v>0</v>
      </c>
      <c r="BH2117">
        <v>0</v>
      </c>
      <c r="BI2117" t="s">
        <v>199</v>
      </c>
      <c r="BJ2117" t="s">
        <v>194</v>
      </c>
      <c r="BL2117" t="s">
        <v>3374</v>
      </c>
      <c r="BM2117" t="s">
        <v>197</v>
      </c>
      <c r="BN2117" t="s">
        <v>182</v>
      </c>
      <c r="BO2117" t="s">
        <v>21312</v>
      </c>
      <c r="BP2117" t="s">
        <v>24685</v>
      </c>
      <c r="BQ2117" t="s">
        <v>603</v>
      </c>
      <c r="BR2117" t="s">
        <v>4041</v>
      </c>
      <c r="BS2117" t="s">
        <v>198</v>
      </c>
      <c r="BT2117" t="s">
        <v>228</v>
      </c>
      <c r="BU2117" t="s">
        <v>182</v>
      </c>
      <c r="BV2117" t="s">
        <v>198</v>
      </c>
      <c r="BW2117" t="s">
        <v>198</v>
      </c>
      <c r="BX2117" t="s">
        <v>199</v>
      </c>
      <c r="BY2117" t="s">
        <v>198</v>
      </c>
      <c r="BZ2117" t="s">
        <v>199</v>
      </c>
      <c r="CA2117" t="s">
        <v>199</v>
      </c>
      <c r="CB2117" t="s">
        <v>19179</v>
      </c>
      <c r="CC2117" t="s">
        <v>201</v>
      </c>
      <c r="CD2117" t="s">
        <v>202</v>
      </c>
      <c r="CE2117" t="s">
        <v>22380</v>
      </c>
      <c r="CF2117" t="s">
        <v>19181</v>
      </c>
      <c r="CG2117" t="s">
        <v>177</v>
      </c>
      <c r="CH2117" t="s">
        <v>19182</v>
      </c>
      <c r="CI2117" t="s">
        <v>15048</v>
      </c>
      <c r="CS2117" t="s">
        <v>198</v>
      </c>
      <c r="DC2117" t="s">
        <v>198</v>
      </c>
      <c r="DM2117" t="s">
        <v>198</v>
      </c>
      <c r="DW2117" t="s">
        <v>198</v>
      </c>
      <c r="EG2117" t="s">
        <v>198</v>
      </c>
      <c r="EQ2117" t="s">
        <v>198</v>
      </c>
      <c r="FA2117" t="s">
        <v>198</v>
      </c>
      <c r="FK2117" t="s">
        <v>198</v>
      </c>
      <c r="FU2117" t="s">
        <v>198</v>
      </c>
    </row>
    <row r="2118" spans="1:177">
      <c r="A2118" s="1" t="str">
        <f>HYPERLINK("http://digipan.lumentumllc.com/apps/getLink/index.php?t=PropLink&amp;p=15732813","PL")</f>
        <v>PL</v>
      </c>
      <c r="B2118" s="1" t="str">
        <f>HYPERLINK("http://digipan.lumentumllc.com/apps/getLink/index.php?t=TaxLink&amp;p=15732813","TL")</f>
        <v>TL</v>
      </c>
      <c r="C2118" s="1" t="str">
        <f>HYPERLINK("http://digipan.lumentumllc.com/apps/getMap/index.php?p=15732813","Map")</f>
        <v>Map</v>
      </c>
      <c r="E2118" t="s">
        <v>177</v>
      </c>
      <c r="F2118" t="s">
        <v>178</v>
      </c>
      <c r="L2118" t="s">
        <v>24703</v>
      </c>
      <c r="N2118" t="s">
        <v>24703</v>
      </c>
      <c r="O2118" t="s">
        <v>24703</v>
      </c>
      <c r="Q2118" t="s">
        <v>24703</v>
      </c>
      <c r="V2118">
        <v>2423</v>
      </c>
      <c r="W2118">
        <v>8</v>
      </c>
      <c r="X2118">
        <v>2017</v>
      </c>
      <c r="Y2118">
        <v>2018</v>
      </c>
      <c r="Z2118">
        <v>8444.0400000000009</v>
      </c>
      <c r="AG2118" t="s">
        <v>184</v>
      </c>
      <c r="AH2118">
        <v>0</v>
      </c>
      <c r="AK2118">
        <v>0</v>
      </c>
      <c r="AL2118">
        <v>416000</v>
      </c>
      <c r="AM2118">
        <v>0</v>
      </c>
      <c r="AN2118">
        <v>416000</v>
      </c>
      <c r="AO2118">
        <v>6949</v>
      </c>
      <c r="AP2118">
        <v>2016</v>
      </c>
      <c r="AQ2118">
        <v>2.0299999999999998</v>
      </c>
      <c r="AS2118" t="s">
        <v>24704</v>
      </c>
      <c r="AT2118" t="s">
        <v>15040</v>
      </c>
      <c r="AU2118" t="s">
        <v>177</v>
      </c>
      <c r="AV2118" t="s">
        <v>371</v>
      </c>
      <c r="AW2118" t="s">
        <v>182</v>
      </c>
      <c r="AX2118">
        <v>4</v>
      </c>
      <c r="AY2118" t="s">
        <v>188</v>
      </c>
      <c r="AZ2118" t="s">
        <v>296</v>
      </c>
      <c r="BA2118" t="s">
        <v>19069</v>
      </c>
      <c r="BB2118" t="s">
        <v>191</v>
      </c>
      <c r="BC2118" t="s">
        <v>182</v>
      </c>
      <c r="BD2118" t="s">
        <v>182</v>
      </c>
      <c r="BE2118" t="s">
        <v>1722</v>
      </c>
      <c r="BF2118">
        <v>1</v>
      </c>
      <c r="BG2118">
        <v>1</v>
      </c>
      <c r="BH2118">
        <v>1985</v>
      </c>
      <c r="BI2118" t="s">
        <v>15561</v>
      </c>
      <c r="BJ2118" t="s">
        <v>194</v>
      </c>
      <c r="BL2118" t="s">
        <v>199</v>
      </c>
      <c r="BM2118" t="s">
        <v>238</v>
      </c>
      <c r="BN2118" t="s">
        <v>182</v>
      </c>
      <c r="BO2118" t="s">
        <v>198</v>
      </c>
      <c r="BP2118" t="s">
        <v>198</v>
      </c>
      <c r="BQ2118" t="s">
        <v>198</v>
      </c>
      <c r="BR2118" t="s">
        <v>198</v>
      </c>
      <c r="BS2118" t="s">
        <v>198</v>
      </c>
      <c r="BT2118" t="s">
        <v>198</v>
      </c>
      <c r="BU2118" t="s">
        <v>182</v>
      </c>
      <c r="BV2118" t="s">
        <v>198</v>
      </c>
      <c r="BW2118" t="s">
        <v>198</v>
      </c>
      <c r="BX2118" t="s">
        <v>199</v>
      </c>
      <c r="BY2118" t="s">
        <v>198</v>
      </c>
      <c r="BZ2118" t="s">
        <v>199</v>
      </c>
      <c r="CA2118" t="s">
        <v>199</v>
      </c>
      <c r="CB2118" t="s">
        <v>24705</v>
      </c>
      <c r="CC2118" t="s">
        <v>1407</v>
      </c>
      <c r="CD2118" t="s">
        <v>202</v>
      </c>
      <c r="CE2118" t="s">
        <v>24706</v>
      </c>
      <c r="CF2118" t="s">
        <v>24707</v>
      </c>
      <c r="CG2118" t="s">
        <v>5598</v>
      </c>
      <c r="CH2118" t="s">
        <v>24708</v>
      </c>
      <c r="CI2118" t="s">
        <v>24709</v>
      </c>
      <c r="CS2118" t="s">
        <v>198</v>
      </c>
      <c r="DC2118" t="s">
        <v>198</v>
      </c>
      <c r="DM2118" t="s">
        <v>198</v>
      </c>
      <c r="DW2118" t="s">
        <v>198</v>
      </c>
      <c r="EG2118" t="s">
        <v>198</v>
      </c>
      <c r="EQ2118" t="s">
        <v>198</v>
      </c>
      <c r="FA2118" t="s">
        <v>198</v>
      </c>
      <c r="FK2118" t="s">
        <v>198</v>
      </c>
      <c r="FU2118" t="s">
        <v>198</v>
      </c>
    </row>
    <row r="2119" spans="1:177">
      <c r="A2119" s="1" t="str">
        <f>HYPERLINK("http://digipan.lumentumllc.com/apps/getLink/index.php?t=PropLink&amp;p=15732943","PL")</f>
        <v>PL</v>
      </c>
      <c r="B2119" s="1" t="str">
        <f>HYPERLINK("http://digipan.lumentumllc.com/apps/getLink/index.php?t=TaxLink&amp;p=15732943","TL")</f>
        <v>TL</v>
      </c>
      <c r="C2119" s="1" t="str">
        <f>HYPERLINK("http://digipan.lumentumllc.com/apps/getMap/index.php?p=15732943","Map")</f>
        <v>Map</v>
      </c>
      <c r="E2119" t="s">
        <v>177</v>
      </c>
      <c r="F2119" t="s">
        <v>178</v>
      </c>
      <c r="L2119" t="s">
        <v>24710</v>
      </c>
      <c r="N2119" t="s">
        <v>24710</v>
      </c>
      <c r="O2119" t="s">
        <v>24710</v>
      </c>
      <c r="Q2119" t="s">
        <v>24710</v>
      </c>
      <c r="V2119">
        <v>2424</v>
      </c>
      <c r="W2119">
        <v>8</v>
      </c>
      <c r="X2119">
        <v>2017</v>
      </c>
      <c r="Y2119">
        <v>2018</v>
      </c>
      <c r="Z2119">
        <v>606.13</v>
      </c>
      <c r="AB2119" t="s">
        <v>181</v>
      </c>
      <c r="AC2119" t="s">
        <v>182</v>
      </c>
      <c r="AD2119" t="s">
        <v>183</v>
      </c>
      <c r="AE2119">
        <v>0</v>
      </c>
      <c r="AF2119">
        <v>1</v>
      </c>
      <c r="AG2119" t="s">
        <v>184</v>
      </c>
      <c r="AH2119">
        <v>0</v>
      </c>
      <c r="AK2119">
        <v>0</v>
      </c>
      <c r="AL2119">
        <v>100000</v>
      </c>
      <c r="AM2119">
        <v>0</v>
      </c>
      <c r="AN2119">
        <v>100000</v>
      </c>
      <c r="AO2119">
        <v>1863</v>
      </c>
      <c r="AP2119">
        <v>2016</v>
      </c>
      <c r="AQ2119">
        <v>0.61</v>
      </c>
      <c r="AS2119" t="s">
        <v>24711</v>
      </c>
      <c r="AT2119" t="s">
        <v>15040</v>
      </c>
      <c r="AU2119" t="s">
        <v>177</v>
      </c>
      <c r="AV2119" t="s">
        <v>371</v>
      </c>
      <c r="AW2119" t="s">
        <v>182</v>
      </c>
      <c r="AX2119">
        <v>4</v>
      </c>
      <c r="AY2119" t="s">
        <v>188</v>
      </c>
      <c r="AZ2119" t="s">
        <v>296</v>
      </c>
      <c r="BA2119" t="s">
        <v>19069</v>
      </c>
      <c r="BB2119" t="s">
        <v>191</v>
      </c>
      <c r="BC2119" t="s">
        <v>182</v>
      </c>
      <c r="BD2119" t="s">
        <v>182</v>
      </c>
      <c r="BE2119" t="s">
        <v>1722</v>
      </c>
      <c r="BF2119">
        <v>1</v>
      </c>
      <c r="BG2119">
        <v>1</v>
      </c>
      <c r="BH2119">
        <v>1999</v>
      </c>
      <c r="BI2119" t="s">
        <v>12702</v>
      </c>
      <c r="BJ2119" t="s">
        <v>194</v>
      </c>
      <c r="BL2119" t="s">
        <v>24712</v>
      </c>
      <c r="BM2119" t="s">
        <v>238</v>
      </c>
      <c r="BN2119" t="s">
        <v>182</v>
      </c>
      <c r="BO2119" t="s">
        <v>24713</v>
      </c>
      <c r="BP2119" t="s">
        <v>14485</v>
      </c>
      <c r="BQ2119" t="s">
        <v>581</v>
      </c>
      <c r="BR2119" t="s">
        <v>582</v>
      </c>
      <c r="BS2119" t="s">
        <v>198</v>
      </c>
      <c r="BT2119" t="s">
        <v>24714</v>
      </c>
      <c r="BU2119" t="s">
        <v>182</v>
      </c>
      <c r="BV2119" t="s">
        <v>198</v>
      </c>
      <c r="BW2119" t="s">
        <v>198</v>
      </c>
      <c r="BX2119" t="s">
        <v>199</v>
      </c>
      <c r="BY2119" t="s">
        <v>198</v>
      </c>
      <c r="BZ2119" t="s">
        <v>199</v>
      </c>
      <c r="CA2119" t="s">
        <v>199</v>
      </c>
      <c r="CB2119" t="s">
        <v>24715</v>
      </c>
      <c r="CC2119" t="s">
        <v>201</v>
      </c>
      <c r="CD2119" t="s">
        <v>182</v>
      </c>
      <c r="CE2119" t="s">
        <v>24716</v>
      </c>
      <c r="CF2119" t="s">
        <v>5331</v>
      </c>
      <c r="CG2119" t="s">
        <v>177</v>
      </c>
      <c r="CH2119" t="s">
        <v>371</v>
      </c>
      <c r="CI2119" t="s">
        <v>24717</v>
      </c>
      <c r="CJ2119" t="s">
        <v>24718</v>
      </c>
      <c r="CK2119" t="s">
        <v>207</v>
      </c>
      <c r="CL2119" t="s">
        <v>208</v>
      </c>
      <c r="CM2119" t="s">
        <v>24719</v>
      </c>
      <c r="CN2119" t="s">
        <v>688</v>
      </c>
      <c r="CO2119" t="s">
        <v>183</v>
      </c>
      <c r="CP2119" t="s">
        <v>211</v>
      </c>
      <c r="CQ2119" t="s">
        <v>329</v>
      </c>
      <c r="CS2119" t="s">
        <v>20886</v>
      </c>
      <c r="DC2119" t="s">
        <v>198</v>
      </c>
      <c r="DM2119" t="s">
        <v>198</v>
      </c>
      <c r="DW2119" t="s">
        <v>198</v>
      </c>
      <c r="EG2119" t="s">
        <v>198</v>
      </c>
      <c r="EQ2119" t="s">
        <v>198</v>
      </c>
      <c r="FA2119" t="s">
        <v>198</v>
      </c>
      <c r="FK2119" t="s">
        <v>198</v>
      </c>
      <c r="FU2119" t="s">
        <v>198</v>
      </c>
    </row>
    <row r="2120" spans="1:177">
      <c r="A2120" s="1" t="str">
        <f>HYPERLINK("http://digipan.lumentumllc.com/apps/getLink/index.php?t=PropLink&amp;p=15732987","PL")</f>
        <v>PL</v>
      </c>
      <c r="B2120" s="1" t="str">
        <f>HYPERLINK("http://digipan.lumentumllc.com/apps/getLink/index.php?t=TaxLink&amp;p=15732987","TL")</f>
        <v>TL</v>
      </c>
      <c r="C2120" s="1" t="str">
        <f>HYPERLINK("http://digipan.lumentumllc.com/apps/getMap/index.php?p=15732987","Map")</f>
        <v>Map</v>
      </c>
      <c r="E2120" t="s">
        <v>177</v>
      </c>
      <c r="F2120" t="s">
        <v>178</v>
      </c>
      <c r="L2120" t="s">
        <v>24720</v>
      </c>
      <c r="N2120" t="s">
        <v>24720</v>
      </c>
      <c r="O2120" t="s">
        <v>24720</v>
      </c>
      <c r="Q2120" t="s">
        <v>24720</v>
      </c>
      <c r="V2120">
        <v>2425</v>
      </c>
      <c r="W2120">
        <v>8</v>
      </c>
      <c r="X2120">
        <v>2017</v>
      </c>
      <c r="Y2120">
        <v>2018</v>
      </c>
      <c r="Z2120">
        <v>4316.8100000000004</v>
      </c>
      <c r="AB2120" t="s">
        <v>181</v>
      </c>
      <c r="AC2120" t="s">
        <v>182</v>
      </c>
      <c r="AD2120" t="s">
        <v>183</v>
      </c>
      <c r="AE2120">
        <v>0</v>
      </c>
      <c r="AF2120">
        <v>1</v>
      </c>
      <c r="AG2120" t="s">
        <v>821</v>
      </c>
      <c r="AH2120">
        <v>100</v>
      </c>
      <c r="AK2120">
        <v>0</v>
      </c>
      <c r="AL2120">
        <v>240508</v>
      </c>
      <c r="AM2120">
        <v>60000</v>
      </c>
      <c r="AN2120">
        <v>180508</v>
      </c>
      <c r="AO2120">
        <v>4762</v>
      </c>
      <c r="AP2120">
        <v>2016</v>
      </c>
      <c r="AQ2120">
        <v>1.79</v>
      </c>
      <c r="AS2120" t="s">
        <v>24721</v>
      </c>
      <c r="AT2120" t="s">
        <v>15040</v>
      </c>
      <c r="AU2120" t="s">
        <v>177</v>
      </c>
      <c r="AV2120" t="s">
        <v>371</v>
      </c>
      <c r="AW2120" t="s">
        <v>202</v>
      </c>
      <c r="AX2120">
        <v>1</v>
      </c>
      <c r="AY2120" t="s">
        <v>188</v>
      </c>
      <c r="AZ2120" t="s">
        <v>206</v>
      </c>
      <c r="BA2120" t="s">
        <v>355</v>
      </c>
      <c r="BB2120" t="s">
        <v>191</v>
      </c>
      <c r="BC2120" t="s">
        <v>182</v>
      </c>
      <c r="BD2120" t="s">
        <v>182</v>
      </c>
      <c r="BE2120" t="s">
        <v>478</v>
      </c>
      <c r="BF2120">
        <v>1</v>
      </c>
      <c r="BG2120">
        <v>1</v>
      </c>
      <c r="BH2120">
        <v>2004</v>
      </c>
      <c r="BI2120" t="s">
        <v>24722</v>
      </c>
      <c r="BJ2120" t="s">
        <v>194</v>
      </c>
      <c r="BK2120" t="s">
        <v>195</v>
      </c>
      <c r="BL2120" t="s">
        <v>6286</v>
      </c>
      <c r="BM2120" t="s">
        <v>325</v>
      </c>
      <c r="BN2120" t="s">
        <v>182</v>
      </c>
      <c r="BO2120" t="s">
        <v>24723</v>
      </c>
      <c r="BP2120" t="s">
        <v>9588</v>
      </c>
      <c r="BQ2120" t="s">
        <v>581</v>
      </c>
      <c r="BR2120" t="s">
        <v>1857</v>
      </c>
      <c r="BS2120" t="s">
        <v>198</v>
      </c>
      <c r="BT2120" t="s">
        <v>24724</v>
      </c>
      <c r="BU2120" t="s">
        <v>182</v>
      </c>
      <c r="BV2120" t="s">
        <v>198</v>
      </c>
      <c r="BW2120" t="s">
        <v>198</v>
      </c>
      <c r="BX2120" t="s">
        <v>199</v>
      </c>
      <c r="BY2120" t="s">
        <v>198</v>
      </c>
      <c r="BZ2120" t="s">
        <v>199</v>
      </c>
      <c r="CA2120" t="s">
        <v>199</v>
      </c>
      <c r="CB2120" t="s">
        <v>24725</v>
      </c>
      <c r="CC2120" t="s">
        <v>201</v>
      </c>
      <c r="CD2120" t="s">
        <v>182</v>
      </c>
      <c r="CE2120" t="s">
        <v>24726</v>
      </c>
      <c r="CF2120" t="s">
        <v>5331</v>
      </c>
      <c r="CG2120" t="s">
        <v>177</v>
      </c>
      <c r="CH2120" t="s">
        <v>371</v>
      </c>
      <c r="CI2120" t="s">
        <v>610</v>
      </c>
      <c r="CJ2120" t="s">
        <v>24015</v>
      </c>
      <c r="CK2120" t="s">
        <v>232</v>
      </c>
      <c r="CL2120" t="s">
        <v>233</v>
      </c>
      <c r="CM2120" t="s">
        <v>24727</v>
      </c>
      <c r="CN2120" t="s">
        <v>235</v>
      </c>
      <c r="CO2120" t="s">
        <v>183</v>
      </c>
      <c r="CP2120" t="s">
        <v>211</v>
      </c>
      <c r="CQ2120" t="s">
        <v>206</v>
      </c>
      <c r="CS2120" t="s">
        <v>13699</v>
      </c>
      <c r="DC2120" t="s">
        <v>198</v>
      </c>
      <c r="DM2120" t="s">
        <v>198</v>
      </c>
      <c r="DW2120" t="s">
        <v>198</v>
      </c>
      <c r="EG2120" t="s">
        <v>198</v>
      </c>
      <c r="EQ2120" t="s">
        <v>198</v>
      </c>
      <c r="FA2120" t="s">
        <v>198</v>
      </c>
      <c r="FK2120" t="s">
        <v>198</v>
      </c>
      <c r="FU2120" t="s">
        <v>198</v>
      </c>
    </row>
    <row r="2121" spans="1:177">
      <c r="A2121" s="1" t="str">
        <f>HYPERLINK("http://digipan.lumentumllc.com/apps/getLink/index.php?t=PropLink&amp;p=15733202","PL")</f>
        <v>PL</v>
      </c>
      <c r="B2121" s="1" t="str">
        <f>HYPERLINK("http://digipan.lumentumllc.com/apps/getLink/index.php?t=TaxLink&amp;p=15733202","TL")</f>
        <v>TL</v>
      </c>
      <c r="C2121" s="1" t="str">
        <f>HYPERLINK("http://digipan.lumentumllc.com/apps/getMap/index.php?p=15733202","Map")</f>
        <v>Map</v>
      </c>
      <c r="E2121" t="s">
        <v>177</v>
      </c>
      <c r="F2121" t="s">
        <v>178</v>
      </c>
      <c r="L2121" t="s">
        <v>24728</v>
      </c>
      <c r="N2121" t="s">
        <v>24728</v>
      </c>
      <c r="O2121" t="s">
        <v>24728</v>
      </c>
      <c r="Q2121" t="s">
        <v>24728</v>
      </c>
      <c r="V2121">
        <v>2426</v>
      </c>
      <c r="W2121">
        <v>8</v>
      </c>
      <c r="X2121">
        <v>2017</v>
      </c>
      <c r="Y2121">
        <v>2018</v>
      </c>
      <c r="Z2121">
        <v>6914.74</v>
      </c>
      <c r="AG2121" t="s">
        <v>184</v>
      </c>
      <c r="AH2121">
        <v>0</v>
      </c>
      <c r="AK2121">
        <v>0</v>
      </c>
      <c r="AL2121">
        <v>322091</v>
      </c>
      <c r="AM2121">
        <v>110000</v>
      </c>
      <c r="AN2121">
        <v>212091</v>
      </c>
      <c r="AO2121">
        <v>5852</v>
      </c>
      <c r="AP2121">
        <v>2016</v>
      </c>
      <c r="AQ2121">
        <v>2.15</v>
      </c>
      <c r="AS2121" t="s">
        <v>24729</v>
      </c>
      <c r="AT2121" t="s">
        <v>15040</v>
      </c>
      <c r="AU2121" t="s">
        <v>177</v>
      </c>
      <c r="AV2121" t="s">
        <v>371</v>
      </c>
      <c r="AW2121" t="s">
        <v>182</v>
      </c>
      <c r="AX2121">
        <v>1</v>
      </c>
      <c r="AY2121" t="s">
        <v>188</v>
      </c>
      <c r="AZ2121" t="s">
        <v>206</v>
      </c>
      <c r="BA2121" t="s">
        <v>355</v>
      </c>
      <c r="BB2121" t="s">
        <v>191</v>
      </c>
      <c r="BC2121" t="s">
        <v>182</v>
      </c>
      <c r="BD2121" t="s">
        <v>182</v>
      </c>
      <c r="BE2121" t="s">
        <v>11684</v>
      </c>
      <c r="BF2121">
        <v>1</v>
      </c>
      <c r="BG2121">
        <v>1</v>
      </c>
      <c r="BH2121">
        <v>1996</v>
      </c>
      <c r="BI2121" t="s">
        <v>21691</v>
      </c>
      <c r="BJ2121" t="s">
        <v>396</v>
      </c>
      <c r="BK2121" t="s">
        <v>195</v>
      </c>
      <c r="BL2121" t="s">
        <v>24730</v>
      </c>
      <c r="BM2121" t="s">
        <v>1332</v>
      </c>
      <c r="BN2121" t="s">
        <v>182</v>
      </c>
      <c r="BO2121" t="s">
        <v>24731</v>
      </c>
      <c r="BP2121" t="s">
        <v>317</v>
      </c>
      <c r="BQ2121" t="s">
        <v>800</v>
      </c>
      <c r="BS2121" t="s">
        <v>198</v>
      </c>
      <c r="BT2121" t="s">
        <v>24732</v>
      </c>
      <c r="BU2121" t="s">
        <v>182</v>
      </c>
      <c r="BV2121" t="s">
        <v>198</v>
      </c>
      <c r="BW2121" t="s">
        <v>198</v>
      </c>
      <c r="BX2121" t="s">
        <v>199</v>
      </c>
      <c r="BY2121" t="s">
        <v>198</v>
      </c>
      <c r="BZ2121" t="s">
        <v>199</v>
      </c>
      <c r="CA2121" t="s">
        <v>199</v>
      </c>
      <c r="CB2121" t="s">
        <v>24733</v>
      </c>
      <c r="CC2121" t="s">
        <v>201</v>
      </c>
      <c r="CD2121" t="s">
        <v>182</v>
      </c>
      <c r="CE2121" t="s">
        <v>24734</v>
      </c>
      <c r="CF2121" t="s">
        <v>5331</v>
      </c>
      <c r="CG2121" t="s">
        <v>177</v>
      </c>
      <c r="CH2121" t="s">
        <v>371</v>
      </c>
      <c r="CI2121" t="s">
        <v>24735</v>
      </c>
      <c r="CS2121" t="s">
        <v>198</v>
      </c>
      <c r="DC2121" t="s">
        <v>198</v>
      </c>
      <c r="DM2121" t="s">
        <v>198</v>
      </c>
      <c r="DW2121" t="s">
        <v>198</v>
      </c>
      <c r="EG2121" t="s">
        <v>198</v>
      </c>
      <c r="EQ2121" t="s">
        <v>198</v>
      </c>
      <c r="FA2121" t="s">
        <v>198</v>
      </c>
      <c r="FK2121" t="s">
        <v>198</v>
      </c>
      <c r="FU2121" t="s">
        <v>198</v>
      </c>
    </row>
    <row r="2122" spans="1:177">
      <c r="A2122" s="1" t="str">
        <f>HYPERLINK("http://digipan.lumentumllc.com/apps/getLink/index.php?t=PropLink&amp;p=7112308","PL")</f>
        <v>PL</v>
      </c>
      <c r="B2122" s="1" t="str">
        <f>HYPERLINK("http://digipan.lumentumllc.com/apps/getLink/index.php?t=TaxLink&amp;p=7112308","TL")</f>
        <v>TL</v>
      </c>
      <c r="C2122" s="1" t="str">
        <f>HYPERLINK("http://digipan.lumentumllc.com/apps/getMap/index.php?p=7112308","Map")</f>
        <v>Map</v>
      </c>
      <c r="E2122" t="s">
        <v>177</v>
      </c>
      <c r="F2122" t="s">
        <v>178</v>
      </c>
      <c r="L2122" t="s">
        <v>24736</v>
      </c>
      <c r="N2122" t="s">
        <v>24736</v>
      </c>
      <c r="O2122" t="s">
        <v>24736</v>
      </c>
      <c r="P2122" t="s">
        <v>24737</v>
      </c>
      <c r="Q2122" t="s">
        <v>24736</v>
      </c>
      <c r="V2122">
        <v>2427</v>
      </c>
      <c r="W2122">
        <v>8</v>
      </c>
      <c r="X2122">
        <v>2017</v>
      </c>
      <c r="Y2122">
        <v>2018</v>
      </c>
      <c r="Z2122">
        <v>4623.2299999999996</v>
      </c>
      <c r="AG2122" t="s">
        <v>184</v>
      </c>
      <c r="AH2122">
        <v>0</v>
      </c>
      <c r="AK2122">
        <v>0</v>
      </c>
      <c r="AL2122">
        <v>213000</v>
      </c>
      <c r="AM2122">
        <v>0</v>
      </c>
      <c r="AN2122">
        <v>213000</v>
      </c>
      <c r="AO2122">
        <v>3948</v>
      </c>
      <c r="AP2122">
        <v>2016</v>
      </c>
      <c r="AQ2122">
        <v>2.17</v>
      </c>
      <c r="AS2122" t="s">
        <v>24738</v>
      </c>
      <c r="AT2122" t="s">
        <v>15040</v>
      </c>
      <c r="AU2122" t="s">
        <v>177</v>
      </c>
      <c r="AV2122" t="s">
        <v>371</v>
      </c>
      <c r="AW2122" t="s">
        <v>182</v>
      </c>
      <c r="AX2122">
        <v>4</v>
      </c>
      <c r="AY2122" t="s">
        <v>188</v>
      </c>
      <c r="AZ2122" t="s">
        <v>296</v>
      </c>
      <c r="BA2122" t="s">
        <v>19069</v>
      </c>
      <c r="BB2122" t="s">
        <v>191</v>
      </c>
      <c r="BC2122" t="s">
        <v>182</v>
      </c>
      <c r="BD2122" t="s">
        <v>182</v>
      </c>
      <c r="BE2122" t="s">
        <v>1722</v>
      </c>
      <c r="BF2122">
        <v>1</v>
      </c>
      <c r="BG2122">
        <v>1</v>
      </c>
      <c r="BH2122">
        <v>1982</v>
      </c>
      <c r="BI2122" t="s">
        <v>10492</v>
      </c>
      <c r="BJ2122" t="s">
        <v>194</v>
      </c>
      <c r="BL2122" t="s">
        <v>841</v>
      </c>
      <c r="BM2122" t="s">
        <v>559</v>
      </c>
      <c r="BN2122" t="s">
        <v>182</v>
      </c>
      <c r="BO2122" t="s">
        <v>24739</v>
      </c>
      <c r="BP2122" t="s">
        <v>24740</v>
      </c>
      <c r="BS2122" t="s">
        <v>15045</v>
      </c>
      <c r="BT2122" t="s">
        <v>198</v>
      </c>
      <c r="BU2122" t="s">
        <v>182</v>
      </c>
      <c r="BV2122" t="s">
        <v>198</v>
      </c>
      <c r="BW2122" t="s">
        <v>198</v>
      </c>
      <c r="BX2122" t="s">
        <v>199</v>
      </c>
      <c r="BY2122" t="s">
        <v>198</v>
      </c>
      <c r="BZ2122" t="s">
        <v>199</v>
      </c>
      <c r="CA2122" t="s">
        <v>199</v>
      </c>
      <c r="CB2122" t="s">
        <v>24741</v>
      </c>
      <c r="CC2122" t="s">
        <v>201</v>
      </c>
      <c r="CD2122" t="s">
        <v>182</v>
      </c>
      <c r="CE2122" t="s">
        <v>24742</v>
      </c>
      <c r="CF2122" t="s">
        <v>23866</v>
      </c>
      <c r="CG2122" t="s">
        <v>1602</v>
      </c>
      <c r="CH2122" t="s">
        <v>23867</v>
      </c>
      <c r="CI2122" t="s">
        <v>24743</v>
      </c>
      <c r="CS2122" t="s">
        <v>198</v>
      </c>
      <c r="DC2122" t="s">
        <v>198</v>
      </c>
      <c r="DM2122" t="s">
        <v>198</v>
      </c>
      <c r="DW2122" t="s">
        <v>198</v>
      </c>
      <c r="EG2122" t="s">
        <v>198</v>
      </c>
      <c r="EQ2122" t="s">
        <v>198</v>
      </c>
      <c r="FA2122" t="s">
        <v>198</v>
      </c>
      <c r="FK2122" t="s">
        <v>198</v>
      </c>
      <c r="FU2122" t="s">
        <v>198</v>
      </c>
    </row>
    <row r="2123" spans="1:177">
      <c r="A2123" s="1" t="str">
        <f>HYPERLINK("http://digipan.lumentumllc.com/apps/getLink/index.php?t=PropLink&amp;p=15733267","PL")</f>
        <v>PL</v>
      </c>
      <c r="B2123" s="1" t="str">
        <f>HYPERLINK("http://digipan.lumentumllc.com/apps/getLink/index.php?t=TaxLink&amp;p=15733267","TL")</f>
        <v>TL</v>
      </c>
      <c r="C2123" s="1" t="str">
        <f>HYPERLINK("http://digipan.lumentumllc.com/apps/getMap/index.php?p=15733267","Map")</f>
        <v>Map</v>
      </c>
      <c r="E2123" t="s">
        <v>177</v>
      </c>
      <c r="F2123" t="s">
        <v>178</v>
      </c>
      <c r="L2123" t="s">
        <v>24744</v>
      </c>
      <c r="N2123" t="s">
        <v>24744</v>
      </c>
      <c r="O2123" t="s">
        <v>24744</v>
      </c>
      <c r="Q2123" t="s">
        <v>24744</v>
      </c>
      <c r="V2123">
        <v>2428</v>
      </c>
      <c r="W2123">
        <v>8</v>
      </c>
      <c r="X2123">
        <v>2017</v>
      </c>
      <c r="Y2123">
        <v>2018</v>
      </c>
      <c r="Z2123">
        <v>4623.2299999999996</v>
      </c>
      <c r="AG2123" t="s">
        <v>184</v>
      </c>
      <c r="AH2123">
        <v>0</v>
      </c>
      <c r="AK2123">
        <v>0</v>
      </c>
      <c r="AL2123">
        <v>213000</v>
      </c>
      <c r="AM2123">
        <v>0</v>
      </c>
      <c r="AN2123">
        <v>213000</v>
      </c>
      <c r="AO2123">
        <v>3948</v>
      </c>
      <c r="AP2123">
        <v>2016</v>
      </c>
      <c r="AQ2123">
        <v>2.17</v>
      </c>
      <c r="AS2123" t="s">
        <v>24745</v>
      </c>
      <c r="AT2123" t="s">
        <v>15040</v>
      </c>
      <c r="AU2123" t="s">
        <v>177</v>
      </c>
      <c r="AV2123" t="s">
        <v>371</v>
      </c>
      <c r="AW2123" t="s">
        <v>182</v>
      </c>
      <c r="AX2123">
        <v>4</v>
      </c>
      <c r="AY2123" t="s">
        <v>188</v>
      </c>
      <c r="AZ2123" t="s">
        <v>296</v>
      </c>
      <c r="BA2123" t="s">
        <v>19069</v>
      </c>
      <c r="BB2123" t="s">
        <v>191</v>
      </c>
      <c r="BC2123" t="s">
        <v>182</v>
      </c>
      <c r="BD2123" t="s">
        <v>182</v>
      </c>
      <c r="BE2123" t="s">
        <v>1722</v>
      </c>
      <c r="BF2123">
        <v>1</v>
      </c>
      <c r="BG2123">
        <v>1</v>
      </c>
      <c r="BH2123">
        <v>1982</v>
      </c>
      <c r="BI2123" t="s">
        <v>10492</v>
      </c>
      <c r="BJ2123" t="s">
        <v>194</v>
      </c>
      <c r="BL2123" t="s">
        <v>24746</v>
      </c>
      <c r="BM2123" t="s">
        <v>232</v>
      </c>
      <c r="BN2123" t="s">
        <v>182</v>
      </c>
      <c r="BO2123" t="s">
        <v>18455</v>
      </c>
      <c r="BP2123" t="s">
        <v>8325</v>
      </c>
      <c r="BQ2123" t="s">
        <v>800</v>
      </c>
      <c r="BS2123" t="s">
        <v>198</v>
      </c>
      <c r="BT2123" t="s">
        <v>24747</v>
      </c>
      <c r="BU2123" t="s">
        <v>182</v>
      </c>
      <c r="BV2123" t="s">
        <v>198</v>
      </c>
      <c r="BW2123" t="s">
        <v>198</v>
      </c>
      <c r="BX2123" t="s">
        <v>199</v>
      </c>
      <c r="BY2123" t="s">
        <v>198</v>
      </c>
      <c r="BZ2123" t="s">
        <v>199</v>
      </c>
      <c r="CA2123" t="s">
        <v>199</v>
      </c>
      <c r="CB2123" t="s">
        <v>24748</v>
      </c>
      <c r="CC2123" t="s">
        <v>201</v>
      </c>
      <c r="CD2123" t="s">
        <v>202</v>
      </c>
      <c r="CE2123" t="s">
        <v>24749</v>
      </c>
      <c r="CF2123" t="s">
        <v>24750</v>
      </c>
      <c r="CG2123" t="s">
        <v>1602</v>
      </c>
      <c r="CH2123" t="s">
        <v>24751</v>
      </c>
      <c r="CI2123" t="s">
        <v>24752</v>
      </c>
      <c r="CS2123" t="s">
        <v>198</v>
      </c>
      <c r="DC2123" t="s">
        <v>198</v>
      </c>
      <c r="DM2123" t="s">
        <v>198</v>
      </c>
      <c r="DW2123" t="s">
        <v>198</v>
      </c>
      <c r="EG2123" t="s">
        <v>198</v>
      </c>
      <c r="EQ2123" t="s">
        <v>198</v>
      </c>
      <c r="FA2123" t="s">
        <v>198</v>
      </c>
      <c r="FK2123" t="s">
        <v>198</v>
      </c>
      <c r="FU2123" t="s">
        <v>198</v>
      </c>
    </row>
    <row r="2124" spans="1:177">
      <c r="A2124" s="1" t="str">
        <f>HYPERLINK("http://digipan.lumentumllc.com/apps/getLink/index.php?t=PropLink&amp;p=15733295","PL")</f>
        <v>PL</v>
      </c>
      <c r="B2124" s="1" t="str">
        <f>HYPERLINK("http://digipan.lumentumllc.com/apps/getLink/index.php?t=TaxLink&amp;p=15733295","TL")</f>
        <v>TL</v>
      </c>
      <c r="C2124" s="1" t="str">
        <f>HYPERLINK("http://digipan.lumentumllc.com/apps/getMap/index.php?p=15733295","Map")</f>
        <v>Map</v>
      </c>
      <c r="E2124" t="s">
        <v>177</v>
      </c>
      <c r="F2124" t="s">
        <v>178</v>
      </c>
      <c r="L2124" t="s">
        <v>24753</v>
      </c>
      <c r="N2124" t="s">
        <v>24753</v>
      </c>
      <c r="O2124" t="s">
        <v>24753</v>
      </c>
      <c r="Q2124" t="s">
        <v>24753</v>
      </c>
      <c r="V2124">
        <v>2429</v>
      </c>
      <c r="W2124">
        <v>8</v>
      </c>
      <c r="X2124">
        <v>2017</v>
      </c>
      <c r="Y2124">
        <v>2018</v>
      </c>
      <c r="Z2124">
        <v>3755.37</v>
      </c>
      <c r="AG2124" t="s">
        <v>184</v>
      </c>
      <c r="AH2124">
        <v>0</v>
      </c>
      <c r="AK2124">
        <v>0</v>
      </c>
      <c r="AL2124">
        <v>255600</v>
      </c>
      <c r="AM2124">
        <v>0</v>
      </c>
      <c r="AN2124">
        <v>255600</v>
      </c>
      <c r="AO2124">
        <v>4051</v>
      </c>
      <c r="AP2124">
        <v>2016</v>
      </c>
      <c r="AQ2124">
        <v>1.47</v>
      </c>
      <c r="AS2124" t="s">
        <v>24754</v>
      </c>
      <c r="AT2124" t="s">
        <v>15040</v>
      </c>
      <c r="AU2124" t="s">
        <v>177</v>
      </c>
      <c r="AV2124" t="s">
        <v>371</v>
      </c>
      <c r="AW2124" t="s">
        <v>202</v>
      </c>
      <c r="AX2124">
        <v>4</v>
      </c>
      <c r="AY2124" t="s">
        <v>188</v>
      </c>
      <c r="AZ2124" t="s">
        <v>296</v>
      </c>
      <c r="BA2124" t="s">
        <v>19069</v>
      </c>
      <c r="BB2124" t="s">
        <v>191</v>
      </c>
      <c r="BC2124" t="s">
        <v>182</v>
      </c>
      <c r="BD2124" t="s">
        <v>182</v>
      </c>
      <c r="BE2124" t="s">
        <v>1722</v>
      </c>
      <c r="BF2124">
        <v>1</v>
      </c>
      <c r="BG2124">
        <v>1</v>
      </c>
      <c r="BH2124">
        <v>1982</v>
      </c>
      <c r="BI2124" t="s">
        <v>10492</v>
      </c>
      <c r="BJ2124" t="s">
        <v>194</v>
      </c>
      <c r="BL2124" t="s">
        <v>24755</v>
      </c>
      <c r="BM2124" t="s">
        <v>197</v>
      </c>
      <c r="BN2124" t="s">
        <v>182</v>
      </c>
      <c r="BO2124" t="s">
        <v>18455</v>
      </c>
      <c r="BP2124" t="s">
        <v>24756</v>
      </c>
      <c r="BQ2124" t="s">
        <v>800</v>
      </c>
      <c r="BR2124" t="s">
        <v>563</v>
      </c>
      <c r="BS2124" t="s">
        <v>198</v>
      </c>
      <c r="BT2124" t="s">
        <v>1405</v>
      </c>
      <c r="BU2124" t="s">
        <v>182</v>
      </c>
      <c r="BV2124" t="s">
        <v>198</v>
      </c>
      <c r="BW2124" t="s">
        <v>198</v>
      </c>
      <c r="BX2124" t="s">
        <v>199</v>
      </c>
      <c r="BY2124" t="s">
        <v>198</v>
      </c>
      <c r="BZ2124" t="s">
        <v>199</v>
      </c>
      <c r="CA2124" t="s">
        <v>199</v>
      </c>
      <c r="CB2124" t="s">
        <v>24757</v>
      </c>
      <c r="CC2124" t="s">
        <v>201</v>
      </c>
      <c r="CD2124" t="s">
        <v>202</v>
      </c>
      <c r="CE2124" t="s">
        <v>22361</v>
      </c>
      <c r="CF2124" t="s">
        <v>5331</v>
      </c>
      <c r="CG2124" t="s">
        <v>177</v>
      </c>
      <c r="CH2124" t="s">
        <v>371</v>
      </c>
      <c r="CI2124" t="s">
        <v>24758</v>
      </c>
      <c r="CS2124" t="s">
        <v>198</v>
      </c>
      <c r="DC2124" t="s">
        <v>198</v>
      </c>
      <c r="DM2124" t="s">
        <v>198</v>
      </c>
      <c r="DW2124" t="s">
        <v>198</v>
      </c>
      <c r="EG2124" t="s">
        <v>198</v>
      </c>
      <c r="EQ2124" t="s">
        <v>198</v>
      </c>
      <c r="FA2124" t="s">
        <v>198</v>
      </c>
      <c r="FK2124" t="s">
        <v>198</v>
      </c>
      <c r="FU2124" t="s">
        <v>198</v>
      </c>
    </row>
    <row r="2125" spans="1:177">
      <c r="A2125" s="1" t="str">
        <f>HYPERLINK("http://digipan.lumentumllc.com/apps/getLink/index.php?t=PropLink&amp;p=5244471","PL")</f>
        <v>PL</v>
      </c>
      <c r="B2125" s="1" t="str">
        <f>HYPERLINK("http://digipan.lumentumllc.com/apps/getLink/index.php?t=TaxLink&amp;p=5244471","TL")</f>
        <v>TL</v>
      </c>
      <c r="C2125" s="1" t="str">
        <f>HYPERLINK("http://digipan.lumentumllc.com/apps/getMap/index.php?p=5244471","Map")</f>
        <v>Map</v>
      </c>
      <c r="E2125" t="s">
        <v>177</v>
      </c>
      <c r="F2125" t="s">
        <v>178</v>
      </c>
      <c r="L2125" t="s">
        <v>24759</v>
      </c>
      <c r="N2125" t="s">
        <v>24759</v>
      </c>
      <c r="O2125" t="s">
        <v>24759</v>
      </c>
      <c r="P2125" t="s">
        <v>24760</v>
      </c>
      <c r="Q2125" t="s">
        <v>24759</v>
      </c>
      <c r="V2125">
        <v>2430</v>
      </c>
      <c r="W2125">
        <v>8</v>
      </c>
      <c r="X2125">
        <v>2017</v>
      </c>
      <c r="Y2125">
        <v>2018</v>
      </c>
      <c r="Z2125">
        <v>2878.12</v>
      </c>
      <c r="AB2125" t="s">
        <v>181</v>
      </c>
      <c r="AC2125" t="s">
        <v>182</v>
      </c>
      <c r="AD2125" t="s">
        <v>183</v>
      </c>
      <c r="AE2125">
        <v>1</v>
      </c>
      <c r="AF2125">
        <v>4</v>
      </c>
      <c r="AG2125" t="s">
        <v>951</v>
      </c>
      <c r="AH2125">
        <v>80</v>
      </c>
      <c r="AI2125">
        <v>2842.47</v>
      </c>
      <c r="AJ2125">
        <v>142.12</v>
      </c>
      <c r="AK2125">
        <v>2984.59</v>
      </c>
      <c r="AL2125">
        <v>196491</v>
      </c>
      <c r="AM2125">
        <v>100000</v>
      </c>
      <c r="AN2125">
        <v>96491</v>
      </c>
      <c r="AO2125">
        <v>2603</v>
      </c>
      <c r="AP2125">
        <v>2016</v>
      </c>
      <c r="AQ2125">
        <v>1.46</v>
      </c>
      <c r="AR2125">
        <v>1.52</v>
      </c>
      <c r="AS2125" t="s">
        <v>24761</v>
      </c>
      <c r="AT2125" t="s">
        <v>15040</v>
      </c>
      <c r="AU2125" t="s">
        <v>177</v>
      </c>
      <c r="AV2125" t="s">
        <v>371</v>
      </c>
      <c r="AW2125" t="s">
        <v>202</v>
      </c>
      <c r="AX2125">
        <v>1</v>
      </c>
      <c r="AY2125" t="s">
        <v>188</v>
      </c>
      <c r="AZ2125" t="s">
        <v>206</v>
      </c>
      <c r="BA2125" t="s">
        <v>355</v>
      </c>
      <c r="BB2125" t="s">
        <v>191</v>
      </c>
      <c r="BC2125" t="s">
        <v>182</v>
      </c>
      <c r="BD2125" t="s">
        <v>182</v>
      </c>
      <c r="BE2125" t="s">
        <v>11821</v>
      </c>
      <c r="BF2125">
        <v>1</v>
      </c>
      <c r="BG2125">
        <v>1</v>
      </c>
      <c r="BH2125">
        <v>1981</v>
      </c>
      <c r="BI2125" t="s">
        <v>17651</v>
      </c>
      <c r="BJ2125" t="s">
        <v>194</v>
      </c>
      <c r="BK2125" t="s">
        <v>195</v>
      </c>
      <c r="BL2125" t="s">
        <v>199</v>
      </c>
      <c r="BM2125" t="s">
        <v>2351</v>
      </c>
      <c r="BN2125" t="s">
        <v>182</v>
      </c>
      <c r="BO2125" t="s">
        <v>20969</v>
      </c>
      <c r="BP2125" t="s">
        <v>1574</v>
      </c>
      <c r="BR2125" t="s">
        <v>1461</v>
      </c>
      <c r="BS2125" t="s">
        <v>4387</v>
      </c>
      <c r="BT2125" t="s">
        <v>198</v>
      </c>
      <c r="BU2125" t="s">
        <v>182</v>
      </c>
      <c r="BV2125" t="s">
        <v>198</v>
      </c>
      <c r="BW2125" t="s">
        <v>198</v>
      </c>
      <c r="BX2125" t="s">
        <v>199</v>
      </c>
      <c r="BY2125" t="s">
        <v>198</v>
      </c>
      <c r="BZ2125" t="s">
        <v>199</v>
      </c>
      <c r="CA2125" t="s">
        <v>199</v>
      </c>
      <c r="CB2125" t="s">
        <v>24762</v>
      </c>
      <c r="CC2125" t="s">
        <v>201</v>
      </c>
      <c r="CD2125" t="s">
        <v>182</v>
      </c>
      <c r="CE2125" t="s">
        <v>24763</v>
      </c>
      <c r="CF2125" t="s">
        <v>5331</v>
      </c>
      <c r="CG2125" t="s">
        <v>177</v>
      </c>
      <c r="CH2125" t="s">
        <v>371</v>
      </c>
      <c r="CI2125" t="s">
        <v>4622</v>
      </c>
      <c r="CJ2125" t="s">
        <v>15495</v>
      </c>
      <c r="CK2125" t="s">
        <v>232</v>
      </c>
      <c r="CL2125" t="s">
        <v>233</v>
      </c>
      <c r="CM2125" t="s">
        <v>24764</v>
      </c>
      <c r="CN2125" t="s">
        <v>235</v>
      </c>
      <c r="CO2125" t="s">
        <v>183</v>
      </c>
      <c r="CP2125" t="s">
        <v>266</v>
      </c>
      <c r="CS2125" t="s">
        <v>198</v>
      </c>
      <c r="CT2125" t="s">
        <v>21396</v>
      </c>
      <c r="CU2125" t="s">
        <v>292</v>
      </c>
      <c r="CV2125" t="s">
        <v>293</v>
      </c>
      <c r="CW2125" t="s">
        <v>24765</v>
      </c>
      <c r="CX2125" t="s">
        <v>235</v>
      </c>
      <c r="CY2125" t="s">
        <v>183</v>
      </c>
      <c r="CZ2125" t="s">
        <v>211</v>
      </c>
      <c r="DA2125" t="s">
        <v>345</v>
      </c>
      <c r="DC2125" t="s">
        <v>6851</v>
      </c>
      <c r="DD2125" t="s">
        <v>18165</v>
      </c>
      <c r="DE2125" t="s">
        <v>267</v>
      </c>
      <c r="DF2125" t="s">
        <v>268</v>
      </c>
      <c r="DG2125" t="s">
        <v>24766</v>
      </c>
      <c r="DH2125" t="s">
        <v>235</v>
      </c>
      <c r="DI2125" t="s">
        <v>183</v>
      </c>
      <c r="DJ2125" t="s">
        <v>211</v>
      </c>
      <c r="DK2125" t="s">
        <v>345</v>
      </c>
      <c r="DM2125" t="s">
        <v>4103</v>
      </c>
      <c r="DN2125" t="s">
        <v>24767</v>
      </c>
      <c r="DO2125" t="s">
        <v>273</v>
      </c>
      <c r="DP2125" t="s">
        <v>274</v>
      </c>
      <c r="DQ2125" t="s">
        <v>24768</v>
      </c>
      <c r="DR2125" t="s">
        <v>235</v>
      </c>
      <c r="DS2125" t="s">
        <v>183</v>
      </c>
      <c r="DT2125" t="s">
        <v>211</v>
      </c>
      <c r="DU2125" t="s">
        <v>345</v>
      </c>
      <c r="DW2125" t="s">
        <v>7476</v>
      </c>
      <c r="DX2125" t="s">
        <v>18383</v>
      </c>
      <c r="DY2125" t="s">
        <v>302</v>
      </c>
      <c r="DZ2125" t="s">
        <v>303</v>
      </c>
      <c r="EA2125" t="s">
        <v>24769</v>
      </c>
      <c r="EB2125" t="s">
        <v>235</v>
      </c>
      <c r="EC2125" t="s">
        <v>183</v>
      </c>
      <c r="ED2125" t="s">
        <v>211</v>
      </c>
      <c r="EE2125" t="s">
        <v>298</v>
      </c>
      <c r="EG2125" t="s">
        <v>12970</v>
      </c>
      <c r="EQ2125" t="s">
        <v>198</v>
      </c>
      <c r="FA2125" t="s">
        <v>198</v>
      </c>
      <c r="FK2125" t="s">
        <v>198</v>
      </c>
      <c r="FU2125" t="s">
        <v>198</v>
      </c>
    </row>
    <row r="2126" spans="1:177">
      <c r="A2126" s="1" t="str">
        <f>HYPERLINK("http://digipan.lumentumllc.com/apps/getLink/index.php?t=PropLink&amp;p=15733351","PL")</f>
        <v>PL</v>
      </c>
      <c r="B2126" s="1" t="str">
        <f>HYPERLINK("http://digipan.lumentumllc.com/apps/getLink/index.php?t=TaxLink&amp;p=15733351","TL")</f>
        <v>TL</v>
      </c>
      <c r="C2126" s="1" t="str">
        <f>HYPERLINK("http://digipan.lumentumllc.com/apps/getMap/index.php?p=15733351","Map")</f>
        <v>Map</v>
      </c>
      <c r="E2126" t="s">
        <v>177</v>
      </c>
      <c r="F2126" t="s">
        <v>178</v>
      </c>
      <c r="L2126" t="s">
        <v>24770</v>
      </c>
      <c r="N2126" t="s">
        <v>24770</v>
      </c>
      <c r="O2126" t="s">
        <v>24770</v>
      </c>
      <c r="Q2126" t="s">
        <v>24770</v>
      </c>
      <c r="V2126">
        <v>2431</v>
      </c>
      <c r="W2126">
        <v>8</v>
      </c>
      <c r="X2126">
        <v>2017</v>
      </c>
      <c r="Y2126">
        <v>2018</v>
      </c>
      <c r="Z2126">
        <v>7515.13</v>
      </c>
      <c r="AB2126" t="s">
        <v>181</v>
      </c>
      <c r="AC2126" t="s">
        <v>182</v>
      </c>
      <c r="AD2126" t="s">
        <v>183</v>
      </c>
      <c r="AE2126">
        <v>0</v>
      </c>
      <c r="AF2126">
        <v>1</v>
      </c>
      <c r="AG2126" t="s">
        <v>821</v>
      </c>
      <c r="AH2126">
        <v>100</v>
      </c>
      <c r="AK2126">
        <v>0</v>
      </c>
      <c r="AL2126">
        <v>472234</v>
      </c>
      <c r="AM2126">
        <v>125000</v>
      </c>
      <c r="AN2126">
        <v>347234</v>
      </c>
      <c r="AO2126">
        <v>6869</v>
      </c>
      <c r="AP2126">
        <v>2016</v>
      </c>
      <c r="AQ2126">
        <v>1.59</v>
      </c>
      <c r="AS2126" t="s">
        <v>24771</v>
      </c>
      <c r="AT2126" t="s">
        <v>15040</v>
      </c>
      <c r="AU2126" t="s">
        <v>177</v>
      </c>
      <c r="AV2126" t="s">
        <v>371</v>
      </c>
      <c r="AW2126" t="s">
        <v>202</v>
      </c>
      <c r="AX2126">
        <v>1</v>
      </c>
      <c r="AY2126" t="s">
        <v>188</v>
      </c>
      <c r="AZ2126" t="s">
        <v>206</v>
      </c>
      <c r="BA2126" t="s">
        <v>355</v>
      </c>
      <c r="BB2126" t="s">
        <v>191</v>
      </c>
      <c r="BC2126" t="s">
        <v>182</v>
      </c>
      <c r="BD2126" t="s">
        <v>182</v>
      </c>
      <c r="BE2126" t="s">
        <v>3696</v>
      </c>
      <c r="BF2126">
        <v>1</v>
      </c>
      <c r="BG2126">
        <v>1</v>
      </c>
      <c r="BH2126">
        <v>2000</v>
      </c>
      <c r="BI2126" t="s">
        <v>24772</v>
      </c>
      <c r="BJ2126" t="s">
        <v>1945</v>
      </c>
      <c r="BK2126" t="s">
        <v>195</v>
      </c>
      <c r="BL2126" t="s">
        <v>24773</v>
      </c>
      <c r="BM2126" t="s">
        <v>286</v>
      </c>
      <c r="BN2126" t="s">
        <v>182</v>
      </c>
      <c r="BO2126" t="s">
        <v>1855</v>
      </c>
      <c r="BP2126" t="s">
        <v>14397</v>
      </c>
      <c r="BQ2126" t="s">
        <v>800</v>
      </c>
      <c r="BS2126" t="s">
        <v>198</v>
      </c>
      <c r="BT2126" t="s">
        <v>24774</v>
      </c>
      <c r="BU2126" t="s">
        <v>182</v>
      </c>
      <c r="BV2126" t="s">
        <v>198</v>
      </c>
      <c r="BW2126" t="s">
        <v>198</v>
      </c>
      <c r="BX2126" t="s">
        <v>199</v>
      </c>
      <c r="BY2126" t="s">
        <v>198</v>
      </c>
      <c r="BZ2126" t="s">
        <v>199</v>
      </c>
      <c r="CA2126" t="s">
        <v>199</v>
      </c>
      <c r="CB2126" t="s">
        <v>24775</v>
      </c>
      <c r="CC2126" t="s">
        <v>201</v>
      </c>
      <c r="CD2126" t="s">
        <v>182</v>
      </c>
      <c r="CE2126" t="s">
        <v>24776</v>
      </c>
      <c r="CF2126" t="s">
        <v>5331</v>
      </c>
      <c r="CG2126" t="s">
        <v>177</v>
      </c>
      <c r="CH2126" t="s">
        <v>371</v>
      </c>
      <c r="CI2126" t="s">
        <v>20920</v>
      </c>
      <c r="CJ2126" t="s">
        <v>15504</v>
      </c>
      <c r="CK2126" t="s">
        <v>232</v>
      </c>
      <c r="CL2126" t="s">
        <v>233</v>
      </c>
      <c r="CM2126" t="s">
        <v>24777</v>
      </c>
      <c r="CN2126" t="s">
        <v>235</v>
      </c>
      <c r="CO2126" t="s">
        <v>183</v>
      </c>
      <c r="CP2126" t="s">
        <v>211</v>
      </c>
      <c r="CQ2126" t="s">
        <v>199</v>
      </c>
      <c r="CS2126" t="s">
        <v>3403</v>
      </c>
      <c r="DC2126" t="s">
        <v>198</v>
      </c>
      <c r="DM2126" t="s">
        <v>198</v>
      </c>
      <c r="DW2126" t="s">
        <v>198</v>
      </c>
      <c r="EG2126" t="s">
        <v>198</v>
      </c>
      <c r="EQ2126" t="s">
        <v>198</v>
      </c>
      <c r="FA2126" t="s">
        <v>198</v>
      </c>
      <c r="FK2126" t="s">
        <v>198</v>
      </c>
      <c r="FU2126" t="s">
        <v>198</v>
      </c>
    </row>
    <row r="2127" spans="1:177">
      <c r="A2127" s="1" t="str">
        <f>HYPERLINK("http://digipan.lumentumllc.com/apps/getLink/index.php?t=PropLink&amp;p=6128697","PL")</f>
        <v>PL</v>
      </c>
      <c r="B2127" s="1" t="str">
        <f>HYPERLINK("http://digipan.lumentumllc.com/apps/getLink/index.php?t=TaxLink&amp;p=6128697","TL")</f>
        <v>TL</v>
      </c>
      <c r="C2127" s="1" t="str">
        <f>HYPERLINK("http://digipan.lumentumllc.com/apps/getMap/index.php?p=6128697","Map")</f>
        <v>Map</v>
      </c>
      <c r="E2127" t="s">
        <v>177</v>
      </c>
      <c r="F2127" t="s">
        <v>178</v>
      </c>
      <c r="L2127" t="s">
        <v>24778</v>
      </c>
      <c r="N2127" t="s">
        <v>24778</v>
      </c>
      <c r="O2127" t="s">
        <v>24778</v>
      </c>
      <c r="P2127" t="s">
        <v>24779</v>
      </c>
      <c r="Q2127" t="s">
        <v>24778</v>
      </c>
      <c r="V2127">
        <v>2432</v>
      </c>
      <c r="W2127">
        <v>8</v>
      </c>
      <c r="X2127">
        <v>2017</v>
      </c>
      <c r="Y2127">
        <v>2018</v>
      </c>
      <c r="Z2127">
        <v>2581.48</v>
      </c>
      <c r="AG2127" t="s">
        <v>184</v>
      </c>
      <c r="AH2127">
        <v>0</v>
      </c>
      <c r="AK2127">
        <v>0</v>
      </c>
      <c r="AL2127">
        <v>125000</v>
      </c>
      <c r="AM2127">
        <v>125000</v>
      </c>
      <c r="AN2127">
        <v>0</v>
      </c>
      <c r="AO2127">
        <v>2187</v>
      </c>
      <c r="AP2127">
        <v>2016</v>
      </c>
      <c r="AQ2127">
        <v>2.0699999999999998</v>
      </c>
      <c r="AS2127" t="s">
        <v>24780</v>
      </c>
      <c r="AT2127" t="s">
        <v>15040</v>
      </c>
      <c r="AU2127" t="s">
        <v>177</v>
      </c>
      <c r="AV2127" t="s">
        <v>371</v>
      </c>
      <c r="AW2127" t="s">
        <v>182</v>
      </c>
      <c r="AX2127">
        <v>0</v>
      </c>
      <c r="AY2127" t="s">
        <v>312</v>
      </c>
      <c r="AZ2127" t="s">
        <v>199</v>
      </c>
      <c r="BA2127" t="s">
        <v>313</v>
      </c>
      <c r="BB2127" t="s">
        <v>191</v>
      </c>
      <c r="BC2127" t="s">
        <v>182</v>
      </c>
      <c r="BD2127" t="s">
        <v>182</v>
      </c>
      <c r="BE2127" t="s">
        <v>5992</v>
      </c>
      <c r="BF2127">
        <v>0</v>
      </c>
      <c r="BG2127">
        <v>0</v>
      </c>
      <c r="BH2127">
        <v>0</v>
      </c>
      <c r="BI2127" t="s">
        <v>199</v>
      </c>
      <c r="BJ2127" t="s">
        <v>248</v>
      </c>
      <c r="BL2127" t="s">
        <v>2801</v>
      </c>
      <c r="BM2127" t="s">
        <v>197</v>
      </c>
      <c r="BN2127" t="s">
        <v>182</v>
      </c>
      <c r="BO2127" t="s">
        <v>198</v>
      </c>
      <c r="BP2127" t="s">
        <v>198</v>
      </c>
      <c r="BQ2127" t="s">
        <v>198</v>
      </c>
      <c r="BR2127" t="s">
        <v>198</v>
      </c>
      <c r="BS2127" t="s">
        <v>198</v>
      </c>
      <c r="BT2127" t="s">
        <v>198</v>
      </c>
      <c r="BU2127" t="s">
        <v>182</v>
      </c>
      <c r="BV2127" t="s">
        <v>198</v>
      </c>
      <c r="BW2127" t="s">
        <v>198</v>
      </c>
      <c r="BX2127" t="s">
        <v>199</v>
      </c>
      <c r="BY2127" t="s">
        <v>198</v>
      </c>
      <c r="BZ2127" t="s">
        <v>199</v>
      </c>
      <c r="CA2127" t="s">
        <v>199</v>
      </c>
      <c r="CB2127" t="s">
        <v>24634</v>
      </c>
      <c r="CC2127" t="s">
        <v>1407</v>
      </c>
      <c r="CD2127" t="s">
        <v>202</v>
      </c>
      <c r="CE2127" t="s">
        <v>24635</v>
      </c>
      <c r="CF2127" t="s">
        <v>5331</v>
      </c>
      <c r="CG2127" t="s">
        <v>177</v>
      </c>
      <c r="CH2127" t="s">
        <v>371</v>
      </c>
      <c r="CI2127" t="s">
        <v>2915</v>
      </c>
      <c r="CS2127" t="s">
        <v>198</v>
      </c>
      <c r="DC2127" t="s">
        <v>198</v>
      </c>
      <c r="DM2127" t="s">
        <v>198</v>
      </c>
      <c r="DW2127" t="s">
        <v>198</v>
      </c>
      <c r="EG2127" t="s">
        <v>198</v>
      </c>
      <c r="EQ2127" t="s">
        <v>198</v>
      </c>
      <c r="FA2127" t="s">
        <v>198</v>
      </c>
      <c r="FK2127" t="s">
        <v>198</v>
      </c>
      <c r="FU2127" t="s">
        <v>198</v>
      </c>
    </row>
    <row r="2128" spans="1:177">
      <c r="A2128" s="1" t="str">
        <f>HYPERLINK("http://digipan.lumentumllc.com/apps/getLink/index.php?t=PropLink&amp;p=15733491","PL")</f>
        <v>PL</v>
      </c>
      <c r="B2128" s="1" t="str">
        <f>HYPERLINK("http://digipan.lumentumllc.com/apps/getLink/index.php?t=TaxLink&amp;p=15733491","TL")</f>
        <v>TL</v>
      </c>
      <c r="C2128" s="1" t="str">
        <f>HYPERLINK("http://digipan.lumentumllc.com/apps/getMap/index.php?p=15733491","Map")</f>
        <v>Map</v>
      </c>
      <c r="E2128" t="s">
        <v>177</v>
      </c>
      <c r="F2128" t="s">
        <v>178</v>
      </c>
      <c r="L2128" t="s">
        <v>24781</v>
      </c>
      <c r="N2128" t="s">
        <v>24781</v>
      </c>
      <c r="O2128" t="s">
        <v>24781</v>
      </c>
      <c r="Q2128" t="s">
        <v>24781</v>
      </c>
      <c r="V2128">
        <v>2433</v>
      </c>
      <c r="W2128">
        <v>8</v>
      </c>
      <c r="X2128">
        <v>2017</v>
      </c>
      <c r="Y2128">
        <v>2018</v>
      </c>
      <c r="Z2128">
        <v>1517.21</v>
      </c>
      <c r="AG2128" t="s">
        <v>184</v>
      </c>
      <c r="AH2128">
        <v>0</v>
      </c>
      <c r="AK2128">
        <v>0</v>
      </c>
      <c r="AL2128">
        <v>75000</v>
      </c>
      <c r="AM2128">
        <v>75000</v>
      </c>
      <c r="AN2128">
        <v>0</v>
      </c>
      <c r="AO2128">
        <v>1247</v>
      </c>
      <c r="AP2128">
        <v>2016</v>
      </c>
      <c r="AQ2128">
        <v>2.02</v>
      </c>
      <c r="AS2128" t="s">
        <v>24782</v>
      </c>
      <c r="AT2128" t="s">
        <v>15040</v>
      </c>
      <c r="AU2128" t="s">
        <v>177</v>
      </c>
      <c r="AV2128" t="s">
        <v>371</v>
      </c>
      <c r="AW2128" t="s">
        <v>182</v>
      </c>
      <c r="AX2128">
        <v>0</v>
      </c>
      <c r="AY2128" t="s">
        <v>312</v>
      </c>
      <c r="AZ2128" t="s">
        <v>199</v>
      </c>
      <c r="BA2128" t="s">
        <v>313</v>
      </c>
      <c r="BB2128" t="s">
        <v>191</v>
      </c>
      <c r="BC2128" t="s">
        <v>182</v>
      </c>
      <c r="BD2128" t="s">
        <v>182</v>
      </c>
      <c r="BE2128" t="s">
        <v>13126</v>
      </c>
      <c r="BF2128">
        <v>0</v>
      </c>
      <c r="BG2128">
        <v>0</v>
      </c>
      <c r="BH2128">
        <v>0</v>
      </c>
      <c r="BI2128" t="s">
        <v>199</v>
      </c>
      <c r="BJ2128" t="s">
        <v>248</v>
      </c>
      <c r="BL2128" t="s">
        <v>824</v>
      </c>
      <c r="BM2128" t="s">
        <v>197</v>
      </c>
      <c r="BN2128" t="s">
        <v>182</v>
      </c>
      <c r="BO2128" t="s">
        <v>198</v>
      </c>
      <c r="BP2128" t="s">
        <v>198</v>
      </c>
      <c r="BQ2128" t="s">
        <v>198</v>
      </c>
      <c r="BR2128" t="s">
        <v>198</v>
      </c>
      <c r="BS2128" t="s">
        <v>198</v>
      </c>
      <c r="BT2128" t="s">
        <v>198</v>
      </c>
      <c r="BU2128" t="s">
        <v>182</v>
      </c>
      <c r="BV2128" t="s">
        <v>198</v>
      </c>
      <c r="BW2128" t="s">
        <v>198</v>
      </c>
      <c r="BX2128" t="s">
        <v>199</v>
      </c>
      <c r="BY2128" t="s">
        <v>198</v>
      </c>
      <c r="BZ2128" t="s">
        <v>199</v>
      </c>
      <c r="CA2128" t="s">
        <v>199</v>
      </c>
      <c r="CB2128" t="s">
        <v>24783</v>
      </c>
      <c r="CC2128" t="s">
        <v>201</v>
      </c>
      <c r="CD2128" t="s">
        <v>202</v>
      </c>
      <c r="CE2128" t="s">
        <v>24784</v>
      </c>
      <c r="CF2128" t="s">
        <v>5331</v>
      </c>
      <c r="CG2128" t="s">
        <v>177</v>
      </c>
      <c r="CH2128" t="s">
        <v>371</v>
      </c>
      <c r="CI2128" t="s">
        <v>7898</v>
      </c>
      <c r="CS2128" t="s">
        <v>198</v>
      </c>
      <c r="DC2128" t="s">
        <v>198</v>
      </c>
      <c r="DM2128" t="s">
        <v>198</v>
      </c>
      <c r="DW2128" t="s">
        <v>198</v>
      </c>
      <c r="EG2128" t="s">
        <v>198</v>
      </c>
      <c r="EQ2128" t="s">
        <v>198</v>
      </c>
      <c r="FA2128" t="s">
        <v>198</v>
      </c>
      <c r="FK2128" t="s">
        <v>198</v>
      </c>
      <c r="FU2128" t="s">
        <v>198</v>
      </c>
    </row>
    <row r="2129" spans="1:177">
      <c r="A2129" s="1" t="str">
        <f>HYPERLINK("http://digipan.lumentumllc.com/apps/getLink/index.php?t=PropLink&amp;p=6128703","PL")</f>
        <v>PL</v>
      </c>
      <c r="B2129" s="1" t="str">
        <f>HYPERLINK("http://digipan.lumentumllc.com/apps/getLink/index.php?t=TaxLink&amp;p=6128703","TL")</f>
        <v>TL</v>
      </c>
      <c r="C2129" s="1" t="str">
        <f>HYPERLINK("http://digipan.lumentumllc.com/apps/getMap/index.php?p=6128703","Map")</f>
        <v>Map</v>
      </c>
      <c r="E2129" t="s">
        <v>177</v>
      </c>
      <c r="F2129" t="s">
        <v>178</v>
      </c>
      <c r="L2129" t="s">
        <v>24785</v>
      </c>
      <c r="N2129" t="s">
        <v>24785</v>
      </c>
      <c r="O2129" t="s">
        <v>24785</v>
      </c>
      <c r="P2129" t="s">
        <v>24786</v>
      </c>
      <c r="Q2129" t="s">
        <v>24785</v>
      </c>
      <c r="V2129">
        <v>2435</v>
      </c>
      <c r="W2129">
        <v>8</v>
      </c>
      <c r="X2129">
        <v>2017</v>
      </c>
      <c r="Y2129">
        <v>2018</v>
      </c>
      <c r="Z2129">
        <v>6414.37</v>
      </c>
      <c r="AB2129" t="s">
        <v>181</v>
      </c>
      <c r="AC2129" t="s">
        <v>182</v>
      </c>
      <c r="AD2129" t="s">
        <v>183</v>
      </c>
      <c r="AE2129">
        <v>1</v>
      </c>
      <c r="AF2129">
        <v>4</v>
      </c>
      <c r="AG2129" t="s">
        <v>951</v>
      </c>
      <c r="AH2129">
        <v>80</v>
      </c>
      <c r="AI2129">
        <v>6489.45</v>
      </c>
      <c r="AJ2129">
        <v>324.47000000000003</v>
      </c>
      <c r="AK2129">
        <v>6813.92</v>
      </c>
      <c r="AL2129">
        <v>296096</v>
      </c>
      <c r="AM2129">
        <v>207000</v>
      </c>
      <c r="AN2129">
        <v>89096</v>
      </c>
      <c r="AO2129">
        <v>5975</v>
      </c>
      <c r="AP2129">
        <v>2016</v>
      </c>
      <c r="AQ2129">
        <v>2.17</v>
      </c>
      <c r="AR2129">
        <v>2.2999999999999998</v>
      </c>
      <c r="AS2129" t="s">
        <v>24787</v>
      </c>
      <c r="AT2129" t="s">
        <v>15040</v>
      </c>
      <c r="AU2129" t="s">
        <v>177</v>
      </c>
      <c r="AV2129" t="s">
        <v>371</v>
      </c>
      <c r="AW2129" t="s">
        <v>182</v>
      </c>
      <c r="AX2129">
        <v>11</v>
      </c>
      <c r="AY2129" t="s">
        <v>3641</v>
      </c>
      <c r="AZ2129" t="s">
        <v>212</v>
      </c>
      <c r="BA2129" t="s">
        <v>5959</v>
      </c>
      <c r="BB2129" t="s">
        <v>191</v>
      </c>
      <c r="BC2129" t="s">
        <v>182</v>
      </c>
      <c r="BD2129" t="s">
        <v>182</v>
      </c>
      <c r="BE2129" t="s">
        <v>6008</v>
      </c>
      <c r="BF2129">
        <v>1</v>
      </c>
      <c r="BG2129">
        <v>0</v>
      </c>
      <c r="BH2129">
        <v>1972</v>
      </c>
      <c r="BI2129" t="s">
        <v>24788</v>
      </c>
      <c r="BJ2129" t="s">
        <v>396</v>
      </c>
      <c r="BK2129" t="s">
        <v>195</v>
      </c>
      <c r="BL2129" t="s">
        <v>24789</v>
      </c>
      <c r="BM2129" t="s">
        <v>559</v>
      </c>
      <c r="BN2129" t="s">
        <v>182</v>
      </c>
      <c r="BO2129" t="s">
        <v>24790</v>
      </c>
      <c r="BP2129" t="s">
        <v>24791</v>
      </c>
      <c r="BQ2129" t="s">
        <v>904</v>
      </c>
      <c r="BR2129" t="s">
        <v>3108</v>
      </c>
      <c r="BS2129" t="s">
        <v>198</v>
      </c>
      <c r="BT2129" t="s">
        <v>17452</v>
      </c>
      <c r="BU2129" t="s">
        <v>182</v>
      </c>
      <c r="BV2129" t="s">
        <v>198</v>
      </c>
      <c r="BW2129" t="s">
        <v>198</v>
      </c>
      <c r="BX2129" t="s">
        <v>199</v>
      </c>
      <c r="BY2129" t="s">
        <v>198</v>
      </c>
      <c r="BZ2129" t="s">
        <v>199</v>
      </c>
      <c r="CA2129" t="s">
        <v>199</v>
      </c>
      <c r="CB2129" t="s">
        <v>20134</v>
      </c>
      <c r="CC2129" t="s">
        <v>201</v>
      </c>
      <c r="CD2129" t="s">
        <v>182</v>
      </c>
      <c r="CE2129" t="s">
        <v>24792</v>
      </c>
      <c r="CF2129" t="s">
        <v>5331</v>
      </c>
      <c r="CG2129" t="s">
        <v>177</v>
      </c>
      <c r="CH2129" t="s">
        <v>371</v>
      </c>
      <c r="CI2129" t="s">
        <v>24793</v>
      </c>
      <c r="CJ2129" t="s">
        <v>16068</v>
      </c>
      <c r="CK2129" t="s">
        <v>232</v>
      </c>
      <c r="CL2129" t="s">
        <v>233</v>
      </c>
      <c r="CM2129" t="s">
        <v>24794</v>
      </c>
      <c r="CN2129" t="s">
        <v>235</v>
      </c>
      <c r="CO2129" t="s">
        <v>183</v>
      </c>
      <c r="CP2129" t="s">
        <v>266</v>
      </c>
      <c r="CS2129" t="s">
        <v>198</v>
      </c>
      <c r="CT2129" t="s">
        <v>15895</v>
      </c>
      <c r="CU2129" t="s">
        <v>292</v>
      </c>
      <c r="CV2129" t="s">
        <v>293</v>
      </c>
      <c r="CW2129" t="s">
        <v>24795</v>
      </c>
      <c r="CX2129" t="s">
        <v>235</v>
      </c>
      <c r="CY2129" t="s">
        <v>183</v>
      </c>
      <c r="CZ2129" t="s">
        <v>211</v>
      </c>
      <c r="DA2129" t="s">
        <v>298</v>
      </c>
      <c r="DC2129" t="s">
        <v>3703</v>
      </c>
      <c r="DD2129" t="s">
        <v>15041</v>
      </c>
      <c r="DE2129" t="s">
        <v>267</v>
      </c>
      <c r="DF2129" t="s">
        <v>268</v>
      </c>
      <c r="DG2129" t="s">
        <v>24796</v>
      </c>
      <c r="DH2129" t="s">
        <v>235</v>
      </c>
      <c r="DI2129" t="s">
        <v>183</v>
      </c>
      <c r="DJ2129" t="s">
        <v>211</v>
      </c>
      <c r="DK2129" t="s">
        <v>345</v>
      </c>
      <c r="DM2129" t="s">
        <v>542</v>
      </c>
      <c r="DN2129" t="s">
        <v>18012</v>
      </c>
      <c r="DO2129" t="s">
        <v>273</v>
      </c>
      <c r="DP2129" t="s">
        <v>274</v>
      </c>
      <c r="DQ2129" t="s">
        <v>24797</v>
      </c>
      <c r="DR2129" t="s">
        <v>235</v>
      </c>
      <c r="DS2129" t="s">
        <v>183</v>
      </c>
      <c r="DT2129" t="s">
        <v>211</v>
      </c>
      <c r="DU2129" t="s">
        <v>345</v>
      </c>
      <c r="DW2129" t="s">
        <v>7428</v>
      </c>
      <c r="DX2129" t="s">
        <v>5417</v>
      </c>
      <c r="DY2129" t="s">
        <v>238</v>
      </c>
      <c r="DZ2129" t="s">
        <v>239</v>
      </c>
      <c r="EA2129" t="s">
        <v>24798</v>
      </c>
      <c r="EB2129" t="s">
        <v>235</v>
      </c>
      <c r="EC2129" t="s">
        <v>183</v>
      </c>
      <c r="ED2129" t="s">
        <v>211</v>
      </c>
      <c r="EE2129" t="s">
        <v>345</v>
      </c>
      <c r="EG2129" t="s">
        <v>2753</v>
      </c>
      <c r="EQ2129" t="s">
        <v>198</v>
      </c>
      <c r="FA2129" t="s">
        <v>198</v>
      </c>
      <c r="FK2129" t="s">
        <v>198</v>
      </c>
      <c r="FU2129" t="s">
        <v>198</v>
      </c>
    </row>
    <row r="2130" spans="1:177">
      <c r="A2130" s="1" t="str">
        <f>HYPERLINK("http://digipan.lumentumllc.com/apps/getLink/index.php?t=PropLink&amp;p=5244489","PL")</f>
        <v>PL</v>
      </c>
      <c r="B2130" s="1" t="str">
        <f>HYPERLINK("http://digipan.lumentumllc.com/apps/getLink/index.php?t=TaxLink&amp;p=5244489","TL")</f>
        <v>TL</v>
      </c>
      <c r="C2130" s="1" t="str">
        <f>HYPERLINK("http://digipan.lumentumllc.com/apps/getMap/index.php?p=5244489","Map")</f>
        <v>Map</v>
      </c>
      <c r="E2130" t="s">
        <v>177</v>
      </c>
      <c r="F2130" t="s">
        <v>178</v>
      </c>
      <c r="L2130" t="s">
        <v>24799</v>
      </c>
      <c r="N2130" t="s">
        <v>24799</v>
      </c>
      <c r="O2130" t="s">
        <v>24799</v>
      </c>
      <c r="P2130" t="s">
        <v>24800</v>
      </c>
      <c r="Q2130" t="s">
        <v>24799</v>
      </c>
      <c r="V2130">
        <v>2436</v>
      </c>
      <c r="W2130">
        <v>8</v>
      </c>
      <c r="X2130">
        <v>2017</v>
      </c>
      <c r="Y2130">
        <v>2018</v>
      </c>
      <c r="Z2130">
        <v>9175.91</v>
      </c>
      <c r="AB2130" t="s">
        <v>181</v>
      </c>
      <c r="AC2130" t="s">
        <v>182</v>
      </c>
      <c r="AD2130" t="s">
        <v>183</v>
      </c>
      <c r="AE2130">
        <v>0</v>
      </c>
      <c r="AF2130">
        <v>5</v>
      </c>
      <c r="AG2130" t="s">
        <v>744</v>
      </c>
      <c r="AH2130">
        <v>100</v>
      </c>
      <c r="AK2130">
        <v>0</v>
      </c>
      <c r="AL2130">
        <v>424212</v>
      </c>
      <c r="AM2130">
        <v>190750</v>
      </c>
      <c r="AN2130">
        <v>233462</v>
      </c>
      <c r="AO2130">
        <v>8263</v>
      </c>
      <c r="AP2130">
        <v>2016</v>
      </c>
      <c r="AQ2130">
        <v>2.16</v>
      </c>
      <c r="AS2130" t="s">
        <v>24801</v>
      </c>
      <c r="AT2130" t="s">
        <v>15040</v>
      </c>
      <c r="AU2130" t="s">
        <v>177</v>
      </c>
      <c r="AV2130" t="s">
        <v>371</v>
      </c>
      <c r="AW2130" t="s">
        <v>182</v>
      </c>
      <c r="AX2130">
        <v>1</v>
      </c>
      <c r="AY2130" t="s">
        <v>188</v>
      </c>
      <c r="AZ2130" t="s">
        <v>206</v>
      </c>
      <c r="BA2130" t="s">
        <v>355</v>
      </c>
      <c r="BB2130" t="s">
        <v>191</v>
      </c>
      <c r="BC2130" t="s">
        <v>182</v>
      </c>
      <c r="BD2130" t="s">
        <v>182</v>
      </c>
      <c r="BE2130" t="s">
        <v>5975</v>
      </c>
      <c r="BF2130">
        <v>1</v>
      </c>
      <c r="BG2130">
        <v>1</v>
      </c>
      <c r="BH2130">
        <v>2000</v>
      </c>
      <c r="BI2130" t="s">
        <v>12652</v>
      </c>
      <c r="BJ2130" t="s">
        <v>396</v>
      </c>
      <c r="BK2130" t="s">
        <v>195</v>
      </c>
      <c r="BL2130" t="s">
        <v>24116</v>
      </c>
      <c r="BM2130" t="s">
        <v>559</v>
      </c>
      <c r="BN2130" t="s">
        <v>182</v>
      </c>
      <c r="BO2130" t="s">
        <v>24802</v>
      </c>
      <c r="BP2130" t="s">
        <v>24803</v>
      </c>
      <c r="BQ2130" t="s">
        <v>562</v>
      </c>
      <c r="BR2130" t="s">
        <v>563</v>
      </c>
      <c r="BS2130" t="s">
        <v>198</v>
      </c>
      <c r="BT2130" t="s">
        <v>2369</v>
      </c>
      <c r="BU2130" t="s">
        <v>182</v>
      </c>
      <c r="BV2130" t="s">
        <v>198</v>
      </c>
      <c r="BW2130" t="s">
        <v>198</v>
      </c>
      <c r="BX2130" t="s">
        <v>199</v>
      </c>
      <c r="BY2130" t="s">
        <v>198</v>
      </c>
      <c r="BZ2130" t="s">
        <v>199</v>
      </c>
      <c r="CA2130" t="s">
        <v>199</v>
      </c>
      <c r="CB2130" t="s">
        <v>24804</v>
      </c>
      <c r="CC2130" t="s">
        <v>201</v>
      </c>
      <c r="CD2130" t="s">
        <v>182</v>
      </c>
      <c r="CE2130" t="s">
        <v>24805</v>
      </c>
      <c r="CF2130" t="s">
        <v>24806</v>
      </c>
      <c r="CG2130" t="s">
        <v>6417</v>
      </c>
      <c r="CH2130" t="s">
        <v>24807</v>
      </c>
      <c r="CI2130" t="s">
        <v>24808</v>
      </c>
      <c r="CJ2130" t="s">
        <v>11432</v>
      </c>
      <c r="CK2130" t="s">
        <v>267</v>
      </c>
      <c r="CL2130" t="s">
        <v>268</v>
      </c>
      <c r="CM2130" t="s">
        <v>24809</v>
      </c>
      <c r="CN2130" t="s">
        <v>235</v>
      </c>
      <c r="CO2130" t="s">
        <v>183</v>
      </c>
      <c r="CP2130" t="s">
        <v>211</v>
      </c>
      <c r="CQ2130" t="s">
        <v>264</v>
      </c>
      <c r="CS2130" t="s">
        <v>24810</v>
      </c>
      <c r="CT2130" t="s">
        <v>18046</v>
      </c>
      <c r="CU2130" t="s">
        <v>273</v>
      </c>
      <c r="CV2130" t="s">
        <v>274</v>
      </c>
      <c r="CW2130" t="s">
        <v>24811</v>
      </c>
      <c r="CX2130" t="s">
        <v>235</v>
      </c>
      <c r="CY2130" t="s">
        <v>183</v>
      </c>
      <c r="CZ2130" t="s">
        <v>211</v>
      </c>
      <c r="DA2130" t="s">
        <v>290</v>
      </c>
      <c r="DC2130" t="s">
        <v>19919</v>
      </c>
      <c r="DD2130" t="s">
        <v>15892</v>
      </c>
      <c r="DE2130" t="s">
        <v>302</v>
      </c>
      <c r="DF2130" t="s">
        <v>303</v>
      </c>
      <c r="DG2130" t="s">
        <v>24812</v>
      </c>
      <c r="DH2130" t="s">
        <v>235</v>
      </c>
      <c r="DI2130" t="s">
        <v>183</v>
      </c>
      <c r="DJ2130" t="s">
        <v>211</v>
      </c>
      <c r="DK2130" t="s">
        <v>329</v>
      </c>
      <c r="DM2130" t="s">
        <v>14910</v>
      </c>
      <c r="DN2130" t="s">
        <v>24813</v>
      </c>
      <c r="DO2130" t="s">
        <v>346</v>
      </c>
      <c r="DP2130" t="s">
        <v>347</v>
      </c>
      <c r="DQ2130" t="s">
        <v>24814</v>
      </c>
      <c r="DR2130" t="s">
        <v>235</v>
      </c>
      <c r="DS2130" t="s">
        <v>183</v>
      </c>
      <c r="DT2130" t="s">
        <v>211</v>
      </c>
      <c r="DU2130" t="s">
        <v>427</v>
      </c>
      <c r="DW2130" t="s">
        <v>24815</v>
      </c>
      <c r="DX2130" t="s">
        <v>24816</v>
      </c>
      <c r="DY2130" t="s">
        <v>207</v>
      </c>
      <c r="DZ2130" t="s">
        <v>208</v>
      </c>
      <c r="EA2130" t="s">
        <v>24817</v>
      </c>
      <c r="EB2130" t="s">
        <v>235</v>
      </c>
      <c r="EC2130" t="s">
        <v>183</v>
      </c>
      <c r="ED2130" t="s">
        <v>211</v>
      </c>
      <c r="EE2130" t="s">
        <v>250</v>
      </c>
      <c r="EG2130" t="s">
        <v>20483</v>
      </c>
      <c r="EQ2130" t="s">
        <v>198</v>
      </c>
      <c r="FA2130" t="s">
        <v>198</v>
      </c>
      <c r="FK2130" t="s">
        <v>198</v>
      </c>
      <c r="FU2130" t="s">
        <v>198</v>
      </c>
    </row>
    <row r="2131" spans="1:177">
      <c r="A2131" s="1" t="str">
        <f>HYPERLINK("http://digipan.lumentumllc.com/apps/getLink/index.php?t=PropLink&amp;p=5244490","PL")</f>
        <v>PL</v>
      </c>
      <c r="B2131" s="1" t="str">
        <f>HYPERLINK("http://digipan.lumentumllc.com/apps/getLink/index.php?t=TaxLink&amp;p=5244490","TL")</f>
        <v>TL</v>
      </c>
      <c r="C2131" s="1" t="str">
        <f>HYPERLINK("http://digipan.lumentumllc.com/apps/getMap/index.php?p=5244490","Map")</f>
        <v>Map</v>
      </c>
      <c r="E2131" t="s">
        <v>177</v>
      </c>
      <c r="F2131" t="s">
        <v>178</v>
      </c>
      <c r="L2131" t="s">
        <v>24818</v>
      </c>
      <c r="N2131" t="s">
        <v>24818</v>
      </c>
      <c r="O2131" t="s">
        <v>24818</v>
      </c>
      <c r="P2131" t="s">
        <v>24819</v>
      </c>
      <c r="Q2131" t="s">
        <v>24818</v>
      </c>
      <c r="V2131">
        <v>2437</v>
      </c>
      <c r="W2131">
        <v>8</v>
      </c>
      <c r="X2131">
        <v>2017</v>
      </c>
      <c r="Y2131">
        <v>2018</v>
      </c>
      <c r="Z2131">
        <v>9307.42</v>
      </c>
      <c r="AB2131" t="s">
        <v>181</v>
      </c>
      <c r="AC2131" t="s">
        <v>202</v>
      </c>
      <c r="AD2131" t="s">
        <v>183</v>
      </c>
      <c r="AE2131">
        <v>0</v>
      </c>
      <c r="AF2131">
        <v>4</v>
      </c>
      <c r="AG2131" t="s">
        <v>744</v>
      </c>
      <c r="AH2131">
        <v>100</v>
      </c>
      <c r="AK2131">
        <v>0</v>
      </c>
      <c r="AL2131">
        <v>430313</v>
      </c>
      <c r="AM2131">
        <v>175000</v>
      </c>
      <c r="AN2131">
        <v>255313</v>
      </c>
      <c r="AO2131">
        <v>8243</v>
      </c>
      <c r="AP2131">
        <v>2016</v>
      </c>
      <c r="AQ2131">
        <v>2.16</v>
      </c>
      <c r="AS2131" t="s">
        <v>24820</v>
      </c>
      <c r="AT2131" t="s">
        <v>15040</v>
      </c>
      <c r="AU2131" t="s">
        <v>177</v>
      </c>
      <c r="AV2131" t="s">
        <v>371</v>
      </c>
      <c r="AW2131" t="s">
        <v>182</v>
      </c>
      <c r="AX2131">
        <v>1</v>
      </c>
      <c r="AY2131" t="s">
        <v>188</v>
      </c>
      <c r="AZ2131" t="s">
        <v>206</v>
      </c>
      <c r="BA2131" t="s">
        <v>355</v>
      </c>
      <c r="BB2131" t="s">
        <v>191</v>
      </c>
      <c r="BC2131" t="s">
        <v>182</v>
      </c>
      <c r="BD2131" t="s">
        <v>182</v>
      </c>
      <c r="BE2131" t="s">
        <v>3956</v>
      </c>
      <c r="BF2131">
        <v>1</v>
      </c>
      <c r="BG2131">
        <v>1</v>
      </c>
      <c r="BH2131">
        <v>1987</v>
      </c>
      <c r="BI2131" t="s">
        <v>24821</v>
      </c>
      <c r="BJ2131" t="s">
        <v>396</v>
      </c>
      <c r="BK2131" t="s">
        <v>195</v>
      </c>
      <c r="BL2131" t="s">
        <v>24822</v>
      </c>
      <c r="BM2131" t="s">
        <v>292</v>
      </c>
      <c r="BN2131" t="s">
        <v>182</v>
      </c>
      <c r="BO2131" t="s">
        <v>24823</v>
      </c>
      <c r="BP2131" t="s">
        <v>21837</v>
      </c>
      <c r="BQ2131" t="s">
        <v>562</v>
      </c>
      <c r="BR2131" t="s">
        <v>563</v>
      </c>
      <c r="BS2131" t="s">
        <v>198</v>
      </c>
      <c r="BT2131" t="s">
        <v>915</v>
      </c>
      <c r="BU2131" t="s">
        <v>182</v>
      </c>
      <c r="BV2131" t="s">
        <v>198</v>
      </c>
      <c r="BW2131" t="s">
        <v>198</v>
      </c>
      <c r="BX2131" t="s">
        <v>199</v>
      </c>
      <c r="BY2131" t="s">
        <v>198</v>
      </c>
      <c r="BZ2131" t="s">
        <v>199</v>
      </c>
      <c r="CA2131" t="s">
        <v>199</v>
      </c>
      <c r="CB2131" t="s">
        <v>24824</v>
      </c>
      <c r="CC2131" t="s">
        <v>201</v>
      </c>
      <c r="CD2131" t="s">
        <v>202</v>
      </c>
      <c r="CE2131" t="s">
        <v>24825</v>
      </c>
      <c r="CF2131" t="s">
        <v>5331</v>
      </c>
      <c r="CG2131" t="s">
        <v>177</v>
      </c>
      <c r="CH2131" t="s">
        <v>371</v>
      </c>
      <c r="CI2131" t="s">
        <v>24826</v>
      </c>
      <c r="CJ2131" t="s">
        <v>16829</v>
      </c>
      <c r="CK2131" t="s">
        <v>273</v>
      </c>
      <c r="CL2131" t="s">
        <v>274</v>
      </c>
      <c r="CM2131" t="s">
        <v>24827</v>
      </c>
      <c r="CN2131" t="s">
        <v>235</v>
      </c>
      <c r="CO2131" t="s">
        <v>183</v>
      </c>
      <c r="CP2131" t="s">
        <v>211</v>
      </c>
      <c r="CQ2131" t="s">
        <v>270</v>
      </c>
      <c r="CR2131" t="s">
        <v>271</v>
      </c>
      <c r="CS2131" t="s">
        <v>4984</v>
      </c>
      <c r="CT2131" t="s">
        <v>16459</v>
      </c>
      <c r="CU2131" t="s">
        <v>302</v>
      </c>
      <c r="CV2131" t="s">
        <v>303</v>
      </c>
      <c r="CW2131" t="s">
        <v>24828</v>
      </c>
      <c r="CX2131" t="s">
        <v>235</v>
      </c>
      <c r="CY2131" t="s">
        <v>183</v>
      </c>
      <c r="CZ2131" t="s">
        <v>211</v>
      </c>
      <c r="DB2131" t="s">
        <v>271</v>
      </c>
      <c r="DC2131" t="s">
        <v>198</v>
      </c>
      <c r="DD2131" t="s">
        <v>21726</v>
      </c>
      <c r="DE2131" t="s">
        <v>238</v>
      </c>
      <c r="DF2131" t="s">
        <v>303</v>
      </c>
      <c r="DG2131" t="s">
        <v>24829</v>
      </c>
      <c r="DH2131" t="s">
        <v>235</v>
      </c>
      <c r="DI2131" t="s">
        <v>183</v>
      </c>
      <c r="DJ2131" t="s">
        <v>211</v>
      </c>
      <c r="DK2131" t="s">
        <v>337</v>
      </c>
      <c r="DL2131" t="s">
        <v>271</v>
      </c>
      <c r="DM2131" t="s">
        <v>4984</v>
      </c>
      <c r="DN2131" t="s">
        <v>24830</v>
      </c>
      <c r="DO2131" t="s">
        <v>346</v>
      </c>
      <c r="DP2131" t="s">
        <v>347</v>
      </c>
      <c r="DQ2131" t="s">
        <v>24831</v>
      </c>
      <c r="DR2131" t="s">
        <v>235</v>
      </c>
      <c r="DS2131" t="s">
        <v>183</v>
      </c>
      <c r="DT2131" t="s">
        <v>211</v>
      </c>
      <c r="DU2131" t="s">
        <v>334</v>
      </c>
      <c r="DW2131" t="s">
        <v>24832</v>
      </c>
      <c r="EG2131" t="s">
        <v>198</v>
      </c>
      <c r="EQ2131" t="s">
        <v>198</v>
      </c>
      <c r="FA2131" t="s">
        <v>198</v>
      </c>
      <c r="FK2131" t="s">
        <v>198</v>
      </c>
      <c r="FU2131" t="s">
        <v>198</v>
      </c>
    </row>
    <row r="2132" spans="1:177">
      <c r="A2132" s="1" t="str">
        <f>HYPERLINK("http://digipan.lumentumllc.com/apps/getLink/index.php?t=PropLink&amp;p=15733597","PL")</f>
        <v>PL</v>
      </c>
      <c r="B2132" s="1" t="str">
        <f>HYPERLINK("http://digipan.lumentumllc.com/apps/getLink/index.php?t=TaxLink&amp;p=15733597","TL")</f>
        <v>TL</v>
      </c>
      <c r="C2132" s="1" t="str">
        <f>HYPERLINK("http://digipan.lumentumllc.com/apps/getMap/index.php?p=15733597","Map")</f>
        <v>Map</v>
      </c>
      <c r="E2132" t="s">
        <v>177</v>
      </c>
      <c r="F2132" t="s">
        <v>178</v>
      </c>
      <c r="L2132" t="s">
        <v>24833</v>
      </c>
      <c r="N2132" t="s">
        <v>24833</v>
      </c>
      <c r="O2132" t="s">
        <v>24833</v>
      </c>
      <c r="Q2132" t="s">
        <v>24833</v>
      </c>
      <c r="V2132">
        <v>2438</v>
      </c>
      <c r="W2132">
        <v>8</v>
      </c>
      <c r="X2132">
        <v>2017</v>
      </c>
      <c r="Y2132">
        <v>2018</v>
      </c>
      <c r="Z2132">
        <v>975.04</v>
      </c>
      <c r="AB2132" t="s">
        <v>181</v>
      </c>
      <c r="AC2132" t="s">
        <v>182</v>
      </c>
      <c r="AD2132" t="s">
        <v>183</v>
      </c>
      <c r="AE2132">
        <v>1</v>
      </c>
      <c r="AF2132">
        <v>0</v>
      </c>
      <c r="AG2132" t="s">
        <v>1200</v>
      </c>
      <c r="AH2132">
        <v>0</v>
      </c>
      <c r="AI2132">
        <v>848.14</v>
      </c>
      <c r="AJ2132">
        <v>46.65</v>
      </c>
      <c r="AK2132">
        <v>894.79</v>
      </c>
      <c r="AL2132">
        <v>43750</v>
      </c>
      <c r="AM2132">
        <v>43750</v>
      </c>
      <c r="AN2132">
        <v>0</v>
      </c>
      <c r="AO2132">
        <v>759</v>
      </c>
      <c r="AP2132">
        <v>2016</v>
      </c>
      <c r="AQ2132">
        <v>2.23</v>
      </c>
      <c r="AR2132">
        <v>2.0499999999999998</v>
      </c>
      <c r="AS2132" t="s">
        <v>24834</v>
      </c>
      <c r="AT2132" t="s">
        <v>15040</v>
      </c>
      <c r="AU2132" t="s">
        <v>177</v>
      </c>
      <c r="AV2132" t="s">
        <v>371</v>
      </c>
      <c r="AW2132" t="s">
        <v>182</v>
      </c>
      <c r="AX2132">
        <v>0</v>
      </c>
      <c r="AY2132" t="s">
        <v>312</v>
      </c>
      <c r="AZ2132" t="s">
        <v>199</v>
      </c>
      <c r="BA2132" t="s">
        <v>313</v>
      </c>
      <c r="BB2132" t="s">
        <v>191</v>
      </c>
      <c r="BC2132" t="s">
        <v>182</v>
      </c>
      <c r="BD2132" t="s">
        <v>182</v>
      </c>
      <c r="BE2132" t="s">
        <v>11838</v>
      </c>
      <c r="BF2132">
        <v>0</v>
      </c>
      <c r="BG2132">
        <v>0</v>
      </c>
      <c r="BH2132">
        <v>0</v>
      </c>
      <c r="BI2132" t="s">
        <v>199</v>
      </c>
      <c r="BJ2132" t="s">
        <v>315</v>
      </c>
      <c r="BL2132" t="s">
        <v>11981</v>
      </c>
      <c r="BM2132" t="s">
        <v>232</v>
      </c>
      <c r="BN2132" t="s">
        <v>182</v>
      </c>
      <c r="BO2132" t="s">
        <v>198</v>
      </c>
      <c r="BP2132" t="s">
        <v>198</v>
      </c>
      <c r="BQ2132" t="s">
        <v>198</v>
      </c>
      <c r="BR2132" t="s">
        <v>198</v>
      </c>
      <c r="BS2132" t="s">
        <v>198</v>
      </c>
      <c r="BT2132" t="s">
        <v>198</v>
      </c>
      <c r="BU2132" t="s">
        <v>182</v>
      </c>
      <c r="BV2132" t="s">
        <v>198</v>
      </c>
      <c r="BW2132" t="s">
        <v>198</v>
      </c>
      <c r="BX2132" t="s">
        <v>199</v>
      </c>
      <c r="BY2132" t="s">
        <v>198</v>
      </c>
      <c r="BZ2132" t="s">
        <v>199</v>
      </c>
      <c r="CA2132" t="s">
        <v>199</v>
      </c>
      <c r="CB2132" t="s">
        <v>24396</v>
      </c>
      <c r="CC2132" t="s">
        <v>1407</v>
      </c>
      <c r="CD2132" t="s">
        <v>182</v>
      </c>
      <c r="CE2132" t="s">
        <v>24835</v>
      </c>
      <c r="CF2132" t="s">
        <v>413</v>
      </c>
      <c r="CG2132" t="s">
        <v>177</v>
      </c>
      <c r="CH2132" t="s">
        <v>2991</v>
      </c>
      <c r="CI2132" t="s">
        <v>24836</v>
      </c>
      <c r="CJ2132" t="s">
        <v>15525</v>
      </c>
      <c r="CK2132" t="s">
        <v>232</v>
      </c>
      <c r="CL2132" t="s">
        <v>233</v>
      </c>
      <c r="CM2132" t="s">
        <v>16574</v>
      </c>
      <c r="CN2132" t="s">
        <v>1164</v>
      </c>
      <c r="CO2132" t="s">
        <v>183</v>
      </c>
      <c r="CP2132" t="s">
        <v>266</v>
      </c>
      <c r="CS2132" t="s">
        <v>198</v>
      </c>
      <c r="DC2132" t="s">
        <v>198</v>
      </c>
      <c r="DM2132" t="s">
        <v>198</v>
      </c>
      <c r="DW2132" t="s">
        <v>198</v>
      </c>
      <c r="EG2132" t="s">
        <v>198</v>
      </c>
      <c r="EQ2132" t="s">
        <v>198</v>
      </c>
      <c r="FA2132" t="s">
        <v>198</v>
      </c>
      <c r="FK2132" t="s">
        <v>198</v>
      </c>
      <c r="FU2132" t="s">
        <v>198</v>
      </c>
    </row>
    <row r="2133" spans="1:177">
      <c r="A2133" s="1" t="str">
        <f>HYPERLINK("http://digipan.lumentumllc.com/apps/getLink/index.php?t=PropLink&amp;p=15733598","PL")</f>
        <v>PL</v>
      </c>
      <c r="B2133" s="1" t="str">
        <f>HYPERLINK("http://digipan.lumentumllc.com/apps/getLink/index.php?t=TaxLink&amp;p=15733598","TL")</f>
        <v>TL</v>
      </c>
      <c r="C2133" s="1" t="str">
        <f>HYPERLINK("http://digipan.lumentumllc.com/apps/getMap/index.php?p=15733598","Map")</f>
        <v>Map</v>
      </c>
      <c r="E2133" t="s">
        <v>177</v>
      </c>
      <c r="F2133" t="s">
        <v>178</v>
      </c>
      <c r="L2133" t="s">
        <v>24837</v>
      </c>
      <c r="N2133" t="s">
        <v>24837</v>
      </c>
      <c r="O2133" t="s">
        <v>24837</v>
      </c>
      <c r="Q2133" t="s">
        <v>24837</v>
      </c>
      <c r="V2133">
        <v>2439</v>
      </c>
      <c r="W2133">
        <v>8</v>
      </c>
      <c r="X2133">
        <v>2017</v>
      </c>
      <c r="Y2133">
        <v>2018</v>
      </c>
      <c r="Z2133">
        <v>1918.07</v>
      </c>
      <c r="AB2133" t="s">
        <v>181</v>
      </c>
      <c r="AC2133" t="s">
        <v>182</v>
      </c>
      <c r="AD2133" t="s">
        <v>183</v>
      </c>
      <c r="AE2133">
        <v>1</v>
      </c>
      <c r="AF2133">
        <v>0</v>
      </c>
      <c r="AG2133" t="s">
        <v>1200</v>
      </c>
      <c r="AH2133">
        <v>0</v>
      </c>
      <c r="AI2133">
        <v>1669.28</v>
      </c>
      <c r="AJ2133">
        <v>83.46</v>
      </c>
      <c r="AK2133">
        <v>1752.74</v>
      </c>
      <c r="AL2133">
        <v>87500</v>
      </c>
      <c r="AM2133">
        <v>87500</v>
      </c>
      <c r="AN2133">
        <v>0</v>
      </c>
      <c r="AO2133">
        <v>1519</v>
      </c>
      <c r="AP2133">
        <v>2016</v>
      </c>
      <c r="AQ2133">
        <v>2.19</v>
      </c>
      <c r="AR2133">
        <v>2</v>
      </c>
      <c r="AS2133" t="s">
        <v>24393</v>
      </c>
      <c r="AT2133" t="s">
        <v>15040</v>
      </c>
      <c r="AU2133" t="s">
        <v>177</v>
      </c>
      <c r="AV2133" t="s">
        <v>371</v>
      </c>
      <c r="AW2133" t="s">
        <v>182</v>
      </c>
      <c r="AX2133">
        <v>0</v>
      </c>
      <c r="AY2133" t="s">
        <v>312</v>
      </c>
      <c r="AZ2133" t="s">
        <v>199</v>
      </c>
      <c r="BA2133" t="s">
        <v>313</v>
      </c>
      <c r="BB2133" t="s">
        <v>191</v>
      </c>
      <c r="BC2133" t="s">
        <v>182</v>
      </c>
      <c r="BD2133" t="s">
        <v>182</v>
      </c>
      <c r="BE2133" t="s">
        <v>3930</v>
      </c>
      <c r="BF2133">
        <v>0</v>
      </c>
      <c r="BG2133">
        <v>0</v>
      </c>
      <c r="BH2133">
        <v>0</v>
      </c>
      <c r="BI2133" t="s">
        <v>199</v>
      </c>
      <c r="BJ2133" t="s">
        <v>315</v>
      </c>
      <c r="BL2133" t="s">
        <v>11981</v>
      </c>
      <c r="BM2133" t="s">
        <v>232</v>
      </c>
      <c r="BN2133" t="s">
        <v>182</v>
      </c>
      <c r="BO2133" t="s">
        <v>24838</v>
      </c>
      <c r="BP2133" t="s">
        <v>14397</v>
      </c>
      <c r="BQ2133" t="s">
        <v>904</v>
      </c>
      <c r="BR2133" t="s">
        <v>563</v>
      </c>
      <c r="BS2133" t="s">
        <v>198</v>
      </c>
      <c r="BT2133" t="s">
        <v>11910</v>
      </c>
      <c r="BU2133" t="s">
        <v>182</v>
      </c>
      <c r="BV2133" t="s">
        <v>198</v>
      </c>
      <c r="BW2133" t="s">
        <v>198</v>
      </c>
      <c r="BX2133" t="s">
        <v>199</v>
      </c>
      <c r="BY2133" t="s">
        <v>198</v>
      </c>
      <c r="BZ2133" t="s">
        <v>199</v>
      </c>
      <c r="CA2133" t="s">
        <v>199</v>
      </c>
      <c r="CB2133" t="s">
        <v>24396</v>
      </c>
      <c r="CC2133" t="s">
        <v>1407</v>
      </c>
      <c r="CD2133" t="s">
        <v>202</v>
      </c>
      <c r="CE2133" t="s">
        <v>24835</v>
      </c>
      <c r="CF2133" t="s">
        <v>413</v>
      </c>
      <c r="CG2133" t="s">
        <v>177</v>
      </c>
      <c r="CH2133" t="s">
        <v>2991</v>
      </c>
      <c r="CI2133" t="s">
        <v>24839</v>
      </c>
      <c r="CJ2133" t="s">
        <v>15537</v>
      </c>
      <c r="CK2133" t="s">
        <v>232</v>
      </c>
      <c r="CL2133" t="s">
        <v>233</v>
      </c>
      <c r="CM2133" t="s">
        <v>24840</v>
      </c>
      <c r="CN2133" t="s">
        <v>235</v>
      </c>
      <c r="CO2133" t="s">
        <v>183</v>
      </c>
      <c r="CP2133" t="s">
        <v>266</v>
      </c>
      <c r="CS2133" t="s">
        <v>198</v>
      </c>
      <c r="DC2133" t="s">
        <v>198</v>
      </c>
      <c r="DM2133" t="s">
        <v>198</v>
      </c>
      <c r="DW2133" t="s">
        <v>198</v>
      </c>
      <c r="EG2133" t="s">
        <v>198</v>
      </c>
      <c r="EQ2133" t="s">
        <v>198</v>
      </c>
      <c r="FA2133" t="s">
        <v>198</v>
      </c>
      <c r="FK2133" t="s">
        <v>198</v>
      </c>
      <c r="FU2133" t="s">
        <v>198</v>
      </c>
    </row>
    <row r="2134" spans="1:177">
      <c r="A2134" s="1" t="str">
        <f>HYPERLINK("http://digipan.lumentumllc.com/apps/getLink/index.php?t=PropLink&amp;p=15733645","PL")</f>
        <v>PL</v>
      </c>
      <c r="B2134" s="1" t="str">
        <f>HYPERLINK("http://digipan.lumentumllc.com/apps/getLink/index.php?t=TaxLink&amp;p=15733645","TL")</f>
        <v>TL</v>
      </c>
      <c r="C2134" s="1" t="str">
        <f>HYPERLINK("http://digipan.lumentumllc.com/apps/getMap/index.php?p=15733645","Map")</f>
        <v>Map</v>
      </c>
      <c r="E2134" t="s">
        <v>177</v>
      </c>
      <c r="F2134" t="s">
        <v>178</v>
      </c>
      <c r="L2134" t="s">
        <v>24841</v>
      </c>
      <c r="N2134" t="s">
        <v>24841</v>
      </c>
      <c r="O2134" t="s">
        <v>24841</v>
      </c>
      <c r="Q2134" t="s">
        <v>24841</v>
      </c>
      <c r="V2134">
        <v>2440</v>
      </c>
      <c r="W2134">
        <v>8</v>
      </c>
      <c r="X2134">
        <v>2017</v>
      </c>
      <c r="Y2134">
        <v>2018</v>
      </c>
      <c r="Z2134">
        <v>5714.54</v>
      </c>
      <c r="AB2134" t="s">
        <v>181</v>
      </c>
      <c r="AC2134" t="s">
        <v>182</v>
      </c>
      <c r="AD2134" t="s">
        <v>183</v>
      </c>
      <c r="AE2134">
        <v>0</v>
      </c>
      <c r="AF2134">
        <v>1</v>
      </c>
      <c r="AG2134" t="s">
        <v>821</v>
      </c>
      <c r="AH2134">
        <v>100</v>
      </c>
      <c r="AK2134">
        <v>0</v>
      </c>
      <c r="AL2134">
        <v>263629</v>
      </c>
      <c r="AM2134">
        <v>148750</v>
      </c>
      <c r="AN2134">
        <v>114879</v>
      </c>
      <c r="AO2134">
        <v>4875</v>
      </c>
      <c r="AP2134">
        <v>2016</v>
      </c>
      <c r="AQ2134">
        <v>2.17</v>
      </c>
      <c r="AS2134" t="s">
        <v>24842</v>
      </c>
      <c r="AT2134" t="s">
        <v>15040</v>
      </c>
      <c r="AU2134" t="s">
        <v>177</v>
      </c>
      <c r="AV2134" t="s">
        <v>371</v>
      </c>
      <c r="AW2134" t="s">
        <v>182</v>
      </c>
      <c r="AX2134">
        <v>1</v>
      </c>
      <c r="AY2134" t="s">
        <v>188</v>
      </c>
      <c r="AZ2134" t="s">
        <v>206</v>
      </c>
      <c r="BA2134" t="s">
        <v>355</v>
      </c>
      <c r="BB2134" t="s">
        <v>191</v>
      </c>
      <c r="BC2134" t="s">
        <v>182</v>
      </c>
      <c r="BD2134" t="s">
        <v>182</v>
      </c>
      <c r="BE2134" t="s">
        <v>6986</v>
      </c>
      <c r="BF2134">
        <v>1</v>
      </c>
      <c r="BG2134">
        <v>1</v>
      </c>
      <c r="BH2134">
        <v>1983</v>
      </c>
      <c r="BI2134" t="s">
        <v>18423</v>
      </c>
      <c r="BJ2134" t="s">
        <v>194</v>
      </c>
      <c r="BK2134" t="s">
        <v>195</v>
      </c>
      <c r="BL2134" t="s">
        <v>8617</v>
      </c>
      <c r="BM2134" t="s">
        <v>232</v>
      </c>
      <c r="BN2134" t="s">
        <v>182</v>
      </c>
      <c r="BO2134" t="s">
        <v>24843</v>
      </c>
      <c r="BP2134" t="s">
        <v>5899</v>
      </c>
      <c r="BQ2134" t="s">
        <v>800</v>
      </c>
      <c r="BS2134" t="s">
        <v>198</v>
      </c>
      <c r="BT2134" t="s">
        <v>24844</v>
      </c>
      <c r="BU2134" t="s">
        <v>182</v>
      </c>
      <c r="BV2134" t="s">
        <v>198</v>
      </c>
      <c r="BW2134" t="s">
        <v>198</v>
      </c>
      <c r="BX2134" t="s">
        <v>199</v>
      </c>
      <c r="BY2134" t="s">
        <v>198</v>
      </c>
      <c r="BZ2134" t="s">
        <v>199</v>
      </c>
      <c r="CA2134" t="s">
        <v>199</v>
      </c>
      <c r="CB2134" t="s">
        <v>24845</v>
      </c>
      <c r="CC2134" t="s">
        <v>201</v>
      </c>
      <c r="CD2134" t="s">
        <v>202</v>
      </c>
      <c r="CE2134" t="s">
        <v>24846</v>
      </c>
      <c r="CF2134" t="s">
        <v>19181</v>
      </c>
      <c r="CG2134" t="s">
        <v>177</v>
      </c>
      <c r="CH2134" t="s">
        <v>3715</v>
      </c>
      <c r="CI2134" t="s">
        <v>629</v>
      </c>
      <c r="CJ2134" t="s">
        <v>24847</v>
      </c>
      <c r="CK2134" t="s">
        <v>232</v>
      </c>
      <c r="CL2134" t="s">
        <v>233</v>
      </c>
      <c r="CM2134" t="s">
        <v>24848</v>
      </c>
      <c r="CN2134" t="s">
        <v>235</v>
      </c>
      <c r="CO2134" t="s">
        <v>183</v>
      </c>
      <c r="CP2134" t="s">
        <v>211</v>
      </c>
      <c r="CQ2134" t="s">
        <v>342</v>
      </c>
      <c r="CS2134" t="s">
        <v>24849</v>
      </c>
      <c r="DC2134" t="s">
        <v>198</v>
      </c>
      <c r="DM2134" t="s">
        <v>198</v>
      </c>
      <c r="DW2134" t="s">
        <v>198</v>
      </c>
      <c r="EG2134" t="s">
        <v>198</v>
      </c>
      <c r="EQ2134" t="s">
        <v>198</v>
      </c>
      <c r="FA2134" t="s">
        <v>198</v>
      </c>
      <c r="FK2134" t="s">
        <v>198</v>
      </c>
      <c r="FU2134" t="s">
        <v>198</v>
      </c>
    </row>
    <row r="2135" spans="1:177">
      <c r="A2135" s="1" t="str">
        <f>HYPERLINK("http://digipan.lumentumllc.com/apps/getLink/index.php?t=PropLink&amp;p=4637009","PL")</f>
        <v>PL</v>
      </c>
      <c r="B2135" s="1" t="str">
        <f>HYPERLINK("http://digipan.lumentumllc.com/apps/getLink/index.php?t=TaxLink&amp;p=4637009","TL")</f>
        <v>TL</v>
      </c>
      <c r="C2135" s="1" t="str">
        <f>HYPERLINK("http://digipan.lumentumllc.com/apps/getMap/index.php?p=4637009","Map")</f>
        <v>Map</v>
      </c>
      <c r="E2135" t="s">
        <v>177</v>
      </c>
      <c r="F2135" t="s">
        <v>178</v>
      </c>
      <c r="L2135" t="s">
        <v>24850</v>
      </c>
      <c r="N2135" t="s">
        <v>24850</v>
      </c>
      <c r="O2135" t="s">
        <v>24850</v>
      </c>
      <c r="P2135" t="s">
        <v>24851</v>
      </c>
      <c r="Q2135" t="s">
        <v>24850</v>
      </c>
      <c r="V2135">
        <v>2441</v>
      </c>
      <c r="W2135">
        <v>8</v>
      </c>
      <c r="X2135">
        <v>2017</v>
      </c>
      <c r="Y2135">
        <v>2018</v>
      </c>
      <c r="Z2135">
        <v>2974.68</v>
      </c>
      <c r="AB2135" t="s">
        <v>181</v>
      </c>
      <c r="AC2135" t="s">
        <v>182</v>
      </c>
      <c r="AD2135" t="s">
        <v>183</v>
      </c>
      <c r="AE2135">
        <v>1</v>
      </c>
      <c r="AF2135">
        <v>5</v>
      </c>
      <c r="AG2135" t="s">
        <v>322</v>
      </c>
      <c r="AH2135">
        <v>83</v>
      </c>
      <c r="AI2135">
        <v>2993.19</v>
      </c>
      <c r="AJ2135">
        <v>149.66</v>
      </c>
      <c r="AK2135">
        <v>3142.85</v>
      </c>
      <c r="AL2135">
        <v>136519</v>
      </c>
      <c r="AM2135">
        <v>85400</v>
      </c>
      <c r="AN2135">
        <v>51119</v>
      </c>
      <c r="AO2135">
        <v>2743</v>
      </c>
      <c r="AP2135">
        <v>2016</v>
      </c>
      <c r="AQ2135">
        <v>2.1800000000000002</v>
      </c>
      <c r="AR2135">
        <v>2.2999999999999998</v>
      </c>
      <c r="AS2135" t="s">
        <v>24852</v>
      </c>
      <c r="AT2135" t="s">
        <v>15040</v>
      </c>
      <c r="AU2135" t="s">
        <v>177</v>
      </c>
      <c r="AV2135" t="s">
        <v>371</v>
      </c>
      <c r="AW2135" t="s">
        <v>182</v>
      </c>
      <c r="AX2135">
        <v>17</v>
      </c>
      <c r="AY2135" t="s">
        <v>3641</v>
      </c>
      <c r="AZ2135" t="s">
        <v>471</v>
      </c>
      <c r="BA2135" t="s">
        <v>4920</v>
      </c>
      <c r="BB2135" t="s">
        <v>191</v>
      </c>
      <c r="BC2135" t="s">
        <v>182</v>
      </c>
      <c r="BD2135" t="s">
        <v>182</v>
      </c>
      <c r="BE2135" t="s">
        <v>5689</v>
      </c>
      <c r="BF2135">
        <v>1</v>
      </c>
      <c r="BG2135">
        <v>0</v>
      </c>
      <c r="BH2135">
        <v>1960</v>
      </c>
      <c r="BI2135" t="s">
        <v>15453</v>
      </c>
      <c r="BJ2135" t="s">
        <v>194</v>
      </c>
      <c r="BK2135" t="s">
        <v>840</v>
      </c>
      <c r="BL2135" t="s">
        <v>196</v>
      </c>
      <c r="BM2135" t="s">
        <v>346</v>
      </c>
      <c r="BN2135" t="s">
        <v>182</v>
      </c>
      <c r="BO2135" t="s">
        <v>198</v>
      </c>
      <c r="BP2135" t="s">
        <v>198</v>
      </c>
      <c r="BQ2135" t="s">
        <v>198</v>
      </c>
      <c r="BR2135" t="s">
        <v>198</v>
      </c>
      <c r="BS2135" t="s">
        <v>198</v>
      </c>
      <c r="BT2135" t="s">
        <v>198</v>
      </c>
      <c r="BU2135" t="s">
        <v>182</v>
      </c>
      <c r="BV2135" t="s">
        <v>198</v>
      </c>
      <c r="BW2135" t="s">
        <v>198</v>
      </c>
      <c r="BX2135" t="s">
        <v>199</v>
      </c>
      <c r="BY2135" t="s">
        <v>198</v>
      </c>
      <c r="BZ2135" t="s">
        <v>199</v>
      </c>
      <c r="CA2135" t="s">
        <v>199</v>
      </c>
      <c r="CB2135" t="s">
        <v>22185</v>
      </c>
      <c r="CC2135" t="s">
        <v>201</v>
      </c>
      <c r="CD2135" t="s">
        <v>182</v>
      </c>
      <c r="CE2135" t="s">
        <v>22186</v>
      </c>
      <c r="CF2135" t="s">
        <v>5331</v>
      </c>
      <c r="CG2135" t="s">
        <v>177</v>
      </c>
      <c r="CH2135" t="s">
        <v>371</v>
      </c>
      <c r="CI2135" t="s">
        <v>24853</v>
      </c>
      <c r="CJ2135" t="s">
        <v>15552</v>
      </c>
      <c r="CK2135" t="s">
        <v>232</v>
      </c>
      <c r="CL2135" t="s">
        <v>233</v>
      </c>
      <c r="CM2135" t="s">
        <v>24854</v>
      </c>
      <c r="CN2135" t="s">
        <v>235</v>
      </c>
      <c r="CO2135" t="s">
        <v>183</v>
      </c>
      <c r="CP2135" t="s">
        <v>266</v>
      </c>
      <c r="CS2135" t="s">
        <v>198</v>
      </c>
      <c r="CT2135" t="s">
        <v>21658</v>
      </c>
      <c r="CU2135" t="s">
        <v>292</v>
      </c>
      <c r="CV2135" t="s">
        <v>293</v>
      </c>
      <c r="CW2135" t="s">
        <v>24855</v>
      </c>
      <c r="CX2135" t="s">
        <v>235</v>
      </c>
      <c r="CY2135" t="s">
        <v>183</v>
      </c>
      <c r="CZ2135" t="s">
        <v>211</v>
      </c>
      <c r="DA2135" t="s">
        <v>345</v>
      </c>
      <c r="DC2135" t="s">
        <v>1609</v>
      </c>
      <c r="DD2135" t="s">
        <v>5550</v>
      </c>
      <c r="DE2135" t="s">
        <v>267</v>
      </c>
      <c r="DF2135" t="s">
        <v>268</v>
      </c>
      <c r="DG2135" t="s">
        <v>24856</v>
      </c>
      <c r="DH2135" t="s">
        <v>235</v>
      </c>
      <c r="DI2135" t="s">
        <v>183</v>
      </c>
      <c r="DJ2135" t="s">
        <v>211</v>
      </c>
      <c r="DK2135" t="s">
        <v>298</v>
      </c>
      <c r="DM2135" t="s">
        <v>459</v>
      </c>
      <c r="DN2135" t="s">
        <v>22845</v>
      </c>
      <c r="DO2135" t="s">
        <v>273</v>
      </c>
      <c r="DP2135" t="s">
        <v>274</v>
      </c>
      <c r="DQ2135" t="s">
        <v>24857</v>
      </c>
      <c r="DR2135" t="s">
        <v>235</v>
      </c>
      <c r="DS2135" t="s">
        <v>183</v>
      </c>
      <c r="DT2135" t="s">
        <v>211</v>
      </c>
      <c r="DU2135" t="s">
        <v>345</v>
      </c>
      <c r="DW2135" t="s">
        <v>392</v>
      </c>
      <c r="DX2135" t="s">
        <v>15917</v>
      </c>
      <c r="DY2135" t="s">
        <v>302</v>
      </c>
      <c r="DZ2135" t="s">
        <v>303</v>
      </c>
      <c r="EA2135" t="s">
        <v>24858</v>
      </c>
      <c r="EB2135" t="s">
        <v>235</v>
      </c>
      <c r="EC2135" t="s">
        <v>183</v>
      </c>
      <c r="ED2135" t="s">
        <v>211</v>
      </c>
      <c r="EE2135" t="s">
        <v>345</v>
      </c>
      <c r="EG2135" t="s">
        <v>2553</v>
      </c>
      <c r="EH2135" t="s">
        <v>5476</v>
      </c>
      <c r="EI2135" t="s">
        <v>238</v>
      </c>
      <c r="EJ2135" t="s">
        <v>239</v>
      </c>
      <c r="EK2135" t="s">
        <v>24859</v>
      </c>
      <c r="EL2135" t="s">
        <v>235</v>
      </c>
      <c r="EM2135" t="s">
        <v>183</v>
      </c>
      <c r="EN2135" t="s">
        <v>211</v>
      </c>
      <c r="EO2135" t="s">
        <v>345</v>
      </c>
      <c r="EQ2135" t="s">
        <v>3825</v>
      </c>
      <c r="FA2135" t="s">
        <v>198</v>
      </c>
      <c r="FK2135" t="s">
        <v>198</v>
      </c>
      <c r="FU2135" t="s">
        <v>198</v>
      </c>
    </row>
    <row r="2136" spans="1:177">
      <c r="A2136" s="1" t="str">
        <f>HYPERLINK("http://digipan.lumentumllc.com/apps/getLink/index.php?t=PropLink&amp;p=5244494","PL")</f>
        <v>PL</v>
      </c>
      <c r="B2136" s="1" t="str">
        <f>HYPERLINK("http://digipan.lumentumllc.com/apps/getLink/index.php?t=TaxLink&amp;p=5244494","TL")</f>
        <v>TL</v>
      </c>
      <c r="C2136" s="1" t="str">
        <f>HYPERLINK("http://digipan.lumentumllc.com/apps/getMap/index.php?p=5244494","Map")</f>
        <v>Map</v>
      </c>
      <c r="E2136" t="s">
        <v>177</v>
      </c>
      <c r="F2136" t="s">
        <v>178</v>
      </c>
      <c r="L2136" t="s">
        <v>24860</v>
      </c>
      <c r="N2136" t="s">
        <v>24860</v>
      </c>
      <c r="O2136" t="s">
        <v>24860</v>
      </c>
      <c r="P2136" t="s">
        <v>24861</v>
      </c>
      <c r="Q2136" t="s">
        <v>24860</v>
      </c>
      <c r="V2136">
        <v>2444</v>
      </c>
      <c r="W2136">
        <v>8</v>
      </c>
      <c r="X2136">
        <v>2017</v>
      </c>
      <c r="Y2136">
        <v>2018</v>
      </c>
      <c r="Z2136">
        <v>2867.58</v>
      </c>
      <c r="AB2136" t="s">
        <v>181</v>
      </c>
      <c r="AC2136" t="s">
        <v>182</v>
      </c>
      <c r="AD2136" t="s">
        <v>183</v>
      </c>
      <c r="AE2136">
        <v>0</v>
      </c>
      <c r="AF2136">
        <v>8</v>
      </c>
      <c r="AG2136" t="s">
        <v>1059</v>
      </c>
      <c r="AH2136">
        <v>100</v>
      </c>
      <c r="AK2136">
        <v>0</v>
      </c>
      <c r="AL2136">
        <v>292575</v>
      </c>
      <c r="AM2136">
        <v>100000</v>
      </c>
      <c r="AN2136">
        <v>192575</v>
      </c>
      <c r="AO2136">
        <v>2553</v>
      </c>
      <c r="AP2136">
        <v>2016</v>
      </c>
      <c r="AQ2136">
        <v>0.98</v>
      </c>
      <c r="AS2136" t="s">
        <v>24862</v>
      </c>
      <c r="AT2136" t="s">
        <v>15040</v>
      </c>
      <c r="AU2136" t="s">
        <v>177</v>
      </c>
      <c r="AV2136" t="s">
        <v>371</v>
      </c>
      <c r="AW2136" t="s">
        <v>202</v>
      </c>
      <c r="AX2136">
        <v>8</v>
      </c>
      <c r="AY2136" t="s">
        <v>188</v>
      </c>
      <c r="AZ2136" t="s">
        <v>329</v>
      </c>
      <c r="BA2136" t="s">
        <v>6773</v>
      </c>
      <c r="BB2136" t="s">
        <v>191</v>
      </c>
      <c r="BC2136" t="s">
        <v>182</v>
      </c>
      <c r="BD2136" t="s">
        <v>182</v>
      </c>
      <c r="BE2136" t="s">
        <v>5975</v>
      </c>
      <c r="BF2136">
        <v>1</v>
      </c>
      <c r="BG2136">
        <v>1</v>
      </c>
      <c r="BH2136">
        <v>1985</v>
      </c>
      <c r="BI2136" t="s">
        <v>6163</v>
      </c>
      <c r="BJ2136" t="s">
        <v>194</v>
      </c>
      <c r="BK2136" t="s">
        <v>840</v>
      </c>
      <c r="BL2136" t="s">
        <v>199</v>
      </c>
      <c r="BM2136" t="s">
        <v>1414</v>
      </c>
      <c r="BN2136" t="s">
        <v>182</v>
      </c>
      <c r="BO2136" t="s">
        <v>3184</v>
      </c>
      <c r="BP2136" t="s">
        <v>5459</v>
      </c>
      <c r="BR2136" t="s">
        <v>1461</v>
      </c>
      <c r="BS2136" t="s">
        <v>24863</v>
      </c>
      <c r="BT2136" t="s">
        <v>198</v>
      </c>
      <c r="BU2136" t="s">
        <v>182</v>
      </c>
      <c r="BV2136" t="s">
        <v>198</v>
      </c>
      <c r="BW2136" t="s">
        <v>198</v>
      </c>
      <c r="BX2136" t="s">
        <v>199</v>
      </c>
      <c r="BY2136" t="s">
        <v>198</v>
      </c>
      <c r="BZ2136" t="s">
        <v>199</v>
      </c>
      <c r="CA2136" t="s">
        <v>199</v>
      </c>
      <c r="CB2136" t="s">
        <v>24864</v>
      </c>
      <c r="CC2136" t="s">
        <v>201</v>
      </c>
      <c r="CD2136" t="s">
        <v>182</v>
      </c>
      <c r="CE2136" t="s">
        <v>24865</v>
      </c>
      <c r="CF2136" t="s">
        <v>5331</v>
      </c>
      <c r="CG2136" t="s">
        <v>177</v>
      </c>
      <c r="CH2136" t="s">
        <v>371</v>
      </c>
      <c r="CI2136" t="s">
        <v>24866</v>
      </c>
      <c r="CJ2136" t="s">
        <v>15590</v>
      </c>
      <c r="CK2136" t="s">
        <v>232</v>
      </c>
      <c r="CL2136" t="s">
        <v>233</v>
      </c>
      <c r="CM2136" t="s">
        <v>24867</v>
      </c>
      <c r="CN2136" t="s">
        <v>235</v>
      </c>
      <c r="CO2136" t="s">
        <v>183</v>
      </c>
      <c r="CP2136" t="s">
        <v>211</v>
      </c>
      <c r="CQ2136" t="s">
        <v>329</v>
      </c>
      <c r="CS2136" t="s">
        <v>1760</v>
      </c>
      <c r="CT2136" t="s">
        <v>24015</v>
      </c>
      <c r="CU2136" t="s">
        <v>292</v>
      </c>
      <c r="CV2136" t="s">
        <v>293</v>
      </c>
      <c r="CW2136" t="s">
        <v>24868</v>
      </c>
      <c r="CX2136" t="s">
        <v>235</v>
      </c>
      <c r="CY2136" t="s">
        <v>183</v>
      </c>
      <c r="CZ2136" t="s">
        <v>211</v>
      </c>
      <c r="DA2136" t="s">
        <v>290</v>
      </c>
      <c r="DC2136" t="s">
        <v>24869</v>
      </c>
      <c r="DD2136" t="s">
        <v>10197</v>
      </c>
      <c r="DE2136" t="s">
        <v>267</v>
      </c>
      <c r="DF2136" t="s">
        <v>268</v>
      </c>
      <c r="DG2136" t="s">
        <v>24870</v>
      </c>
      <c r="DH2136" t="s">
        <v>235</v>
      </c>
      <c r="DI2136" t="s">
        <v>183</v>
      </c>
      <c r="DJ2136" t="s">
        <v>211</v>
      </c>
      <c r="DK2136" t="s">
        <v>339</v>
      </c>
      <c r="DM2136" t="s">
        <v>9882</v>
      </c>
      <c r="DN2136" t="s">
        <v>8647</v>
      </c>
      <c r="DO2136" t="s">
        <v>273</v>
      </c>
      <c r="DP2136" t="s">
        <v>274</v>
      </c>
      <c r="DQ2136" t="s">
        <v>24871</v>
      </c>
      <c r="DR2136" t="s">
        <v>235</v>
      </c>
      <c r="DS2136" t="s">
        <v>183</v>
      </c>
      <c r="DT2136" t="s">
        <v>211</v>
      </c>
      <c r="DU2136" t="s">
        <v>339</v>
      </c>
      <c r="DW2136" t="s">
        <v>24872</v>
      </c>
      <c r="DX2136" t="s">
        <v>19682</v>
      </c>
      <c r="DY2136" t="s">
        <v>302</v>
      </c>
      <c r="DZ2136" t="s">
        <v>303</v>
      </c>
      <c r="EA2136" t="s">
        <v>24873</v>
      </c>
      <c r="EB2136" t="s">
        <v>235</v>
      </c>
      <c r="EC2136" t="s">
        <v>183</v>
      </c>
      <c r="ED2136" t="s">
        <v>211</v>
      </c>
      <c r="EE2136" t="s">
        <v>339</v>
      </c>
      <c r="EG2136" t="s">
        <v>14019</v>
      </c>
      <c r="EH2136" t="s">
        <v>3926</v>
      </c>
      <c r="EI2136" t="s">
        <v>238</v>
      </c>
      <c r="EJ2136" t="s">
        <v>239</v>
      </c>
      <c r="EK2136" t="s">
        <v>24874</v>
      </c>
      <c r="EL2136" t="s">
        <v>235</v>
      </c>
      <c r="EM2136" t="s">
        <v>183</v>
      </c>
      <c r="EN2136" t="s">
        <v>211</v>
      </c>
      <c r="EO2136" t="s">
        <v>339</v>
      </c>
      <c r="EQ2136" t="s">
        <v>8816</v>
      </c>
      <c r="ER2136" t="s">
        <v>24875</v>
      </c>
      <c r="ES2136" t="s">
        <v>346</v>
      </c>
      <c r="ET2136" t="s">
        <v>347</v>
      </c>
      <c r="EU2136" t="s">
        <v>24876</v>
      </c>
      <c r="EV2136" t="s">
        <v>235</v>
      </c>
      <c r="EW2136" t="s">
        <v>183</v>
      </c>
      <c r="EX2136" t="s">
        <v>211</v>
      </c>
      <c r="EY2136" t="s">
        <v>339</v>
      </c>
      <c r="FA2136" t="s">
        <v>3329</v>
      </c>
      <c r="FB2136" t="s">
        <v>24877</v>
      </c>
      <c r="FC2136" t="s">
        <v>207</v>
      </c>
      <c r="FD2136" t="s">
        <v>208</v>
      </c>
      <c r="FE2136" t="s">
        <v>24878</v>
      </c>
      <c r="FF2136" t="s">
        <v>235</v>
      </c>
      <c r="FG2136" t="s">
        <v>183</v>
      </c>
      <c r="FH2136" t="s">
        <v>211</v>
      </c>
      <c r="FI2136" t="s">
        <v>339</v>
      </c>
      <c r="FK2136" t="s">
        <v>23905</v>
      </c>
      <c r="FU2136" t="s">
        <v>198</v>
      </c>
    </row>
    <row r="2137" spans="1:177">
      <c r="A2137" s="1" t="str">
        <f>HYPERLINK("http://digipan.lumentumllc.com/apps/getLink/index.php?t=PropLink&amp;p=15733878","PL")</f>
        <v>PL</v>
      </c>
      <c r="B2137" s="1" t="str">
        <f>HYPERLINK("http://digipan.lumentumllc.com/apps/getLink/index.php?t=TaxLink&amp;p=15733878","TL")</f>
        <v>TL</v>
      </c>
      <c r="C2137" s="1" t="str">
        <f>HYPERLINK("http://digipan.lumentumllc.com/apps/getMap/index.php?p=15733878","Map")</f>
        <v>Map</v>
      </c>
      <c r="E2137" t="s">
        <v>177</v>
      </c>
      <c r="F2137" t="s">
        <v>178</v>
      </c>
      <c r="L2137" t="s">
        <v>24879</v>
      </c>
      <c r="N2137" t="s">
        <v>24879</v>
      </c>
      <c r="O2137" t="s">
        <v>24879</v>
      </c>
      <c r="Q2137" t="s">
        <v>24879</v>
      </c>
      <c r="V2137">
        <v>2445</v>
      </c>
      <c r="W2137">
        <v>8</v>
      </c>
      <c r="X2137">
        <v>2017</v>
      </c>
      <c r="Y2137">
        <v>2018</v>
      </c>
      <c r="Z2137">
        <v>4876.1099999999997</v>
      </c>
      <c r="AB2137" t="s">
        <v>181</v>
      </c>
      <c r="AC2137" t="s">
        <v>182</v>
      </c>
      <c r="AD2137" t="s">
        <v>183</v>
      </c>
      <c r="AE2137">
        <v>1</v>
      </c>
      <c r="AF2137">
        <v>0</v>
      </c>
      <c r="AG2137" t="s">
        <v>1200</v>
      </c>
      <c r="AH2137">
        <v>0</v>
      </c>
      <c r="AI2137">
        <v>4335.75</v>
      </c>
      <c r="AJ2137">
        <v>216.79</v>
      </c>
      <c r="AK2137">
        <v>4552.54</v>
      </c>
      <c r="AL2137">
        <v>224731</v>
      </c>
      <c r="AM2137">
        <v>196875</v>
      </c>
      <c r="AN2137">
        <v>27856</v>
      </c>
      <c r="AO2137">
        <v>3984</v>
      </c>
      <c r="AP2137">
        <v>2016</v>
      </c>
      <c r="AQ2137">
        <v>2.17</v>
      </c>
      <c r="AR2137">
        <v>2.0299999999999998</v>
      </c>
      <c r="AS2137" t="s">
        <v>24880</v>
      </c>
      <c r="AT2137" t="s">
        <v>15040</v>
      </c>
      <c r="AU2137" t="s">
        <v>177</v>
      </c>
      <c r="AV2137" t="s">
        <v>371</v>
      </c>
      <c r="AW2137" t="s">
        <v>182</v>
      </c>
      <c r="AX2137">
        <v>1</v>
      </c>
      <c r="AY2137" t="s">
        <v>188</v>
      </c>
      <c r="AZ2137" t="s">
        <v>206</v>
      </c>
      <c r="BA2137" t="s">
        <v>355</v>
      </c>
      <c r="BB2137" t="s">
        <v>191</v>
      </c>
      <c r="BC2137" t="s">
        <v>182</v>
      </c>
      <c r="BD2137" t="s">
        <v>182</v>
      </c>
      <c r="BE2137" t="s">
        <v>3956</v>
      </c>
      <c r="BF2137">
        <v>1</v>
      </c>
      <c r="BG2137">
        <v>1</v>
      </c>
      <c r="BH2137">
        <v>1940</v>
      </c>
      <c r="BI2137" t="s">
        <v>7429</v>
      </c>
      <c r="BJ2137" t="s">
        <v>194</v>
      </c>
      <c r="BK2137" t="s">
        <v>195</v>
      </c>
      <c r="BL2137" t="s">
        <v>24881</v>
      </c>
      <c r="BM2137" t="s">
        <v>232</v>
      </c>
      <c r="BN2137" t="s">
        <v>182</v>
      </c>
      <c r="BO2137" t="s">
        <v>24882</v>
      </c>
      <c r="BP2137" t="s">
        <v>12121</v>
      </c>
      <c r="BQ2137" t="s">
        <v>904</v>
      </c>
      <c r="BR2137" t="s">
        <v>563</v>
      </c>
      <c r="BS2137" t="s">
        <v>198</v>
      </c>
      <c r="BT2137" t="s">
        <v>24883</v>
      </c>
      <c r="BU2137" t="s">
        <v>182</v>
      </c>
      <c r="BV2137" t="s">
        <v>198</v>
      </c>
      <c r="BW2137" t="s">
        <v>198</v>
      </c>
      <c r="BX2137" t="s">
        <v>199</v>
      </c>
      <c r="BY2137" t="s">
        <v>198</v>
      </c>
      <c r="BZ2137" t="s">
        <v>199</v>
      </c>
      <c r="CA2137" t="s">
        <v>199</v>
      </c>
      <c r="CB2137" t="s">
        <v>24396</v>
      </c>
      <c r="CC2137" t="s">
        <v>1407</v>
      </c>
      <c r="CD2137" t="s">
        <v>202</v>
      </c>
      <c r="CE2137" t="s">
        <v>24397</v>
      </c>
      <c r="CF2137" t="s">
        <v>413</v>
      </c>
      <c r="CG2137" t="s">
        <v>177</v>
      </c>
      <c r="CH2137" t="s">
        <v>2991</v>
      </c>
      <c r="CI2137" t="s">
        <v>14817</v>
      </c>
      <c r="CJ2137" t="s">
        <v>23313</v>
      </c>
      <c r="CK2137" t="s">
        <v>232</v>
      </c>
      <c r="CL2137" t="s">
        <v>233</v>
      </c>
      <c r="CM2137" t="s">
        <v>24884</v>
      </c>
      <c r="CN2137" t="s">
        <v>235</v>
      </c>
      <c r="CO2137" t="s">
        <v>183</v>
      </c>
      <c r="CP2137" t="s">
        <v>266</v>
      </c>
      <c r="CS2137" t="s">
        <v>198</v>
      </c>
      <c r="DC2137" t="s">
        <v>198</v>
      </c>
      <c r="DM2137" t="s">
        <v>198</v>
      </c>
      <c r="DW2137" t="s">
        <v>198</v>
      </c>
      <c r="EG2137" t="s">
        <v>198</v>
      </c>
      <c r="EQ2137" t="s">
        <v>198</v>
      </c>
      <c r="FA2137" t="s">
        <v>198</v>
      </c>
      <c r="FK2137" t="s">
        <v>198</v>
      </c>
      <c r="FU2137" t="s">
        <v>198</v>
      </c>
    </row>
    <row r="2138" spans="1:177">
      <c r="A2138" s="1" t="str">
        <f>HYPERLINK("http://digipan.lumentumllc.com/apps/getLink/index.php?t=PropLink&amp;p=7112314","PL")</f>
        <v>PL</v>
      </c>
      <c r="B2138" s="1" t="str">
        <f>HYPERLINK("http://digipan.lumentumllc.com/apps/getLink/index.php?t=TaxLink&amp;p=7112314","TL")</f>
        <v>TL</v>
      </c>
      <c r="C2138" s="1" t="str">
        <f>HYPERLINK("http://digipan.lumentumllc.com/apps/getMap/index.php?p=7112314","Map")</f>
        <v>Map</v>
      </c>
      <c r="E2138" t="s">
        <v>177</v>
      </c>
      <c r="F2138" t="s">
        <v>178</v>
      </c>
      <c r="L2138" t="s">
        <v>24885</v>
      </c>
      <c r="N2138" t="s">
        <v>24885</v>
      </c>
      <c r="O2138" t="s">
        <v>24885</v>
      </c>
      <c r="P2138" t="s">
        <v>24886</v>
      </c>
      <c r="Q2138" t="s">
        <v>24885</v>
      </c>
      <c r="V2138">
        <v>2446</v>
      </c>
      <c r="W2138">
        <v>8</v>
      </c>
      <c r="X2138">
        <v>2017</v>
      </c>
      <c r="Y2138">
        <v>2018</v>
      </c>
      <c r="Z2138">
        <v>1845.97</v>
      </c>
      <c r="AB2138" t="s">
        <v>181</v>
      </c>
      <c r="AC2138" t="s">
        <v>182</v>
      </c>
      <c r="AD2138" t="s">
        <v>183</v>
      </c>
      <c r="AE2138">
        <v>2</v>
      </c>
      <c r="AF2138">
        <v>0</v>
      </c>
      <c r="AG2138" t="s">
        <v>1737</v>
      </c>
      <c r="AH2138">
        <v>0</v>
      </c>
      <c r="AI2138">
        <v>3149.55</v>
      </c>
      <c r="AJ2138">
        <v>157.47999999999999</v>
      </c>
      <c r="AK2138">
        <v>3307.03</v>
      </c>
      <c r="AL2138">
        <v>87500</v>
      </c>
      <c r="AM2138">
        <v>87500</v>
      </c>
      <c r="AN2138">
        <v>0</v>
      </c>
      <c r="AO2138">
        <v>1519</v>
      </c>
      <c r="AP2138">
        <v>2016</v>
      </c>
      <c r="AQ2138">
        <v>2.11</v>
      </c>
      <c r="AR2138">
        <v>3.78</v>
      </c>
      <c r="AS2138" t="s">
        <v>24887</v>
      </c>
      <c r="AT2138" t="s">
        <v>15040</v>
      </c>
      <c r="AU2138" t="s">
        <v>177</v>
      </c>
      <c r="AV2138" t="s">
        <v>371</v>
      </c>
      <c r="AW2138" t="s">
        <v>182</v>
      </c>
      <c r="AX2138">
        <v>0</v>
      </c>
      <c r="AY2138" t="s">
        <v>312</v>
      </c>
      <c r="AZ2138" t="s">
        <v>199</v>
      </c>
      <c r="BA2138" t="s">
        <v>313</v>
      </c>
      <c r="BB2138" t="s">
        <v>191</v>
      </c>
      <c r="BC2138" t="s">
        <v>182</v>
      </c>
      <c r="BD2138" t="s">
        <v>182</v>
      </c>
      <c r="BE2138" t="s">
        <v>5975</v>
      </c>
      <c r="BF2138">
        <v>0</v>
      </c>
      <c r="BG2138">
        <v>0</v>
      </c>
      <c r="BH2138">
        <v>0</v>
      </c>
      <c r="BI2138" t="s">
        <v>199</v>
      </c>
      <c r="BJ2138" t="s">
        <v>248</v>
      </c>
      <c r="BL2138" t="s">
        <v>824</v>
      </c>
      <c r="BM2138" t="s">
        <v>292</v>
      </c>
      <c r="BN2138" t="s">
        <v>182</v>
      </c>
      <c r="BO2138" t="s">
        <v>24394</v>
      </c>
      <c r="BP2138" t="s">
        <v>24888</v>
      </c>
      <c r="BQ2138" t="s">
        <v>904</v>
      </c>
      <c r="BR2138" t="s">
        <v>643</v>
      </c>
      <c r="BS2138" t="s">
        <v>198</v>
      </c>
      <c r="BT2138" t="s">
        <v>24889</v>
      </c>
      <c r="BU2138" t="s">
        <v>182</v>
      </c>
      <c r="BV2138" t="s">
        <v>198</v>
      </c>
      <c r="BW2138" t="s">
        <v>198</v>
      </c>
      <c r="BX2138" t="s">
        <v>199</v>
      </c>
      <c r="BY2138" t="s">
        <v>198</v>
      </c>
      <c r="BZ2138" t="s">
        <v>199</v>
      </c>
      <c r="CA2138" t="s">
        <v>199</v>
      </c>
      <c r="CB2138" t="s">
        <v>24396</v>
      </c>
      <c r="CC2138" t="s">
        <v>1407</v>
      </c>
      <c r="CD2138" t="s">
        <v>182</v>
      </c>
      <c r="CE2138" t="s">
        <v>24890</v>
      </c>
      <c r="CF2138" t="s">
        <v>413</v>
      </c>
      <c r="CG2138" t="s">
        <v>177</v>
      </c>
      <c r="CH2138" t="s">
        <v>2991</v>
      </c>
      <c r="CI2138" t="s">
        <v>14817</v>
      </c>
      <c r="CJ2138" t="s">
        <v>15610</v>
      </c>
      <c r="CK2138" t="s">
        <v>232</v>
      </c>
      <c r="CL2138" t="s">
        <v>233</v>
      </c>
      <c r="CM2138" t="s">
        <v>24840</v>
      </c>
      <c r="CN2138" t="s">
        <v>235</v>
      </c>
      <c r="CO2138" t="s">
        <v>183</v>
      </c>
      <c r="CP2138" t="s">
        <v>266</v>
      </c>
      <c r="CS2138" t="s">
        <v>198</v>
      </c>
      <c r="CT2138" t="s">
        <v>17470</v>
      </c>
      <c r="CU2138" t="s">
        <v>292</v>
      </c>
      <c r="CV2138" t="s">
        <v>293</v>
      </c>
      <c r="CW2138" t="s">
        <v>24891</v>
      </c>
      <c r="CX2138" t="s">
        <v>235</v>
      </c>
      <c r="CY2138" t="s">
        <v>183</v>
      </c>
      <c r="CZ2138" t="s">
        <v>266</v>
      </c>
      <c r="DC2138" t="s">
        <v>198</v>
      </c>
      <c r="DM2138" t="s">
        <v>198</v>
      </c>
      <c r="DW2138" t="s">
        <v>198</v>
      </c>
      <c r="EG2138" t="s">
        <v>198</v>
      </c>
      <c r="EQ2138" t="s">
        <v>198</v>
      </c>
      <c r="FA2138" t="s">
        <v>198</v>
      </c>
      <c r="FK2138" t="s">
        <v>198</v>
      </c>
      <c r="FU2138" t="s">
        <v>198</v>
      </c>
    </row>
    <row r="2139" spans="1:177">
      <c r="A2139" s="1" t="str">
        <f>HYPERLINK("http://digipan.lumentumllc.com/apps/getLink/index.php?t=PropLink&amp;p=4637022","PL")</f>
        <v>PL</v>
      </c>
      <c r="B2139" s="1" t="str">
        <f>HYPERLINK("http://digipan.lumentumllc.com/apps/getLink/index.php?t=TaxLink&amp;p=4637022","TL")</f>
        <v>TL</v>
      </c>
      <c r="C2139" s="1" t="str">
        <f>HYPERLINK("http://digipan.lumentumllc.com/apps/getMap/index.php?p=4637022","Map")</f>
        <v>Map</v>
      </c>
      <c r="E2139" t="s">
        <v>177</v>
      </c>
      <c r="F2139" t="s">
        <v>178</v>
      </c>
      <c r="L2139" t="s">
        <v>24892</v>
      </c>
      <c r="N2139" t="s">
        <v>24892</v>
      </c>
      <c r="O2139" t="s">
        <v>24892</v>
      </c>
      <c r="P2139" t="s">
        <v>24893</v>
      </c>
      <c r="Q2139" t="s">
        <v>24892</v>
      </c>
      <c r="V2139">
        <v>2447</v>
      </c>
      <c r="W2139">
        <v>8</v>
      </c>
      <c r="X2139">
        <v>2017</v>
      </c>
      <c r="Y2139">
        <v>2018</v>
      </c>
      <c r="Z2139">
        <v>9007.4699999999993</v>
      </c>
      <c r="AB2139" t="s">
        <v>181</v>
      </c>
      <c r="AC2139" t="s">
        <v>182</v>
      </c>
      <c r="AD2139" t="s">
        <v>183</v>
      </c>
      <c r="AE2139">
        <v>0</v>
      </c>
      <c r="AF2139">
        <v>1</v>
      </c>
      <c r="AG2139" t="s">
        <v>821</v>
      </c>
      <c r="AH2139">
        <v>100</v>
      </c>
      <c r="AK2139">
        <v>0</v>
      </c>
      <c r="AL2139">
        <v>416398</v>
      </c>
      <c r="AM2139">
        <v>160000</v>
      </c>
      <c r="AN2139">
        <v>256398</v>
      </c>
      <c r="AO2139">
        <v>8080</v>
      </c>
      <c r="AP2139">
        <v>2016</v>
      </c>
      <c r="AQ2139">
        <v>2.16</v>
      </c>
      <c r="AS2139" t="s">
        <v>24894</v>
      </c>
      <c r="AT2139" t="s">
        <v>15040</v>
      </c>
      <c r="AU2139" t="s">
        <v>177</v>
      </c>
      <c r="AV2139" t="s">
        <v>371</v>
      </c>
      <c r="AW2139" t="s">
        <v>182</v>
      </c>
      <c r="AX2139">
        <v>1</v>
      </c>
      <c r="AY2139" t="s">
        <v>188</v>
      </c>
      <c r="AZ2139" t="s">
        <v>206</v>
      </c>
      <c r="BA2139" t="s">
        <v>355</v>
      </c>
      <c r="BB2139" t="s">
        <v>191</v>
      </c>
      <c r="BC2139" t="s">
        <v>182</v>
      </c>
      <c r="BD2139" t="s">
        <v>182</v>
      </c>
      <c r="BE2139" t="s">
        <v>5985</v>
      </c>
      <c r="BF2139">
        <v>1</v>
      </c>
      <c r="BG2139">
        <v>1</v>
      </c>
      <c r="BH2139">
        <v>2009</v>
      </c>
      <c r="BI2139" t="s">
        <v>24895</v>
      </c>
      <c r="BJ2139" t="s">
        <v>396</v>
      </c>
      <c r="BK2139" t="s">
        <v>195</v>
      </c>
      <c r="BL2139" t="s">
        <v>24896</v>
      </c>
      <c r="BM2139" t="s">
        <v>346</v>
      </c>
      <c r="BN2139" t="s">
        <v>182</v>
      </c>
      <c r="BO2139" t="s">
        <v>24897</v>
      </c>
      <c r="BP2139" t="s">
        <v>9962</v>
      </c>
      <c r="BQ2139" t="s">
        <v>1285</v>
      </c>
      <c r="BR2139" t="s">
        <v>582</v>
      </c>
      <c r="BS2139" t="s">
        <v>24898</v>
      </c>
      <c r="BT2139" t="s">
        <v>24899</v>
      </c>
      <c r="BU2139" t="s">
        <v>182</v>
      </c>
      <c r="BV2139" t="s">
        <v>198</v>
      </c>
      <c r="BW2139" t="s">
        <v>198</v>
      </c>
      <c r="BX2139" t="s">
        <v>199</v>
      </c>
      <c r="BY2139" t="s">
        <v>198</v>
      </c>
      <c r="BZ2139" t="s">
        <v>199</v>
      </c>
      <c r="CA2139" t="s">
        <v>199</v>
      </c>
      <c r="CB2139" t="s">
        <v>24900</v>
      </c>
      <c r="CC2139" t="s">
        <v>201</v>
      </c>
      <c r="CD2139" t="s">
        <v>202</v>
      </c>
      <c r="CE2139" t="s">
        <v>24901</v>
      </c>
      <c r="CF2139" t="s">
        <v>20782</v>
      </c>
      <c r="CG2139" t="s">
        <v>1902</v>
      </c>
      <c r="CH2139" t="s">
        <v>24902</v>
      </c>
      <c r="CI2139" t="s">
        <v>24903</v>
      </c>
      <c r="CJ2139" t="s">
        <v>17968</v>
      </c>
      <c r="CK2139" t="s">
        <v>302</v>
      </c>
      <c r="CL2139" t="s">
        <v>303</v>
      </c>
      <c r="CM2139" t="s">
        <v>24904</v>
      </c>
      <c r="CN2139" t="s">
        <v>235</v>
      </c>
      <c r="CO2139" t="s">
        <v>183</v>
      </c>
      <c r="CP2139" t="s">
        <v>211</v>
      </c>
      <c r="CQ2139" t="s">
        <v>296</v>
      </c>
      <c r="CS2139" t="s">
        <v>19039</v>
      </c>
      <c r="DC2139" t="s">
        <v>198</v>
      </c>
      <c r="DM2139" t="s">
        <v>198</v>
      </c>
      <c r="DW2139" t="s">
        <v>198</v>
      </c>
      <c r="EG2139" t="s">
        <v>198</v>
      </c>
      <c r="EQ2139" t="s">
        <v>198</v>
      </c>
      <c r="FA2139" t="s">
        <v>198</v>
      </c>
      <c r="FK2139" t="s">
        <v>198</v>
      </c>
      <c r="FU2139" t="s">
        <v>198</v>
      </c>
    </row>
    <row r="2140" spans="1:177">
      <c r="A2140" s="1" t="str">
        <f>HYPERLINK("http://digipan.lumentumllc.com/apps/getLink/index.php?t=PropLink&amp;p=5244503","PL")</f>
        <v>PL</v>
      </c>
      <c r="B2140" s="1" t="str">
        <f>HYPERLINK("http://digipan.lumentumllc.com/apps/getLink/index.php?t=TaxLink&amp;p=5244503","TL")</f>
        <v>TL</v>
      </c>
      <c r="C2140" s="1" t="str">
        <f>HYPERLINK("http://digipan.lumentumllc.com/apps/getMap/index.php?p=5244503","Map")</f>
        <v>Map</v>
      </c>
      <c r="E2140" t="s">
        <v>177</v>
      </c>
      <c r="F2140" t="s">
        <v>178</v>
      </c>
      <c r="L2140" t="s">
        <v>24905</v>
      </c>
      <c r="N2140" t="s">
        <v>24905</v>
      </c>
      <c r="O2140" t="s">
        <v>24905</v>
      </c>
      <c r="P2140" t="s">
        <v>24906</v>
      </c>
      <c r="Q2140" t="s">
        <v>24905</v>
      </c>
      <c r="V2140">
        <v>2448</v>
      </c>
      <c r="W2140">
        <v>8</v>
      </c>
      <c r="X2140">
        <v>2017</v>
      </c>
      <c r="Y2140">
        <v>2018</v>
      </c>
      <c r="Z2140">
        <v>5053.16</v>
      </c>
      <c r="AB2140" t="s">
        <v>181</v>
      </c>
      <c r="AC2140" t="s">
        <v>182</v>
      </c>
      <c r="AD2140" t="s">
        <v>183</v>
      </c>
      <c r="AE2140">
        <v>1</v>
      </c>
      <c r="AF2140">
        <v>7</v>
      </c>
      <c r="AG2140" t="s">
        <v>418</v>
      </c>
      <c r="AH2140">
        <v>86</v>
      </c>
      <c r="AI2140">
        <v>4901.3</v>
      </c>
      <c r="AJ2140">
        <v>245.07</v>
      </c>
      <c r="AK2140">
        <v>5146.37</v>
      </c>
      <c r="AL2140">
        <v>381372</v>
      </c>
      <c r="AM2140">
        <v>366630</v>
      </c>
      <c r="AN2140">
        <v>14742</v>
      </c>
      <c r="AO2140">
        <v>4507</v>
      </c>
      <c r="AP2140">
        <v>2016</v>
      </c>
      <c r="AQ2140">
        <v>1.32</v>
      </c>
      <c r="AR2140">
        <v>1.35</v>
      </c>
      <c r="AS2140" t="s">
        <v>24907</v>
      </c>
      <c r="AT2140" t="s">
        <v>15040</v>
      </c>
      <c r="AU2140" t="s">
        <v>177</v>
      </c>
      <c r="AV2140" t="s">
        <v>371</v>
      </c>
      <c r="AW2140" t="s">
        <v>182</v>
      </c>
      <c r="AX2140">
        <v>29</v>
      </c>
      <c r="AY2140" t="s">
        <v>3641</v>
      </c>
      <c r="AZ2140" t="s">
        <v>768</v>
      </c>
      <c r="BA2140" t="s">
        <v>24908</v>
      </c>
      <c r="BB2140" t="s">
        <v>191</v>
      </c>
      <c r="BC2140" t="s">
        <v>182</v>
      </c>
      <c r="BD2140" t="s">
        <v>182</v>
      </c>
      <c r="BE2140" t="s">
        <v>10639</v>
      </c>
      <c r="BF2140">
        <v>2</v>
      </c>
      <c r="BG2140">
        <v>0</v>
      </c>
      <c r="BH2140">
        <v>1940</v>
      </c>
      <c r="BI2140" t="s">
        <v>24909</v>
      </c>
      <c r="BJ2140" t="s">
        <v>194</v>
      </c>
      <c r="BK2140" t="s">
        <v>195</v>
      </c>
      <c r="BL2140" t="s">
        <v>24910</v>
      </c>
      <c r="BM2140" t="s">
        <v>1825</v>
      </c>
      <c r="BN2140" t="s">
        <v>182</v>
      </c>
      <c r="BO2140" t="s">
        <v>198</v>
      </c>
      <c r="BP2140" t="s">
        <v>198</v>
      </c>
      <c r="BQ2140" t="s">
        <v>198</v>
      </c>
      <c r="BR2140" t="s">
        <v>198</v>
      </c>
      <c r="BS2140" t="s">
        <v>198</v>
      </c>
      <c r="BT2140" t="s">
        <v>198</v>
      </c>
      <c r="BU2140" t="s">
        <v>182</v>
      </c>
      <c r="BV2140" t="s">
        <v>198</v>
      </c>
      <c r="BW2140" t="s">
        <v>198</v>
      </c>
      <c r="BX2140" t="s">
        <v>199</v>
      </c>
      <c r="BY2140" t="s">
        <v>198</v>
      </c>
      <c r="BZ2140" t="s">
        <v>199</v>
      </c>
      <c r="CA2140" t="s">
        <v>199</v>
      </c>
      <c r="CB2140" t="s">
        <v>21418</v>
      </c>
      <c r="CC2140" t="s">
        <v>201</v>
      </c>
      <c r="CD2140" t="s">
        <v>182</v>
      </c>
      <c r="CE2140" t="s">
        <v>24911</v>
      </c>
      <c r="CF2140" t="s">
        <v>21420</v>
      </c>
      <c r="CG2140" t="s">
        <v>2769</v>
      </c>
      <c r="CH2140" t="s">
        <v>21421</v>
      </c>
      <c r="CI2140" t="s">
        <v>24912</v>
      </c>
      <c r="CJ2140" t="s">
        <v>20627</v>
      </c>
      <c r="CK2140" t="s">
        <v>232</v>
      </c>
      <c r="CL2140" t="s">
        <v>233</v>
      </c>
      <c r="CM2140" t="s">
        <v>24913</v>
      </c>
      <c r="CN2140" t="s">
        <v>235</v>
      </c>
      <c r="CO2140" t="s">
        <v>183</v>
      </c>
      <c r="CP2140" t="s">
        <v>266</v>
      </c>
      <c r="CS2140" t="s">
        <v>198</v>
      </c>
      <c r="CT2140" t="s">
        <v>15952</v>
      </c>
      <c r="CU2140" t="s">
        <v>292</v>
      </c>
      <c r="CV2140" t="s">
        <v>293</v>
      </c>
      <c r="CW2140" t="s">
        <v>24914</v>
      </c>
      <c r="CX2140" t="s">
        <v>235</v>
      </c>
      <c r="CY2140" t="s">
        <v>183</v>
      </c>
      <c r="CZ2140" t="s">
        <v>211</v>
      </c>
      <c r="DA2140" t="s">
        <v>298</v>
      </c>
      <c r="DC2140" t="s">
        <v>457</v>
      </c>
      <c r="DD2140" t="s">
        <v>18307</v>
      </c>
      <c r="DE2140" t="s">
        <v>267</v>
      </c>
      <c r="DF2140" t="s">
        <v>268</v>
      </c>
      <c r="DG2140" t="s">
        <v>24915</v>
      </c>
      <c r="DH2140" t="s">
        <v>235</v>
      </c>
      <c r="DI2140" t="s">
        <v>183</v>
      </c>
      <c r="DJ2140" t="s">
        <v>211</v>
      </c>
      <c r="DK2140" t="s">
        <v>298</v>
      </c>
      <c r="DM2140" t="s">
        <v>459</v>
      </c>
      <c r="DN2140" t="s">
        <v>18178</v>
      </c>
      <c r="DO2140" t="s">
        <v>273</v>
      </c>
      <c r="DP2140" t="s">
        <v>274</v>
      </c>
      <c r="DQ2140" t="s">
        <v>24916</v>
      </c>
      <c r="DR2140" t="s">
        <v>235</v>
      </c>
      <c r="DS2140" t="s">
        <v>183</v>
      </c>
      <c r="DT2140" t="s">
        <v>211</v>
      </c>
      <c r="DU2140" t="s">
        <v>345</v>
      </c>
      <c r="DW2140" t="s">
        <v>3539</v>
      </c>
      <c r="DX2140" t="s">
        <v>24917</v>
      </c>
      <c r="DY2140" t="s">
        <v>302</v>
      </c>
      <c r="DZ2140" t="s">
        <v>303</v>
      </c>
      <c r="EA2140" t="s">
        <v>24918</v>
      </c>
      <c r="EB2140" t="s">
        <v>235</v>
      </c>
      <c r="EC2140" t="s">
        <v>183</v>
      </c>
      <c r="ED2140" t="s">
        <v>211</v>
      </c>
      <c r="EE2140" t="s">
        <v>345</v>
      </c>
      <c r="EG2140" t="s">
        <v>9541</v>
      </c>
      <c r="EH2140" t="s">
        <v>5638</v>
      </c>
      <c r="EI2140" t="s">
        <v>238</v>
      </c>
      <c r="EJ2140" t="s">
        <v>239</v>
      </c>
      <c r="EK2140" t="s">
        <v>24919</v>
      </c>
      <c r="EL2140" t="s">
        <v>247</v>
      </c>
      <c r="EM2140" t="s">
        <v>183</v>
      </c>
      <c r="EN2140" t="s">
        <v>211</v>
      </c>
      <c r="EO2140" t="s">
        <v>345</v>
      </c>
      <c r="EQ2140" t="s">
        <v>3825</v>
      </c>
      <c r="ER2140" t="s">
        <v>24920</v>
      </c>
      <c r="ES2140" t="s">
        <v>346</v>
      </c>
      <c r="ET2140" t="s">
        <v>347</v>
      </c>
      <c r="EU2140" t="s">
        <v>24921</v>
      </c>
      <c r="EV2140" t="s">
        <v>816</v>
      </c>
      <c r="EW2140" t="s">
        <v>183</v>
      </c>
      <c r="EX2140" t="s">
        <v>211</v>
      </c>
      <c r="EY2140" t="s">
        <v>345</v>
      </c>
      <c r="FA2140" t="s">
        <v>2496</v>
      </c>
      <c r="FB2140" t="s">
        <v>24922</v>
      </c>
      <c r="FC2140" t="s">
        <v>207</v>
      </c>
      <c r="FD2140" t="s">
        <v>208</v>
      </c>
      <c r="FE2140" t="s">
        <v>24923</v>
      </c>
      <c r="FF2140" t="s">
        <v>833</v>
      </c>
      <c r="FG2140" t="s">
        <v>183</v>
      </c>
      <c r="FH2140" t="s">
        <v>211</v>
      </c>
      <c r="FI2140" t="s">
        <v>298</v>
      </c>
      <c r="FK2140" t="s">
        <v>474</v>
      </c>
      <c r="FU2140" t="s">
        <v>198</v>
      </c>
    </row>
    <row r="2141" spans="1:177">
      <c r="A2141" s="1" t="str">
        <f>HYPERLINK("http://digipan.lumentumllc.com/apps/getLink/index.php?t=PropLink&amp;p=15733968","PL")</f>
        <v>PL</v>
      </c>
      <c r="B2141" s="1" t="str">
        <f>HYPERLINK("http://digipan.lumentumllc.com/apps/getLink/index.php?t=TaxLink&amp;p=15733968","TL")</f>
        <v>TL</v>
      </c>
      <c r="C2141" s="1" t="str">
        <f>HYPERLINK("http://digipan.lumentumllc.com/apps/getMap/index.php?p=15733968","Map")</f>
        <v>Map</v>
      </c>
      <c r="E2141" t="s">
        <v>177</v>
      </c>
      <c r="F2141" t="s">
        <v>178</v>
      </c>
      <c r="L2141" t="s">
        <v>24924</v>
      </c>
      <c r="N2141" t="s">
        <v>24924</v>
      </c>
      <c r="O2141" t="s">
        <v>24924</v>
      </c>
      <c r="Q2141" t="s">
        <v>24924</v>
      </c>
      <c r="V2141">
        <v>2449</v>
      </c>
      <c r="W2141">
        <v>8</v>
      </c>
      <c r="X2141">
        <v>2017</v>
      </c>
      <c r="Y2141">
        <v>2018</v>
      </c>
      <c r="Z2141">
        <v>2769.98</v>
      </c>
      <c r="AG2141" t="s">
        <v>184</v>
      </c>
      <c r="AH2141">
        <v>0</v>
      </c>
      <c r="AK2141">
        <v>0</v>
      </c>
      <c r="AL2141">
        <v>378616</v>
      </c>
      <c r="AM2141">
        <v>252697</v>
      </c>
      <c r="AN2141">
        <v>125919</v>
      </c>
      <c r="AO2141">
        <v>2504</v>
      </c>
      <c r="AP2141">
        <v>2016</v>
      </c>
      <c r="AQ2141">
        <v>0.73</v>
      </c>
      <c r="AS2141" t="s">
        <v>24925</v>
      </c>
      <c r="AT2141" t="s">
        <v>15040</v>
      </c>
      <c r="AU2141" t="s">
        <v>177</v>
      </c>
      <c r="AV2141" t="s">
        <v>371</v>
      </c>
      <c r="AW2141" t="s">
        <v>202</v>
      </c>
      <c r="AX2141">
        <v>1</v>
      </c>
      <c r="AY2141" t="s">
        <v>188</v>
      </c>
      <c r="AZ2141" t="s">
        <v>206</v>
      </c>
      <c r="BA2141" t="s">
        <v>355</v>
      </c>
      <c r="BB2141" t="s">
        <v>191</v>
      </c>
      <c r="BC2141" t="s">
        <v>182</v>
      </c>
      <c r="BD2141" t="s">
        <v>182</v>
      </c>
      <c r="BE2141" t="s">
        <v>5975</v>
      </c>
      <c r="BF2141">
        <v>1</v>
      </c>
      <c r="BG2141">
        <v>1</v>
      </c>
      <c r="BH2141">
        <v>1989</v>
      </c>
      <c r="BI2141" t="s">
        <v>19643</v>
      </c>
      <c r="BJ2141" t="s">
        <v>396</v>
      </c>
      <c r="BK2141" t="s">
        <v>24230</v>
      </c>
      <c r="BL2141" t="s">
        <v>22907</v>
      </c>
      <c r="BM2141" t="s">
        <v>1779</v>
      </c>
      <c r="BN2141" t="s">
        <v>182</v>
      </c>
      <c r="BO2141" t="s">
        <v>198</v>
      </c>
      <c r="BP2141" t="s">
        <v>198</v>
      </c>
      <c r="BQ2141" t="s">
        <v>198</v>
      </c>
      <c r="BR2141" t="s">
        <v>198</v>
      </c>
      <c r="BS2141" t="s">
        <v>198</v>
      </c>
      <c r="BT2141" t="s">
        <v>198</v>
      </c>
      <c r="BU2141" t="s">
        <v>182</v>
      </c>
      <c r="BV2141" t="s">
        <v>198</v>
      </c>
      <c r="BW2141" t="s">
        <v>198</v>
      </c>
      <c r="BX2141" t="s">
        <v>199</v>
      </c>
      <c r="BY2141" t="s">
        <v>198</v>
      </c>
      <c r="BZ2141" t="s">
        <v>199</v>
      </c>
      <c r="CA2141" t="s">
        <v>199</v>
      </c>
      <c r="CB2141" t="s">
        <v>24926</v>
      </c>
      <c r="CC2141" t="s">
        <v>201</v>
      </c>
      <c r="CD2141" t="s">
        <v>182</v>
      </c>
      <c r="CE2141" t="s">
        <v>24927</v>
      </c>
      <c r="CF2141" t="s">
        <v>5331</v>
      </c>
      <c r="CG2141" t="s">
        <v>177</v>
      </c>
      <c r="CH2141" t="s">
        <v>371</v>
      </c>
      <c r="CI2141" t="s">
        <v>24928</v>
      </c>
      <c r="CS2141" t="s">
        <v>198</v>
      </c>
      <c r="DC2141" t="s">
        <v>198</v>
      </c>
      <c r="DM2141" t="s">
        <v>198</v>
      </c>
      <c r="DW2141" t="s">
        <v>198</v>
      </c>
      <c r="EG2141" t="s">
        <v>198</v>
      </c>
      <c r="EQ2141" t="s">
        <v>198</v>
      </c>
      <c r="FA2141" t="s">
        <v>198</v>
      </c>
      <c r="FK2141" t="s">
        <v>198</v>
      </c>
      <c r="FU2141" t="s">
        <v>198</v>
      </c>
    </row>
    <row r="2142" spans="1:177">
      <c r="A2142" s="1" t="str">
        <f>HYPERLINK("http://digipan.lumentumllc.com/apps/getLink/index.php?t=PropLink&amp;p=5244511","PL")</f>
        <v>PL</v>
      </c>
      <c r="B2142" s="1" t="str">
        <f>HYPERLINK("http://digipan.lumentumllc.com/apps/getLink/index.php?t=TaxLink&amp;p=5244511","TL")</f>
        <v>TL</v>
      </c>
      <c r="C2142" s="1" t="str">
        <f>HYPERLINK("http://digipan.lumentumllc.com/apps/getMap/index.php?p=5244511","Map")</f>
        <v>Map</v>
      </c>
      <c r="E2142" t="s">
        <v>177</v>
      </c>
      <c r="F2142" t="s">
        <v>178</v>
      </c>
      <c r="L2142" t="s">
        <v>24929</v>
      </c>
      <c r="N2142" t="s">
        <v>24929</v>
      </c>
      <c r="O2142" t="s">
        <v>24929</v>
      </c>
      <c r="P2142" t="s">
        <v>24930</v>
      </c>
      <c r="Q2142" t="s">
        <v>24929</v>
      </c>
      <c r="V2142">
        <v>2450</v>
      </c>
      <c r="W2142">
        <v>8</v>
      </c>
      <c r="X2142">
        <v>2017</v>
      </c>
      <c r="Y2142">
        <v>2018</v>
      </c>
      <c r="Z2142">
        <v>11117.75</v>
      </c>
      <c r="AB2142" t="s">
        <v>181</v>
      </c>
      <c r="AC2142" t="s">
        <v>182</v>
      </c>
      <c r="AD2142" t="s">
        <v>183</v>
      </c>
      <c r="AE2142">
        <v>1</v>
      </c>
      <c r="AF2142">
        <v>7</v>
      </c>
      <c r="AG2142" t="s">
        <v>418</v>
      </c>
      <c r="AH2142">
        <v>86</v>
      </c>
      <c r="AI2142">
        <v>10095.26</v>
      </c>
      <c r="AJ2142">
        <v>504.76</v>
      </c>
      <c r="AK2142">
        <v>10600.02</v>
      </c>
      <c r="AL2142">
        <v>609202</v>
      </c>
      <c r="AM2142">
        <v>350000</v>
      </c>
      <c r="AN2142">
        <v>259202</v>
      </c>
      <c r="AO2142">
        <v>9310</v>
      </c>
      <c r="AP2142">
        <v>2016</v>
      </c>
      <c r="AQ2142">
        <v>1.82</v>
      </c>
      <c r="AR2142">
        <v>1.74</v>
      </c>
      <c r="AS2142" t="s">
        <v>24931</v>
      </c>
      <c r="AT2142" t="s">
        <v>15040</v>
      </c>
      <c r="AU2142" t="s">
        <v>177</v>
      </c>
      <c r="AV2142" t="s">
        <v>371</v>
      </c>
      <c r="AW2142" t="s">
        <v>182</v>
      </c>
      <c r="AX2142">
        <v>21</v>
      </c>
      <c r="AY2142" t="s">
        <v>3641</v>
      </c>
      <c r="AZ2142" t="s">
        <v>345</v>
      </c>
      <c r="BA2142" t="s">
        <v>19026</v>
      </c>
      <c r="BB2142" t="s">
        <v>191</v>
      </c>
      <c r="BC2142" t="s">
        <v>182</v>
      </c>
      <c r="BD2142" t="s">
        <v>182</v>
      </c>
      <c r="BE2142" t="s">
        <v>3930</v>
      </c>
      <c r="BF2142">
        <v>1</v>
      </c>
      <c r="BG2142">
        <v>0</v>
      </c>
      <c r="BH2142">
        <v>1882</v>
      </c>
      <c r="BI2142" t="s">
        <v>24932</v>
      </c>
      <c r="BJ2142" t="s">
        <v>194</v>
      </c>
      <c r="BK2142" t="s">
        <v>840</v>
      </c>
      <c r="BL2142" t="s">
        <v>199</v>
      </c>
      <c r="BM2142" t="s">
        <v>679</v>
      </c>
      <c r="BN2142" t="s">
        <v>182</v>
      </c>
      <c r="BO2142" t="s">
        <v>24933</v>
      </c>
      <c r="BP2142" t="s">
        <v>24934</v>
      </c>
      <c r="BS2142" t="s">
        <v>24935</v>
      </c>
      <c r="BT2142" t="s">
        <v>198</v>
      </c>
      <c r="BU2142" t="s">
        <v>182</v>
      </c>
      <c r="BV2142" t="s">
        <v>198</v>
      </c>
      <c r="BW2142" t="s">
        <v>198</v>
      </c>
      <c r="BX2142" t="s">
        <v>199</v>
      </c>
      <c r="BY2142" t="s">
        <v>198</v>
      </c>
      <c r="BZ2142" t="s">
        <v>199</v>
      </c>
      <c r="CA2142" t="s">
        <v>199</v>
      </c>
      <c r="CB2142" t="s">
        <v>24936</v>
      </c>
      <c r="CC2142" t="s">
        <v>201</v>
      </c>
      <c r="CD2142" t="s">
        <v>182</v>
      </c>
      <c r="CE2142" t="s">
        <v>24937</v>
      </c>
      <c r="CF2142" t="s">
        <v>2333</v>
      </c>
      <c r="CG2142" t="s">
        <v>177</v>
      </c>
      <c r="CH2142" t="s">
        <v>2334</v>
      </c>
      <c r="CI2142" t="s">
        <v>24938</v>
      </c>
      <c r="CJ2142" t="s">
        <v>16128</v>
      </c>
      <c r="CK2142" t="s">
        <v>232</v>
      </c>
      <c r="CL2142" t="s">
        <v>233</v>
      </c>
      <c r="CM2142" t="s">
        <v>24939</v>
      </c>
      <c r="CN2142" t="s">
        <v>235</v>
      </c>
      <c r="CO2142" t="s">
        <v>183</v>
      </c>
      <c r="CP2142" t="s">
        <v>266</v>
      </c>
      <c r="CS2142" t="s">
        <v>198</v>
      </c>
      <c r="CT2142" t="s">
        <v>15965</v>
      </c>
      <c r="CU2142" t="s">
        <v>292</v>
      </c>
      <c r="CV2142" t="s">
        <v>293</v>
      </c>
      <c r="CW2142" t="s">
        <v>24940</v>
      </c>
      <c r="CX2142" t="s">
        <v>235</v>
      </c>
      <c r="CY2142" t="s">
        <v>183</v>
      </c>
      <c r="CZ2142" t="s">
        <v>211</v>
      </c>
      <c r="DA2142" t="s">
        <v>337</v>
      </c>
      <c r="DC2142" t="s">
        <v>2648</v>
      </c>
      <c r="DD2142" t="s">
        <v>10217</v>
      </c>
      <c r="DE2142" t="s">
        <v>267</v>
      </c>
      <c r="DF2142" t="s">
        <v>268</v>
      </c>
      <c r="DG2142" t="s">
        <v>24941</v>
      </c>
      <c r="DH2142" t="s">
        <v>235</v>
      </c>
      <c r="DI2142" t="s">
        <v>183</v>
      </c>
      <c r="DJ2142" t="s">
        <v>211</v>
      </c>
      <c r="DK2142" t="s">
        <v>334</v>
      </c>
      <c r="DM2142" t="s">
        <v>24942</v>
      </c>
      <c r="DN2142" t="s">
        <v>18225</v>
      </c>
      <c r="DO2142" t="s">
        <v>273</v>
      </c>
      <c r="DP2142" t="s">
        <v>274</v>
      </c>
      <c r="DQ2142" t="s">
        <v>24943</v>
      </c>
      <c r="DR2142" t="s">
        <v>235</v>
      </c>
      <c r="DS2142" t="s">
        <v>183</v>
      </c>
      <c r="DT2142" t="s">
        <v>211</v>
      </c>
      <c r="DU2142" t="s">
        <v>345</v>
      </c>
      <c r="DW2142" t="s">
        <v>3539</v>
      </c>
      <c r="DX2142" t="s">
        <v>24944</v>
      </c>
      <c r="DY2142" t="s">
        <v>302</v>
      </c>
      <c r="DZ2142" t="s">
        <v>303</v>
      </c>
      <c r="EA2142" t="s">
        <v>24945</v>
      </c>
      <c r="EB2142" t="s">
        <v>235</v>
      </c>
      <c r="EC2142" t="s">
        <v>183</v>
      </c>
      <c r="ED2142" t="s">
        <v>211</v>
      </c>
      <c r="EE2142" t="s">
        <v>290</v>
      </c>
      <c r="EG2142" t="s">
        <v>7554</v>
      </c>
      <c r="EH2142" t="s">
        <v>5695</v>
      </c>
      <c r="EI2142" t="s">
        <v>238</v>
      </c>
      <c r="EJ2142" t="s">
        <v>239</v>
      </c>
      <c r="EK2142" t="s">
        <v>24946</v>
      </c>
      <c r="EL2142" t="s">
        <v>235</v>
      </c>
      <c r="EM2142" t="s">
        <v>183</v>
      </c>
      <c r="EN2142" t="s">
        <v>211</v>
      </c>
      <c r="EO2142" t="s">
        <v>427</v>
      </c>
      <c r="EQ2142" t="s">
        <v>17544</v>
      </c>
      <c r="ER2142" t="s">
        <v>24947</v>
      </c>
      <c r="ES2142" t="s">
        <v>346</v>
      </c>
      <c r="ET2142" t="s">
        <v>347</v>
      </c>
      <c r="EU2142" t="s">
        <v>24948</v>
      </c>
      <c r="EV2142" t="s">
        <v>331</v>
      </c>
      <c r="EW2142" t="s">
        <v>183</v>
      </c>
      <c r="EX2142" t="s">
        <v>211</v>
      </c>
      <c r="EY2142" t="s">
        <v>298</v>
      </c>
      <c r="FA2142" t="s">
        <v>878</v>
      </c>
      <c r="FB2142" t="s">
        <v>24949</v>
      </c>
      <c r="FC2142" t="s">
        <v>207</v>
      </c>
      <c r="FD2142" t="s">
        <v>208</v>
      </c>
      <c r="FE2142" t="s">
        <v>24950</v>
      </c>
      <c r="FF2142" t="s">
        <v>247</v>
      </c>
      <c r="FG2142" t="s">
        <v>183</v>
      </c>
      <c r="FH2142" t="s">
        <v>211</v>
      </c>
      <c r="FI2142" t="s">
        <v>345</v>
      </c>
      <c r="FK2142" t="s">
        <v>1355</v>
      </c>
      <c r="FU2142" t="s">
        <v>198</v>
      </c>
    </row>
    <row r="2143" spans="1:177">
      <c r="A2143" s="1" t="str">
        <f>HYPERLINK("http://digipan.lumentumllc.com/apps/getLink/index.php?t=PropLink&amp;p=5244512","PL")</f>
        <v>PL</v>
      </c>
      <c r="B2143" s="1" t="str">
        <f>HYPERLINK("http://digipan.lumentumllc.com/apps/getLink/index.php?t=TaxLink&amp;p=5244512","TL")</f>
        <v>TL</v>
      </c>
      <c r="C2143" s="1" t="str">
        <f>HYPERLINK("http://digipan.lumentumllc.com/apps/getMap/index.php?p=5244512","Map")</f>
        <v>Map</v>
      </c>
      <c r="E2143" t="s">
        <v>177</v>
      </c>
      <c r="F2143" t="s">
        <v>178</v>
      </c>
      <c r="L2143" t="s">
        <v>24951</v>
      </c>
      <c r="N2143" t="s">
        <v>24951</v>
      </c>
      <c r="O2143" t="s">
        <v>24951</v>
      </c>
      <c r="P2143" t="s">
        <v>24952</v>
      </c>
      <c r="Q2143" t="s">
        <v>24951</v>
      </c>
      <c r="V2143">
        <v>2451</v>
      </c>
      <c r="W2143">
        <v>8</v>
      </c>
      <c r="X2143">
        <v>2017</v>
      </c>
      <c r="Y2143">
        <v>2018</v>
      </c>
      <c r="Z2143">
        <v>895.43</v>
      </c>
      <c r="AB2143" t="s">
        <v>181</v>
      </c>
      <c r="AC2143" t="s">
        <v>182</v>
      </c>
      <c r="AD2143" t="s">
        <v>183</v>
      </c>
      <c r="AE2143">
        <v>1</v>
      </c>
      <c r="AF2143">
        <v>7</v>
      </c>
      <c r="AG2143" t="s">
        <v>418</v>
      </c>
      <c r="AH2143">
        <v>86</v>
      </c>
      <c r="AI2143">
        <v>904.11</v>
      </c>
      <c r="AJ2143">
        <v>81.37</v>
      </c>
      <c r="AK2143">
        <v>985.48</v>
      </c>
      <c r="AL2143">
        <v>40057</v>
      </c>
      <c r="AM2143">
        <v>40057</v>
      </c>
      <c r="AN2143">
        <v>0</v>
      </c>
      <c r="AO2143">
        <v>811</v>
      </c>
      <c r="AP2143">
        <v>2016</v>
      </c>
      <c r="AQ2143">
        <v>2.2400000000000002</v>
      </c>
      <c r="AR2143">
        <v>2.46</v>
      </c>
      <c r="AS2143" t="s">
        <v>24953</v>
      </c>
      <c r="AT2143" t="s">
        <v>15040</v>
      </c>
      <c r="AU2143" t="s">
        <v>177</v>
      </c>
      <c r="AV2143" t="s">
        <v>371</v>
      </c>
      <c r="AW2143" t="s">
        <v>182</v>
      </c>
      <c r="AX2143">
        <v>40</v>
      </c>
      <c r="AY2143" t="s">
        <v>7171</v>
      </c>
      <c r="AZ2143" t="s">
        <v>988</v>
      </c>
      <c r="BA2143" t="s">
        <v>7172</v>
      </c>
      <c r="BB2143" t="s">
        <v>191</v>
      </c>
      <c r="BC2143" t="s">
        <v>182</v>
      </c>
      <c r="BD2143" t="s">
        <v>182</v>
      </c>
      <c r="BE2143" t="s">
        <v>6673</v>
      </c>
      <c r="BF2143">
        <v>0</v>
      </c>
      <c r="BG2143">
        <v>0</v>
      </c>
      <c r="BH2143">
        <v>0</v>
      </c>
      <c r="BI2143" t="s">
        <v>199</v>
      </c>
      <c r="BJ2143" t="s">
        <v>315</v>
      </c>
      <c r="BL2143" t="s">
        <v>2075</v>
      </c>
      <c r="BM2143" t="s">
        <v>1332</v>
      </c>
      <c r="BN2143" t="s">
        <v>182</v>
      </c>
      <c r="BO2143" t="s">
        <v>24954</v>
      </c>
      <c r="BP2143" t="s">
        <v>24955</v>
      </c>
      <c r="BQ2143" t="s">
        <v>904</v>
      </c>
      <c r="BS2143" t="s">
        <v>198</v>
      </c>
      <c r="BT2143" t="s">
        <v>24956</v>
      </c>
      <c r="BU2143" t="s">
        <v>182</v>
      </c>
      <c r="BV2143" t="s">
        <v>198</v>
      </c>
      <c r="BW2143" t="s">
        <v>198</v>
      </c>
      <c r="BX2143" t="s">
        <v>199</v>
      </c>
      <c r="BY2143" t="s">
        <v>198</v>
      </c>
      <c r="BZ2143" t="s">
        <v>199</v>
      </c>
      <c r="CA2143" t="s">
        <v>199</v>
      </c>
      <c r="CB2143" t="s">
        <v>21418</v>
      </c>
      <c r="CC2143" t="s">
        <v>201</v>
      </c>
      <c r="CD2143" t="s">
        <v>182</v>
      </c>
      <c r="CE2143" t="s">
        <v>24911</v>
      </c>
      <c r="CF2143" t="s">
        <v>21420</v>
      </c>
      <c r="CG2143" t="s">
        <v>2769</v>
      </c>
      <c r="CH2143" t="s">
        <v>21421</v>
      </c>
      <c r="CI2143" t="s">
        <v>24957</v>
      </c>
      <c r="CJ2143" t="s">
        <v>15650</v>
      </c>
      <c r="CK2143" t="s">
        <v>232</v>
      </c>
      <c r="CL2143" t="s">
        <v>233</v>
      </c>
      <c r="CM2143" t="s">
        <v>24958</v>
      </c>
      <c r="CN2143" t="s">
        <v>1966</v>
      </c>
      <c r="CO2143" t="s">
        <v>183</v>
      </c>
      <c r="CP2143" t="s">
        <v>266</v>
      </c>
      <c r="CS2143" t="s">
        <v>198</v>
      </c>
      <c r="CT2143" t="s">
        <v>15987</v>
      </c>
      <c r="CU2143" t="s">
        <v>292</v>
      </c>
      <c r="CV2143" t="s">
        <v>293</v>
      </c>
      <c r="CW2143" t="s">
        <v>24959</v>
      </c>
      <c r="CX2143" t="s">
        <v>333</v>
      </c>
      <c r="CY2143" t="s">
        <v>183</v>
      </c>
      <c r="CZ2143" t="s">
        <v>211</v>
      </c>
      <c r="DA2143" t="s">
        <v>298</v>
      </c>
      <c r="DC2143" t="s">
        <v>457</v>
      </c>
      <c r="DD2143" t="s">
        <v>18342</v>
      </c>
      <c r="DE2143" t="s">
        <v>267</v>
      </c>
      <c r="DF2143" t="s">
        <v>268</v>
      </c>
      <c r="DG2143" t="s">
        <v>24960</v>
      </c>
      <c r="DH2143" t="s">
        <v>482</v>
      </c>
      <c r="DI2143" t="s">
        <v>183</v>
      </c>
      <c r="DJ2143" t="s">
        <v>211</v>
      </c>
      <c r="DK2143" t="s">
        <v>298</v>
      </c>
      <c r="DM2143" t="s">
        <v>459</v>
      </c>
      <c r="DN2143" t="s">
        <v>22952</v>
      </c>
      <c r="DO2143" t="s">
        <v>273</v>
      </c>
      <c r="DP2143" t="s">
        <v>274</v>
      </c>
      <c r="DQ2143" t="s">
        <v>24961</v>
      </c>
      <c r="DR2143" t="s">
        <v>796</v>
      </c>
      <c r="DS2143" t="s">
        <v>183</v>
      </c>
      <c r="DT2143" t="s">
        <v>211</v>
      </c>
      <c r="DU2143" t="s">
        <v>298</v>
      </c>
      <c r="DW2143" t="s">
        <v>462</v>
      </c>
      <c r="DX2143" t="s">
        <v>24962</v>
      </c>
      <c r="DY2143" t="s">
        <v>302</v>
      </c>
      <c r="DZ2143" t="s">
        <v>303</v>
      </c>
      <c r="EA2143" t="s">
        <v>23522</v>
      </c>
      <c r="EB2143" t="s">
        <v>7278</v>
      </c>
      <c r="EC2143" t="s">
        <v>183</v>
      </c>
      <c r="ED2143" t="s">
        <v>211</v>
      </c>
      <c r="EE2143" t="s">
        <v>345</v>
      </c>
      <c r="EG2143" t="s">
        <v>9541</v>
      </c>
      <c r="EH2143" t="s">
        <v>5614</v>
      </c>
      <c r="EI2143" t="s">
        <v>238</v>
      </c>
      <c r="EJ2143" t="s">
        <v>239</v>
      </c>
      <c r="EK2143" t="s">
        <v>24963</v>
      </c>
      <c r="EL2143" t="s">
        <v>440</v>
      </c>
      <c r="EM2143" t="s">
        <v>183</v>
      </c>
      <c r="EN2143" t="s">
        <v>211</v>
      </c>
      <c r="EO2143" t="s">
        <v>345</v>
      </c>
      <c r="EQ2143" t="s">
        <v>3825</v>
      </c>
      <c r="ER2143" t="s">
        <v>24964</v>
      </c>
      <c r="ES2143" t="s">
        <v>346</v>
      </c>
      <c r="ET2143" t="s">
        <v>347</v>
      </c>
      <c r="EU2143" t="s">
        <v>24965</v>
      </c>
      <c r="EV2143" t="s">
        <v>440</v>
      </c>
      <c r="EW2143" t="s">
        <v>183</v>
      </c>
      <c r="EX2143" t="s">
        <v>211</v>
      </c>
      <c r="EY2143" t="s">
        <v>298</v>
      </c>
      <c r="FA2143" t="s">
        <v>878</v>
      </c>
      <c r="FB2143" t="s">
        <v>11922</v>
      </c>
      <c r="FC2143" t="s">
        <v>207</v>
      </c>
      <c r="FD2143" t="s">
        <v>208</v>
      </c>
      <c r="FE2143" t="s">
        <v>24966</v>
      </c>
      <c r="FF2143" t="s">
        <v>1966</v>
      </c>
      <c r="FG2143" t="s">
        <v>183</v>
      </c>
      <c r="FH2143" t="s">
        <v>211</v>
      </c>
      <c r="FI2143" t="s">
        <v>298</v>
      </c>
      <c r="FK2143" t="s">
        <v>474</v>
      </c>
      <c r="FU2143" t="s">
        <v>198</v>
      </c>
    </row>
    <row r="2144" spans="1:177">
      <c r="A2144" s="1" t="str">
        <f>HYPERLINK("http://digipan.lumentumllc.com/apps/getLink/index.php?t=PropLink&amp;p=6594067","PL")</f>
        <v>PL</v>
      </c>
      <c r="B2144" s="1" t="str">
        <f>HYPERLINK("http://digipan.lumentumllc.com/apps/getLink/index.php?t=TaxLink&amp;p=6594067","TL")</f>
        <v>TL</v>
      </c>
      <c r="C2144" s="1" t="str">
        <f>HYPERLINK("http://digipan.lumentumllc.com/apps/getMap/index.php?p=6594067","Map")</f>
        <v>Map</v>
      </c>
      <c r="E2144" t="s">
        <v>177</v>
      </c>
      <c r="F2144" t="s">
        <v>178</v>
      </c>
      <c r="L2144" t="s">
        <v>24967</v>
      </c>
      <c r="N2144" t="s">
        <v>24967</v>
      </c>
      <c r="O2144" t="s">
        <v>24967</v>
      </c>
      <c r="P2144" t="s">
        <v>24968</v>
      </c>
      <c r="Q2144" t="s">
        <v>24967</v>
      </c>
      <c r="V2144">
        <v>2452</v>
      </c>
      <c r="W2144">
        <v>8</v>
      </c>
      <c r="X2144">
        <v>2017</v>
      </c>
      <c r="Y2144">
        <v>2018</v>
      </c>
      <c r="Z2144">
        <v>3203.75</v>
      </c>
      <c r="AB2144" t="s">
        <v>181</v>
      </c>
      <c r="AC2144" t="s">
        <v>182</v>
      </c>
      <c r="AD2144" t="s">
        <v>183</v>
      </c>
      <c r="AE2144">
        <v>0</v>
      </c>
      <c r="AF2144">
        <v>4</v>
      </c>
      <c r="AG2144" t="s">
        <v>744</v>
      </c>
      <c r="AH2144">
        <v>100</v>
      </c>
      <c r="AK2144">
        <v>0</v>
      </c>
      <c r="AL2144">
        <v>180514</v>
      </c>
      <c r="AM2144">
        <v>87262</v>
      </c>
      <c r="AN2144">
        <v>93252</v>
      </c>
      <c r="AO2144">
        <v>2703</v>
      </c>
      <c r="AP2144">
        <v>2016</v>
      </c>
      <c r="AQ2144">
        <v>1.77</v>
      </c>
      <c r="AS2144" t="s">
        <v>24969</v>
      </c>
      <c r="AT2144" t="s">
        <v>15040</v>
      </c>
      <c r="AU2144" t="s">
        <v>177</v>
      </c>
      <c r="AV2144" t="s">
        <v>371</v>
      </c>
      <c r="AW2144" t="s">
        <v>202</v>
      </c>
      <c r="AX2144">
        <v>1</v>
      </c>
      <c r="AY2144" t="s">
        <v>188</v>
      </c>
      <c r="AZ2144" t="s">
        <v>206</v>
      </c>
      <c r="BA2144" t="s">
        <v>355</v>
      </c>
      <c r="BB2144" t="s">
        <v>191</v>
      </c>
      <c r="BC2144" t="s">
        <v>182</v>
      </c>
      <c r="BD2144" t="s">
        <v>182</v>
      </c>
      <c r="BE2144" t="s">
        <v>5975</v>
      </c>
      <c r="BF2144">
        <v>1</v>
      </c>
      <c r="BG2144">
        <v>1</v>
      </c>
      <c r="BH2144">
        <v>1900</v>
      </c>
      <c r="BI2144" t="s">
        <v>10922</v>
      </c>
      <c r="BJ2144" t="s">
        <v>285</v>
      </c>
      <c r="BK2144" t="s">
        <v>195</v>
      </c>
      <c r="BL2144" t="s">
        <v>199</v>
      </c>
      <c r="BM2144" t="s">
        <v>410</v>
      </c>
      <c r="BN2144" t="s">
        <v>182</v>
      </c>
      <c r="BO2144" t="s">
        <v>198</v>
      </c>
      <c r="BP2144" t="s">
        <v>198</v>
      </c>
      <c r="BQ2144" t="s">
        <v>198</v>
      </c>
      <c r="BR2144" t="s">
        <v>198</v>
      </c>
      <c r="BS2144" t="s">
        <v>198</v>
      </c>
      <c r="BT2144" t="s">
        <v>198</v>
      </c>
      <c r="BU2144" t="s">
        <v>182</v>
      </c>
      <c r="BV2144" t="s">
        <v>198</v>
      </c>
      <c r="BW2144" t="s">
        <v>198</v>
      </c>
      <c r="BX2144" t="s">
        <v>199</v>
      </c>
      <c r="BY2144" t="s">
        <v>198</v>
      </c>
      <c r="BZ2144" t="s">
        <v>199</v>
      </c>
      <c r="CA2144" t="s">
        <v>199</v>
      </c>
      <c r="CB2144" t="s">
        <v>24970</v>
      </c>
      <c r="CC2144" t="s">
        <v>201</v>
      </c>
      <c r="CD2144" t="s">
        <v>202</v>
      </c>
      <c r="CE2144" t="s">
        <v>24971</v>
      </c>
      <c r="CF2144" t="s">
        <v>5331</v>
      </c>
      <c r="CG2144" t="s">
        <v>177</v>
      </c>
      <c r="CH2144" t="s">
        <v>371</v>
      </c>
      <c r="CI2144" t="s">
        <v>24972</v>
      </c>
      <c r="CJ2144" t="s">
        <v>17824</v>
      </c>
      <c r="CK2144" t="s">
        <v>232</v>
      </c>
      <c r="CL2144" t="s">
        <v>233</v>
      </c>
      <c r="CM2144" t="s">
        <v>24973</v>
      </c>
      <c r="CN2144" t="s">
        <v>235</v>
      </c>
      <c r="CO2144" t="s">
        <v>183</v>
      </c>
      <c r="CP2144" t="s">
        <v>211</v>
      </c>
      <c r="CQ2144" t="s">
        <v>296</v>
      </c>
      <c r="CS2144" t="s">
        <v>5194</v>
      </c>
      <c r="CT2144" t="s">
        <v>1248</v>
      </c>
      <c r="CU2144" t="s">
        <v>292</v>
      </c>
      <c r="CV2144" t="s">
        <v>293</v>
      </c>
      <c r="CW2144" t="s">
        <v>24974</v>
      </c>
      <c r="CX2144" t="s">
        <v>235</v>
      </c>
      <c r="CY2144" t="s">
        <v>183</v>
      </c>
      <c r="CZ2144" t="s">
        <v>211</v>
      </c>
      <c r="DA2144" t="s">
        <v>250</v>
      </c>
      <c r="DC2144" t="s">
        <v>16503</v>
      </c>
      <c r="DD2144" t="s">
        <v>8467</v>
      </c>
      <c r="DE2144" t="s">
        <v>267</v>
      </c>
      <c r="DF2144" t="s">
        <v>268</v>
      </c>
      <c r="DG2144" t="s">
        <v>24975</v>
      </c>
      <c r="DH2144" t="s">
        <v>235</v>
      </c>
      <c r="DI2144" t="s">
        <v>183</v>
      </c>
      <c r="DJ2144" t="s">
        <v>211</v>
      </c>
      <c r="DK2144" t="s">
        <v>296</v>
      </c>
      <c r="DM2144" t="s">
        <v>24976</v>
      </c>
      <c r="DN2144" t="s">
        <v>22970</v>
      </c>
      <c r="DO2144" t="s">
        <v>273</v>
      </c>
      <c r="DP2144" t="s">
        <v>274</v>
      </c>
      <c r="DQ2144" t="s">
        <v>24977</v>
      </c>
      <c r="DR2144" t="s">
        <v>235</v>
      </c>
      <c r="DS2144" t="s">
        <v>183</v>
      </c>
      <c r="DT2144" t="s">
        <v>211</v>
      </c>
      <c r="DU2144" t="s">
        <v>264</v>
      </c>
      <c r="DW2144" t="s">
        <v>18068</v>
      </c>
      <c r="EG2144" t="s">
        <v>198</v>
      </c>
      <c r="EQ2144" t="s">
        <v>198</v>
      </c>
      <c r="FA2144" t="s">
        <v>198</v>
      </c>
      <c r="FK2144" t="s">
        <v>198</v>
      </c>
      <c r="FU2144" t="s">
        <v>198</v>
      </c>
    </row>
    <row r="2145" spans="1:177">
      <c r="A2145" s="1" t="str">
        <f>HYPERLINK("http://digipan.lumentumllc.com/apps/getLink/index.php?t=PropLink&amp;p=6461698","PL")</f>
        <v>PL</v>
      </c>
      <c r="B2145" s="1" t="str">
        <f>HYPERLINK("http://digipan.lumentumllc.com/apps/getLink/index.php?t=TaxLink&amp;p=6461698","TL")</f>
        <v>TL</v>
      </c>
      <c r="C2145" s="1" t="str">
        <f>HYPERLINK("http://digipan.lumentumllc.com/apps/getMap/index.php?p=6461698","Map")</f>
        <v>Map</v>
      </c>
      <c r="E2145" t="s">
        <v>177</v>
      </c>
      <c r="F2145" t="s">
        <v>178</v>
      </c>
      <c r="L2145" t="s">
        <v>24978</v>
      </c>
      <c r="N2145" t="s">
        <v>24978</v>
      </c>
      <c r="O2145" t="s">
        <v>24978</v>
      </c>
      <c r="P2145" t="s">
        <v>24979</v>
      </c>
      <c r="Q2145" t="s">
        <v>24978</v>
      </c>
      <c r="V2145">
        <v>2454</v>
      </c>
      <c r="W2145">
        <v>8</v>
      </c>
      <c r="X2145">
        <v>2017</v>
      </c>
      <c r="Y2145">
        <v>2018</v>
      </c>
      <c r="Z2145">
        <v>3922.6</v>
      </c>
      <c r="AB2145" t="s">
        <v>181</v>
      </c>
      <c r="AC2145" t="s">
        <v>182</v>
      </c>
      <c r="AD2145" t="s">
        <v>183</v>
      </c>
      <c r="AE2145">
        <v>0</v>
      </c>
      <c r="AF2145">
        <v>1</v>
      </c>
      <c r="AG2145" t="s">
        <v>821</v>
      </c>
      <c r="AH2145">
        <v>100</v>
      </c>
      <c r="AK2145">
        <v>0</v>
      </c>
      <c r="AL2145">
        <v>307349</v>
      </c>
      <c r="AM2145">
        <v>288750</v>
      </c>
      <c r="AN2145">
        <v>18599</v>
      </c>
      <c r="AO2145">
        <v>2745</v>
      </c>
      <c r="AP2145">
        <v>2016</v>
      </c>
      <c r="AQ2145">
        <v>1.28</v>
      </c>
      <c r="AS2145" t="s">
        <v>24980</v>
      </c>
      <c r="AT2145" t="s">
        <v>15040</v>
      </c>
      <c r="AU2145" t="s">
        <v>177</v>
      </c>
      <c r="AV2145" t="s">
        <v>371</v>
      </c>
      <c r="AW2145" t="s">
        <v>182</v>
      </c>
      <c r="AX2145">
        <v>1</v>
      </c>
      <c r="AY2145" t="s">
        <v>188</v>
      </c>
      <c r="AZ2145" t="s">
        <v>206</v>
      </c>
      <c r="BA2145" t="s">
        <v>355</v>
      </c>
      <c r="BB2145" t="s">
        <v>191</v>
      </c>
      <c r="BC2145" t="s">
        <v>182</v>
      </c>
      <c r="BD2145" t="s">
        <v>182</v>
      </c>
      <c r="BE2145" t="s">
        <v>15307</v>
      </c>
      <c r="BF2145">
        <v>1</v>
      </c>
      <c r="BG2145">
        <v>1</v>
      </c>
      <c r="BH2145">
        <v>1949</v>
      </c>
      <c r="BI2145" t="s">
        <v>5853</v>
      </c>
      <c r="BJ2145" t="s">
        <v>285</v>
      </c>
      <c r="BK2145" t="s">
        <v>195</v>
      </c>
      <c r="BL2145" t="s">
        <v>24981</v>
      </c>
      <c r="BM2145" t="s">
        <v>325</v>
      </c>
      <c r="BN2145" t="s">
        <v>182</v>
      </c>
      <c r="BO2145" t="s">
        <v>198</v>
      </c>
      <c r="BP2145" t="s">
        <v>198</v>
      </c>
      <c r="BQ2145" t="s">
        <v>198</v>
      </c>
      <c r="BR2145" t="s">
        <v>198</v>
      </c>
      <c r="BS2145" t="s">
        <v>198</v>
      </c>
      <c r="BT2145" t="s">
        <v>198</v>
      </c>
      <c r="BU2145" t="s">
        <v>182</v>
      </c>
      <c r="BV2145" t="s">
        <v>198</v>
      </c>
      <c r="BW2145" t="s">
        <v>198</v>
      </c>
      <c r="BX2145" t="s">
        <v>199</v>
      </c>
      <c r="BY2145" t="s">
        <v>198</v>
      </c>
      <c r="BZ2145" t="s">
        <v>199</v>
      </c>
      <c r="CA2145" t="s">
        <v>199</v>
      </c>
      <c r="CB2145" t="s">
        <v>24982</v>
      </c>
      <c r="CC2145" t="s">
        <v>201</v>
      </c>
      <c r="CD2145" t="s">
        <v>182</v>
      </c>
      <c r="CE2145" t="s">
        <v>24983</v>
      </c>
      <c r="CF2145" t="s">
        <v>24984</v>
      </c>
      <c r="CG2145" t="s">
        <v>6565</v>
      </c>
      <c r="CH2145" t="s">
        <v>24985</v>
      </c>
      <c r="CI2145" t="s">
        <v>24986</v>
      </c>
      <c r="CJ2145" t="s">
        <v>16155</v>
      </c>
      <c r="CK2145" t="s">
        <v>302</v>
      </c>
      <c r="CL2145" t="s">
        <v>303</v>
      </c>
      <c r="CM2145" t="s">
        <v>24987</v>
      </c>
      <c r="CN2145" t="s">
        <v>235</v>
      </c>
      <c r="CO2145" t="s">
        <v>183</v>
      </c>
      <c r="CP2145" t="s">
        <v>211</v>
      </c>
      <c r="CQ2145" t="s">
        <v>250</v>
      </c>
      <c r="CS2145" t="s">
        <v>2950</v>
      </c>
      <c r="DC2145" t="s">
        <v>198</v>
      </c>
      <c r="DM2145" t="s">
        <v>198</v>
      </c>
      <c r="DW2145" t="s">
        <v>198</v>
      </c>
      <c r="EG2145" t="s">
        <v>198</v>
      </c>
      <c r="EQ2145" t="s">
        <v>198</v>
      </c>
      <c r="FA2145" t="s">
        <v>198</v>
      </c>
      <c r="FK2145" t="s">
        <v>198</v>
      </c>
      <c r="FU2145" t="s">
        <v>198</v>
      </c>
    </row>
    <row r="2146" spans="1:177">
      <c r="A2146" s="1" t="str">
        <f>HYPERLINK("http://digipan.lumentumllc.com/apps/getLink/index.php?t=PropLink&amp;p=5244520","PL")</f>
        <v>PL</v>
      </c>
      <c r="B2146" s="1" t="str">
        <f>HYPERLINK("http://digipan.lumentumllc.com/apps/getLink/index.php?t=TaxLink&amp;p=5244520","TL")</f>
        <v>TL</v>
      </c>
      <c r="C2146" s="1" t="str">
        <f>HYPERLINK("http://digipan.lumentumllc.com/apps/getMap/index.php?p=5244520","Map")</f>
        <v>Map</v>
      </c>
      <c r="E2146" t="s">
        <v>177</v>
      </c>
      <c r="F2146" t="s">
        <v>178</v>
      </c>
      <c r="L2146" t="s">
        <v>24988</v>
      </c>
      <c r="N2146" t="s">
        <v>24988</v>
      </c>
      <c r="O2146" t="s">
        <v>24988</v>
      </c>
      <c r="P2146" t="s">
        <v>24989</v>
      </c>
      <c r="Q2146" t="s">
        <v>24988</v>
      </c>
      <c r="V2146">
        <v>2455</v>
      </c>
      <c r="W2146">
        <v>8</v>
      </c>
      <c r="X2146">
        <v>2017</v>
      </c>
      <c r="Y2146">
        <v>2018</v>
      </c>
      <c r="Z2146">
        <v>447.88</v>
      </c>
      <c r="AB2146" t="s">
        <v>181</v>
      </c>
      <c r="AC2146" t="s">
        <v>202</v>
      </c>
      <c r="AD2146" t="s">
        <v>183</v>
      </c>
      <c r="AE2146">
        <v>2</v>
      </c>
      <c r="AF2146">
        <v>5</v>
      </c>
      <c r="AG2146" t="s">
        <v>282</v>
      </c>
      <c r="AH2146">
        <v>67</v>
      </c>
      <c r="AI2146">
        <v>800.69</v>
      </c>
      <c r="AJ2146">
        <v>63.68</v>
      </c>
      <c r="AK2146">
        <v>864.37</v>
      </c>
      <c r="AL2146">
        <v>20625</v>
      </c>
      <c r="AM2146">
        <v>20625</v>
      </c>
      <c r="AN2146">
        <v>0</v>
      </c>
      <c r="AO2146">
        <v>355</v>
      </c>
      <c r="AP2146">
        <v>2016</v>
      </c>
      <c r="AQ2146">
        <v>2.17</v>
      </c>
      <c r="AR2146">
        <v>4.1900000000000004</v>
      </c>
      <c r="AS2146" t="s">
        <v>24990</v>
      </c>
      <c r="AT2146" t="s">
        <v>15040</v>
      </c>
      <c r="AU2146" t="s">
        <v>177</v>
      </c>
      <c r="AV2146" t="s">
        <v>371</v>
      </c>
      <c r="AW2146" t="s">
        <v>182</v>
      </c>
      <c r="AX2146">
        <v>0</v>
      </c>
      <c r="AY2146" t="s">
        <v>312</v>
      </c>
      <c r="AZ2146" t="s">
        <v>199</v>
      </c>
      <c r="BA2146" t="s">
        <v>313</v>
      </c>
      <c r="BB2146" t="s">
        <v>191</v>
      </c>
      <c r="BC2146" t="s">
        <v>182</v>
      </c>
      <c r="BD2146" t="s">
        <v>182</v>
      </c>
      <c r="BE2146" t="s">
        <v>11838</v>
      </c>
      <c r="BF2146">
        <v>0</v>
      </c>
      <c r="BG2146">
        <v>0</v>
      </c>
      <c r="BH2146">
        <v>0</v>
      </c>
      <c r="BI2146" t="s">
        <v>199</v>
      </c>
      <c r="BJ2146" t="s">
        <v>248</v>
      </c>
      <c r="BL2146" t="s">
        <v>199</v>
      </c>
      <c r="BM2146" t="s">
        <v>358</v>
      </c>
      <c r="BN2146" t="s">
        <v>182</v>
      </c>
      <c r="BO2146" t="s">
        <v>198</v>
      </c>
      <c r="BP2146" t="s">
        <v>198</v>
      </c>
      <c r="BQ2146" t="s">
        <v>198</v>
      </c>
      <c r="BR2146" t="s">
        <v>198</v>
      </c>
      <c r="BS2146" t="s">
        <v>198</v>
      </c>
      <c r="BT2146" t="s">
        <v>198</v>
      </c>
      <c r="BU2146" t="s">
        <v>182</v>
      </c>
      <c r="BV2146" t="s">
        <v>198</v>
      </c>
      <c r="BW2146" t="s">
        <v>198</v>
      </c>
      <c r="BX2146" t="s">
        <v>199</v>
      </c>
      <c r="BY2146" t="s">
        <v>198</v>
      </c>
      <c r="BZ2146" t="s">
        <v>199</v>
      </c>
      <c r="CA2146" t="s">
        <v>199</v>
      </c>
      <c r="CB2146" t="s">
        <v>24991</v>
      </c>
      <c r="CC2146" t="s">
        <v>201</v>
      </c>
      <c r="CD2146" t="s">
        <v>202</v>
      </c>
      <c r="CE2146" t="s">
        <v>24992</v>
      </c>
      <c r="CF2146" t="s">
        <v>5331</v>
      </c>
      <c r="CG2146" t="s">
        <v>177</v>
      </c>
      <c r="CH2146" t="s">
        <v>371</v>
      </c>
      <c r="CI2146" t="s">
        <v>24993</v>
      </c>
      <c r="CJ2146" t="s">
        <v>14644</v>
      </c>
      <c r="CK2146" t="s">
        <v>232</v>
      </c>
      <c r="CL2146" t="s">
        <v>233</v>
      </c>
      <c r="CM2146" t="s">
        <v>24994</v>
      </c>
      <c r="CN2146" t="s">
        <v>2499</v>
      </c>
      <c r="CO2146" t="s">
        <v>183</v>
      </c>
      <c r="CP2146" t="s">
        <v>266</v>
      </c>
      <c r="CS2146" t="s">
        <v>198</v>
      </c>
      <c r="CT2146" t="s">
        <v>15537</v>
      </c>
      <c r="CU2146" t="s">
        <v>292</v>
      </c>
      <c r="CV2146" t="s">
        <v>293</v>
      </c>
      <c r="CW2146" t="s">
        <v>24995</v>
      </c>
      <c r="CX2146" t="s">
        <v>235</v>
      </c>
      <c r="CY2146" t="s">
        <v>183</v>
      </c>
      <c r="CZ2146" t="s">
        <v>266</v>
      </c>
      <c r="DC2146" t="s">
        <v>198</v>
      </c>
      <c r="DD2146" t="s">
        <v>18325</v>
      </c>
      <c r="DE2146" t="s">
        <v>273</v>
      </c>
      <c r="DF2146" t="s">
        <v>274</v>
      </c>
      <c r="DG2146" t="s">
        <v>24996</v>
      </c>
      <c r="DH2146" t="s">
        <v>3395</v>
      </c>
      <c r="DI2146" t="s">
        <v>183</v>
      </c>
      <c r="DJ2146" t="s">
        <v>211</v>
      </c>
      <c r="DK2146" t="s">
        <v>264</v>
      </c>
      <c r="DL2146" t="s">
        <v>271</v>
      </c>
      <c r="DM2146" t="s">
        <v>24997</v>
      </c>
      <c r="DN2146" t="s">
        <v>16180</v>
      </c>
      <c r="DO2146" t="s">
        <v>302</v>
      </c>
      <c r="DP2146" t="s">
        <v>303</v>
      </c>
      <c r="DQ2146" t="s">
        <v>24998</v>
      </c>
      <c r="DR2146" t="s">
        <v>4363</v>
      </c>
      <c r="DS2146" t="s">
        <v>183</v>
      </c>
      <c r="DT2146" t="s">
        <v>211</v>
      </c>
      <c r="DU2146" t="s">
        <v>471</v>
      </c>
      <c r="DV2146" t="s">
        <v>271</v>
      </c>
      <c r="DW2146" t="s">
        <v>24997</v>
      </c>
      <c r="DX2146" t="s">
        <v>5360</v>
      </c>
      <c r="DY2146" t="s">
        <v>238</v>
      </c>
      <c r="DZ2146" t="s">
        <v>239</v>
      </c>
      <c r="EA2146" t="s">
        <v>24999</v>
      </c>
      <c r="EB2146" t="s">
        <v>254</v>
      </c>
      <c r="EC2146" t="s">
        <v>183</v>
      </c>
      <c r="ED2146" t="s">
        <v>211</v>
      </c>
      <c r="EE2146" t="s">
        <v>768</v>
      </c>
      <c r="EF2146" t="s">
        <v>271</v>
      </c>
      <c r="EG2146" t="s">
        <v>24997</v>
      </c>
      <c r="EH2146" t="s">
        <v>25000</v>
      </c>
      <c r="EI2146" t="s">
        <v>346</v>
      </c>
      <c r="EJ2146" t="s">
        <v>347</v>
      </c>
      <c r="EK2146" t="s">
        <v>25001</v>
      </c>
      <c r="EL2146" t="s">
        <v>247</v>
      </c>
      <c r="EM2146" t="s">
        <v>183</v>
      </c>
      <c r="EN2146" t="s">
        <v>211</v>
      </c>
      <c r="EP2146" t="s">
        <v>271</v>
      </c>
      <c r="EQ2146" t="s">
        <v>198</v>
      </c>
      <c r="ER2146" t="s">
        <v>11442</v>
      </c>
      <c r="ES2146" t="s">
        <v>207</v>
      </c>
      <c r="ET2146" t="s">
        <v>208</v>
      </c>
      <c r="EU2146" t="s">
        <v>25002</v>
      </c>
      <c r="EV2146" t="s">
        <v>688</v>
      </c>
      <c r="EW2146" t="s">
        <v>183</v>
      </c>
      <c r="EX2146" t="s">
        <v>211</v>
      </c>
      <c r="EZ2146" t="s">
        <v>271</v>
      </c>
      <c r="FA2146" t="s">
        <v>198</v>
      </c>
      <c r="FK2146" t="s">
        <v>198</v>
      </c>
      <c r="FU2146" t="s">
        <v>198</v>
      </c>
    </row>
    <row r="2147" spans="1:177">
      <c r="A2147" s="1" t="str">
        <f>HYPERLINK("http://digipan.lumentumllc.com/apps/getLink/index.php?t=PropLink&amp;p=5244521","PL")</f>
        <v>PL</v>
      </c>
      <c r="B2147" s="1" t="str">
        <f>HYPERLINK("http://digipan.lumentumllc.com/apps/getLink/index.php?t=TaxLink&amp;p=5244521","TL")</f>
        <v>TL</v>
      </c>
      <c r="C2147" s="1" t="str">
        <f>HYPERLINK("http://digipan.lumentumllc.com/apps/getMap/index.php?p=5244521","Map")</f>
        <v>Map</v>
      </c>
      <c r="E2147" t="s">
        <v>177</v>
      </c>
      <c r="F2147" t="s">
        <v>178</v>
      </c>
      <c r="L2147" t="s">
        <v>25003</v>
      </c>
      <c r="N2147" t="s">
        <v>25003</v>
      </c>
      <c r="O2147" t="s">
        <v>25003</v>
      </c>
      <c r="P2147" t="s">
        <v>25004</v>
      </c>
      <c r="Q2147" t="s">
        <v>25003</v>
      </c>
      <c r="V2147">
        <v>2456</v>
      </c>
      <c r="W2147">
        <v>8</v>
      </c>
      <c r="X2147">
        <v>2017</v>
      </c>
      <c r="Y2147">
        <v>2018</v>
      </c>
      <c r="Z2147">
        <v>1019.27</v>
      </c>
      <c r="AB2147" t="s">
        <v>181</v>
      </c>
      <c r="AC2147" t="s">
        <v>202</v>
      </c>
      <c r="AD2147" t="s">
        <v>183</v>
      </c>
      <c r="AE2147">
        <v>1</v>
      </c>
      <c r="AF2147">
        <v>7</v>
      </c>
      <c r="AG2147" t="s">
        <v>418</v>
      </c>
      <c r="AH2147">
        <v>86</v>
      </c>
      <c r="AI2147">
        <v>848.14</v>
      </c>
      <c r="AJ2147">
        <v>46.65</v>
      </c>
      <c r="AK2147">
        <v>894.79</v>
      </c>
      <c r="AL2147">
        <v>55000</v>
      </c>
      <c r="AM2147">
        <v>55000</v>
      </c>
      <c r="AN2147">
        <v>0</v>
      </c>
      <c r="AO2147">
        <v>759</v>
      </c>
      <c r="AP2147">
        <v>2016</v>
      </c>
      <c r="AQ2147">
        <v>1.85</v>
      </c>
      <c r="AR2147">
        <v>1.63</v>
      </c>
      <c r="AS2147" t="s">
        <v>25005</v>
      </c>
      <c r="AT2147" t="s">
        <v>15040</v>
      </c>
      <c r="AU2147" t="s">
        <v>177</v>
      </c>
      <c r="AV2147" t="s">
        <v>371</v>
      </c>
      <c r="AW2147" t="s">
        <v>182</v>
      </c>
      <c r="AX2147">
        <v>0</v>
      </c>
      <c r="AY2147" t="s">
        <v>312</v>
      </c>
      <c r="AZ2147" t="s">
        <v>199</v>
      </c>
      <c r="BA2147" t="s">
        <v>313</v>
      </c>
      <c r="BB2147" t="s">
        <v>191</v>
      </c>
      <c r="BC2147" t="s">
        <v>182</v>
      </c>
      <c r="BD2147" t="s">
        <v>182</v>
      </c>
      <c r="BE2147" t="s">
        <v>3930</v>
      </c>
      <c r="BF2147">
        <v>0</v>
      </c>
      <c r="BG2147">
        <v>0</v>
      </c>
      <c r="BH2147">
        <v>0</v>
      </c>
      <c r="BI2147" t="s">
        <v>199</v>
      </c>
      <c r="BJ2147" t="s">
        <v>315</v>
      </c>
      <c r="BL2147" t="s">
        <v>1332</v>
      </c>
      <c r="BM2147" t="s">
        <v>325</v>
      </c>
      <c r="BN2147" t="s">
        <v>182</v>
      </c>
      <c r="BO2147" t="s">
        <v>198</v>
      </c>
      <c r="BP2147" t="s">
        <v>198</v>
      </c>
      <c r="BQ2147" t="s">
        <v>198</v>
      </c>
      <c r="BR2147" t="s">
        <v>198</v>
      </c>
      <c r="BS2147" t="s">
        <v>198</v>
      </c>
      <c r="BT2147" t="s">
        <v>198</v>
      </c>
      <c r="BU2147" t="s">
        <v>182</v>
      </c>
      <c r="BV2147" t="s">
        <v>198</v>
      </c>
      <c r="BW2147" t="s">
        <v>198</v>
      </c>
      <c r="BX2147" t="s">
        <v>199</v>
      </c>
      <c r="BY2147" t="s">
        <v>198</v>
      </c>
      <c r="BZ2147" t="s">
        <v>199</v>
      </c>
      <c r="CA2147" t="s">
        <v>199</v>
      </c>
      <c r="CB2147" t="s">
        <v>25006</v>
      </c>
      <c r="CC2147" t="s">
        <v>1407</v>
      </c>
      <c r="CD2147" t="s">
        <v>202</v>
      </c>
      <c r="CE2147" t="s">
        <v>3817</v>
      </c>
      <c r="CF2147" t="s">
        <v>1029</v>
      </c>
      <c r="CG2147" t="s">
        <v>177</v>
      </c>
      <c r="CH2147" t="s">
        <v>1030</v>
      </c>
      <c r="CI2147" t="s">
        <v>25007</v>
      </c>
      <c r="CJ2147" t="s">
        <v>23492</v>
      </c>
      <c r="CK2147" t="s">
        <v>232</v>
      </c>
      <c r="CL2147" t="s">
        <v>233</v>
      </c>
      <c r="CM2147" t="s">
        <v>16574</v>
      </c>
      <c r="CN2147" t="s">
        <v>1164</v>
      </c>
      <c r="CO2147" t="s">
        <v>183</v>
      </c>
      <c r="CP2147" t="s">
        <v>266</v>
      </c>
      <c r="CS2147" t="s">
        <v>198</v>
      </c>
      <c r="CT2147" t="s">
        <v>24847</v>
      </c>
      <c r="CU2147" t="s">
        <v>292</v>
      </c>
      <c r="CV2147" t="s">
        <v>293</v>
      </c>
      <c r="CW2147" t="s">
        <v>25008</v>
      </c>
      <c r="CX2147" t="s">
        <v>235</v>
      </c>
      <c r="CY2147" t="s">
        <v>183</v>
      </c>
      <c r="CZ2147" t="s">
        <v>211</v>
      </c>
      <c r="DA2147" t="s">
        <v>298</v>
      </c>
      <c r="DC2147" t="s">
        <v>1641</v>
      </c>
      <c r="DD2147" t="s">
        <v>10305</v>
      </c>
      <c r="DE2147" t="s">
        <v>267</v>
      </c>
      <c r="DF2147" t="s">
        <v>268</v>
      </c>
      <c r="DG2147" t="s">
        <v>25009</v>
      </c>
      <c r="DH2147" t="s">
        <v>484</v>
      </c>
      <c r="DI2147" t="s">
        <v>183</v>
      </c>
      <c r="DJ2147" t="s">
        <v>211</v>
      </c>
      <c r="DK2147" t="s">
        <v>250</v>
      </c>
      <c r="DL2147" t="s">
        <v>271</v>
      </c>
      <c r="DM2147" t="s">
        <v>14197</v>
      </c>
      <c r="DN2147" t="s">
        <v>18350</v>
      </c>
      <c r="DO2147" t="s">
        <v>273</v>
      </c>
      <c r="DP2147" t="s">
        <v>274</v>
      </c>
      <c r="DQ2147" t="s">
        <v>25010</v>
      </c>
      <c r="DR2147" t="s">
        <v>796</v>
      </c>
      <c r="DS2147" t="s">
        <v>183</v>
      </c>
      <c r="DT2147" t="s">
        <v>211</v>
      </c>
      <c r="DV2147" t="s">
        <v>271</v>
      </c>
      <c r="DW2147" t="s">
        <v>198</v>
      </c>
      <c r="DX2147" t="s">
        <v>16209</v>
      </c>
      <c r="DY2147" t="s">
        <v>302</v>
      </c>
      <c r="DZ2147" t="s">
        <v>303</v>
      </c>
      <c r="EA2147" t="s">
        <v>25011</v>
      </c>
      <c r="EB2147" t="s">
        <v>7278</v>
      </c>
      <c r="EC2147" t="s">
        <v>183</v>
      </c>
      <c r="ED2147" t="s">
        <v>211</v>
      </c>
      <c r="EF2147" t="s">
        <v>271</v>
      </c>
      <c r="EG2147" t="s">
        <v>198</v>
      </c>
      <c r="EH2147" t="s">
        <v>4356</v>
      </c>
      <c r="EI2147" t="s">
        <v>238</v>
      </c>
      <c r="EJ2147" t="s">
        <v>239</v>
      </c>
      <c r="EK2147" t="s">
        <v>25012</v>
      </c>
      <c r="EL2147" t="s">
        <v>1491</v>
      </c>
      <c r="EM2147" t="s">
        <v>183</v>
      </c>
      <c r="EN2147" t="s">
        <v>211</v>
      </c>
      <c r="EO2147" t="s">
        <v>345</v>
      </c>
      <c r="EQ2147" t="s">
        <v>3825</v>
      </c>
      <c r="ER2147" t="s">
        <v>25013</v>
      </c>
      <c r="ES2147" t="s">
        <v>346</v>
      </c>
      <c r="ET2147" t="s">
        <v>347</v>
      </c>
      <c r="EU2147" t="s">
        <v>25014</v>
      </c>
      <c r="EV2147" t="s">
        <v>1164</v>
      </c>
      <c r="EW2147" t="s">
        <v>183</v>
      </c>
      <c r="EX2147" t="s">
        <v>211</v>
      </c>
      <c r="EY2147" t="s">
        <v>298</v>
      </c>
      <c r="FA2147" t="s">
        <v>2756</v>
      </c>
      <c r="FB2147" t="s">
        <v>25015</v>
      </c>
      <c r="FC2147" t="s">
        <v>207</v>
      </c>
      <c r="FD2147" t="s">
        <v>208</v>
      </c>
      <c r="FE2147" t="s">
        <v>25016</v>
      </c>
      <c r="FF2147" t="s">
        <v>2515</v>
      </c>
      <c r="FG2147" t="s">
        <v>183</v>
      </c>
      <c r="FH2147" t="s">
        <v>211</v>
      </c>
      <c r="FI2147" t="s">
        <v>298</v>
      </c>
      <c r="FK2147" t="s">
        <v>474</v>
      </c>
      <c r="FU2147" t="s">
        <v>198</v>
      </c>
    </row>
    <row r="2148" spans="1:177">
      <c r="A2148" s="1" t="str">
        <f>HYPERLINK("http://digipan.lumentumllc.com/apps/getLink/index.php?t=PropLink&amp;p=5244522","PL")</f>
        <v>PL</v>
      </c>
      <c r="B2148" s="1" t="str">
        <f>HYPERLINK("http://digipan.lumentumllc.com/apps/getLink/index.php?t=TaxLink&amp;p=5244522","TL")</f>
        <v>TL</v>
      </c>
      <c r="C2148" s="1" t="str">
        <f>HYPERLINK("http://digipan.lumentumllc.com/apps/getMap/index.php?p=5244522","Map")</f>
        <v>Map</v>
      </c>
      <c r="E2148" t="s">
        <v>177</v>
      </c>
      <c r="F2148" t="s">
        <v>178</v>
      </c>
      <c r="L2148" t="s">
        <v>25017</v>
      </c>
      <c r="N2148" t="s">
        <v>25017</v>
      </c>
      <c r="O2148" t="s">
        <v>25017</v>
      </c>
      <c r="P2148" t="s">
        <v>25018</v>
      </c>
      <c r="Q2148" t="s">
        <v>25017</v>
      </c>
      <c r="V2148">
        <v>2457</v>
      </c>
      <c r="W2148">
        <v>8</v>
      </c>
      <c r="X2148">
        <v>2017</v>
      </c>
      <c r="Y2148">
        <v>2018</v>
      </c>
      <c r="Z2148">
        <v>183.34</v>
      </c>
      <c r="AB2148" t="s">
        <v>181</v>
      </c>
      <c r="AC2148" t="s">
        <v>182</v>
      </c>
      <c r="AD2148" t="s">
        <v>183</v>
      </c>
      <c r="AE2148">
        <v>1</v>
      </c>
      <c r="AF2148">
        <v>7</v>
      </c>
      <c r="AG2148" t="s">
        <v>418</v>
      </c>
      <c r="AH2148">
        <v>86</v>
      </c>
      <c r="AI2148">
        <v>140.49</v>
      </c>
      <c r="AJ2148">
        <v>16.510000000000002</v>
      </c>
      <c r="AK2148">
        <v>157</v>
      </c>
      <c r="AL2148">
        <v>16500</v>
      </c>
      <c r="AM2148">
        <v>16500</v>
      </c>
      <c r="AN2148">
        <v>0</v>
      </c>
      <c r="AO2148">
        <v>105</v>
      </c>
      <c r="AP2148">
        <v>2016</v>
      </c>
      <c r="AQ2148">
        <v>1.1100000000000001</v>
      </c>
      <c r="AR2148">
        <v>0.95</v>
      </c>
      <c r="AS2148" t="s">
        <v>25019</v>
      </c>
      <c r="AT2148" t="s">
        <v>15040</v>
      </c>
      <c r="AU2148" t="s">
        <v>177</v>
      </c>
      <c r="AV2148" t="s">
        <v>371</v>
      </c>
      <c r="AW2148" t="s">
        <v>182</v>
      </c>
      <c r="AX2148">
        <v>0</v>
      </c>
      <c r="AY2148" t="s">
        <v>312</v>
      </c>
      <c r="AZ2148" t="s">
        <v>199</v>
      </c>
      <c r="BA2148" t="s">
        <v>313</v>
      </c>
      <c r="BB2148" t="s">
        <v>191</v>
      </c>
      <c r="BC2148" t="s">
        <v>182</v>
      </c>
      <c r="BD2148" t="s">
        <v>182</v>
      </c>
      <c r="BE2148" t="s">
        <v>3930</v>
      </c>
      <c r="BF2148">
        <v>0</v>
      </c>
      <c r="BG2148">
        <v>0</v>
      </c>
      <c r="BH2148">
        <v>0</v>
      </c>
      <c r="BI2148" t="s">
        <v>199</v>
      </c>
      <c r="BJ2148" t="s">
        <v>315</v>
      </c>
      <c r="BL2148" t="s">
        <v>13795</v>
      </c>
      <c r="BM2148" t="s">
        <v>325</v>
      </c>
      <c r="BN2148" t="s">
        <v>182</v>
      </c>
      <c r="BO2148" t="s">
        <v>198</v>
      </c>
      <c r="BP2148" t="s">
        <v>198</v>
      </c>
      <c r="BQ2148" t="s">
        <v>198</v>
      </c>
      <c r="BR2148" t="s">
        <v>198</v>
      </c>
      <c r="BS2148" t="s">
        <v>198</v>
      </c>
      <c r="BT2148" t="s">
        <v>198</v>
      </c>
      <c r="BU2148" t="s">
        <v>182</v>
      </c>
      <c r="BV2148" t="s">
        <v>198</v>
      </c>
      <c r="BW2148" t="s">
        <v>198</v>
      </c>
      <c r="BX2148" t="s">
        <v>199</v>
      </c>
      <c r="BY2148" t="s">
        <v>198</v>
      </c>
      <c r="BZ2148" t="s">
        <v>199</v>
      </c>
      <c r="CA2148" t="s">
        <v>199</v>
      </c>
      <c r="CB2148" t="s">
        <v>25020</v>
      </c>
      <c r="CC2148" t="s">
        <v>201</v>
      </c>
      <c r="CD2148" t="s">
        <v>182</v>
      </c>
      <c r="CE2148" t="s">
        <v>3817</v>
      </c>
      <c r="CF2148" t="s">
        <v>1029</v>
      </c>
      <c r="CG2148" t="s">
        <v>177</v>
      </c>
      <c r="CH2148" t="s">
        <v>1030</v>
      </c>
      <c r="CI2148" t="s">
        <v>25021</v>
      </c>
      <c r="CJ2148" t="s">
        <v>21883</v>
      </c>
      <c r="CK2148" t="s">
        <v>232</v>
      </c>
      <c r="CL2148" t="s">
        <v>233</v>
      </c>
      <c r="CM2148" t="s">
        <v>25022</v>
      </c>
      <c r="CN2148" t="s">
        <v>922</v>
      </c>
      <c r="CO2148" t="s">
        <v>183</v>
      </c>
      <c r="CP2148" t="s">
        <v>266</v>
      </c>
      <c r="CS2148" t="s">
        <v>198</v>
      </c>
      <c r="CT2148" t="s">
        <v>15570</v>
      </c>
      <c r="CU2148" t="s">
        <v>292</v>
      </c>
      <c r="CV2148" t="s">
        <v>293</v>
      </c>
      <c r="CW2148" t="s">
        <v>25023</v>
      </c>
      <c r="CX2148" t="s">
        <v>235</v>
      </c>
      <c r="CY2148" t="s">
        <v>183</v>
      </c>
      <c r="CZ2148" t="s">
        <v>211</v>
      </c>
      <c r="DA2148" t="s">
        <v>298</v>
      </c>
      <c r="DC2148" t="s">
        <v>1641</v>
      </c>
      <c r="DD2148" t="s">
        <v>10383</v>
      </c>
      <c r="DE2148" t="s">
        <v>267</v>
      </c>
      <c r="DF2148" t="s">
        <v>268</v>
      </c>
      <c r="DG2148" t="s">
        <v>25024</v>
      </c>
      <c r="DH2148" t="s">
        <v>387</v>
      </c>
      <c r="DI2148" t="s">
        <v>183</v>
      </c>
      <c r="DJ2148" t="s">
        <v>211</v>
      </c>
      <c r="DK2148" t="s">
        <v>290</v>
      </c>
      <c r="DM2148" t="s">
        <v>7622</v>
      </c>
      <c r="DN2148" t="s">
        <v>25025</v>
      </c>
      <c r="DO2148" t="s">
        <v>273</v>
      </c>
      <c r="DP2148" t="s">
        <v>274</v>
      </c>
      <c r="DQ2148" t="s">
        <v>25026</v>
      </c>
      <c r="DR2148" t="s">
        <v>482</v>
      </c>
      <c r="DS2148" t="s">
        <v>183</v>
      </c>
      <c r="DT2148" t="s">
        <v>211</v>
      </c>
      <c r="DU2148" t="s">
        <v>523</v>
      </c>
      <c r="DW2148" t="s">
        <v>7622</v>
      </c>
      <c r="DX2148" t="s">
        <v>16230</v>
      </c>
      <c r="DY2148" t="s">
        <v>302</v>
      </c>
      <c r="DZ2148" t="s">
        <v>303</v>
      </c>
      <c r="EA2148" t="s">
        <v>25027</v>
      </c>
      <c r="EB2148" t="s">
        <v>2515</v>
      </c>
      <c r="EC2148" t="s">
        <v>183</v>
      </c>
      <c r="ED2148" t="s">
        <v>211</v>
      </c>
      <c r="EE2148" t="s">
        <v>806</v>
      </c>
      <c r="EG2148" t="s">
        <v>7622</v>
      </c>
      <c r="EH2148" t="s">
        <v>5802</v>
      </c>
      <c r="EI2148" t="s">
        <v>238</v>
      </c>
      <c r="EJ2148" t="s">
        <v>239</v>
      </c>
      <c r="EK2148" t="s">
        <v>25028</v>
      </c>
      <c r="EL2148" t="s">
        <v>4595</v>
      </c>
      <c r="EM2148" t="s">
        <v>183</v>
      </c>
      <c r="EN2148" t="s">
        <v>211</v>
      </c>
      <c r="EO2148" t="s">
        <v>345</v>
      </c>
      <c r="EQ2148" t="s">
        <v>3825</v>
      </c>
      <c r="ER2148" t="s">
        <v>13080</v>
      </c>
      <c r="ES2148" t="s">
        <v>346</v>
      </c>
      <c r="ET2148" t="s">
        <v>347</v>
      </c>
      <c r="EU2148" t="s">
        <v>25029</v>
      </c>
      <c r="EV2148" t="s">
        <v>314</v>
      </c>
      <c r="EW2148" t="s">
        <v>183</v>
      </c>
      <c r="EX2148" t="s">
        <v>211</v>
      </c>
      <c r="EY2148" t="s">
        <v>298</v>
      </c>
      <c r="FA2148" t="s">
        <v>2756</v>
      </c>
      <c r="FB2148" t="s">
        <v>25030</v>
      </c>
      <c r="FC2148" t="s">
        <v>207</v>
      </c>
      <c r="FD2148" t="s">
        <v>208</v>
      </c>
      <c r="FE2148" t="s">
        <v>25031</v>
      </c>
      <c r="FF2148" t="s">
        <v>1052</v>
      </c>
      <c r="FG2148" t="s">
        <v>183</v>
      </c>
      <c r="FH2148" t="s">
        <v>211</v>
      </c>
      <c r="FI2148" t="s">
        <v>298</v>
      </c>
      <c r="FK2148" t="s">
        <v>474</v>
      </c>
      <c r="FU2148" t="s">
        <v>198</v>
      </c>
    </row>
    <row r="2149" spans="1:177">
      <c r="A2149" s="1" t="str">
        <f>HYPERLINK("http://digipan.lumentumllc.com/apps/getLink/index.php?t=PropLink&amp;p=5244523","PL")</f>
        <v>PL</v>
      </c>
      <c r="B2149" s="1" t="str">
        <f>HYPERLINK("http://digipan.lumentumllc.com/apps/getLink/index.php?t=TaxLink&amp;p=5244523","TL")</f>
        <v>TL</v>
      </c>
      <c r="C2149" s="1" t="str">
        <f>HYPERLINK("http://digipan.lumentumllc.com/apps/getMap/index.php?p=5244523","Map")</f>
        <v>Map</v>
      </c>
      <c r="E2149" t="s">
        <v>177</v>
      </c>
      <c r="F2149" t="s">
        <v>178</v>
      </c>
      <c r="L2149" t="s">
        <v>25032</v>
      </c>
      <c r="N2149" t="s">
        <v>25032</v>
      </c>
      <c r="O2149" t="s">
        <v>25032</v>
      </c>
      <c r="P2149" t="s">
        <v>25033</v>
      </c>
      <c r="Q2149" t="s">
        <v>25032</v>
      </c>
      <c r="V2149">
        <v>2458</v>
      </c>
      <c r="W2149">
        <v>8</v>
      </c>
      <c r="X2149">
        <v>2017</v>
      </c>
      <c r="Y2149">
        <v>2018</v>
      </c>
      <c r="Z2149">
        <v>426.91</v>
      </c>
      <c r="AB2149" t="s">
        <v>181</v>
      </c>
      <c r="AC2149" t="s">
        <v>202</v>
      </c>
      <c r="AD2149" t="s">
        <v>183</v>
      </c>
      <c r="AE2149">
        <v>1</v>
      </c>
      <c r="AF2149">
        <v>7</v>
      </c>
      <c r="AG2149" t="s">
        <v>418</v>
      </c>
      <c r="AH2149">
        <v>86</v>
      </c>
      <c r="AI2149">
        <v>355.45</v>
      </c>
      <c r="AJ2149">
        <v>49.76</v>
      </c>
      <c r="AK2149">
        <v>405.21</v>
      </c>
      <c r="AL2149">
        <v>22000</v>
      </c>
      <c r="AM2149">
        <v>22000</v>
      </c>
      <c r="AN2149">
        <v>0</v>
      </c>
      <c r="AO2149">
        <v>304</v>
      </c>
      <c r="AP2149">
        <v>2016</v>
      </c>
      <c r="AQ2149">
        <v>1.94</v>
      </c>
      <c r="AR2149">
        <v>1.84</v>
      </c>
      <c r="AS2149" t="s">
        <v>25034</v>
      </c>
      <c r="AT2149" t="s">
        <v>15040</v>
      </c>
      <c r="AU2149" t="s">
        <v>177</v>
      </c>
      <c r="AV2149" t="s">
        <v>371</v>
      </c>
      <c r="AW2149" t="s">
        <v>182</v>
      </c>
      <c r="AX2149">
        <v>0</v>
      </c>
      <c r="AY2149" t="s">
        <v>312</v>
      </c>
      <c r="AZ2149" t="s">
        <v>199</v>
      </c>
      <c r="BA2149" t="s">
        <v>313</v>
      </c>
      <c r="BB2149" t="s">
        <v>191</v>
      </c>
      <c r="BC2149" t="s">
        <v>182</v>
      </c>
      <c r="BD2149" t="s">
        <v>182</v>
      </c>
      <c r="BE2149" t="s">
        <v>3956</v>
      </c>
      <c r="BF2149">
        <v>0</v>
      </c>
      <c r="BG2149">
        <v>0</v>
      </c>
      <c r="BH2149">
        <v>0</v>
      </c>
      <c r="BI2149" t="s">
        <v>199</v>
      </c>
      <c r="BJ2149" t="s">
        <v>315</v>
      </c>
      <c r="BL2149" t="s">
        <v>25035</v>
      </c>
      <c r="BM2149" t="s">
        <v>533</v>
      </c>
      <c r="BN2149" t="s">
        <v>182</v>
      </c>
      <c r="BO2149" t="s">
        <v>198</v>
      </c>
      <c r="BP2149" t="s">
        <v>198</v>
      </c>
      <c r="BQ2149" t="s">
        <v>198</v>
      </c>
      <c r="BR2149" t="s">
        <v>198</v>
      </c>
      <c r="BS2149" t="s">
        <v>198</v>
      </c>
      <c r="BT2149" t="s">
        <v>198</v>
      </c>
      <c r="BU2149" t="s">
        <v>182</v>
      </c>
      <c r="BV2149" t="s">
        <v>198</v>
      </c>
      <c r="BW2149" t="s">
        <v>198</v>
      </c>
      <c r="BX2149" t="s">
        <v>199</v>
      </c>
      <c r="BY2149" t="s">
        <v>198</v>
      </c>
      <c r="BZ2149" t="s">
        <v>199</v>
      </c>
      <c r="CA2149" t="s">
        <v>199</v>
      </c>
      <c r="CB2149" t="s">
        <v>21852</v>
      </c>
      <c r="CC2149" t="s">
        <v>201</v>
      </c>
      <c r="CD2149" t="s">
        <v>182</v>
      </c>
      <c r="CE2149" t="s">
        <v>3817</v>
      </c>
      <c r="CF2149" t="s">
        <v>1029</v>
      </c>
      <c r="CG2149" t="s">
        <v>177</v>
      </c>
      <c r="CH2149" t="s">
        <v>1030</v>
      </c>
      <c r="CI2149" t="s">
        <v>25036</v>
      </c>
      <c r="CJ2149" t="s">
        <v>16299</v>
      </c>
      <c r="CK2149" t="s">
        <v>232</v>
      </c>
      <c r="CL2149" t="s">
        <v>233</v>
      </c>
      <c r="CM2149" t="s">
        <v>25037</v>
      </c>
      <c r="CN2149" t="s">
        <v>484</v>
      </c>
      <c r="CO2149" t="s">
        <v>183</v>
      </c>
      <c r="CP2149" t="s">
        <v>266</v>
      </c>
      <c r="CS2149" t="s">
        <v>198</v>
      </c>
      <c r="CT2149" t="s">
        <v>15590</v>
      </c>
      <c r="CU2149" t="s">
        <v>292</v>
      </c>
      <c r="CV2149" t="s">
        <v>293</v>
      </c>
      <c r="CW2149" t="s">
        <v>25038</v>
      </c>
      <c r="CX2149" t="s">
        <v>235</v>
      </c>
      <c r="CY2149" t="s">
        <v>183</v>
      </c>
      <c r="CZ2149" t="s">
        <v>211</v>
      </c>
      <c r="DA2149" t="s">
        <v>298</v>
      </c>
      <c r="DC2149" t="s">
        <v>1641</v>
      </c>
      <c r="DD2149" t="s">
        <v>10413</v>
      </c>
      <c r="DE2149" t="s">
        <v>267</v>
      </c>
      <c r="DF2149" t="s">
        <v>268</v>
      </c>
      <c r="DG2149" t="s">
        <v>25039</v>
      </c>
      <c r="DH2149" t="s">
        <v>400</v>
      </c>
      <c r="DI2149" t="s">
        <v>183</v>
      </c>
      <c r="DJ2149" t="s">
        <v>211</v>
      </c>
      <c r="DL2149" t="s">
        <v>271</v>
      </c>
      <c r="DM2149" t="s">
        <v>198</v>
      </c>
      <c r="DN2149" t="s">
        <v>18368</v>
      </c>
      <c r="DO2149" t="s">
        <v>273</v>
      </c>
      <c r="DP2149" t="s">
        <v>274</v>
      </c>
      <c r="DQ2149" t="s">
        <v>24996</v>
      </c>
      <c r="DR2149" t="s">
        <v>796</v>
      </c>
      <c r="DS2149" t="s">
        <v>183</v>
      </c>
      <c r="DT2149" t="s">
        <v>211</v>
      </c>
      <c r="DV2149" t="s">
        <v>271</v>
      </c>
      <c r="DW2149" t="s">
        <v>198</v>
      </c>
      <c r="DX2149" t="s">
        <v>16244</v>
      </c>
      <c r="DY2149" t="s">
        <v>302</v>
      </c>
      <c r="DZ2149" t="s">
        <v>303</v>
      </c>
      <c r="EA2149" t="s">
        <v>24998</v>
      </c>
      <c r="EB2149" t="s">
        <v>1586</v>
      </c>
      <c r="EC2149" t="s">
        <v>183</v>
      </c>
      <c r="ED2149" t="s">
        <v>211</v>
      </c>
      <c r="EF2149" t="s">
        <v>271</v>
      </c>
      <c r="EG2149" t="s">
        <v>198</v>
      </c>
      <c r="EH2149" t="s">
        <v>4409</v>
      </c>
      <c r="EI2149" t="s">
        <v>238</v>
      </c>
      <c r="EJ2149" t="s">
        <v>239</v>
      </c>
      <c r="EK2149" t="s">
        <v>25040</v>
      </c>
      <c r="EL2149" t="s">
        <v>391</v>
      </c>
      <c r="EM2149" t="s">
        <v>183</v>
      </c>
      <c r="EN2149" t="s">
        <v>211</v>
      </c>
      <c r="EO2149" t="s">
        <v>345</v>
      </c>
      <c r="EQ2149" t="s">
        <v>3825</v>
      </c>
      <c r="ER2149" t="s">
        <v>25041</v>
      </c>
      <c r="ES2149" t="s">
        <v>346</v>
      </c>
      <c r="ET2149" t="s">
        <v>347</v>
      </c>
      <c r="EU2149" t="s">
        <v>25042</v>
      </c>
      <c r="EV2149" t="s">
        <v>688</v>
      </c>
      <c r="EW2149" t="s">
        <v>183</v>
      </c>
      <c r="EX2149" t="s">
        <v>211</v>
      </c>
      <c r="EY2149" t="s">
        <v>298</v>
      </c>
      <c r="FA2149" t="s">
        <v>2756</v>
      </c>
      <c r="FB2149" t="s">
        <v>25043</v>
      </c>
      <c r="FC2149" t="s">
        <v>207</v>
      </c>
      <c r="FD2149" t="s">
        <v>208</v>
      </c>
      <c r="FE2149" t="s">
        <v>25044</v>
      </c>
      <c r="FF2149" t="s">
        <v>391</v>
      </c>
      <c r="FG2149" t="s">
        <v>183</v>
      </c>
      <c r="FH2149" t="s">
        <v>211</v>
      </c>
      <c r="FI2149" t="s">
        <v>298</v>
      </c>
      <c r="FK2149" t="s">
        <v>474</v>
      </c>
      <c r="FU2149" t="s">
        <v>198</v>
      </c>
    </row>
    <row r="2150" spans="1:177">
      <c r="A2150" s="1" t="str">
        <f>HYPERLINK("http://digipan.lumentumllc.com/apps/getLink/index.php?t=PropLink&amp;p=15734141","PL")</f>
        <v>PL</v>
      </c>
      <c r="B2150" s="1" t="str">
        <f>HYPERLINK("http://digipan.lumentumllc.com/apps/getLink/index.php?t=TaxLink&amp;p=15734141","TL")</f>
        <v>TL</v>
      </c>
      <c r="C2150" s="1" t="str">
        <f>HYPERLINK("http://digipan.lumentumllc.com/apps/getMap/index.php?p=15734141","Map")</f>
        <v>Map</v>
      </c>
      <c r="E2150" t="s">
        <v>177</v>
      </c>
      <c r="F2150" t="s">
        <v>178</v>
      </c>
      <c r="L2150" t="s">
        <v>25045</v>
      </c>
      <c r="N2150" t="s">
        <v>25045</v>
      </c>
      <c r="O2150" t="s">
        <v>25045</v>
      </c>
      <c r="Q2150" t="s">
        <v>25045</v>
      </c>
      <c r="V2150">
        <v>2459</v>
      </c>
      <c r="W2150">
        <v>8</v>
      </c>
      <c r="X2150">
        <v>2017</v>
      </c>
      <c r="Y2150">
        <v>2018</v>
      </c>
      <c r="Z2150">
        <v>19480.580000000002</v>
      </c>
      <c r="AB2150" t="s">
        <v>181</v>
      </c>
      <c r="AC2150" t="s">
        <v>182</v>
      </c>
      <c r="AD2150" t="s">
        <v>183</v>
      </c>
      <c r="AE2150">
        <v>1</v>
      </c>
      <c r="AF2150">
        <v>0</v>
      </c>
      <c r="AG2150" t="s">
        <v>1200</v>
      </c>
      <c r="AH2150">
        <v>0</v>
      </c>
      <c r="AI2150">
        <v>19815.650000000001</v>
      </c>
      <c r="AJ2150">
        <v>990.78</v>
      </c>
      <c r="AK2150">
        <v>20806.43</v>
      </c>
      <c r="AL2150">
        <v>902275</v>
      </c>
      <c r="AM2150">
        <v>650000</v>
      </c>
      <c r="AN2150">
        <v>252275</v>
      </c>
      <c r="AO2150">
        <v>18297</v>
      </c>
      <c r="AP2150">
        <v>2016</v>
      </c>
      <c r="AQ2150">
        <v>2.16</v>
      </c>
      <c r="AR2150">
        <v>2.31</v>
      </c>
      <c r="AS2150" t="s">
        <v>25046</v>
      </c>
      <c r="AT2150" t="s">
        <v>15040</v>
      </c>
      <c r="AU2150" t="s">
        <v>177</v>
      </c>
      <c r="AV2150" t="s">
        <v>371</v>
      </c>
      <c r="AW2150" t="s">
        <v>182</v>
      </c>
      <c r="AX2150">
        <v>1</v>
      </c>
      <c r="AY2150" t="s">
        <v>188</v>
      </c>
      <c r="AZ2150" t="s">
        <v>206</v>
      </c>
      <c r="BA2150" t="s">
        <v>355</v>
      </c>
      <c r="BB2150" t="s">
        <v>191</v>
      </c>
      <c r="BC2150" t="s">
        <v>182</v>
      </c>
      <c r="BD2150" t="s">
        <v>182</v>
      </c>
      <c r="BE2150" t="s">
        <v>5689</v>
      </c>
      <c r="BF2150">
        <v>1</v>
      </c>
      <c r="BG2150">
        <v>1</v>
      </c>
      <c r="BH2150">
        <v>1900</v>
      </c>
      <c r="BI2150" t="s">
        <v>25047</v>
      </c>
      <c r="BJ2150" t="s">
        <v>396</v>
      </c>
      <c r="BK2150" t="s">
        <v>195</v>
      </c>
      <c r="BL2150" t="s">
        <v>23549</v>
      </c>
      <c r="BM2150" t="s">
        <v>292</v>
      </c>
      <c r="BN2150" t="s">
        <v>182</v>
      </c>
      <c r="BO2150" t="s">
        <v>25048</v>
      </c>
      <c r="BP2150" t="s">
        <v>25049</v>
      </c>
      <c r="BQ2150" t="s">
        <v>800</v>
      </c>
      <c r="BR2150" t="s">
        <v>563</v>
      </c>
      <c r="BS2150" t="s">
        <v>198</v>
      </c>
      <c r="BT2150" t="s">
        <v>25050</v>
      </c>
      <c r="BU2150" t="s">
        <v>182</v>
      </c>
      <c r="BV2150" t="s">
        <v>198</v>
      </c>
      <c r="BW2150" t="s">
        <v>198</v>
      </c>
      <c r="BX2150" t="s">
        <v>199</v>
      </c>
      <c r="BY2150" t="s">
        <v>198</v>
      </c>
      <c r="BZ2150" t="s">
        <v>199</v>
      </c>
      <c r="CA2150" t="s">
        <v>199</v>
      </c>
      <c r="CB2150" t="s">
        <v>25051</v>
      </c>
      <c r="CC2150" t="s">
        <v>201</v>
      </c>
      <c r="CD2150" t="s">
        <v>182</v>
      </c>
      <c r="CE2150" t="s">
        <v>25052</v>
      </c>
      <c r="CF2150" t="s">
        <v>25053</v>
      </c>
      <c r="CG2150" t="s">
        <v>5598</v>
      </c>
      <c r="CH2150" t="s">
        <v>25054</v>
      </c>
      <c r="CI2150" t="s">
        <v>25055</v>
      </c>
      <c r="CJ2150" t="s">
        <v>21899</v>
      </c>
      <c r="CK2150" t="s">
        <v>232</v>
      </c>
      <c r="CL2150" t="s">
        <v>233</v>
      </c>
      <c r="CM2150" t="s">
        <v>25056</v>
      </c>
      <c r="CN2150" t="s">
        <v>235</v>
      </c>
      <c r="CO2150" t="s">
        <v>183</v>
      </c>
      <c r="CP2150" t="s">
        <v>266</v>
      </c>
      <c r="CS2150" t="s">
        <v>198</v>
      </c>
      <c r="DC2150" t="s">
        <v>198</v>
      </c>
      <c r="DM2150" t="s">
        <v>198</v>
      </c>
      <c r="DW2150" t="s">
        <v>198</v>
      </c>
      <c r="EG2150" t="s">
        <v>198</v>
      </c>
      <c r="EQ2150" t="s">
        <v>198</v>
      </c>
      <c r="FA2150" t="s">
        <v>198</v>
      </c>
      <c r="FK2150" t="s">
        <v>198</v>
      </c>
      <c r="FU2150" t="s">
        <v>198</v>
      </c>
    </row>
    <row r="2151" spans="1:177">
      <c r="A2151" s="1" t="str">
        <f>HYPERLINK("http://digipan.lumentumllc.com/apps/getLink/index.php?t=PropLink&amp;p=15734167","PL")</f>
        <v>PL</v>
      </c>
      <c r="B2151" s="1" t="str">
        <f>HYPERLINK("http://digipan.lumentumllc.com/apps/getLink/index.php?t=TaxLink&amp;p=15734167","TL")</f>
        <v>TL</v>
      </c>
      <c r="C2151" s="1" t="str">
        <f>HYPERLINK("http://digipan.lumentumllc.com/apps/getMap/index.php?p=15734167","Map")</f>
        <v>Map</v>
      </c>
      <c r="E2151" t="s">
        <v>177</v>
      </c>
      <c r="F2151" t="s">
        <v>178</v>
      </c>
      <c r="L2151" t="s">
        <v>25057</v>
      </c>
      <c r="N2151" t="s">
        <v>25057</v>
      </c>
      <c r="O2151" t="s">
        <v>25057</v>
      </c>
      <c r="Q2151" t="s">
        <v>25057</v>
      </c>
      <c r="V2151">
        <v>2460</v>
      </c>
      <c r="W2151">
        <v>8</v>
      </c>
      <c r="X2151">
        <v>2017</v>
      </c>
      <c r="Y2151">
        <v>2018</v>
      </c>
      <c r="Z2151">
        <v>3393.2</v>
      </c>
      <c r="AG2151" t="s">
        <v>184</v>
      </c>
      <c r="AH2151">
        <v>0</v>
      </c>
      <c r="AK2151">
        <v>0</v>
      </c>
      <c r="AL2151">
        <v>195542</v>
      </c>
      <c r="AM2151">
        <v>123750</v>
      </c>
      <c r="AN2151">
        <v>71792</v>
      </c>
      <c r="AO2151">
        <v>2622</v>
      </c>
      <c r="AP2151">
        <v>2016</v>
      </c>
      <c r="AQ2151">
        <v>1.74</v>
      </c>
      <c r="AS2151" t="s">
        <v>25058</v>
      </c>
      <c r="AT2151" t="s">
        <v>15040</v>
      </c>
      <c r="AU2151" t="s">
        <v>177</v>
      </c>
      <c r="AV2151" t="s">
        <v>371</v>
      </c>
      <c r="AW2151" t="s">
        <v>182</v>
      </c>
      <c r="AX2151">
        <v>8</v>
      </c>
      <c r="AY2151" t="s">
        <v>188</v>
      </c>
      <c r="AZ2151" t="s">
        <v>329</v>
      </c>
      <c r="BA2151" t="s">
        <v>6773</v>
      </c>
      <c r="BB2151" t="s">
        <v>191</v>
      </c>
      <c r="BC2151" t="s">
        <v>182</v>
      </c>
      <c r="BD2151" t="s">
        <v>182</v>
      </c>
      <c r="BE2151" t="s">
        <v>6180</v>
      </c>
      <c r="BF2151">
        <v>1</v>
      </c>
      <c r="BG2151">
        <v>1</v>
      </c>
      <c r="BH2151">
        <v>1960</v>
      </c>
      <c r="BI2151" t="s">
        <v>15914</v>
      </c>
      <c r="BJ2151" t="s">
        <v>285</v>
      </c>
      <c r="BK2151" t="s">
        <v>195</v>
      </c>
      <c r="BL2151" t="s">
        <v>23921</v>
      </c>
      <c r="BM2151" t="s">
        <v>1598</v>
      </c>
      <c r="BN2151" t="s">
        <v>182</v>
      </c>
      <c r="BO2151" t="s">
        <v>198</v>
      </c>
      <c r="BP2151" t="s">
        <v>198</v>
      </c>
      <c r="BQ2151" t="s">
        <v>198</v>
      </c>
      <c r="BR2151" t="s">
        <v>198</v>
      </c>
      <c r="BS2151" t="s">
        <v>198</v>
      </c>
      <c r="BT2151" t="s">
        <v>198</v>
      </c>
      <c r="BU2151" t="s">
        <v>182</v>
      </c>
      <c r="BV2151" t="s">
        <v>198</v>
      </c>
      <c r="BW2151" t="s">
        <v>198</v>
      </c>
      <c r="BX2151" t="s">
        <v>199</v>
      </c>
      <c r="BY2151" t="s">
        <v>198</v>
      </c>
      <c r="BZ2151" t="s">
        <v>199</v>
      </c>
      <c r="CA2151" t="s">
        <v>199</v>
      </c>
      <c r="CB2151" t="s">
        <v>25059</v>
      </c>
      <c r="CC2151" t="s">
        <v>201</v>
      </c>
      <c r="CD2151" t="s">
        <v>202</v>
      </c>
      <c r="CE2151" t="s">
        <v>25060</v>
      </c>
      <c r="CF2151" t="s">
        <v>5331</v>
      </c>
      <c r="CG2151" t="s">
        <v>177</v>
      </c>
      <c r="CH2151" t="s">
        <v>371</v>
      </c>
      <c r="CI2151" t="s">
        <v>25061</v>
      </c>
      <c r="CS2151" t="s">
        <v>198</v>
      </c>
      <c r="DC2151" t="s">
        <v>198</v>
      </c>
      <c r="DM2151" t="s">
        <v>198</v>
      </c>
      <c r="DW2151" t="s">
        <v>198</v>
      </c>
      <c r="EG2151" t="s">
        <v>198</v>
      </c>
      <c r="EQ2151" t="s">
        <v>198</v>
      </c>
      <c r="FA2151" t="s">
        <v>198</v>
      </c>
      <c r="FK2151" t="s">
        <v>198</v>
      </c>
      <c r="FU2151" t="s">
        <v>198</v>
      </c>
    </row>
    <row r="2152" spans="1:177">
      <c r="A2152" s="1" t="str">
        <f>HYPERLINK("http://digipan.lumentumllc.com/apps/getLink/index.php?t=PropLink&amp;p=6128716","PL")</f>
        <v>PL</v>
      </c>
      <c r="B2152" s="1" t="str">
        <f>HYPERLINK("http://digipan.lumentumllc.com/apps/getLink/index.php?t=TaxLink&amp;p=6128716","TL")</f>
        <v>TL</v>
      </c>
      <c r="C2152" s="1" t="str">
        <f>HYPERLINK("http://digipan.lumentumllc.com/apps/getMap/index.php?p=6128716","Map")</f>
        <v>Map</v>
      </c>
      <c r="E2152" t="s">
        <v>177</v>
      </c>
      <c r="F2152" t="s">
        <v>178</v>
      </c>
      <c r="L2152" t="s">
        <v>25062</v>
      </c>
      <c r="N2152" t="s">
        <v>25062</v>
      </c>
      <c r="O2152" t="s">
        <v>25062</v>
      </c>
      <c r="P2152" t="s">
        <v>25063</v>
      </c>
      <c r="Q2152" t="s">
        <v>25062</v>
      </c>
      <c r="V2152">
        <v>2461</v>
      </c>
      <c r="W2152">
        <v>8</v>
      </c>
      <c r="X2152">
        <v>2017</v>
      </c>
      <c r="Y2152">
        <v>2018</v>
      </c>
      <c r="Z2152">
        <v>1603.17</v>
      </c>
      <c r="AG2152" t="s">
        <v>184</v>
      </c>
      <c r="AH2152">
        <v>0</v>
      </c>
      <c r="AK2152">
        <v>0</v>
      </c>
      <c r="AL2152">
        <v>94791</v>
      </c>
      <c r="AM2152">
        <v>82500</v>
      </c>
      <c r="AN2152">
        <v>12291</v>
      </c>
      <c r="AO2152">
        <v>1193</v>
      </c>
      <c r="AP2152">
        <v>2016</v>
      </c>
      <c r="AQ2152">
        <v>1.69</v>
      </c>
      <c r="AS2152" t="s">
        <v>25064</v>
      </c>
      <c r="AT2152" t="s">
        <v>15040</v>
      </c>
      <c r="AU2152" t="s">
        <v>177</v>
      </c>
      <c r="AV2152" t="s">
        <v>371</v>
      </c>
      <c r="AW2152" t="s">
        <v>182</v>
      </c>
      <c r="AX2152">
        <v>1</v>
      </c>
      <c r="AY2152" t="s">
        <v>188</v>
      </c>
      <c r="AZ2152" t="s">
        <v>206</v>
      </c>
      <c r="BA2152" t="s">
        <v>355</v>
      </c>
      <c r="BB2152" t="s">
        <v>191</v>
      </c>
      <c r="BC2152" t="s">
        <v>182</v>
      </c>
      <c r="BD2152" t="s">
        <v>182</v>
      </c>
      <c r="BE2152" t="s">
        <v>3930</v>
      </c>
      <c r="BF2152">
        <v>1</v>
      </c>
      <c r="BG2152">
        <v>1</v>
      </c>
      <c r="BH2152">
        <v>1978</v>
      </c>
      <c r="BI2152" t="s">
        <v>10714</v>
      </c>
      <c r="BJ2152" t="s">
        <v>194</v>
      </c>
      <c r="BK2152" t="s">
        <v>195</v>
      </c>
      <c r="BL2152" t="s">
        <v>7796</v>
      </c>
      <c r="BM2152" t="s">
        <v>559</v>
      </c>
      <c r="BN2152" t="s">
        <v>182</v>
      </c>
      <c r="BO2152" t="s">
        <v>198</v>
      </c>
      <c r="BP2152" t="s">
        <v>198</v>
      </c>
      <c r="BQ2152" t="s">
        <v>198</v>
      </c>
      <c r="BR2152" t="s">
        <v>198</v>
      </c>
      <c r="BS2152" t="s">
        <v>198</v>
      </c>
      <c r="BT2152" t="s">
        <v>198</v>
      </c>
      <c r="BU2152" t="s">
        <v>182</v>
      </c>
      <c r="BV2152" t="s">
        <v>198</v>
      </c>
      <c r="BW2152" t="s">
        <v>198</v>
      </c>
      <c r="BX2152" t="s">
        <v>199</v>
      </c>
      <c r="BY2152" t="s">
        <v>198</v>
      </c>
      <c r="BZ2152" t="s">
        <v>199</v>
      </c>
      <c r="CA2152" t="s">
        <v>199</v>
      </c>
      <c r="CB2152" t="s">
        <v>25065</v>
      </c>
      <c r="CC2152" t="s">
        <v>201</v>
      </c>
      <c r="CD2152" t="s">
        <v>202</v>
      </c>
      <c r="CE2152" t="s">
        <v>25066</v>
      </c>
      <c r="CF2152" t="s">
        <v>25067</v>
      </c>
      <c r="CG2152" t="s">
        <v>1602</v>
      </c>
      <c r="CH2152" t="s">
        <v>25068</v>
      </c>
      <c r="CI2152" t="s">
        <v>25069</v>
      </c>
      <c r="CS2152" t="s">
        <v>198</v>
      </c>
      <c r="DC2152" t="s">
        <v>198</v>
      </c>
      <c r="DM2152" t="s">
        <v>198</v>
      </c>
      <c r="DW2152" t="s">
        <v>198</v>
      </c>
      <c r="EG2152" t="s">
        <v>198</v>
      </c>
      <c r="EQ2152" t="s">
        <v>198</v>
      </c>
      <c r="FA2152" t="s">
        <v>198</v>
      </c>
      <c r="FK2152" t="s">
        <v>198</v>
      </c>
      <c r="FU2152" t="s">
        <v>198</v>
      </c>
    </row>
    <row r="2153" spans="1:177">
      <c r="A2153" s="1" t="str">
        <f>HYPERLINK("http://digipan.lumentumllc.com/apps/getLink/index.php?t=PropLink&amp;p=15734175","PL")</f>
        <v>PL</v>
      </c>
      <c r="B2153" s="1" t="str">
        <f>HYPERLINK("http://digipan.lumentumllc.com/apps/getLink/index.php?t=TaxLink&amp;p=15734175","TL")</f>
        <v>TL</v>
      </c>
      <c r="C2153" s="1" t="str">
        <f>HYPERLINK("http://digipan.lumentumllc.com/apps/getMap/index.php?p=15734175","Map")</f>
        <v>Map</v>
      </c>
      <c r="E2153" t="s">
        <v>177</v>
      </c>
      <c r="F2153" t="s">
        <v>178</v>
      </c>
      <c r="L2153" t="s">
        <v>25070</v>
      </c>
      <c r="N2153" t="s">
        <v>25070</v>
      </c>
      <c r="O2153" t="s">
        <v>25070</v>
      </c>
      <c r="Q2153" t="s">
        <v>25070</v>
      </c>
      <c r="V2153">
        <v>2462</v>
      </c>
      <c r="W2153">
        <v>8</v>
      </c>
      <c r="X2153">
        <v>2017</v>
      </c>
      <c r="Y2153">
        <v>2018</v>
      </c>
      <c r="Z2153">
        <v>2988.31</v>
      </c>
      <c r="AB2153" t="s">
        <v>181</v>
      </c>
      <c r="AC2153" t="s">
        <v>182</v>
      </c>
      <c r="AD2153" t="s">
        <v>183</v>
      </c>
      <c r="AE2153">
        <v>1</v>
      </c>
      <c r="AF2153">
        <v>0</v>
      </c>
      <c r="AG2153" t="s">
        <v>1200</v>
      </c>
      <c r="AH2153">
        <v>0</v>
      </c>
      <c r="AI2153">
        <v>2764.41</v>
      </c>
      <c r="AJ2153">
        <v>138.22</v>
      </c>
      <c r="AK2153">
        <v>2902.63</v>
      </c>
      <c r="AL2153">
        <v>137151</v>
      </c>
      <c r="AM2153">
        <v>44000</v>
      </c>
      <c r="AN2153">
        <v>93151</v>
      </c>
      <c r="AO2153">
        <v>2531</v>
      </c>
      <c r="AP2153">
        <v>2016</v>
      </c>
      <c r="AQ2153">
        <v>2.1800000000000002</v>
      </c>
      <c r="AR2153">
        <v>2.12</v>
      </c>
      <c r="AS2153" t="s">
        <v>25071</v>
      </c>
      <c r="AT2153" t="s">
        <v>15040</v>
      </c>
      <c r="AU2153" t="s">
        <v>177</v>
      </c>
      <c r="AV2153" t="s">
        <v>371</v>
      </c>
      <c r="AW2153" t="s">
        <v>182</v>
      </c>
      <c r="AX2153">
        <v>76</v>
      </c>
      <c r="AY2153" t="s">
        <v>3641</v>
      </c>
      <c r="AZ2153" t="s">
        <v>722</v>
      </c>
      <c r="BA2153" t="s">
        <v>11901</v>
      </c>
      <c r="BB2153" t="s">
        <v>191</v>
      </c>
      <c r="BC2153" t="s">
        <v>182</v>
      </c>
      <c r="BD2153" t="s">
        <v>182</v>
      </c>
      <c r="BE2153" t="s">
        <v>3930</v>
      </c>
      <c r="BF2153">
        <v>1</v>
      </c>
      <c r="BG2153">
        <v>0</v>
      </c>
      <c r="BH2153">
        <v>1946</v>
      </c>
      <c r="BI2153" t="s">
        <v>17279</v>
      </c>
      <c r="BJ2153" t="s">
        <v>194</v>
      </c>
      <c r="BK2153" t="s">
        <v>195</v>
      </c>
      <c r="BL2153" t="s">
        <v>199</v>
      </c>
      <c r="BM2153" t="s">
        <v>1311</v>
      </c>
      <c r="BN2153" t="s">
        <v>182</v>
      </c>
      <c r="BO2153" t="s">
        <v>198</v>
      </c>
      <c r="BP2153" t="s">
        <v>198</v>
      </c>
      <c r="BQ2153" t="s">
        <v>198</v>
      </c>
      <c r="BR2153" t="s">
        <v>198</v>
      </c>
      <c r="BS2153" t="s">
        <v>198</v>
      </c>
      <c r="BT2153" t="s">
        <v>198</v>
      </c>
      <c r="BU2153" t="s">
        <v>182</v>
      </c>
      <c r="BV2153" t="s">
        <v>198</v>
      </c>
      <c r="BW2153" t="s">
        <v>198</v>
      </c>
      <c r="BX2153" t="s">
        <v>199</v>
      </c>
      <c r="BY2153" t="s">
        <v>198</v>
      </c>
      <c r="BZ2153" t="s">
        <v>199</v>
      </c>
      <c r="CA2153" t="s">
        <v>199</v>
      </c>
      <c r="CB2153" t="s">
        <v>25072</v>
      </c>
      <c r="CC2153" t="s">
        <v>201</v>
      </c>
      <c r="CD2153" t="s">
        <v>202</v>
      </c>
      <c r="CE2153" t="s">
        <v>25073</v>
      </c>
      <c r="CF2153" t="s">
        <v>413</v>
      </c>
      <c r="CG2153" t="s">
        <v>177</v>
      </c>
      <c r="CH2153" t="s">
        <v>5741</v>
      </c>
      <c r="CI2153" t="s">
        <v>25074</v>
      </c>
      <c r="CJ2153" t="s">
        <v>17910</v>
      </c>
      <c r="CK2153" t="s">
        <v>232</v>
      </c>
      <c r="CL2153" t="s">
        <v>233</v>
      </c>
      <c r="CM2153" t="s">
        <v>25075</v>
      </c>
      <c r="CN2153" t="s">
        <v>235</v>
      </c>
      <c r="CO2153" t="s">
        <v>183</v>
      </c>
      <c r="CP2153" t="s">
        <v>266</v>
      </c>
      <c r="CS2153" t="s">
        <v>198</v>
      </c>
      <c r="DC2153" t="s">
        <v>198</v>
      </c>
      <c r="DM2153" t="s">
        <v>198</v>
      </c>
      <c r="DW2153" t="s">
        <v>198</v>
      </c>
      <c r="EG2153" t="s">
        <v>198</v>
      </c>
      <c r="EQ2153" t="s">
        <v>198</v>
      </c>
      <c r="FA2153" t="s">
        <v>198</v>
      </c>
      <c r="FK2153" t="s">
        <v>198</v>
      </c>
      <c r="FU2153" t="s">
        <v>198</v>
      </c>
    </row>
    <row r="2154" spans="1:177">
      <c r="A2154" s="1" t="str">
        <f>HYPERLINK("http://digipan.lumentumllc.com/apps/getLink/index.php?t=PropLink&amp;p=15734176","PL")</f>
        <v>PL</v>
      </c>
      <c r="B2154" s="1" t="str">
        <f>HYPERLINK("http://digipan.lumentumllc.com/apps/getLink/index.php?t=TaxLink&amp;p=15734176","TL")</f>
        <v>TL</v>
      </c>
      <c r="C2154" s="1" t="str">
        <f>HYPERLINK("http://digipan.lumentumllc.com/apps/getMap/index.php?p=15734176","Map")</f>
        <v>Map</v>
      </c>
      <c r="E2154" t="s">
        <v>177</v>
      </c>
      <c r="F2154" t="s">
        <v>178</v>
      </c>
      <c r="L2154" t="s">
        <v>25076</v>
      </c>
      <c r="N2154" t="s">
        <v>25076</v>
      </c>
      <c r="O2154" t="s">
        <v>25076</v>
      </c>
      <c r="Q2154" t="s">
        <v>25076</v>
      </c>
      <c r="V2154">
        <v>2463</v>
      </c>
      <c r="W2154">
        <v>8</v>
      </c>
      <c r="X2154">
        <v>2017</v>
      </c>
      <c r="Y2154">
        <v>2018</v>
      </c>
      <c r="Z2154">
        <v>980.43</v>
      </c>
      <c r="AB2154" t="s">
        <v>181</v>
      </c>
      <c r="AC2154" t="s">
        <v>182</v>
      </c>
      <c r="AD2154" t="s">
        <v>183</v>
      </c>
      <c r="AE2154">
        <v>1</v>
      </c>
      <c r="AF2154">
        <v>0</v>
      </c>
      <c r="AG2154" t="s">
        <v>1200</v>
      </c>
      <c r="AH2154">
        <v>0</v>
      </c>
      <c r="AI2154">
        <v>902.88</v>
      </c>
      <c r="AJ2154">
        <v>45.14</v>
      </c>
      <c r="AK2154">
        <v>948.02</v>
      </c>
      <c r="AL2154">
        <v>44000</v>
      </c>
      <c r="AM2154">
        <v>44000</v>
      </c>
      <c r="AN2154">
        <v>0</v>
      </c>
      <c r="AO2154">
        <v>810</v>
      </c>
      <c r="AP2154">
        <v>2016</v>
      </c>
      <c r="AQ2154">
        <v>2.23</v>
      </c>
      <c r="AR2154">
        <v>2.15</v>
      </c>
      <c r="AS2154" t="s">
        <v>25071</v>
      </c>
      <c r="AT2154" t="s">
        <v>15040</v>
      </c>
      <c r="AU2154" t="s">
        <v>177</v>
      </c>
      <c r="AV2154" t="s">
        <v>371</v>
      </c>
      <c r="AW2154" t="s">
        <v>182</v>
      </c>
      <c r="AX2154">
        <v>76</v>
      </c>
      <c r="AY2154" t="s">
        <v>3641</v>
      </c>
      <c r="AZ2154" t="s">
        <v>722</v>
      </c>
      <c r="BA2154" t="s">
        <v>11901</v>
      </c>
      <c r="BB2154" t="s">
        <v>191</v>
      </c>
      <c r="BC2154" t="s">
        <v>182</v>
      </c>
      <c r="BD2154" t="s">
        <v>182</v>
      </c>
      <c r="BE2154" t="s">
        <v>3930</v>
      </c>
      <c r="BF2154">
        <v>0</v>
      </c>
      <c r="BG2154">
        <v>0</v>
      </c>
      <c r="BH2154">
        <v>0</v>
      </c>
      <c r="BI2154" t="s">
        <v>199</v>
      </c>
      <c r="BJ2154" t="s">
        <v>248</v>
      </c>
      <c r="BL2154" t="s">
        <v>199</v>
      </c>
      <c r="BM2154" t="s">
        <v>1311</v>
      </c>
      <c r="BN2154" t="s">
        <v>182</v>
      </c>
      <c r="BO2154" t="s">
        <v>198</v>
      </c>
      <c r="BP2154" t="s">
        <v>198</v>
      </c>
      <c r="BQ2154" t="s">
        <v>198</v>
      </c>
      <c r="BR2154" t="s">
        <v>198</v>
      </c>
      <c r="BS2154" t="s">
        <v>198</v>
      </c>
      <c r="BT2154" t="s">
        <v>198</v>
      </c>
      <c r="BU2154" t="s">
        <v>182</v>
      </c>
      <c r="BV2154" t="s">
        <v>198</v>
      </c>
      <c r="BW2154" t="s">
        <v>198</v>
      </c>
      <c r="BX2154" t="s">
        <v>199</v>
      </c>
      <c r="BY2154" t="s">
        <v>198</v>
      </c>
      <c r="BZ2154" t="s">
        <v>199</v>
      </c>
      <c r="CA2154" t="s">
        <v>199</v>
      </c>
      <c r="CB2154" t="s">
        <v>25077</v>
      </c>
      <c r="CC2154" t="s">
        <v>201</v>
      </c>
      <c r="CD2154" t="s">
        <v>202</v>
      </c>
      <c r="CE2154" t="s">
        <v>25073</v>
      </c>
      <c r="CF2154" t="s">
        <v>413</v>
      </c>
      <c r="CG2154" t="s">
        <v>177</v>
      </c>
      <c r="CH2154" t="s">
        <v>5741</v>
      </c>
      <c r="CI2154" t="s">
        <v>25078</v>
      </c>
      <c r="CJ2154" t="s">
        <v>21985</v>
      </c>
      <c r="CK2154" t="s">
        <v>232</v>
      </c>
      <c r="CL2154" t="s">
        <v>233</v>
      </c>
      <c r="CM2154" t="s">
        <v>25079</v>
      </c>
      <c r="CN2154" t="s">
        <v>235</v>
      </c>
      <c r="CO2154" t="s">
        <v>183</v>
      </c>
      <c r="CP2154" t="s">
        <v>266</v>
      </c>
      <c r="CS2154" t="s">
        <v>198</v>
      </c>
      <c r="DC2154" t="s">
        <v>198</v>
      </c>
      <c r="DM2154" t="s">
        <v>198</v>
      </c>
      <c r="DW2154" t="s">
        <v>198</v>
      </c>
      <c r="EG2154" t="s">
        <v>198</v>
      </c>
      <c r="EQ2154" t="s">
        <v>198</v>
      </c>
      <c r="FA2154" t="s">
        <v>198</v>
      </c>
      <c r="FK2154" t="s">
        <v>198</v>
      </c>
      <c r="FU2154" t="s">
        <v>198</v>
      </c>
    </row>
    <row r="2155" spans="1:177">
      <c r="A2155" s="1" t="str">
        <f>HYPERLINK("http://digipan.lumentumllc.com/apps/getLink/index.php?t=PropLink&amp;p=15734183","PL")</f>
        <v>PL</v>
      </c>
      <c r="B2155" s="1" t="str">
        <f>HYPERLINK("http://digipan.lumentumllc.com/apps/getLink/index.php?t=TaxLink&amp;p=15734183","TL")</f>
        <v>TL</v>
      </c>
      <c r="C2155" s="1" t="str">
        <f>HYPERLINK("http://digipan.lumentumllc.com/apps/getMap/index.php?p=15734183","Map")</f>
        <v>Map</v>
      </c>
      <c r="E2155" t="s">
        <v>177</v>
      </c>
      <c r="F2155" t="s">
        <v>178</v>
      </c>
      <c r="L2155" t="s">
        <v>25080</v>
      </c>
      <c r="N2155" t="s">
        <v>25080</v>
      </c>
      <c r="O2155" t="s">
        <v>25080</v>
      </c>
      <c r="Q2155" t="s">
        <v>25080</v>
      </c>
      <c r="V2155">
        <v>2464</v>
      </c>
      <c r="W2155">
        <v>8</v>
      </c>
      <c r="X2155">
        <v>2017</v>
      </c>
      <c r="Y2155">
        <v>2018</v>
      </c>
      <c r="Z2155">
        <v>48.6</v>
      </c>
      <c r="AG2155" t="s">
        <v>184</v>
      </c>
      <c r="AH2155">
        <v>0</v>
      </c>
      <c r="AK2155">
        <v>0</v>
      </c>
      <c r="AL2155">
        <v>770</v>
      </c>
      <c r="AM2155">
        <v>770</v>
      </c>
      <c r="AN2155">
        <v>0</v>
      </c>
      <c r="AO2155">
        <v>14</v>
      </c>
      <c r="AP2155">
        <v>2016</v>
      </c>
      <c r="AQ2155">
        <v>6.31</v>
      </c>
      <c r="AS2155" t="s">
        <v>25081</v>
      </c>
      <c r="AT2155" t="s">
        <v>15040</v>
      </c>
      <c r="AU2155" t="s">
        <v>177</v>
      </c>
      <c r="AV2155" t="s">
        <v>371</v>
      </c>
      <c r="AW2155" t="s">
        <v>182</v>
      </c>
      <c r="AX2155">
        <v>0</v>
      </c>
      <c r="AY2155" t="s">
        <v>312</v>
      </c>
      <c r="AZ2155" t="s">
        <v>199</v>
      </c>
      <c r="BA2155" t="s">
        <v>313</v>
      </c>
      <c r="BB2155" t="s">
        <v>191</v>
      </c>
      <c r="BC2155" t="s">
        <v>182</v>
      </c>
      <c r="BD2155" t="s">
        <v>182</v>
      </c>
      <c r="BE2155" t="s">
        <v>1722</v>
      </c>
      <c r="BF2155">
        <v>0</v>
      </c>
      <c r="BG2155">
        <v>0</v>
      </c>
      <c r="BH2155">
        <v>0</v>
      </c>
      <c r="BI2155" t="s">
        <v>199</v>
      </c>
      <c r="BJ2155" t="s">
        <v>248</v>
      </c>
      <c r="BL2155" t="s">
        <v>199</v>
      </c>
      <c r="BM2155" t="s">
        <v>358</v>
      </c>
      <c r="BN2155" t="s">
        <v>182</v>
      </c>
      <c r="BO2155" t="s">
        <v>198</v>
      </c>
      <c r="BP2155" t="s">
        <v>198</v>
      </c>
      <c r="BQ2155" t="s">
        <v>198</v>
      </c>
      <c r="BR2155" t="s">
        <v>198</v>
      </c>
      <c r="BS2155" t="s">
        <v>198</v>
      </c>
      <c r="BT2155" t="s">
        <v>198</v>
      </c>
      <c r="BU2155" t="s">
        <v>182</v>
      </c>
      <c r="BV2155" t="s">
        <v>198</v>
      </c>
      <c r="BW2155" t="s">
        <v>198</v>
      </c>
      <c r="BX2155" t="s">
        <v>199</v>
      </c>
      <c r="BY2155" t="s">
        <v>198</v>
      </c>
      <c r="BZ2155" t="s">
        <v>199</v>
      </c>
      <c r="CA2155" t="s">
        <v>199</v>
      </c>
      <c r="CB2155" t="s">
        <v>25082</v>
      </c>
      <c r="CC2155" t="s">
        <v>201</v>
      </c>
      <c r="CD2155" t="s">
        <v>202</v>
      </c>
      <c r="CE2155" t="s">
        <v>25083</v>
      </c>
      <c r="CF2155" t="s">
        <v>5331</v>
      </c>
      <c r="CG2155" t="s">
        <v>177</v>
      </c>
      <c r="CH2155" t="s">
        <v>371</v>
      </c>
      <c r="CI2155" t="s">
        <v>25084</v>
      </c>
      <c r="CS2155" t="s">
        <v>198</v>
      </c>
      <c r="DC2155" t="s">
        <v>198</v>
      </c>
      <c r="DM2155" t="s">
        <v>198</v>
      </c>
      <c r="DW2155" t="s">
        <v>198</v>
      </c>
      <c r="EG2155" t="s">
        <v>198</v>
      </c>
      <c r="EQ2155" t="s">
        <v>198</v>
      </c>
      <c r="FA2155" t="s">
        <v>198</v>
      </c>
      <c r="FK2155" t="s">
        <v>198</v>
      </c>
      <c r="FU2155" t="s">
        <v>198</v>
      </c>
    </row>
    <row r="2156" spans="1:177">
      <c r="A2156" s="1" t="str">
        <f>HYPERLINK("http://digipan.lumentumllc.com/apps/getLink/index.php?t=PropLink&amp;p=5244531","PL")</f>
        <v>PL</v>
      </c>
      <c r="B2156" s="1" t="str">
        <f>HYPERLINK("http://digipan.lumentumllc.com/apps/getLink/index.php?t=TaxLink&amp;p=5244531","TL")</f>
        <v>TL</v>
      </c>
      <c r="C2156" s="1" t="str">
        <f>HYPERLINK("http://digipan.lumentumllc.com/apps/getMap/index.php?p=5244531","Map")</f>
        <v>Map</v>
      </c>
      <c r="E2156" t="s">
        <v>177</v>
      </c>
      <c r="F2156" t="s">
        <v>178</v>
      </c>
      <c r="L2156" t="s">
        <v>25085</v>
      </c>
      <c r="N2156" t="s">
        <v>25085</v>
      </c>
      <c r="O2156" t="s">
        <v>25085</v>
      </c>
      <c r="P2156" t="s">
        <v>25086</v>
      </c>
      <c r="Q2156" t="s">
        <v>25085</v>
      </c>
      <c r="V2156">
        <v>2465</v>
      </c>
      <c r="W2156">
        <v>8</v>
      </c>
      <c r="X2156">
        <v>2017</v>
      </c>
      <c r="Y2156">
        <v>2018</v>
      </c>
      <c r="Z2156">
        <v>371.02</v>
      </c>
      <c r="AB2156" t="s">
        <v>181</v>
      </c>
      <c r="AC2156" t="s">
        <v>202</v>
      </c>
      <c r="AD2156" t="s">
        <v>183</v>
      </c>
      <c r="AE2156">
        <v>0</v>
      </c>
      <c r="AF2156">
        <v>6</v>
      </c>
      <c r="AG2156" t="s">
        <v>3266</v>
      </c>
      <c r="AH2156">
        <v>100</v>
      </c>
      <c r="AK2156">
        <v>0</v>
      </c>
      <c r="AL2156">
        <v>15728</v>
      </c>
      <c r="AM2156">
        <v>15470</v>
      </c>
      <c r="AN2156">
        <v>258</v>
      </c>
      <c r="AO2156">
        <v>313</v>
      </c>
      <c r="AP2156">
        <v>2016</v>
      </c>
      <c r="AQ2156">
        <v>2.36</v>
      </c>
      <c r="AS2156" t="s">
        <v>25087</v>
      </c>
      <c r="AT2156" t="s">
        <v>15040</v>
      </c>
      <c r="AU2156" t="s">
        <v>177</v>
      </c>
      <c r="AV2156" t="s">
        <v>371</v>
      </c>
      <c r="AW2156" t="s">
        <v>182</v>
      </c>
      <c r="AX2156">
        <v>10</v>
      </c>
      <c r="AY2156" t="s">
        <v>3211</v>
      </c>
      <c r="AZ2156" t="s">
        <v>270</v>
      </c>
      <c r="BA2156" t="s">
        <v>3212</v>
      </c>
      <c r="BB2156" t="s">
        <v>191</v>
      </c>
      <c r="BC2156" t="s">
        <v>182</v>
      </c>
      <c r="BD2156" t="s">
        <v>182</v>
      </c>
      <c r="BE2156" t="s">
        <v>12520</v>
      </c>
      <c r="BF2156">
        <v>0</v>
      </c>
      <c r="BG2156">
        <v>0</v>
      </c>
      <c r="BH2156">
        <v>0</v>
      </c>
      <c r="BI2156" t="s">
        <v>199</v>
      </c>
      <c r="BJ2156" t="s">
        <v>248</v>
      </c>
      <c r="BL2156" t="s">
        <v>23634</v>
      </c>
      <c r="BM2156" t="s">
        <v>286</v>
      </c>
      <c r="BN2156" t="s">
        <v>182</v>
      </c>
      <c r="BO2156" t="s">
        <v>198</v>
      </c>
      <c r="BP2156" t="s">
        <v>198</v>
      </c>
      <c r="BQ2156" t="s">
        <v>198</v>
      </c>
      <c r="BR2156" t="s">
        <v>198</v>
      </c>
      <c r="BS2156" t="s">
        <v>198</v>
      </c>
      <c r="BT2156" t="s">
        <v>198</v>
      </c>
      <c r="BU2156" t="s">
        <v>182</v>
      </c>
      <c r="BV2156" t="s">
        <v>198</v>
      </c>
      <c r="BW2156" t="s">
        <v>198</v>
      </c>
      <c r="BX2156" t="s">
        <v>199</v>
      </c>
      <c r="BY2156" t="s">
        <v>198</v>
      </c>
      <c r="BZ2156" t="s">
        <v>199</v>
      </c>
      <c r="CA2156" t="s">
        <v>199</v>
      </c>
      <c r="CB2156" t="s">
        <v>25088</v>
      </c>
      <c r="CC2156" t="s">
        <v>201</v>
      </c>
      <c r="CD2156" t="s">
        <v>202</v>
      </c>
      <c r="CE2156" t="s">
        <v>25089</v>
      </c>
      <c r="CF2156" t="s">
        <v>19602</v>
      </c>
      <c r="CG2156" t="s">
        <v>1602</v>
      </c>
      <c r="CH2156" t="s">
        <v>25090</v>
      </c>
      <c r="CI2156" t="s">
        <v>25091</v>
      </c>
      <c r="CJ2156" t="s">
        <v>23313</v>
      </c>
      <c r="CK2156" t="s">
        <v>292</v>
      </c>
      <c r="CL2156" t="s">
        <v>293</v>
      </c>
      <c r="CM2156" t="s">
        <v>25092</v>
      </c>
      <c r="CN2156" t="s">
        <v>333</v>
      </c>
      <c r="CO2156" t="s">
        <v>183</v>
      </c>
      <c r="CP2156" t="s">
        <v>211</v>
      </c>
      <c r="CQ2156" t="s">
        <v>189</v>
      </c>
      <c r="CR2156" t="s">
        <v>271</v>
      </c>
      <c r="CS2156" t="s">
        <v>18874</v>
      </c>
      <c r="CT2156" t="s">
        <v>10429</v>
      </c>
      <c r="CU2156" t="s">
        <v>267</v>
      </c>
      <c r="CV2156" t="s">
        <v>268</v>
      </c>
      <c r="CW2156" t="s">
        <v>25093</v>
      </c>
      <c r="CX2156" t="s">
        <v>400</v>
      </c>
      <c r="CY2156" t="s">
        <v>183</v>
      </c>
      <c r="CZ2156" t="s">
        <v>211</v>
      </c>
      <c r="DA2156" t="s">
        <v>460</v>
      </c>
      <c r="DB2156" t="s">
        <v>271</v>
      </c>
      <c r="DC2156" t="s">
        <v>18874</v>
      </c>
      <c r="DD2156" t="s">
        <v>25094</v>
      </c>
      <c r="DE2156" t="s">
        <v>273</v>
      </c>
      <c r="DF2156" t="s">
        <v>274</v>
      </c>
      <c r="DG2156" t="s">
        <v>25095</v>
      </c>
      <c r="DH2156" t="s">
        <v>796</v>
      </c>
      <c r="DI2156" t="s">
        <v>183</v>
      </c>
      <c r="DJ2156" t="s">
        <v>211</v>
      </c>
      <c r="DL2156" t="s">
        <v>271</v>
      </c>
      <c r="DM2156" t="s">
        <v>198</v>
      </c>
      <c r="DN2156" t="s">
        <v>4518</v>
      </c>
      <c r="DO2156" t="s">
        <v>238</v>
      </c>
      <c r="DP2156" t="s">
        <v>239</v>
      </c>
      <c r="DQ2156" t="s">
        <v>25096</v>
      </c>
      <c r="DR2156" t="s">
        <v>4595</v>
      </c>
      <c r="DS2156" t="s">
        <v>183</v>
      </c>
      <c r="DT2156" t="s">
        <v>211</v>
      </c>
      <c r="DU2156" t="s">
        <v>290</v>
      </c>
      <c r="DW2156" t="s">
        <v>5469</v>
      </c>
      <c r="DX2156" t="s">
        <v>25097</v>
      </c>
      <c r="DY2156" t="s">
        <v>346</v>
      </c>
      <c r="DZ2156" t="s">
        <v>347</v>
      </c>
      <c r="EA2156" t="s">
        <v>25098</v>
      </c>
      <c r="EB2156" t="s">
        <v>341</v>
      </c>
      <c r="EC2156" t="s">
        <v>183</v>
      </c>
      <c r="ED2156" t="s">
        <v>211</v>
      </c>
      <c r="EE2156" t="s">
        <v>523</v>
      </c>
      <c r="EG2156" t="s">
        <v>5469</v>
      </c>
      <c r="EH2156" t="s">
        <v>25099</v>
      </c>
      <c r="EI2156" t="s">
        <v>207</v>
      </c>
      <c r="EJ2156" t="s">
        <v>208</v>
      </c>
      <c r="EK2156" t="s">
        <v>25100</v>
      </c>
      <c r="EL2156" t="s">
        <v>2499</v>
      </c>
      <c r="EM2156" t="s">
        <v>183</v>
      </c>
      <c r="EN2156" t="s">
        <v>211</v>
      </c>
      <c r="EO2156" t="s">
        <v>806</v>
      </c>
      <c r="EQ2156" t="s">
        <v>5469</v>
      </c>
      <c r="FA2156" t="s">
        <v>198</v>
      </c>
      <c r="FK2156" t="s">
        <v>198</v>
      </c>
      <c r="FU2156" t="s">
        <v>198</v>
      </c>
    </row>
    <row r="2157" spans="1:177">
      <c r="A2157" s="1" t="str">
        <f>HYPERLINK("http://digipan.lumentumllc.com/apps/getLink/index.php?t=PropLink&amp;p=5244533","PL")</f>
        <v>PL</v>
      </c>
      <c r="B2157" s="1" t="str">
        <f>HYPERLINK("http://digipan.lumentumllc.com/apps/getLink/index.php?t=TaxLink&amp;p=5244533","TL")</f>
        <v>TL</v>
      </c>
      <c r="C2157" s="1" t="str">
        <f>HYPERLINK("http://digipan.lumentumllc.com/apps/getMap/index.php?p=5244533","Map")</f>
        <v>Map</v>
      </c>
      <c r="E2157" t="s">
        <v>177</v>
      </c>
      <c r="F2157" t="s">
        <v>178</v>
      </c>
      <c r="L2157" t="s">
        <v>25101</v>
      </c>
      <c r="N2157" t="s">
        <v>25101</v>
      </c>
      <c r="O2157" t="s">
        <v>25101</v>
      </c>
      <c r="P2157" t="s">
        <v>25102</v>
      </c>
      <c r="Q2157" t="s">
        <v>25101</v>
      </c>
      <c r="V2157">
        <v>2466</v>
      </c>
      <c r="W2157">
        <v>8</v>
      </c>
      <c r="X2157">
        <v>2017</v>
      </c>
      <c r="Y2157">
        <v>2018</v>
      </c>
      <c r="Z2157">
        <v>1217.53</v>
      </c>
      <c r="AB2157" t="s">
        <v>181</v>
      </c>
      <c r="AC2157" t="s">
        <v>182</v>
      </c>
      <c r="AD2157" t="s">
        <v>183</v>
      </c>
      <c r="AE2157">
        <v>1</v>
      </c>
      <c r="AF2157">
        <v>7</v>
      </c>
      <c r="AG2157" t="s">
        <v>418</v>
      </c>
      <c r="AH2157">
        <v>86</v>
      </c>
      <c r="AI2157">
        <v>848.14</v>
      </c>
      <c r="AJ2157">
        <v>118.74</v>
      </c>
      <c r="AK2157">
        <v>966.88</v>
      </c>
      <c r="AL2157">
        <v>55000</v>
      </c>
      <c r="AM2157">
        <v>55000</v>
      </c>
      <c r="AN2157">
        <v>0</v>
      </c>
      <c r="AO2157">
        <v>759</v>
      </c>
      <c r="AP2157">
        <v>2016</v>
      </c>
      <c r="AQ2157">
        <v>2.21</v>
      </c>
      <c r="AR2157">
        <v>1.76</v>
      </c>
      <c r="AS2157" t="s">
        <v>25103</v>
      </c>
      <c r="AT2157" t="s">
        <v>15040</v>
      </c>
      <c r="AU2157" t="s">
        <v>177</v>
      </c>
      <c r="AV2157" t="s">
        <v>371</v>
      </c>
      <c r="AW2157" t="s">
        <v>182</v>
      </c>
      <c r="AX2157">
        <v>0</v>
      </c>
      <c r="AY2157" t="s">
        <v>312</v>
      </c>
      <c r="AZ2157" t="s">
        <v>199</v>
      </c>
      <c r="BA2157" t="s">
        <v>313</v>
      </c>
      <c r="BB2157" t="s">
        <v>191</v>
      </c>
      <c r="BC2157" t="s">
        <v>182</v>
      </c>
      <c r="BD2157" t="s">
        <v>182</v>
      </c>
      <c r="BE2157" t="s">
        <v>3930</v>
      </c>
      <c r="BF2157">
        <v>0</v>
      </c>
      <c r="BG2157">
        <v>0</v>
      </c>
      <c r="BH2157">
        <v>0</v>
      </c>
      <c r="BI2157" t="s">
        <v>199</v>
      </c>
      <c r="BJ2157" t="s">
        <v>315</v>
      </c>
      <c r="BL2157" t="s">
        <v>199</v>
      </c>
      <c r="BM2157" t="s">
        <v>1156</v>
      </c>
      <c r="BN2157" t="s">
        <v>182</v>
      </c>
      <c r="BO2157" t="s">
        <v>198</v>
      </c>
      <c r="BP2157" t="s">
        <v>198</v>
      </c>
      <c r="BQ2157" t="s">
        <v>198</v>
      </c>
      <c r="BR2157" t="s">
        <v>198</v>
      </c>
      <c r="BS2157" t="s">
        <v>198</v>
      </c>
      <c r="BT2157" t="s">
        <v>198</v>
      </c>
      <c r="BU2157" t="s">
        <v>182</v>
      </c>
      <c r="BV2157" t="s">
        <v>198</v>
      </c>
      <c r="BW2157" t="s">
        <v>198</v>
      </c>
      <c r="BX2157" t="s">
        <v>199</v>
      </c>
      <c r="BY2157" t="s">
        <v>198</v>
      </c>
      <c r="BZ2157" t="s">
        <v>199</v>
      </c>
      <c r="CA2157" t="s">
        <v>199</v>
      </c>
      <c r="CB2157" t="s">
        <v>25104</v>
      </c>
      <c r="CC2157" t="s">
        <v>201</v>
      </c>
      <c r="CD2157" t="s">
        <v>202</v>
      </c>
      <c r="CE2157" t="s">
        <v>25105</v>
      </c>
      <c r="CF2157" t="s">
        <v>23111</v>
      </c>
      <c r="CG2157" t="s">
        <v>177</v>
      </c>
      <c r="CH2157" t="s">
        <v>23112</v>
      </c>
      <c r="CI2157" t="s">
        <v>25106</v>
      </c>
      <c r="CJ2157" t="s">
        <v>16354</v>
      </c>
      <c r="CK2157" t="s">
        <v>232</v>
      </c>
      <c r="CL2157" t="s">
        <v>233</v>
      </c>
      <c r="CM2157" t="s">
        <v>16574</v>
      </c>
      <c r="CN2157" t="s">
        <v>484</v>
      </c>
      <c r="CO2157" t="s">
        <v>183</v>
      </c>
      <c r="CP2157" t="s">
        <v>266</v>
      </c>
      <c r="CS2157" t="s">
        <v>198</v>
      </c>
      <c r="CT2157" t="s">
        <v>15610</v>
      </c>
      <c r="CU2157" t="s">
        <v>292</v>
      </c>
      <c r="CV2157" t="s">
        <v>293</v>
      </c>
      <c r="CW2157" t="s">
        <v>25107</v>
      </c>
      <c r="CX2157" t="s">
        <v>333</v>
      </c>
      <c r="CY2157" t="s">
        <v>183</v>
      </c>
      <c r="CZ2157" t="s">
        <v>211</v>
      </c>
      <c r="DA2157" t="s">
        <v>345</v>
      </c>
      <c r="DC2157" t="s">
        <v>1088</v>
      </c>
      <c r="DD2157" t="s">
        <v>16841</v>
      </c>
      <c r="DE2157" t="s">
        <v>267</v>
      </c>
      <c r="DF2157" t="s">
        <v>268</v>
      </c>
      <c r="DG2157" t="s">
        <v>25108</v>
      </c>
      <c r="DH2157" t="s">
        <v>400</v>
      </c>
      <c r="DI2157" t="s">
        <v>183</v>
      </c>
      <c r="DJ2157" t="s">
        <v>211</v>
      </c>
      <c r="DK2157" t="s">
        <v>345</v>
      </c>
      <c r="DM2157" t="s">
        <v>13292</v>
      </c>
      <c r="DN2157" t="s">
        <v>25109</v>
      </c>
      <c r="DO2157" t="s">
        <v>273</v>
      </c>
      <c r="DP2157" t="s">
        <v>274</v>
      </c>
      <c r="DQ2157" t="s">
        <v>25110</v>
      </c>
      <c r="DR2157" t="s">
        <v>796</v>
      </c>
      <c r="DS2157" t="s">
        <v>183</v>
      </c>
      <c r="DT2157" t="s">
        <v>211</v>
      </c>
      <c r="DU2157" t="s">
        <v>337</v>
      </c>
      <c r="DW2157" t="s">
        <v>544</v>
      </c>
      <c r="DX2157" t="s">
        <v>25111</v>
      </c>
      <c r="DY2157" t="s">
        <v>302</v>
      </c>
      <c r="DZ2157" t="s">
        <v>303</v>
      </c>
      <c r="EA2157" t="s">
        <v>25112</v>
      </c>
      <c r="EB2157" t="s">
        <v>7278</v>
      </c>
      <c r="EC2157" t="s">
        <v>183</v>
      </c>
      <c r="ED2157" t="s">
        <v>211</v>
      </c>
      <c r="EE2157" t="s">
        <v>337</v>
      </c>
      <c r="EG2157" t="s">
        <v>23119</v>
      </c>
      <c r="EH2157" t="s">
        <v>5422</v>
      </c>
      <c r="EI2157" t="s">
        <v>238</v>
      </c>
      <c r="EJ2157" t="s">
        <v>239</v>
      </c>
      <c r="EK2157" t="s">
        <v>25113</v>
      </c>
      <c r="EL2157" t="s">
        <v>4595</v>
      </c>
      <c r="EM2157" t="s">
        <v>183</v>
      </c>
      <c r="EN2157" t="s">
        <v>211</v>
      </c>
      <c r="EO2157" t="s">
        <v>337</v>
      </c>
      <c r="EQ2157" t="s">
        <v>1349</v>
      </c>
      <c r="ER2157" t="s">
        <v>25114</v>
      </c>
      <c r="ES2157" t="s">
        <v>346</v>
      </c>
      <c r="ET2157" t="s">
        <v>347</v>
      </c>
      <c r="EU2157" t="s">
        <v>25115</v>
      </c>
      <c r="EV2157" t="s">
        <v>391</v>
      </c>
      <c r="EW2157" t="s">
        <v>183</v>
      </c>
      <c r="EX2157" t="s">
        <v>211</v>
      </c>
      <c r="EY2157" t="s">
        <v>345</v>
      </c>
      <c r="FA2157" t="s">
        <v>15986</v>
      </c>
      <c r="FB2157" t="s">
        <v>25116</v>
      </c>
      <c r="FC2157" t="s">
        <v>207</v>
      </c>
      <c r="FD2157" t="s">
        <v>208</v>
      </c>
      <c r="FE2157" t="s">
        <v>25117</v>
      </c>
      <c r="FF2157" t="s">
        <v>688</v>
      </c>
      <c r="FG2157" t="s">
        <v>183</v>
      </c>
      <c r="FH2157" t="s">
        <v>211</v>
      </c>
      <c r="FI2157" t="s">
        <v>525</v>
      </c>
      <c r="FK2157" t="s">
        <v>470</v>
      </c>
      <c r="FU2157" t="s">
        <v>198</v>
      </c>
    </row>
    <row r="2158" spans="1:177">
      <c r="A2158" s="1" t="str">
        <f>HYPERLINK("http://digipan.lumentumllc.com/apps/getLink/index.php?t=PropLink&amp;p=15734307","PL")</f>
        <v>PL</v>
      </c>
      <c r="B2158" s="1" t="str">
        <f>HYPERLINK("http://digipan.lumentumllc.com/apps/getLink/index.php?t=TaxLink&amp;p=15734307","TL")</f>
        <v>TL</v>
      </c>
      <c r="C2158" s="1" t="str">
        <f>HYPERLINK("http://digipan.lumentumllc.com/apps/getMap/index.php?p=15734307","Map")</f>
        <v>Map</v>
      </c>
      <c r="E2158" t="s">
        <v>177</v>
      </c>
      <c r="F2158" t="s">
        <v>178</v>
      </c>
      <c r="L2158" t="s">
        <v>25118</v>
      </c>
      <c r="N2158" t="s">
        <v>25118</v>
      </c>
      <c r="O2158" t="s">
        <v>25118</v>
      </c>
      <c r="Q2158" t="s">
        <v>25118</v>
      </c>
      <c r="V2158">
        <v>2467</v>
      </c>
      <c r="W2158">
        <v>8</v>
      </c>
      <c r="X2158">
        <v>2017</v>
      </c>
      <c r="Y2158">
        <v>2018</v>
      </c>
      <c r="Z2158">
        <v>3095.05</v>
      </c>
      <c r="AG2158" t="s">
        <v>184</v>
      </c>
      <c r="AH2158">
        <v>0</v>
      </c>
      <c r="AK2158">
        <v>0</v>
      </c>
      <c r="AL2158">
        <v>163995</v>
      </c>
      <c r="AM2158">
        <v>163625</v>
      </c>
      <c r="AN2158">
        <v>370</v>
      </c>
      <c r="AO2158">
        <v>2416</v>
      </c>
      <c r="AP2158">
        <v>2016</v>
      </c>
      <c r="AQ2158">
        <v>1.89</v>
      </c>
      <c r="AS2158" t="s">
        <v>25119</v>
      </c>
      <c r="AT2158" t="s">
        <v>15040</v>
      </c>
      <c r="AU2158" t="s">
        <v>177</v>
      </c>
      <c r="AV2158" t="s">
        <v>371</v>
      </c>
      <c r="AW2158" t="s">
        <v>182</v>
      </c>
      <c r="AX2158">
        <v>0</v>
      </c>
      <c r="AY2158" t="s">
        <v>312</v>
      </c>
      <c r="AZ2158" t="s">
        <v>199</v>
      </c>
      <c r="BA2158" t="s">
        <v>313</v>
      </c>
      <c r="BB2158" t="s">
        <v>191</v>
      </c>
      <c r="BC2158" t="s">
        <v>182</v>
      </c>
      <c r="BD2158" t="s">
        <v>182</v>
      </c>
      <c r="BE2158" t="s">
        <v>3956</v>
      </c>
      <c r="BF2158">
        <v>0</v>
      </c>
      <c r="BG2158">
        <v>0</v>
      </c>
      <c r="BH2158">
        <v>0</v>
      </c>
      <c r="BI2158" t="s">
        <v>199</v>
      </c>
      <c r="BJ2158" t="s">
        <v>315</v>
      </c>
      <c r="BL2158" t="s">
        <v>199</v>
      </c>
      <c r="BM2158" t="s">
        <v>292</v>
      </c>
      <c r="BN2158" t="s">
        <v>182</v>
      </c>
      <c r="BO2158" t="s">
        <v>198</v>
      </c>
      <c r="BP2158" t="s">
        <v>198</v>
      </c>
      <c r="BQ2158" t="s">
        <v>198</v>
      </c>
      <c r="BR2158" t="s">
        <v>198</v>
      </c>
      <c r="BS2158" t="s">
        <v>198</v>
      </c>
      <c r="BT2158" t="s">
        <v>198</v>
      </c>
      <c r="BU2158" t="s">
        <v>182</v>
      </c>
      <c r="BV2158" t="s">
        <v>198</v>
      </c>
      <c r="BW2158" t="s">
        <v>198</v>
      </c>
      <c r="BX2158" t="s">
        <v>199</v>
      </c>
      <c r="BY2158" t="s">
        <v>198</v>
      </c>
      <c r="BZ2158" t="s">
        <v>199</v>
      </c>
      <c r="CA2158" t="s">
        <v>199</v>
      </c>
      <c r="CB2158" t="s">
        <v>16450</v>
      </c>
      <c r="CC2158" t="s">
        <v>1407</v>
      </c>
      <c r="CD2158" t="s">
        <v>202</v>
      </c>
      <c r="CE2158" t="s">
        <v>16451</v>
      </c>
      <c r="CF2158" t="s">
        <v>5331</v>
      </c>
      <c r="CG2158" t="s">
        <v>177</v>
      </c>
      <c r="CH2158" t="s">
        <v>5332</v>
      </c>
      <c r="CI2158" t="s">
        <v>25120</v>
      </c>
      <c r="CS2158" t="s">
        <v>198</v>
      </c>
      <c r="DC2158" t="s">
        <v>198</v>
      </c>
      <c r="DM2158" t="s">
        <v>198</v>
      </c>
      <c r="DW2158" t="s">
        <v>198</v>
      </c>
      <c r="EG2158" t="s">
        <v>198</v>
      </c>
      <c r="EQ2158" t="s">
        <v>198</v>
      </c>
      <c r="FA2158" t="s">
        <v>198</v>
      </c>
      <c r="FK2158" t="s">
        <v>198</v>
      </c>
      <c r="FU2158" t="s">
        <v>198</v>
      </c>
    </row>
    <row r="2159" spans="1:177">
      <c r="A2159" s="1" t="str">
        <f>HYPERLINK("http://digipan.lumentumllc.com/apps/getLink/index.php?t=PropLink&amp;p=6128718","PL")</f>
        <v>PL</v>
      </c>
      <c r="B2159" s="1" t="str">
        <f>HYPERLINK("http://digipan.lumentumllc.com/apps/getLink/index.php?t=TaxLink&amp;p=6128718","TL")</f>
        <v>TL</v>
      </c>
      <c r="C2159" s="1" t="str">
        <f>HYPERLINK("http://digipan.lumentumllc.com/apps/getMap/index.php?p=6128718","Map")</f>
        <v>Map</v>
      </c>
      <c r="E2159" t="s">
        <v>177</v>
      </c>
      <c r="F2159" t="s">
        <v>178</v>
      </c>
      <c r="L2159" t="s">
        <v>25121</v>
      </c>
      <c r="N2159" t="s">
        <v>25121</v>
      </c>
      <c r="O2159" t="s">
        <v>25121</v>
      </c>
      <c r="P2159" t="s">
        <v>25122</v>
      </c>
      <c r="Q2159" t="s">
        <v>25121</v>
      </c>
      <c r="V2159">
        <v>2468</v>
      </c>
      <c r="W2159">
        <v>8</v>
      </c>
      <c r="X2159">
        <v>2017</v>
      </c>
      <c r="Y2159">
        <v>2018</v>
      </c>
      <c r="Z2159">
        <v>1771.64</v>
      </c>
      <c r="AB2159" t="s">
        <v>181</v>
      </c>
      <c r="AC2159" t="s">
        <v>182</v>
      </c>
      <c r="AD2159" t="s">
        <v>183</v>
      </c>
      <c r="AE2159">
        <v>1</v>
      </c>
      <c r="AF2159">
        <v>3</v>
      </c>
      <c r="AG2159" t="s">
        <v>257</v>
      </c>
      <c r="AH2159">
        <v>75</v>
      </c>
      <c r="AI2159">
        <v>1636.02</v>
      </c>
      <c r="AJ2159">
        <v>81.8</v>
      </c>
      <c r="AK2159">
        <v>1717.82</v>
      </c>
      <c r="AL2159">
        <v>81582</v>
      </c>
      <c r="AM2159">
        <v>19076</v>
      </c>
      <c r="AN2159">
        <v>62506</v>
      </c>
      <c r="AO2159">
        <v>1488</v>
      </c>
      <c r="AP2159">
        <v>2016</v>
      </c>
      <c r="AQ2159">
        <v>2.17</v>
      </c>
      <c r="AR2159">
        <v>2.11</v>
      </c>
      <c r="AS2159" t="s">
        <v>25123</v>
      </c>
      <c r="AT2159" t="s">
        <v>15040</v>
      </c>
      <c r="AU2159" t="s">
        <v>177</v>
      </c>
      <c r="AV2159" t="s">
        <v>371</v>
      </c>
      <c r="AW2159" t="s">
        <v>182</v>
      </c>
      <c r="AX2159">
        <v>1</v>
      </c>
      <c r="AY2159" t="s">
        <v>188</v>
      </c>
      <c r="AZ2159" t="s">
        <v>206</v>
      </c>
      <c r="BA2159" t="s">
        <v>355</v>
      </c>
      <c r="BB2159" t="s">
        <v>191</v>
      </c>
      <c r="BC2159" t="s">
        <v>182</v>
      </c>
      <c r="BD2159" t="s">
        <v>182</v>
      </c>
      <c r="BE2159" t="s">
        <v>3930</v>
      </c>
      <c r="BF2159">
        <v>1</v>
      </c>
      <c r="BG2159">
        <v>1</v>
      </c>
      <c r="BH2159">
        <v>1967</v>
      </c>
      <c r="BI2159" t="s">
        <v>12863</v>
      </c>
      <c r="BJ2159" t="s">
        <v>285</v>
      </c>
      <c r="BK2159" t="s">
        <v>840</v>
      </c>
      <c r="BL2159" t="s">
        <v>18331</v>
      </c>
      <c r="BM2159" t="s">
        <v>533</v>
      </c>
      <c r="BN2159" t="s">
        <v>182</v>
      </c>
      <c r="BO2159" t="s">
        <v>198</v>
      </c>
      <c r="BP2159" t="s">
        <v>198</v>
      </c>
      <c r="BQ2159" t="s">
        <v>198</v>
      </c>
      <c r="BR2159" t="s">
        <v>198</v>
      </c>
      <c r="BS2159" t="s">
        <v>198</v>
      </c>
      <c r="BT2159" t="s">
        <v>198</v>
      </c>
      <c r="BU2159" t="s">
        <v>182</v>
      </c>
      <c r="BV2159" t="s">
        <v>198</v>
      </c>
      <c r="BW2159" t="s">
        <v>198</v>
      </c>
      <c r="BX2159" t="s">
        <v>199</v>
      </c>
      <c r="BY2159" t="s">
        <v>198</v>
      </c>
      <c r="BZ2159" t="s">
        <v>199</v>
      </c>
      <c r="CA2159" t="s">
        <v>199</v>
      </c>
      <c r="CB2159" t="s">
        <v>25124</v>
      </c>
      <c r="CC2159" t="s">
        <v>201</v>
      </c>
      <c r="CD2159" t="s">
        <v>182</v>
      </c>
      <c r="CE2159" t="s">
        <v>25125</v>
      </c>
      <c r="CF2159" t="s">
        <v>5331</v>
      </c>
      <c r="CG2159" t="s">
        <v>177</v>
      </c>
      <c r="CH2159" t="s">
        <v>5332</v>
      </c>
      <c r="CI2159" t="s">
        <v>25126</v>
      </c>
      <c r="CJ2159" t="s">
        <v>16382</v>
      </c>
      <c r="CK2159" t="s">
        <v>232</v>
      </c>
      <c r="CL2159" t="s">
        <v>233</v>
      </c>
      <c r="CM2159" t="s">
        <v>25127</v>
      </c>
      <c r="CN2159" t="s">
        <v>235</v>
      </c>
      <c r="CO2159" t="s">
        <v>183</v>
      </c>
      <c r="CP2159" t="s">
        <v>266</v>
      </c>
      <c r="CS2159" t="s">
        <v>198</v>
      </c>
      <c r="CT2159" t="s">
        <v>7665</v>
      </c>
      <c r="CU2159" t="s">
        <v>292</v>
      </c>
      <c r="CV2159" t="s">
        <v>293</v>
      </c>
      <c r="CW2159" t="s">
        <v>25128</v>
      </c>
      <c r="CX2159" t="s">
        <v>235</v>
      </c>
      <c r="CY2159" t="s">
        <v>183</v>
      </c>
      <c r="CZ2159" t="s">
        <v>211</v>
      </c>
      <c r="DA2159" t="s">
        <v>487</v>
      </c>
      <c r="DC2159" t="s">
        <v>21299</v>
      </c>
      <c r="DD2159" t="s">
        <v>18490</v>
      </c>
      <c r="DE2159" t="s">
        <v>273</v>
      </c>
      <c r="DF2159" t="s">
        <v>274</v>
      </c>
      <c r="DG2159" t="s">
        <v>25129</v>
      </c>
      <c r="DH2159" t="s">
        <v>235</v>
      </c>
      <c r="DI2159" t="s">
        <v>183</v>
      </c>
      <c r="DJ2159" t="s">
        <v>211</v>
      </c>
      <c r="DK2159" t="s">
        <v>212</v>
      </c>
      <c r="DM2159" t="s">
        <v>15746</v>
      </c>
      <c r="DN2159" t="s">
        <v>5578</v>
      </c>
      <c r="DO2159" t="s">
        <v>238</v>
      </c>
      <c r="DP2159" t="s">
        <v>239</v>
      </c>
      <c r="DQ2159" t="s">
        <v>25130</v>
      </c>
      <c r="DR2159" t="s">
        <v>235</v>
      </c>
      <c r="DS2159" t="s">
        <v>183</v>
      </c>
      <c r="DT2159" t="s">
        <v>211</v>
      </c>
      <c r="DU2159" t="s">
        <v>290</v>
      </c>
      <c r="DW2159" t="s">
        <v>2250</v>
      </c>
      <c r="EG2159" t="s">
        <v>198</v>
      </c>
      <c r="EQ2159" t="s">
        <v>198</v>
      </c>
      <c r="FA2159" t="s">
        <v>198</v>
      </c>
      <c r="FK2159" t="s">
        <v>198</v>
      </c>
      <c r="FU2159" t="s">
        <v>198</v>
      </c>
    </row>
    <row r="2160" spans="1:177">
      <c r="A2160" s="1" t="str">
        <f>HYPERLINK("http://digipan.lumentumllc.com/apps/getLink/index.php?t=PropLink&amp;p=4637059","PL")</f>
        <v>PL</v>
      </c>
      <c r="B2160" s="1" t="str">
        <f>HYPERLINK("http://digipan.lumentumllc.com/apps/getLink/index.php?t=TaxLink&amp;p=4637059","TL")</f>
        <v>TL</v>
      </c>
      <c r="C2160" s="1" t="str">
        <f>HYPERLINK("http://digipan.lumentumllc.com/apps/getMap/index.php?p=4637059","Map")</f>
        <v>Map</v>
      </c>
      <c r="E2160" t="s">
        <v>177</v>
      </c>
      <c r="F2160" t="s">
        <v>178</v>
      </c>
      <c r="L2160" t="s">
        <v>25131</v>
      </c>
      <c r="N2160" t="s">
        <v>25131</v>
      </c>
      <c r="O2160" t="s">
        <v>25131</v>
      </c>
      <c r="P2160" t="s">
        <v>25132</v>
      </c>
      <c r="Q2160" t="s">
        <v>25131</v>
      </c>
      <c r="V2160">
        <v>2469</v>
      </c>
      <c r="W2160">
        <v>8</v>
      </c>
      <c r="X2160">
        <v>2017</v>
      </c>
      <c r="Y2160">
        <v>2018</v>
      </c>
      <c r="Z2160">
        <v>637.47</v>
      </c>
      <c r="AB2160" t="s">
        <v>181</v>
      </c>
      <c r="AC2160" t="s">
        <v>182</v>
      </c>
      <c r="AD2160" t="s">
        <v>183</v>
      </c>
      <c r="AE2160">
        <v>1</v>
      </c>
      <c r="AF2160">
        <v>1</v>
      </c>
      <c r="AG2160" t="s">
        <v>2222</v>
      </c>
      <c r="AH2160">
        <v>50</v>
      </c>
      <c r="AI2160">
        <v>634.03</v>
      </c>
      <c r="AJ2160">
        <v>31.7</v>
      </c>
      <c r="AK2160">
        <v>665.73</v>
      </c>
      <c r="AL2160">
        <v>80475</v>
      </c>
      <c r="AM2160">
        <v>19315</v>
      </c>
      <c r="AN2160">
        <v>61160</v>
      </c>
      <c r="AO2160">
        <v>561</v>
      </c>
      <c r="AP2160">
        <v>2016</v>
      </c>
      <c r="AQ2160">
        <v>0.79</v>
      </c>
      <c r="AR2160">
        <v>0.83</v>
      </c>
      <c r="AS2160" t="s">
        <v>25133</v>
      </c>
      <c r="AT2160" t="s">
        <v>15040</v>
      </c>
      <c r="AU2160" t="s">
        <v>177</v>
      </c>
      <c r="AV2160" t="s">
        <v>371</v>
      </c>
      <c r="AW2160" t="s">
        <v>202</v>
      </c>
      <c r="AX2160">
        <v>1</v>
      </c>
      <c r="AY2160" t="s">
        <v>188</v>
      </c>
      <c r="AZ2160" t="s">
        <v>206</v>
      </c>
      <c r="BA2160" t="s">
        <v>355</v>
      </c>
      <c r="BB2160" t="s">
        <v>191</v>
      </c>
      <c r="BC2160" t="s">
        <v>182</v>
      </c>
      <c r="BD2160" t="s">
        <v>182</v>
      </c>
      <c r="BE2160" t="s">
        <v>3907</v>
      </c>
      <c r="BF2160">
        <v>1</v>
      </c>
      <c r="BG2160">
        <v>1</v>
      </c>
      <c r="BH2160">
        <v>1982</v>
      </c>
      <c r="BI2160" t="s">
        <v>13789</v>
      </c>
      <c r="BJ2160" t="s">
        <v>285</v>
      </c>
      <c r="BK2160" t="s">
        <v>195</v>
      </c>
      <c r="BL2160" t="s">
        <v>199</v>
      </c>
      <c r="BM2160" t="s">
        <v>325</v>
      </c>
      <c r="BN2160" t="s">
        <v>182</v>
      </c>
      <c r="BO2160" t="s">
        <v>4177</v>
      </c>
      <c r="BP2160" t="s">
        <v>25134</v>
      </c>
      <c r="BS2160" t="s">
        <v>25135</v>
      </c>
      <c r="BT2160" t="s">
        <v>198</v>
      </c>
      <c r="BU2160" t="s">
        <v>182</v>
      </c>
      <c r="BV2160" t="s">
        <v>198</v>
      </c>
      <c r="BW2160" t="s">
        <v>198</v>
      </c>
      <c r="BX2160" t="s">
        <v>199</v>
      </c>
      <c r="BY2160" t="s">
        <v>198</v>
      </c>
      <c r="BZ2160" t="s">
        <v>199</v>
      </c>
      <c r="CA2160" t="s">
        <v>199</v>
      </c>
      <c r="CB2160" t="s">
        <v>25136</v>
      </c>
      <c r="CC2160" t="s">
        <v>201</v>
      </c>
      <c r="CD2160" t="s">
        <v>182</v>
      </c>
      <c r="CE2160" t="s">
        <v>25137</v>
      </c>
      <c r="CF2160" t="s">
        <v>5331</v>
      </c>
      <c r="CG2160" t="s">
        <v>177</v>
      </c>
      <c r="CH2160" t="s">
        <v>371</v>
      </c>
      <c r="CI2160" t="s">
        <v>25138</v>
      </c>
      <c r="CJ2160" t="s">
        <v>4143</v>
      </c>
      <c r="CK2160" t="s">
        <v>232</v>
      </c>
      <c r="CL2160" t="s">
        <v>233</v>
      </c>
      <c r="CM2160" t="s">
        <v>25139</v>
      </c>
      <c r="CN2160" t="s">
        <v>235</v>
      </c>
      <c r="CO2160" t="s">
        <v>183</v>
      </c>
      <c r="CP2160" t="s">
        <v>266</v>
      </c>
      <c r="CS2160" t="s">
        <v>198</v>
      </c>
      <c r="CT2160" t="s">
        <v>25140</v>
      </c>
      <c r="CU2160" t="s">
        <v>267</v>
      </c>
      <c r="CV2160" t="s">
        <v>268</v>
      </c>
      <c r="CW2160" t="s">
        <v>25141</v>
      </c>
      <c r="CX2160" t="s">
        <v>235</v>
      </c>
      <c r="CY2160" t="s">
        <v>183</v>
      </c>
      <c r="CZ2160" t="s">
        <v>211</v>
      </c>
      <c r="DA2160" t="s">
        <v>206</v>
      </c>
      <c r="DC2160" t="s">
        <v>25142</v>
      </c>
      <c r="DM2160" t="s">
        <v>198</v>
      </c>
      <c r="DW2160" t="s">
        <v>198</v>
      </c>
      <c r="EG2160" t="s">
        <v>198</v>
      </c>
      <c r="EQ2160" t="s">
        <v>198</v>
      </c>
      <c r="FA2160" t="s">
        <v>198</v>
      </c>
      <c r="FK2160" t="s">
        <v>198</v>
      </c>
      <c r="FU2160" t="s">
        <v>198</v>
      </c>
    </row>
    <row r="2161" spans="1:177">
      <c r="A2161" s="1" t="str">
        <f>HYPERLINK("http://digipan.lumentumllc.com/apps/getLink/index.php?t=PropLink&amp;p=5244540","PL")</f>
        <v>PL</v>
      </c>
      <c r="B2161" s="1" t="str">
        <f>HYPERLINK("http://digipan.lumentumllc.com/apps/getLink/index.php?t=TaxLink&amp;p=5244540","TL")</f>
        <v>TL</v>
      </c>
      <c r="C2161" s="1" t="str">
        <f>HYPERLINK("http://digipan.lumentumllc.com/apps/getMap/index.php?p=5244540","Map")</f>
        <v>Map</v>
      </c>
      <c r="E2161" t="s">
        <v>177</v>
      </c>
      <c r="F2161" t="s">
        <v>178</v>
      </c>
      <c r="L2161" t="s">
        <v>25143</v>
      </c>
      <c r="N2161" t="s">
        <v>25143</v>
      </c>
      <c r="O2161" t="s">
        <v>25143</v>
      </c>
      <c r="P2161" t="s">
        <v>25144</v>
      </c>
      <c r="Q2161" t="s">
        <v>25143</v>
      </c>
      <c r="V2161">
        <v>2470</v>
      </c>
      <c r="W2161">
        <v>8</v>
      </c>
      <c r="X2161">
        <v>2017</v>
      </c>
      <c r="Y2161">
        <v>2018</v>
      </c>
      <c r="Z2161">
        <v>1740.11</v>
      </c>
      <c r="AB2161" t="s">
        <v>181</v>
      </c>
      <c r="AC2161" t="s">
        <v>182</v>
      </c>
      <c r="AD2161" t="s">
        <v>183</v>
      </c>
      <c r="AE2161">
        <v>1</v>
      </c>
      <c r="AF2161">
        <v>3</v>
      </c>
      <c r="AG2161" t="s">
        <v>257</v>
      </c>
      <c r="AH2161">
        <v>75</v>
      </c>
      <c r="AI2161">
        <v>1611.37</v>
      </c>
      <c r="AJ2161">
        <v>80.569999999999993</v>
      </c>
      <c r="AK2161">
        <v>1691.94</v>
      </c>
      <c r="AL2161">
        <v>79243</v>
      </c>
      <c r="AM2161">
        <v>18711</v>
      </c>
      <c r="AN2161">
        <v>60532</v>
      </c>
      <c r="AO2161">
        <v>1465</v>
      </c>
      <c r="AP2161">
        <v>2016</v>
      </c>
      <c r="AQ2161">
        <v>2.2000000000000002</v>
      </c>
      <c r="AR2161">
        <v>2.14</v>
      </c>
      <c r="AS2161" t="s">
        <v>25145</v>
      </c>
      <c r="AT2161" t="s">
        <v>15040</v>
      </c>
      <c r="AU2161" t="s">
        <v>177</v>
      </c>
      <c r="AV2161" t="s">
        <v>371</v>
      </c>
      <c r="AW2161" t="s">
        <v>182</v>
      </c>
      <c r="AX2161">
        <v>1</v>
      </c>
      <c r="AY2161" t="s">
        <v>188</v>
      </c>
      <c r="AZ2161" t="s">
        <v>206</v>
      </c>
      <c r="BA2161" t="s">
        <v>355</v>
      </c>
      <c r="BB2161" t="s">
        <v>191</v>
      </c>
      <c r="BC2161" t="s">
        <v>182</v>
      </c>
      <c r="BD2161" t="s">
        <v>182</v>
      </c>
      <c r="BE2161" t="s">
        <v>3930</v>
      </c>
      <c r="BF2161">
        <v>1</v>
      </c>
      <c r="BG2161">
        <v>1</v>
      </c>
      <c r="BH2161">
        <v>1982</v>
      </c>
      <c r="BI2161" t="s">
        <v>3231</v>
      </c>
      <c r="BJ2161" t="s">
        <v>285</v>
      </c>
      <c r="BK2161" t="s">
        <v>840</v>
      </c>
      <c r="BL2161" t="s">
        <v>3374</v>
      </c>
      <c r="BM2161" t="s">
        <v>286</v>
      </c>
      <c r="BN2161" t="s">
        <v>182</v>
      </c>
      <c r="BO2161" t="s">
        <v>198</v>
      </c>
      <c r="BP2161" t="s">
        <v>198</v>
      </c>
      <c r="BQ2161" t="s">
        <v>198</v>
      </c>
      <c r="BR2161" t="s">
        <v>198</v>
      </c>
      <c r="BS2161" t="s">
        <v>198</v>
      </c>
      <c r="BT2161" t="s">
        <v>198</v>
      </c>
      <c r="BU2161" t="s">
        <v>182</v>
      </c>
      <c r="BV2161" t="s">
        <v>198</v>
      </c>
      <c r="BW2161" t="s">
        <v>198</v>
      </c>
      <c r="BX2161" t="s">
        <v>199</v>
      </c>
      <c r="BY2161" t="s">
        <v>198</v>
      </c>
      <c r="BZ2161" t="s">
        <v>199</v>
      </c>
      <c r="CA2161" t="s">
        <v>199</v>
      </c>
      <c r="CB2161" t="s">
        <v>25124</v>
      </c>
      <c r="CC2161" t="s">
        <v>201</v>
      </c>
      <c r="CD2161" t="s">
        <v>182</v>
      </c>
      <c r="CE2161" t="s">
        <v>25146</v>
      </c>
      <c r="CF2161" t="s">
        <v>5331</v>
      </c>
      <c r="CG2161" t="s">
        <v>177</v>
      </c>
      <c r="CH2161" t="s">
        <v>5332</v>
      </c>
      <c r="CI2161" t="s">
        <v>25147</v>
      </c>
      <c r="CJ2161" t="s">
        <v>25148</v>
      </c>
      <c r="CK2161" t="s">
        <v>232</v>
      </c>
      <c r="CL2161" t="s">
        <v>233</v>
      </c>
      <c r="CM2161" t="s">
        <v>25149</v>
      </c>
      <c r="CN2161" t="s">
        <v>235</v>
      </c>
      <c r="CO2161" t="s">
        <v>183</v>
      </c>
      <c r="CP2161" t="s">
        <v>266</v>
      </c>
      <c r="CS2161" t="s">
        <v>198</v>
      </c>
      <c r="CT2161" t="s">
        <v>17824</v>
      </c>
      <c r="CU2161" t="s">
        <v>292</v>
      </c>
      <c r="CV2161" t="s">
        <v>293</v>
      </c>
      <c r="CW2161" t="s">
        <v>25150</v>
      </c>
      <c r="CX2161" t="s">
        <v>235</v>
      </c>
      <c r="CY2161" t="s">
        <v>183</v>
      </c>
      <c r="CZ2161" t="s">
        <v>211</v>
      </c>
      <c r="DA2161" t="s">
        <v>487</v>
      </c>
      <c r="DC2161" t="s">
        <v>21299</v>
      </c>
      <c r="DD2161" t="s">
        <v>25151</v>
      </c>
      <c r="DE2161" t="s">
        <v>267</v>
      </c>
      <c r="DF2161" t="s">
        <v>268</v>
      </c>
      <c r="DG2161" t="s">
        <v>25152</v>
      </c>
      <c r="DH2161" t="s">
        <v>235</v>
      </c>
      <c r="DI2161" t="s">
        <v>183</v>
      </c>
      <c r="DJ2161" t="s">
        <v>211</v>
      </c>
      <c r="DK2161" t="s">
        <v>212</v>
      </c>
      <c r="DM2161" t="s">
        <v>5556</v>
      </c>
      <c r="DN2161" t="s">
        <v>11634</v>
      </c>
      <c r="DO2161" t="s">
        <v>273</v>
      </c>
      <c r="DP2161" t="s">
        <v>274</v>
      </c>
      <c r="DQ2161" t="s">
        <v>25153</v>
      </c>
      <c r="DR2161" t="s">
        <v>235</v>
      </c>
      <c r="DS2161" t="s">
        <v>183</v>
      </c>
      <c r="DT2161" t="s">
        <v>211</v>
      </c>
      <c r="DU2161" t="s">
        <v>199</v>
      </c>
      <c r="DW2161" t="s">
        <v>16461</v>
      </c>
      <c r="EG2161" t="s">
        <v>198</v>
      </c>
      <c r="EQ2161" t="s">
        <v>198</v>
      </c>
      <c r="FA2161" t="s">
        <v>198</v>
      </c>
      <c r="FK2161" t="s">
        <v>198</v>
      </c>
      <c r="FU2161" t="s">
        <v>198</v>
      </c>
    </row>
    <row r="2162" spans="1:177">
      <c r="A2162" s="1" t="str">
        <f>HYPERLINK("http://digipan.lumentumllc.com/apps/getLink/index.php?t=PropLink&amp;p=5244541","PL")</f>
        <v>PL</v>
      </c>
      <c r="B2162" s="1" t="str">
        <f>HYPERLINK("http://digipan.lumentumllc.com/apps/getLink/index.php?t=TaxLink&amp;p=5244541","TL")</f>
        <v>TL</v>
      </c>
      <c r="C2162" s="1" t="str">
        <f>HYPERLINK("http://digipan.lumentumllc.com/apps/getMap/index.php?p=5244541","Map")</f>
        <v>Map</v>
      </c>
      <c r="E2162" t="s">
        <v>177</v>
      </c>
      <c r="F2162" t="s">
        <v>178</v>
      </c>
      <c r="L2162" t="s">
        <v>25154</v>
      </c>
      <c r="N2162" t="s">
        <v>25154</v>
      </c>
      <c r="O2162" t="s">
        <v>25154</v>
      </c>
      <c r="P2162" t="s">
        <v>25155</v>
      </c>
      <c r="Q2162" t="s">
        <v>25154</v>
      </c>
      <c r="V2162">
        <v>2471</v>
      </c>
      <c r="W2162">
        <v>8</v>
      </c>
      <c r="X2162">
        <v>2017</v>
      </c>
      <c r="Y2162">
        <v>2018</v>
      </c>
      <c r="Z2162">
        <v>437.07</v>
      </c>
      <c r="AB2162" t="s">
        <v>181</v>
      </c>
      <c r="AC2162" t="s">
        <v>182</v>
      </c>
      <c r="AD2162" t="s">
        <v>183</v>
      </c>
      <c r="AE2162">
        <v>0</v>
      </c>
      <c r="AF2162">
        <v>1</v>
      </c>
      <c r="AG2162" t="s">
        <v>821</v>
      </c>
      <c r="AH2162">
        <v>100</v>
      </c>
      <c r="AK2162">
        <v>0</v>
      </c>
      <c r="AL2162">
        <v>61853</v>
      </c>
      <c r="AM2162">
        <v>24750</v>
      </c>
      <c r="AN2162">
        <v>37103</v>
      </c>
      <c r="AO2162">
        <v>845</v>
      </c>
      <c r="AP2162">
        <v>2016</v>
      </c>
      <c r="AQ2162">
        <v>0.71</v>
      </c>
      <c r="AS2162" t="s">
        <v>25156</v>
      </c>
      <c r="AT2162" t="s">
        <v>15040</v>
      </c>
      <c r="AU2162" t="s">
        <v>177</v>
      </c>
      <c r="AV2162" t="s">
        <v>371</v>
      </c>
      <c r="AW2162" t="s">
        <v>182</v>
      </c>
      <c r="AX2162">
        <v>1</v>
      </c>
      <c r="AY2162" t="s">
        <v>188</v>
      </c>
      <c r="AZ2162" t="s">
        <v>206</v>
      </c>
      <c r="BA2162" t="s">
        <v>355</v>
      </c>
      <c r="BB2162" t="s">
        <v>191</v>
      </c>
      <c r="BC2162" t="s">
        <v>182</v>
      </c>
      <c r="BD2162" t="s">
        <v>182</v>
      </c>
      <c r="BE2162" t="s">
        <v>3930</v>
      </c>
      <c r="BF2162">
        <v>1</v>
      </c>
      <c r="BG2162">
        <v>1</v>
      </c>
      <c r="BH2162">
        <v>1925</v>
      </c>
      <c r="BI2162" t="s">
        <v>2563</v>
      </c>
      <c r="BJ2162" t="s">
        <v>285</v>
      </c>
      <c r="BK2162" t="s">
        <v>195</v>
      </c>
      <c r="BL2162" t="s">
        <v>199</v>
      </c>
      <c r="BM2162" t="s">
        <v>358</v>
      </c>
      <c r="BN2162" t="s">
        <v>182</v>
      </c>
      <c r="BO2162" t="s">
        <v>198</v>
      </c>
      <c r="BP2162" t="s">
        <v>198</v>
      </c>
      <c r="BQ2162" t="s">
        <v>198</v>
      </c>
      <c r="BR2162" t="s">
        <v>198</v>
      </c>
      <c r="BS2162" t="s">
        <v>198</v>
      </c>
      <c r="BT2162" t="s">
        <v>198</v>
      </c>
      <c r="BU2162" t="s">
        <v>182</v>
      </c>
      <c r="BV2162" t="s">
        <v>198</v>
      </c>
      <c r="BW2162" t="s">
        <v>198</v>
      </c>
      <c r="BX2162" t="s">
        <v>199</v>
      </c>
      <c r="BY2162" t="s">
        <v>198</v>
      </c>
      <c r="BZ2162" t="s">
        <v>199</v>
      </c>
      <c r="CA2162" t="s">
        <v>199</v>
      </c>
      <c r="CB2162" t="s">
        <v>25157</v>
      </c>
      <c r="CC2162" t="s">
        <v>201</v>
      </c>
      <c r="CD2162" t="s">
        <v>202</v>
      </c>
      <c r="CE2162" t="s">
        <v>25156</v>
      </c>
      <c r="CF2162" t="s">
        <v>5331</v>
      </c>
      <c r="CG2162" t="s">
        <v>177</v>
      </c>
      <c r="CH2162" t="s">
        <v>371</v>
      </c>
      <c r="CI2162" t="s">
        <v>25158</v>
      </c>
      <c r="CJ2162" t="s">
        <v>25159</v>
      </c>
      <c r="CK2162" t="s">
        <v>346</v>
      </c>
      <c r="CL2162" t="s">
        <v>347</v>
      </c>
      <c r="CM2162" t="s">
        <v>25160</v>
      </c>
      <c r="CN2162" t="s">
        <v>235</v>
      </c>
      <c r="CO2162" t="s">
        <v>183</v>
      </c>
      <c r="CP2162" t="s">
        <v>211</v>
      </c>
      <c r="CQ2162" t="s">
        <v>250</v>
      </c>
      <c r="CS2162" t="s">
        <v>25161</v>
      </c>
      <c r="DC2162" t="s">
        <v>198</v>
      </c>
      <c r="DM2162" t="s">
        <v>198</v>
      </c>
      <c r="DW2162" t="s">
        <v>198</v>
      </c>
      <c r="EG2162" t="s">
        <v>198</v>
      </c>
      <c r="EQ2162" t="s">
        <v>198</v>
      </c>
      <c r="FA2162" t="s">
        <v>198</v>
      </c>
      <c r="FK2162" t="s">
        <v>198</v>
      </c>
      <c r="FU2162" t="s">
        <v>198</v>
      </c>
    </row>
    <row r="2163" spans="1:177">
      <c r="A2163" s="1" t="str">
        <f>HYPERLINK("http://digipan.lumentumllc.com/apps/getLink/index.php?t=PropLink&amp;p=4637060","PL")</f>
        <v>PL</v>
      </c>
      <c r="B2163" s="1" t="str">
        <f>HYPERLINK("http://digipan.lumentumllc.com/apps/getLink/index.php?t=TaxLink&amp;p=4637060","TL")</f>
        <v>TL</v>
      </c>
      <c r="C2163" s="1" t="str">
        <f>HYPERLINK("http://digipan.lumentumllc.com/apps/getMap/index.php?p=4637060","Map")</f>
        <v>Map</v>
      </c>
      <c r="E2163" t="s">
        <v>177</v>
      </c>
      <c r="F2163" t="s">
        <v>178</v>
      </c>
      <c r="L2163" t="s">
        <v>25162</v>
      </c>
      <c r="N2163" t="s">
        <v>25162</v>
      </c>
      <c r="O2163" t="s">
        <v>25162</v>
      </c>
      <c r="P2163" t="s">
        <v>25163</v>
      </c>
      <c r="Q2163" t="s">
        <v>25162</v>
      </c>
      <c r="V2163">
        <v>2472</v>
      </c>
      <c r="W2163">
        <v>8</v>
      </c>
      <c r="X2163">
        <v>2017</v>
      </c>
      <c r="Y2163">
        <v>2018</v>
      </c>
      <c r="Z2163">
        <v>2482.09</v>
      </c>
      <c r="AB2163" t="s">
        <v>181</v>
      </c>
      <c r="AC2163" t="s">
        <v>182</v>
      </c>
      <c r="AD2163" t="s">
        <v>183</v>
      </c>
      <c r="AE2163">
        <v>1</v>
      </c>
      <c r="AF2163">
        <v>5</v>
      </c>
      <c r="AG2163" t="s">
        <v>951</v>
      </c>
      <c r="AH2163">
        <v>80</v>
      </c>
      <c r="AI2163">
        <v>2448.41</v>
      </c>
      <c r="AJ2163">
        <v>122.42</v>
      </c>
      <c r="AK2163">
        <v>2570.83</v>
      </c>
      <c r="AL2163">
        <v>464993</v>
      </c>
      <c r="AM2163">
        <v>327625</v>
      </c>
      <c r="AN2163">
        <v>137368</v>
      </c>
      <c r="AO2163">
        <v>2239</v>
      </c>
      <c r="AP2163">
        <v>2016</v>
      </c>
      <c r="AQ2163">
        <v>0.53</v>
      </c>
      <c r="AR2163">
        <v>0.55000000000000004</v>
      </c>
      <c r="AS2163" t="s">
        <v>25164</v>
      </c>
      <c r="AT2163" t="s">
        <v>15040</v>
      </c>
      <c r="AU2163" t="s">
        <v>177</v>
      </c>
      <c r="AV2163" t="s">
        <v>371</v>
      </c>
      <c r="AW2163" t="s">
        <v>202</v>
      </c>
      <c r="AX2163">
        <v>1</v>
      </c>
      <c r="AY2163" t="s">
        <v>188</v>
      </c>
      <c r="AZ2163" t="s">
        <v>206</v>
      </c>
      <c r="BA2163" t="s">
        <v>355</v>
      </c>
      <c r="BB2163" t="s">
        <v>191</v>
      </c>
      <c r="BC2163" t="s">
        <v>182</v>
      </c>
      <c r="BD2163" t="s">
        <v>182</v>
      </c>
      <c r="BE2163" t="s">
        <v>5649</v>
      </c>
      <c r="BF2163">
        <v>1</v>
      </c>
      <c r="BG2163">
        <v>1</v>
      </c>
      <c r="BH2163">
        <v>1924</v>
      </c>
      <c r="BI2163" t="s">
        <v>25165</v>
      </c>
      <c r="BJ2163" t="s">
        <v>194</v>
      </c>
      <c r="BK2163" t="s">
        <v>195</v>
      </c>
      <c r="BL2163" t="s">
        <v>199</v>
      </c>
      <c r="BM2163" t="s">
        <v>533</v>
      </c>
      <c r="BN2163" t="s">
        <v>182</v>
      </c>
      <c r="BO2163" t="s">
        <v>198</v>
      </c>
      <c r="BP2163" t="s">
        <v>198</v>
      </c>
      <c r="BQ2163" t="s">
        <v>198</v>
      </c>
      <c r="BR2163" t="s">
        <v>198</v>
      </c>
      <c r="BS2163" t="s">
        <v>198</v>
      </c>
      <c r="BT2163" t="s">
        <v>198</v>
      </c>
      <c r="BU2163" t="s">
        <v>182</v>
      </c>
      <c r="BV2163" t="s">
        <v>198</v>
      </c>
      <c r="BW2163" t="s">
        <v>198</v>
      </c>
      <c r="BX2163" t="s">
        <v>199</v>
      </c>
      <c r="BY2163" t="s">
        <v>198</v>
      </c>
      <c r="BZ2163" t="s">
        <v>199</v>
      </c>
      <c r="CA2163" t="s">
        <v>199</v>
      </c>
      <c r="CB2163" t="s">
        <v>25166</v>
      </c>
      <c r="CC2163" t="s">
        <v>201</v>
      </c>
      <c r="CD2163" t="s">
        <v>182</v>
      </c>
      <c r="CE2163" t="s">
        <v>25167</v>
      </c>
      <c r="CF2163" t="s">
        <v>5331</v>
      </c>
      <c r="CG2163" t="s">
        <v>177</v>
      </c>
      <c r="CH2163" t="s">
        <v>371</v>
      </c>
      <c r="CI2163" t="s">
        <v>25168</v>
      </c>
      <c r="CJ2163" t="s">
        <v>17942</v>
      </c>
      <c r="CK2163" t="s">
        <v>232</v>
      </c>
      <c r="CL2163" t="s">
        <v>233</v>
      </c>
      <c r="CM2163" t="s">
        <v>24356</v>
      </c>
      <c r="CN2163" t="s">
        <v>235</v>
      </c>
      <c r="CO2163" t="s">
        <v>183</v>
      </c>
      <c r="CP2163" t="s">
        <v>266</v>
      </c>
      <c r="CS2163" t="s">
        <v>198</v>
      </c>
      <c r="CT2163" t="s">
        <v>21856</v>
      </c>
      <c r="CU2163" t="s">
        <v>292</v>
      </c>
      <c r="CV2163" t="s">
        <v>293</v>
      </c>
      <c r="CW2163" t="s">
        <v>25169</v>
      </c>
      <c r="CX2163" t="s">
        <v>235</v>
      </c>
      <c r="CY2163" t="s">
        <v>183</v>
      </c>
      <c r="CZ2163" t="s">
        <v>211</v>
      </c>
      <c r="DA2163" t="s">
        <v>298</v>
      </c>
      <c r="DC2163" t="s">
        <v>1760</v>
      </c>
      <c r="DD2163" t="s">
        <v>10494</v>
      </c>
      <c r="DE2163" t="s">
        <v>267</v>
      </c>
      <c r="DF2163" t="s">
        <v>268</v>
      </c>
      <c r="DG2163" t="s">
        <v>25170</v>
      </c>
      <c r="DH2163" t="s">
        <v>235</v>
      </c>
      <c r="DI2163" t="s">
        <v>183</v>
      </c>
      <c r="DJ2163" t="s">
        <v>211</v>
      </c>
      <c r="DK2163" t="s">
        <v>298</v>
      </c>
      <c r="DM2163" t="s">
        <v>459</v>
      </c>
      <c r="DN2163" t="s">
        <v>25171</v>
      </c>
      <c r="DO2163" t="s">
        <v>273</v>
      </c>
      <c r="DP2163" t="s">
        <v>274</v>
      </c>
      <c r="DQ2163" t="s">
        <v>25172</v>
      </c>
      <c r="DR2163" t="s">
        <v>235</v>
      </c>
      <c r="DS2163" t="s">
        <v>183</v>
      </c>
      <c r="DT2163" t="s">
        <v>211</v>
      </c>
      <c r="DU2163" t="s">
        <v>298</v>
      </c>
      <c r="DW2163" t="s">
        <v>462</v>
      </c>
      <c r="DX2163" t="s">
        <v>16353</v>
      </c>
      <c r="DY2163" t="s">
        <v>302</v>
      </c>
      <c r="DZ2163" t="s">
        <v>303</v>
      </c>
      <c r="EA2163" t="s">
        <v>25173</v>
      </c>
      <c r="EB2163" t="s">
        <v>235</v>
      </c>
      <c r="EC2163" t="s">
        <v>183</v>
      </c>
      <c r="ED2163" t="s">
        <v>211</v>
      </c>
      <c r="EE2163" t="s">
        <v>298</v>
      </c>
      <c r="EG2163" t="s">
        <v>437</v>
      </c>
      <c r="EH2163" t="s">
        <v>25174</v>
      </c>
      <c r="EI2163" t="s">
        <v>207</v>
      </c>
      <c r="EJ2163" t="s">
        <v>208</v>
      </c>
      <c r="EK2163" t="s">
        <v>25175</v>
      </c>
      <c r="EL2163" t="s">
        <v>235</v>
      </c>
      <c r="EM2163" t="s">
        <v>183</v>
      </c>
      <c r="EN2163" t="s">
        <v>211</v>
      </c>
      <c r="EO2163" t="s">
        <v>298</v>
      </c>
      <c r="EQ2163" t="s">
        <v>1381</v>
      </c>
      <c r="FA2163" t="s">
        <v>198</v>
      </c>
      <c r="FK2163" t="s">
        <v>198</v>
      </c>
      <c r="FU2163" t="s">
        <v>198</v>
      </c>
    </row>
    <row r="2164" spans="1:177">
      <c r="A2164" s="1" t="str">
        <f>HYPERLINK("http://digipan.lumentumllc.com/apps/getLink/index.php?t=PropLink&amp;p=5244545","PL")</f>
        <v>PL</v>
      </c>
      <c r="B2164" s="1" t="str">
        <f>HYPERLINK("http://digipan.lumentumllc.com/apps/getLink/index.php?t=TaxLink&amp;p=5244545","TL")</f>
        <v>TL</v>
      </c>
      <c r="C2164" s="1" t="str">
        <f>HYPERLINK("http://digipan.lumentumllc.com/apps/getMap/index.php?p=5244545","Map")</f>
        <v>Map</v>
      </c>
      <c r="E2164" t="s">
        <v>177</v>
      </c>
      <c r="F2164" t="s">
        <v>178</v>
      </c>
      <c r="L2164" t="s">
        <v>25176</v>
      </c>
      <c r="N2164" t="s">
        <v>25176</v>
      </c>
      <c r="O2164" t="s">
        <v>25176</v>
      </c>
      <c r="P2164" t="s">
        <v>25177</v>
      </c>
      <c r="Q2164" t="s">
        <v>25176</v>
      </c>
      <c r="V2164">
        <v>2473</v>
      </c>
      <c r="W2164">
        <v>8</v>
      </c>
      <c r="X2164">
        <v>2017</v>
      </c>
      <c r="Y2164">
        <v>2018</v>
      </c>
      <c r="Z2164">
        <v>363.94</v>
      </c>
      <c r="AB2164" t="s">
        <v>181</v>
      </c>
      <c r="AC2164" t="s">
        <v>182</v>
      </c>
      <c r="AD2164" t="s">
        <v>183</v>
      </c>
      <c r="AE2164">
        <v>1</v>
      </c>
      <c r="AF2164">
        <v>7</v>
      </c>
      <c r="AG2164" t="s">
        <v>418</v>
      </c>
      <c r="AH2164">
        <v>86</v>
      </c>
      <c r="AI2164">
        <v>333.55</v>
      </c>
      <c r="AJ2164">
        <v>28.35</v>
      </c>
      <c r="AK2164">
        <v>361.9</v>
      </c>
      <c r="AL2164">
        <v>15400</v>
      </c>
      <c r="AM2164">
        <v>15400</v>
      </c>
      <c r="AN2164">
        <v>0</v>
      </c>
      <c r="AO2164">
        <v>283</v>
      </c>
      <c r="AP2164">
        <v>2016</v>
      </c>
      <c r="AQ2164">
        <v>2.36</v>
      </c>
      <c r="AR2164">
        <v>2.35</v>
      </c>
      <c r="AS2164" t="s">
        <v>25178</v>
      </c>
      <c r="AT2164" t="s">
        <v>15040</v>
      </c>
      <c r="AU2164" t="s">
        <v>177</v>
      </c>
      <c r="AV2164" t="s">
        <v>371</v>
      </c>
      <c r="AW2164" t="s">
        <v>182</v>
      </c>
      <c r="AX2164">
        <v>10</v>
      </c>
      <c r="AY2164" t="s">
        <v>3211</v>
      </c>
      <c r="AZ2164" t="s">
        <v>270</v>
      </c>
      <c r="BA2164" t="s">
        <v>3212</v>
      </c>
      <c r="BB2164" t="s">
        <v>191</v>
      </c>
      <c r="BC2164" t="s">
        <v>182</v>
      </c>
      <c r="BD2164" t="s">
        <v>182</v>
      </c>
      <c r="BE2164" t="s">
        <v>5948</v>
      </c>
      <c r="BF2164">
        <v>0</v>
      </c>
      <c r="BG2164">
        <v>0</v>
      </c>
      <c r="BH2164">
        <v>0</v>
      </c>
      <c r="BI2164" t="s">
        <v>199</v>
      </c>
      <c r="BJ2164" t="s">
        <v>315</v>
      </c>
      <c r="BL2164" t="s">
        <v>199</v>
      </c>
      <c r="BM2164" t="s">
        <v>358</v>
      </c>
      <c r="BN2164" t="s">
        <v>182</v>
      </c>
      <c r="BO2164" t="s">
        <v>198</v>
      </c>
      <c r="BP2164" t="s">
        <v>198</v>
      </c>
      <c r="BQ2164" t="s">
        <v>198</v>
      </c>
      <c r="BR2164" t="s">
        <v>198</v>
      </c>
      <c r="BS2164" t="s">
        <v>198</v>
      </c>
      <c r="BT2164" t="s">
        <v>198</v>
      </c>
      <c r="BU2164" t="s">
        <v>182</v>
      </c>
      <c r="BV2164" t="s">
        <v>198</v>
      </c>
      <c r="BW2164" t="s">
        <v>198</v>
      </c>
      <c r="BX2164" t="s">
        <v>199</v>
      </c>
      <c r="BY2164" t="s">
        <v>198</v>
      </c>
      <c r="BZ2164" t="s">
        <v>199</v>
      </c>
      <c r="CA2164" t="s">
        <v>199</v>
      </c>
      <c r="CB2164" t="s">
        <v>25179</v>
      </c>
      <c r="CC2164" t="s">
        <v>201</v>
      </c>
      <c r="CD2164" t="s">
        <v>202</v>
      </c>
      <c r="CE2164" t="s">
        <v>25180</v>
      </c>
      <c r="CF2164" t="s">
        <v>5331</v>
      </c>
      <c r="CG2164" t="s">
        <v>177</v>
      </c>
      <c r="CH2164" t="s">
        <v>371</v>
      </c>
      <c r="CI2164" t="s">
        <v>25181</v>
      </c>
      <c r="CJ2164" t="s">
        <v>9780</v>
      </c>
      <c r="CK2164" t="s">
        <v>232</v>
      </c>
      <c r="CL2164" t="s">
        <v>233</v>
      </c>
      <c r="CM2164" t="s">
        <v>25182</v>
      </c>
      <c r="CN2164" t="s">
        <v>2679</v>
      </c>
      <c r="CO2164" t="s">
        <v>183</v>
      </c>
      <c r="CP2164" t="s">
        <v>266</v>
      </c>
      <c r="CS2164" t="s">
        <v>198</v>
      </c>
      <c r="CT2164" t="s">
        <v>3633</v>
      </c>
      <c r="CU2164" t="s">
        <v>292</v>
      </c>
      <c r="CV2164" t="s">
        <v>293</v>
      </c>
      <c r="CW2164" t="s">
        <v>25183</v>
      </c>
      <c r="CX2164" t="s">
        <v>278</v>
      </c>
      <c r="CY2164" t="s">
        <v>183</v>
      </c>
      <c r="CZ2164" t="s">
        <v>211</v>
      </c>
      <c r="DA2164" t="s">
        <v>298</v>
      </c>
      <c r="DC2164" t="s">
        <v>3588</v>
      </c>
      <c r="DD2164" t="s">
        <v>16945</v>
      </c>
      <c r="DE2164" t="s">
        <v>267</v>
      </c>
      <c r="DF2164" t="s">
        <v>268</v>
      </c>
      <c r="DG2164" t="s">
        <v>25039</v>
      </c>
      <c r="DH2164" t="s">
        <v>816</v>
      </c>
      <c r="DI2164" t="s">
        <v>183</v>
      </c>
      <c r="DJ2164" t="s">
        <v>211</v>
      </c>
      <c r="DK2164" t="s">
        <v>337</v>
      </c>
      <c r="DM2164" t="s">
        <v>15584</v>
      </c>
      <c r="DN2164" t="s">
        <v>23081</v>
      </c>
      <c r="DO2164" t="s">
        <v>273</v>
      </c>
      <c r="DP2164" t="s">
        <v>274</v>
      </c>
      <c r="DQ2164" t="s">
        <v>25184</v>
      </c>
      <c r="DR2164" t="s">
        <v>796</v>
      </c>
      <c r="DS2164" t="s">
        <v>183</v>
      </c>
      <c r="DT2164" t="s">
        <v>211</v>
      </c>
      <c r="DU2164" t="s">
        <v>270</v>
      </c>
      <c r="DW2164" t="s">
        <v>2233</v>
      </c>
      <c r="DX2164" t="s">
        <v>16395</v>
      </c>
      <c r="DY2164" t="s">
        <v>302</v>
      </c>
      <c r="DZ2164" t="s">
        <v>303</v>
      </c>
      <c r="EA2164" t="s">
        <v>25185</v>
      </c>
      <c r="EB2164" t="s">
        <v>1586</v>
      </c>
      <c r="EC2164" t="s">
        <v>183</v>
      </c>
      <c r="ED2164" t="s">
        <v>211</v>
      </c>
      <c r="EE2164" t="s">
        <v>206</v>
      </c>
      <c r="EG2164" t="s">
        <v>25186</v>
      </c>
      <c r="EH2164" t="s">
        <v>6022</v>
      </c>
      <c r="EI2164" t="s">
        <v>238</v>
      </c>
      <c r="EJ2164" t="s">
        <v>239</v>
      </c>
      <c r="EK2164" t="s">
        <v>4600</v>
      </c>
      <c r="EL2164" t="s">
        <v>391</v>
      </c>
      <c r="EM2164" t="s">
        <v>183</v>
      </c>
      <c r="EN2164" t="s">
        <v>211</v>
      </c>
      <c r="EO2164" t="s">
        <v>199</v>
      </c>
      <c r="EQ2164" t="s">
        <v>2922</v>
      </c>
      <c r="ER2164" t="s">
        <v>25187</v>
      </c>
      <c r="ES2164" t="s">
        <v>346</v>
      </c>
      <c r="ET2164" t="s">
        <v>347</v>
      </c>
      <c r="EU2164" t="s">
        <v>25188</v>
      </c>
      <c r="EV2164" t="s">
        <v>927</v>
      </c>
      <c r="EW2164" t="s">
        <v>183</v>
      </c>
      <c r="EX2164" t="s">
        <v>211</v>
      </c>
      <c r="EY2164" t="s">
        <v>427</v>
      </c>
      <c r="FA2164" t="s">
        <v>2922</v>
      </c>
      <c r="FB2164" t="s">
        <v>25189</v>
      </c>
      <c r="FC2164" t="s">
        <v>207</v>
      </c>
      <c r="FD2164" t="s">
        <v>208</v>
      </c>
      <c r="FE2164" t="s">
        <v>25190</v>
      </c>
      <c r="FF2164" t="s">
        <v>927</v>
      </c>
      <c r="FG2164" t="s">
        <v>183</v>
      </c>
      <c r="FH2164" t="s">
        <v>211</v>
      </c>
      <c r="FI2164" t="s">
        <v>212</v>
      </c>
      <c r="FK2164" t="s">
        <v>25191</v>
      </c>
      <c r="FU2164" t="s">
        <v>198</v>
      </c>
    </row>
    <row r="2165" spans="1:177">
      <c r="A2165" s="1" t="str">
        <f>HYPERLINK("http://digipan.lumentumllc.com/apps/getLink/index.php?t=PropLink&amp;p=5244546","PL")</f>
        <v>PL</v>
      </c>
      <c r="B2165" s="1" t="str">
        <f>HYPERLINK("http://digipan.lumentumllc.com/apps/getLink/index.php?t=TaxLink&amp;p=5244546","TL")</f>
        <v>TL</v>
      </c>
      <c r="C2165" s="1" t="str">
        <f>HYPERLINK("http://digipan.lumentumllc.com/apps/getMap/index.php?p=5244546","Map")</f>
        <v>Map</v>
      </c>
      <c r="E2165" t="s">
        <v>177</v>
      </c>
      <c r="F2165" t="s">
        <v>178</v>
      </c>
      <c r="L2165" t="s">
        <v>25192</v>
      </c>
      <c r="N2165" t="s">
        <v>25192</v>
      </c>
      <c r="O2165" t="s">
        <v>25192</v>
      </c>
      <c r="P2165" t="s">
        <v>25193</v>
      </c>
      <c r="Q2165" t="s">
        <v>25192</v>
      </c>
      <c r="V2165">
        <v>2474</v>
      </c>
      <c r="W2165">
        <v>8</v>
      </c>
      <c r="X2165">
        <v>2017</v>
      </c>
      <c r="Y2165">
        <v>2018</v>
      </c>
      <c r="Z2165">
        <v>2343.4899999999998</v>
      </c>
      <c r="AB2165" t="s">
        <v>181</v>
      </c>
      <c r="AC2165" t="s">
        <v>182</v>
      </c>
      <c r="AD2165" t="s">
        <v>183</v>
      </c>
      <c r="AE2165">
        <v>1</v>
      </c>
      <c r="AF2165">
        <v>6</v>
      </c>
      <c r="AG2165" t="s">
        <v>418</v>
      </c>
      <c r="AH2165">
        <v>86</v>
      </c>
      <c r="AI2165">
        <v>1454.59</v>
      </c>
      <c r="AJ2165">
        <v>72.73</v>
      </c>
      <c r="AK2165">
        <v>1527.32</v>
      </c>
      <c r="AL2165">
        <v>107398</v>
      </c>
      <c r="AM2165">
        <v>44000</v>
      </c>
      <c r="AN2165">
        <v>63398</v>
      </c>
      <c r="AO2165">
        <v>1320</v>
      </c>
      <c r="AP2165">
        <v>2016</v>
      </c>
      <c r="AQ2165">
        <v>2.1800000000000002</v>
      </c>
      <c r="AR2165">
        <v>1.42</v>
      </c>
      <c r="AS2165" t="s">
        <v>25194</v>
      </c>
      <c r="AT2165" t="s">
        <v>15040</v>
      </c>
      <c r="AU2165" t="s">
        <v>177</v>
      </c>
      <c r="AV2165" t="s">
        <v>371</v>
      </c>
      <c r="AW2165" t="s">
        <v>182</v>
      </c>
      <c r="AX2165">
        <v>1</v>
      </c>
      <c r="AY2165" t="s">
        <v>188</v>
      </c>
      <c r="AZ2165" t="s">
        <v>206</v>
      </c>
      <c r="BA2165" t="s">
        <v>355</v>
      </c>
      <c r="BB2165" t="s">
        <v>191</v>
      </c>
      <c r="BC2165" t="s">
        <v>182</v>
      </c>
      <c r="BD2165" t="s">
        <v>182</v>
      </c>
      <c r="BE2165" t="s">
        <v>3930</v>
      </c>
      <c r="BF2165">
        <v>1</v>
      </c>
      <c r="BG2165">
        <v>1</v>
      </c>
      <c r="BH2165">
        <v>1958</v>
      </c>
      <c r="BI2165" t="s">
        <v>16577</v>
      </c>
      <c r="BJ2165" t="s">
        <v>285</v>
      </c>
      <c r="BK2165" t="s">
        <v>840</v>
      </c>
      <c r="BL2165" t="s">
        <v>199</v>
      </c>
      <c r="BM2165" t="s">
        <v>451</v>
      </c>
      <c r="BN2165" t="s">
        <v>182</v>
      </c>
      <c r="BO2165" t="s">
        <v>198</v>
      </c>
      <c r="BP2165" t="s">
        <v>198</v>
      </c>
      <c r="BQ2165" t="s">
        <v>198</v>
      </c>
      <c r="BR2165" t="s">
        <v>198</v>
      </c>
      <c r="BS2165" t="s">
        <v>198</v>
      </c>
      <c r="BT2165" t="s">
        <v>198</v>
      </c>
      <c r="BU2165" t="s">
        <v>182</v>
      </c>
      <c r="BV2165" t="s">
        <v>198</v>
      </c>
      <c r="BW2165" t="s">
        <v>198</v>
      </c>
      <c r="BX2165" t="s">
        <v>199</v>
      </c>
      <c r="BY2165" t="s">
        <v>198</v>
      </c>
      <c r="BZ2165" t="s">
        <v>199</v>
      </c>
      <c r="CA2165" t="s">
        <v>199</v>
      </c>
      <c r="CB2165" t="s">
        <v>25195</v>
      </c>
      <c r="CC2165" t="s">
        <v>201</v>
      </c>
      <c r="CD2165" t="s">
        <v>202</v>
      </c>
      <c r="CE2165" t="s">
        <v>25196</v>
      </c>
      <c r="CF2165" t="s">
        <v>5331</v>
      </c>
      <c r="CG2165" t="s">
        <v>177</v>
      </c>
      <c r="CH2165" t="s">
        <v>371</v>
      </c>
      <c r="CI2165" t="s">
        <v>25197</v>
      </c>
      <c r="CJ2165" t="s">
        <v>9796</v>
      </c>
      <c r="CK2165" t="s">
        <v>232</v>
      </c>
      <c r="CL2165" t="s">
        <v>233</v>
      </c>
      <c r="CM2165" t="s">
        <v>25198</v>
      </c>
      <c r="CN2165" t="s">
        <v>235</v>
      </c>
      <c r="CO2165" t="s">
        <v>183</v>
      </c>
      <c r="CP2165" t="s">
        <v>266</v>
      </c>
      <c r="CS2165" t="s">
        <v>198</v>
      </c>
      <c r="CT2165" t="s">
        <v>14644</v>
      </c>
      <c r="CU2165" t="s">
        <v>292</v>
      </c>
      <c r="CV2165" t="s">
        <v>293</v>
      </c>
      <c r="CW2165" t="s">
        <v>25199</v>
      </c>
      <c r="CX2165" t="s">
        <v>235</v>
      </c>
      <c r="CY2165" t="s">
        <v>183</v>
      </c>
      <c r="CZ2165" t="s">
        <v>211</v>
      </c>
      <c r="DA2165" t="s">
        <v>427</v>
      </c>
      <c r="DC2165" t="s">
        <v>15194</v>
      </c>
      <c r="DD2165" t="s">
        <v>10510</v>
      </c>
      <c r="DE2165" t="s">
        <v>267</v>
      </c>
      <c r="DF2165" t="s">
        <v>268</v>
      </c>
      <c r="DG2165" t="s">
        <v>25200</v>
      </c>
      <c r="DH2165" t="s">
        <v>235</v>
      </c>
      <c r="DI2165" t="s">
        <v>183</v>
      </c>
      <c r="DJ2165" t="s">
        <v>211</v>
      </c>
      <c r="DK2165" t="s">
        <v>633</v>
      </c>
      <c r="DM2165" t="s">
        <v>15194</v>
      </c>
      <c r="DN2165" t="s">
        <v>19934</v>
      </c>
      <c r="DO2165" t="s">
        <v>273</v>
      </c>
      <c r="DP2165" t="s">
        <v>274</v>
      </c>
      <c r="DQ2165" t="s">
        <v>25201</v>
      </c>
      <c r="DR2165" t="s">
        <v>235</v>
      </c>
      <c r="DS2165" t="s">
        <v>183</v>
      </c>
      <c r="DT2165" t="s">
        <v>211</v>
      </c>
      <c r="DU2165" t="s">
        <v>342</v>
      </c>
      <c r="DW2165" t="s">
        <v>2598</v>
      </c>
      <c r="DX2165" t="s">
        <v>25202</v>
      </c>
      <c r="DY2165" t="s">
        <v>302</v>
      </c>
      <c r="DZ2165" t="s">
        <v>303</v>
      </c>
      <c r="EA2165" t="s">
        <v>25203</v>
      </c>
      <c r="EB2165" t="s">
        <v>235</v>
      </c>
      <c r="EC2165" t="s">
        <v>183</v>
      </c>
      <c r="ED2165" t="s">
        <v>211</v>
      </c>
      <c r="EE2165" t="s">
        <v>345</v>
      </c>
      <c r="EG2165" t="s">
        <v>2598</v>
      </c>
      <c r="EH2165" t="s">
        <v>4644</v>
      </c>
      <c r="EI2165" t="s">
        <v>238</v>
      </c>
      <c r="EJ2165" t="s">
        <v>239</v>
      </c>
      <c r="EK2165" t="s">
        <v>25204</v>
      </c>
      <c r="EL2165" t="s">
        <v>235</v>
      </c>
      <c r="EM2165" t="s">
        <v>183</v>
      </c>
      <c r="EN2165" t="s">
        <v>211</v>
      </c>
      <c r="EO2165" t="s">
        <v>270</v>
      </c>
      <c r="EQ2165" t="s">
        <v>25205</v>
      </c>
      <c r="ER2165" t="s">
        <v>25206</v>
      </c>
      <c r="ES2165" t="s">
        <v>346</v>
      </c>
      <c r="ET2165" t="s">
        <v>347</v>
      </c>
      <c r="EU2165" t="s">
        <v>25207</v>
      </c>
      <c r="EV2165" t="s">
        <v>235</v>
      </c>
      <c r="EW2165" t="s">
        <v>183</v>
      </c>
      <c r="EX2165" t="s">
        <v>211</v>
      </c>
      <c r="EY2165" t="s">
        <v>337</v>
      </c>
      <c r="FA2165" t="s">
        <v>25205</v>
      </c>
      <c r="FK2165" t="s">
        <v>198</v>
      </c>
      <c r="FU2165" t="s">
        <v>198</v>
      </c>
    </row>
    <row r="2166" spans="1:177">
      <c r="A2166" s="1" t="str">
        <f>HYPERLINK("http://digipan.lumentumllc.com/apps/getLink/index.php?t=PropLink&amp;p=5244550","PL")</f>
        <v>PL</v>
      </c>
      <c r="B2166" s="1" t="str">
        <f>HYPERLINK("http://digipan.lumentumllc.com/apps/getLink/index.php?t=TaxLink&amp;p=5244550","TL")</f>
        <v>TL</v>
      </c>
      <c r="C2166" s="1" t="str">
        <f>HYPERLINK("http://digipan.lumentumllc.com/apps/getMap/index.php?p=5244550","Map")</f>
        <v>Map</v>
      </c>
      <c r="E2166" t="s">
        <v>177</v>
      </c>
      <c r="F2166" t="s">
        <v>178</v>
      </c>
      <c r="L2166" t="s">
        <v>25208</v>
      </c>
      <c r="N2166" t="s">
        <v>25208</v>
      </c>
      <c r="O2166" t="s">
        <v>25208</v>
      </c>
      <c r="P2166" t="s">
        <v>25209</v>
      </c>
      <c r="Q2166" t="s">
        <v>25208</v>
      </c>
      <c r="V2166">
        <v>2476</v>
      </c>
      <c r="W2166">
        <v>8</v>
      </c>
      <c r="X2166">
        <v>2017</v>
      </c>
      <c r="Y2166">
        <v>2018</v>
      </c>
      <c r="Z2166">
        <v>912.51</v>
      </c>
      <c r="AB2166" t="s">
        <v>181</v>
      </c>
      <c r="AC2166" t="s">
        <v>202</v>
      </c>
      <c r="AD2166" t="s">
        <v>183</v>
      </c>
      <c r="AE2166">
        <v>1</v>
      </c>
      <c r="AF2166">
        <v>7</v>
      </c>
      <c r="AG2166" t="s">
        <v>418</v>
      </c>
      <c r="AH2166">
        <v>86</v>
      </c>
      <c r="AI2166">
        <v>361.48</v>
      </c>
      <c r="AJ2166">
        <v>18.07</v>
      </c>
      <c r="AK2166">
        <v>379.55</v>
      </c>
      <c r="AL2166">
        <v>45391</v>
      </c>
      <c r="AM2166">
        <v>33495</v>
      </c>
      <c r="AN2166">
        <v>11896</v>
      </c>
      <c r="AO2166">
        <v>309</v>
      </c>
      <c r="AP2166">
        <v>2016</v>
      </c>
      <c r="AQ2166">
        <v>2.0099999999999998</v>
      </c>
      <c r="AR2166">
        <v>0.84</v>
      </c>
      <c r="AS2166" t="s">
        <v>25210</v>
      </c>
      <c r="AT2166" t="s">
        <v>15040</v>
      </c>
      <c r="AU2166" t="s">
        <v>177</v>
      </c>
      <c r="AV2166" t="s">
        <v>371</v>
      </c>
      <c r="AW2166" t="s">
        <v>182</v>
      </c>
      <c r="AX2166">
        <v>1</v>
      </c>
      <c r="AY2166" t="s">
        <v>188</v>
      </c>
      <c r="AZ2166" t="s">
        <v>206</v>
      </c>
      <c r="BA2166" t="s">
        <v>355</v>
      </c>
      <c r="BB2166" t="s">
        <v>191</v>
      </c>
      <c r="BC2166" t="s">
        <v>182</v>
      </c>
      <c r="BD2166" t="s">
        <v>182</v>
      </c>
      <c r="BE2166" t="s">
        <v>12936</v>
      </c>
      <c r="BF2166">
        <v>1</v>
      </c>
      <c r="BG2166">
        <v>1</v>
      </c>
      <c r="BH2166">
        <v>1900</v>
      </c>
      <c r="BI2166" t="s">
        <v>1693</v>
      </c>
      <c r="BJ2166" t="s">
        <v>285</v>
      </c>
      <c r="BK2166" t="s">
        <v>195</v>
      </c>
      <c r="BL2166" t="s">
        <v>199</v>
      </c>
      <c r="BM2166" t="s">
        <v>358</v>
      </c>
      <c r="BN2166" t="s">
        <v>182</v>
      </c>
      <c r="BO2166" t="s">
        <v>198</v>
      </c>
      <c r="BP2166" t="s">
        <v>198</v>
      </c>
      <c r="BQ2166" t="s">
        <v>198</v>
      </c>
      <c r="BR2166" t="s">
        <v>198</v>
      </c>
      <c r="BS2166" t="s">
        <v>198</v>
      </c>
      <c r="BT2166" t="s">
        <v>198</v>
      </c>
      <c r="BU2166" t="s">
        <v>182</v>
      </c>
      <c r="BV2166" t="s">
        <v>198</v>
      </c>
      <c r="BW2166" t="s">
        <v>198</v>
      </c>
      <c r="BX2166" t="s">
        <v>199</v>
      </c>
      <c r="BY2166" t="s">
        <v>198</v>
      </c>
      <c r="BZ2166" t="s">
        <v>199</v>
      </c>
      <c r="CA2166" t="s">
        <v>199</v>
      </c>
      <c r="CB2166" t="s">
        <v>25211</v>
      </c>
      <c r="CC2166" t="s">
        <v>201</v>
      </c>
      <c r="CD2166" t="s">
        <v>202</v>
      </c>
      <c r="CE2166" t="s">
        <v>25212</v>
      </c>
      <c r="CF2166" t="s">
        <v>5331</v>
      </c>
      <c r="CG2166" t="s">
        <v>177</v>
      </c>
      <c r="CH2166" t="s">
        <v>5332</v>
      </c>
      <c r="CI2166" t="s">
        <v>25213</v>
      </c>
      <c r="CJ2166" t="s">
        <v>16476</v>
      </c>
      <c r="CK2166" t="s">
        <v>232</v>
      </c>
      <c r="CL2166" t="s">
        <v>233</v>
      </c>
      <c r="CM2166" t="s">
        <v>25214</v>
      </c>
      <c r="CN2166" t="s">
        <v>331</v>
      </c>
      <c r="CO2166" t="s">
        <v>183</v>
      </c>
      <c r="CP2166" t="s">
        <v>266</v>
      </c>
      <c r="CS2166" t="s">
        <v>198</v>
      </c>
      <c r="CT2166" t="s">
        <v>16299</v>
      </c>
      <c r="CU2166" t="s">
        <v>292</v>
      </c>
      <c r="CV2166" t="s">
        <v>293</v>
      </c>
      <c r="CW2166" t="s">
        <v>25215</v>
      </c>
      <c r="CX2166" t="s">
        <v>482</v>
      </c>
      <c r="CY2166" t="s">
        <v>183</v>
      </c>
      <c r="CZ2166" t="s">
        <v>211</v>
      </c>
      <c r="DA2166" t="s">
        <v>189</v>
      </c>
      <c r="DB2166" t="s">
        <v>271</v>
      </c>
      <c r="DC2166" t="s">
        <v>18874</v>
      </c>
      <c r="DD2166" t="s">
        <v>18492</v>
      </c>
      <c r="DE2166" t="s">
        <v>267</v>
      </c>
      <c r="DF2166" t="s">
        <v>268</v>
      </c>
      <c r="DG2166" t="s">
        <v>25216</v>
      </c>
      <c r="DH2166" t="s">
        <v>482</v>
      </c>
      <c r="DI2166" t="s">
        <v>183</v>
      </c>
      <c r="DJ2166" t="s">
        <v>211</v>
      </c>
      <c r="DK2166" t="s">
        <v>460</v>
      </c>
      <c r="DL2166" t="s">
        <v>271</v>
      </c>
      <c r="DM2166" t="s">
        <v>18874</v>
      </c>
      <c r="DN2166" t="s">
        <v>18522</v>
      </c>
      <c r="DO2166" t="s">
        <v>273</v>
      </c>
      <c r="DP2166" t="s">
        <v>274</v>
      </c>
      <c r="DQ2166" t="s">
        <v>25217</v>
      </c>
      <c r="DR2166" t="s">
        <v>3342</v>
      </c>
      <c r="DS2166" t="s">
        <v>183</v>
      </c>
      <c r="DT2166" t="s">
        <v>211</v>
      </c>
      <c r="DV2166" t="s">
        <v>271</v>
      </c>
      <c r="DW2166" t="s">
        <v>198</v>
      </c>
      <c r="DX2166" t="s">
        <v>21537</v>
      </c>
      <c r="DY2166" t="s">
        <v>302</v>
      </c>
      <c r="DZ2166" t="s">
        <v>303</v>
      </c>
      <c r="EA2166" t="s">
        <v>25218</v>
      </c>
      <c r="EB2166" t="s">
        <v>235</v>
      </c>
      <c r="EC2166" t="s">
        <v>183</v>
      </c>
      <c r="ED2166" t="s">
        <v>211</v>
      </c>
      <c r="EE2166" t="s">
        <v>635</v>
      </c>
      <c r="EG2166" t="s">
        <v>25219</v>
      </c>
      <c r="EH2166" t="s">
        <v>4534</v>
      </c>
      <c r="EI2166" t="s">
        <v>238</v>
      </c>
      <c r="EJ2166" t="s">
        <v>239</v>
      </c>
      <c r="EK2166" t="s">
        <v>25220</v>
      </c>
      <c r="EL2166" t="s">
        <v>254</v>
      </c>
      <c r="EM2166" t="s">
        <v>183</v>
      </c>
      <c r="EN2166" t="s">
        <v>211</v>
      </c>
      <c r="EO2166" t="s">
        <v>1064</v>
      </c>
      <c r="EQ2166" t="s">
        <v>1069</v>
      </c>
      <c r="ER2166" t="s">
        <v>25221</v>
      </c>
      <c r="ES2166" t="s">
        <v>346</v>
      </c>
      <c r="ET2166" t="s">
        <v>347</v>
      </c>
      <c r="EU2166" t="s">
        <v>25222</v>
      </c>
      <c r="EV2166" t="s">
        <v>391</v>
      </c>
      <c r="EW2166" t="s">
        <v>183</v>
      </c>
      <c r="EX2166" t="s">
        <v>211</v>
      </c>
      <c r="EY2166" t="s">
        <v>337</v>
      </c>
      <c r="FA2166" t="s">
        <v>1352</v>
      </c>
      <c r="FB2166" t="s">
        <v>24813</v>
      </c>
      <c r="FC2166" t="s">
        <v>207</v>
      </c>
      <c r="FD2166" t="s">
        <v>208</v>
      </c>
      <c r="FE2166" t="s">
        <v>24994</v>
      </c>
      <c r="FF2166" t="s">
        <v>469</v>
      </c>
      <c r="FG2166" t="s">
        <v>183</v>
      </c>
      <c r="FH2166" t="s">
        <v>211</v>
      </c>
      <c r="FI2166" t="s">
        <v>345</v>
      </c>
      <c r="FK2166" t="s">
        <v>1355</v>
      </c>
      <c r="FU2166" t="s">
        <v>198</v>
      </c>
    </row>
    <row r="2167" spans="1:177">
      <c r="A2167" s="1" t="str">
        <f>HYPERLINK("http://digipan.lumentumllc.com/apps/getLink/index.php?t=PropLink&amp;p=5244551","PL")</f>
        <v>PL</v>
      </c>
      <c r="B2167" s="1" t="str">
        <f>HYPERLINK("http://digipan.lumentumllc.com/apps/getLink/index.php?t=TaxLink&amp;p=5244551","TL")</f>
        <v>TL</v>
      </c>
      <c r="C2167" s="1" t="str">
        <f>HYPERLINK("http://digipan.lumentumllc.com/apps/getMap/index.php?p=5244551","Map")</f>
        <v>Map</v>
      </c>
      <c r="E2167" t="s">
        <v>177</v>
      </c>
      <c r="F2167" t="s">
        <v>178</v>
      </c>
      <c r="L2167" t="s">
        <v>25223</v>
      </c>
      <c r="N2167" t="s">
        <v>25223</v>
      </c>
      <c r="O2167" t="s">
        <v>25223</v>
      </c>
      <c r="P2167" t="s">
        <v>25224</v>
      </c>
      <c r="Q2167" t="s">
        <v>25223</v>
      </c>
      <c r="V2167">
        <v>2477</v>
      </c>
      <c r="W2167">
        <v>8</v>
      </c>
      <c r="X2167">
        <v>2017</v>
      </c>
      <c r="Y2167">
        <v>2018</v>
      </c>
      <c r="Z2167">
        <v>418.69</v>
      </c>
      <c r="AB2167" t="s">
        <v>181</v>
      </c>
      <c r="AC2167" t="s">
        <v>202</v>
      </c>
      <c r="AD2167" t="s">
        <v>183</v>
      </c>
      <c r="AE2167">
        <v>1</v>
      </c>
      <c r="AF2167">
        <v>6</v>
      </c>
      <c r="AG2167" t="s">
        <v>322</v>
      </c>
      <c r="AH2167">
        <v>83</v>
      </c>
      <c r="AI2167">
        <v>400.51</v>
      </c>
      <c r="AJ2167">
        <v>20.03</v>
      </c>
      <c r="AK2167">
        <v>420.54</v>
      </c>
      <c r="AL2167">
        <v>73717</v>
      </c>
      <c r="AM2167">
        <v>45650</v>
      </c>
      <c r="AN2167">
        <v>28067</v>
      </c>
      <c r="AO2167">
        <v>345</v>
      </c>
      <c r="AP2167">
        <v>2016</v>
      </c>
      <c r="AQ2167">
        <v>0.56999999999999995</v>
      </c>
      <c r="AR2167">
        <v>0.56999999999999995</v>
      </c>
      <c r="AS2167" t="s">
        <v>25225</v>
      </c>
      <c r="AT2167" t="s">
        <v>15040</v>
      </c>
      <c r="AU2167" t="s">
        <v>177</v>
      </c>
      <c r="AV2167" t="s">
        <v>371</v>
      </c>
      <c r="AW2167" t="s">
        <v>202</v>
      </c>
      <c r="AX2167">
        <v>1</v>
      </c>
      <c r="AY2167" t="s">
        <v>188</v>
      </c>
      <c r="AZ2167" t="s">
        <v>206</v>
      </c>
      <c r="BA2167" t="s">
        <v>355</v>
      </c>
      <c r="BB2167" t="s">
        <v>191</v>
      </c>
      <c r="BC2167" t="s">
        <v>182</v>
      </c>
      <c r="BD2167" t="s">
        <v>182</v>
      </c>
      <c r="BE2167" t="s">
        <v>3918</v>
      </c>
      <c r="BF2167">
        <v>1</v>
      </c>
      <c r="BG2167">
        <v>1</v>
      </c>
      <c r="BH2167">
        <v>1900</v>
      </c>
      <c r="BI2167" t="s">
        <v>11936</v>
      </c>
      <c r="BJ2167" t="s">
        <v>285</v>
      </c>
      <c r="BK2167" t="s">
        <v>195</v>
      </c>
      <c r="BL2167" t="s">
        <v>199</v>
      </c>
      <c r="BM2167" t="s">
        <v>1156</v>
      </c>
      <c r="BN2167" t="s">
        <v>182</v>
      </c>
      <c r="BO2167" t="s">
        <v>198</v>
      </c>
      <c r="BP2167" t="s">
        <v>198</v>
      </c>
      <c r="BQ2167" t="s">
        <v>198</v>
      </c>
      <c r="BR2167" t="s">
        <v>198</v>
      </c>
      <c r="BS2167" t="s">
        <v>198</v>
      </c>
      <c r="BT2167" t="s">
        <v>198</v>
      </c>
      <c r="BU2167" t="s">
        <v>182</v>
      </c>
      <c r="BV2167" t="s">
        <v>198</v>
      </c>
      <c r="BW2167" t="s">
        <v>198</v>
      </c>
      <c r="BX2167" t="s">
        <v>199</v>
      </c>
      <c r="BY2167" t="s">
        <v>198</v>
      </c>
      <c r="BZ2167" t="s">
        <v>199</v>
      </c>
      <c r="CA2167" t="s">
        <v>199</v>
      </c>
      <c r="CB2167" t="s">
        <v>25226</v>
      </c>
      <c r="CC2167" t="s">
        <v>201</v>
      </c>
      <c r="CD2167" t="s">
        <v>182</v>
      </c>
      <c r="CE2167" t="s">
        <v>25227</v>
      </c>
      <c r="CF2167" t="s">
        <v>5331</v>
      </c>
      <c r="CG2167" t="s">
        <v>177</v>
      </c>
      <c r="CH2167" t="s">
        <v>5332</v>
      </c>
      <c r="CI2167" t="s">
        <v>25228</v>
      </c>
      <c r="CJ2167" t="s">
        <v>16511</v>
      </c>
      <c r="CK2167" t="s">
        <v>232</v>
      </c>
      <c r="CL2167" t="s">
        <v>233</v>
      </c>
      <c r="CM2167" t="s">
        <v>25229</v>
      </c>
      <c r="CN2167" t="s">
        <v>235</v>
      </c>
      <c r="CO2167" t="s">
        <v>183</v>
      </c>
      <c r="CP2167" t="s">
        <v>266</v>
      </c>
      <c r="CS2167" t="s">
        <v>198</v>
      </c>
      <c r="CT2167" t="s">
        <v>16964</v>
      </c>
      <c r="CU2167" t="s">
        <v>267</v>
      </c>
      <c r="CV2167" t="s">
        <v>268</v>
      </c>
      <c r="CW2167" t="s">
        <v>25230</v>
      </c>
      <c r="CX2167" t="s">
        <v>482</v>
      </c>
      <c r="CY2167" t="s">
        <v>183</v>
      </c>
      <c r="CZ2167" t="s">
        <v>211</v>
      </c>
      <c r="DA2167" t="s">
        <v>296</v>
      </c>
      <c r="DB2167" t="s">
        <v>271</v>
      </c>
      <c r="DC2167" t="s">
        <v>13087</v>
      </c>
      <c r="DD2167" t="s">
        <v>20388</v>
      </c>
      <c r="DE2167" t="s">
        <v>273</v>
      </c>
      <c r="DF2167" t="s">
        <v>274</v>
      </c>
      <c r="DG2167" t="s">
        <v>25231</v>
      </c>
      <c r="DH2167" t="s">
        <v>3342</v>
      </c>
      <c r="DI2167" t="s">
        <v>183</v>
      </c>
      <c r="DJ2167" t="s">
        <v>211</v>
      </c>
      <c r="DK2167" t="s">
        <v>444</v>
      </c>
      <c r="DL2167" t="s">
        <v>271</v>
      </c>
      <c r="DM2167" t="s">
        <v>13087</v>
      </c>
      <c r="DN2167" t="s">
        <v>25232</v>
      </c>
      <c r="DO2167" t="s">
        <v>302</v>
      </c>
      <c r="DP2167" t="s">
        <v>303</v>
      </c>
      <c r="DQ2167" t="s">
        <v>12409</v>
      </c>
      <c r="DR2167" t="s">
        <v>235</v>
      </c>
      <c r="DS2167" t="s">
        <v>183</v>
      </c>
      <c r="DT2167" t="s">
        <v>211</v>
      </c>
      <c r="DV2167" t="s">
        <v>271</v>
      </c>
      <c r="DW2167" t="s">
        <v>198</v>
      </c>
      <c r="DX2167" t="s">
        <v>4556</v>
      </c>
      <c r="DY2167" t="s">
        <v>238</v>
      </c>
      <c r="DZ2167" t="s">
        <v>239</v>
      </c>
      <c r="EA2167" t="s">
        <v>25233</v>
      </c>
      <c r="EB2167" t="s">
        <v>391</v>
      </c>
      <c r="EC2167" t="s">
        <v>183</v>
      </c>
      <c r="ED2167" t="s">
        <v>211</v>
      </c>
      <c r="EE2167" t="s">
        <v>988</v>
      </c>
      <c r="EF2167" t="s">
        <v>271</v>
      </c>
      <c r="EG2167" t="s">
        <v>13087</v>
      </c>
      <c r="EH2167" t="s">
        <v>25234</v>
      </c>
      <c r="EI2167" t="s">
        <v>346</v>
      </c>
      <c r="EJ2167" t="s">
        <v>347</v>
      </c>
      <c r="EK2167" t="s">
        <v>25235</v>
      </c>
      <c r="EL2167" t="s">
        <v>341</v>
      </c>
      <c r="EM2167" t="s">
        <v>183</v>
      </c>
      <c r="EN2167" t="s">
        <v>211</v>
      </c>
      <c r="EO2167" t="s">
        <v>1190</v>
      </c>
      <c r="EP2167" t="s">
        <v>271</v>
      </c>
      <c r="EQ2167" t="s">
        <v>13087</v>
      </c>
      <c r="ER2167" t="s">
        <v>24830</v>
      </c>
      <c r="ES2167" t="s">
        <v>207</v>
      </c>
      <c r="ET2167" t="s">
        <v>208</v>
      </c>
      <c r="EU2167" t="s">
        <v>25236</v>
      </c>
      <c r="EV2167" t="s">
        <v>1966</v>
      </c>
      <c r="EW2167" t="s">
        <v>183</v>
      </c>
      <c r="EX2167" t="s">
        <v>211</v>
      </c>
      <c r="EY2167" t="s">
        <v>298</v>
      </c>
      <c r="FA2167" t="s">
        <v>1167</v>
      </c>
      <c r="FK2167" t="s">
        <v>198</v>
      </c>
      <c r="FU2167" t="s">
        <v>198</v>
      </c>
    </row>
    <row r="2168" spans="1:177">
      <c r="A2168" s="1" t="str">
        <f>HYPERLINK("http://digipan.lumentumllc.com/apps/getLink/index.php?t=PropLink&amp;p=5244552","PL")</f>
        <v>PL</v>
      </c>
      <c r="B2168" s="1" t="str">
        <f>HYPERLINK("http://digipan.lumentumllc.com/apps/getLink/index.php?t=TaxLink&amp;p=5244552","TL")</f>
        <v>TL</v>
      </c>
      <c r="C2168" s="1" t="str">
        <f>HYPERLINK("http://digipan.lumentumllc.com/apps/getMap/index.php?p=5244552","Map")</f>
        <v>Map</v>
      </c>
      <c r="E2168" t="s">
        <v>177</v>
      </c>
      <c r="F2168" t="s">
        <v>178</v>
      </c>
      <c r="L2168" t="s">
        <v>25237</v>
      </c>
      <c r="N2168" t="s">
        <v>25237</v>
      </c>
      <c r="O2168" t="s">
        <v>25237</v>
      </c>
      <c r="P2168" t="s">
        <v>25238</v>
      </c>
      <c r="Q2168" t="s">
        <v>25237</v>
      </c>
      <c r="V2168">
        <v>2478</v>
      </c>
      <c r="W2168">
        <v>8</v>
      </c>
      <c r="X2168">
        <v>2017</v>
      </c>
      <c r="Y2168">
        <v>2018</v>
      </c>
      <c r="Z2168">
        <v>786.09</v>
      </c>
      <c r="AB2168" t="s">
        <v>181</v>
      </c>
      <c r="AC2168" t="s">
        <v>202</v>
      </c>
      <c r="AD2168" t="s">
        <v>183</v>
      </c>
      <c r="AE2168">
        <v>1</v>
      </c>
      <c r="AF2168">
        <v>6</v>
      </c>
      <c r="AG2168" t="s">
        <v>418</v>
      </c>
      <c r="AH2168">
        <v>86</v>
      </c>
      <c r="AI2168">
        <v>641.84</v>
      </c>
      <c r="AJ2168">
        <v>35.299999999999997</v>
      </c>
      <c r="AK2168">
        <v>677.14</v>
      </c>
      <c r="AL2168">
        <v>50050</v>
      </c>
      <c r="AM2168">
        <v>50050</v>
      </c>
      <c r="AN2168">
        <v>0</v>
      </c>
      <c r="AO2168">
        <v>569</v>
      </c>
      <c r="AP2168">
        <v>2016</v>
      </c>
      <c r="AQ2168">
        <v>1.57</v>
      </c>
      <c r="AR2168">
        <v>1.35</v>
      </c>
      <c r="AS2168" t="s">
        <v>25239</v>
      </c>
      <c r="AT2168" t="s">
        <v>15040</v>
      </c>
      <c r="AU2168" t="s">
        <v>177</v>
      </c>
      <c r="AV2168" t="s">
        <v>371</v>
      </c>
      <c r="AW2168" t="s">
        <v>182</v>
      </c>
      <c r="AX2168">
        <v>0</v>
      </c>
      <c r="AY2168" t="s">
        <v>312</v>
      </c>
      <c r="AZ2168" t="s">
        <v>199</v>
      </c>
      <c r="BA2168" t="s">
        <v>313</v>
      </c>
      <c r="BB2168" t="s">
        <v>191</v>
      </c>
      <c r="BC2168" t="s">
        <v>182</v>
      </c>
      <c r="BD2168" t="s">
        <v>182</v>
      </c>
      <c r="BE2168" t="s">
        <v>3861</v>
      </c>
      <c r="BF2168">
        <v>0</v>
      </c>
      <c r="BG2168">
        <v>0</v>
      </c>
      <c r="BH2168">
        <v>0</v>
      </c>
      <c r="BI2168" t="s">
        <v>199</v>
      </c>
      <c r="BJ2168" t="s">
        <v>248</v>
      </c>
      <c r="BL2168" t="s">
        <v>199</v>
      </c>
      <c r="BM2168" t="s">
        <v>346</v>
      </c>
      <c r="BN2168" t="s">
        <v>182</v>
      </c>
      <c r="BO2168" t="s">
        <v>198</v>
      </c>
      <c r="BP2168" t="s">
        <v>198</v>
      </c>
      <c r="BQ2168" t="s">
        <v>198</v>
      </c>
      <c r="BR2168" t="s">
        <v>198</v>
      </c>
      <c r="BS2168" t="s">
        <v>198</v>
      </c>
      <c r="BT2168" t="s">
        <v>198</v>
      </c>
      <c r="BU2168" t="s">
        <v>182</v>
      </c>
      <c r="BV2168" t="s">
        <v>198</v>
      </c>
      <c r="BW2168" t="s">
        <v>198</v>
      </c>
      <c r="BX2168" t="s">
        <v>199</v>
      </c>
      <c r="BY2168" t="s">
        <v>198</v>
      </c>
      <c r="BZ2168" t="s">
        <v>199</v>
      </c>
      <c r="CA2168" t="s">
        <v>199</v>
      </c>
      <c r="CB2168" t="s">
        <v>25240</v>
      </c>
      <c r="CC2168" t="s">
        <v>201</v>
      </c>
      <c r="CD2168" t="s">
        <v>202</v>
      </c>
      <c r="CE2168" t="s">
        <v>25227</v>
      </c>
      <c r="CF2168" t="s">
        <v>5331</v>
      </c>
      <c r="CG2168" t="s">
        <v>177</v>
      </c>
      <c r="CH2168" t="s">
        <v>5332</v>
      </c>
      <c r="CI2168" t="s">
        <v>25241</v>
      </c>
      <c r="CJ2168" t="s">
        <v>16525</v>
      </c>
      <c r="CK2168" t="s">
        <v>232</v>
      </c>
      <c r="CL2168" t="s">
        <v>233</v>
      </c>
      <c r="CM2168" t="s">
        <v>25242</v>
      </c>
      <c r="CN2168" t="s">
        <v>1164</v>
      </c>
      <c r="CO2168" t="s">
        <v>183</v>
      </c>
      <c r="CP2168" t="s">
        <v>266</v>
      </c>
      <c r="CS2168" t="s">
        <v>198</v>
      </c>
      <c r="CT2168" t="s">
        <v>21899</v>
      </c>
      <c r="CU2168" t="s">
        <v>292</v>
      </c>
      <c r="CV2168" t="s">
        <v>293</v>
      </c>
      <c r="CW2168" t="s">
        <v>25243</v>
      </c>
      <c r="CX2168" t="s">
        <v>486</v>
      </c>
      <c r="CY2168" t="s">
        <v>183</v>
      </c>
      <c r="CZ2168" t="s">
        <v>211</v>
      </c>
      <c r="DA2168" t="s">
        <v>189</v>
      </c>
      <c r="DB2168" t="s">
        <v>271</v>
      </c>
      <c r="DC2168" t="s">
        <v>18874</v>
      </c>
      <c r="DD2168" t="s">
        <v>19939</v>
      </c>
      <c r="DE2168" t="s">
        <v>267</v>
      </c>
      <c r="DF2168" t="s">
        <v>268</v>
      </c>
      <c r="DG2168" t="s">
        <v>25244</v>
      </c>
      <c r="DH2168" t="s">
        <v>400</v>
      </c>
      <c r="DI2168" t="s">
        <v>183</v>
      </c>
      <c r="DJ2168" t="s">
        <v>211</v>
      </c>
      <c r="DK2168" t="s">
        <v>460</v>
      </c>
      <c r="DL2168" t="s">
        <v>271</v>
      </c>
      <c r="DM2168" t="s">
        <v>18874</v>
      </c>
      <c r="DN2168" t="s">
        <v>12751</v>
      </c>
      <c r="DO2168" t="s">
        <v>273</v>
      </c>
      <c r="DP2168" t="s">
        <v>274</v>
      </c>
      <c r="DQ2168" t="s">
        <v>13420</v>
      </c>
      <c r="DR2168" t="s">
        <v>796</v>
      </c>
      <c r="DS2168" t="s">
        <v>183</v>
      </c>
      <c r="DT2168" t="s">
        <v>211</v>
      </c>
      <c r="DV2168" t="s">
        <v>271</v>
      </c>
      <c r="DW2168" t="s">
        <v>198</v>
      </c>
      <c r="DX2168" t="s">
        <v>19726</v>
      </c>
      <c r="DY2168" t="s">
        <v>302</v>
      </c>
      <c r="DZ2168" t="s">
        <v>303</v>
      </c>
      <c r="EA2168" t="s">
        <v>25245</v>
      </c>
      <c r="EB2168" t="s">
        <v>235</v>
      </c>
      <c r="EC2168" t="s">
        <v>183</v>
      </c>
      <c r="ED2168" t="s">
        <v>211</v>
      </c>
      <c r="EE2168" t="s">
        <v>296</v>
      </c>
      <c r="EF2168" t="s">
        <v>271</v>
      </c>
      <c r="EG2168" t="s">
        <v>10011</v>
      </c>
      <c r="EH2168" t="s">
        <v>5619</v>
      </c>
      <c r="EI2168" t="s">
        <v>238</v>
      </c>
      <c r="EJ2168" t="s">
        <v>239</v>
      </c>
      <c r="EK2168" t="s">
        <v>25246</v>
      </c>
      <c r="EL2168" t="s">
        <v>1491</v>
      </c>
      <c r="EM2168" t="s">
        <v>183</v>
      </c>
      <c r="EN2168" t="s">
        <v>211</v>
      </c>
      <c r="EO2168" t="s">
        <v>444</v>
      </c>
      <c r="EP2168" t="s">
        <v>271</v>
      </c>
      <c r="EQ2168" t="s">
        <v>10011</v>
      </c>
      <c r="ER2168" t="s">
        <v>25247</v>
      </c>
      <c r="ES2168" t="s">
        <v>346</v>
      </c>
      <c r="ET2168" t="s">
        <v>347</v>
      </c>
      <c r="EU2168" t="s">
        <v>4350</v>
      </c>
      <c r="EV2168" t="s">
        <v>391</v>
      </c>
      <c r="EW2168" t="s">
        <v>183</v>
      </c>
      <c r="EX2168" t="s">
        <v>211</v>
      </c>
      <c r="EZ2168" t="s">
        <v>271</v>
      </c>
      <c r="FA2168" t="s">
        <v>198</v>
      </c>
      <c r="FK2168" t="s">
        <v>198</v>
      </c>
      <c r="FU2168" t="s">
        <v>198</v>
      </c>
    </row>
    <row r="2169" spans="1:177">
      <c r="A2169" s="1" t="str">
        <f>HYPERLINK("http://digipan.lumentumllc.com/apps/getLink/index.php?t=PropLink&amp;p=6128721","PL")</f>
        <v>PL</v>
      </c>
      <c r="B2169" s="1" t="str">
        <f>HYPERLINK("http://digipan.lumentumllc.com/apps/getLink/index.php?t=TaxLink&amp;p=6128721","TL")</f>
        <v>TL</v>
      </c>
      <c r="C2169" s="1" t="str">
        <f>HYPERLINK("http://digipan.lumentumllc.com/apps/getMap/index.php?p=6128721","Map")</f>
        <v>Map</v>
      </c>
      <c r="E2169" t="s">
        <v>177</v>
      </c>
      <c r="F2169" t="s">
        <v>178</v>
      </c>
      <c r="L2169" t="s">
        <v>25248</v>
      </c>
      <c r="N2169" t="s">
        <v>25248</v>
      </c>
      <c r="O2169" t="s">
        <v>25248</v>
      </c>
      <c r="P2169" t="s">
        <v>25249</v>
      </c>
      <c r="Q2169" t="s">
        <v>25248</v>
      </c>
      <c r="V2169">
        <v>2479</v>
      </c>
      <c r="W2169">
        <v>8</v>
      </c>
      <c r="X2169">
        <v>2017</v>
      </c>
      <c r="Y2169">
        <v>2018</v>
      </c>
      <c r="Z2169">
        <v>1309.97</v>
      </c>
      <c r="AB2169" t="s">
        <v>181</v>
      </c>
      <c r="AC2169" t="s">
        <v>182</v>
      </c>
      <c r="AD2169" t="s">
        <v>183</v>
      </c>
      <c r="AE2169">
        <v>1</v>
      </c>
      <c r="AF2169">
        <v>5</v>
      </c>
      <c r="AG2169" t="s">
        <v>322</v>
      </c>
      <c r="AH2169">
        <v>83</v>
      </c>
      <c r="AI2169">
        <v>1208.67</v>
      </c>
      <c r="AJ2169">
        <v>60.43</v>
      </c>
      <c r="AK2169">
        <v>1269.0999999999999</v>
      </c>
      <c r="AL2169">
        <v>61154</v>
      </c>
      <c r="AM2169">
        <v>24750</v>
      </c>
      <c r="AN2169">
        <v>36404</v>
      </c>
      <c r="AO2169">
        <v>1093</v>
      </c>
      <c r="AP2169">
        <v>2016</v>
      </c>
      <c r="AQ2169">
        <v>2.14</v>
      </c>
      <c r="AR2169">
        <v>2.08</v>
      </c>
      <c r="AS2169" t="s">
        <v>25250</v>
      </c>
      <c r="AT2169" t="s">
        <v>15040</v>
      </c>
      <c r="AU2169" t="s">
        <v>177</v>
      </c>
      <c r="AV2169" t="s">
        <v>371</v>
      </c>
      <c r="AW2169" t="s">
        <v>182</v>
      </c>
      <c r="AX2169">
        <v>1</v>
      </c>
      <c r="AY2169" t="s">
        <v>188</v>
      </c>
      <c r="AZ2169" t="s">
        <v>206</v>
      </c>
      <c r="BA2169" t="s">
        <v>355</v>
      </c>
      <c r="BB2169" t="s">
        <v>191</v>
      </c>
      <c r="BC2169" t="s">
        <v>182</v>
      </c>
      <c r="BD2169" t="s">
        <v>182</v>
      </c>
      <c r="BE2169" t="s">
        <v>3930</v>
      </c>
      <c r="BF2169">
        <v>1</v>
      </c>
      <c r="BG2169">
        <v>1</v>
      </c>
      <c r="BH2169">
        <v>1930</v>
      </c>
      <c r="BI2169" t="s">
        <v>11703</v>
      </c>
      <c r="BJ2169" t="s">
        <v>285</v>
      </c>
      <c r="BK2169" t="s">
        <v>195</v>
      </c>
      <c r="BL2169" t="s">
        <v>199</v>
      </c>
      <c r="BM2169" t="s">
        <v>679</v>
      </c>
      <c r="BN2169" t="s">
        <v>182</v>
      </c>
      <c r="BO2169" t="s">
        <v>9297</v>
      </c>
      <c r="BP2169" t="s">
        <v>20872</v>
      </c>
      <c r="BS2169" t="s">
        <v>25251</v>
      </c>
      <c r="BT2169" t="s">
        <v>198</v>
      </c>
      <c r="BU2169" t="s">
        <v>182</v>
      </c>
      <c r="BV2169" t="s">
        <v>198</v>
      </c>
      <c r="BW2169" t="s">
        <v>198</v>
      </c>
      <c r="BX2169" t="s">
        <v>199</v>
      </c>
      <c r="BY2169" t="s">
        <v>198</v>
      </c>
      <c r="BZ2169" t="s">
        <v>199</v>
      </c>
      <c r="CA2169" t="s">
        <v>199</v>
      </c>
      <c r="CB2169" t="s">
        <v>25252</v>
      </c>
      <c r="CC2169" t="s">
        <v>201</v>
      </c>
      <c r="CD2169" t="s">
        <v>182</v>
      </c>
      <c r="CE2169" t="s">
        <v>25253</v>
      </c>
      <c r="CF2169" t="s">
        <v>5331</v>
      </c>
      <c r="CG2169" t="s">
        <v>177</v>
      </c>
      <c r="CH2169" t="s">
        <v>5332</v>
      </c>
      <c r="CI2169" t="s">
        <v>25254</v>
      </c>
      <c r="CJ2169" t="s">
        <v>24515</v>
      </c>
      <c r="CK2169" t="s">
        <v>232</v>
      </c>
      <c r="CL2169" t="s">
        <v>233</v>
      </c>
      <c r="CM2169" t="s">
        <v>25255</v>
      </c>
      <c r="CN2169" t="s">
        <v>235</v>
      </c>
      <c r="CO2169" t="s">
        <v>183</v>
      </c>
      <c r="CP2169" t="s">
        <v>266</v>
      </c>
      <c r="CS2169" t="s">
        <v>198</v>
      </c>
      <c r="CT2169" t="s">
        <v>9702</v>
      </c>
      <c r="CU2169" t="s">
        <v>292</v>
      </c>
      <c r="CV2169" t="s">
        <v>293</v>
      </c>
      <c r="CW2169" t="s">
        <v>25256</v>
      </c>
      <c r="CX2169" t="s">
        <v>235</v>
      </c>
      <c r="CY2169" t="s">
        <v>183</v>
      </c>
      <c r="CZ2169" t="s">
        <v>211</v>
      </c>
      <c r="DA2169" t="s">
        <v>345</v>
      </c>
      <c r="DC2169" t="s">
        <v>1609</v>
      </c>
      <c r="DD2169" t="s">
        <v>1330</v>
      </c>
      <c r="DE2169" t="s">
        <v>267</v>
      </c>
      <c r="DF2169" t="s">
        <v>268</v>
      </c>
      <c r="DG2169" t="s">
        <v>25257</v>
      </c>
      <c r="DH2169" t="s">
        <v>235</v>
      </c>
      <c r="DI2169" t="s">
        <v>183</v>
      </c>
      <c r="DJ2169" t="s">
        <v>211</v>
      </c>
      <c r="DK2169" t="s">
        <v>345</v>
      </c>
      <c r="DM2169" t="s">
        <v>785</v>
      </c>
      <c r="DN2169" t="s">
        <v>18553</v>
      </c>
      <c r="DO2169" t="s">
        <v>273</v>
      </c>
      <c r="DP2169" t="s">
        <v>274</v>
      </c>
      <c r="DQ2169" t="s">
        <v>25258</v>
      </c>
      <c r="DR2169" t="s">
        <v>235</v>
      </c>
      <c r="DS2169" t="s">
        <v>183</v>
      </c>
      <c r="DT2169" t="s">
        <v>211</v>
      </c>
      <c r="DU2169" t="s">
        <v>345</v>
      </c>
      <c r="DW2169" t="s">
        <v>3539</v>
      </c>
      <c r="DX2169" t="s">
        <v>16473</v>
      </c>
      <c r="DY2169" t="s">
        <v>302</v>
      </c>
      <c r="DZ2169" t="s">
        <v>303</v>
      </c>
      <c r="EA2169" t="s">
        <v>25259</v>
      </c>
      <c r="EB2169" t="s">
        <v>235</v>
      </c>
      <c r="EC2169" t="s">
        <v>183</v>
      </c>
      <c r="ED2169" t="s">
        <v>211</v>
      </c>
      <c r="EE2169" t="s">
        <v>345</v>
      </c>
      <c r="EG2169" t="s">
        <v>2598</v>
      </c>
      <c r="EH2169" t="s">
        <v>4583</v>
      </c>
      <c r="EI2169" t="s">
        <v>238</v>
      </c>
      <c r="EJ2169" t="s">
        <v>239</v>
      </c>
      <c r="EK2169" t="s">
        <v>25260</v>
      </c>
      <c r="EL2169" t="s">
        <v>331</v>
      </c>
      <c r="EM2169" t="s">
        <v>183</v>
      </c>
      <c r="EN2169" t="s">
        <v>211</v>
      </c>
      <c r="EO2169" t="s">
        <v>345</v>
      </c>
      <c r="EQ2169" t="s">
        <v>3825</v>
      </c>
      <c r="FA2169" t="s">
        <v>198</v>
      </c>
      <c r="FK2169" t="s">
        <v>198</v>
      </c>
      <c r="FU2169" t="s">
        <v>198</v>
      </c>
    </row>
    <row r="2170" spans="1:177">
      <c r="A2170" s="1" t="str">
        <f>HYPERLINK("http://digipan.lumentumllc.com/apps/getLink/index.php?t=PropLink&amp;p=5244556","PL")</f>
        <v>PL</v>
      </c>
      <c r="B2170" s="1" t="str">
        <f>HYPERLINK("http://digipan.lumentumllc.com/apps/getLink/index.php?t=TaxLink&amp;p=5244556","TL")</f>
        <v>TL</v>
      </c>
      <c r="C2170" s="1" t="str">
        <f>HYPERLINK("http://digipan.lumentumllc.com/apps/getMap/index.php?p=5244556","Map")</f>
        <v>Map</v>
      </c>
      <c r="E2170" t="s">
        <v>177</v>
      </c>
      <c r="F2170" t="s">
        <v>178</v>
      </c>
      <c r="L2170" t="s">
        <v>25261</v>
      </c>
      <c r="N2170" t="s">
        <v>25261</v>
      </c>
      <c r="O2170" t="s">
        <v>25261</v>
      </c>
      <c r="P2170" t="s">
        <v>25262</v>
      </c>
      <c r="Q2170" t="s">
        <v>25261</v>
      </c>
      <c r="V2170">
        <v>2480</v>
      </c>
      <c r="W2170">
        <v>8</v>
      </c>
      <c r="X2170">
        <v>2017</v>
      </c>
      <c r="Y2170">
        <v>2018</v>
      </c>
      <c r="Z2170">
        <v>516</v>
      </c>
      <c r="AB2170" t="s">
        <v>181</v>
      </c>
      <c r="AC2170" t="s">
        <v>182</v>
      </c>
      <c r="AD2170" t="s">
        <v>183</v>
      </c>
      <c r="AE2170">
        <v>1</v>
      </c>
      <c r="AF2170">
        <v>7</v>
      </c>
      <c r="AG2170" t="s">
        <v>418</v>
      </c>
      <c r="AH2170">
        <v>86</v>
      </c>
      <c r="AI2170">
        <v>467.54</v>
      </c>
      <c r="AJ2170">
        <v>23.38</v>
      </c>
      <c r="AK2170">
        <v>490.92</v>
      </c>
      <c r="AL2170">
        <v>31329</v>
      </c>
      <c r="AM2170">
        <v>20625</v>
      </c>
      <c r="AN2170">
        <v>10704</v>
      </c>
      <c r="AO2170">
        <v>407</v>
      </c>
      <c r="AP2170">
        <v>2016</v>
      </c>
      <c r="AQ2170">
        <v>1.65</v>
      </c>
      <c r="AR2170">
        <v>1.57</v>
      </c>
      <c r="AS2170" t="s">
        <v>25263</v>
      </c>
      <c r="AT2170" t="s">
        <v>15040</v>
      </c>
      <c r="AU2170" t="s">
        <v>177</v>
      </c>
      <c r="AV2170" t="s">
        <v>371</v>
      </c>
      <c r="AW2170" t="s">
        <v>182</v>
      </c>
      <c r="AX2170">
        <v>1</v>
      </c>
      <c r="AY2170" t="s">
        <v>188</v>
      </c>
      <c r="AZ2170" t="s">
        <v>206</v>
      </c>
      <c r="BA2170" t="s">
        <v>355</v>
      </c>
      <c r="BB2170" t="s">
        <v>191</v>
      </c>
      <c r="BC2170" t="s">
        <v>182</v>
      </c>
      <c r="BD2170" t="s">
        <v>182</v>
      </c>
      <c r="BE2170" t="s">
        <v>3930</v>
      </c>
      <c r="BF2170">
        <v>1</v>
      </c>
      <c r="BG2170">
        <v>1</v>
      </c>
      <c r="BH2170">
        <v>1949</v>
      </c>
      <c r="BI2170" t="s">
        <v>9508</v>
      </c>
      <c r="BJ2170" t="s">
        <v>285</v>
      </c>
      <c r="BK2170" t="s">
        <v>195</v>
      </c>
      <c r="BL2170" t="s">
        <v>199</v>
      </c>
      <c r="BM2170" t="s">
        <v>358</v>
      </c>
      <c r="BN2170" t="s">
        <v>182</v>
      </c>
      <c r="BO2170" t="s">
        <v>198</v>
      </c>
      <c r="BP2170" t="s">
        <v>198</v>
      </c>
      <c r="BQ2170" t="s">
        <v>198</v>
      </c>
      <c r="BR2170" t="s">
        <v>198</v>
      </c>
      <c r="BS2170" t="s">
        <v>198</v>
      </c>
      <c r="BT2170" t="s">
        <v>198</v>
      </c>
      <c r="BU2170" t="s">
        <v>182</v>
      </c>
      <c r="BV2170" t="s">
        <v>198</v>
      </c>
      <c r="BW2170" t="s">
        <v>198</v>
      </c>
      <c r="BX2170" t="s">
        <v>199</v>
      </c>
      <c r="BY2170" t="s">
        <v>198</v>
      </c>
      <c r="BZ2170" t="s">
        <v>199</v>
      </c>
      <c r="CA2170" t="s">
        <v>199</v>
      </c>
      <c r="CB2170" t="s">
        <v>25264</v>
      </c>
      <c r="CC2170" t="s">
        <v>201</v>
      </c>
      <c r="CD2170" t="s">
        <v>202</v>
      </c>
      <c r="CE2170" t="s">
        <v>25265</v>
      </c>
      <c r="CF2170" t="s">
        <v>25266</v>
      </c>
      <c r="CG2170" t="s">
        <v>3911</v>
      </c>
      <c r="CH2170" t="s">
        <v>25267</v>
      </c>
      <c r="CI2170" t="s">
        <v>25268</v>
      </c>
      <c r="CJ2170" t="s">
        <v>9869</v>
      </c>
      <c r="CK2170" t="s">
        <v>232</v>
      </c>
      <c r="CL2170" t="s">
        <v>233</v>
      </c>
      <c r="CM2170" t="s">
        <v>25269</v>
      </c>
      <c r="CN2170" t="s">
        <v>331</v>
      </c>
      <c r="CO2170" t="s">
        <v>183</v>
      </c>
      <c r="CP2170" t="s">
        <v>266</v>
      </c>
      <c r="CS2170" t="s">
        <v>198</v>
      </c>
      <c r="CT2170" t="s">
        <v>16346</v>
      </c>
      <c r="CU2170" t="s">
        <v>292</v>
      </c>
      <c r="CV2170" t="s">
        <v>293</v>
      </c>
      <c r="CW2170" t="s">
        <v>10289</v>
      </c>
      <c r="CX2170" t="s">
        <v>333</v>
      </c>
      <c r="CY2170" t="s">
        <v>183</v>
      </c>
      <c r="CZ2170" t="s">
        <v>211</v>
      </c>
      <c r="DA2170" t="s">
        <v>298</v>
      </c>
      <c r="DC2170" t="s">
        <v>3588</v>
      </c>
      <c r="DD2170" t="s">
        <v>18506</v>
      </c>
      <c r="DE2170" t="s">
        <v>267</v>
      </c>
      <c r="DF2170" t="s">
        <v>268</v>
      </c>
      <c r="DG2170" t="s">
        <v>25270</v>
      </c>
      <c r="DH2170" t="s">
        <v>400</v>
      </c>
      <c r="DI2170" t="s">
        <v>183</v>
      </c>
      <c r="DJ2170" t="s">
        <v>211</v>
      </c>
      <c r="DK2170" t="s">
        <v>523</v>
      </c>
      <c r="DM2170" t="s">
        <v>14176</v>
      </c>
      <c r="DN2170" t="s">
        <v>19542</v>
      </c>
      <c r="DO2170" t="s">
        <v>273</v>
      </c>
      <c r="DP2170" t="s">
        <v>274</v>
      </c>
      <c r="DQ2170" t="s">
        <v>25271</v>
      </c>
      <c r="DR2170" t="s">
        <v>1056</v>
      </c>
      <c r="DS2170" t="s">
        <v>183</v>
      </c>
      <c r="DT2170" t="s">
        <v>211</v>
      </c>
      <c r="DU2170" t="s">
        <v>768</v>
      </c>
      <c r="DW2170" t="s">
        <v>7388</v>
      </c>
      <c r="DX2170" t="s">
        <v>16523</v>
      </c>
      <c r="DY2170" t="s">
        <v>302</v>
      </c>
      <c r="DZ2170" t="s">
        <v>303</v>
      </c>
      <c r="EA2170" t="s">
        <v>25272</v>
      </c>
      <c r="EB2170" t="s">
        <v>1586</v>
      </c>
      <c r="EC2170" t="s">
        <v>183</v>
      </c>
      <c r="ED2170" t="s">
        <v>211</v>
      </c>
      <c r="EE2170" t="s">
        <v>427</v>
      </c>
      <c r="EG2170" t="s">
        <v>15426</v>
      </c>
      <c r="EH2170" t="s">
        <v>4632</v>
      </c>
      <c r="EI2170" t="s">
        <v>238</v>
      </c>
      <c r="EJ2170" t="s">
        <v>239</v>
      </c>
      <c r="EK2170" t="s">
        <v>25273</v>
      </c>
      <c r="EL2170" t="s">
        <v>391</v>
      </c>
      <c r="EM2170" t="s">
        <v>183</v>
      </c>
      <c r="EN2170" t="s">
        <v>211</v>
      </c>
      <c r="EO2170" t="s">
        <v>633</v>
      </c>
      <c r="EQ2170" t="s">
        <v>15426</v>
      </c>
      <c r="ER2170" t="s">
        <v>25274</v>
      </c>
      <c r="ES2170" t="s">
        <v>346</v>
      </c>
      <c r="ET2170" t="s">
        <v>347</v>
      </c>
      <c r="EU2170" t="s">
        <v>25275</v>
      </c>
      <c r="EV2170" t="s">
        <v>278</v>
      </c>
      <c r="EW2170" t="s">
        <v>183</v>
      </c>
      <c r="EX2170" t="s">
        <v>211</v>
      </c>
      <c r="EY2170" t="s">
        <v>345</v>
      </c>
      <c r="FA2170" t="s">
        <v>4897</v>
      </c>
      <c r="FB2170" t="s">
        <v>25276</v>
      </c>
      <c r="FC2170" t="s">
        <v>207</v>
      </c>
      <c r="FD2170" t="s">
        <v>208</v>
      </c>
      <c r="FE2170" t="s">
        <v>25277</v>
      </c>
      <c r="FF2170" t="s">
        <v>1966</v>
      </c>
      <c r="FG2170" t="s">
        <v>183</v>
      </c>
      <c r="FH2170" t="s">
        <v>211</v>
      </c>
      <c r="FI2170" t="s">
        <v>345</v>
      </c>
      <c r="FK2170" t="s">
        <v>7557</v>
      </c>
      <c r="FU2170" t="s">
        <v>198</v>
      </c>
    </row>
    <row r="2171" spans="1:177">
      <c r="A2171" s="1" t="str">
        <f>HYPERLINK("http://digipan.lumentumllc.com/apps/getLink/index.php?t=PropLink&amp;p=5244558","PL")</f>
        <v>PL</v>
      </c>
      <c r="B2171" s="1" t="str">
        <f>HYPERLINK("http://digipan.lumentumllc.com/apps/getLink/index.php?t=TaxLink&amp;p=5244558","TL")</f>
        <v>TL</v>
      </c>
      <c r="C2171" s="1" t="str">
        <f>HYPERLINK("http://digipan.lumentumllc.com/apps/getMap/index.php?p=5244558","Map")</f>
        <v>Map</v>
      </c>
      <c r="E2171" t="s">
        <v>177</v>
      </c>
      <c r="F2171" t="s">
        <v>178</v>
      </c>
      <c r="L2171" t="s">
        <v>25278</v>
      </c>
      <c r="N2171" t="s">
        <v>25278</v>
      </c>
      <c r="O2171" t="s">
        <v>25278</v>
      </c>
      <c r="P2171" t="s">
        <v>25279</v>
      </c>
      <c r="Q2171" t="s">
        <v>25278</v>
      </c>
      <c r="V2171">
        <v>2481</v>
      </c>
      <c r="W2171">
        <v>8</v>
      </c>
      <c r="X2171">
        <v>2017</v>
      </c>
      <c r="Y2171">
        <v>2018</v>
      </c>
      <c r="Z2171">
        <v>181.16</v>
      </c>
      <c r="AB2171" t="s">
        <v>181</v>
      </c>
      <c r="AC2171" t="s">
        <v>182</v>
      </c>
      <c r="AD2171" t="s">
        <v>183</v>
      </c>
      <c r="AE2171">
        <v>1</v>
      </c>
      <c r="AF2171">
        <v>7</v>
      </c>
      <c r="AG2171" t="s">
        <v>418</v>
      </c>
      <c r="AH2171">
        <v>86</v>
      </c>
      <c r="AI2171">
        <v>148.63</v>
      </c>
      <c r="AJ2171">
        <v>26.38</v>
      </c>
      <c r="AK2171">
        <v>175.01</v>
      </c>
      <c r="AL2171">
        <v>9900</v>
      </c>
      <c r="AM2171">
        <v>9900</v>
      </c>
      <c r="AN2171">
        <v>0</v>
      </c>
      <c r="AO2171">
        <v>112</v>
      </c>
      <c r="AP2171">
        <v>2016</v>
      </c>
      <c r="AQ2171">
        <v>1.83</v>
      </c>
      <c r="AR2171">
        <v>1.77</v>
      </c>
      <c r="AS2171" t="s">
        <v>25280</v>
      </c>
      <c r="AT2171" t="s">
        <v>15040</v>
      </c>
      <c r="AU2171" t="s">
        <v>177</v>
      </c>
      <c r="AV2171" t="s">
        <v>371</v>
      </c>
      <c r="AW2171" t="s">
        <v>182</v>
      </c>
      <c r="AX2171">
        <v>0</v>
      </c>
      <c r="AY2171" t="s">
        <v>312</v>
      </c>
      <c r="AZ2171" t="s">
        <v>199</v>
      </c>
      <c r="BA2171" t="s">
        <v>313</v>
      </c>
      <c r="BB2171" t="s">
        <v>191</v>
      </c>
      <c r="BC2171" t="s">
        <v>182</v>
      </c>
      <c r="BD2171" t="s">
        <v>182</v>
      </c>
      <c r="BE2171" t="s">
        <v>5608</v>
      </c>
      <c r="BF2171">
        <v>0</v>
      </c>
      <c r="BG2171">
        <v>0</v>
      </c>
      <c r="BH2171">
        <v>0</v>
      </c>
      <c r="BI2171" t="s">
        <v>199</v>
      </c>
      <c r="BJ2171" t="s">
        <v>315</v>
      </c>
      <c r="BL2171" t="s">
        <v>199</v>
      </c>
      <c r="BM2171" t="s">
        <v>286</v>
      </c>
      <c r="BN2171" t="s">
        <v>182</v>
      </c>
      <c r="BO2171" t="s">
        <v>198</v>
      </c>
      <c r="BP2171" t="s">
        <v>198</v>
      </c>
      <c r="BQ2171" t="s">
        <v>198</v>
      </c>
      <c r="BR2171" t="s">
        <v>198</v>
      </c>
      <c r="BS2171" t="s">
        <v>198</v>
      </c>
      <c r="BT2171" t="s">
        <v>198</v>
      </c>
      <c r="BU2171" t="s">
        <v>182</v>
      </c>
      <c r="BV2171" t="s">
        <v>198</v>
      </c>
      <c r="BW2171" t="s">
        <v>198</v>
      </c>
      <c r="BX2171" t="s">
        <v>199</v>
      </c>
      <c r="BY2171" t="s">
        <v>198</v>
      </c>
      <c r="BZ2171" t="s">
        <v>199</v>
      </c>
      <c r="CA2171" t="s">
        <v>199</v>
      </c>
      <c r="CB2171" t="s">
        <v>23487</v>
      </c>
      <c r="CC2171" t="s">
        <v>201</v>
      </c>
      <c r="CD2171" t="s">
        <v>202</v>
      </c>
      <c r="CE2171" t="s">
        <v>23488</v>
      </c>
      <c r="CF2171" t="s">
        <v>5331</v>
      </c>
      <c r="CG2171" t="s">
        <v>177</v>
      </c>
      <c r="CH2171" t="s">
        <v>5332</v>
      </c>
      <c r="CI2171" t="s">
        <v>25281</v>
      </c>
      <c r="CJ2171" t="s">
        <v>9885</v>
      </c>
      <c r="CK2171" t="s">
        <v>232</v>
      </c>
      <c r="CL2171" t="s">
        <v>233</v>
      </c>
      <c r="CM2171" t="s">
        <v>25282</v>
      </c>
      <c r="CN2171" t="s">
        <v>486</v>
      </c>
      <c r="CO2171" t="s">
        <v>183</v>
      </c>
      <c r="CP2171" t="s">
        <v>266</v>
      </c>
      <c r="CS2171" t="s">
        <v>198</v>
      </c>
      <c r="CT2171" t="s">
        <v>16354</v>
      </c>
      <c r="CU2171" t="s">
        <v>292</v>
      </c>
      <c r="CV2171" t="s">
        <v>293</v>
      </c>
      <c r="CW2171" t="s">
        <v>25283</v>
      </c>
      <c r="CX2171" t="s">
        <v>482</v>
      </c>
      <c r="CY2171" t="s">
        <v>183</v>
      </c>
      <c r="CZ2171" t="s">
        <v>211</v>
      </c>
      <c r="DA2171" t="s">
        <v>298</v>
      </c>
      <c r="DC2171" t="s">
        <v>1641</v>
      </c>
      <c r="DD2171" t="s">
        <v>17044</v>
      </c>
      <c r="DE2171" t="s">
        <v>267</v>
      </c>
      <c r="DF2171" t="s">
        <v>268</v>
      </c>
      <c r="DG2171" t="s">
        <v>25284</v>
      </c>
      <c r="DH2171" t="s">
        <v>482</v>
      </c>
      <c r="DI2171" t="s">
        <v>183</v>
      </c>
      <c r="DJ2171" t="s">
        <v>211</v>
      </c>
      <c r="DK2171" t="s">
        <v>525</v>
      </c>
      <c r="DM2171" t="s">
        <v>1641</v>
      </c>
      <c r="DN2171" t="s">
        <v>25285</v>
      </c>
      <c r="DO2171" t="s">
        <v>273</v>
      </c>
      <c r="DP2171" t="s">
        <v>274</v>
      </c>
      <c r="DQ2171" t="s">
        <v>12938</v>
      </c>
      <c r="DR2171" t="s">
        <v>473</v>
      </c>
      <c r="DS2171" t="s">
        <v>183</v>
      </c>
      <c r="DT2171" t="s">
        <v>211</v>
      </c>
      <c r="DU2171" t="s">
        <v>298</v>
      </c>
      <c r="DW2171" t="s">
        <v>5484</v>
      </c>
      <c r="DX2171" t="s">
        <v>25286</v>
      </c>
      <c r="DY2171" t="s">
        <v>302</v>
      </c>
      <c r="DZ2171" t="s">
        <v>303</v>
      </c>
      <c r="EA2171" t="s">
        <v>10799</v>
      </c>
      <c r="EB2171" t="s">
        <v>341</v>
      </c>
      <c r="EC2171" t="s">
        <v>183</v>
      </c>
      <c r="ED2171" t="s">
        <v>211</v>
      </c>
      <c r="EE2171" t="s">
        <v>337</v>
      </c>
      <c r="EG2171" t="s">
        <v>25287</v>
      </c>
      <c r="EH2171" t="s">
        <v>4653</v>
      </c>
      <c r="EI2171" t="s">
        <v>238</v>
      </c>
      <c r="EJ2171" t="s">
        <v>239</v>
      </c>
      <c r="EK2171" t="s">
        <v>25288</v>
      </c>
      <c r="EL2171" t="s">
        <v>4595</v>
      </c>
      <c r="EM2171" t="s">
        <v>183</v>
      </c>
      <c r="EN2171" t="s">
        <v>211</v>
      </c>
      <c r="EO2171" t="s">
        <v>298</v>
      </c>
      <c r="EQ2171" t="s">
        <v>14910</v>
      </c>
      <c r="ER2171" t="s">
        <v>25289</v>
      </c>
      <c r="ES2171" t="s">
        <v>346</v>
      </c>
      <c r="ET2171" t="s">
        <v>347</v>
      </c>
      <c r="EU2171" t="s">
        <v>25290</v>
      </c>
      <c r="EV2171" t="s">
        <v>314</v>
      </c>
      <c r="EW2171" t="s">
        <v>183</v>
      </c>
      <c r="EX2171" t="s">
        <v>211</v>
      </c>
      <c r="EY2171" t="s">
        <v>1128</v>
      </c>
      <c r="FA2171" t="s">
        <v>25287</v>
      </c>
      <c r="FB2171" t="s">
        <v>25291</v>
      </c>
      <c r="FC2171" t="s">
        <v>207</v>
      </c>
      <c r="FD2171" t="s">
        <v>208</v>
      </c>
      <c r="FE2171" t="s">
        <v>25292</v>
      </c>
      <c r="FF2171" t="s">
        <v>1052</v>
      </c>
      <c r="FG2171" t="s">
        <v>183</v>
      </c>
      <c r="FH2171" t="s">
        <v>211</v>
      </c>
      <c r="FI2171" t="s">
        <v>298</v>
      </c>
      <c r="FK2171" t="s">
        <v>1167</v>
      </c>
      <c r="FU2171" t="s">
        <v>198</v>
      </c>
    </row>
    <row r="2172" spans="1:177">
      <c r="A2172" s="1" t="str">
        <f>HYPERLINK("http://digipan.lumentumllc.com/apps/getLink/index.php?t=PropLink&amp;p=5244559","PL")</f>
        <v>PL</v>
      </c>
      <c r="B2172" s="1" t="str">
        <f>HYPERLINK("http://digipan.lumentumllc.com/apps/getLink/index.php?t=TaxLink&amp;p=5244559","TL")</f>
        <v>TL</v>
      </c>
      <c r="C2172" s="1" t="str">
        <f>HYPERLINK("http://digipan.lumentumllc.com/apps/getMap/index.php?p=5244559","Map")</f>
        <v>Map</v>
      </c>
      <c r="E2172" t="s">
        <v>177</v>
      </c>
      <c r="F2172" t="s">
        <v>178</v>
      </c>
      <c r="L2172" t="s">
        <v>25293</v>
      </c>
      <c r="N2172" t="s">
        <v>25293</v>
      </c>
      <c r="O2172" t="s">
        <v>25293</v>
      </c>
      <c r="P2172" t="s">
        <v>25294</v>
      </c>
      <c r="Q2172" t="s">
        <v>25293</v>
      </c>
      <c r="V2172">
        <v>2482</v>
      </c>
      <c r="W2172">
        <v>8</v>
      </c>
      <c r="X2172">
        <v>2017</v>
      </c>
      <c r="Y2172">
        <v>2018</v>
      </c>
      <c r="Z2172">
        <v>43.87</v>
      </c>
      <c r="AB2172" t="s">
        <v>181</v>
      </c>
      <c r="AC2172" t="s">
        <v>182</v>
      </c>
      <c r="AD2172" t="s">
        <v>183</v>
      </c>
      <c r="AE2172">
        <v>7</v>
      </c>
      <c r="AF2172">
        <v>0</v>
      </c>
      <c r="AG2172" t="s">
        <v>1038</v>
      </c>
      <c r="AH2172">
        <v>0</v>
      </c>
      <c r="AI2172">
        <v>225.55</v>
      </c>
      <c r="AJ2172">
        <v>110.82</v>
      </c>
      <c r="AK2172">
        <v>336.37</v>
      </c>
      <c r="AL2172">
        <v>550</v>
      </c>
      <c r="AM2172">
        <v>550</v>
      </c>
      <c r="AN2172">
        <v>0</v>
      </c>
      <c r="AO2172">
        <v>10</v>
      </c>
      <c r="AP2172">
        <v>2016</v>
      </c>
      <c r="AQ2172">
        <v>7.98</v>
      </c>
      <c r="AR2172">
        <v>61.16</v>
      </c>
      <c r="AS2172" t="s">
        <v>25295</v>
      </c>
      <c r="AT2172" t="s">
        <v>15040</v>
      </c>
      <c r="AU2172" t="s">
        <v>177</v>
      </c>
      <c r="AV2172" t="s">
        <v>371</v>
      </c>
      <c r="AW2172" t="s">
        <v>182</v>
      </c>
      <c r="AX2172">
        <v>96</v>
      </c>
      <c r="AY2172" t="s">
        <v>1575</v>
      </c>
      <c r="AZ2172" t="s">
        <v>790</v>
      </c>
      <c r="BA2172" t="s">
        <v>15682</v>
      </c>
      <c r="BB2172" t="s">
        <v>191</v>
      </c>
      <c r="BC2172" t="s">
        <v>182</v>
      </c>
      <c r="BD2172" t="s">
        <v>182</v>
      </c>
      <c r="BE2172" t="s">
        <v>3956</v>
      </c>
      <c r="BF2172">
        <v>0</v>
      </c>
      <c r="BG2172">
        <v>0</v>
      </c>
      <c r="BH2172">
        <v>0</v>
      </c>
      <c r="BI2172" t="s">
        <v>199</v>
      </c>
      <c r="BJ2172" t="s">
        <v>248</v>
      </c>
      <c r="BL2172" t="s">
        <v>199</v>
      </c>
      <c r="BM2172" t="s">
        <v>358</v>
      </c>
      <c r="BN2172" t="s">
        <v>182</v>
      </c>
      <c r="BO2172" t="s">
        <v>198</v>
      </c>
      <c r="BP2172" t="s">
        <v>198</v>
      </c>
      <c r="BQ2172" t="s">
        <v>198</v>
      </c>
      <c r="BR2172" t="s">
        <v>198</v>
      </c>
      <c r="BS2172" t="s">
        <v>198</v>
      </c>
      <c r="BT2172" t="s">
        <v>198</v>
      </c>
      <c r="BU2172" t="s">
        <v>182</v>
      </c>
      <c r="BV2172" t="s">
        <v>198</v>
      </c>
      <c r="BW2172" t="s">
        <v>198</v>
      </c>
      <c r="BX2172" t="s">
        <v>199</v>
      </c>
      <c r="BY2172" t="s">
        <v>198</v>
      </c>
      <c r="BZ2172" t="s">
        <v>199</v>
      </c>
      <c r="CA2172" t="s">
        <v>199</v>
      </c>
      <c r="CB2172" t="s">
        <v>25296</v>
      </c>
      <c r="CC2172" t="s">
        <v>201</v>
      </c>
      <c r="CD2172" t="s">
        <v>202</v>
      </c>
      <c r="CE2172" t="s">
        <v>25297</v>
      </c>
      <c r="CF2172" t="s">
        <v>5331</v>
      </c>
      <c r="CG2172" t="s">
        <v>177</v>
      </c>
      <c r="CH2172" t="s">
        <v>371</v>
      </c>
      <c r="CI2172" t="s">
        <v>25298</v>
      </c>
      <c r="CJ2172" t="s">
        <v>9530</v>
      </c>
      <c r="CK2172" t="s">
        <v>232</v>
      </c>
      <c r="CL2172" t="s">
        <v>233</v>
      </c>
      <c r="CM2172" t="s">
        <v>25299</v>
      </c>
      <c r="CN2172" t="s">
        <v>482</v>
      </c>
      <c r="CO2172" t="s">
        <v>183</v>
      </c>
      <c r="CP2172" t="s">
        <v>266</v>
      </c>
      <c r="CS2172" t="s">
        <v>198</v>
      </c>
      <c r="CT2172" t="s">
        <v>16382</v>
      </c>
      <c r="CU2172" t="s">
        <v>292</v>
      </c>
      <c r="CV2172" t="s">
        <v>293</v>
      </c>
      <c r="CW2172" t="s">
        <v>25300</v>
      </c>
      <c r="CX2172" t="s">
        <v>482</v>
      </c>
      <c r="CY2172" t="s">
        <v>183</v>
      </c>
      <c r="CZ2172" t="s">
        <v>266</v>
      </c>
      <c r="DC2172" t="s">
        <v>198</v>
      </c>
      <c r="DD2172" t="s">
        <v>20127</v>
      </c>
      <c r="DE2172" t="s">
        <v>267</v>
      </c>
      <c r="DF2172" t="s">
        <v>268</v>
      </c>
      <c r="DG2172" t="s">
        <v>25301</v>
      </c>
      <c r="DH2172" t="s">
        <v>482</v>
      </c>
      <c r="DI2172" t="s">
        <v>183</v>
      </c>
      <c r="DJ2172" t="s">
        <v>266</v>
      </c>
      <c r="DM2172" t="s">
        <v>198</v>
      </c>
      <c r="DN2172" t="s">
        <v>23177</v>
      </c>
      <c r="DO2172" t="s">
        <v>273</v>
      </c>
      <c r="DP2172" t="s">
        <v>274</v>
      </c>
      <c r="DQ2172" t="s">
        <v>25302</v>
      </c>
      <c r="DR2172" t="s">
        <v>482</v>
      </c>
      <c r="DS2172" t="s">
        <v>183</v>
      </c>
      <c r="DT2172" t="s">
        <v>266</v>
      </c>
      <c r="DW2172" t="s">
        <v>198</v>
      </c>
      <c r="DX2172" t="s">
        <v>20979</v>
      </c>
      <c r="DY2172" t="s">
        <v>302</v>
      </c>
      <c r="DZ2172" t="s">
        <v>303</v>
      </c>
      <c r="EA2172" t="s">
        <v>25303</v>
      </c>
      <c r="EB2172" t="s">
        <v>341</v>
      </c>
      <c r="EC2172" t="s">
        <v>183</v>
      </c>
      <c r="ED2172" t="s">
        <v>266</v>
      </c>
      <c r="EG2172" t="s">
        <v>198</v>
      </c>
      <c r="EH2172" t="s">
        <v>4662</v>
      </c>
      <c r="EI2172" t="s">
        <v>238</v>
      </c>
      <c r="EJ2172" t="s">
        <v>239</v>
      </c>
      <c r="EK2172" t="s">
        <v>25304</v>
      </c>
      <c r="EL2172" t="s">
        <v>482</v>
      </c>
      <c r="EM2172" t="s">
        <v>183</v>
      </c>
      <c r="EN2172" t="s">
        <v>266</v>
      </c>
      <c r="EQ2172" t="s">
        <v>198</v>
      </c>
      <c r="ER2172" t="s">
        <v>25305</v>
      </c>
      <c r="ES2172" t="s">
        <v>346</v>
      </c>
      <c r="ET2172" t="s">
        <v>347</v>
      </c>
      <c r="EU2172" t="s">
        <v>25306</v>
      </c>
      <c r="EV2172" t="s">
        <v>235</v>
      </c>
      <c r="EW2172" t="s">
        <v>183</v>
      </c>
      <c r="EX2172" t="s">
        <v>266</v>
      </c>
      <c r="FA2172" t="s">
        <v>198</v>
      </c>
      <c r="FK2172" t="s">
        <v>198</v>
      </c>
      <c r="FU2172" t="s">
        <v>198</v>
      </c>
    </row>
    <row r="2173" spans="1:177">
      <c r="A2173" s="1" t="str">
        <f>HYPERLINK("http://digipan.lumentumllc.com/apps/getLink/index.php?t=PropLink&amp;p=5244561","PL")</f>
        <v>PL</v>
      </c>
      <c r="B2173" s="1" t="str">
        <f>HYPERLINK("http://digipan.lumentumllc.com/apps/getLink/index.php?t=TaxLink&amp;p=5244561","TL")</f>
        <v>TL</v>
      </c>
      <c r="C2173" s="1" t="str">
        <f>HYPERLINK("http://digipan.lumentumllc.com/apps/getMap/index.php?p=5244561","Map")</f>
        <v>Map</v>
      </c>
      <c r="E2173" t="s">
        <v>177</v>
      </c>
      <c r="F2173" t="s">
        <v>178</v>
      </c>
      <c r="L2173" t="s">
        <v>25307</v>
      </c>
      <c r="N2173" t="s">
        <v>25307</v>
      </c>
      <c r="O2173" t="s">
        <v>25307</v>
      </c>
      <c r="P2173" t="s">
        <v>25308</v>
      </c>
      <c r="Q2173" t="s">
        <v>25307</v>
      </c>
      <c r="V2173">
        <v>2483</v>
      </c>
      <c r="W2173">
        <v>8</v>
      </c>
      <c r="X2173">
        <v>2017</v>
      </c>
      <c r="Y2173">
        <v>2018</v>
      </c>
      <c r="Z2173">
        <v>578.91</v>
      </c>
      <c r="AB2173" t="s">
        <v>181</v>
      </c>
      <c r="AC2173" t="s">
        <v>182</v>
      </c>
      <c r="AD2173" t="s">
        <v>183</v>
      </c>
      <c r="AE2173">
        <v>1</v>
      </c>
      <c r="AF2173">
        <v>7</v>
      </c>
      <c r="AG2173" t="s">
        <v>418</v>
      </c>
      <c r="AH2173">
        <v>86</v>
      </c>
      <c r="AI2173">
        <v>472.92</v>
      </c>
      <c r="AJ2173">
        <v>66.209999999999994</v>
      </c>
      <c r="AK2173">
        <v>539.13</v>
      </c>
      <c r="AL2173">
        <v>36300</v>
      </c>
      <c r="AM2173">
        <v>36300</v>
      </c>
      <c r="AN2173">
        <v>0</v>
      </c>
      <c r="AO2173">
        <v>412</v>
      </c>
      <c r="AP2173">
        <v>2016</v>
      </c>
      <c r="AQ2173">
        <v>1.59</v>
      </c>
      <c r="AR2173">
        <v>1.49</v>
      </c>
      <c r="AS2173" t="s">
        <v>25309</v>
      </c>
      <c r="AT2173" t="s">
        <v>15040</v>
      </c>
      <c r="AU2173" t="s">
        <v>177</v>
      </c>
      <c r="AV2173" t="s">
        <v>371</v>
      </c>
      <c r="AW2173" t="s">
        <v>182</v>
      </c>
      <c r="AX2173">
        <v>0</v>
      </c>
      <c r="AY2173" t="s">
        <v>312</v>
      </c>
      <c r="AZ2173" t="s">
        <v>199</v>
      </c>
      <c r="BA2173" t="s">
        <v>313</v>
      </c>
      <c r="BB2173" t="s">
        <v>191</v>
      </c>
      <c r="BC2173" t="s">
        <v>182</v>
      </c>
      <c r="BD2173" t="s">
        <v>182</v>
      </c>
      <c r="BE2173" t="s">
        <v>5985</v>
      </c>
      <c r="BF2173">
        <v>0</v>
      </c>
      <c r="BG2173">
        <v>0</v>
      </c>
      <c r="BH2173">
        <v>0</v>
      </c>
      <c r="BI2173" t="s">
        <v>199</v>
      </c>
      <c r="BJ2173" t="s">
        <v>396</v>
      </c>
      <c r="BL2173" t="s">
        <v>199</v>
      </c>
      <c r="BM2173" t="s">
        <v>286</v>
      </c>
      <c r="BN2173" t="s">
        <v>182</v>
      </c>
      <c r="BO2173" t="s">
        <v>198</v>
      </c>
      <c r="BP2173" t="s">
        <v>198</v>
      </c>
      <c r="BQ2173" t="s">
        <v>198</v>
      </c>
      <c r="BR2173" t="s">
        <v>198</v>
      </c>
      <c r="BS2173" t="s">
        <v>198</v>
      </c>
      <c r="BT2173" t="s">
        <v>198</v>
      </c>
      <c r="BU2173" t="s">
        <v>182</v>
      </c>
      <c r="BV2173" t="s">
        <v>198</v>
      </c>
      <c r="BW2173" t="s">
        <v>198</v>
      </c>
      <c r="BX2173" t="s">
        <v>199</v>
      </c>
      <c r="BY2173" t="s">
        <v>198</v>
      </c>
      <c r="BZ2173" t="s">
        <v>199</v>
      </c>
      <c r="CA2173" t="s">
        <v>199</v>
      </c>
      <c r="CB2173" t="s">
        <v>23487</v>
      </c>
      <c r="CC2173" t="s">
        <v>201</v>
      </c>
      <c r="CD2173" t="s">
        <v>202</v>
      </c>
      <c r="CE2173" t="s">
        <v>23488</v>
      </c>
      <c r="CF2173" t="s">
        <v>5331</v>
      </c>
      <c r="CG2173" t="s">
        <v>177</v>
      </c>
      <c r="CH2173" t="s">
        <v>5332</v>
      </c>
      <c r="CI2173" t="s">
        <v>25310</v>
      </c>
      <c r="CJ2173" t="s">
        <v>23696</v>
      </c>
      <c r="CK2173" t="s">
        <v>232</v>
      </c>
      <c r="CL2173" t="s">
        <v>233</v>
      </c>
      <c r="CM2173" t="s">
        <v>25311</v>
      </c>
      <c r="CN2173" t="s">
        <v>484</v>
      </c>
      <c r="CO2173" t="s">
        <v>183</v>
      </c>
      <c r="CP2173" t="s">
        <v>266</v>
      </c>
      <c r="CS2173" t="s">
        <v>198</v>
      </c>
      <c r="CT2173" t="s">
        <v>4143</v>
      </c>
      <c r="CU2173" t="s">
        <v>292</v>
      </c>
      <c r="CV2173" t="s">
        <v>293</v>
      </c>
      <c r="CW2173" t="s">
        <v>25312</v>
      </c>
      <c r="CX2173" t="s">
        <v>482</v>
      </c>
      <c r="CY2173" t="s">
        <v>183</v>
      </c>
      <c r="CZ2173" t="s">
        <v>211</v>
      </c>
      <c r="DA2173" t="s">
        <v>298</v>
      </c>
      <c r="DC2173" t="s">
        <v>1641</v>
      </c>
      <c r="DD2173" t="s">
        <v>22189</v>
      </c>
      <c r="DE2173" t="s">
        <v>267</v>
      </c>
      <c r="DF2173" t="s">
        <v>268</v>
      </c>
      <c r="DG2173" t="s">
        <v>25313</v>
      </c>
      <c r="DH2173" t="s">
        <v>482</v>
      </c>
      <c r="DI2173" t="s">
        <v>183</v>
      </c>
      <c r="DJ2173" t="s">
        <v>211</v>
      </c>
      <c r="DK2173" t="s">
        <v>525</v>
      </c>
      <c r="DM2173" t="s">
        <v>1641</v>
      </c>
      <c r="DN2173" t="s">
        <v>18613</v>
      </c>
      <c r="DO2173" t="s">
        <v>273</v>
      </c>
      <c r="DP2173" t="s">
        <v>274</v>
      </c>
      <c r="DQ2173" t="s">
        <v>25314</v>
      </c>
      <c r="DR2173" t="s">
        <v>511</v>
      </c>
      <c r="DS2173" t="s">
        <v>183</v>
      </c>
      <c r="DT2173" t="s">
        <v>211</v>
      </c>
      <c r="DU2173" t="s">
        <v>298</v>
      </c>
      <c r="DW2173" t="s">
        <v>5484</v>
      </c>
      <c r="DX2173" t="s">
        <v>25315</v>
      </c>
      <c r="DY2173" t="s">
        <v>302</v>
      </c>
      <c r="DZ2173" t="s">
        <v>303</v>
      </c>
      <c r="EA2173" t="s">
        <v>25316</v>
      </c>
      <c r="EB2173" t="s">
        <v>331</v>
      </c>
      <c r="EC2173" t="s">
        <v>183</v>
      </c>
      <c r="ED2173" t="s">
        <v>211</v>
      </c>
      <c r="EE2173" t="s">
        <v>337</v>
      </c>
      <c r="EG2173" t="s">
        <v>25287</v>
      </c>
      <c r="EH2173" t="s">
        <v>5732</v>
      </c>
      <c r="EI2173" t="s">
        <v>238</v>
      </c>
      <c r="EJ2173" t="s">
        <v>239</v>
      </c>
      <c r="EK2173" t="s">
        <v>25317</v>
      </c>
      <c r="EL2173" t="s">
        <v>1491</v>
      </c>
      <c r="EM2173" t="s">
        <v>183</v>
      </c>
      <c r="EN2173" t="s">
        <v>211</v>
      </c>
      <c r="EO2173" t="s">
        <v>298</v>
      </c>
      <c r="EQ2173" t="s">
        <v>14910</v>
      </c>
      <c r="ER2173" t="s">
        <v>25318</v>
      </c>
      <c r="ES2173" t="s">
        <v>346</v>
      </c>
      <c r="ET2173" t="s">
        <v>347</v>
      </c>
      <c r="EU2173" t="s">
        <v>25319</v>
      </c>
      <c r="EV2173" t="s">
        <v>2515</v>
      </c>
      <c r="EW2173" t="s">
        <v>183</v>
      </c>
      <c r="EX2173" t="s">
        <v>211</v>
      </c>
      <c r="EY2173" t="s">
        <v>1128</v>
      </c>
      <c r="FA2173" t="s">
        <v>25287</v>
      </c>
      <c r="FB2173" t="s">
        <v>25320</v>
      </c>
      <c r="FC2173" t="s">
        <v>207</v>
      </c>
      <c r="FD2173" t="s">
        <v>208</v>
      </c>
      <c r="FE2173" t="s">
        <v>25321</v>
      </c>
      <c r="FF2173" t="s">
        <v>1966</v>
      </c>
      <c r="FG2173" t="s">
        <v>183</v>
      </c>
      <c r="FH2173" t="s">
        <v>211</v>
      </c>
      <c r="FI2173" t="s">
        <v>298</v>
      </c>
      <c r="FK2173" t="s">
        <v>1167</v>
      </c>
      <c r="FU2173" t="s">
        <v>198</v>
      </c>
    </row>
    <row r="2174" spans="1:177">
      <c r="A2174" s="1" t="str">
        <f>HYPERLINK("http://digipan.lumentumllc.com/apps/getLink/index.php?t=PropLink&amp;p=5244562","PL")</f>
        <v>PL</v>
      </c>
      <c r="B2174" s="1" t="str">
        <f>HYPERLINK("http://digipan.lumentumllc.com/apps/getLink/index.php?t=TaxLink&amp;p=5244562","TL")</f>
        <v>TL</v>
      </c>
      <c r="C2174" s="1" t="str">
        <f>HYPERLINK("http://digipan.lumentumllc.com/apps/getMap/index.php?p=5244562","Map")</f>
        <v>Map</v>
      </c>
      <c r="E2174" t="s">
        <v>177</v>
      </c>
      <c r="F2174" t="s">
        <v>178</v>
      </c>
      <c r="L2174" t="s">
        <v>25322</v>
      </c>
      <c r="N2174" t="s">
        <v>25322</v>
      </c>
      <c r="O2174" t="s">
        <v>25322</v>
      </c>
      <c r="P2174" t="s">
        <v>25323</v>
      </c>
      <c r="Q2174" t="s">
        <v>25322</v>
      </c>
      <c r="V2174">
        <v>2484</v>
      </c>
      <c r="W2174">
        <v>8</v>
      </c>
      <c r="X2174">
        <v>2017</v>
      </c>
      <c r="Y2174">
        <v>2018</v>
      </c>
      <c r="Z2174">
        <v>73.44</v>
      </c>
      <c r="AB2174" t="s">
        <v>181</v>
      </c>
      <c r="AC2174" t="s">
        <v>182</v>
      </c>
      <c r="AD2174" t="s">
        <v>183</v>
      </c>
      <c r="AE2174">
        <v>1</v>
      </c>
      <c r="AF2174">
        <v>7</v>
      </c>
      <c r="AG2174" t="s">
        <v>418</v>
      </c>
      <c r="AH2174">
        <v>86</v>
      </c>
      <c r="AI2174">
        <v>60.78</v>
      </c>
      <c r="AJ2174">
        <v>10.79</v>
      </c>
      <c r="AK2174">
        <v>71.569999999999993</v>
      </c>
      <c r="AL2174">
        <v>2750</v>
      </c>
      <c r="AM2174">
        <v>2750</v>
      </c>
      <c r="AN2174">
        <v>0</v>
      </c>
      <c r="AO2174">
        <v>31</v>
      </c>
      <c r="AP2174">
        <v>2016</v>
      </c>
      <c r="AQ2174">
        <v>2.67</v>
      </c>
      <c r="AR2174">
        <v>2.6</v>
      </c>
      <c r="AS2174" t="s">
        <v>25324</v>
      </c>
      <c r="AT2174" t="s">
        <v>15040</v>
      </c>
      <c r="AU2174" t="s">
        <v>177</v>
      </c>
      <c r="AV2174" t="s">
        <v>371</v>
      </c>
      <c r="AW2174" t="s">
        <v>182</v>
      </c>
      <c r="AX2174">
        <v>0</v>
      </c>
      <c r="AY2174" t="s">
        <v>312</v>
      </c>
      <c r="AZ2174" t="s">
        <v>199</v>
      </c>
      <c r="BA2174" t="s">
        <v>313</v>
      </c>
      <c r="BB2174" t="s">
        <v>191</v>
      </c>
      <c r="BC2174" t="s">
        <v>182</v>
      </c>
      <c r="BD2174" t="s">
        <v>182</v>
      </c>
      <c r="BE2174" t="s">
        <v>11838</v>
      </c>
      <c r="BF2174">
        <v>0</v>
      </c>
      <c r="BG2174">
        <v>0</v>
      </c>
      <c r="BH2174">
        <v>0</v>
      </c>
      <c r="BI2174" t="s">
        <v>199</v>
      </c>
      <c r="BJ2174" t="s">
        <v>396</v>
      </c>
      <c r="BL2174" t="s">
        <v>199</v>
      </c>
      <c r="BM2174" t="s">
        <v>286</v>
      </c>
      <c r="BN2174" t="s">
        <v>182</v>
      </c>
      <c r="BO2174" t="s">
        <v>198</v>
      </c>
      <c r="BP2174" t="s">
        <v>198</v>
      </c>
      <c r="BQ2174" t="s">
        <v>198</v>
      </c>
      <c r="BR2174" t="s">
        <v>198</v>
      </c>
      <c r="BS2174" t="s">
        <v>198</v>
      </c>
      <c r="BT2174" t="s">
        <v>198</v>
      </c>
      <c r="BU2174" t="s">
        <v>182</v>
      </c>
      <c r="BV2174" t="s">
        <v>198</v>
      </c>
      <c r="BW2174" t="s">
        <v>198</v>
      </c>
      <c r="BX2174" t="s">
        <v>199</v>
      </c>
      <c r="BY2174" t="s">
        <v>198</v>
      </c>
      <c r="BZ2174" t="s">
        <v>199</v>
      </c>
      <c r="CA2174" t="s">
        <v>199</v>
      </c>
      <c r="CB2174" t="s">
        <v>23487</v>
      </c>
      <c r="CC2174" t="s">
        <v>201</v>
      </c>
      <c r="CD2174" t="s">
        <v>202</v>
      </c>
      <c r="CE2174" t="s">
        <v>23488</v>
      </c>
      <c r="CF2174" t="s">
        <v>5331</v>
      </c>
      <c r="CG2174" t="s">
        <v>177</v>
      </c>
      <c r="CH2174" t="s">
        <v>5332</v>
      </c>
      <c r="CI2174" t="s">
        <v>25325</v>
      </c>
      <c r="CJ2174" t="s">
        <v>17674</v>
      </c>
      <c r="CK2174" t="s">
        <v>232</v>
      </c>
      <c r="CL2174" t="s">
        <v>233</v>
      </c>
      <c r="CM2174" t="s">
        <v>25326</v>
      </c>
      <c r="CN2174" t="s">
        <v>486</v>
      </c>
      <c r="CO2174" t="s">
        <v>183</v>
      </c>
      <c r="CP2174" t="s">
        <v>266</v>
      </c>
      <c r="CS2174" t="s">
        <v>198</v>
      </c>
      <c r="CT2174" t="s">
        <v>25148</v>
      </c>
      <c r="CU2174" t="s">
        <v>292</v>
      </c>
      <c r="CV2174" t="s">
        <v>293</v>
      </c>
      <c r="CW2174" t="s">
        <v>20754</v>
      </c>
      <c r="CX2174" t="s">
        <v>482</v>
      </c>
      <c r="CY2174" t="s">
        <v>183</v>
      </c>
      <c r="CZ2174" t="s">
        <v>211</v>
      </c>
      <c r="DA2174" t="s">
        <v>298</v>
      </c>
      <c r="DC2174" t="s">
        <v>1641</v>
      </c>
      <c r="DD2174" t="s">
        <v>5404</v>
      </c>
      <c r="DE2174" t="s">
        <v>267</v>
      </c>
      <c r="DF2174" t="s">
        <v>268</v>
      </c>
      <c r="DG2174" t="s">
        <v>25327</v>
      </c>
      <c r="DH2174" t="s">
        <v>482</v>
      </c>
      <c r="DI2174" t="s">
        <v>183</v>
      </c>
      <c r="DJ2174" t="s">
        <v>211</v>
      </c>
      <c r="DK2174" t="s">
        <v>525</v>
      </c>
      <c r="DM2174" t="s">
        <v>1641</v>
      </c>
      <c r="DN2174" t="s">
        <v>1108</v>
      </c>
      <c r="DO2174" t="s">
        <v>273</v>
      </c>
      <c r="DP2174" t="s">
        <v>274</v>
      </c>
      <c r="DQ2174" t="s">
        <v>25328</v>
      </c>
      <c r="DR2174" t="s">
        <v>482</v>
      </c>
      <c r="DS2174" t="s">
        <v>183</v>
      </c>
      <c r="DT2174" t="s">
        <v>211</v>
      </c>
      <c r="DU2174" t="s">
        <v>298</v>
      </c>
      <c r="DW2174" t="s">
        <v>5484</v>
      </c>
      <c r="DX2174" t="s">
        <v>25329</v>
      </c>
      <c r="DY2174" t="s">
        <v>302</v>
      </c>
      <c r="DZ2174" t="s">
        <v>303</v>
      </c>
      <c r="EA2174" t="s">
        <v>25330</v>
      </c>
      <c r="EB2174" t="s">
        <v>341</v>
      </c>
      <c r="EC2174" t="s">
        <v>183</v>
      </c>
      <c r="ED2174" t="s">
        <v>211</v>
      </c>
      <c r="EE2174" t="s">
        <v>337</v>
      </c>
      <c r="EG2174" t="s">
        <v>25287</v>
      </c>
      <c r="EH2174" t="s">
        <v>4805</v>
      </c>
      <c r="EI2174" t="s">
        <v>238</v>
      </c>
      <c r="EJ2174" t="s">
        <v>239</v>
      </c>
      <c r="EK2174" t="s">
        <v>25331</v>
      </c>
      <c r="EL2174" t="s">
        <v>4595</v>
      </c>
      <c r="EM2174" t="s">
        <v>183</v>
      </c>
      <c r="EN2174" t="s">
        <v>211</v>
      </c>
      <c r="EO2174" t="s">
        <v>298</v>
      </c>
      <c r="EQ2174" t="s">
        <v>14910</v>
      </c>
      <c r="ER2174" t="s">
        <v>25332</v>
      </c>
      <c r="ES2174" t="s">
        <v>346</v>
      </c>
      <c r="ET2174" t="s">
        <v>347</v>
      </c>
      <c r="EU2174" t="s">
        <v>25333</v>
      </c>
      <c r="EV2174" t="s">
        <v>1052</v>
      </c>
      <c r="EW2174" t="s">
        <v>183</v>
      </c>
      <c r="EX2174" t="s">
        <v>211</v>
      </c>
      <c r="EY2174" t="s">
        <v>1128</v>
      </c>
      <c r="FA2174" t="s">
        <v>25287</v>
      </c>
      <c r="FB2174" t="s">
        <v>25334</v>
      </c>
      <c r="FC2174" t="s">
        <v>207</v>
      </c>
      <c r="FD2174" t="s">
        <v>208</v>
      </c>
      <c r="FE2174" t="s">
        <v>25335</v>
      </c>
      <c r="FF2174" t="s">
        <v>235</v>
      </c>
      <c r="FG2174" t="s">
        <v>183</v>
      </c>
      <c r="FH2174" t="s">
        <v>211</v>
      </c>
      <c r="FI2174" t="s">
        <v>298</v>
      </c>
      <c r="FK2174" t="s">
        <v>1167</v>
      </c>
      <c r="FU2174" t="s">
        <v>198</v>
      </c>
    </row>
    <row r="2175" spans="1:177">
      <c r="A2175" s="1" t="str">
        <f>HYPERLINK("http://digipan.lumentumllc.com/apps/getLink/index.php?t=PropLink&amp;p=5244563","PL")</f>
        <v>PL</v>
      </c>
      <c r="B2175" s="1" t="str">
        <f>HYPERLINK("http://digipan.lumentumllc.com/apps/getLink/index.php?t=TaxLink&amp;p=5244563","TL")</f>
        <v>TL</v>
      </c>
      <c r="C2175" s="1" t="str">
        <f>HYPERLINK("http://digipan.lumentumllc.com/apps/getMap/index.php?p=5244563","Map")</f>
        <v>Map</v>
      </c>
      <c r="E2175" t="s">
        <v>177</v>
      </c>
      <c r="F2175" t="s">
        <v>178</v>
      </c>
      <c r="L2175" t="s">
        <v>25336</v>
      </c>
      <c r="N2175" t="s">
        <v>25336</v>
      </c>
      <c r="O2175" t="s">
        <v>25336</v>
      </c>
      <c r="P2175" t="s">
        <v>25337</v>
      </c>
      <c r="Q2175" t="s">
        <v>25336</v>
      </c>
      <c r="V2175">
        <v>2485</v>
      </c>
      <c r="W2175">
        <v>8</v>
      </c>
      <c r="X2175">
        <v>2017</v>
      </c>
      <c r="Y2175">
        <v>2018</v>
      </c>
      <c r="Z2175">
        <v>104.08</v>
      </c>
      <c r="AB2175" t="s">
        <v>181</v>
      </c>
      <c r="AC2175" t="s">
        <v>182</v>
      </c>
      <c r="AD2175" t="s">
        <v>183</v>
      </c>
      <c r="AE2175">
        <v>1</v>
      </c>
      <c r="AF2175">
        <v>7</v>
      </c>
      <c r="AG2175" t="s">
        <v>418</v>
      </c>
      <c r="AH2175">
        <v>86</v>
      </c>
      <c r="AI2175">
        <v>85.79</v>
      </c>
      <c r="AJ2175">
        <v>12.65</v>
      </c>
      <c r="AK2175">
        <v>98.44</v>
      </c>
      <c r="AL2175">
        <v>4785</v>
      </c>
      <c r="AM2175">
        <v>4785</v>
      </c>
      <c r="AN2175">
        <v>0</v>
      </c>
      <c r="AO2175">
        <v>54</v>
      </c>
      <c r="AP2175">
        <v>2016</v>
      </c>
      <c r="AQ2175">
        <v>2.1800000000000002</v>
      </c>
      <c r="AR2175">
        <v>2.06</v>
      </c>
      <c r="AS2175" t="s">
        <v>25295</v>
      </c>
      <c r="AT2175" t="s">
        <v>15040</v>
      </c>
      <c r="AU2175" t="s">
        <v>177</v>
      </c>
      <c r="AV2175" t="s">
        <v>371</v>
      </c>
      <c r="AW2175" t="s">
        <v>182</v>
      </c>
      <c r="AX2175">
        <v>0</v>
      </c>
      <c r="AY2175" t="s">
        <v>312</v>
      </c>
      <c r="AZ2175" t="s">
        <v>199</v>
      </c>
      <c r="BA2175" t="s">
        <v>313</v>
      </c>
      <c r="BB2175" t="s">
        <v>191</v>
      </c>
      <c r="BC2175" t="s">
        <v>182</v>
      </c>
      <c r="BD2175" t="s">
        <v>182</v>
      </c>
      <c r="BE2175" t="s">
        <v>12856</v>
      </c>
      <c r="BF2175">
        <v>0</v>
      </c>
      <c r="BG2175">
        <v>0</v>
      </c>
      <c r="BH2175">
        <v>0</v>
      </c>
      <c r="BI2175" t="s">
        <v>199</v>
      </c>
      <c r="BJ2175" t="s">
        <v>315</v>
      </c>
      <c r="BL2175" t="s">
        <v>199</v>
      </c>
      <c r="BM2175" t="s">
        <v>286</v>
      </c>
      <c r="BN2175" t="s">
        <v>182</v>
      </c>
      <c r="BO2175" t="s">
        <v>198</v>
      </c>
      <c r="BP2175" t="s">
        <v>198</v>
      </c>
      <c r="BQ2175" t="s">
        <v>198</v>
      </c>
      <c r="BR2175" t="s">
        <v>198</v>
      </c>
      <c r="BS2175" t="s">
        <v>198</v>
      </c>
      <c r="BT2175" t="s">
        <v>198</v>
      </c>
      <c r="BU2175" t="s">
        <v>182</v>
      </c>
      <c r="BV2175" t="s">
        <v>198</v>
      </c>
      <c r="BW2175" t="s">
        <v>198</v>
      </c>
      <c r="BX2175" t="s">
        <v>199</v>
      </c>
      <c r="BY2175" t="s">
        <v>198</v>
      </c>
      <c r="BZ2175" t="s">
        <v>199</v>
      </c>
      <c r="CA2175" t="s">
        <v>199</v>
      </c>
      <c r="CB2175" t="s">
        <v>23487</v>
      </c>
      <c r="CC2175" t="s">
        <v>201</v>
      </c>
      <c r="CD2175" t="s">
        <v>202</v>
      </c>
      <c r="CE2175" t="s">
        <v>23488</v>
      </c>
      <c r="CF2175" t="s">
        <v>5331</v>
      </c>
      <c r="CG2175" t="s">
        <v>177</v>
      </c>
      <c r="CH2175" t="s">
        <v>5332</v>
      </c>
      <c r="CI2175" t="s">
        <v>25338</v>
      </c>
      <c r="CJ2175" t="s">
        <v>9908</v>
      </c>
      <c r="CK2175" t="s">
        <v>232</v>
      </c>
      <c r="CL2175" t="s">
        <v>233</v>
      </c>
      <c r="CM2175" t="s">
        <v>25339</v>
      </c>
      <c r="CN2175" t="s">
        <v>333</v>
      </c>
      <c r="CO2175" t="s">
        <v>183</v>
      </c>
      <c r="CP2175" t="s">
        <v>266</v>
      </c>
      <c r="CS2175" t="s">
        <v>198</v>
      </c>
      <c r="CT2175" t="s">
        <v>17942</v>
      </c>
      <c r="CU2175" t="s">
        <v>292</v>
      </c>
      <c r="CV2175" t="s">
        <v>293</v>
      </c>
      <c r="CW2175" t="s">
        <v>25340</v>
      </c>
      <c r="CX2175" t="s">
        <v>482</v>
      </c>
      <c r="CY2175" t="s">
        <v>183</v>
      </c>
      <c r="CZ2175" t="s">
        <v>211</v>
      </c>
      <c r="DA2175" t="s">
        <v>298</v>
      </c>
      <c r="DC2175" t="s">
        <v>1641</v>
      </c>
      <c r="DD2175" t="s">
        <v>17087</v>
      </c>
      <c r="DE2175" t="s">
        <v>267</v>
      </c>
      <c r="DF2175" t="s">
        <v>268</v>
      </c>
      <c r="DG2175" t="s">
        <v>25341</v>
      </c>
      <c r="DH2175" t="s">
        <v>387</v>
      </c>
      <c r="DI2175" t="s">
        <v>183</v>
      </c>
      <c r="DJ2175" t="s">
        <v>211</v>
      </c>
      <c r="DK2175" t="s">
        <v>525</v>
      </c>
      <c r="DM2175" t="s">
        <v>1641</v>
      </c>
      <c r="DN2175" t="s">
        <v>18624</v>
      </c>
      <c r="DO2175" t="s">
        <v>273</v>
      </c>
      <c r="DP2175" t="s">
        <v>274</v>
      </c>
      <c r="DQ2175" t="s">
        <v>25342</v>
      </c>
      <c r="DR2175" t="s">
        <v>482</v>
      </c>
      <c r="DS2175" t="s">
        <v>183</v>
      </c>
      <c r="DT2175" t="s">
        <v>211</v>
      </c>
      <c r="DU2175" t="s">
        <v>298</v>
      </c>
      <c r="DW2175" t="s">
        <v>5484</v>
      </c>
      <c r="DX2175" t="s">
        <v>25343</v>
      </c>
      <c r="DY2175" t="s">
        <v>302</v>
      </c>
      <c r="DZ2175" t="s">
        <v>303</v>
      </c>
      <c r="EA2175" t="s">
        <v>25344</v>
      </c>
      <c r="EB2175" t="s">
        <v>341</v>
      </c>
      <c r="EC2175" t="s">
        <v>183</v>
      </c>
      <c r="ED2175" t="s">
        <v>211</v>
      </c>
      <c r="EE2175" t="s">
        <v>337</v>
      </c>
      <c r="EG2175" t="s">
        <v>25287</v>
      </c>
      <c r="EH2175" t="s">
        <v>6239</v>
      </c>
      <c r="EI2175" t="s">
        <v>238</v>
      </c>
      <c r="EJ2175" t="s">
        <v>239</v>
      </c>
      <c r="EK2175" t="s">
        <v>25345</v>
      </c>
      <c r="EL2175" t="s">
        <v>331</v>
      </c>
      <c r="EM2175" t="s">
        <v>183</v>
      </c>
      <c r="EN2175" t="s">
        <v>211</v>
      </c>
      <c r="EO2175" t="s">
        <v>298</v>
      </c>
      <c r="EQ2175" t="s">
        <v>14910</v>
      </c>
      <c r="ER2175" t="s">
        <v>25346</v>
      </c>
      <c r="ES2175" t="s">
        <v>346</v>
      </c>
      <c r="ET2175" t="s">
        <v>347</v>
      </c>
      <c r="EU2175" t="s">
        <v>25347</v>
      </c>
      <c r="EV2175" t="s">
        <v>1052</v>
      </c>
      <c r="EW2175" t="s">
        <v>183</v>
      </c>
      <c r="EX2175" t="s">
        <v>211</v>
      </c>
      <c r="EY2175" t="s">
        <v>1128</v>
      </c>
      <c r="FA2175" t="s">
        <v>25287</v>
      </c>
      <c r="FB2175" t="s">
        <v>25348</v>
      </c>
      <c r="FC2175" t="s">
        <v>207</v>
      </c>
      <c r="FD2175" t="s">
        <v>208</v>
      </c>
      <c r="FE2175" t="s">
        <v>15808</v>
      </c>
      <c r="FF2175" t="s">
        <v>402</v>
      </c>
      <c r="FG2175" t="s">
        <v>183</v>
      </c>
      <c r="FH2175" t="s">
        <v>211</v>
      </c>
      <c r="FI2175" t="s">
        <v>298</v>
      </c>
      <c r="FK2175" t="s">
        <v>1167</v>
      </c>
      <c r="FU2175" t="s">
        <v>198</v>
      </c>
    </row>
    <row r="2176" spans="1:177">
      <c r="A2176" s="1" t="str">
        <f>HYPERLINK("http://digipan.lumentumllc.com/apps/getLink/index.php?t=PropLink&amp;p=5244564","PL")</f>
        <v>PL</v>
      </c>
      <c r="B2176" s="1" t="str">
        <f>HYPERLINK("http://digipan.lumentumllc.com/apps/getLink/index.php?t=TaxLink&amp;p=5244564","TL")</f>
        <v>TL</v>
      </c>
      <c r="C2176" s="1" t="str">
        <f>HYPERLINK("http://digipan.lumentumllc.com/apps/getMap/index.php?p=5244564","Map")</f>
        <v>Map</v>
      </c>
      <c r="E2176" t="s">
        <v>177</v>
      </c>
      <c r="F2176" t="s">
        <v>178</v>
      </c>
      <c r="L2176" t="s">
        <v>25349</v>
      </c>
      <c r="N2176" t="s">
        <v>25349</v>
      </c>
      <c r="O2176" t="s">
        <v>25349</v>
      </c>
      <c r="P2176" t="s">
        <v>25350</v>
      </c>
      <c r="Q2176" t="s">
        <v>25349</v>
      </c>
      <c r="V2176">
        <v>2486</v>
      </c>
      <c r="W2176">
        <v>8</v>
      </c>
      <c r="X2176">
        <v>2017</v>
      </c>
      <c r="Y2176">
        <v>2018</v>
      </c>
      <c r="Z2176">
        <v>752.94</v>
      </c>
      <c r="AB2176" t="s">
        <v>181</v>
      </c>
      <c r="AC2176" t="s">
        <v>182</v>
      </c>
      <c r="AD2176" t="s">
        <v>183</v>
      </c>
      <c r="AE2176">
        <v>1</v>
      </c>
      <c r="AF2176">
        <v>7</v>
      </c>
      <c r="AG2176" t="s">
        <v>418</v>
      </c>
      <c r="AH2176">
        <v>86</v>
      </c>
      <c r="AI2176">
        <v>614.82000000000005</v>
      </c>
      <c r="AJ2176">
        <v>30.74</v>
      </c>
      <c r="AK2176">
        <v>645.55999999999995</v>
      </c>
      <c r="AL2176">
        <v>47850</v>
      </c>
      <c r="AM2176">
        <v>47850</v>
      </c>
      <c r="AN2176">
        <v>0</v>
      </c>
      <c r="AO2176">
        <v>544</v>
      </c>
      <c r="AP2176">
        <v>2016</v>
      </c>
      <c r="AQ2176">
        <v>1.57</v>
      </c>
      <c r="AR2176">
        <v>1.35</v>
      </c>
      <c r="AS2176" t="s">
        <v>25295</v>
      </c>
      <c r="AT2176" t="s">
        <v>15040</v>
      </c>
      <c r="AU2176" t="s">
        <v>177</v>
      </c>
      <c r="AV2176" t="s">
        <v>371</v>
      </c>
      <c r="AW2176" t="s">
        <v>182</v>
      </c>
      <c r="AX2176">
        <v>0</v>
      </c>
      <c r="AY2176" t="s">
        <v>312</v>
      </c>
      <c r="AZ2176" t="s">
        <v>199</v>
      </c>
      <c r="BA2176" t="s">
        <v>313</v>
      </c>
      <c r="BB2176" t="s">
        <v>191</v>
      </c>
      <c r="BC2176" t="s">
        <v>182</v>
      </c>
      <c r="BD2176" t="s">
        <v>182</v>
      </c>
      <c r="BE2176" t="s">
        <v>12856</v>
      </c>
      <c r="BF2176">
        <v>0</v>
      </c>
      <c r="BG2176">
        <v>0</v>
      </c>
      <c r="BH2176">
        <v>0</v>
      </c>
      <c r="BI2176" t="s">
        <v>199</v>
      </c>
      <c r="BJ2176" t="s">
        <v>315</v>
      </c>
      <c r="BL2176" t="s">
        <v>199</v>
      </c>
      <c r="BM2176" t="s">
        <v>286</v>
      </c>
      <c r="BN2176" t="s">
        <v>182</v>
      </c>
      <c r="BO2176" t="s">
        <v>198</v>
      </c>
      <c r="BP2176" t="s">
        <v>198</v>
      </c>
      <c r="BQ2176" t="s">
        <v>198</v>
      </c>
      <c r="BR2176" t="s">
        <v>198</v>
      </c>
      <c r="BS2176" t="s">
        <v>198</v>
      </c>
      <c r="BT2176" t="s">
        <v>198</v>
      </c>
      <c r="BU2176" t="s">
        <v>182</v>
      </c>
      <c r="BV2176" t="s">
        <v>198</v>
      </c>
      <c r="BW2176" t="s">
        <v>198</v>
      </c>
      <c r="BX2176" t="s">
        <v>199</v>
      </c>
      <c r="BY2176" t="s">
        <v>198</v>
      </c>
      <c r="BZ2176" t="s">
        <v>199</v>
      </c>
      <c r="CA2176" t="s">
        <v>199</v>
      </c>
      <c r="CB2176" t="s">
        <v>23487</v>
      </c>
      <c r="CC2176" t="s">
        <v>201</v>
      </c>
      <c r="CD2176" t="s">
        <v>202</v>
      </c>
      <c r="CE2176" t="s">
        <v>23488</v>
      </c>
      <c r="CF2176" t="s">
        <v>5331</v>
      </c>
      <c r="CG2176" t="s">
        <v>177</v>
      </c>
      <c r="CH2176" t="s">
        <v>5332</v>
      </c>
      <c r="CI2176" t="s">
        <v>25351</v>
      </c>
      <c r="CJ2176" t="s">
        <v>18014</v>
      </c>
      <c r="CK2176" t="s">
        <v>232</v>
      </c>
      <c r="CL2176" t="s">
        <v>233</v>
      </c>
      <c r="CM2176" t="s">
        <v>25352</v>
      </c>
      <c r="CN2176" t="s">
        <v>331</v>
      </c>
      <c r="CO2176" t="s">
        <v>183</v>
      </c>
      <c r="CP2176" t="s">
        <v>266</v>
      </c>
      <c r="CS2176" t="s">
        <v>198</v>
      </c>
      <c r="CT2176" t="s">
        <v>25353</v>
      </c>
      <c r="CU2176" t="s">
        <v>292</v>
      </c>
      <c r="CV2176" t="s">
        <v>293</v>
      </c>
      <c r="CW2176" t="s">
        <v>25354</v>
      </c>
      <c r="CX2176" t="s">
        <v>333</v>
      </c>
      <c r="CY2176" t="s">
        <v>183</v>
      </c>
      <c r="CZ2176" t="s">
        <v>211</v>
      </c>
      <c r="DA2176" t="s">
        <v>298</v>
      </c>
      <c r="DC2176" t="s">
        <v>1641</v>
      </c>
      <c r="DD2176" t="s">
        <v>17105</v>
      </c>
      <c r="DE2176" t="s">
        <v>267</v>
      </c>
      <c r="DF2176" t="s">
        <v>268</v>
      </c>
      <c r="DG2176" t="s">
        <v>25355</v>
      </c>
      <c r="DH2176" t="s">
        <v>400</v>
      </c>
      <c r="DI2176" t="s">
        <v>183</v>
      </c>
      <c r="DJ2176" t="s">
        <v>211</v>
      </c>
      <c r="DK2176" t="s">
        <v>525</v>
      </c>
      <c r="DM2176" t="s">
        <v>1641</v>
      </c>
      <c r="DN2176" t="s">
        <v>18644</v>
      </c>
      <c r="DO2176" t="s">
        <v>273</v>
      </c>
      <c r="DP2176" t="s">
        <v>274</v>
      </c>
      <c r="DQ2176" t="s">
        <v>25356</v>
      </c>
      <c r="DR2176" t="s">
        <v>511</v>
      </c>
      <c r="DS2176" t="s">
        <v>183</v>
      </c>
      <c r="DT2176" t="s">
        <v>211</v>
      </c>
      <c r="DU2176" t="s">
        <v>298</v>
      </c>
      <c r="DW2176" t="s">
        <v>5484</v>
      </c>
      <c r="DX2176" t="s">
        <v>20797</v>
      </c>
      <c r="DY2176" t="s">
        <v>302</v>
      </c>
      <c r="DZ2176" t="s">
        <v>303</v>
      </c>
      <c r="EA2176" t="s">
        <v>25357</v>
      </c>
      <c r="EB2176" t="s">
        <v>331</v>
      </c>
      <c r="EC2176" t="s">
        <v>183</v>
      </c>
      <c r="ED2176" t="s">
        <v>211</v>
      </c>
      <c r="EE2176" t="s">
        <v>337</v>
      </c>
      <c r="EG2176" t="s">
        <v>25287</v>
      </c>
      <c r="EH2176" t="s">
        <v>4854</v>
      </c>
      <c r="EI2176" t="s">
        <v>238</v>
      </c>
      <c r="EJ2176" t="s">
        <v>239</v>
      </c>
      <c r="EK2176" t="s">
        <v>25358</v>
      </c>
      <c r="EL2176" t="s">
        <v>1491</v>
      </c>
      <c r="EM2176" t="s">
        <v>183</v>
      </c>
      <c r="EN2176" t="s">
        <v>211</v>
      </c>
      <c r="EO2176" t="s">
        <v>298</v>
      </c>
      <c r="EQ2176" t="s">
        <v>14910</v>
      </c>
      <c r="ER2176" t="s">
        <v>25359</v>
      </c>
      <c r="ES2176" t="s">
        <v>346</v>
      </c>
      <c r="ET2176" t="s">
        <v>347</v>
      </c>
      <c r="EU2176" t="s">
        <v>25360</v>
      </c>
      <c r="EV2176" t="s">
        <v>391</v>
      </c>
      <c r="EW2176" t="s">
        <v>183</v>
      </c>
      <c r="EX2176" t="s">
        <v>211</v>
      </c>
      <c r="EY2176" t="s">
        <v>1067</v>
      </c>
      <c r="FA2176" t="s">
        <v>7114</v>
      </c>
      <c r="FB2176" t="s">
        <v>25361</v>
      </c>
      <c r="FC2176" t="s">
        <v>207</v>
      </c>
      <c r="FD2176" t="s">
        <v>208</v>
      </c>
      <c r="FE2176" t="s">
        <v>25362</v>
      </c>
      <c r="FF2176" t="s">
        <v>341</v>
      </c>
      <c r="FG2176" t="s">
        <v>183</v>
      </c>
      <c r="FH2176" t="s">
        <v>211</v>
      </c>
      <c r="FI2176" t="s">
        <v>298</v>
      </c>
      <c r="FK2176" t="s">
        <v>1167</v>
      </c>
      <c r="FU2176" t="s">
        <v>198</v>
      </c>
    </row>
    <row r="2177" spans="1:177">
      <c r="A2177" s="1" t="str">
        <f>HYPERLINK("http://digipan.lumentumllc.com/apps/getLink/index.php?t=PropLink&amp;p=5244565","PL")</f>
        <v>PL</v>
      </c>
      <c r="B2177" s="1" t="str">
        <f>HYPERLINK("http://digipan.lumentumllc.com/apps/getLink/index.php?t=TaxLink&amp;p=5244565","TL")</f>
        <v>TL</v>
      </c>
      <c r="C2177" s="1" t="str">
        <f>HYPERLINK("http://digipan.lumentumllc.com/apps/getMap/index.php?p=5244565","Map")</f>
        <v>Map</v>
      </c>
      <c r="E2177" t="s">
        <v>177</v>
      </c>
      <c r="F2177" t="s">
        <v>178</v>
      </c>
      <c r="L2177" t="s">
        <v>25363</v>
      </c>
      <c r="N2177" t="s">
        <v>25363</v>
      </c>
      <c r="O2177" t="s">
        <v>25363</v>
      </c>
      <c r="P2177" t="s">
        <v>25364</v>
      </c>
      <c r="Q2177" t="s">
        <v>25363</v>
      </c>
      <c r="V2177">
        <v>2487</v>
      </c>
      <c r="W2177">
        <v>8</v>
      </c>
      <c r="X2177">
        <v>2017</v>
      </c>
      <c r="Y2177">
        <v>2018</v>
      </c>
      <c r="Z2177">
        <v>1274.98</v>
      </c>
      <c r="AB2177" t="s">
        <v>181</v>
      </c>
      <c r="AC2177" t="s">
        <v>182</v>
      </c>
      <c r="AD2177" t="s">
        <v>183</v>
      </c>
      <c r="AE2177">
        <v>1</v>
      </c>
      <c r="AF2177">
        <v>7</v>
      </c>
      <c r="AG2177" t="s">
        <v>418</v>
      </c>
      <c r="AH2177">
        <v>86</v>
      </c>
      <c r="AI2177">
        <v>1040.46</v>
      </c>
      <c r="AJ2177">
        <v>52.02</v>
      </c>
      <c r="AK2177">
        <v>1092.48</v>
      </c>
      <c r="AL2177">
        <v>82500</v>
      </c>
      <c r="AM2177">
        <v>82500</v>
      </c>
      <c r="AN2177">
        <v>0</v>
      </c>
      <c r="AO2177">
        <v>937</v>
      </c>
      <c r="AP2177">
        <v>2016</v>
      </c>
      <c r="AQ2177">
        <v>1.55</v>
      </c>
      <c r="AR2177">
        <v>1.32</v>
      </c>
      <c r="AS2177" t="s">
        <v>25280</v>
      </c>
      <c r="AT2177" t="s">
        <v>15040</v>
      </c>
      <c r="AU2177" t="s">
        <v>177</v>
      </c>
      <c r="AV2177" t="s">
        <v>371</v>
      </c>
      <c r="AW2177" t="s">
        <v>182</v>
      </c>
      <c r="AX2177">
        <v>0</v>
      </c>
      <c r="AY2177" t="s">
        <v>312</v>
      </c>
      <c r="AZ2177" t="s">
        <v>199</v>
      </c>
      <c r="BA2177" t="s">
        <v>313</v>
      </c>
      <c r="BB2177" t="s">
        <v>191</v>
      </c>
      <c r="BC2177" t="s">
        <v>182</v>
      </c>
      <c r="BD2177" t="s">
        <v>182</v>
      </c>
      <c r="BE2177" t="s">
        <v>3956</v>
      </c>
      <c r="BF2177">
        <v>0</v>
      </c>
      <c r="BG2177">
        <v>0</v>
      </c>
      <c r="BH2177">
        <v>0</v>
      </c>
      <c r="BI2177" t="s">
        <v>199</v>
      </c>
      <c r="BJ2177" t="s">
        <v>315</v>
      </c>
      <c r="BL2177" t="s">
        <v>199</v>
      </c>
      <c r="BM2177" t="s">
        <v>286</v>
      </c>
      <c r="BN2177" t="s">
        <v>182</v>
      </c>
      <c r="BO2177" t="s">
        <v>198</v>
      </c>
      <c r="BP2177" t="s">
        <v>198</v>
      </c>
      <c r="BQ2177" t="s">
        <v>198</v>
      </c>
      <c r="BR2177" t="s">
        <v>198</v>
      </c>
      <c r="BS2177" t="s">
        <v>198</v>
      </c>
      <c r="BT2177" t="s">
        <v>198</v>
      </c>
      <c r="BU2177" t="s">
        <v>182</v>
      </c>
      <c r="BV2177" t="s">
        <v>198</v>
      </c>
      <c r="BW2177" t="s">
        <v>198</v>
      </c>
      <c r="BX2177" t="s">
        <v>199</v>
      </c>
      <c r="BY2177" t="s">
        <v>198</v>
      </c>
      <c r="BZ2177" t="s">
        <v>199</v>
      </c>
      <c r="CA2177" t="s">
        <v>199</v>
      </c>
      <c r="CB2177" t="s">
        <v>23487</v>
      </c>
      <c r="CC2177" t="s">
        <v>201</v>
      </c>
      <c r="CD2177" t="s">
        <v>202</v>
      </c>
      <c r="CE2177" t="s">
        <v>23488</v>
      </c>
      <c r="CF2177" t="s">
        <v>5331</v>
      </c>
      <c r="CG2177" t="s">
        <v>177</v>
      </c>
      <c r="CH2177" t="s">
        <v>5332</v>
      </c>
      <c r="CI2177" t="s">
        <v>25365</v>
      </c>
      <c r="CJ2177" t="s">
        <v>24589</v>
      </c>
      <c r="CK2177" t="s">
        <v>232</v>
      </c>
      <c r="CL2177" t="s">
        <v>233</v>
      </c>
      <c r="CM2177" t="s">
        <v>25366</v>
      </c>
      <c r="CN2177" t="s">
        <v>235</v>
      </c>
      <c r="CO2177" t="s">
        <v>183</v>
      </c>
      <c r="CP2177" t="s">
        <v>266</v>
      </c>
      <c r="CS2177" t="s">
        <v>198</v>
      </c>
      <c r="CT2177" t="s">
        <v>9780</v>
      </c>
      <c r="CU2177" t="s">
        <v>292</v>
      </c>
      <c r="CV2177" t="s">
        <v>293</v>
      </c>
      <c r="CW2177" t="s">
        <v>25107</v>
      </c>
      <c r="CX2177" t="s">
        <v>235</v>
      </c>
      <c r="CY2177" t="s">
        <v>183</v>
      </c>
      <c r="CZ2177" t="s">
        <v>211</v>
      </c>
      <c r="DA2177" t="s">
        <v>298</v>
      </c>
      <c r="DC2177" t="s">
        <v>1641</v>
      </c>
      <c r="DD2177" t="s">
        <v>25367</v>
      </c>
      <c r="DE2177" t="s">
        <v>267</v>
      </c>
      <c r="DF2177" t="s">
        <v>268</v>
      </c>
      <c r="DG2177" t="s">
        <v>25368</v>
      </c>
      <c r="DH2177" t="s">
        <v>400</v>
      </c>
      <c r="DI2177" t="s">
        <v>183</v>
      </c>
      <c r="DJ2177" t="s">
        <v>211</v>
      </c>
      <c r="DK2177" t="s">
        <v>525</v>
      </c>
      <c r="DM2177" t="s">
        <v>1641</v>
      </c>
      <c r="DN2177" t="s">
        <v>10369</v>
      </c>
      <c r="DO2177" t="s">
        <v>273</v>
      </c>
      <c r="DP2177" t="s">
        <v>274</v>
      </c>
      <c r="DQ2177" t="s">
        <v>25369</v>
      </c>
      <c r="DR2177" t="s">
        <v>796</v>
      </c>
      <c r="DS2177" t="s">
        <v>183</v>
      </c>
      <c r="DT2177" t="s">
        <v>211</v>
      </c>
      <c r="DU2177" t="s">
        <v>298</v>
      </c>
      <c r="DW2177" t="s">
        <v>5484</v>
      </c>
      <c r="DX2177" t="s">
        <v>21552</v>
      </c>
      <c r="DY2177" t="s">
        <v>302</v>
      </c>
      <c r="DZ2177" t="s">
        <v>303</v>
      </c>
      <c r="EA2177" t="s">
        <v>2007</v>
      </c>
      <c r="EB2177" t="s">
        <v>1341</v>
      </c>
      <c r="EC2177" t="s">
        <v>183</v>
      </c>
      <c r="ED2177" t="s">
        <v>211</v>
      </c>
      <c r="EE2177" t="s">
        <v>337</v>
      </c>
      <c r="EG2177" t="s">
        <v>25287</v>
      </c>
      <c r="EH2177" t="s">
        <v>6397</v>
      </c>
      <c r="EI2177" t="s">
        <v>238</v>
      </c>
      <c r="EJ2177" t="s">
        <v>239</v>
      </c>
      <c r="EK2177" t="s">
        <v>25370</v>
      </c>
      <c r="EL2177" t="s">
        <v>1491</v>
      </c>
      <c r="EM2177" t="s">
        <v>183</v>
      </c>
      <c r="EN2177" t="s">
        <v>211</v>
      </c>
      <c r="EO2177" t="s">
        <v>298</v>
      </c>
      <c r="EQ2177" t="s">
        <v>1815</v>
      </c>
      <c r="ER2177" t="s">
        <v>25371</v>
      </c>
      <c r="ES2177" t="s">
        <v>346</v>
      </c>
      <c r="ET2177" t="s">
        <v>347</v>
      </c>
      <c r="EU2177" t="s">
        <v>25372</v>
      </c>
      <c r="EV2177" t="s">
        <v>391</v>
      </c>
      <c r="EW2177" t="s">
        <v>183</v>
      </c>
      <c r="EX2177" t="s">
        <v>211</v>
      </c>
      <c r="EY2177" t="s">
        <v>1067</v>
      </c>
      <c r="FA2177" t="s">
        <v>7114</v>
      </c>
      <c r="FB2177" t="s">
        <v>25373</v>
      </c>
      <c r="FC2177" t="s">
        <v>207</v>
      </c>
      <c r="FD2177" t="s">
        <v>208</v>
      </c>
      <c r="FE2177" t="s">
        <v>25374</v>
      </c>
      <c r="FF2177" t="s">
        <v>1966</v>
      </c>
      <c r="FG2177" t="s">
        <v>183</v>
      </c>
      <c r="FH2177" t="s">
        <v>211</v>
      </c>
      <c r="FI2177" t="s">
        <v>298</v>
      </c>
      <c r="FK2177" t="s">
        <v>1167</v>
      </c>
      <c r="FU2177" t="s">
        <v>198</v>
      </c>
    </row>
    <row r="2178" spans="1:177">
      <c r="A2178" s="1" t="str">
        <f>HYPERLINK("http://digipan.lumentumllc.com/apps/getLink/index.php?t=PropLink&amp;p=5244566","PL")</f>
        <v>PL</v>
      </c>
      <c r="B2178" s="1" t="str">
        <f>HYPERLINK("http://digipan.lumentumllc.com/apps/getLink/index.php?t=TaxLink&amp;p=5244566","TL")</f>
        <v>TL</v>
      </c>
      <c r="C2178" s="1" t="str">
        <f>HYPERLINK("http://digipan.lumentumllc.com/apps/getMap/index.php?p=5244566","Map")</f>
        <v>Map</v>
      </c>
      <c r="E2178" t="s">
        <v>177</v>
      </c>
      <c r="F2178" t="s">
        <v>178</v>
      </c>
      <c r="L2178" t="s">
        <v>25375</v>
      </c>
      <c r="N2178" t="s">
        <v>25375</v>
      </c>
      <c r="O2178" t="s">
        <v>25375</v>
      </c>
      <c r="P2178" t="s">
        <v>25376</v>
      </c>
      <c r="Q2178" t="s">
        <v>25375</v>
      </c>
      <c r="V2178">
        <v>2488</v>
      </c>
      <c r="W2178">
        <v>8</v>
      </c>
      <c r="X2178">
        <v>2017</v>
      </c>
      <c r="Y2178">
        <v>2018</v>
      </c>
      <c r="Z2178">
        <v>1274.98</v>
      </c>
      <c r="AB2178" t="s">
        <v>181</v>
      </c>
      <c r="AC2178" t="s">
        <v>182</v>
      </c>
      <c r="AD2178" t="s">
        <v>183</v>
      </c>
      <c r="AE2178">
        <v>1</v>
      </c>
      <c r="AF2178">
        <v>7</v>
      </c>
      <c r="AG2178" t="s">
        <v>418</v>
      </c>
      <c r="AH2178">
        <v>86</v>
      </c>
      <c r="AI2178">
        <v>1040.46</v>
      </c>
      <c r="AJ2178">
        <v>52.02</v>
      </c>
      <c r="AK2178">
        <v>1092.48</v>
      </c>
      <c r="AL2178">
        <v>82500</v>
      </c>
      <c r="AM2178">
        <v>82500</v>
      </c>
      <c r="AN2178">
        <v>0</v>
      </c>
      <c r="AO2178">
        <v>937</v>
      </c>
      <c r="AP2178">
        <v>2016</v>
      </c>
      <c r="AQ2178">
        <v>1.55</v>
      </c>
      <c r="AR2178">
        <v>1.32</v>
      </c>
      <c r="AS2178" t="s">
        <v>25280</v>
      </c>
      <c r="AT2178" t="s">
        <v>15040</v>
      </c>
      <c r="AU2178" t="s">
        <v>177</v>
      </c>
      <c r="AV2178" t="s">
        <v>371</v>
      </c>
      <c r="AW2178" t="s">
        <v>182</v>
      </c>
      <c r="AX2178">
        <v>0</v>
      </c>
      <c r="AY2178" t="s">
        <v>312</v>
      </c>
      <c r="AZ2178" t="s">
        <v>199</v>
      </c>
      <c r="BA2178" t="s">
        <v>313</v>
      </c>
      <c r="BB2178" t="s">
        <v>191</v>
      </c>
      <c r="BC2178" t="s">
        <v>182</v>
      </c>
      <c r="BD2178" t="s">
        <v>182</v>
      </c>
      <c r="BE2178" t="s">
        <v>3956</v>
      </c>
      <c r="BF2178">
        <v>0</v>
      </c>
      <c r="BG2178">
        <v>0</v>
      </c>
      <c r="BH2178">
        <v>0</v>
      </c>
      <c r="BI2178" t="s">
        <v>199</v>
      </c>
      <c r="BJ2178" t="s">
        <v>315</v>
      </c>
      <c r="BL2178" t="s">
        <v>199</v>
      </c>
      <c r="BM2178" t="s">
        <v>286</v>
      </c>
      <c r="BN2178" t="s">
        <v>182</v>
      </c>
      <c r="BO2178" t="s">
        <v>198</v>
      </c>
      <c r="BP2178" t="s">
        <v>198</v>
      </c>
      <c r="BQ2178" t="s">
        <v>198</v>
      </c>
      <c r="BR2178" t="s">
        <v>198</v>
      </c>
      <c r="BS2178" t="s">
        <v>198</v>
      </c>
      <c r="BT2178" t="s">
        <v>198</v>
      </c>
      <c r="BU2178" t="s">
        <v>182</v>
      </c>
      <c r="BV2178" t="s">
        <v>198</v>
      </c>
      <c r="BW2178" t="s">
        <v>198</v>
      </c>
      <c r="BX2178" t="s">
        <v>199</v>
      </c>
      <c r="BY2178" t="s">
        <v>198</v>
      </c>
      <c r="BZ2178" t="s">
        <v>199</v>
      </c>
      <c r="CA2178" t="s">
        <v>199</v>
      </c>
      <c r="CB2178" t="s">
        <v>23487</v>
      </c>
      <c r="CC2178" t="s">
        <v>201</v>
      </c>
      <c r="CD2178" t="s">
        <v>202</v>
      </c>
      <c r="CE2178" t="s">
        <v>23488</v>
      </c>
      <c r="CF2178" t="s">
        <v>5331</v>
      </c>
      <c r="CG2178" t="s">
        <v>177</v>
      </c>
      <c r="CH2178" t="s">
        <v>5332</v>
      </c>
      <c r="CI2178" t="s">
        <v>25377</v>
      </c>
      <c r="CJ2178" t="s">
        <v>23714</v>
      </c>
      <c r="CK2178" t="s">
        <v>232</v>
      </c>
      <c r="CL2178" t="s">
        <v>233</v>
      </c>
      <c r="CM2178" t="s">
        <v>25366</v>
      </c>
      <c r="CN2178" t="s">
        <v>235</v>
      </c>
      <c r="CO2178" t="s">
        <v>183</v>
      </c>
      <c r="CP2178" t="s">
        <v>266</v>
      </c>
      <c r="CS2178" t="s">
        <v>198</v>
      </c>
      <c r="CT2178" t="s">
        <v>9796</v>
      </c>
      <c r="CU2178" t="s">
        <v>292</v>
      </c>
      <c r="CV2178" t="s">
        <v>293</v>
      </c>
      <c r="CW2178" t="s">
        <v>25107</v>
      </c>
      <c r="CX2178" t="s">
        <v>235</v>
      </c>
      <c r="CY2178" t="s">
        <v>183</v>
      </c>
      <c r="CZ2178" t="s">
        <v>211</v>
      </c>
      <c r="DA2178" t="s">
        <v>298</v>
      </c>
      <c r="DC2178" t="s">
        <v>1641</v>
      </c>
      <c r="DD2178" t="s">
        <v>20189</v>
      </c>
      <c r="DE2178" t="s">
        <v>267</v>
      </c>
      <c r="DF2178" t="s">
        <v>268</v>
      </c>
      <c r="DG2178" t="s">
        <v>25368</v>
      </c>
      <c r="DH2178" t="s">
        <v>400</v>
      </c>
      <c r="DI2178" t="s">
        <v>183</v>
      </c>
      <c r="DJ2178" t="s">
        <v>211</v>
      </c>
      <c r="DK2178" t="s">
        <v>525</v>
      </c>
      <c r="DM2178" t="s">
        <v>1641</v>
      </c>
      <c r="DN2178" t="s">
        <v>19587</v>
      </c>
      <c r="DO2178" t="s">
        <v>273</v>
      </c>
      <c r="DP2178" t="s">
        <v>274</v>
      </c>
      <c r="DQ2178" t="s">
        <v>25369</v>
      </c>
      <c r="DR2178" t="s">
        <v>796</v>
      </c>
      <c r="DS2178" t="s">
        <v>183</v>
      </c>
      <c r="DT2178" t="s">
        <v>211</v>
      </c>
      <c r="DU2178" t="s">
        <v>298</v>
      </c>
      <c r="DW2178" t="s">
        <v>5484</v>
      </c>
      <c r="DX2178" t="s">
        <v>19861</v>
      </c>
      <c r="DY2178" t="s">
        <v>302</v>
      </c>
      <c r="DZ2178" t="s">
        <v>303</v>
      </c>
      <c r="EA2178" t="s">
        <v>2007</v>
      </c>
      <c r="EB2178" t="s">
        <v>305</v>
      </c>
      <c r="EC2178" t="s">
        <v>183</v>
      </c>
      <c r="ED2178" t="s">
        <v>211</v>
      </c>
      <c r="EE2178" t="s">
        <v>337</v>
      </c>
      <c r="EG2178" t="s">
        <v>25287</v>
      </c>
      <c r="EH2178" t="s">
        <v>5851</v>
      </c>
      <c r="EI2178" t="s">
        <v>238</v>
      </c>
      <c r="EJ2178" t="s">
        <v>239</v>
      </c>
      <c r="EK2178" t="s">
        <v>25370</v>
      </c>
      <c r="EL2178" t="s">
        <v>1491</v>
      </c>
      <c r="EM2178" t="s">
        <v>183</v>
      </c>
      <c r="EN2178" t="s">
        <v>211</v>
      </c>
      <c r="EO2178" t="s">
        <v>298</v>
      </c>
      <c r="EQ2178" t="s">
        <v>1815</v>
      </c>
      <c r="ER2178" t="s">
        <v>25378</v>
      </c>
      <c r="ES2178" t="s">
        <v>346</v>
      </c>
      <c r="ET2178" t="s">
        <v>347</v>
      </c>
      <c r="EU2178" t="s">
        <v>25372</v>
      </c>
      <c r="EV2178" t="s">
        <v>391</v>
      </c>
      <c r="EW2178" t="s">
        <v>183</v>
      </c>
      <c r="EX2178" t="s">
        <v>211</v>
      </c>
      <c r="EY2178" t="s">
        <v>1067</v>
      </c>
      <c r="FA2178" t="s">
        <v>7114</v>
      </c>
      <c r="FB2178" t="s">
        <v>25379</v>
      </c>
      <c r="FC2178" t="s">
        <v>207</v>
      </c>
      <c r="FD2178" t="s">
        <v>208</v>
      </c>
      <c r="FE2178" t="s">
        <v>25374</v>
      </c>
      <c r="FF2178" t="s">
        <v>1966</v>
      </c>
      <c r="FG2178" t="s">
        <v>183</v>
      </c>
      <c r="FH2178" t="s">
        <v>211</v>
      </c>
      <c r="FI2178" t="s">
        <v>298</v>
      </c>
      <c r="FK2178" t="s">
        <v>1167</v>
      </c>
      <c r="FU2178" t="s">
        <v>198</v>
      </c>
    </row>
    <row r="2179" spans="1:177">
      <c r="A2179" s="1" t="str">
        <f>HYPERLINK("http://digipan.lumentumllc.com/apps/getLink/index.php?t=PropLink&amp;p=5244568","PL")</f>
        <v>PL</v>
      </c>
      <c r="B2179" s="1" t="str">
        <f>HYPERLINK("http://digipan.lumentumllc.com/apps/getLink/index.php?t=TaxLink&amp;p=5244568","TL")</f>
        <v>TL</v>
      </c>
      <c r="C2179" s="1" t="str">
        <f>HYPERLINK("http://digipan.lumentumllc.com/apps/getMap/index.php?p=5244568","Map")</f>
        <v>Map</v>
      </c>
      <c r="E2179" t="s">
        <v>177</v>
      </c>
      <c r="F2179" t="s">
        <v>178</v>
      </c>
      <c r="L2179" t="s">
        <v>25380</v>
      </c>
      <c r="N2179" t="s">
        <v>25380</v>
      </c>
      <c r="O2179" t="s">
        <v>25380</v>
      </c>
      <c r="P2179" t="s">
        <v>25381</v>
      </c>
      <c r="Q2179" t="s">
        <v>25380</v>
      </c>
      <c r="V2179">
        <v>2489</v>
      </c>
      <c r="W2179">
        <v>8</v>
      </c>
      <c r="X2179">
        <v>2017</v>
      </c>
      <c r="Y2179">
        <v>2018</v>
      </c>
      <c r="Z2179">
        <v>160.37</v>
      </c>
      <c r="AB2179" t="s">
        <v>181</v>
      </c>
      <c r="AC2179" t="s">
        <v>182</v>
      </c>
      <c r="AD2179" t="s">
        <v>183</v>
      </c>
      <c r="AE2179">
        <v>1</v>
      </c>
      <c r="AF2179">
        <v>7</v>
      </c>
      <c r="AG2179" t="s">
        <v>418</v>
      </c>
      <c r="AH2179">
        <v>86</v>
      </c>
      <c r="AI2179">
        <v>136.47999999999999</v>
      </c>
      <c r="AJ2179">
        <v>20.13</v>
      </c>
      <c r="AK2179">
        <v>156.61000000000001</v>
      </c>
      <c r="AL2179">
        <v>6875</v>
      </c>
      <c r="AM2179">
        <v>6875</v>
      </c>
      <c r="AN2179">
        <v>0</v>
      </c>
      <c r="AO2179">
        <v>101</v>
      </c>
      <c r="AP2179">
        <v>2016</v>
      </c>
      <c r="AQ2179">
        <v>2.33</v>
      </c>
      <c r="AR2179">
        <v>2.2799999999999998</v>
      </c>
      <c r="AS2179" t="s">
        <v>25382</v>
      </c>
      <c r="AT2179" t="s">
        <v>15040</v>
      </c>
      <c r="AU2179" t="s">
        <v>177</v>
      </c>
      <c r="AV2179" t="s">
        <v>371</v>
      </c>
      <c r="AW2179" t="s">
        <v>182</v>
      </c>
      <c r="AX2179">
        <v>0</v>
      </c>
      <c r="AY2179" t="s">
        <v>312</v>
      </c>
      <c r="AZ2179" t="s">
        <v>199</v>
      </c>
      <c r="BA2179" t="s">
        <v>313</v>
      </c>
      <c r="BB2179" t="s">
        <v>191</v>
      </c>
      <c r="BC2179" t="s">
        <v>182</v>
      </c>
      <c r="BD2179" t="s">
        <v>182</v>
      </c>
      <c r="BE2179" t="s">
        <v>3930</v>
      </c>
      <c r="BF2179">
        <v>0</v>
      </c>
      <c r="BG2179">
        <v>0</v>
      </c>
      <c r="BH2179">
        <v>0</v>
      </c>
      <c r="BI2179" t="s">
        <v>199</v>
      </c>
      <c r="BJ2179" t="s">
        <v>396</v>
      </c>
      <c r="BL2179" t="s">
        <v>199</v>
      </c>
      <c r="BM2179" t="s">
        <v>286</v>
      </c>
      <c r="BN2179" t="s">
        <v>182</v>
      </c>
      <c r="BO2179" t="s">
        <v>198</v>
      </c>
      <c r="BP2179" t="s">
        <v>198</v>
      </c>
      <c r="BQ2179" t="s">
        <v>198</v>
      </c>
      <c r="BR2179" t="s">
        <v>198</v>
      </c>
      <c r="BS2179" t="s">
        <v>198</v>
      </c>
      <c r="BT2179" t="s">
        <v>198</v>
      </c>
      <c r="BU2179" t="s">
        <v>182</v>
      </c>
      <c r="BV2179" t="s">
        <v>198</v>
      </c>
      <c r="BW2179" t="s">
        <v>198</v>
      </c>
      <c r="BX2179" t="s">
        <v>199</v>
      </c>
      <c r="BY2179" t="s">
        <v>198</v>
      </c>
      <c r="BZ2179" t="s">
        <v>199</v>
      </c>
      <c r="CA2179" t="s">
        <v>199</v>
      </c>
      <c r="CB2179" t="s">
        <v>23487</v>
      </c>
      <c r="CC2179" t="s">
        <v>201</v>
      </c>
      <c r="CD2179" t="s">
        <v>202</v>
      </c>
      <c r="CE2179" t="s">
        <v>23488</v>
      </c>
      <c r="CF2179" t="s">
        <v>5331</v>
      </c>
      <c r="CG2179" t="s">
        <v>177</v>
      </c>
      <c r="CH2179" t="s">
        <v>5332</v>
      </c>
      <c r="CI2179" t="s">
        <v>25383</v>
      </c>
      <c r="CJ2179" t="s">
        <v>16581</v>
      </c>
      <c r="CK2179" t="s">
        <v>232</v>
      </c>
      <c r="CL2179" t="s">
        <v>233</v>
      </c>
      <c r="CM2179" t="s">
        <v>25384</v>
      </c>
      <c r="CN2179" t="s">
        <v>333</v>
      </c>
      <c r="CO2179" t="s">
        <v>183</v>
      </c>
      <c r="CP2179" t="s">
        <v>266</v>
      </c>
      <c r="CS2179" t="s">
        <v>198</v>
      </c>
      <c r="CT2179" t="s">
        <v>9813</v>
      </c>
      <c r="CU2179" t="s">
        <v>292</v>
      </c>
      <c r="CV2179" t="s">
        <v>293</v>
      </c>
      <c r="CW2179" t="s">
        <v>25385</v>
      </c>
      <c r="CX2179" t="s">
        <v>482</v>
      </c>
      <c r="CY2179" t="s">
        <v>183</v>
      </c>
      <c r="CZ2179" t="s">
        <v>211</v>
      </c>
      <c r="DA2179" t="s">
        <v>298</v>
      </c>
      <c r="DC2179" t="s">
        <v>1641</v>
      </c>
      <c r="DD2179" t="s">
        <v>18677</v>
      </c>
      <c r="DE2179" t="s">
        <v>267</v>
      </c>
      <c r="DF2179" t="s">
        <v>268</v>
      </c>
      <c r="DG2179" t="s">
        <v>25386</v>
      </c>
      <c r="DH2179" t="s">
        <v>482</v>
      </c>
      <c r="DI2179" t="s">
        <v>183</v>
      </c>
      <c r="DJ2179" t="s">
        <v>211</v>
      </c>
      <c r="DK2179" t="s">
        <v>525</v>
      </c>
      <c r="DM2179" t="s">
        <v>1641</v>
      </c>
      <c r="DN2179" t="s">
        <v>12139</v>
      </c>
      <c r="DO2179" t="s">
        <v>273</v>
      </c>
      <c r="DP2179" t="s">
        <v>274</v>
      </c>
      <c r="DQ2179" t="s">
        <v>23565</v>
      </c>
      <c r="DR2179" t="s">
        <v>511</v>
      </c>
      <c r="DS2179" t="s">
        <v>183</v>
      </c>
      <c r="DT2179" t="s">
        <v>211</v>
      </c>
      <c r="DU2179" t="s">
        <v>298</v>
      </c>
      <c r="DW2179" t="s">
        <v>5484</v>
      </c>
      <c r="DX2179" t="s">
        <v>21560</v>
      </c>
      <c r="DY2179" t="s">
        <v>302</v>
      </c>
      <c r="DZ2179" t="s">
        <v>303</v>
      </c>
      <c r="EA2179" t="s">
        <v>25387</v>
      </c>
      <c r="EB2179" t="s">
        <v>331</v>
      </c>
      <c r="EC2179" t="s">
        <v>183</v>
      </c>
      <c r="ED2179" t="s">
        <v>211</v>
      </c>
      <c r="EE2179" t="s">
        <v>337</v>
      </c>
      <c r="EG2179" t="s">
        <v>25287</v>
      </c>
      <c r="EH2179" t="s">
        <v>4707</v>
      </c>
      <c r="EI2179" t="s">
        <v>238</v>
      </c>
      <c r="EJ2179" t="s">
        <v>239</v>
      </c>
      <c r="EK2179" t="s">
        <v>25388</v>
      </c>
      <c r="EL2179" t="s">
        <v>4595</v>
      </c>
      <c r="EM2179" t="s">
        <v>183</v>
      </c>
      <c r="EN2179" t="s">
        <v>211</v>
      </c>
      <c r="EO2179" t="s">
        <v>298</v>
      </c>
      <c r="EQ2179" t="s">
        <v>14910</v>
      </c>
      <c r="ER2179" t="s">
        <v>25389</v>
      </c>
      <c r="ES2179" t="s">
        <v>346</v>
      </c>
      <c r="ET2179" t="s">
        <v>347</v>
      </c>
      <c r="EU2179" t="s">
        <v>25390</v>
      </c>
      <c r="EV2179" t="s">
        <v>314</v>
      </c>
      <c r="EW2179" t="s">
        <v>183</v>
      </c>
      <c r="EX2179" t="s">
        <v>211</v>
      </c>
      <c r="EY2179" t="s">
        <v>1128</v>
      </c>
      <c r="FA2179" t="s">
        <v>25287</v>
      </c>
      <c r="FB2179" t="s">
        <v>25391</v>
      </c>
      <c r="FC2179" t="s">
        <v>207</v>
      </c>
      <c r="FD2179" t="s">
        <v>208</v>
      </c>
      <c r="FE2179" t="s">
        <v>25392</v>
      </c>
      <c r="FF2179" t="s">
        <v>1052</v>
      </c>
      <c r="FG2179" t="s">
        <v>183</v>
      </c>
      <c r="FH2179" t="s">
        <v>211</v>
      </c>
      <c r="FI2179" t="s">
        <v>298</v>
      </c>
      <c r="FK2179" t="s">
        <v>1167</v>
      </c>
      <c r="FU2179" t="s">
        <v>198</v>
      </c>
    </row>
    <row r="2180" spans="1:177">
      <c r="A2180" s="1" t="str">
        <f>HYPERLINK("http://digipan.lumentumllc.com/apps/getLink/index.php?t=PropLink&amp;p=5244569","PL")</f>
        <v>PL</v>
      </c>
      <c r="B2180" s="1" t="str">
        <f>HYPERLINK("http://digipan.lumentumllc.com/apps/getLink/index.php?t=TaxLink&amp;p=5244569","TL")</f>
        <v>TL</v>
      </c>
      <c r="C2180" s="1" t="str">
        <f>HYPERLINK("http://digipan.lumentumllc.com/apps/getMap/index.php?p=5244569","Map")</f>
        <v>Map</v>
      </c>
      <c r="E2180" t="s">
        <v>177</v>
      </c>
      <c r="F2180" t="s">
        <v>178</v>
      </c>
      <c r="L2180" t="s">
        <v>25393</v>
      </c>
      <c r="N2180" t="s">
        <v>25393</v>
      </c>
      <c r="O2180" t="s">
        <v>25393</v>
      </c>
      <c r="P2180" t="s">
        <v>25394</v>
      </c>
      <c r="Q2180" t="s">
        <v>25393</v>
      </c>
      <c r="V2180">
        <v>2490</v>
      </c>
      <c r="W2180">
        <v>8</v>
      </c>
      <c r="X2180">
        <v>2017</v>
      </c>
      <c r="Y2180">
        <v>2018</v>
      </c>
      <c r="Z2180">
        <v>160.37</v>
      </c>
      <c r="AB2180" t="s">
        <v>181</v>
      </c>
      <c r="AC2180" t="s">
        <v>182</v>
      </c>
      <c r="AD2180" t="s">
        <v>183</v>
      </c>
      <c r="AE2180">
        <v>1</v>
      </c>
      <c r="AF2180">
        <v>7</v>
      </c>
      <c r="AG2180" t="s">
        <v>418</v>
      </c>
      <c r="AH2180">
        <v>86</v>
      </c>
      <c r="AI2180">
        <v>136.47999999999999</v>
      </c>
      <c r="AJ2180">
        <v>21.5</v>
      </c>
      <c r="AK2180">
        <v>157.97999999999999</v>
      </c>
      <c r="AL2180">
        <v>6875</v>
      </c>
      <c r="AM2180">
        <v>6875</v>
      </c>
      <c r="AN2180">
        <v>0</v>
      </c>
      <c r="AO2180">
        <v>101</v>
      </c>
      <c r="AP2180">
        <v>2016</v>
      </c>
      <c r="AQ2180">
        <v>2.33</v>
      </c>
      <c r="AR2180">
        <v>2.2999999999999998</v>
      </c>
      <c r="AS2180" t="s">
        <v>25395</v>
      </c>
      <c r="AT2180" t="s">
        <v>15040</v>
      </c>
      <c r="AU2180" t="s">
        <v>177</v>
      </c>
      <c r="AV2180" t="s">
        <v>371</v>
      </c>
      <c r="AW2180" t="s">
        <v>182</v>
      </c>
      <c r="AX2180">
        <v>0</v>
      </c>
      <c r="AY2180" t="s">
        <v>312</v>
      </c>
      <c r="AZ2180" t="s">
        <v>199</v>
      </c>
      <c r="BA2180" t="s">
        <v>313</v>
      </c>
      <c r="BB2180" t="s">
        <v>191</v>
      </c>
      <c r="BC2180" t="s">
        <v>182</v>
      </c>
      <c r="BD2180" t="s">
        <v>182</v>
      </c>
      <c r="BE2180" t="s">
        <v>3930</v>
      </c>
      <c r="BF2180">
        <v>0</v>
      </c>
      <c r="BG2180">
        <v>0</v>
      </c>
      <c r="BH2180">
        <v>0</v>
      </c>
      <c r="BI2180" t="s">
        <v>199</v>
      </c>
      <c r="BJ2180" t="s">
        <v>315</v>
      </c>
      <c r="BL2180" t="s">
        <v>199</v>
      </c>
      <c r="BM2180" t="s">
        <v>286</v>
      </c>
      <c r="BN2180" t="s">
        <v>182</v>
      </c>
      <c r="BO2180" t="s">
        <v>198</v>
      </c>
      <c r="BP2180" t="s">
        <v>198</v>
      </c>
      <c r="BQ2180" t="s">
        <v>198</v>
      </c>
      <c r="BR2180" t="s">
        <v>198</v>
      </c>
      <c r="BS2180" t="s">
        <v>198</v>
      </c>
      <c r="BT2180" t="s">
        <v>198</v>
      </c>
      <c r="BU2180" t="s">
        <v>182</v>
      </c>
      <c r="BV2180" t="s">
        <v>198</v>
      </c>
      <c r="BW2180" t="s">
        <v>198</v>
      </c>
      <c r="BX2180" t="s">
        <v>199</v>
      </c>
      <c r="BY2180" t="s">
        <v>198</v>
      </c>
      <c r="BZ2180" t="s">
        <v>199</v>
      </c>
      <c r="CA2180" t="s">
        <v>199</v>
      </c>
      <c r="CB2180" t="s">
        <v>23487</v>
      </c>
      <c r="CC2180" t="s">
        <v>201</v>
      </c>
      <c r="CD2180" t="s">
        <v>202</v>
      </c>
      <c r="CE2180" t="s">
        <v>23488</v>
      </c>
      <c r="CF2180" t="s">
        <v>5331</v>
      </c>
      <c r="CG2180" t="s">
        <v>177</v>
      </c>
      <c r="CH2180" t="s">
        <v>5332</v>
      </c>
      <c r="CI2180" t="s">
        <v>25396</v>
      </c>
      <c r="CJ2180" t="s">
        <v>18048</v>
      </c>
      <c r="CK2180" t="s">
        <v>232</v>
      </c>
      <c r="CL2180" t="s">
        <v>233</v>
      </c>
      <c r="CM2180" t="s">
        <v>25384</v>
      </c>
      <c r="CN2180" t="s">
        <v>389</v>
      </c>
      <c r="CO2180" t="s">
        <v>183</v>
      </c>
      <c r="CP2180" t="s">
        <v>266</v>
      </c>
      <c r="CS2180" t="s">
        <v>198</v>
      </c>
      <c r="CT2180" t="s">
        <v>2136</v>
      </c>
      <c r="CU2180" t="s">
        <v>292</v>
      </c>
      <c r="CV2180" t="s">
        <v>293</v>
      </c>
      <c r="CW2180" t="s">
        <v>25385</v>
      </c>
      <c r="CX2180" t="s">
        <v>482</v>
      </c>
      <c r="CY2180" t="s">
        <v>183</v>
      </c>
      <c r="CZ2180" t="s">
        <v>211</v>
      </c>
      <c r="DA2180" t="s">
        <v>298</v>
      </c>
      <c r="DC2180" t="s">
        <v>1641</v>
      </c>
      <c r="DD2180" t="s">
        <v>2839</v>
      </c>
      <c r="DE2180" t="s">
        <v>267</v>
      </c>
      <c r="DF2180" t="s">
        <v>268</v>
      </c>
      <c r="DG2180" t="s">
        <v>25386</v>
      </c>
      <c r="DH2180" t="s">
        <v>482</v>
      </c>
      <c r="DI2180" t="s">
        <v>183</v>
      </c>
      <c r="DJ2180" t="s">
        <v>211</v>
      </c>
      <c r="DK2180" t="s">
        <v>525</v>
      </c>
      <c r="DM2180" t="s">
        <v>1641</v>
      </c>
      <c r="DN2180" t="s">
        <v>25397</v>
      </c>
      <c r="DO2180" t="s">
        <v>273</v>
      </c>
      <c r="DP2180" t="s">
        <v>274</v>
      </c>
      <c r="DQ2180" t="s">
        <v>23565</v>
      </c>
      <c r="DR2180" t="s">
        <v>511</v>
      </c>
      <c r="DS2180" t="s">
        <v>183</v>
      </c>
      <c r="DT2180" t="s">
        <v>211</v>
      </c>
      <c r="DU2180" t="s">
        <v>298</v>
      </c>
      <c r="DW2180" t="s">
        <v>5484</v>
      </c>
      <c r="DX2180" t="s">
        <v>21566</v>
      </c>
      <c r="DY2180" t="s">
        <v>302</v>
      </c>
      <c r="DZ2180" t="s">
        <v>303</v>
      </c>
      <c r="EA2180" t="s">
        <v>25387</v>
      </c>
      <c r="EB2180" t="s">
        <v>331</v>
      </c>
      <c r="EC2180" t="s">
        <v>183</v>
      </c>
      <c r="ED2180" t="s">
        <v>211</v>
      </c>
      <c r="EE2180" t="s">
        <v>337</v>
      </c>
      <c r="EG2180" t="s">
        <v>25287</v>
      </c>
      <c r="EH2180" t="s">
        <v>6329</v>
      </c>
      <c r="EI2180" t="s">
        <v>238</v>
      </c>
      <c r="EJ2180" t="s">
        <v>239</v>
      </c>
      <c r="EK2180" t="s">
        <v>25388</v>
      </c>
      <c r="EL2180" t="s">
        <v>4595</v>
      </c>
      <c r="EM2180" t="s">
        <v>183</v>
      </c>
      <c r="EN2180" t="s">
        <v>211</v>
      </c>
      <c r="EO2180" t="s">
        <v>298</v>
      </c>
      <c r="EQ2180" t="s">
        <v>14910</v>
      </c>
      <c r="ER2180" t="s">
        <v>25398</v>
      </c>
      <c r="ES2180" t="s">
        <v>346</v>
      </c>
      <c r="ET2180" t="s">
        <v>347</v>
      </c>
      <c r="EU2180" t="s">
        <v>25390</v>
      </c>
      <c r="EV2180" t="s">
        <v>576</v>
      </c>
      <c r="EW2180" t="s">
        <v>183</v>
      </c>
      <c r="EX2180" t="s">
        <v>211</v>
      </c>
      <c r="EY2180" t="s">
        <v>1128</v>
      </c>
      <c r="FA2180" t="s">
        <v>25287</v>
      </c>
      <c r="FB2180" t="s">
        <v>24772</v>
      </c>
      <c r="FC2180" t="s">
        <v>207</v>
      </c>
      <c r="FD2180" t="s">
        <v>208</v>
      </c>
      <c r="FE2180" t="s">
        <v>25392</v>
      </c>
      <c r="FF2180" t="s">
        <v>1052</v>
      </c>
      <c r="FG2180" t="s">
        <v>183</v>
      </c>
      <c r="FH2180" t="s">
        <v>211</v>
      </c>
      <c r="FI2180" t="s">
        <v>298</v>
      </c>
      <c r="FK2180" t="s">
        <v>1167</v>
      </c>
      <c r="FU2180" t="s">
        <v>198</v>
      </c>
    </row>
    <row r="2181" spans="1:177">
      <c r="A2181" s="1" t="str">
        <f>HYPERLINK("http://digipan.lumentumllc.com/apps/getLink/index.php?t=PropLink&amp;p=5244570","PL")</f>
        <v>PL</v>
      </c>
      <c r="B2181" s="1" t="str">
        <f>HYPERLINK("http://digipan.lumentumllc.com/apps/getLink/index.php?t=TaxLink&amp;p=5244570","TL")</f>
        <v>TL</v>
      </c>
      <c r="C2181" s="1" t="str">
        <f>HYPERLINK("http://digipan.lumentumllc.com/apps/getMap/index.php?p=5244570","Map")</f>
        <v>Map</v>
      </c>
      <c r="E2181" t="s">
        <v>177</v>
      </c>
      <c r="F2181" t="s">
        <v>178</v>
      </c>
      <c r="L2181" t="s">
        <v>25399</v>
      </c>
      <c r="N2181" t="s">
        <v>25399</v>
      </c>
      <c r="O2181" t="s">
        <v>25399</v>
      </c>
      <c r="P2181" t="s">
        <v>25400</v>
      </c>
      <c r="Q2181" t="s">
        <v>25399</v>
      </c>
      <c r="V2181">
        <v>2491</v>
      </c>
      <c r="W2181">
        <v>8</v>
      </c>
      <c r="X2181">
        <v>2017</v>
      </c>
      <c r="Y2181">
        <v>2018</v>
      </c>
      <c r="Z2181">
        <v>709.53</v>
      </c>
      <c r="AB2181" t="s">
        <v>181</v>
      </c>
      <c r="AC2181" t="s">
        <v>182</v>
      </c>
      <c r="AD2181" t="s">
        <v>183</v>
      </c>
      <c r="AE2181">
        <v>0</v>
      </c>
      <c r="AF2181">
        <v>8</v>
      </c>
      <c r="AG2181" t="s">
        <v>1059</v>
      </c>
      <c r="AH2181">
        <v>100</v>
      </c>
      <c r="AK2181">
        <v>0</v>
      </c>
      <c r="AL2181">
        <v>35112</v>
      </c>
      <c r="AM2181">
        <v>27500</v>
      </c>
      <c r="AN2181">
        <v>7612</v>
      </c>
      <c r="AO2181">
        <v>545</v>
      </c>
      <c r="AP2181">
        <v>2016</v>
      </c>
      <c r="AQ2181">
        <v>2.02</v>
      </c>
      <c r="AS2181" t="s">
        <v>25401</v>
      </c>
      <c r="AT2181" t="s">
        <v>15040</v>
      </c>
      <c r="AU2181" t="s">
        <v>177</v>
      </c>
      <c r="AV2181" t="s">
        <v>371</v>
      </c>
      <c r="AW2181" t="s">
        <v>182</v>
      </c>
      <c r="AX2181">
        <v>1</v>
      </c>
      <c r="AY2181" t="s">
        <v>188</v>
      </c>
      <c r="AZ2181" t="s">
        <v>206</v>
      </c>
      <c r="BA2181" t="s">
        <v>355</v>
      </c>
      <c r="BB2181" t="s">
        <v>191</v>
      </c>
      <c r="BC2181" t="s">
        <v>182</v>
      </c>
      <c r="BD2181" t="s">
        <v>182</v>
      </c>
      <c r="BE2181" t="s">
        <v>3930</v>
      </c>
      <c r="BF2181">
        <v>1</v>
      </c>
      <c r="BG2181">
        <v>1</v>
      </c>
      <c r="BH2181">
        <v>1900</v>
      </c>
      <c r="BI2181" t="s">
        <v>11188</v>
      </c>
      <c r="BJ2181" t="s">
        <v>285</v>
      </c>
      <c r="BK2181" t="s">
        <v>195</v>
      </c>
      <c r="BL2181" t="s">
        <v>199</v>
      </c>
      <c r="BM2181" t="s">
        <v>267</v>
      </c>
      <c r="BN2181" t="s">
        <v>182</v>
      </c>
      <c r="BO2181" t="s">
        <v>198</v>
      </c>
      <c r="BP2181" t="s">
        <v>198</v>
      </c>
      <c r="BQ2181" t="s">
        <v>198</v>
      </c>
      <c r="BR2181" t="s">
        <v>198</v>
      </c>
      <c r="BS2181" t="s">
        <v>198</v>
      </c>
      <c r="BT2181" t="s">
        <v>198</v>
      </c>
      <c r="BU2181" t="s">
        <v>182</v>
      </c>
      <c r="BV2181" t="s">
        <v>198</v>
      </c>
      <c r="BW2181" t="s">
        <v>198</v>
      </c>
      <c r="BX2181" t="s">
        <v>199</v>
      </c>
      <c r="BY2181" t="s">
        <v>198</v>
      </c>
      <c r="BZ2181" t="s">
        <v>199</v>
      </c>
      <c r="CA2181" t="s">
        <v>199</v>
      </c>
      <c r="CB2181" t="s">
        <v>25402</v>
      </c>
      <c r="CC2181" t="s">
        <v>201</v>
      </c>
      <c r="CD2181" t="s">
        <v>182</v>
      </c>
      <c r="CE2181" t="s">
        <v>25403</v>
      </c>
      <c r="CF2181" t="s">
        <v>25404</v>
      </c>
      <c r="CG2181" t="s">
        <v>2769</v>
      </c>
      <c r="CH2181" t="s">
        <v>25405</v>
      </c>
      <c r="CI2181" t="s">
        <v>25406</v>
      </c>
      <c r="CJ2181" t="s">
        <v>5370</v>
      </c>
      <c r="CK2181" t="s">
        <v>232</v>
      </c>
      <c r="CL2181" t="s">
        <v>233</v>
      </c>
      <c r="CM2181" t="s">
        <v>25407</v>
      </c>
      <c r="CN2181" t="s">
        <v>331</v>
      </c>
      <c r="CO2181" t="s">
        <v>183</v>
      </c>
      <c r="CP2181" t="s">
        <v>211</v>
      </c>
      <c r="CQ2181" t="s">
        <v>199</v>
      </c>
      <c r="CS2181" t="s">
        <v>2774</v>
      </c>
      <c r="CT2181" t="s">
        <v>25408</v>
      </c>
      <c r="CU2181" t="s">
        <v>292</v>
      </c>
      <c r="CV2181" t="s">
        <v>293</v>
      </c>
      <c r="CW2181" t="s">
        <v>25409</v>
      </c>
      <c r="CX2181" t="s">
        <v>341</v>
      </c>
      <c r="CY2181" t="s">
        <v>183</v>
      </c>
      <c r="CZ2181" t="s">
        <v>211</v>
      </c>
      <c r="DA2181" t="s">
        <v>212</v>
      </c>
      <c r="DC2181" t="s">
        <v>10508</v>
      </c>
      <c r="DD2181" t="s">
        <v>25410</v>
      </c>
      <c r="DE2181" t="s">
        <v>267</v>
      </c>
      <c r="DF2181" t="s">
        <v>268</v>
      </c>
      <c r="DG2181" t="s">
        <v>25411</v>
      </c>
      <c r="DH2181" t="s">
        <v>400</v>
      </c>
      <c r="DI2181" t="s">
        <v>183</v>
      </c>
      <c r="DJ2181" t="s">
        <v>211</v>
      </c>
      <c r="DK2181" t="s">
        <v>189</v>
      </c>
      <c r="DM2181" t="s">
        <v>5358</v>
      </c>
      <c r="DN2181" t="s">
        <v>23198</v>
      </c>
      <c r="DO2181" t="s">
        <v>273</v>
      </c>
      <c r="DP2181" t="s">
        <v>274</v>
      </c>
      <c r="DQ2181" t="s">
        <v>25412</v>
      </c>
      <c r="DR2181" t="s">
        <v>514</v>
      </c>
      <c r="DS2181" t="s">
        <v>183</v>
      </c>
      <c r="DT2181" t="s">
        <v>211</v>
      </c>
      <c r="DU2181" t="s">
        <v>329</v>
      </c>
      <c r="DW2181" t="s">
        <v>8491</v>
      </c>
      <c r="DX2181" t="s">
        <v>21571</v>
      </c>
      <c r="DY2181" t="s">
        <v>302</v>
      </c>
      <c r="DZ2181" t="s">
        <v>303</v>
      </c>
      <c r="EA2181" t="s">
        <v>25413</v>
      </c>
      <c r="EB2181" t="s">
        <v>235</v>
      </c>
      <c r="EC2181" t="s">
        <v>183</v>
      </c>
      <c r="ED2181" t="s">
        <v>211</v>
      </c>
      <c r="EE2181" t="s">
        <v>298</v>
      </c>
      <c r="EG2181" t="s">
        <v>8491</v>
      </c>
      <c r="EH2181" t="s">
        <v>4738</v>
      </c>
      <c r="EI2181" t="s">
        <v>238</v>
      </c>
      <c r="EJ2181" t="s">
        <v>239</v>
      </c>
      <c r="EK2181" t="s">
        <v>25414</v>
      </c>
      <c r="EL2181" t="s">
        <v>247</v>
      </c>
      <c r="EM2181" t="s">
        <v>183</v>
      </c>
      <c r="EN2181" t="s">
        <v>211</v>
      </c>
      <c r="EO2181" t="s">
        <v>298</v>
      </c>
      <c r="EQ2181" t="s">
        <v>3501</v>
      </c>
      <c r="ER2181" t="s">
        <v>25415</v>
      </c>
      <c r="ES2181" t="s">
        <v>346</v>
      </c>
      <c r="ET2181" t="s">
        <v>347</v>
      </c>
      <c r="EU2181" t="s">
        <v>25416</v>
      </c>
      <c r="EV2181" t="s">
        <v>278</v>
      </c>
      <c r="EW2181" t="s">
        <v>183</v>
      </c>
      <c r="EX2181" t="s">
        <v>211</v>
      </c>
      <c r="EY2181" t="s">
        <v>298</v>
      </c>
      <c r="FA2181" t="s">
        <v>470</v>
      </c>
      <c r="FB2181" t="s">
        <v>25417</v>
      </c>
      <c r="FC2181" t="s">
        <v>207</v>
      </c>
      <c r="FD2181" t="s">
        <v>208</v>
      </c>
      <c r="FE2181" t="s">
        <v>25418</v>
      </c>
      <c r="FF2181" t="s">
        <v>469</v>
      </c>
      <c r="FG2181" t="s">
        <v>183</v>
      </c>
      <c r="FH2181" t="s">
        <v>211</v>
      </c>
      <c r="FI2181" t="s">
        <v>298</v>
      </c>
      <c r="FK2181" t="s">
        <v>5101</v>
      </c>
      <c r="FU2181" t="s">
        <v>198</v>
      </c>
    </row>
    <row r="2182" spans="1:177">
      <c r="A2182" s="1" t="str">
        <f>HYPERLINK("http://digipan.lumentumllc.com/apps/getLink/index.php?t=PropLink&amp;p=5244571","PL")</f>
        <v>PL</v>
      </c>
      <c r="B2182" s="1" t="str">
        <f>HYPERLINK("http://digipan.lumentumllc.com/apps/getLink/index.php?t=TaxLink&amp;p=5244571","TL")</f>
        <v>TL</v>
      </c>
      <c r="C2182" s="1" t="str">
        <f>HYPERLINK("http://digipan.lumentumllc.com/apps/getMap/index.php?p=5244571","Map")</f>
        <v>Map</v>
      </c>
      <c r="E2182" t="s">
        <v>177</v>
      </c>
      <c r="F2182" t="s">
        <v>178</v>
      </c>
      <c r="L2182" t="s">
        <v>25419</v>
      </c>
      <c r="N2182" t="s">
        <v>25419</v>
      </c>
      <c r="O2182" t="s">
        <v>25419</v>
      </c>
      <c r="P2182" t="s">
        <v>25420</v>
      </c>
      <c r="Q2182" t="s">
        <v>25419</v>
      </c>
      <c r="V2182">
        <v>2492</v>
      </c>
      <c r="W2182">
        <v>8</v>
      </c>
      <c r="X2182">
        <v>2017</v>
      </c>
      <c r="Y2182">
        <v>2018</v>
      </c>
      <c r="Z2182">
        <v>160.37</v>
      </c>
      <c r="AB2182" t="s">
        <v>181</v>
      </c>
      <c r="AC2182" t="s">
        <v>182</v>
      </c>
      <c r="AD2182" t="s">
        <v>183</v>
      </c>
      <c r="AE2182">
        <v>0</v>
      </c>
      <c r="AF2182">
        <v>2</v>
      </c>
      <c r="AG2182" t="s">
        <v>821</v>
      </c>
      <c r="AH2182">
        <v>100</v>
      </c>
      <c r="AK2182">
        <v>0</v>
      </c>
      <c r="AL2182">
        <v>6875</v>
      </c>
      <c r="AM2182">
        <v>6875</v>
      </c>
      <c r="AN2182">
        <v>0</v>
      </c>
      <c r="AO2182">
        <v>101</v>
      </c>
      <c r="AP2182">
        <v>2016</v>
      </c>
      <c r="AQ2182">
        <v>2.33</v>
      </c>
      <c r="AS2182" t="s">
        <v>25178</v>
      </c>
      <c r="AT2182" t="s">
        <v>15040</v>
      </c>
      <c r="AU2182" t="s">
        <v>177</v>
      </c>
      <c r="AV2182" t="s">
        <v>371</v>
      </c>
      <c r="AW2182" t="s">
        <v>182</v>
      </c>
      <c r="AX2182">
        <v>0</v>
      </c>
      <c r="AY2182" t="s">
        <v>312</v>
      </c>
      <c r="AZ2182" t="s">
        <v>199</v>
      </c>
      <c r="BA2182" t="s">
        <v>313</v>
      </c>
      <c r="BB2182" t="s">
        <v>191</v>
      </c>
      <c r="BC2182" t="s">
        <v>182</v>
      </c>
      <c r="BD2182" t="s">
        <v>182</v>
      </c>
      <c r="BE2182" t="s">
        <v>3930</v>
      </c>
      <c r="BF2182">
        <v>0</v>
      </c>
      <c r="BG2182">
        <v>0</v>
      </c>
      <c r="BH2182">
        <v>0</v>
      </c>
      <c r="BI2182" t="s">
        <v>199</v>
      </c>
      <c r="BJ2182" t="s">
        <v>315</v>
      </c>
      <c r="BL2182" t="s">
        <v>1002</v>
      </c>
      <c r="BM2182" t="s">
        <v>238</v>
      </c>
      <c r="BN2182" t="s">
        <v>182</v>
      </c>
      <c r="BO2182" t="s">
        <v>25421</v>
      </c>
      <c r="BP2182" t="s">
        <v>14210</v>
      </c>
      <c r="BQ2182" t="s">
        <v>581</v>
      </c>
      <c r="BR2182" t="s">
        <v>563</v>
      </c>
      <c r="BS2182" t="s">
        <v>198</v>
      </c>
      <c r="BT2182" t="s">
        <v>25422</v>
      </c>
      <c r="BU2182" t="s">
        <v>182</v>
      </c>
      <c r="BV2182" t="s">
        <v>198</v>
      </c>
      <c r="BW2182" t="s">
        <v>198</v>
      </c>
      <c r="BX2182" t="s">
        <v>199</v>
      </c>
      <c r="BY2182" t="s">
        <v>198</v>
      </c>
      <c r="BZ2182" t="s">
        <v>199</v>
      </c>
      <c r="CA2182" t="s">
        <v>199</v>
      </c>
      <c r="CB2182" t="s">
        <v>21080</v>
      </c>
      <c r="CC2182" t="s">
        <v>201</v>
      </c>
      <c r="CD2182" t="s">
        <v>182</v>
      </c>
      <c r="CE2182" t="s">
        <v>25423</v>
      </c>
      <c r="CF2182" t="s">
        <v>5331</v>
      </c>
      <c r="CG2182" t="s">
        <v>177</v>
      </c>
      <c r="CH2182" t="s">
        <v>5332</v>
      </c>
      <c r="CI2182" t="s">
        <v>25424</v>
      </c>
      <c r="CJ2182" t="s">
        <v>25425</v>
      </c>
      <c r="CK2182" t="s">
        <v>346</v>
      </c>
      <c r="CL2182" t="s">
        <v>347</v>
      </c>
      <c r="CM2182" t="s">
        <v>25390</v>
      </c>
      <c r="CN2182" t="s">
        <v>576</v>
      </c>
      <c r="CO2182" t="s">
        <v>183</v>
      </c>
      <c r="CP2182" t="s">
        <v>211</v>
      </c>
      <c r="CQ2182" t="s">
        <v>206</v>
      </c>
      <c r="CS2182" t="s">
        <v>25426</v>
      </c>
      <c r="CT2182" t="s">
        <v>22177</v>
      </c>
      <c r="CU2182" t="s">
        <v>207</v>
      </c>
      <c r="CV2182" t="s">
        <v>208</v>
      </c>
      <c r="CW2182" t="s">
        <v>25392</v>
      </c>
      <c r="CX2182" t="s">
        <v>1052</v>
      </c>
      <c r="CY2182" t="s">
        <v>183</v>
      </c>
      <c r="CZ2182" t="s">
        <v>211</v>
      </c>
      <c r="DA2182" t="s">
        <v>250</v>
      </c>
      <c r="DC2182" t="s">
        <v>25427</v>
      </c>
      <c r="DM2182" t="s">
        <v>198</v>
      </c>
      <c r="DW2182" t="s">
        <v>198</v>
      </c>
      <c r="EG2182" t="s">
        <v>198</v>
      </c>
      <c r="EQ2182" t="s">
        <v>198</v>
      </c>
      <c r="FA2182" t="s">
        <v>198</v>
      </c>
      <c r="FK2182" t="s">
        <v>198</v>
      </c>
      <c r="FU2182" t="s">
        <v>198</v>
      </c>
    </row>
    <row r="2183" spans="1:177">
      <c r="A2183" s="1" t="str">
        <f>HYPERLINK("http://digipan.lumentumllc.com/apps/getLink/index.php?t=PropLink&amp;p=5244572","PL")</f>
        <v>PL</v>
      </c>
      <c r="B2183" s="1" t="str">
        <f>HYPERLINK("http://digipan.lumentumllc.com/apps/getLink/index.php?t=TaxLink&amp;p=5244572","TL")</f>
        <v>TL</v>
      </c>
      <c r="C2183" s="1" t="str">
        <f>HYPERLINK("http://digipan.lumentumllc.com/apps/getMap/index.php?p=5244572","Map")</f>
        <v>Map</v>
      </c>
      <c r="E2183" t="s">
        <v>177</v>
      </c>
      <c r="F2183" t="s">
        <v>178</v>
      </c>
      <c r="L2183" t="s">
        <v>25428</v>
      </c>
      <c r="N2183" t="s">
        <v>25428</v>
      </c>
      <c r="O2183" t="s">
        <v>25428</v>
      </c>
      <c r="P2183" t="s">
        <v>25429</v>
      </c>
      <c r="Q2183" t="s">
        <v>25428</v>
      </c>
      <c r="V2183">
        <v>2493</v>
      </c>
      <c r="W2183">
        <v>8</v>
      </c>
      <c r="X2183">
        <v>2017</v>
      </c>
      <c r="Y2183">
        <v>2018</v>
      </c>
      <c r="Z2183">
        <v>756.76</v>
      </c>
      <c r="AB2183" t="s">
        <v>181</v>
      </c>
      <c r="AC2183" t="s">
        <v>182</v>
      </c>
      <c r="AD2183" t="s">
        <v>183</v>
      </c>
      <c r="AE2183">
        <v>1</v>
      </c>
      <c r="AF2183">
        <v>0</v>
      </c>
      <c r="AG2183" t="s">
        <v>1200</v>
      </c>
      <c r="AH2183">
        <v>0</v>
      </c>
      <c r="AI2183">
        <v>645.58000000000004</v>
      </c>
      <c r="AJ2183">
        <v>32.28</v>
      </c>
      <c r="AK2183">
        <v>677.86</v>
      </c>
      <c r="AL2183">
        <v>38775</v>
      </c>
      <c r="AM2183">
        <v>38775</v>
      </c>
      <c r="AN2183">
        <v>0</v>
      </c>
      <c r="AO2183">
        <v>572</v>
      </c>
      <c r="AP2183">
        <v>2016</v>
      </c>
      <c r="AQ2183">
        <v>1.95</v>
      </c>
      <c r="AR2183">
        <v>1.75</v>
      </c>
      <c r="AS2183" t="s">
        <v>25178</v>
      </c>
      <c r="AT2183" t="s">
        <v>15040</v>
      </c>
      <c r="AU2183" t="s">
        <v>177</v>
      </c>
      <c r="AV2183" t="s">
        <v>371</v>
      </c>
      <c r="AW2183" t="s">
        <v>182</v>
      </c>
      <c r="AX2183">
        <v>0</v>
      </c>
      <c r="AY2183" t="s">
        <v>312</v>
      </c>
      <c r="AZ2183" t="s">
        <v>199</v>
      </c>
      <c r="BA2183" t="s">
        <v>313</v>
      </c>
      <c r="BB2183" t="s">
        <v>191</v>
      </c>
      <c r="BC2183" t="s">
        <v>182</v>
      </c>
      <c r="BD2183" t="s">
        <v>182</v>
      </c>
      <c r="BE2183" t="s">
        <v>5948</v>
      </c>
      <c r="BF2183">
        <v>0</v>
      </c>
      <c r="BG2183">
        <v>0</v>
      </c>
      <c r="BH2183">
        <v>0</v>
      </c>
      <c r="BI2183" t="s">
        <v>199</v>
      </c>
      <c r="BJ2183" t="s">
        <v>315</v>
      </c>
      <c r="BL2183" t="s">
        <v>199</v>
      </c>
      <c r="BM2183" t="s">
        <v>358</v>
      </c>
      <c r="BN2183" t="s">
        <v>182</v>
      </c>
      <c r="BO2183" t="s">
        <v>198</v>
      </c>
      <c r="BP2183" t="s">
        <v>198</v>
      </c>
      <c r="BQ2183" t="s">
        <v>198</v>
      </c>
      <c r="BR2183" t="s">
        <v>198</v>
      </c>
      <c r="BS2183" t="s">
        <v>198</v>
      </c>
      <c r="BT2183" t="s">
        <v>198</v>
      </c>
      <c r="BU2183" t="s">
        <v>182</v>
      </c>
      <c r="BV2183" t="s">
        <v>198</v>
      </c>
      <c r="BW2183" t="s">
        <v>198</v>
      </c>
      <c r="BX2183" t="s">
        <v>199</v>
      </c>
      <c r="BY2183" t="s">
        <v>198</v>
      </c>
      <c r="BZ2183" t="s">
        <v>199</v>
      </c>
      <c r="CA2183" t="s">
        <v>199</v>
      </c>
      <c r="CB2183" t="s">
        <v>22419</v>
      </c>
      <c r="CC2183" t="s">
        <v>201</v>
      </c>
      <c r="CD2183" t="s">
        <v>202</v>
      </c>
      <c r="CE2183" t="s">
        <v>22420</v>
      </c>
      <c r="CF2183" t="s">
        <v>22421</v>
      </c>
      <c r="CG2183" t="s">
        <v>9098</v>
      </c>
      <c r="CH2183" t="s">
        <v>22422</v>
      </c>
      <c r="CI2183" t="s">
        <v>25430</v>
      </c>
      <c r="CJ2183" t="s">
        <v>16598</v>
      </c>
      <c r="CK2183" t="s">
        <v>232</v>
      </c>
      <c r="CL2183" t="s">
        <v>233</v>
      </c>
      <c r="CM2183" t="s">
        <v>25431</v>
      </c>
      <c r="CN2183" t="s">
        <v>235</v>
      </c>
      <c r="CO2183" t="s">
        <v>183</v>
      </c>
      <c r="CP2183" t="s">
        <v>266</v>
      </c>
      <c r="CS2183" t="s">
        <v>198</v>
      </c>
      <c r="DC2183" t="s">
        <v>198</v>
      </c>
      <c r="DM2183" t="s">
        <v>198</v>
      </c>
      <c r="DW2183" t="s">
        <v>198</v>
      </c>
      <c r="EG2183" t="s">
        <v>198</v>
      </c>
      <c r="EQ2183" t="s">
        <v>198</v>
      </c>
      <c r="FA2183" t="s">
        <v>198</v>
      </c>
      <c r="FK2183" t="s">
        <v>198</v>
      </c>
      <c r="FU2183" t="s">
        <v>198</v>
      </c>
    </row>
    <row r="2184" spans="1:177">
      <c r="A2184" s="1" t="str">
        <f>HYPERLINK("http://digipan.lumentumllc.com/apps/getLink/index.php?t=PropLink&amp;p=5244577","PL")</f>
        <v>PL</v>
      </c>
      <c r="B2184" s="1" t="str">
        <f>HYPERLINK("http://digipan.lumentumllc.com/apps/getLink/index.php?t=TaxLink&amp;p=5244577","TL")</f>
        <v>TL</v>
      </c>
      <c r="C2184" s="1" t="str">
        <f>HYPERLINK("http://digipan.lumentumllc.com/apps/getMap/index.php?p=5244577","Map")</f>
        <v>Map</v>
      </c>
      <c r="E2184" t="s">
        <v>177</v>
      </c>
      <c r="F2184" t="s">
        <v>178</v>
      </c>
      <c r="L2184" t="s">
        <v>25432</v>
      </c>
      <c r="N2184" t="s">
        <v>25432</v>
      </c>
      <c r="O2184" t="s">
        <v>25432</v>
      </c>
      <c r="P2184" t="s">
        <v>25433</v>
      </c>
      <c r="Q2184" t="s">
        <v>25432</v>
      </c>
      <c r="V2184">
        <v>2495</v>
      </c>
      <c r="W2184">
        <v>8</v>
      </c>
      <c r="X2184">
        <v>2017</v>
      </c>
      <c r="Y2184">
        <v>2018</v>
      </c>
      <c r="Z2184">
        <v>1107.1600000000001</v>
      </c>
      <c r="AB2184" t="s">
        <v>181</v>
      </c>
      <c r="AC2184" t="s">
        <v>182</v>
      </c>
      <c r="AD2184" t="s">
        <v>183</v>
      </c>
      <c r="AE2184">
        <v>1</v>
      </c>
      <c r="AF2184">
        <v>2</v>
      </c>
      <c r="AG2184" t="s">
        <v>363</v>
      </c>
      <c r="AH2184">
        <v>67</v>
      </c>
      <c r="AI2184">
        <v>1080.22</v>
      </c>
      <c r="AJ2184">
        <v>54.01</v>
      </c>
      <c r="AK2184">
        <v>1134.23</v>
      </c>
      <c r="AL2184">
        <v>152759</v>
      </c>
      <c r="AM2184">
        <v>46750</v>
      </c>
      <c r="AN2184">
        <v>106009</v>
      </c>
      <c r="AO2184">
        <v>974</v>
      </c>
      <c r="AP2184">
        <v>2016</v>
      </c>
      <c r="AQ2184">
        <v>0.72</v>
      </c>
      <c r="AR2184">
        <v>0.74</v>
      </c>
      <c r="AS2184" t="s">
        <v>25434</v>
      </c>
      <c r="AT2184" t="s">
        <v>15040</v>
      </c>
      <c r="AU2184" t="s">
        <v>177</v>
      </c>
      <c r="AV2184" t="s">
        <v>371</v>
      </c>
      <c r="AW2184" t="s">
        <v>202</v>
      </c>
      <c r="AX2184">
        <v>1</v>
      </c>
      <c r="AY2184" t="s">
        <v>188</v>
      </c>
      <c r="AZ2184" t="s">
        <v>206</v>
      </c>
      <c r="BA2184" t="s">
        <v>355</v>
      </c>
      <c r="BB2184" t="s">
        <v>191</v>
      </c>
      <c r="BC2184" t="s">
        <v>182</v>
      </c>
      <c r="BD2184" t="s">
        <v>182</v>
      </c>
      <c r="BE2184" t="s">
        <v>3956</v>
      </c>
      <c r="BF2184">
        <v>1</v>
      </c>
      <c r="BG2184">
        <v>1</v>
      </c>
      <c r="BH2184">
        <v>1973</v>
      </c>
      <c r="BI2184" t="s">
        <v>559</v>
      </c>
      <c r="BJ2184" t="s">
        <v>194</v>
      </c>
      <c r="BK2184" t="s">
        <v>840</v>
      </c>
      <c r="BL2184" t="s">
        <v>6552</v>
      </c>
      <c r="BM2184" t="s">
        <v>7155</v>
      </c>
      <c r="BN2184" t="s">
        <v>182</v>
      </c>
      <c r="BO2184" t="s">
        <v>198</v>
      </c>
      <c r="BP2184" t="s">
        <v>198</v>
      </c>
      <c r="BQ2184" t="s">
        <v>198</v>
      </c>
      <c r="BR2184" t="s">
        <v>198</v>
      </c>
      <c r="BS2184" t="s">
        <v>198</v>
      </c>
      <c r="BT2184" t="s">
        <v>198</v>
      </c>
      <c r="BU2184" t="s">
        <v>182</v>
      </c>
      <c r="BV2184" t="s">
        <v>198</v>
      </c>
      <c r="BW2184" t="s">
        <v>198</v>
      </c>
      <c r="BX2184" t="s">
        <v>199</v>
      </c>
      <c r="BY2184" t="s">
        <v>198</v>
      </c>
      <c r="BZ2184" t="s">
        <v>199</v>
      </c>
      <c r="CA2184" t="s">
        <v>199</v>
      </c>
      <c r="CB2184" t="s">
        <v>25435</v>
      </c>
      <c r="CC2184" t="s">
        <v>201</v>
      </c>
      <c r="CD2184" t="s">
        <v>202</v>
      </c>
      <c r="CE2184" t="s">
        <v>25436</v>
      </c>
      <c r="CF2184" t="s">
        <v>5331</v>
      </c>
      <c r="CG2184" t="s">
        <v>177</v>
      </c>
      <c r="CH2184" t="s">
        <v>371</v>
      </c>
      <c r="CI2184" t="s">
        <v>25437</v>
      </c>
      <c r="CJ2184" t="s">
        <v>16624</v>
      </c>
      <c r="CK2184" t="s">
        <v>232</v>
      </c>
      <c r="CL2184" t="s">
        <v>233</v>
      </c>
      <c r="CM2184" t="s">
        <v>25438</v>
      </c>
      <c r="CN2184" t="s">
        <v>235</v>
      </c>
      <c r="CO2184" t="s">
        <v>183</v>
      </c>
      <c r="CP2184" t="s">
        <v>266</v>
      </c>
      <c r="CS2184" t="s">
        <v>198</v>
      </c>
      <c r="CT2184" t="s">
        <v>25439</v>
      </c>
      <c r="CU2184" t="s">
        <v>267</v>
      </c>
      <c r="CV2184" t="s">
        <v>268</v>
      </c>
      <c r="CW2184" t="s">
        <v>25440</v>
      </c>
      <c r="CX2184" t="s">
        <v>235</v>
      </c>
      <c r="CY2184" t="s">
        <v>183</v>
      </c>
      <c r="CZ2184" t="s">
        <v>211</v>
      </c>
      <c r="DA2184" t="s">
        <v>212</v>
      </c>
      <c r="DC2184" t="s">
        <v>8848</v>
      </c>
      <c r="DD2184" t="s">
        <v>25441</v>
      </c>
      <c r="DE2184" t="s">
        <v>346</v>
      </c>
      <c r="DF2184" t="s">
        <v>347</v>
      </c>
      <c r="DG2184" t="s">
        <v>25442</v>
      </c>
      <c r="DH2184" t="s">
        <v>235</v>
      </c>
      <c r="DI2184" t="s">
        <v>183</v>
      </c>
      <c r="DJ2184" t="s">
        <v>211</v>
      </c>
      <c r="DK2184" t="s">
        <v>342</v>
      </c>
      <c r="DM2184" t="s">
        <v>7861</v>
      </c>
      <c r="DW2184" t="s">
        <v>198</v>
      </c>
      <c r="EG2184" t="s">
        <v>198</v>
      </c>
      <c r="EQ2184" t="s">
        <v>198</v>
      </c>
      <c r="FA2184" t="s">
        <v>198</v>
      </c>
      <c r="FK2184" t="s">
        <v>198</v>
      </c>
      <c r="FU2184" t="s">
        <v>198</v>
      </c>
    </row>
    <row r="2185" spans="1:177">
      <c r="A2185" s="1" t="str">
        <f>HYPERLINK("http://digipan.lumentumllc.com/apps/getLink/index.php?t=PropLink&amp;p=4637071","PL")</f>
        <v>PL</v>
      </c>
      <c r="B2185" s="1" t="str">
        <f>HYPERLINK("http://digipan.lumentumllc.com/apps/getLink/index.php?t=TaxLink&amp;p=4637071","TL")</f>
        <v>TL</v>
      </c>
      <c r="C2185" s="1" t="str">
        <f>HYPERLINK("http://digipan.lumentumllc.com/apps/getMap/index.php?p=4637071","Map")</f>
        <v>Map</v>
      </c>
      <c r="E2185" t="s">
        <v>177</v>
      </c>
      <c r="F2185" t="s">
        <v>178</v>
      </c>
      <c r="L2185" t="s">
        <v>25443</v>
      </c>
      <c r="N2185" t="s">
        <v>25443</v>
      </c>
      <c r="O2185" t="s">
        <v>25443</v>
      </c>
      <c r="P2185" t="s">
        <v>25444</v>
      </c>
      <c r="Q2185" t="s">
        <v>25443</v>
      </c>
      <c r="V2185">
        <v>2496</v>
      </c>
      <c r="W2185">
        <v>8</v>
      </c>
      <c r="X2185">
        <v>2017</v>
      </c>
      <c r="Y2185">
        <v>2018</v>
      </c>
      <c r="Z2185">
        <v>134.69</v>
      </c>
      <c r="AB2185" t="s">
        <v>181</v>
      </c>
      <c r="AC2185" t="s">
        <v>182</v>
      </c>
      <c r="AD2185" t="s">
        <v>183</v>
      </c>
      <c r="AE2185">
        <v>1</v>
      </c>
      <c r="AF2185">
        <v>6</v>
      </c>
      <c r="AG2185" t="s">
        <v>322</v>
      </c>
      <c r="AH2185">
        <v>83</v>
      </c>
      <c r="AI2185">
        <v>114.57</v>
      </c>
      <c r="AJ2185">
        <v>6.3</v>
      </c>
      <c r="AK2185">
        <v>120.87</v>
      </c>
      <c r="AL2185">
        <v>5500</v>
      </c>
      <c r="AM2185">
        <v>5500</v>
      </c>
      <c r="AN2185">
        <v>0</v>
      </c>
      <c r="AO2185">
        <v>81</v>
      </c>
      <c r="AP2185">
        <v>2016</v>
      </c>
      <c r="AQ2185">
        <v>2.4500000000000002</v>
      </c>
      <c r="AR2185">
        <v>2.2000000000000002</v>
      </c>
      <c r="AS2185" t="s">
        <v>25445</v>
      </c>
      <c r="AT2185" t="s">
        <v>15040</v>
      </c>
      <c r="AU2185" t="s">
        <v>177</v>
      </c>
      <c r="AV2185" t="s">
        <v>371</v>
      </c>
      <c r="AW2185" t="s">
        <v>182</v>
      </c>
      <c r="AX2185">
        <v>0</v>
      </c>
      <c r="AY2185" t="s">
        <v>312</v>
      </c>
      <c r="AZ2185" t="s">
        <v>199</v>
      </c>
      <c r="BA2185" t="s">
        <v>313</v>
      </c>
      <c r="BB2185" t="s">
        <v>191</v>
      </c>
      <c r="BC2185" t="s">
        <v>182</v>
      </c>
      <c r="BD2185" t="s">
        <v>182</v>
      </c>
      <c r="BE2185" t="s">
        <v>5948</v>
      </c>
      <c r="BF2185">
        <v>0</v>
      </c>
      <c r="BG2185">
        <v>0</v>
      </c>
      <c r="BH2185">
        <v>0</v>
      </c>
      <c r="BI2185" t="s">
        <v>199</v>
      </c>
      <c r="BJ2185" t="s">
        <v>248</v>
      </c>
      <c r="BL2185" t="s">
        <v>24438</v>
      </c>
      <c r="BM2185" t="s">
        <v>1825</v>
      </c>
      <c r="BN2185" t="s">
        <v>182</v>
      </c>
      <c r="BO2185" t="s">
        <v>25446</v>
      </c>
      <c r="BP2185" t="s">
        <v>21500</v>
      </c>
      <c r="BS2185" t="s">
        <v>25447</v>
      </c>
      <c r="BT2185" t="s">
        <v>198</v>
      </c>
      <c r="BU2185" t="s">
        <v>182</v>
      </c>
      <c r="BV2185" t="s">
        <v>198</v>
      </c>
      <c r="BW2185" t="s">
        <v>198</v>
      </c>
      <c r="BX2185" t="s">
        <v>199</v>
      </c>
      <c r="BY2185" t="s">
        <v>198</v>
      </c>
      <c r="BZ2185" t="s">
        <v>199</v>
      </c>
      <c r="CA2185" t="s">
        <v>199</v>
      </c>
      <c r="CB2185" t="s">
        <v>25448</v>
      </c>
      <c r="CC2185" t="s">
        <v>201</v>
      </c>
      <c r="CD2185" t="s">
        <v>182</v>
      </c>
      <c r="CE2185" t="s">
        <v>25449</v>
      </c>
      <c r="CF2185" t="s">
        <v>5331</v>
      </c>
      <c r="CG2185" t="s">
        <v>177</v>
      </c>
      <c r="CH2185" t="s">
        <v>371</v>
      </c>
      <c r="CI2185" t="s">
        <v>25450</v>
      </c>
      <c r="CJ2185" t="s">
        <v>16651</v>
      </c>
      <c r="CK2185" t="s">
        <v>232</v>
      </c>
      <c r="CL2185" t="s">
        <v>233</v>
      </c>
      <c r="CM2185" t="s">
        <v>25451</v>
      </c>
      <c r="CN2185" t="s">
        <v>1164</v>
      </c>
      <c r="CO2185" t="s">
        <v>183</v>
      </c>
      <c r="CP2185" t="s">
        <v>266</v>
      </c>
      <c r="CS2185" t="s">
        <v>198</v>
      </c>
      <c r="CT2185" t="s">
        <v>16511</v>
      </c>
      <c r="CU2185" t="s">
        <v>292</v>
      </c>
      <c r="CV2185" t="s">
        <v>293</v>
      </c>
      <c r="CW2185" t="s">
        <v>25452</v>
      </c>
      <c r="CX2185" t="s">
        <v>341</v>
      </c>
      <c r="CY2185" t="s">
        <v>183</v>
      </c>
      <c r="CZ2185" t="s">
        <v>211</v>
      </c>
      <c r="DA2185" t="s">
        <v>206</v>
      </c>
      <c r="DC2185" t="s">
        <v>23749</v>
      </c>
      <c r="DD2185" t="s">
        <v>7285</v>
      </c>
      <c r="DE2185" t="s">
        <v>267</v>
      </c>
      <c r="DF2185" t="s">
        <v>293</v>
      </c>
      <c r="DG2185" t="s">
        <v>25453</v>
      </c>
      <c r="DH2185" t="s">
        <v>482</v>
      </c>
      <c r="DI2185" t="s">
        <v>183</v>
      </c>
      <c r="DJ2185" t="s">
        <v>211</v>
      </c>
      <c r="DK2185" t="s">
        <v>206</v>
      </c>
      <c r="DM2185" t="s">
        <v>23749</v>
      </c>
      <c r="DN2185" t="s">
        <v>17701</v>
      </c>
      <c r="DO2185" t="s">
        <v>273</v>
      </c>
      <c r="DP2185" t="s">
        <v>293</v>
      </c>
      <c r="DQ2185" t="s">
        <v>25454</v>
      </c>
      <c r="DR2185" t="s">
        <v>1180</v>
      </c>
      <c r="DS2185" t="s">
        <v>183</v>
      </c>
      <c r="DT2185" t="s">
        <v>211</v>
      </c>
      <c r="DU2185" t="s">
        <v>206</v>
      </c>
      <c r="DW2185" t="s">
        <v>23749</v>
      </c>
      <c r="DX2185" t="s">
        <v>1001</v>
      </c>
      <c r="DY2185" t="s">
        <v>302</v>
      </c>
      <c r="DZ2185" t="s">
        <v>293</v>
      </c>
      <c r="EA2185" t="s">
        <v>25455</v>
      </c>
      <c r="EB2185" t="s">
        <v>1180</v>
      </c>
      <c r="EC2185" t="s">
        <v>183</v>
      </c>
      <c r="ED2185" t="s">
        <v>211</v>
      </c>
      <c r="EE2185" t="s">
        <v>206</v>
      </c>
      <c r="EG2185" t="s">
        <v>23749</v>
      </c>
      <c r="EH2185" t="s">
        <v>5968</v>
      </c>
      <c r="EI2185" t="s">
        <v>238</v>
      </c>
      <c r="EJ2185" t="s">
        <v>239</v>
      </c>
      <c r="EK2185" t="s">
        <v>25028</v>
      </c>
      <c r="EL2185" t="s">
        <v>314</v>
      </c>
      <c r="EM2185" t="s">
        <v>183</v>
      </c>
      <c r="EN2185" t="s">
        <v>211</v>
      </c>
      <c r="EO2185" t="s">
        <v>633</v>
      </c>
      <c r="EQ2185" t="s">
        <v>4703</v>
      </c>
      <c r="ER2185" t="s">
        <v>25456</v>
      </c>
      <c r="ES2185" t="s">
        <v>207</v>
      </c>
      <c r="ET2185" t="s">
        <v>208</v>
      </c>
      <c r="EU2185" t="s">
        <v>25457</v>
      </c>
      <c r="EV2185" t="s">
        <v>486</v>
      </c>
      <c r="EW2185" t="s">
        <v>183</v>
      </c>
      <c r="EX2185" t="s">
        <v>211</v>
      </c>
      <c r="EY2185" t="s">
        <v>298</v>
      </c>
      <c r="FA2185" t="s">
        <v>5492</v>
      </c>
      <c r="FK2185" t="s">
        <v>198</v>
      </c>
      <c r="FU2185" t="s">
        <v>198</v>
      </c>
    </row>
    <row r="2186" spans="1:177">
      <c r="A2186" s="1" t="str">
        <f>HYPERLINK("http://digipan.lumentumllc.com/apps/getLink/index.php?t=PropLink&amp;p=5244580","PL")</f>
        <v>PL</v>
      </c>
      <c r="B2186" s="1" t="str">
        <f>HYPERLINK("http://digipan.lumentumllc.com/apps/getLink/index.php?t=TaxLink&amp;p=5244580","TL")</f>
        <v>TL</v>
      </c>
      <c r="C2186" s="1" t="str">
        <f>HYPERLINK("http://digipan.lumentumllc.com/apps/getMap/index.php?p=5244580","Map")</f>
        <v>Map</v>
      </c>
      <c r="E2186" t="s">
        <v>177</v>
      </c>
      <c r="F2186" t="s">
        <v>178</v>
      </c>
      <c r="L2186" t="s">
        <v>25458</v>
      </c>
      <c r="N2186" t="s">
        <v>25458</v>
      </c>
      <c r="O2186" t="s">
        <v>25458</v>
      </c>
      <c r="P2186" t="s">
        <v>25459</v>
      </c>
      <c r="Q2186" t="s">
        <v>25458</v>
      </c>
      <c r="V2186">
        <v>2497</v>
      </c>
      <c r="W2186">
        <v>8</v>
      </c>
      <c r="X2186">
        <v>2017</v>
      </c>
      <c r="Y2186">
        <v>2018</v>
      </c>
      <c r="Z2186">
        <v>1623.31</v>
      </c>
      <c r="AB2186" t="s">
        <v>181</v>
      </c>
      <c r="AC2186" t="s">
        <v>182</v>
      </c>
      <c r="AD2186" t="s">
        <v>183</v>
      </c>
      <c r="AE2186">
        <v>1</v>
      </c>
      <c r="AF2186">
        <v>7</v>
      </c>
      <c r="AG2186" t="s">
        <v>418</v>
      </c>
      <c r="AH2186">
        <v>86</v>
      </c>
      <c r="AI2186">
        <v>1462.15</v>
      </c>
      <c r="AJ2186">
        <v>73.11</v>
      </c>
      <c r="AK2186">
        <v>1535.26</v>
      </c>
      <c r="AL2186">
        <v>77319</v>
      </c>
      <c r="AM2186">
        <v>27500</v>
      </c>
      <c r="AN2186">
        <v>49819</v>
      </c>
      <c r="AO2186">
        <v>1327</v>
      </c>
      <c r="AP2186">
        <v>2016</v>
      </c>
      <c r="AQ2186">
        <v>2.1</v>
      </c>
      <c r="AR2186">
        <v>1.99</v>
      </c>
      <c r="AS2186" t="s">
        <v>25460</v>
      </c>
      <c r="AT2186" t="s">
        <v>15040</v>
      </c>
      <c r="AU2186" t="s">
        <v>177</v>
      </c>
      <c r="AV2186" t="s">
        <v>371</v>
      </c>
      <c r="AW2186" t="s">
        <v>182</v>
      </c>
      <c r="AX2186">
        <v>1</v>
      </c>
      <c r="AY2186" t="s">
        <v>188</v>
      </c>
      <c r="AZ2186" t="s">
        <v>206</v>
      </c>
      <c r="BA2186" t="s">
        <v>355</v>
      </c>
      <c r="BB2186" t="s">
        <v>191</v>
      </c>
      <c r="BC2186" t="s">
        <v>182</v>
      </c>
      <c r="BD2186" t="s">
        <v>182</v>
      </c>
      <c r="BE2186" t="s">
        <v>3930</v>
      </c>
      <c r="BF2186">
        <v>1</v>
      </c>
      <c r="BG2186">
        <v>1</v>
      </c>
      <c r="BH2186">
        <v>1961</v>
      </c>
      <c r="BI2186" t="s">
        <v>2433</v>
      </c>
      <c r="BJ2186" t="s">
        <v>285</v>
      </c>
      <c r="BK2186" t="s">
        <v>195</v>
      </c>
      <c r="BL2186" t="s">
        <v>24470</v>
      </c>
      <c r="BM2186" t="s">
        <v>559</v>
      </c>
      <c r="BN2186" t="s">
        <v>182</v>
      </c>
      <c r="BO2186" t="s">
        <v>24823</v>
      </c>
      <c r="BP2186" t="s">
        <v>10104</v>
      </c>
      <c r="BQ2186" t="s">
        <v>562</v>
      </c>
      <c r="BR2186" t="s">
        <v>563</v>
      </c>
      <c r="BS2186" t="s">
        <v>198</v>
      </c>
      <c r="BT2186" t="s">
        <v>13402</v>
      </c>
      <c r="BU2186" t="s">
        <v>182</v>
      </c>
      <c r="BV2186" t="s">
        <v>198</v>
      </c>
      <c r="BW2186" t="s">
        <v>198</v>
      </c>
      <c r="BX2186" t="s">
        <v>199</v>
      </c>
      <c r="BY2186" t="s">
        <v>198</v>
      </c>
      <c r="BZ2186" t="s">
        <v>199</v>
      </c>
      <c r="CA2186" t="s">
        <v>199</v>
      </c>
      <c r="CB2186" t="s">
        <v>25461</v>
      </c>
      <c r="CC2186" t="s">
        <v>201</v>
      </c>
      <c r="CD2186" t="s">
        <v>182</v>
      </c>
      <c r="CE2186" t="s">
        <v>25462</v>
      </c>
      <c r="CF2186" t="s">
        <v>5331</v>
      </c>
      <c r="CG2186" t="s">
        <v>177</v>
      </c>
      <c r="CH2186" t="s">
        <v>371</v>
      </c>
      <c r="CI2186" t="s">
        <v>25463</v>
      </c>
      <c r="CJ2186" t="s">
        <v>25464</v>
      </c>
      <c r="CK2186" t="s">
        <v>232</v>
      </c>
      <c r="CL2186" t="s">
        <v>233</v>
      </c>
      <c r="CM2186" t="s">
        <v>23529</v>
      </c>
      <c r="CN2186" t="s">
        <v>235</v>
      </c>
      <c r="CO2186" t="s">
        <v>183</v>
      </c>
      <c r="CP2186" t="s">
        <v>266</v>
      </c>
      <c r="CS2186" t="s">
        <v>198</v>
      </c>
      <c r="CT2186" t="s">
        <v>16525</v>
      </c>
      <c r="CU2186" t="s">
        <v>292</v>
      </c>
      <c r="CV2186" t="s">
        <v>293</v>
      </c>
      <c r="CW2186" t="s">
        <v>25465</v>
      </c>
      <c r="CX2186" t="s">
        <v>235</v>
      </c>
      <c r="CY2186" t="s">
        <v>183</v>
      </c>
      <c r="CZ2186" t="s">
        <v>211</v>
      </c>
      <c r="DA2186" t="s">
        <v>493</v>
      </c>
      <c r="DC2186" t="s">
        <v>25466</v>
      </c>
      <c r="DD2186" t="s">
        <v>2902</v>
      </c>
      <c r="DE2186" t="s">
        <v>267</v>
      </c>
      <c r="DF2186" t="s">
        <v>268</v>
      </c>
      <c r="DG2186" t="s">
        <v>25467</v>
      </c>
      <c r="DH2186" t="s">
        <v>235</v>
      </c>
      <c r="DI2186" t="s">
        <v>183</v>
      </c>
      <c r="DJ2186" t="s">
        <v>211</v>
      </c>
      <c r="DK2186" t="s">
        <v>206</v>
      </c>
      <c r="DM2186" t="s">
        <v>10410</v>
      </c>
      <c r="DN2186" t="s">
        <v>25468</v>
      </c>
      <c r="DO2186" t="s">
        <v>273</v>
      </c>
      <c r="DP2186" t="s">
        <v>274</v>
      </c>
      <c r="DQ2186" t="s">
        <v>25469</v>
      </c>
      <c r="DR2186" t="s">
        <v>235</v>
      </c>
      <c r="DS2186" t="s">
        <v>183</v>
      </c>
      <c r="DT2186" t="s">
        <v>211</v>
      </c>
      <c r="DU2186" t="s">
        <v>306</v>
      </c>
      <c r="DW2186" t="s">
        <v>10410</v>
      </c>
      <c r="DX2186" t="s">
        <v>16596</v>
      </c>
      <c r="DY2186" t="s">
        <v>302</v>
      </c>
      <c r="DZ2186" t="s">
        <v>303</v>
      </c>
      <c r="EA2186" t="s">
        <v>25470</v>
      </c>
      <c r="EB2186" t="s">
        <v>235</v>
      </c>
      <c r="EC2186" t="s">
        <v>183</v>
      </c>
      <c r="ED2186" t="s">
        <v>211</v>
      </c>
      <c r="EE2186" t="s">
        <v>212</v>
      </c>
      <c r="EG2186" t="s">
        <v>13985</v>
      </c>
      <c r="EH2186" t="s">
        <v>5979</v>
      </c>
      <c r="EI2186" t="s">
        <v>238</v>
      </c>
      <c r="EJ2186" t="s">
        <v>239</v>
      </c>
      <c r="EK2186" t="s">
        <v>25471</v>
      </c>
      <c r="EL2186" t="s">
        <v>247</v>
      </c>
      <c r="EM2186" t="s">
        <v>183</v>
      </c>
      <c r="EN2186" t="s">
        <v>211</v>
      </c>
      <c r="EO2186" t="s">
        <v>487</v>
      </c>
      <c r="EQ2186" t="s">
        <v>25472</v>
      </c>
      <c r="ER2186" t="s">
        <v>25473</v>
      </c>
      <c r="ES2186" t="s">
        <v>346</v>
      </c>
      <c r="ET2186" t="s">
        <v>347</v>
      </c>
      <c r="EU2186" t="s">
        <v>25474</v>
      </c>
      <c r="EV2186" t="s">
        <v>235</v>
      </c>
      <c r="EW2186" t="s">
        <v>183</v>
      </c>
      <c r="EX2186" t="s">
        <v>211</v>
      </c>
      <c r="EY2186" t="s">
        <v>298</v>
      </c>
      <c r="FA2186" t="s">
        <v>5812</v>
      </c>
      <c r="FB2186" t="s">
        <v>25475</v>
      </c>
      <c r="FC2186" t="s">
        <v>207</v>
      </c>
      <c r="FD2186" t="s">
        <v>208</v>
      </c>
      <c r="FE2186" t="s">
        <v>25476</v>
      </c>
      <c r="FF2186" t="s">
        <v>235</v>
      </c>
      <c r="FG2186" t="s">
        <v>183</v>
      </c>
      <c r="FH2186" t="s">
        <v>211</v>
      </c>
      <c r="FI2186" t="s">
        <v>189</v>
      </c>
      <c r="FK2186" t="s">
        <v>25477</v>
      </c>
      <c r="FU2186" t="s">
        <v>198</v>
      </c>
    </row>
    <row r="2187" spans="1:177">
      <c r="A2187" s="1" t="str">
        <f>HYPERLINK("http://digipan.lumentumllc.com/apps/getLink/index.php?t=PropLink&amp;p=5244581","PL")</f>
        <v>PL</v>
      </c>
      <c r="B2187" s="1" t="str">
        <f>HYPERLINK("http://digipan.lumentumllc.com/apps/getLink/index.php?t=TaxLink&amp;p=5244581","TL")</f>
        <v>TL</v>
      </c>
      <c r="C2187" s="1" t="str">
        <f>HYPERLINK("http://digipan.lumentumllc.com/apps/getMap/index.php?p=5244581","Map")</f>
        <v>Map</v>
      </c>
      <c r="E2187" t="s">
        <v>177</v>
      </c>
      <c r="F2187" t="s">
        <v>178</v>
      </c>
      <c r="L2187" t="s">
        <v>25478</v>
      </c>
      <c r="N2187" t="s">
        <v>25478</v>
      </c>
      <c r="O2187" t="s">
        <v>25478</v>
      </c>
      <c r="P2187" t="s">
        <v>25479</v>
      </c>
      <c r="Q2187" t="s">
        <v>25478</v>
      </c>
      <c r="V2187">
        <v>2498</v>
      </c>
      <c r="W2187">
        <v>8</v>
      </c>
      <c r="X2187">
        <v>2017</v>
      </c>
      <c r="Y2187">
        <v>2018</v>
      </c>
      <c r="Z2187">
        <v>1459.44</v>
      </c>
      <c r="AB2187" t="s">
        <v>181</v>
      </c>
      <c r="AC2187" t="s">
        <v>182</v>
      </c>
      <c r="AD2187" t="s">
        <v>183</v>
      </c>
      <c r="AE2187">
        <v>0</v>
      </c>
      <c r="AF2187">
        <v>6</v>
      </c>
      <c r="AG2187" t="s">
        <v>528</v>
      </c>
      <c r="AH2187">
        <v>100</v>
      </c>
      <c r="AK2187">
        <v>0</v>
      </c>
      <c r="AL2187">
        <v>80826</v>
      </c>
      <c r="AM2187">
        <v>44000</v>
      </c>
      <c r="AN2187">
        <v>36826</v>
      </c>
      <c r="AO2187">
        <v>1211</v>
      </c>
      <c r="AP2187">
        <v>2016</v>
      </c>
      <c r="AQ2187">
        <v>1.81</v>
      </c>
      <c r="AS2187" t="s">
        <v>25480</v>
      </c>
      <c r="AT2187" t="s">
        <v>15040</v>
      </c>
      <c r="AU2187" t="s">
        <v>177</v>
      </c>
      <c r="AV2187" t="s">
        <v>371</v>
      </c>
      <c r="AW2187" t="s">
        <v>202</v>
      </c>
      <c r="AX2187">
        <v>1</v>
      </c>
      <c r="AY2187" t="s">
        <v>188</v>
      </c>
      <c r="AZ2187" t="s">
        <v>206</v>
      </c>
      <c r="BA2187" t="s">
        <v>355</v>
      </c>
      <c r="BB2187" t="s">
        <v>191</v>
      </c>
      <c r="BC2187" t="s">
        <v>182</v>
      </c>
      <c r="BD2187" t="s">
        <v>182</v>
      </c>
      <c r="BE2187" t="s">
        <v>3956</v>
      </c>
      <c r="BF2187">
        <v>1</v>
      </c>
      <c r="BG2187">
        <v>1</v>
      </c>
      <c r="BH2187">
        <v>1959</v>
      </c>
      <c r="BI2187" t="s">
        <v>12761</v>
      </c>
      <c r="BJ2187" t="s">
        <v>285</v>
      </c>
      <c r="BK2187" t="s">
        <v>195</v>
      </c>
      <c r="BL2187" t="s">
        <v>11990</v>
      </c>
      <c r="BM2187" t="s">
        <v>20079</v>
      </c>
      <c r="BN2187" t="s">
        <v>182</v>
      </c>
      <c r="BO2187" t="s">
        <v>198</v>
      </c>
      <c r="BP2187" t="s">
        <v>198</v>
      </c>
      <c r="BQ2187" t="s">
        <v>198</v>
      </c>
      <c r="BR2187" t="s">
        <v>198</v>
      </c>
      <c r="BS2187" t="s">
        <v>198</v>
      </c>
      <c r="BT2187" t="s">
        <v>198</v>
      </c>
      <c r="BU2187" t="s">
        <v>182</v>
      </c>
      <c r="BV2187" t="s">
        <v>198</v>
      </c>
      <c r="BW2187" t="s">
        <v>198</v>
      </c>
      <c r="BX2187" t="s">
        <v>199</v>
      </c>
      <c r="BY2187" t="s">
        <v>198</v>
      </c>
      <c r="BZ2187" t="s">
        <v>199</v>
      </c>
      <c r="CA2187" t="s">
        <v>199</v>
      </c>
      <c r="CB2187" t="s">
        <v>25481</v>
      </c>
      <c r="CC2187" t="s">
        <v>201</v>
      </c>
      <c r="CD2187" t="s">
        <v>202</v>
      </c>
      <c r="CE2187" t="s">
        <v>25482</v>
      </c>
      <c r="CF2187" t="s">
        <v>5331</v>
      </c>
      <c r="CG2187" t="s">
        <v>177</v>
      </c>
      <c r="CH2187" t="s">
        <v>371</v>
      </c>
      <c r="CI2187" t="s">
        <v>25483</v>
      </c>
      <c r="CJ2187" t="s">
        <v>25484</v>
      </c>
      <c r="CK2187" t="s">
        <v>232</v>
      </c>
      <c r="CL2187" t="s">
        <v>233</v>
      </c>
      <c r="CM2187" t="s">
        <v>25485</v>
      </c>
      <c r="CN2187" t="s">
        <v>235</v>
      </c>
      <c r="CO2187" t="s">
        <v>183</v>
      </c>
      <c r="CP2187" t="s">
        <v>211</v>
      </c>
      <c r="CQ2187" t="s">
        <v>329</v>
      </c>
      <c r="CS2187" t="s">
        <v>3495</v>
      </c>
      <c r="CT2187" t="s">
        <v>13313</v>
      </c>
      <c r="CU2187" t="s">
        <v>267</v>
      </c>
      <c r="CV2187" t="s">
        <v>268</v>
      </c>
      <c r="CW2187" t="s">
        <v>25486</v>
      </c>
      <c r="CX2187" t="s">
        <v>235</v>
      </c>
      <c r="CY2187" t="s">
        <v>183</v>
      </c>
      <c r="CZ2187" t="s">
        <v>211</v>
      </c>
      <c r="DA2187" t="s">
        <v>264</v>
      </c>
      <c r="DC2187" t="s">
        <v>24810</v>
      </c>
      <c r="DD2187" t="s">
        <v>18707</v>
      </c>
      <c r="DE2187" t="s">
        <v>273</v>
      </c>
      <c r="DF2187" t="s">
        <v>274</v>
      </c>
      <c r="DG2187" t="s">
        <v>25487</v>
      </c>
      <c r="DH2187" t="s">
        <v>235</v>
      </c>
      <c r="DI2187" t="s">
        <v>183</v>
      </c>
      <c r="DJ2187" t="s">
        <v>211</v>
      </c>
      <c r="DK2187" t="s">
        <v>199</v>
      </c>
      <c r="DM2187" t="s">
        <v>12932</v>
      </c>
      <c r="DN2187" t="s">
        <v>25488</v>
      </c>
      <c r="DO2187" t="s">
        <v>302</v>
      </c>
      <c r="DP2187" t="s">
        <v>303</v>
      </c>
      <c r="DQ2187" t="s">
        <v>25489</v>
      </c>
      <c r="DR2187" t="s">
        <v>235</v>
      </c>
      <c r="DS2187" t="s">
        <v>183</v>
      </c>
      <c r="DT2187" t="s">
        <v>211</v>
      </c>
      <c r="DU2187" t="s">
        <v>427</v>
      </c>
      <c r="DW2187" t="s">
        <v>12932</v>
      </c>
      <c r="DX2187" t="s">
        <v>6045</v>
      </c>
      <c r="DY2187" t="s">
        <v>238</v>
      </c>
      <c r="DZ2187" t="s">
        <v>239</v>
      </c>
      <c r="EA2187" t="s">
        <v>25490</v>
      </c>
      <c r="EB2187" t="s">
        <v>331</v>
      </c>
      <c r="EC2187" t="s">
        <v>183</v>
      </c>
      <c r="ED2187" t="s">
        <v>211</v>
      </c>
      <c r="EE2187" t="s">
        <v>298</v>
      </c>
      <c r="EG2187" t="s">
        <v>1815</v>
      </c>
      <c r="EH2187" t="s">
        <v>25491</v>
      </c>
      <c r="EI2187" t="s">
        <v>346</v>
      </c>
      <c r="EJ2187" t="s">
        <v>347</v>
      </c>
      <c r="EK2187" t="s">
        <v>25492</v>
      </c>
      <c r="EL2187" t="s">
        <v>1341</v>
      </c>
      <c r="EM2187" t="s">
        <v>183</v>
      </c>
      <c r="EN2187" t="s">
        <v>211</v>
      </c>
      <c r="EO2187" t="s">
        <v>909</v>
      </c>
      <c r="EQ2187" t="s">
        <v>4894</v>
      </c>
      <c r="FA2187" t="s">
        <v>198</v>
      </c>
      <c r="FK2187" t="s">
        <v>198</v>
      </c>
      <c r="FU2187" t="s">
        <v>198</v>
      </c>
    </row>
    <row r="2188" spans="1:177">
      <c r="A2188" s="1" t="str">
        <f>HYPERLINK("http://digipan.lumentumllc.com/apps/getLink/index.php?t=PropLink&amp;p=6128726","PL")</f>
        <v>PL</v>
      </c>
      <c r="B2188" s="1" t="str">
        <f>HYPERLINK("http://digipan.lumentumllc.com/apps/getLink/index.php?t=TaxLink&amp;p=6128726","TL")</f>
        <v>TL</v>
      </c>
      <c r="C2188" s="1" t="str">
        <f>HYPERLINK("http://digipan.lumentumllc.com/apps/getMap/index.php?p=6128726","Map")</f>
        <v>Map</v>
      </c>
      <c r="E2188" t="s">
        <v>177</v>
      </c>
      <c r="F2188" t="s">
        <v>178</v>
      </c>
      <c r="L2188" t="s">
        <v>25493</v>
      </c>
      <c r="N2188" t="s">
        <v>25493</v>
      </c>
      <c r="O2188" t="s">
        <v>25493</v>
      </c>
      <c r="P2188" t="s">
        <v>25494</v>
      </c>
      <c r="Q2188" t="s">
        <v>25493</v>
      </c>
      <c r="V2188">
        <v>2499</v>
      </c>
      <c r="W2188">
        <v>8</v>
      </c>
      <c r="X2188">
        <v>2017</v>
      </c>
      <c r="Y2188">
        <v>2018</v>
      </c>
      <c r="Z2188">
        <v>608.91</v>
      </c>
      <c r="AB2188" t="s">
        <v>181</v>
      </c>
      <c r="AC2188" t="s">
        <v>182</v>
      </c>
      <c r="AD2188" t="s">
        <v>183</v>
      </c>
      <c r="AE2188">
        <v>1</v>
      </c>
      <c r="AF2188">
        <v>5</v>
      </c>
      <c r="AG2188" t="s">
        <v>322</v>
      </c>
      <c r="AH2188">
        <v>83</v>
      </c>
      <c r="AI2188">
        <v>552.53</v>
      </c>
      <c r="AJ2188">
        <v>77.349999999999994</v>
      </c>
      <c r="AK2188">
        <v>629.88</v>
      </c>
      <c r="AL2188">
        <v>27500</v>
      </c>
      <c r="AM2188">
        <v>27500</v>
      </c>
      <c r="AN2188">
        <v>0</v>
      </c>
      <c r="AO2188">
        <v>486</v>
      </c>
      <c r="AP2188">
        <v>2016</v>
      </c>
      <c r="AQ2188">
        <v>2.21</v>
      </c>
      <c r="AR2188">
        <v>2.29</v>
      </c>
      <c r="AS2188" t="s">
        <v>25445</v>
      </c>
      <c r="AT2188" t="s">
        <v>15040</v>
      </c>
      <c r="AU2188" t="s">
        <v>177</v>
      </c>
      <c r="AV2188" t="s">
        <v>371</v>
      </c>
      <c r="AW2188" t="s">
        <v>182</v>
      </c>
      <c r="AX2188">
        <v>0</v>
      </c>
      <c r="AY2188" t="s">
        <v>312</v>
      </c>
      <c r="AZ2188" t="s">
        <v>199</v>
      </c>
      <c r="BA2188" t="s">
        <v>313</v>
      </c>
      <c r="BB2188" t="s">
        <v>191</v>
      </c>
      <c r="BC2188" t="s">
        <v>182</v>
      </c>
      <c r="BD2188" t="s">
        <v>182</v>
      </c>
      <c r="BE2188" t="s">
        <v>3930</v>
      </c>
      <c r="BF2188">
        <v>0</v>
      </c>
      <c r="BG2188">
        <v>0</v>
      </c>
      <c r="BH2188">
        <v>0</v>
      </c>
      <c r="BI2188" t="s">
        <v>199</v>
      </c>
      <c r="BJ2188" t="s">
        <v>315</v>
      </c>
      <c r="BL2188" t="s">
        <v>5738</v>
      </c>
      <c r="BM2188" t="s">
        <v>1026</v>
      </c>
      <c r="BN2188" t="s">
        <v>182</v>
      </c>
      <c r="BO2188" t="s">
        <v>198</v>
      </c>
      <c r="BP2188" t="s">
        <v>198</v>
      </c>
      <c r="BQ2188" t="s">
        <v>198</v>
      </c>
      <c r="BR2188" t="s">
        <v>198</v>
      </c>
      <c r="BS2188" t="s">
        <v>198</v>
      </c>
      <c r="BT2188" t="s">
        <v>198</v>
      </c>
      <c r="BU2188" t="s">
        <v>182</v>
      </c>
      <c r="BV2188" t="s">
        <v>198</v>
      </c>
      <c r="BW2188" t="s">
        <v>198</v>
      </c>
      <c r="BX2188" t="s">
        <v>199</v>
      </c>
      <c r="BY2188" t="s">
        <v>198</v>
      </c>
      <c r="BZ2188" t="s">
        <v>199</v>
      </c>
      <c r="CA2188" t="s">
        <v>199</v>
      </c>
      <c r="CB2188" t="s">
        <v>25495</v>
      </c>
      <c r="CC2188" t="s">
        <v>201</v>
      </c>
      <c r="CD2188" t="s">
        <v>202</v>
      </c>
      <c r="CE2188" t="s">
        <v>25480</v>
      </c>
      <c r="CF2188" t="s">
        <v>5331</v>
      </c>
      <c r="CG2188" t="s">
        <v>177</v>
      </c>
      <c r="CH2188" t="s">
        <v>371</v>
      </c>
      <c r="CI2188" t="s">
        <v>25496</v>
      </c>
      <c r="CJ2188" t="s">
        <v>16868</v>
      </c>
      <c r="CK2188" t="s">
        <v>232</v>
      </c>
      <c r="CL2188" t="s">
        <v>233</v>
      </c>
      <c r="CM2188" t="s">
        <v>25497</v>
      </c>
      <c r="CN2188" t="s">
        <v>484</v>
      </c>
      <c r="CO2188" t="s">
        <v>183</v>
      </c>
      <c r="CP2188" t="s">
        <v>266</v>
      </c>
      <c r="CS2188" t="s">
        <v>198</v>
      </c>
      <c r="CT2188" t="s">
        <v>24515</v>
      </c>
      <c r="CU2188" t="s">
        <v>292</v>
      </c>
      <c r="CV2188" t="s">
        <v>293</v>
      </c>
      <c r="CW2188" t="s">
        <v>25498</v>
      </c>
      <c r="CX2188" t="s">
        <v>333</v>
      </c>
      <c r="CY2188" t="s">
        <v>183</v>
      </c>
      <c r="CZ2188" t="s">
        <v>211</v>
      </c>
      <c r="DA2188" t="s">
        <v>298</v>
      </c>
      <c r="DC2188" t="s">
        <v>3495</v>
      </c>
      <c r="DD2188" t="s">
        <v>2920</v>
      </c>
      <c r="DE2188" t="s">
        <v>267</v>
      </c>
      <c r="DF2188" t="s">
        <v>268</v>
      </c>
      <c r="DG2188" t="s">
        <v>25499</v>
      </c>
      <c r="DH2188" t="s">
        <v>484</v>
      </c>
      <c r="DI2188" t="s">
        <v>183</v>
      </c>
      <c r="DJ2188" t="s">
        <v>211</v>
      </c>
      <c r="DK2188" t="s">
        <v>525</v>
      </c>
      <c r="DM2188" t="s">
        <v>3495</v>
      </c>
      <c r="DN2188" t="s">
        <v>23353</v>
      </c>
      <c r="DO2188" t="s">
        <v>273</v>
      </c>
      <c r="DP2188" t="s">
        <v>274</v>
      </c>
      <c r="DQ2188" t="s">
        <v>22773</v>
      </c>
      <c r="DR2188" t="s">
        <v>3342</v>
      </c>
      <c r="DS2188" t="s">
        <v>183</v>
      </c>
      <c r="DT2188" t="s">
        <v>211</v>
      </c>
      <c r="DU2188" t="s">
        <v>471</v>
      </c>
      <c r="DW2188" t="s">
        <v>24810</v>
      </c>
      <c r="DX2188" t="s">
        <v>20105</v>
      </c>
      <c r="DY2188" t="s">
        <v>302</v>
      </c>
      <c r="DZ2188" t="s">
        <v>303</v>
      </c>
      <c r="EA2188" t="s">
        <v>25500</v>
      </c>
      <c r="EB2188" t="s">
        <v>7278</v>
      </c>
      <c r="EC2188" t="s">
        <v>183</v>
      </c>
      <c r="ED2188" t="s">
        <v>211</v>
      </c>
      <c r="EE2188" t="s">
        <v>298</v>
      </c>
      <c r="EG2188" t="s">
        <v>1616</v>
      </c>
      <c r="EH2188" t="s">
        <v>6420</v>
      </c>
      <c r="EI2188" t="s">
        <v>238</v>
      </c>
      <c r="EJ2188" t="s">
        <v>239</v>
      </c>
      <c r="EK2188" t="s">
        <v>5239</v>
      </c>
      <c r="EL2188" t="s">
        <v>1491</v>
      </c>
      <c r="EM2188" t="s">
        <v>183</v>
      </c>
      <c r="EN2188" t="s">
        <v>211</v>
      </c>
      <c r="EO2188" t="s">
        <v>298</v>
      </c>
      <c r="EQ2188" t="s">
        <v>1815</v>
      </c>
      <c r="FA2188" t="s">
        <v>198</v>
      </c>
      <c r="FK2188" t="s">
        <v>198</v>
      </c>
      <c r="FU2188" t="s">
        <v>198</v>
      </c>
    </row>
    <row r="2189" spans="1:177">
      <c r="A2189" s="1" t="str">
        <f>HYPERLINK("http://digipan.lumentumllc.com/apps/getLink/index.php?t=PropLink&amp;p=6461707","PL")</f>
        <v>PL</v>
      </c>
      <c r="B2189" s="1" t="str">
        <f>HYPERLINK("http://digipan.lumentumllc.com/apps/getLink/index.php?t=TaxLink&amp;p=6461707","TL")</f>
        <v>TL</v>
      </c>
      <c r="C2189" s="1" t="str">
        <f>HYPERLINK("http://digipan.lumentumllc.com/apps/getMap/index.php?p=6461707","Map")</f>
        <v>Map</v>
      </c>
      <c r="E2189" t="s">
        <v>177</v>
      </c>
      <c r="F2189" t="s">
        <v>178</v>
      </c>
      <c r="L2189" t="s">
        <v>25501</v>
      </c>
      <c r="N2189" t="s">
        <v>25501</v>
      </c>
      <c r="O2189" t="s">
        <v>25501</v>
      </c>
      <c r="P2189" t="s">
        <v>25502</v>
      </c>
      <c r="Q2189" t="s">
        <v>25501</v>
      </c>
      <c r="V2189">
        <v>2501</v>
      </c>
      <c r="W2189">
        <v>8</v>
      </c>
      <c r="X2189">
        <v>2017</v>
      </c>
      <c r="Y2189">
        <v>2018</v>
      </c>
      <c r="Z2189">
        <v>3916.28</v>
      </c>
      <c r="AG2189" t="s">
        <v>184</v>
      </c>
      <c r="AH2189">
        <v>0</v>
      </c>
      <c r="AK2189">
        <v>0</v>
      </c>
      <c r="AL2189">
        <v>180202</v>
      </c>
      <c r="AM2189">
        <v>100000</v>
      </c>
      <c r="AN2189">
        <v>80202</v>
      </c>
      <c r="AO2189">
        <v>3487</v>
      </c>
      <c r="AP2189">
        <v>2016</v>
      </c>
      <c r="AQ2189">
        <v>2.17</v>
      </c>
      <c r="AS2189" t="s">
        <v>25503</v>
      </c>
      <c r="AT2189" t="s">
        <v>15040</v>
      </c>
      <c r="AU2189" t="s">
        <v>177</v>
      </c>
      <c r="AV2189" t="s">
        <v>371</v>
      </c>
      <c r="AW2189" t="s">
        <v>182</v>
      </c>
      <c r="AX2189">
        <v>33</v>
      </c>
      <c r="AY2189" t="s">
        <v>3641</v>
      </c>
      <c r="AZ2189" t="s">
        <v>865</v>
      </c>
      <c r="BA2189" t="s">
        <v>7406</v>
      </c>
      <c r="BB2189" t="s">
        <v>1868</v>
      </c>
      <c r="BC2189" t="s">
        <v>182</v>
      </c>
      <c r="BD2189" t="s">
        <v>182</v>
      </c>
      <c r="BE2189" t="s">
        <v>3956</v>
      </c>
      <c r="BF2189">
        <v>1</v>
      </c>
      <c r="BG2189">
        <v>0</v>
      </c>
      <c r="BH2189">
        <v>1950</v>
      </c>
      <c r="BI2189" t="s">
        <v>17731</v>
      </c>
      <c r="BJ2189" t="s">
        <v>194</v>
      </c>
      <c r="BK2189" t="s">
        <v>840</v>
      </c>
      <c r="BL2189" t="s">
        <v>22595</v>
      </c>
      <c r="BM2189" t="s">
        <v>292</v>
      </c>
      <c r="BN2189" t="s">
        <v>182</v>
      </c>
      <c r="BO2189" t="s">
        <v>198</v>
      </c>
      <c r="BP2189" t="s">
        <v>198</v>
      </c>
      <c r="BQ2189" t="s">
        <v>198</v>
      </c>
      <c r="BR2189" t="s">
        <v>198</v>
      </c>
      <c r="BS2189" t="s">
        <v>198</v>
      </c>
      <c r="BT2189" t="s">
        <v>198</v>
      </c>
      <c r="BU2189" t="s">
        <v>182</v>
      </c>
      <c r="BV2189" t="s">
        <v>198</v>
      </c>
      <c r="BW2189" t="s">
        <v>198</v>
      </c>
      <c r="BX2189" t="s">
        <v>199</v>
      </c>
      <c r="BY2189" t="s">
        <v>198</v>
      </c>
      <c r="BZ2189" t="s">
        <v>199</v>
      </c>
      <c r="CA2189" t="s">
        <v>199</v>
      </c>
      <c r="CB2189" t="s">
        <v>25504</v>
      </c>
      <c r="CC2189" t="s">
        <v>201</v>
      </c>
      <c r="CD2189" t="s">
        <v>182</v>
      </c>
      <c r="CE2189" t="s">
        <v>24405</v>
      </c>
      <c r="CF2189" t="s">
        <v>5331</v>
      </c>
      <c r="CG2189" t="s">
        <v>177</v>
      </c>
      <c r="CH2189" t="s">
        <v>371</v>
      </c>
      <c r="CI2189" t="s">
        <v>25505</v>
      </c>
      <c r="CS2189" t="s">
        <v>198</v>
      </c>
      <c r="DC2189" t="s">
        <v>198</v>
      </c>
      <c r="DM2189" t="s">
        <v>198</v>
      </c>
      <c r="DW2189" t="s">
        <v>198</v>
      </c>
      <c r="EG2189" t="s">
        <v>198</v>
      </c>
      <c r="EQ2189" t="s">
        <v>198</v>
      </c>
      <c r="FA2189" t="s">
        <v>198</v>
      </c>
      <c r="FK2189" t="s">
        <v>198</v>
      </c>
      <c r="FU2189" t="s">
        <v>198</v>
      </c>
    </row>
    <row r="2190" spans="1:177">
      <c r="A2190" s="1" t="str">
        <f>HYPERLINK("http://digipan.lumentumllc.com/apps/getLink/index.php?t=PropLink&amp;p=5244587","PL")</f>
        <v>PL</v>
      </c>
      <c r="B2190" s="1" t="str">
        <f>HYPERLINK("http://digipan.lumentumllc.com/apps/getLink/index.php?t=TaxLink&amp;p=5244587","TL")</f>
        <v>TL</v>
      </c>
      <c r="C2190" s="1" t="str">
        <f>HYPERLINK("http://digipan.lumentumllc.com/apps/getMap/index.php?p=5244587","Map")</f>
        <v>Map</v>
      </c>
      <c r="E2190" t="s">
        <v>177</v>
      </c>
      <c r="F2190" t="s">
        <v>178</v>
      </c>
      <c r="L2190" t="s">
        <v>25506</v>
      </c>
      <c r="N2190" t="s">
        <v>25506</v>
      </c>
      <c r="O2190" t="s">
        <v>25506</v>
      </c>
      <c r="P2190" t="s">
        <v>25507</v>
      </c>
      <c r="Q2190" t="s">
        <v>25506</v>
      </c>
      <c r="V2190">
        <v>2502</v>
      </c>
      <c r="W2190">
        <v>8</v>
      </c>
      <c r="X2190">
        <v>2017</v>
      </c>
      <c r="Y2190">
        <v>2018</v>
      </c>
      <c r="Z2190">
        <v>446.94</v>
      </c>
      <c r="AB2190" t="s">
        <v>181</v>
      </c>
      <c r="AC2190" t="s">
        <v>202</v>
      </c>
      <c r="AD2190" t="s">
        <v>183</v>
      </c>
      <c r="AE2190">
        <v>0</v>
      </c>
      <c r="AF2190">
        <v>3</v>
      </c>
      <c r="AG2190" t="s">
        <v>216</v>
      </c>
      <c r="AH2190">
        <v>100</v>
      </c>
      <c r="AK2190">
        <v>0</v>
      </c>
      <c r="AL2190">
        <v>19250</v>
      </c>
      <c r="AM2190">
        <v>19250</v>
      </c>
      <c r="AN2190">
        <v>0</v>
      </c>
      <c r="AO2190">
        <v>354</v>
      </c>
      <c r="AP2190">
        <v>2016</v>
      </c>
      <c r="AQ2190">
        <v>2.3199999999999998</v>
      </c>
      <c r="AS2190" t="s">
        <v>25508</v>
      </c>
      <c r="AT2190" t="s">
        <v>15040</v>
      </c>
      <c r="AU2190" t="s">
        <v>177</v>
      </c>
      <c r="AV2190" t="s">
        <v>371</v>
      </c>
      <c r="AW2190" t="s">
        <v>182</v>
      </c>
      <c r="AX2190">
        <v>10</v>
      </c>
      <c r="AY2190" t="s">
        <v>3211</v>
      </c>
      <c r="AZ2190" t="s">
        <v>270</v>
      </c>
      <c r="BA2190" t="s">
        <v>3212</v>
      </c>
      <c r="BB2190" t="s">
        <v>191</v>
      </c>
      <c r="BC2190" t="s">
        <v>182</v>
      </c>
      <c r="BD2190" t="s">
        <v>182</v>
      </c>
      <c r="BE2190" t="s">
        <v>3930</v>
      </c>
      <c r="BF2190">
        <v>0</v>
      </c>
      <c r="BG2190">
        <v>0</v>
      </c>
      <c r="BH2190">
        <v>0</v>
      </c>
      <c r="BI2190" t="s">
        <v>199</v>
      </c>
      <c r="BJ2190" t="s">
        <v>396</v>
      </c>
      <c r="BL2190" t="s">
        <v>22595</v>
      </c>
      <c r="BM2190" t="s">
        <v>292</v>
      </c>
      <c r="BN2190" t="s">
        <v>182</v>
      </c>
      <c r="BO2190" t="s">
        <v>198</v>
      </c>
      <c r="BP2190" t="s">
        <v>198</v>
      </c>
      <c r="BQ2190" t="s">
        <v>198</v>
      </c>
      <c r="BR2190" t="s">
        <v>198</v>
      </c>
      <c r="BS2190" t="s">
        <v>198</v>
      </c>
      <c r="BT2190" t="s">
        <v>198</v>
      </c>
      <c r="BU2190" t="s">
        <v>182</v>
      </c>
      <c r="BV2190" t="s">
        <v>198</v>
      </c>
      <c r="BW2190" t="s">
        <v>198</v>
      </c>
      <c r="BX2190" t="s">
        <v>199</v>
      </c>
      <c r="BY2190" t="s">
        <v>198</v>
      </c>
      <c r="BZ2190" t="s">
        <v>199</v>
      </c>
      <c r="CA2190" t="s">
        <v>199</v>
      </c>
      <c r="CB2190" t="s">
        <v>25504</v>
      </c>
      <c r="CC2190" t="s">
        <v>201</v>
      </c>
      <c r="CD2190" t="s">
        <v>182</v>
      </c>
      <c r="CE2190" t="s">
        <v>24405</v>
      </c>
      <c r="CF2190" t="s">
        <v>5331</v>
      </c>
      <c r="CG2190" t="s">
        <v>177</v>
      </c>
      <c r="CH2190" t="s">
        <v>371</v>
      </c>
      <c r="CI2190" t="s">
        <v>25509</v>
      </c>
      <c r="CJ2190" t="s">
        <v>6638</v>
      </c>
      <c r="CK2190" t="s">
        <v>238</v>
      </c>
      <c r="CL2190" t="s">
        <v>239</v>
      </c>
      <c r="CM2190" t="s">
        <v>25510</v>
      </c>
      <c r="CN2190" t="s">
        <v>254</v>
      </c>
      <c r="CO2190" t="s">
        <v>183</v>
      </c>
      <c r="CP2190" t="s">
        <v>211</v>
      </c>
      <c r="CQ2190" t="s">
        <v>339</v>
      </c>
      <c r="CR2190" t="s">
        <v>6042</v>
      </c>
      <c r="CS2190" t="s">
        <v>13300</v>
      </c>
      <c r="CT2190" t="s">
        <v>25511</v>
      </c>
      <c r="CU2190" t="s">
        <v>346</v>
      </c>
      <c r="CV2190" t="s">
        <v>347</v>
      </c>
      <c r="CW2190" t="s">
        <v>25512</v>
      </c>
      <c r="CX2190" t="s">
        <v>278</v>
      </c>
      <c r="CY2190" t="s">
        <v>183</v>
      </c>
      <c r="CZ2190" t="s">
        <v>211</v>
      </c>
      <c r="DA2190" t="s">
        <v>493</v>
      </c>
      <c r="DB2190" t="s">
        <v>6042</v>
      </c>
      <c r="DC2190" t="s">
        <v>13300</v>
      </c>
      <c r="DD2190" t="s">
        <v>25013</v>
      </c>
      <c r="DE2190" t="s">
        <v>207</v>
      </c>
      <c r="DF2190" t="s">
        <v>208</v>
      </c>
      <c r="DG2190" t="s">
        <v>25513</v>
      </c>
      <c r="DH2190" t="s">
        <v>314</v>
      </c>
      <c r="DI2190" t="s">
        <v>183</v>
      </c>
      <c r="DJ2190" t="s">
        <v>211</v>
      </c>
      <c r="DL2190" t="s">
        <v>6042</v>
      </c>
      <c r="DM2190" t="s">
        <v>198</v>
      </c>
      <c r="DW2190" t="s">
        <v>198</v>
      </c>
      <c r="EG2190" t="s">
        <v>198</v>
      </c>
      <c r="EQ2190" t="s">
        <v>198</v>
      </c>
      <c r="FA2190" t="s">
        <v>198</v>
      </c>
      <c r="FK2190" t="s">
        <v>198</v>
      </c>
      <c r="FU2190" t="s">
        <v>198</v>
      </c>
    </row>
    <row r="2191" spans="1:177">
      <c r="A2191" s="1" t="str">
        <f>HYPERLINK("http://digipan.lumentumllc.com/apps/getLink/index.php?t=PropLink&amp;p=5244589","PL")</f>
        <v>PL</v>
      </c>
      <c r="B2191" s="1" t="str">
        <f>HYPERLINK("http://digipan.lumentumllc.com/apps/getLink/index.php?t=TaxLink&amp;p=5244589","TL")</f>
        <v>TL</v>
      </c>
      <c r="C2191" s="1" t="str">
        <f>HYPERLINK("http://digipan.lumentumllc.com/apps/getMap/index.php?p=5244589","Map")</f>
        <v>Map</v>
      </c>
      <c r="E2191" t="s">
        <v>177</v>
      </c>
      <c r="F2191" t="s">
        <v>178</v>
      </c>
      <c r="L2191" t="s">
        <v>25514</v>
      </c>
      <c r="N2191" t="s">
        <v>25514</v>
      </c>
      <c r="O2191" t="s">
        <v>25514</v>
      </c>
      <c r="P2191" t="s">
        <v>25515</v>
      </c>
      <c r="Q2191" t="s">
        <v>25514</v>
      </c>
      <c r="V2191">
        <v>2503</v>
      </c>
      <c r="W2191">
        <v>8</v>
      </c>
      <c r="X2191">
        <v>2017</v>
      </c>
      <c r="Y2191">
        <v>2018</v>
      </c>
      <c r="Z2191">
        <v>1960.05</v>
      </c>
      <c r="AB2191" t="s">
        <v>181</v>
      </c>
      <c r="AC2191" t="s">
        <v>182</v>
      </c>
      <c r="AD2191" t="s">
        <v>183</v>
      </c>
      <c r="AE2191">
        <v>1</v>
      </c>
      <c r="AF2191">
        <v>7</v>
      </c>
      <c r="AG2191" t="s">
        <v>418</v>
      </c>
      <c r="AH2191">
        <v>86</v>
      </c>
      <c r="AI2191">
        <v>1811.55</v>
      </c>
      <c r="AJ2191">
        <v>90.58</v>
      </c>
      <c r="AK2191">
        <v>1902.13</v>
      </c>
      <c r="AL2191">
        <v>93286</v>
      </c>
      <c r="AM2191">
        <v>18980</v>
      </c>
      <c r="AN2191">
        <v>74306</v>
      </c>
      <c r="AO2191">
        <v>1650</v>
      </c>
      <c r="AP2191">
        <v>2016</v>
      </c>
      <c r="AQ2191">
        <v>2.1</v>
      </c>
      <c r="AR2191">
        <v>2.04</v>
      </c>
      <c r="AS2191" t="s">
        <v>25516</v>
      </c>
      <c r="AT2191" t="s">
        <v>15040</v>
      </c>
      <c r="AU2191" t="s">
        <v>177</v>
      </c>
      <c r="AV2191" t="s">
        <v>371</v>
      </c>
      <c r="AW2191" t="s">
        <v>182</v>
      </c>
      <c r="AX2191">
        <v>8</v>
      </c>
      <c r="AY2191" t="s">
        <v>188</v>
      </c>
      <c r="AZ2191" t="s">
        <v>329</v>
      </c>
      <c r="BA2191" t="s">
        <v>6773</v>
      </c>
      <c r="BB2191" t="s">
        <v>191</v>
      </c>
      <c r="BC2191" t="s">
        <v>182</v>
      </c>
      <c r="BD2191" t="s">
        <v>182</v>
      </c>
      <c r="BE2191" t="s">
        <v>3930</v>
      </c>
      <c r="BF2191">
        <v>1</v>
      </c>
      <c r="BG2191">
        <v>1</v>
      </c>
      <c r="BH2191">
        <v>1900</v>
      </c>
      <c r="BI2191" t="s">
        <v>9127</v>
      </c>
      <c r="BJ2191" t="s">
        <v>285</v>
      </c>
      <c r="BK2191" t="s">
        <v>195</v>
      </c>
      <c r="BL2191" t="s">
        <v>797</v>
      </c>
      <c r="BM2191" t="s">
        <v>325</v>
      </c>
      <c r="BN2191" t="s">
        <v>182</v>
      </c>
      <c r="BO2191" t="s">
        <v>198</v>
      </c>
      <c r="BP2191" t="s">
        <v>198</v>
      </c>
      <c r="BQ2191" t="s">
        <v>198</v>
      </c>
      <c r="BR2191" t="s">
        <v>198</v>
      </c>
      <c r="BS2191" t="s">
        <v>198</v>
      </c>
      <c r="BT2191" t="s">
        <v>198</v>
      </c>
      <c r="BU2191" t="s">
        <v>182</v>
      </c>
      <c r="BV2191" t="s">
        <v>198</v>
      </c>
      <c r="BW2191" t="s">
        <v>198</v>
      </c>
      <c r="BX2191" t="s">
        <v>199</v>
      </c>
      <c r="BY2191" t="s">
        <v>198</v>
      </c>
      <c r="BZ2191" t="s">
        <v>199</v>
      </c>
      <c r="CA2191" t="s">
        <v>199</v>
      </c>
      <c r="CB2191" t="s">
        <v>21418</v>
      </c>
      <c r="CC2191" t="s">
        <v>201</v>
      </c>
      <c r="CD2191" t="s">
        <v>182</v>
      </c>
      <c r="CE2191" t="s">
        <v>21419</v>
      </c>
      <c r="CF2191" t="s">
        <v>21420</v>
      </c>
      <c r="CG2191" t="s">
        <v>2769</v>
      </c>
      <c r="CH2191" t="s">
        <v>21421</v>
      </c>
      <c r="CI2191" t="s">
        <v>25517</v>
      </c>
      <c r="CJ2191" t="s">
        <v>10095</v>
      </c>
      <c r="CK2191" t="s">
        <v>232</v>
      </c>
      <c r="CL2191" t="s">
        <v>233</v>
      </c>
      <c r="CM2191" t="s">
        <v>25518</v>
      </c>
      <c r="CN2191" t="s">
        <v>235</v>
      </c>
      <c r="CO2191" t="s">
        <v>183</v>
      </c>
      <c r="CP2191" t="s">
        <v>266</v>
      </c>
      <c r="CS2191" t="s">
        <v>198</v>
      </c>
      <c r="CT2191" t="s">
        <v>9885</v>
      </c>
      <c r="CU2191" t="s">
        <v>292</v>
      </c>
      <c r="CV2191" t="s">
        <v>293</v>
      </c>
      <c r="CW2191" t="s">
        <v>25519</v>
      </c>
      <c r="CX2191" t="s">
        <v>235</v>
      </c>
      <c r="CY2191" t="s">
        <v>183</v>
      </c>
      <c r="CZ2191" t="s">
        <v>211</v>
      </c>
      <c r="DA2191" t="s">
        <v>298</v>
      </c>
      <c r="DC2191" t="s">
        <v>457</v>
      </c>
      <c r="DD2191" t="s">
        <v>18709</v>
      </c>
      <c r="DE2191" t="s">
        <v>267</v>
      </c>
      <c r="DF2191" t="s">
        <v>268</v>
      </c>
      <c r="DG2191" t="s">
        <v>25520</v>
      </c>
      <c r="DH2191" t="s">
        <v>235</v>
      </c>
      <c r="DI2191" t="s">
        <v>183</v>
      </c>
      <c r="DJ2191" t="s">
        <v>211</v>
      </c>
      <c r="DK2191" t="s">
        <v>298</v>
      </c>
      <c r="DM2191" t="s">
        <v>459</v>
      </c>
      <c r="DN2191" t="s">
        <v>25521</v>
      </c>
      <c r="DO2191" t="s">
        <v>273</v>
      </c>
      <c r="DP2191" t="s">
        <v>274</v>
      </c>
      <c r="DQ2191" t="s">
        <v>25522</v>
      </c>
      <c r="DR2191" t="s">
        <v>235</v>
      </c>
      <c r="DS2191" t="s">
        <v>183</v>
      </c>
      <c r="DT2191" t="s">
        <v>211</v>
      </c>
      <c r="DU2191" t="s">
        <v>298</v>
      </c>
      <c r="DW2191" t="s">
        <v>462</v>
      </c>
      <c r="DX2191" t="s">
        <v>25523</v>
      </c>
      <c r="DY2191" t="s">
        <v>302</v>
      </c>
      <c r="DZ2191" t="s">
        <v>303</v>
      </c>
      <c r="EA2191" t="s">
        <v>25524</v>
      </c>
      <c r="EB2191" t="s">
        <v>235</v>
      </c>
      <c r="EC2191" t="s">
        <v>183</v>
      </c>
      <c r="ED2191" t="s">
        <v>211</v>
      </c>
      <c r="EE2191" t="s">
        <v>345</v>
      </c>
      <c r="EG2191" t="s">
        <v>9541</v>
      </c>
      <c r="EH2191" t="s">
        <v>4835</v>
      </c>
      <c r="EI2191" t="s">
        <v>238</v>
      </c>
      <c r="EJ2191" t="s">
        <v>239</v>
      </c>
      <c r="EK2191" t="s">
        <v>25525</v>
      </c>
      <c r="EL2191" t="s">
        <v>235</v>
      </c>
      <c r="EM2191" t="s">
        <v>183</v>
      </c>
      <c r="EN2191" t="s">
        <v>211</v>
      </c>
      <c r="EO2191" t="s">
        <v>345</v>
      </c>
      <c r="EQ2191" t="s">
        <v>3825</v>
      </c>
      <c r="ER2191" t="s">
        <v>25526</v>
      </c>
      <c r="ES2191" t="s">
        <v>346</v>
      </c>
      <c r="ET2191" t="s">
        <v>347</v>
      </c>
      <c r="EU2191" t="s">
        <v>25527</v>
      </c>
      <c r="EV2191" t="s">
        <v>247</v>
      </c>
      <c r="EW2191" t="s">
        <v>183</v>
      </c>
      <c r="EX2191" t="s">
        <v>211</v>
      </c>
      <c r="EY2191" t="s">
        <v>345</v>
      </c>
      <c r="FA2191" t="s">
        <v>15986</v>
      </c>
      <c r="FB2191" t="s">
        <v>25041</v>
      </c>
      <c r="FC2191" t="s">
        <v>207</v>
      </c>
      <c r="FD2191" t="s">
        <v>208</v>
      </c>
      <c r="FE2191" t="s">
        <v>25528</v>
      </c>
      <c r="FF2191" t="s">
        <v>688</v>
      </c>
      <c r="FG2191" t="s">
        <v>183</v>
      </c>
      <c r="FH2191" t="s">
        <v>211</v>
      </c>
      <c r="FI2191" t="s">
        <v>298</v>
      </c>
      <c r="FK2191" t="s">
        <v>474</v>
      </c>
      <c r="FU2191" t="s">
        <v>198</v>
      </c>
    </row>
    <row r="2192" spans="1:177">
      <c r="A2192" s="1" t="str">
        <f>HYPERLINK("http://digipan.lumentumllc.com/apps/getLink/index.php?t=PropLink&amp;p=15734563","PL")</f>
        <v>PL</v>
      </c>
      <c r="B2192" s="1" t="str">
        <f>HYPERLINK("http://digipan.lumentumllc.com/apps/getLink/index.php?t=TaxLink&amp;p=15734563","TL")</f>
        <v>TL</v>
      </c>
      <c r="C2192" s="1" t="str">
        <f>HYPERLINK("http://digipan.lumentumllc.com/apps/getMap/index.php?p=15734563","Map")</f>
        <v>Map</v>
      </c>
      <c r="E2192" t="s">
        <v>177</v>
      </c>
      <c r="F2192" t="s">
        <v>178</v>
      </c>
      <c r="L2192" t="s">
        <v>25529</v>
      </c>
      <c r="N2192" t="s">
        <v>25529</v>
      </c>
      <c r="O2192" t="s">
        <v>25529</v>
      </c>
      <c r="Q2192" t="s">
        <v>25529</v>
      </c>
      <c r="V2192">
        <v>2505</v>
      </c>
      <c r="W2192">
        <v>8</v>
      </c>
      <c r="X2192">
        <v>2017</v>
      </c>
      <c r="Y2192">
        <v>2018</v>
      </c>
      <c r="Z2192">
        <v>513.95000000000005</v>
      </c>
      <c r="AG2192" t="s">
        <v>184</v>
      </c>
      <c r="AH2192">
        <v>0</v>
      </c>
      <c r="AK2192">
        <v>0</v>
      </c>
      <c r="AL2192">
        <v>24750</v>
      </c>
      <c r="AM2192">
        <v>24750</v>
      </c>
      <c r="AN2192">
        <v>0</v>
      </c>
      <c r="AO2192">
        <v>412</v>
      </c>
      <c r="AP2192">
        <v>2016</v>
      </c>
      <c r="AQ2192">
        <v>2.08</v>
      </c>
      <c r="AS2192" t="s">
        <v>25530</v>
      </c>
      <c r="AT2192" t="s">
        <v>15040</v>
      </c>
      <c r="AU2192" t="s">
        <v>177</v>
      </c>
      <c r="AV2192" t="s">
        <v>371</v>
      </c>
      <c r="AW2192" t="s">
        <v>182</v>
      </c>
      <c r="AX2192">
        <v>0</v>
      </c>
      <c r="AY2192" t="s">
        <v>312</v>
      </c>
      <c r="AZ2192" t="s">
        <v>199</v>
      </c>
      <c r="BA2192" t="s">
        <v>313</v>
      </c>
      <c r="BB2192" t="s">
        <v>191</v>
      </c>
      <c r="BC2192" t="s">
        <v>182</v>
      </c>
      <c r="BD2192" t="s">
        <v>182</v>
      </c>
      <c r="BE2192" t="s">
        <v>3930</v>
      </c>
      <c r="BF2192">
        <v>0</v>
      </c>
      <c r="BG2192">
        <v>0</v>
      </c>
      <c r="BH2192">
        <v>0</v>
      </c>
      <c r="BI2192" t="s">
        <v>199</v>
      </c>
      <c r="BJ2192" t="s">
        <v>248</v>
      </c>
      <c r="BL2192" t="s">
        <v>9225</v>
      </c>
      <c r="BM2192" t="s">
        <v>302</v>
      </c>
      <c r="BN2192" t="s">
        <v>182</v>
      </c>
      <c r="BO2192" t="s">
        <v>198</v>
      </c>
      <c r="BP2192" t="s">
        <v>198</v>
      </c>
      <c r="BQ2192" t="s">
        <v>198</v>
      </c>
      <c r="BR2192" t="s">
        <v>198</v>
      </c>
      <c r="BS2192" t="s">
        <v>198</v>
      </c>
      <c r="BT2192" t="s">
        <v>198</v>
      </c>
      <c r="BU2192" t="s">
        <v>182</v>
      </c>
      <c r="BV2192" t="s">
        <v>198</v>
      </c>
      <c r="BW2192" t="s">
        <v>198</v>
      </c>
      <c r="BX2192" t="s">
        <v>199</v>
      </c>
      <c r="BY2192" t="s">
        <v>198</v>
      </c>
      <c r="BZ2192" t="s">
        <v>199</v>
      </c>
      <c r="CA2192" t="s">
        <v>199</v>
      </c>
      <c r="CB2192" t="s">
        <v>25531</v>
      </c>
      <c r="CC2192" t="s">
        <v>201</v>
      </c>
      <c r="CD2192" t="s">
        <v>182</v>
      </c>
      <c r="CE2192" t="s">
        <v>25532</v>
      </c>
      <c r="CF2192" t="s">
        <v>20782</v>
      </c>
      <c r="CG2192" t="s">
        <v>1902</v>
      </c>
      <c r="CH2192" t="s">
        <v>24902</v>
      </c>
      <c r="CI2192" t="s">
        <v>25533</v>
      </c>
      <c r="CS2192" t="s">
        <v>198</v>
      </c>
      <c r="DC2192" t="s">
        <v>198</v>
      </c>
      <c r="DM2192" t="s">
        <v>198</v>
      </c>
      <c r="DW2192" t="s">
        <v>198</v>
      </c>
      <c r="EG2192" t="s">
        <v>198</v>
      </c>
      <c r="EQ2192" t="s">
        <v>198</v>
      </c>
      <c r="FA2192" t="s">
        <v>198</v>
      </c>
      <c r="FK2192" t="s">
        <v>198</v>
      </c>
      <c r="FU2192" t="s">
        <v>198</v>
      </c>
    </row>
    <row r="2193" spans="1:177">
      <c r="A2193" s="1" t="str">
        <f>HYPERLINK("http://digipan.lumentumllc.com/apps/getLink/index.php?t=PropLink&amp;p=6461708","PL")</f>
        <v>PL</v>
      </c>
      <c r="B2193" s="1" t="str">
        <f>HYPERLINK("http://digipan.lumentumllc.com/apps/getLink/index.php?t=TaxLink&amp;p=6461708","TL")</f>
        <v>TL</v>
      </c>
      <c r="C2193" s="1" t="str">
        <f>HYPERLINK("http://digipan.lumentumllc.com/apps/getMap/index.php?p=6461708","Map")</f>
        <v>Map</v>
      </c>
      <c r="E2193" t="s">
        <v>177</v>
      </c>
      <c r="F2193" t="s">
        <v>178</v>
      </c>
      <c r="L2193" t="s">
        <v>25534</v>
      </c>
      <c r="N2193" t="s">
        <v>25534</v>
      </c>
      <c r="O2193" t="s">
        <v>25534</v>
      </c>
      <c r="P2193" t="s">
        <v>25535</v>
      </c>
      <c r="Q2193" t="s">
        <v>25534</v>
      </c>
      <c r="V2193">
        <v>2506</v>
      </c>
      <c r="W2193">
        <v>8</v>
      </c>
      <c r="X2193">
        <v>2017</v>
      </c>
      <c r="Y2193">
        <v>2018</v>
      </c>
      <c r="Z2193">
        <v>1546.34</v>
      </c>
      <c r="AB2193" t="s">
        <v>181</v>
      </c>
      <c r="AC2193" t="s">
        <v>182</v>
      </c>
      <c r="AD2193" t="s">
        <v>183</v>
      </c>
      <c r="AE2193">
        <v>0</v>
      </c>
      <c r="AF2193">
        <v>1</v>
      </c>
      <c r="AG2193" t="s">
        <v>821</v>
      </c>
      <c r="AH2193">
        <v>100</v>
      </c>
      <c r="AK2193">
        <v>0</v>
      </c>
      <c r="AL2193">
        <v>70255</v>
      </c>
      <c r="AM2193">
        <v>24750</v>
      </c>
      <c r="AN2193">
        <v>45505</v>
      </c>
      <c r="AO2193">
        <v>1301</v>
      </c>
      <c r="AP2193">
        <v>2016</v>
      </c>
      <c r="AQ2193">
        <v>2.2000000000000002</v>
      </c>
      <c r="AS2193" t="s">
        <v>25536</v>
      </c>
      <c r="AT2193" t="s">
        <v>15040</v>
      </c>
      <c r="AU2193" t="s">
        <v>177</v>
      </c>
      <c r="AV2193" t="s">
        <v>371</v>
      </c>
      <c r="AW2193" t="s">
        <v>182</v>
      </c>
      <c r="AX2193">
        <v>1</v>
      </c>
      <c r="AY2193" t="s">
        <v>188</v>
      </c>
      <c r="AZ2193" t="s">
        <v>206</v>
      </c>
      <c r="BA2193" t="s">
        <v>355</v>
      </c>
      <c r="BB2193" t="s">
        <v>191</v>
      </c>
      <c r="BC2193" t="s">
        <v>182</v>
      </c>
      <c r="BD2193" t="s">
        <v>182</v>
      </c>
      <c r="BE2193" t="s">
        <v>3930</v>
      </c>
      <c r="BF2193">
        <v>1</v>
      </c>
      <c r="BG2193">
        <v>1</v>
      </c>
      <c r="BH2193">
        <v>1989</v>
      </c>
      <c r="BI2193" t="s">
        <v>5679</v>
      </c>
      <c r="BJ2193" t="s">
        <v>285</v>
      </c>
      <c r="BK2193" t="s">
        <v>840</v>
      </c>
      <c r="BL2193" t="s">
        <v>1517</v>
      </c>
      <c r="BM2193" t="s">
        <v>238</v>
      </c>
      <c r="BN2193" t="s">
        <v>182</v>
      </c>
      <c r="BO2193" t="s">
        <v>25537</v>
      </c>
      <c r="BP2193" t="s">
        <v>25538</v>
      </c>
      <c r="BQ2193" t="s">
        <v>603</v>
      </c>
      <c r="BR2193" t="s">
        <v>563</v>
      </c>
      <c r="BS2193" t="s">
        <v>198</v>
      </c>
      <c r="BT2193" t="s">
        <v>25539</v>
      </c>
      <c r="BU2193" t="s">
        <v>182</v>
      </c>
      <c r="BV2193" t="s">
        <v>198</v>
      </c>
      <c r="BW2193" t="s">
        <v>198</v>
      </c>
      <c r="BX2193" t="s">
        <v>199</v>
      </c>
      <c r="BY2193" t="s">
        <v>198</v>
      </c>
      <c r="BZ2193" t="s">
        <v>199</v>
      </c>
      <c r="CA2193" t="s">
        <v>199</v>
      </c>
      <c r="CB2193" t="s">
        <v>25540</v>
      </c>
      <c r="CC2193" t="s">
        <v>201</v>
      </c>
      <c r="CD2193" t="s">
        <v>202</v>
      </c>
      <c r="CE2193" t="s">
        <v>25541</v>
      </c>
      <c r="CF2193" t="s">
        <v>20782</v>
      </c>
      <c r="CG2193" t="s">
        <v>1902</v>
      </c>
      <c r="CH2193" t="s">
        <v>24902</v>
      </c>
      <c r="CI2193" t="s">
        <v>25542</v>
      </c>
      <c r="CJ2193" t="s">
        <v>16756</v>
      </c>
      <c r="CK2193" t="s">
        <v>302</v>
      </c>
      <c r="CL2193" t="s">
        <v>303</v>
      </c>
      <c r="CM2193" t="s">
        <v>25543</v>
      </c>
      <c r="CN2193" t="s">
        <v>235</v>
      </c>
      <c r="CO2193" t="s">
        <v>183</v>
      </c>
      <c r="CP2193" t="s">
        <v>211</v>
      </c>
      <c r="CQ2193" t="s">
        <v>264</v>
      </c>
      <c r="CS2193" t="s">
        <v>25544</v>
      </c>
      <c r="DC2193" t="s">
        <v>198</v>
      </c>
      <c r="DM2193" t="s">
        <v>198</v>
      </c>
      <c r="DW2193" t="s">
        <v>198</v>
      </c>
      <c r="EG2193" t="s">
        <v>198</v>
      </c>
      <c r="EQ2193" t="s">
        <v>198</v>
      </c>
      <c r="FA2193" t="s">
        <v>198</v>
      </c>
      <c r="FK2193" t="s">
        <v>198</v>
      </c>
      <c r="FU2193" t="s">
        <v>198</v>
      </c>
    </row>
    <row r="2194" spans="1:177">
      <c r="A2194" s="1" t="str">
        <f>HYPERLINK("http://digipan.lumentumllc.com/apps/getLink/index.php?t=PropLink&amp;p=5244597","PL")</f>
        <v>PL</v>
      </c>
      <c r="B2194" s="1" t="str">
        <f>HYPERLINK("http://digipan.lumentumllc.com/apps/getLink/index.php?t=TaxLink&amp;p=5244597","TL")</f>
        <v>TL</v>
      </c>
      <c r="C2194" s="1" t="str">
        <f>HYPERLINK("http://digipan.lumentumllc.com/apps/getMap/index.php?p=5244597","Map")</f>
        <v>Map</v>
      </c>
      <c r="E2194" t="s">
        <v>177</v>
      </c>
      <c r="F2194" t="s">
        <v>178</v>
      </c>
      <c r="L2194" t="s">
        <v>25545</v>
      </c>
      <c r="N2194" t="s">
        <v>25545</v>
      </c>
      <c r="O2194" t="s">
        <v>25545</v>
      </c>
      <c r="P2194" t="s">
        <v>25546</v>
      </c>
      <c r="Q2194" t="s">
        <v>25545</v>
      </c>
      <c r="V2194">
        <v>2507</v>
      </c>
      <c r="W2194">
        <v>8</v>
      </c>
      <c r="X2194">
        <v>2017</v>
      </c>
      <c r="Y2194">
        <v>2018</v>
      </c>
      <c r="Z2194">
        <v>513.95000000000005</v>
      </c>
      <c r="AB2194" t="s">
        <v>181</v>
      </c>
      <c r="AC2194" t="s">
        <v>182</v>
      </c>
      <c r="AD2194" t="s">
        <v>183</v>
      </c>
      <c r="AE2194">
        <v>3</v>
      </c>
      <c r="AF2194">
        <v>3</v>
      </c>
      <c r="AG2194" t="s">
        <v>3859</v>
      </c>
      <c r="AH2194">
        <v>50</v>
      </c>
      <c r="AI2194">
        <v>1385.68</v>
      </c>
      <c r="AJ2194">
        <v>114.16</v>
      </c>
      <c r="AK2194">
        <v>1499.84</v>
      </c>
      <c r="AL2194">
        <v>24750</v>
      </c>
      <c r="AM2194">
        <v>24750</v>
      </c>
      <c r="AN2194">
        <v>0</v>
      </c>
      <c r="AO2194">
        <v>412</v>
      </c>
      <c r="AP2194">
        <v>2016</v>
      </c>
      <c r="AQ2194">
        <v>2.08</v>
      </c>
      <c r="AR2194">
        <v>6.06</v>
      </c>
      <c r="AS2194" t="s">
        <v>25547</v>
      </c>
      <c r="AT2194" t="s">
        <v>15040</v>
      </c>
      <c r="AU2194" t="s">
        <v>177</v>
      </c>
      <c r="AV2194" t="s">
        <v>371</v>
      </c>
      <c r="AW2194" t="s">
        <v>182</v>
      </c>
      <c r="AX2194">
        <v>0</v>
      </c>
      <c r="AY2194" t="s">
        <v>312</v>
      </c>
      <c r="AZ2194" t="s">
        <v>199</v>
      </c>
      <c r="BA2194" t="s">
        <v>313</v>
      </c>
      <c r="BB2194" t="s">
        <v>191</v>
      </c>
      <c r="BC2194" t="s">
        <v>182</v>
      </c>
      <c r="BD2194" t="s">
        <v>182</v>
      </c>
      <c r="BE2194" t="s">
        <v>3930</v>
      </c>
      <c r="BF2194">
        <v>0</v>
      </c>
      <c r="BG2194">
        <v>0</v>
      </c>
      <c r="BH2194">
        <v>0</v>
      </c>
      <c r="BI2194" t="s">
        <v>199</v>
      </c>
      <c r="BJ2194" t="s">
        <v>248</v>
      </c>
      <c r="BK2194" t="s">
        <v>2350</v>
      </c>
      <c r="BL2194" t="s">
        <v>199</v>
      </c>
      <c r="BM2194" t="s">
        <v>286</v>
      </c>
      <c r="BN2194" t="s">
        <v>182</v>
      </c>
      <c r="BO2194" t="s">
        <v>198</v>
      </c>
      <c r="BP2194" t="s">
        <v>198</v>
      </c>
      <c r="BQ2194" t="s">
        <v>198</v>
      </c>
      <c r="BR2194" t="s">
        <v>198</v>
      </c>
      <c r="BS2194" t="s">
        <v>198</v>
      </c>
      <c r="BT2194" t="s">
        <v>198</v>
      </c>
      <c r="BU2194" t="s">
        <v>182</v>
      </c>
      <c r="BV2194" t="s">
        <v>198</v>
      </c>
      <c r="BW2194" t="s">
        <v>198</v>
      </c>
      <c r="BX2194" t="s">
        <v>199</v>
      </c>
      <c r="BY2194" t="s">
        <v>198</v>
      </c>
      <c r="BZ2194" t="s">
        <v>199</v>
      </c>
      <c r="CA2194" t="s">
        <v>199</v>
      </c>
      <c r="CB2194" t="s">
        <v>25548</v>
      </c>
      <c r="CC2194" t="s">
        <v>201</v>
      </c>
      <c r="CD2194" t="s">
        <v>182</v>
      </c>
      <c r="CE2194" t="s">
        <v>25549</v>
      </c>
      <c r="CF2194" t="s">
        <v>5331</v>
      </c>
      <c r="CG2194" t="s">
        <v>177</v>
      </c>
      <c r="CH2194" t="s">
        <v>371</v>
      </c>
      <c r="CI2194" t="s">
        <v>25550</v>
      </c>
      <c r="CJ2194" t="s">
        <v>10139</v>
      </c>
      <c r="CK2194" t="s">
        <v>232</v>
      </c>
      <c r="CL2194" t="s">
        <v>233</v>
      </c>
      <c r="CM2194" t="s">
        <v>25551</v>
      </c>
      <c r="CN2194" t="s">
        <v>1606</v>
      </c>
      <c r="CO2194" t="s">
        <v>183</v>
      </c>
      <c r="CP2194" t="s">
        <v>266</v>
      </c>
      <c r="CS2194" t="s">
        <v>198</v>
      </c>
      <c r="CT2194" t="s">
        <v>23696</v>
      </c>
      <c r="CU2194" t="s">
        <v>292</v>
      </c>
      <c r="CV2194" t="s">
        <v>293</v>
      </c>
      <c r="CW2194" t="s">
        <v>25552</v>
      </c>
      <c r="CX2194" t="s">
        <v>235</v>
      </c>
      <c r="CY2194" t="s">
        <v>183</v>
      </c>
      <c r="CZ2194" t="s">
        <v>266</v>
      </c>
      <c r="DC2194" t="s">
        <v>198</v>
      </c>
      <c r="DD2194" t="s">
        <v>8984</v>
      </c>
      <c r="DE2194" t="s">
        <v>267</v>
      </c>
      <c r="DF2194" t="s">
        <v>293</v>
      </c>
      <c r="DG2194" t="s">
        <v>25553</v>
      </c>
      <c r="DH2194" t="s">
        <v>235</v>
      </c>
      <c r="DI2194" t="s">
        <v>183</v>
      </c>
      <c r="DJ2194" t="s">
        <v>266</v>
      </c>
      <c r="DM2194" t="s">
        <v>198</v>
      </c>
      <c r="DN2194" t="s">
        <v>23478</v>
      </c>
      <c r="DO2194" t="s">
        <v>273</v>
      </c>
      <c r="DP2194" t="s">
        <v>274</v>
      </c>
      <c r="DQ2194" t="s">
        <v>25554</v>
      </c>
      <c r="DR2194" t="s">
        <v>235</v>
      </c>
      <c r="DS2194" t="s">
        <v>183</v>
      </c>
      <c r="DT2194" t="s">
        <v>211</v>
      </c>
      <c r="DU2194" t="s">
        <v>296</v>
      </c>
      <c r="DW2194" t="s">
        <v>15448</v>
      </c>
      <c r="DX2194" t="s">
        <v>25555</v>
      </c>
      <c r="DY2194" t="s">
        <v>302</v>
      </c>
      <c r="DZ2194" t="s">
        <v>303</v>
      </c>
      <c r="EA2194" t="s">
        <v>25556</v>
      </c>
      <c r="EB2194" t="s">
        <v>235</v>
      </c>
      <c r="EC2194" t="s">
        <v>183</v>
      </c>
      <c r="ED2194" t="s">
        <v>211</v>
      </c>
      <c r="EE2194" t="s">
        <v>444</v>
      </c>
      <c r="EG2194" t="s">
        <v>15448</v>
      </c>
      <c r="EH2194" t="s">
        <v>25557</v>
      </c>
      <c r="EI2194" t="s">
        <v>346</v>
      </c>
      <c r="EJ2194" t="s">
        <v>347</v>
      </c>
      <c r="EK2194" t="s">
        <v>25558</v>
      </c>
      <c r="EL2194" t="s">
        <v>235</v>
      </c>
      <c r="EM2194" t="s">
        <v>183</v>
      </c>
      <c r="EN2194" t="s">
        <v>211</v>
      </c>
      <c r="EO2194" t="s">
        <v>199</v>
      </c>
      <c r="EQ2194" t="s">
        <v>1504</v>
      </c>
      <c r="FA2194" t="s">
        <v>198</v>
      </c>
      <c r="FK2194" t="s">
        <v>198</v>
      </c>
      <c r="FU2194" t="s">
        <v>198</v>
      </c>
    </row>
    <row r="2195" spans="1:177">
      <c r="A2195" s="1" t="str">
        <f>HYPERLINK("http://digipan.lumentumllc.com/apps/getLink/index.php?t=PropLink&amp;p=5244603","PL")</f>
        <v>PL</v>
      </c>
      <c r="B2195" s="1" t="str">
        <f>HYPERLINK("http://digipan.lumentumllc.com/apps/getLink/index.php?t=TaxLink&amp;p=5244603","TL")</f>
        <v>TL</v>
      </c>
      <c r="C2195" s="1" t="str">
        <f>HYPERLINK("http://digipan.lumentumllc.com/apps/getMap/index.php?p=5244603","Map")</f>
        <v>Map</v>
      </c>
      <c r="E2195" t="s">
        <v>177</v>
      </c>
      <c r="F2195" t="s">
        <v>178</v>
      </c>
      <c r="L2195" t="s">
        <v>25559</v>
      </c>
      <c r="N2195" t="s">
        <v>25559</v>
      </c>
      <c r="O2195" t="s">
        <v>25559</v>
      </c>
      <c r="P2195" t="s">
        <v>25560</v>
      </c>
      <c r="Q2195" t="s">
        <v>25559</v>
      </c>
      <c r="V2195">
        <v>2508</v>
      </c>
      <c r="W2195">
        <v>8</v>
      </c>
      <c r="X2195">
        <v>2017</v>
      </c>
      <c r="Y2195">
        <v>2018</v>
      </c>
      <c r="Z2195">
        <v>586.20000000000005</v>
      </c>
      <c r="AB2195" t="s">
        <v>181</v>
      </c>
      <c r="AC2195" t="s">
        <v>182</v>
      </c>
      <c r="AD2195" t="s">
        <v>183</v>
      </c>
      <c r="AE2195">
        <v>0</v>
      </c>
      <c r="AF2195">
        <v>6</v>
      </c>
      <c r="AG2195" t="s">
        <v>3266</v>
      </c>
      <c r="AH2195">
        <v>100</v>
      </c>
      <c r="AK2195">
        <v>0</v>
      </c>
      <c r="AL2195">
        <v>62805</v>
      </c>
      <c r="AM2195">
        <v>19973</v>
      </c>
      <c r="AN2195">
        <v>42832</v>
      </c>
      <c r="AO2195">
        <v>513</v>
      </c>
      <c r="AP2195">
        <v>2016</v>
      </c>
      <c r="AQ2195">
        <v>0.93</v>
      </c>
      <c r="AS2195" t="s">
        <v>25561</v>
      </c>
      <c r="AT2195" t="s">
        <v>15040</v>
      </c>
      <c r="AU2195" t="s">
        <v>177</v>
      </c>
      <c r="AV2195" t="s">
        <v>371</v>
      </c>
      <c r="AW2195" t="s">
        <v>202</v>
      </c>
      <c r="AX2195">
        <v>1</v>
      </c>
      <c r="AY2195" t="s">
        <v>188</v>
      </c>
      <c r="AZ2195" t="s">
        <v>206</v>
      </c>
      <c r="BA2195" t="s">
        <v>355</v>
      </c>
      <c r="BB2195" t="s">
        <v>191</v>
      </c>
      <c r="BC2195" t="s">
        <v>182</v>
      </c>
      <c r="BD2195" t="s">
        <v>182</v>
      </c>
      <c r="BE2195" t="s">
        <v>3907</v>
      </c>
      <c r="BF2195">
        <v>1</v>
      </c>
      <c r="BG2195">
        <v>1</v>
      </c>
      <c r="BH2195">
        <v>1940</v>
      </c>
      <c r="BI2195" t="s">
        <v>9463</v>
      </c>
      <c r="BJ2195" t="s">
        <v>285</v>
      </c>
      <c r="BK2195" t="s">
        <v>195</v>
      </c>
      <c r="BL2195" t="s">
        <v>199</v>
      </c>
      <c r="BM2195" t="s">
        <v>292</v>
      </c>
      <c r="BN2195" t="s">
        <v>182</v>
      </c>
      <c r="BO2195" t="s">
        <v>198</v>
      </c>
      <c r="BP2195" t="s">
        <v>198</v>
      </c>
      <c r="BQ2195" t="s">
        <v>198</v>
      </c>
      <c r="BR2195" t="s">
        <v>198</v>
      </c>
      <c r="BS2195" t="s">
        <v>198</v>
      </c>
      <c r="BT2195" t="s">
        <v>198</v>
      </c>
      <c r="BU2195" t="s">
        <v>182</v>
      </c>
      <c r="BV2195" t="s">
        <v>198</v>
      </c>
      <c r="BW2195" t="s">
        <v>198</v>
      </c>
      <c r="BX2195" t="s">
        <v>199</v>
      </c>
      <c r="BY2195" t="s">
        <v>198</v>
      </c>
      <c r="BZ2195" t="s">
        <v>199</v>
      </c>
      <c r="CA2195" t="s">
        <v>199</v>
      </c>
      <c r="CB2195" t="s">
        <v>25562</v>
      </c>
      <c r="CC2195" t="s">
        <v>201</v>
      </c>
      <c r="CD2195" t="s">
        <v>182</v>
      </c>
      <c r="CE2195" t="s">
        <v>25563</v>
      </c>
      <c r="CF2195" t="s">
        <v>5331</v>
      </c>
      <c r="CG2195" t="s">
        <v>177</v>
      </c>
      <c r="CH2195" t="s">
        <v>371</v>
      </c>
      <c r="CI2195" t="s">
        <v>25564</v>
      </c>
      <c r="CJ2195" t="s">
        <v>4466</v>
      </c>
      <c r="CK2195" t="s">
        <v>232</v>
      </c>
      <c r="CL2195" t="s">
        <v>233</v>
      </c>
      <c r="CM2195" t="s">
        <v>25565</v>
      </c>
      <c r="CN2195" t="s">
        <v>235</v>
      </c>
      <c r="CO2195" t="s">
        <v>183</v>
      </c>
      <c r="CP2195" t="s">
        <v>211</v>
      </c>
      <c r="CQ2195" t="s">
        <v>264</v>
      </c>
      <c r="CS2195" t="s">
        <v>25566</v>
      </c>
      <c r="CT2195" t="s">
        <v>357</v>
      </c>
      <c r="CU2195" t="s">
        <v>267</v>
      </c>
      <c r="CV2195" t="s">
        <v>268</v>
      </c>
      <c r="CW2195" t="s">
        <v>25567</v>
      </c>
      <c r="CX2195" t="s">
        <v>235</v>
      </c>
      <c r="CY2195" t="s">
        <v>183</v>
      </c>
      <c r="CZ2195" t="s">
        <v>211</v>
      </c>
      <c r="DA2195" t="s">
        <v>199</v>
      </c>
      <c r="DC2195" t="s">
        <v>18175</v>
      </c>
      <c r="DD2195" t="s">
        <v>21620</v>
      </c>
      <c r="DE2195" t="s">
        <v>302</v>
      </c>
      <c r="DF2195" t="s">
        <v>303</v>
      </c>
      <c r="DG2195" t="s">
        <v>9795</v>
      </c>
      <c r="DH2195" t="s">
        <v>235</v>
      </c>
      <c r="DI2195" t="s">
        <v>183</v>
      </c>
      <c r="DJ2195" t="s">
        <v>211</v>
      </c>
      <c r="DK2195" t="s">
        <v>296</v>
      </c>
      <c r="DM2195" t="s">
        <v>19432</v>
      </c>
      <c r="DN2195" t="s">
        <v>6568</v>
      </c>
      <c r="DO2195" t="s">
        <v>238</v>
      </c>
      <c r="DP2195" t="s">
        <v>239</v>
      </c>
      <c r="DQ2195" t="s">
        <v>25568</v>
      </c>
      <c r="DR2195" t="s">
        <v>331</v>
      </c>
      <c r="DS2195" t="s">
        <v>183</v>
      </c>
      <c r="DT2195" t="s">
        <v>211</v>
      </c>
      <c r="DU2195" t="s">
        <v>342</v>
      </c>
      <c r="DW2195" t="s">
        <v>25569</v>
      </c>
      <c r="DX2195" t="s">
        <v>25570</v>
      </c>
      <c r="DY2195" t="s">
        <v>346</v>
      </c>
      <c r="DZ2195" t="s">
        <v>347</v>
      </c>
      <c r="EA2195" t="s">
        <v>25571</v>
      </c>
      <c r="EB2195" t="s">
        <v>511</v>
      </c>
      <c r="EC2195" t="s">
        <v>183</v>
      </c>
      <c r="ED2195" t="s">
        <v>211</v>
      </c>
      <c r="EE2195" t="s">
        <v>270</v>
      </c>
      <c r="EG2195" t="s">
        <v>25572</v>
      </c>
      <c r="EH2195" t="s">
        <v>25573</v>
      </c>
      <c r="EI2195" t="s">
        <v>207</v>
      </c>
      <c r="EJ2195" t="s">
        <v>208</v>
      </c>
      <c r="EK2195" t="s">
        <v>25574</v>
      </c>
      <c r="EL2195" t="s">
        <v>469</v>
      </c>
      <c r="EM2195" t="s">
        <v>183</v>
      </c>
      <c r="EN2195" t="s">
        <v>211</v>
      </c>
      <c r="EO2195" t="s">
        <v>444</v>
      </c>
      <c r="EQ2195" t="s">
        <v>25575</v>
      </c>
      <c r="FA2195" t="s">
        <v>198</v>
      </c>
      <c r="FK2195" t="s">
        <v>198</v>
      </c>
      <c r="FU2195" t="s">
        <v>198</v>
      </c>
    </row>
    <row r="2196" spans="1:177">
      <c r="A2196" s="1" t="str">
        <f>HYPERLINK("http://digipan.lumentumllc.com/apps/getLink/index.php?t=PropLink&amp;p=5244605","PL")</f>
        <v>PL</v>
      </c>
      <c r="B2196" s="1" t="str">
        <f>HYPERLINK("http://digipan.lumentumllc.com/apps/getLink/index.php?t=TaxLink&amp;p=5244605","TL")</f>
        <v>TL</v>
      </c>
      <c r="C2196" s="1" t="str">
        <f>HYPERLINK("http://digipan.lumentumllc.com/apps/getMap/index.php?p=5244605","Map")</f>
        <v>Map</v>
      </c>
      <c r="E2196" t="s">
        <v>177</v>
      </c>
      <c r="F2196" t="s">
        <v>178</v>
      </c>
      <c r="L2196" t="s">
        <v>25576</v>
      </c>
      <c r="N2196" t="s">
        <v>25576</v>
      </c>
      <c r="O2196" t="s">
        <v>25576</v>
      </c>
      <c r="P2196" t="s">
        <v>25577</v>
      </c>
      <c r="Q2196" t="s">
        <v>25576</v>
      </c>
      <c r="V2196">
        <v>2509</v>
      </c>
      <c r="W2196">
        <v>8</v>
      </c>
      <c r="X2196">
        <v>2017</v>
      </c>
      <c r="Y2196">
        <v>2018</v>
      </c>
      <c r="Z2196">
        <v>5439.38</v>
      </c>
      <c r="AB2196" t="s">
        <v>181</v>
      </c>
      <c r="AC2196" t="s">
        <v>182</v>
      </c>
      <c r="AD2196" t="s">
        <v>183</v>
      </c>
      <c r="AE2196">
        <v>1</v>
      </c>
      <c r="AF2196">
        <v>6</v>
      </c>
      <c r="AG2196" t="s">
        <v>322</v>
      </c>
      <c r="AH2196">
        <v>83</v>
      </c>
      <c r="AI2196">
        <v>5580.48</v>
      </c>
      <c r="AJ2196">
        <v>279.02</v>
      </c>
      <c r="AK2196">
        <v>5859.5</v>
      </c>
      <c r="AL2196">
        <v>250864</v>
      </c>
      <c r="AM2196">
        <v>140000</v>
      </c>
      <c r="AN2196">
        <v>110864</v>
      </c>
      <c r="AO2196">
        <v>5135</v>
      </c>
      <c r="AP2196">
        <v>2016</v>
      </c>
      <c r="AQ2196">
        <v>2.17</v>
      </c>
      <c r="AR2196">
        <v>2.34</v>
      </c>
      <c r="AS2196" t="s">
        <v>25578</v>
      </c>
      <c r="AT2196" t="s">
        <v>15040</v>
      </c>
      <c r="AU2196" t="s">
        <v>177</v>
      </c>
      <c r="AV2196" t="s">
        <v>371</v>
      </c>
      <c r="AW2196" t="s">
        <v>182</v>
      </c>
      <c r="AX2196">
        <v>27</v>
      </c>
      <c r="AY2196" t="s">
        <v>3641</v>
      </c>
      <c r="AZ2196" t="s">
        <v>616</v>
      </c>
      <c r="BA2196" t="s">
        <v>6072</v>
      </c>
      <c r="BB2196" t="s">
        <v>191</v>
      </c>
      <c r="BC2196" t="s">
        <v>182</v>
      </c>
      <c r="BD2196" t="s">
        <v>182</v>
      </c>
      <c r="BE2196" t="s">
        <v>5948</v>
      </c>
      <c r="BF2196">
        <v>1</v>
      </c>
      <c r="BG2196">
        <v>0</v>
      </c>
      <c r="BH2196">
        <v>2003</v>
      </c>
      <c r="BI2196" t="s">
        <v>1225</v>
      </c>
      <c r="BJ2196" t="s">
        <v>194</v>
      </c>
      <c r="BK2196" t="s">
        <v>3643</v>
      </c>
      <c r="BL2196" t="s">
        <v>25579</v>
      </c>
      <c r="BM2196" t="s">
        <v>368</v>
      </c>
      <c r="BN2196" t="s">
        <v>182</v>
      </c>
      <c r="BO2196" t="s">
        <v>25580</v>
      </c>
      <c r="BP2196" t="s">
        <v>25581</v>
      </c>
      <c r="BQ2196" t="s">
        <v>226</v>
      </c>
      <c r="BR2196" t="s">
        <v>227</v>
      </c>
      <c r="BS2196" t="s">
        <v>198</v>
      </c>
      <c r="BT2196" t="s">
        <v>25582</v>
      </c>
      <c r="BU2196" t="s">
        <v>182</v>
      </c>
      <c r="BV2196" t="s">
        <v>198</v>
      </c>
      <c r="BW2196" t="s">
        <v>198</v>
      </c>
      <c r="BX2196" t="s">
        <v>199</v>
      </c>
      <c r="BY2196" t="s">
        <v>198</v>
      </c>
      <c r="BZ2196" t="s">
        <v>199</v>
      </c>
      <c r="CA2196" t="s">
        <v>199</v>
      </c>
      <c r="CB2196" t="s">
        <v>25583</v>
      </c>
      <c r="CC2196" t="s">
        <v>201</v>
      </c>
      <c r="CD2196" t="s">
        <v>182</v>
      </c>
      <c r="CE2196" t="s">
        <v>15319</v>
      </c>
      <c r="CF2196" t="s">
        <v>5331</v>
      </c>
      <c r="CG2196" t="s">
        <v>177</v>
      </c>
      <c r="CH2196" t="s">
        <v>371</v>
      </c>
      <c r="CI2196" t="s">
        <v>25584</v>
      </c>
      <c r="CJ2196" t="s">
        <v>15041</v>
      </c>
      <c r="CK2196" t="s">
        <v>232</v>
      </c>
      <c r="CL2196" t="s">
        <v>233</v>
      </c>
      <c r="CM2196" t="s">
        <v>25585</v>
      </c>
      <c r="CN2196" t="s">
        <v>235</v>
      </c>
      <c r="CO2196" t="s">
        <v>183</v>
      </c>
      <c r="CP2196" t="s">
        <v>266</v>
      </c>
      <c r="CS2196" t="s">
        <v>198</v>
      </c>
      <c r="CT2196" t="s">
        <v>9908</v>
      </c>
      <c r="CU2196" t="s">
        <v>292</v>
      </c>
      <c r="CV2196" t="s">
        <v>293</v>
      </c>
      <c r="CW2196" t="s">
        <v>25586</v>
      </c>
      <c r="CX2196" t="s">
        <v>235</v>
      </c>
      <c r="CY2196" t="s">
        <v>183</v>
      </c>
      <c r="CZ2196" t="s">
        <v>211</v>
      </c>
      <c r="DA2196" t="s">
        <v>290</v>
      </c>
      <c r="DC2196" t="s">
        <v>25587</v>
      </c>
      <c r="DD2196" t="s">
        <v>3373</v>
      </c>
      <c r="DE2196" t="s">
        <v>267</v>
      </c>
      <c r="DF2196" t="s">
        <v>268</v>
      </c>
      <c r="DG2196" t="s">
        <v>25588</v>
      </c>
      <c r="DH2196" t="s">
        <v>235</v>
      </c>
      <c r="DI2196" t="s">
        <v>183</v>
      </c>
      <c r="DJ2196" t="s">
        <v>211</v>
      </c>
      <c r="DK2196" t="s">
        <v>329</v>
      </c>
      <c r="DM2196" t="s">
        <v>1432</v>
      </c>
      <c r="DN2196" t="s">
        <v>3323</v>
      </c>
      <c r="DO2196" t="s">
        <v>273</v>
      </c>
      <c r="DP2196" t="s">
        <v>274</v>
      </c>
      <c r="DQ2196" t="s">
        <v>25589</v>
      </c>
      <c r="DR2196" t="s">
        <v>235</v>
      </c>
      <c r="DS2196" t="s">
        <v>183</v>
      </c>
      <c r="DT2196" t="s">
        <v>211</v>
      </c>
      <c r="DU2196" t="s">
        <v>298</v>
      </c>
      <c r="DW2196" t="s">
        <v>1432</v>
      </c>
      <c r="DX2196" t="s">
        <v>4879</v>
      </c>
      <c r="DY2196" t="s">
        <v>238</v>
      </c>
      <c r="DZ2196" t="s">
        <v>239</v>
      </c>
      <c r="EA2196" t="s">
        <v>25590</v>
      </c>
      <c r="EB2196" t="s">
        <v>295</v>
      </c>
      <c r="EC2196" t="s">
        <v>183</v>
      </c>
      <c r="ED2196" t="s">
        <v>211</v>
      </c>
      <c r="EE2196" t="s">
        <v>342</v>
      </c>
      <c r="EG2196" t="s">
        <v>4517</v>
      </c>
      <c r="EH2196" t="s">
        <v>25591</v>
      </c>
      <c r="EI2196" t="s">
        <v>346</v>
      </c>
      <c r="EJ2196" t="s">
        <v>347</v>
      </c>
      <c r="EK2196" t="s">
        <v>25592</v>
      </c>
      <c r="EL2196" t="s">
        <v>816</v>
      </c>
      <c r="EM2196" t="s">
        <v>183</v>
      </c>
      <c r="EN2196" t="s">
        <v>211</v>
      </c>
      <c r="EO2196" t="s">
        <v>345</v>
      </c>
      <c r="EQ2196" t="s">
        <v>4517</v>
      </c>
      <c r="ER2196" t="s">
        <v>25593</v>
      </c>
      <c r="ES2196" t="s">
        <v>207</v>
      </c>
      <c r="ET2196" t="s">
        <v>208</v>
      </c>
      <c r="EU2196" t="s">
        <v>25594</v>
      </c>
      <c r="EV2196" t="s">
        <v>833</v>
      </c>
      <c r="EW2196" t="s">
        <v>183</v>
      </c>
      <c r="EX2196" t="s">
        <v>211</v>
      </c>
      <c r="EY2196" t="s">
        <v>966</v>
      </c>
      <c r="FA2196" t="s">
        <v>25595</v>
      </c>
      <c r="FK2196" t="s">
        <v>198</v>
      </c>
      <c r="FU2196" t="s">
        <v>198</v>
      </c>
    </row>
    <row r="2197" spans="1:177">
      <c r="A2197" s="1" t="str">
        <f>HYPERLINK("http://digipan.lumentumllc.com/apps/getLink/index.php?t=PropLink&amp;p=5244606","PL")</f>
        <v>PL</v>
      </c>
      <c r="B2197" s="1" t="str">
        <f>HYPERLINK("http://digipan.lumentumllc.com/apps/getLink/index.php?t=TaxLink&amp;p=5244606","TL")</f>
        <v>TL</v>
      </c>
      <c r="C2197" s="1" t="str">
        <f>HYPERLINK("http://digipan.lumentumllc.com/apps/getMap/index.php?p=5244606","Map")</f>
        <v>Map</v>
      </c>
      <c r="E2197" t="s">
        <v>177</v>
      </c>
      <c r="F2197" t="s">
        <v>178</v>
      </c>
      <c r="L2197" t="s">
        <v>25596</v>
      </c>
      <c r="N2197" t="s">
        <v>25596</v>
      </c>
      <c r="O2197" t="s">
        <v>25596</v>
      </c>
      <c r="P2197" t="s">
        <v>25597</v>
      </c>
      <c r="Q2197" t="s">
        <v>25596</v>
      </c>
      <c r="V2197">
        <v>2510</v>
      </c>
      <c r="W2197">
        <v>8</v>
      </c>
      <c r="X2197">
        <v>2017</v>
      </c>
      <c r="Y2197">
        <v>2018</v>
      </c>
      <c r="Z2197">
        <v>1540.86</v>
      </c>
      <c r="AB2197" t="s">
        <v>181</v>
      </c>
      <c r="AC2197" t="s">
        <v>202</v>
      </c>
      <c r="AD2197" t="s">
        <v>183</v>
      </c>
      <c r="AE2197">
        <v>1</v>
      </c>
      <c r="AF2197">
        <v>5</v>
      </c>
      <c r="AG2197" t="s">
        <v>951</v>
      </c>
      <c r="AH2197">
        <v>80</v>
      </c>
      <c r="AI2197">
        <v>1559.78</v>
      </c>
      <c r="AJ2197">
        <v>77.989999999999995</v>
      </c>
      <c r="AK2197">
        <v>1637.77</v>
      </c>
      <c r="AL2197">
        <v>70000</v>
      </c>
      <c r="AM2197">
        <v>70000</v>
      </c>
      <c r="AN2197">
        <v>0</v>
      </c>
      <c r="AO2197">
        <v>1417</v>
      </c>
      <c r="AP2197">
        <v>2016</v>
      </c>
      <c r="AQ2197">
        <v>2.2000000000000002</v>
      </c>
      <c r="AR2197">
        <v>2.34</v>
      </c>
      <c r="AS2197" t="s">
        <v>25598</v>
      </c>
      <c r="AT2197" t="s">
        <v>15040</v>
      </c>
      <c r="AU2197" t="s">
        <v>177</v>
      </c>
      <c r="AV2197" t="s">
        <v>371</v>
      </c>
      <c r="AW2197" t="s">
        <v>182</v>
      </c>
      <c r="AX2197">
        <v>10</v>
      </c>
      <c r="AY2197" t="s">
        <v>3211</v>
      </c>
      <c r="AZ2197" t="s">
        <v>270</v>
      </c>
      <c r="BA2197" t="s">
        <v>3212</v>
      </c>
      <c r="BB2197" t="s">
        <v>191</v>
      </c>
      <c r="BC2197" t="s">
        <v>182</v>
      </c>
      <c r="BD2197" t="s">
        <v>182</v>
      </c>
      <c r="BE2197" t="s">
        <v>3956</v>
      </c>
      <c r="BF2197">
        <v>0</v>
      </c>
      <c r="BG2197">
        <v>0</v>
      </c>
      <c r="BH2197">
        <v>0</v>
      </c>
      <c r="BI2197" t="s">
        <v>199</v>
      </c>
      <c r="BJ2197" t="s">
        <v>248</v>
      </c>
      <c r="BL2197" t="s">
        <v>25579</v>
      </c>
      <c r="BM2197" t="s">
        <v>368</v>
      </c>
      <c r="BN2197" t="s">
        <v>182</v>
      </c>
      <c r="BO2197" t="s">
        <v>25580</v>
      </c>
      <c r="BP2197" t="s">
        <v>25581</v>
      </c>
      <c r="BS2197" t="s">
        <v>25599</v>
      </c>
      <c r="BT2197" t="s">
        <v>198</v>
      </c>
      <c r="BU2197" t="s">
        <v>182</v>
      </c>
      <c r="BV2197" t="s">
        <v>198</v>
      </c>
      <c r="BW2197" t="s">
        <v>198</v>
      </c>
      <c r="BX2197" t="s">
        <v>199</v>
      </c>
      <c r="BY2197" t="s">
        <v>198</v>
      </c>
      <c r="BZ2197" t="s">
        <v>199</v>
      </c>
      <c r="CA2197" t="s">
        <v>199</v>
      </c>
      <c r="CB2197" t="s">
        <v>25583</v>
      </c>
      <c r="CC2197" t="s">
        <v>201</v>
      </c>
      <c r="CD2197" t="s">
        <v>182</v>
      </c>
      <c r="CE2197" t="s">
        <v>15319</v>
      </c>
      <c r="CF2197" t="s">
        <v>5331</v>
      </c>
      <c r="CG2197" t="s">
        <v>177</v>
      </c>
      <c r="CH2197" t="s">
        <v>371</v>
      </c>
      <c r="CI2197" t="s">
        <v>25600</v>
      </c>
      <c r="CJ2197" t="s">
        <v>11432</v>
      </c>
      <c r="CK2197" t="s">
        <v>232</v>
      </c>
      <c r="CL2197" t="s">
        <v>233</v>
      </c>
      <c r="CM2197" t="s">
        <v>25601</v>
      </c>
      <c r="CN2197" t="s">
        <v>235</v>
      </c>
      <c r="CO2197" t="s">
        <v>183</v>
      </c>
      <c r="CP2197" t="s">
        <v>266</v>
      </c>
      <c r="CS2197" t="s">
        <v>198</v>
      </c>
      <c r="CT2197" t="s">
        <v>7714</v>
      </c>
      <c r="CU2197" t="s">
        <v>267</v>
      </c>
      <c r="CV2197" t="s">
        <v>268</v>
      </c>
      <c r="CW2197" t="s">
        <v>25602</v>
      </c>
      <c r="CX2197" t="s">
        <v>400</v>
      </c>
      <c r="CY2197" t="s">
        <v>183</v>
      </c>
      <c r="CZ2197" t="s">
        <v>211</v>
      </c>
      <c r="DA2197" t="s">
        <v>270</v>
      </c>
      <c r="DB2197" t="s">
        <v>271</v>
      </c>
      <c r="DC2197" t="s">
        <v>3650</v>
      </c>
      <c r="DD2197" t="s">
        <v>3325</v>
      </c>
      <c r="DE2197" t="s">
        <v>273</v>
      </c>
      <c r="DF2197" t="s">
        <v>274</v>
      </c>
      <c r="DG2197" t="s">
        <v>25603</v>
      </c>
      <c r="DH2197" t="s">
        <v>235</v>
      </c>
      <c r="DI2197" t="s">
        <v>183</v>
      </c>
      <c r="DJ2197" t="s">
        <v>211</v>
      </c>
      <c r="DL2197" t="s">
        <v>271</v>
      </c>
      <c r="DM2197" t="s">
        <v>198</v>
      </c>
      <c r="DN2197" t="s">
        <v>6724</v>
      </c>
      <c r="DO2197" t="s">
        <v>238</v>
      </c>
      <c r="DP2197" t="s">
        <v>239</v>
      </c>
      <c r="DQ2197" t="s">
        <v>25604</v>
      </c>
      <c r="DR2197" t="s">
        <v>254</v>
      </c>
      <c r="DS2197" t="s">
        <v>183</v>
      </c>
      <c r="DT2197" t="s">
        <v>211</v>
      </c>
      <c r="DU2197" t="s">
        <v>339</v>
      </c>
      <c r="DV2197" t="s">
        <v>271</v>
      </c>
      <c r="DW2197" t="s">
        <v>13300</v>
      </c>
      <c r="DX2197" t="s">
        <v>25605</v>
      </c>
      <c r="DY2197" t="s">
        <v>346</v>
      </c>
      <c r="DZ2197" t="s">
        <v>347</v>
      </c>
      <c r="EA2197" t="s">
        <v>25606</v>
      </c>
      <c r="EB2197" t="s">
        <v>1491</v>
      </c>
      <c r="EC2197" t="s">
        <v>183</v>
      </c>
      <c r="ED2197" t="s">
        <v>211</v>
      </c>
      <c r="EE2197" t="s">
        <v>493</v>
      </c>
      <c r="EF2197" t="s">
        <v>271</v>
      </c>
      <c r="EG2197" t="s">
        <v>13300</v>
      </c>
      <c r="EH2197" t="s">
        <v>25607</v>
      </c>
      <c r="EI2197" t="s">
        <v>207</v>
      </c>
      <c r="EJ2197" t="s">
        <v>208</v>
      </c>
      <c r="EK2197" t="s">
        <v>25608</v>
      </c>
      <c r="EL2197" t="s">
        <v>1966</v>
      </c>
      <c r="EM2197" t="s">
        <v>183</v>
      </c>
      <c r="EN2197" t="s">
        <v>211</v>
      </c>
      <c r="EP2197" t="s">
        <v>271</v>
      </c>
      <c r="EQ2197" t="s">
        <v>198</v>
      </c>
      <c r="FA2197" t="s">
        <v>198</v>
      </c>
      <c r="FK2197" t="s">
        <v>198</v>
      </c>
      <c r="FU2197" t="s">
        <v>198</v>
      </c>
    </row>
    <row r="2198" spans="1:177">
      <c r="A2198" s="1" t="str">
        <f>HYPERLINK("http://digipan.lumentumllc.com/apps/getLink/index.php?t=PropLink&amp;p=4637079","PL")</f>
        <v>PL</v>
      </c>
      <c r="B2198" s="1" t="str">
        <f>HYPERLINK("http://digipan.lumentumllc.com/apps/getLink/index.php?t=TaxLink&amp;p=4637079","TL")</f>
        <v>TL</v>
      </c>
      <c r="C2198" s="1" t="str">
        <f>HYPERLINK("http://digipan.lumentumllc.com/apps/getMap/index.php?p=4637079","Map")</f>
        <v>Map</v>
      </c>
      <c r="E2198" t="s">
        <v>177</v>
      </c>
      <c r="F2198" t="s">
        <v>178</v>
      </c>
      <c r="L2198" t="s">
        <v>25609</v>
      </c>
      <c r="N2198" t="s">
        <v>25609</v>
      </c>
      <c r="O2198" t="s">
        <v>25609</v>
      </c>
      <c r="P2198" t="s">
        <v>25610</v>
      </c>
      <c r="Q2198" t="s">
        <v>25609</v>
      </c>
      <c r="V2198">
        <v>2511</v>
      </c>
      <c r="W2198">
        <v>8</v>
      </c>
      <c r="X2198">
        <v>2017</v>
      </c>
      <c r="Y2198">
        <v>2018</v>
      </c>
      <c r="Z2198">
        <v>1896.64</v>
      </c>
      <c r="AB2198" t="s">
        <v>181</v>
      </c>
      <c r="AC2198" t="s">
        <v>202</v>
      </c>
      <c r="AD2198" t="s">
        <v>183</v>
      </c>
      <c r="AE2198">
        <v>0</v>
      </c>
      <c r="AF2198">
        <v>5</v>
      </c>
      <c r="AG2198" t="s">
        <v>744</v>
      </c>
      <c r="AH2198">
        <v>100</v>
      </c>
      <c r="AK2198">
        <v>0</v>
      </c>
      <c r="AL2198">
        <v>158805</v>
      </c>
      <c r="AM2198">
        <v>77000</v>
      </c>
      <c r="AN2198">
        <v>81805</v>
      </c>
      <c r="AO2198">
        <v>1545</v>
      </c>
      <c r="AP2198">
        <v>2016</v>
      </c>
      <c r="AQ2198">
        <v>1.19</v>
      </c>
      <c r="AS2198" t="s">
        <v>25611</v>
      </c>
      <c r="AT2198" t="s">
        <v>15040</v>
      </c>
      <c r="AU2198" t="s">
        <v>177</v>
      </c>
      <c r="AV2198" t="s">
        <v>371</v>
      </c>
      <c r="AW2198" t="s">
        <v>202</v>
      </c>
      <c r="AX2198">
        <v>1</v>
      </c>
      <c r="AY2198" t="s">
        <v>188</v>
      </c>
      <c r="AZ2198" t="s">
        <v>206</v>
      </c>
      <c r="BA2198" t="s">
        <v>355</v>
      </c>
      <c r="BB2198" t="s">
        <v>191</v>
      </c>
      <c r="BC2198" t="s">
        <v>182</v>
      </c>
      <c r="BD2198" t="s">
        <v>182</v>
      </c>
      <c r="BE2198" t="s">
        <v>3956</v>
      </c>
      <c r="BF2198">
        <v>1</v>
      </c>
      <c r="BG2198">
        <v>1</v>
      </c>
      <c r="BH2198">
        <v>1946</v>
      </c>
      <c r="BI2198" t="s">
        <v>7986</v>
      </c>
      <c r="BJ2198" t="s">
        <v>194</v>
      </c>
      <c r="BK2198" t="s">
        <v>195</v>
      </c>
      <c r="BL2198" t="s">
        <v>199</v>
      </c>
      <c r="BM2198" t="s">
        <v>533</v>
      </c>
      <c r="BN2198" t="s">
        <v>182</v>
      </c>
      <c r="BO2198" t="s">
        <v>198</v>
      </c>
      <c r="BP2198" t="s">
        <v>198</v>
      </c>
      <c r="BQ2198" t="s">
        <v>198</v>
      </c>
      <c r="BR2198" t="s">
        <v>198</v>
      </c>
      <c r="BS2198" t="s">
        <v>198</v>
      </c>
      <c r="BT2198" t="s">
        <v>198</v>
      </c>
      <c r="BU2198" t="s">
        <v>182</v>
      </c>
      <c r="BV2198" t="s">
        <v>198</v>
      </c>
      <c r="BW2198" t="s">
        <v>198</v>
      </c>
      <c r="BX2198" t="s">
        <v>199</v>
      </c>
      <c r="BY2198" t="s">
        <v>198</v>
      </c>
      <c r="BZ2198" t="s">
        <v>199</v>
      </c>
      <c r="CA2198" t="s">
        <v>199</v>
      </c>
      <c r="CB2198" t="s">
        <v>25612</v>
      </c>
      <c r="CC2198" t="s">
        <v>201</v>
      </c>
      <c r="CD2198" t="s">
        <v>202</v>
      </c>
      <c r="CE2198" t="s">
        <v>25613</v>
      </c>
      <c r="CF2198" t="s">
        <v>5331</v>
      </c>
      <c r="CG2198" t="s">
        <v>177</v>
      </c>
      <c r="CH2198" t="s">
        <v>371</v>
      </c>
      <c r="CI2198" t="s">
        <v>25614</v>
      </c>
      <c r="CJ2198" t="s">
        <v>24589</v>
      </c>
      <c r="CK2198" t="s">
        <v>292</v>
      </c>
      <c r="CL2198" t="s">
        <v>293</v>
      </c>
      <c r="CM2198" t="s">
        <v>25615</v>
      </c>
      <c r="CN2198" t="s">
        <v>235</v>
      </c>
      <c r="CO2198" t="s">
        <v>183</v>
      </c>
      <c r="CP2198" t="s">
        <v>211</v>
      </c>
      <c r="CQ2198" t="s">
        <v>290</v>
      </c>
      <c r="CS2198" t="s">
        <v>25616</v>
      </c>
      <c r="CT2198" t="s">
        <v>25617</v>
      </c>
      <c r="CU2198" t="s">
        <v>273</v>
      </c>
      <c r="CV2198" t="s">
        <v>274</v>
      </c>
      <c r="CW2198" t="s">
        <v>25618</v>
      </c>
      <c r="CX2198" t="s">
        <v>235</v>
      </c>
      <c r="CY2198" t="s">
        <v>183</v>
      </c>
      <c r="CZ2198" t="s">
        <v>211</v>
      </c>
      <c r="DA2198" t="s">
        <v>339</v>
      </c>
      <c r="DC2198" t="s">
        <v>6188</v>
      </c>
      <c r="DD2198" t="s">
        <v>20305</v>
      </c>
      <c r="DE2198" t="s">
        <v>302</v>
      </c>
      <c r="DF2198" t="s">
        <v>303</v>
      </c>
      <c r="DG2198" t="s">
        <v>25619</v>
      </c>
      <c r="DH2198" t="s">
        <v>235</v>
      </c>
      <c r="DI2198" t="s">
        <v>183</v>
      </c>
      <c r="DJ2198" t="s">
        <v>211</v>
      </c>
      <c r="DK2198" t="s">
        <v>493</v>
      </c>
      <c r="DM2198" t="s">
        <v>6188</v>
      </c>
      <c r="DN2198" t="s">
        <v>6622</v>
      </c>
      <c r="DO2198" t="s">
        <v>238</v>
      </c>
      <c r="DP2198" t="s">
        <v>239</v>
      </c>
      <c r="DQ2198" t="s">
        <v>25620</v>
      </c>
      <c r="DR2198" t="s">
        <v>235</v>
      </c>
      <c r="DS2198" t="s">
        <v>183</v>
      </c>
      <c r="DT2198" t="s">
        <v>211</v>
      </c>
      <c r="DU2198" t="s">
        <v>298</v>
      </c>
      <c r="DW2198" t="s">
        <v>467</v>
      </c>
      <c r="DX2198" t="s">
        <v>25206</v>
      </c>
      <c r="DY2198" t="s">
        <v>207</v>
      </c>
      <c r="DZ2198" t="s">
        <v>208</v>
      </c>
      <c r="EA2198" t="s">
        <v>25621</v>
      </c>
      <c r="EB2198" t="s">
        <v>1491</v>
      </c>
      <c r="EC2198" t="s">
        <v>183</v>
      </c>
      <c r="ED2198" t="s">
        <v>211</v>
      </c>
      <c r="EE2198" t="s">
        <v>290</v>
      </c>
      <c r="EF2198" t="s">
        <v>271</v>
      </c>
      <c r="EG2198" t="s">
        <v>5686</v>
      </c>
      <c r="EQ2198" t="s">
        <v>198</v>
      </c>
      <c r="FA2198" t="s">
        <v>198</v>
      </c>
      <c r="FK2198" t="s">
        <v>198</v>
      </c>
      <c r="FU2198" t="s">
        <v>198</v>
      </c>
    </row>
    <row r="2199" spans="1:177">
      <c r="A2199" s="1" t="str">
        <f>HYPERLINK("http://digipan.lumentumllc.com/apps/getLink/index.php?t=PropLink&amp;p=5244609","PL")</f>
        <v>PL</v>
      </c>
      <c r="B2199" s="1" t="str">
        <f>HYPERLINK("http://digipan.lumentumllc.com/apps/getLink/index.php?t=TaxLink&amp;p=5244609","TL")</f>
        <v>TL</v>
      </c>
      <c r="C2199" s="1" t="str">
        <f>HYPERLINK("http://digipan.lumentumllc.com/apps/getMap/index.php?p=5244609","Map")</f>
        <v>Map</v>
      </c>
      <c r="E2199" t="s">
        <v>177</v>
      </c>
      <c r="F2199" t="s">
        <v>178</v>
      </c>
      <c r="L2199" t="s">
        <v>25622</v>
      </c>
      <c r="N2199" t="s">
        <v>25622</v>
      </c>
      <c r="O2199" t="s">
        <v>25622</v>
      </c>
      <c r="P2199" t="s">
        <v>25623</v>
      </c>
      <c r="Q2199" t="s">
        <v>25622</v>
      </c>
      <c r="V2199">
        <v>2512</v>
      </c>
      <c r="W2199">
        <v>8</v>
      </c>
      <c r="X2199">
        <v>2017</v>
      </c>
      <c r="Y2199">
        <v>2018</v>
      </c>
      <c r="Z2199">
        <v>1666.31</v>
      </c>
      <c r="AB2199" t="s">
        <v>181</v>
      </c>
      <c r="AC2199" t="s">
        <v>182</v>
      </c>
      <c r="AD2199" t="s">
        <v>183</v>
      </c>
      <c r="AE2199">
        <v>1</v>
      </c>
      <c r="AF2199">
        <v>5</v>
      </c>
      <c r="AG2199" t="s">
        <v>322</v>
      </c>
      <c r="AH2199">
        <v>83</v>
      </c>
      <c r="AI2199">
        <v>1448.55</v>
      </c>
      <c r="AJ2199">
        <v>72.430000000000007</v>
      </c>
      <c r="AK2199">
        <v>1520.98</v>
      </c>
      <c r="AL2199">
        <v>90334</v>
      </c>
      <c r="AM2199">
        <v>55000</v>
      </c>
      <c r="AN2199">
        <v>35334</v>
      </c>
      <c r="AO2199">
        <v>1314</v>
      </c>
      <c r="AP2199">
        <v>2016</v>
      </c>
      <c r="AQ2199">
        <v>1.84</v>
      </c>
      <c r="AR2199">
        <v>1.68</v>
      </c>
      <c r="AS2199" t="s">
        <v>25624</v>
      </c>
      <c r="AT2199" t="s">
        <v>15040</v>
      </c>
      <c r="AU2199" t="s">
        <v>177</v>
      </c>
      <c r="AV2199" t="s">
        <v>371</v>
      </c>
      <c r="AW2199" t="s">
        <v>182</v>
      </c>
      <c r="AX2199">
        <v>1</v>
      </c>
      <c r="AY2199" t="s">
        <v>188</v>
      </c>
      <c r="AZ2199" t="s">
        <v>206</v>
      </c>
      <c r="BA2199" t="s">
        <v>355</v>
      </c>
      <c r="BB2199" t="s">
        <v>191</v>
      </c>
      <c r="BC2199" t="s">
        <v>182</v>
      </c>
      <c r="BD2199" t="s">
        <v>182</v>
      </c>
      <c r="BE2199" t="s">
        <v>3930</v>
      </c>
      <c r="BF2199">
        <v>1</v>
      </c>
      <c r="BG2199">
        <v>1</v>
      </c>
      <c r="BH2199">
        <v>1930</v>
      </c>
      <c r="BI2199" t="s">
        <v>15359</v>
      </c>
      <c r="BJ2199" t="s">
        <v>285</v>
      </c>
      <c r="BK2199" t="s">
        <v>195</v>
      </c>
      <c r="BL2199" t="s">
        <v>199</v>
      </c>
      <c r="BM2199" t="s">
        <v>358</v>
      </c>
      <c r="BN2199" t="s">
        <v>182</v>
      </c>
      <c r="BO2199" t="s">
        <v>198</v>
      </c>
      <c r="BP2199" t="s">
        <v>198</v>
      </c>
      <c r="BQ2199" t="s">
        <v>198</v>
      </c>
      <c r="BR2199" t="s">
        <v>198</v>
      </c>
      <c r="BS2199" t="s">
        <v>198</v>
      </c>
      <c r="BT2199" t="s">
        <v>198</v>
      </c>
      <c r="BU2199" t="s">
        <v>182</v>
      </c>
      <c r="BV2199" t="s">
        <v>198</v>
      </c>
      <c r="BW2199" t="s">
        <v>198</v>
      </c>
      <c r="BX2199" t="s">
        <v>199</v>
      </c>
      <c r="BY2199" t="s">
        <v>198</v>
      </c>
      <c r="BZ2199" t="s">
        <v>199</v>
      </c>
      <c r="CA2199" t="s">
        <v>199</v>
      </c>
      <c r="CB2199" t="s">
        <v>25625</v>
      </c>
      <c r="CC2199" t="s">
        <v>201</v>
      </c>
      <c r="CD2199" t="s">
        <v>202</v>
      </c>
      <c r="CE2199" t="s">
        <v>25626</v>
      </c>
      <c r="CF2199" t="s">
        <v>5331</v>
      </c>
      <c r="CG2199" t="s">
        <v>177</v>
      </c>
      <c r="CH2199" t="s">
        <v>371</v>
      </c>
      <c r="CI2199" t="s">
        <v>25627</v>
      </c>
      <c r="CJ2199" t="s">
        <v>10197</v>
      </c>
      <c r="CK2199" t="s">
        <v>232</v>
      </c>
      <c r="CL2199" t="s">
        <v>233</v>
      </c>
      <c r="CM2199" t="s">
        <v>25628</v>
      </c>
      <c r="CN2199" t="s">
        <v>235</v>
      </c>
      <c r="CO2199" t="s">
        <v>183</v>
      </c>
      <c r="CP2199" t="s">
        <v>266</v>
      </c>
      <c r="CS2199" t="s">
        <v>198</v>
      </c>
      <c r="CT2199" t="s">
        <v>23714</v>
      </c>
      <c r="CU2199" t="s">
        <v>292</v>
      </c>
      <c r="CV2199" t="s">
        <v>293</v>
      </c>
      <c r="CW2199" t="s">
        <v>25629</v>
      </c>
      <c r="CX2199" t="s">
        <v>235</v>
      </c>
      <c r="CY2199" t="s">
        <v>183</v>
      </c>
      <c r="CZ2199" t="s">
        <v>211</v>
      </c>
      <c r="DA2199" t="s">
        <v>298</v>
      </c>
      <c r="DC2199" t="s">
        <v>1641</v>
      </c>
      <c r="DD2199" t="s">
        <v>7760</v>
      </c>
      <c r="DE2199" t="s">
        <v>267</v>
      </c>
      <c r="DF2199" t="s">
        <v>268</v>
      </c>
      <c r="DG2199" t="s">
        <v>25630</v>
      </c>
      <c r="DH2199" t="s">
        <v>235</v>
      </c>
      <c r="DI2199" t="s">
        <v>183</v>
      </c>
      <c r="DJ2199" t="s">
        <v>211</v>
      </c>
      <c r="DK2199" t="s">
        <v>298</v>
      </c>
      <c r="DM2199" t="s">
        <v>459</v>
      </c>
      <c r="DN2199" t="s">
        <v>25631</v>
      </c>
      <c r="DO2199" t="s">
        <v>273</v>
      </c>
      <c r="DP2199" t="s">
        <v>274</v>
      </c>
      <c r="DQ2199" t="s">
        <v>25632</v>
      </c>
      <c r="DR2199" t="s">
        <v>235</v>
      </c>
      <c r="DS2199" t="s">
        <v>183</v>
      </c>
      <c r="DT2199" t="s">
        <v>211</v>
      </c>
      <c r="DU2199" t="s">
        <v>298</v>
      </c>
      <c r="DW2199" t="s">
        <v>2856</v>
      </c>
      <c r="DX2199" t="s">
        <v>1297</v>
      </c>
      <c r="DY2199" t="s">
        <v>302</v>
      </c>
      <c r="DZ2199" t="s">
        <v>303</v>
      </c>
      <c r="EA2199" t="s">
        <v>25633</v>
      </c>
      <c r="EB2199" t="s">
        <v>235</v>
      </c>
      <c r="EC2199" t="s">
        <v>183</v>
      </c>
      <c r="ED2199" t="s">
        <v>211</v>
      </c>
      <c r="EE2199" t="s">
        <v>298</v>
      </c>
      <c r="EG2199" t="s">
        <v>437</v>
      </c>
      <c r="EH2199" t="s">
        <v>25634</v>
      </c>
      <c r="EI2199" t="s">
        <v>346</v>
      </c>
      <c r="EJ2199" t="s">
        <v>347</v>
      </c>
      <c r="EK2199" t="s">
        <v>20239</v>
      </c>
      <c r="EL2199" t="s">
        <v>816</v>
      </c>
      <c r="EM2199" t="s">
        <v>183</v>
      </c>
      <c r="EN2199" t="s">
        <v>211</v>
      </c>
      <c r="EO2199" t="s">
        <v>329</v>
      </c>
      <c r="EQ2199" t="s">
        <v>1167</v>
      </c>
      <c r="FA2199" t="s">
        <v>198</v>
      </c>
      <c r="FK2199" t="s">
        <v>198</v>
      </c>
      <c r="FU2199" t="s">
        <v>198</v>
      </c>
    </row>
    <row r="2200" spans="1:177">
      <c r="A2200" s="1" t="str">
        <f>HYPERLINK("http://digipan.lumentumllc.com/apps/getLink/index.php?t=PropLink&amp;p=4637080","PL")</f>
        <v>PL</v>
      </c>
      <c r="B2200" s="1" t="str">
        <f>HYPERLINK("http://digipan.lumentumllc.com/apps/getLink/index.php?t=TaxLink&amp;p=4637080","TL")</f>
        <v>TL</v>
      </c>
      <c r="C2200" s="1" t="str">
        <f>HYPERLINK("http://digipan.lumentumllc.com/apps/getMap/index.php?p=4637080","Map")</f>
        <v>Map</v>
      </c>
      <c r="E2200" t="s">
        <v>177</v>
      </c>
      <c r="F2200" t="s">
        <v>178</v>
      </c>
      <c r="L2200" t="s">
        <v>25635</v>
      </c>
      <c r="N2200" t="s">
        <v>25635</v>
      </c>
      <c r="O2200" t="s">
        <v>25635</v>
      </c>
      <c r="P2200" t="s">
        <v>25636</v>
      </c>
      <c r="Q2200" t="s">
        <v>25635</v>
      </c>
      <c r="V2200">
        <v>2513</v>
      </c>
      <c r="W2200">
        <v>8</v>
      </c>
      <c r="X2200">
        <v>2017</v>
      </c>
      <c r="Y2200">
        <v>2018</v>
      </c>
      <c r="Z2200">
        <v>901.27</v>
      </c>
      <c r="AB2200" t="s">
        <v>181</v>
      </c>
      <c r="AC2200" t="s">
        <v>182</v>
      </c>
      <c r="AD2200" t="s">
        <v>183</v>
      </c>
      <c r="AE2200">
        <v>0</v>
      </c>
      <c r="AF2200">
        <v>5</v>
      </c>
      <c r="AG2200" t="s">
        <v>3266</v>
      </c>
      <c r="AH2200">
        <v>100</v>
      </c>
      <c r="AK2200">
        <v>0</v>
      </c>
      <c r="AL2200">
        <v>170397</v>
      </c>
      <c r="AM2200">
        <v>110000</v>
      </c>
      <c r="AN2200">
        <v>60397</v>
      </c>
      <c r="AO2200">
        <v>785</v>
      </c>
      <c r="AP2200">
        <v>2016</v>
      </c>
      <c r="AQ2200">
        <v>0.53</v>
      </c>
      <c r="AS2200" t="s">
        <v>25637</v>
      </c>
      <c r="AT2200" t="s">
        <v>15040</v>
      </c>
      <c r="AU2200" t="s">
        <v>177</v>
      </c>
      <c r="AV2200" t="s">
        <v>371</v>
      </c>
      <c r="AW2200" t="s">
        <v>202</v>
      </c>
      <c r="AX2200">
        <v>1</v>
      </c>
      <c r="AY2200" t="s">
        <v>188</v>
      </c>
      <c r="AZ2200" t="s">
        <v>206</v>
      </c>
      <c r="BA2200" t="s">
        <v>355</v>
      </c>
      <c r="BB2200" t="s">
        <v>191</v>
      </c>
      <c r="BC2200" t="s">
        <v>182</v>
      </c>
      <c r="BD2200" t="s">
        <v>182</v>
      </c>
      <c r="BE2200" t="s">
        <v>3956</v>
      </c>
      <c r="BF2200">
        <v>1</v>
      </c>
      <c r="BG2200">
        <v>1</v>
      </c>
      <c r="BH2200">
        <v>1955</v>
      </c>
      <c r="BI2200" t="s">
        <v>11793</v>
      </c>
      <c r="BJ2200" t="s">
        <v>285</v>
      </c>
      <c r="BK2200" t="s">
        <v>840</v>
      </c>
      <c r="BL2200" t="s">
        <v>199</v>
      </c>
      <c r="BM2200" t="s">
        <v>1311</v>
      </c>
      <c r="BN2200" t="s">
        <v>182</v>
      </c>
      <c r="BO2200" t="s">
        <v>25638</v>
      </c>
      <c r="BP2200" t="s">
        <v>25639</v>
      </c>
      <c r="BS2200" t="s">
        <v>25640</v>
      </c>
      <c r="BT2200" t="s">
        <v>198</v>
      </c>
      <c r="BU2200" t="s">
        <v>182</v>
      </c>
      <c r="BV2200" t="s">
        <v>198</v>
      </c>
      <c r="BW2200" t="s">
        <v>198</v>
      </c>
      <c r="BX2200" t="s">
        <v>199</v>
      </c>
      <c r="BY2200" t="s">
        <v>198</v>
      </c>
      <c r="BZ2200" t="s">
        <v>199</v>
      </c>
      <c r="CA2200" t="s">
        <v>199</v>
      </c>
      <c r="CB2200" t="s">
        <v>25641</v>
      </c>
      <c r="CC2200" t="s">
        <v>201</v>
      </c>
      <c r="CD2200" t="s">
        <v>182</v>
      </c>
      <c r="CE2200" t="s">
        <v>25642</v>
      </c>
      <c r="CF2200" t="s">
        <v>5331</v>
      </c>
      <c r="CG2200" t="s">
        <v>177</v>
      </c>
      <c r="CH2200" t="s">
        <v>371</v>
      </c>
      <c r="CI2200" t="s">
        <v>25643</v>
      </c>
      <c r="CJ2200" t="s">
        <v>18307</v>
      </c>
      <c r="CK2200" t="s">
        <v>232</v>
      </c>
      <c r="CL2200" t="s">
        <v>233</v>
      </c>
      <c r="CM2200" t="s">
        <v>25644</v>
      </c>
      <c r="CN2200" t="s">
        <v>235</v>
      </c>
      <c r="CO2200" t="s">
        <v>183</v>
      </c>
      <c r="CP2200" t="s">
        <v>211</v>
      </c>
      <c r="CQ2200" t="s">
        <v>189</v>
      </c>
      <c r="CS2200" t="s">
        <v>4262</v>
      </c>
      <c r="CT2200" t="s">
        <v>16581</v>
      </c>
      <c r="CU2200" t="s">
        <v>292</v>
      </c>
      <c r="CV2200" t="s">
        <v>293</v>
      </c>
      <c r="CW2200" t="s">
        <v>25645</v>
      </c>
      <c r="CX2200" t="s">
        <v>235</v>
      </c>
      <c r="CY2200" t="s">
        <v>183</v>
      </c>
      <c r="CZ2200" t="s">
        <v>211</v>
      </c>
      <c r="DA2200" t="s">
        <v>460</v>
      </c>
      <c r="DC2200" t="s">
        <v>4262</v>
      </c>
      <c r="DD2200" t="s">
        <v>7776</v>
      </c>
      <c r="DE2200" t="s">
        <v>267</v>
      </c>
      <c r="DF2200" t="s">
        <v>268</v>
      </c>
      <c r="DG2200" t="s">
        <v>25646</v>
      </c>
      <c r="DH2200" t="s">
        <v>235</v>
      </c>
      <c r="DI2200" t="s">
        <v>183</v>
      </c>
      <c r="DJ2200" t="s">
        <v>211</v>
      </c>
      <c r="DK2200" t="s">
        <v>212</v>
      </c>
      <c r="DM2200" t="s">
        <v>17436</v>
      </c>
      <c r="DN2200" t="s">
        <v>16838</v>
      </c>
      <c r="DO2200" t="s">
        <v>302</v>
      </c>
      <c r="DP2200" t="s">
        <v>303</v>
      </c>
      <c r="DQ2200" t="s">
        <v>25647</v>
      </c>
      <c r="DR2200" t="s">
        <v>235</v>
      </c>
      <c r="DS2200" t="s">
        <v>183</v>
      </c>
      <c r="DT2200" t="s">
        <v>211</v>
      </c>
      <c r="DU2200" t="s">
        <v>270</v>
      </c>
      <c r="DW2200" t="s">
        <v>17022</v>
      </c>
      <c r="DX2200" t="s">
        <v>6758</v>
      </c>
      <c r="DY2200" t="s">
        <v>238</v>
      </c>
      <c r="DZ2200" t="s">
        <v>239</v>
      </c>
      <c r="EA2200" t="s">
        <v>25648</v>
      </c>
      <c r="EB2200" t="s">
        <v>235</v>
      </c>
      <c r="EC2200" t="s">
        <v>183</v>
      </c>
      <c r="ED2200" t="s">
        <v>211</v>
      </c>
      <c r="EE2200" t="s">
        <v>337</v>
      </c>
      <c r="EG2200" t="s">
        <v>17022</v>
      </c>
      <c r="EQ2200" t="s">
        <v>198</v>
      </c>
      <c r="FA2200" t="s">
        <v>198</v>
      </c>
      <c r="FK2200" t="s">
        <v>198</v>
      </c>
      <c r="FU2200" t="s">
        <v>198</v>
      </c>
    </row>
    <row r="2201" spans="1:177">
      <c r="A2201" s="1" t="str">
        <f>HYPERLINK("http://digipan.lumentumllc.com/apps/getLink/index.php?t=PropLink&amp;p=4637083","PL")</f>
        <v>PL</v>
      </c>
      <c r="B2201" s="1" t="str">
        <f>HYPERLINK("http://digipan.lumentumllc.com/apps/getLink/index.php?t=TaxLink&amp;p=4637083","TL")</f>
        <v>TL</v>
      </c>
      <c r="C2201" s="1" t="str">
        <f>HYPERLINK("http://digipan.lumentumllc.com/apps/getMap/index.php?p=4637083","Map")</f>
        <v>Map</v>
      </c>
      <c r="E2201" t="s">
        <v>177</v>
      </c>
      <c r="F2201" t="s">
        <v>178</v>
      </c>
      <c r="L2201" t="s">
        <v>25649</v>
      </c>
      <c r="N2201" t="s">
        <v>25649</v>
      </c>
      <c r="O2201" t="s">
        <v>25649</v>
      </c>
      <c r="P2201" t="s">
        <v>25650</v>
      </c>
      <c r="Q2201" t="s">
        <v>25649</v>
      </c>
      <c r="V2201">
        <v>2515</v>
      </c>
      <c r="W2201">
        <v>8</v>
      </c>
      <c r="X2201">
        <v>2017</v>
      </c>
      <c r="Y2201">
        <v>2018</v>
      </c>
      <c r="Z2201">
        <v>715.63</v>
      </c>
      <c r="AB2201" t="s">
        <v>181</v>
      </c>
      <c r="AC2201" t="s">
        <v>182</v>
      </c>
      <c r="AD2201" t="s">
        <v>183</v>
      </c>
      <c r="AE2201">
        <v>0</v>
      </c>
      <c r="AF2201">
        <v>5</v>
      </c>
      <c r="AG2201" t="s">
        <v>3266</v>
      </c>
      <c r="AH2201">
        <v>100</v>
      </c>
      <c r="AK2201">
        <v>0</v>
      </c>
      <c r="AL2201">
        <v>31716</v>
      </c>
      <c r="AM2201">
        <v>18780</v>
      </c>
      <c r="AN2201">
        <v>12936</v>
      </c>
      <c r="AO2201">
        <v>584</v>
      </c>
      <c r="AP2201">
        <v>2016</v>
      </c>
      <c r="AQ2201">
        <v>2.2599999999999998</v>
      </c>
      <c r="AS2201" t="s">
        <v>25651</v>
      </c>
      <c r="AT2201" t="s">
        <v>15040</v>
      </c>
      <c r="AU2201" t="s">
        <v>177</v>
      </c>
      <c r="AV2201" t="s">
        <v>371</v>
      </c>
      <c r="AW2201" t="s">
        <v>182</v>
      </c>
      <c r="AX2201">
        <v>1</v>
      </c>
      <c r="AY2201" t="s">
        <v>188</v>
      </c>
      <c r="AZ2201" t="s">
        <v>206</v>
      </c>
      <c r="BA2201" t="s">
        <v>355</v>
      </c>
      <c r="BB2201" t="s">
        <v>191</v>
      </c>
      <c r="BC2201" t="s">
        <v>182</v>
      </c>
      <c r="BD2201" t="s">
        <v>182</v>
      </c>
      <c r="BE2201" t="s">
        <v>3930</v>
      </c>
      <c r="BF2201">
        <v>1</v>
      </c>
      <c r="BG2201">
        <v>1</v>
      </c>
      <c r="BH2201">
        <v>1940</v>
      </c>
      <c r="BI2201" t="s">
        <v>861</v>
      </c>
      <c r="BJ2201" t="s">
        <v>285</v>
      </c>
      <c r="BK2201" t="s">
        <v>840</v>
      </c>
      <c r="BL2201" t="s">
        <v>199</v>
      </c>
      <c r="BM2201" t="s">
        <v>358</v>
      </c>
      <c r="BN2201" t="s">
        <v>182</v>
      </c>
      <c r="BO2201" t="s">
        <v>198</v>
      </c>
      <c r="BP2201" t="s">
        <v>198</v>
      </c>
      <c r="BQ2201" t="s">
        <v>198</v>
      </c>
      <c r="BR2201" t="s">
        <v>198</v>
      </c>
      <c r="BS2201" t="s">
        <v>198</v>
      </c>
      <c r="BT2201" t="s">
        <v>198</v>
      </c>
      <c r="BU2201" t="s">
        <v>182</v>
      </c>
      <c r="BV2201" t="s">
        <v>198</v>
      </c>
      <c r="BW2201" t="s">
        <v>198</v>
      </c>
      <c r="BX2201" t="s">
        <v>199</v>
      </c>
      <c r="BY2201" t="s">
        <v>198</v>
      </c>
      <c r="BZ2201" t="s">
        <v>199</v>
      </c>
      <c r="CA2201" t="s">
        <v>199</v>
      </c>
      <c r="CB2201" t="s">
        <v>25652</v>
      </c>
      <c r="CC2201" t="s">
        <v>201</v>
      </c>
      <c r="CD2201" t="s">
        <v>202</v>
      </c>
      <c r="CE2201" t="s">
        <v>25653</v>
      </c>
      <c r="CF2201" t="s">
        <v>5331</v>
      </c>
      <c r="CG2201" t="s">
        <v>177</v>
      </c>
      <c r="CH2201" t="s">
        <v>5332</v>
      </c>
      <c r="CI2201" t="s">
        <v>25654</v>
      </c>
      <c r="CJ2201" t="s">
        <v>10217</v>
      </c>
      <c r="CK2201" t="s">
        <v>232</v>
      </c>
      <c r="CL2201" t="s">
        <v>233</v>
      </c>
      <c r="CM2201" t="s">
        <v>7344</v>
      </c>
      <c r="CN2201" t="s">
        <v>331</v>
      </c>
      <c r="CO2201" t="s">
        <v>183</v>
      </c>
      <c r="CP2201" t="s">
        <v>211</v>
      </c>
      <c r="CQ2201" t="s">
        <v>342</v>
      </c>
      <c r="CS2201" t="s">
        <v>8184</v>
      </c>
      <c r="CT2201" t="s">
        <v>5370</v>
      </c>
      <c r="CU2201" t="s">
        <v>292</v>
      </c>
      <c r="CV2201" t="s">
        <v>293</v>
      </c>
      <c r="CW2201" t="s">
        <v>25655</v>
      </c>
      <c r="CX2201" t="s">
        <v>333</v>
      </c>
      <c r="CY2201" t="s">
        <v>183</v>
      </c>
      <c r="CZ2201" t="s">
        <v>211</v>
      </c>
      <c r="DA2201" t="s">
        <v>345</v>
      </c>
      <c r="DC2201" t="s">
        <v>8184</v>
      </c>
      <c r="DD2201" t="s">
        <v>7831</v>
      </c>
      <c r="DE2201" t="s">
        <v>267</v>
      </c>
      <c r="DF2201" t="s">
        <v>268</v>
      </c>
      <c r="DG2201" t="s">
        <v>25656</v>
      </c>
      <c r="DH2201" t="s">
        <v>927</v>
      </c>
      <c r="DI2201" t="s">
        <v>183</v>
      </c>
      <c r="DJ2201" t="s">
        <v>211</v>
      </c>
      <c r="DK2201" t="s">
        <v>471</v>
      </c>
      <c r="DM2201" t="s">
        <v>25657</v>
      </c>
      <c r="DN2201" t="s">
        <v>18753</v>
      </c>
      <c r="DO2201" t="s">
        <v>273</v>
      </c>
      <c r="DP2201" t="s">
        <v>274</v>
      </c>
      <c r="DQ2201" t="s">
        <v>25658</v>
      </c>
      <c r="DR2201" t="s">
        <v>235</v>
      </c>
      <c r="DS2201" t="s">
        <v>183</v>
      </c>
      <c r="DT2201" t="s">
        <v>211</v>
      </c>
      <c r="DU2201" t="s">
        <v>329</v>
      </c>
      <c r="DW2201" t="s">
        <v>437</v>
      </c>
      <c r="DX2201" t="s">
        <v>21633</v>
      </c>
      <c r="DY2201" t="s">
        <v>302</v>
      </c>
      <c r="DZ2201" t="s">
        <v>303</v>
      </c>
      <c r="EA2201" t="s">
        <v>25659</v>
      </c>
      <c r="EB2201" t="s">
        <v>235</v>
      </c>
      <c r="EC2201" t="s">
        <v>183</v>
      </c>
      <c r="ED2201" t="s">
        <v>211</v>
      </c>
      <c r="EE2201" t="s">
        <v>329</v>
      </c>
      <c r="EG2201" t="s">
        <v>1133</v>
      </c>
      <c r="EQ2201" t="s">
        <v>198</v>
      </c>
      <c r="FA2201" t="s">
        <v>198</v>
      </c>
      <c r="FK2201" t="s">
        <v>198</v>
      </c>
      <c r="FU2201" t="s">
        <v>198</v>
      </c>
    </row>
    <row r="2202" spans="1:177">
      <c r="A2202" s="1" t="str">
        <f>HYPERLINK("http://digipan.lumentumllc.com/apps/getLink/index.php?t=PropLink&amp;p=5244614","PL")</f>
        <v>PL</v>
      </c>
      <c r="B2202" s="1" t="str">
        <f>HYPERLINK("http://digipan.lumentumllc.com/apps/getLink/index.php?t=TaxLink&amp;p=5244614","TL")</f>
        <v>TL</v>
      </c>
      <c r="C2202" s="1" t="str">
        <f>HYPERLINK("http://digipan.lumentumllc.com/apps/getMap/index.php?p=5244614","Map")</f>
        <v>Map</v>
      </c>
      <c r="E2202" t="s">
        <v>177</v>
      </c>
      <c r="F2202" t="s">
        <v>178</v>
      </c>
      <c r="L2202" t="s">
        <v>25660</v>
      </c>
      <c r="N2202" t="s">
        <v>25660</v>
      </c>
      <c r="O2202" t="s">
        <v>25660</v>
      </c>
      <c r="P2202" t="s">
        <v>25661</v>
      </c>
      <c r="Q2202" t="s">
        <v>25660</v>
      </c>
      <c r="V2202">
        <v>2516</v>
      </c>
      <c r="W2202">
        <v>8</v>
      </c>
      <c r="X2202">
        <v>2017</v>
      </c>
      <c r="Y2202">
        <v>2018</v>
      </c>
      <c r="Z2202">
        <v>445.84</v>
      </c>
      <c r="AB2202" t="s">
        <v>181</v>
      </c>
      <c r="AC2202" t="s">
        <v>182</v>
      </c>
      <c r="AD2202" t="s">
        <v>183</v>
      </c>
      <c r="AE2202">
        <v>1</v>
      </c>
      <c r="AF2202">
        <v>7</v>
      </c>
      <c r="AG2202" t="s">
        <v>418</v>
      </c>
      <c r="AH2202">
        <v>86</v>
      </c>
      <c r="AI2202">
        <v>653.29</v>
      </c>
      <c r="AJ2202">
        <v>32.659999999999997</v>
      </c>
      <c r="AK2202">
        <v>685.95</v>
      </c>
      <c r="AL2202">
        <v>19199</v>
      </c>
      <c r="AM2202">
        <v>19199</v>
      </c>
      <c r="AN2202">
        <v>0</v>
      </c>
      <c r="AO2202">
        <v>579</v>
      </c>
      <c r="AP2202">
        <v>2016</v>
      </c>
      <c r="AQ2202">
        <v>2.3199999999999998</v>
      </c>
      <c r="AR2202">
        <v>3.57</v>
      </c>
      <c r="AS2202" t="s">
        <v>25662</v>
      </c>
      <c r="AT2202" t="s">
        <v>15040</v>
      </c>
      <c r="AU2202" t="s">
        <v>177</v>
      </c>
      <c r="AV2202" t="s">
        <v>371</v>
      </c>
      <c r="AW2202" t="s">
        <v>182</v>
      </c>
      <c r="AX2202">
        <v>0</v>
      </c>
      <c r="AY2202" t="s">
        <v>312</v>
      </c>
      <c r="AZ2202" t="s">
        <v>199</v>
      </c>
      <c r="BA2202" t="s">
        <v>313</v>
      </c>
      <c r="BB2202" t="s">
        <v>191</v>
      </c>
      <c r="BC2202" t="s">
        <v>182</v>
      </c>
      <c r="BD2202" t="s">
        <v>182</v>
      </c>
      <c r="BE2202" t="s">
        <v>3930</v>
      </c>
      <c r="BF2202">
        <v>1</v>
      </c>
      <c r="BG2202">
        <v>0</v>
      </c>
      <c r="BH2202">
        <v>1950</v>
      </c>
      <c r="BI2202" t="s">
        <v>199</v>
      </c>
      <c r="BJ2202" t="s">
        <v>248</v>
      </c>
      <c r="BK2202" t="s">
        <v>2350</v>
      </c>
      <c r="BL2202" t="s">
        <v>727</v>
      </c>
      <c r="BM2202" t="s">
        <v>325</v>
      </c>
      <c r="BN2202" t="s">
        <v>182</v>
      </c>
      <c r="BO2202" t="s">
        <v>198</v>
      </c>
      <c r="BP2202" t="s">
        <v>198</v>
      </c>
      <c r="BQ2202" t="s">
        <v>198</v>
      </c>
      <c r="BR2202" t="s">
        <v>198</v>
      </c>
      <c r="BS2202" t="s">
        <v>198</v>
      </c>
      <c r="BT2202" t="s">
        <v>198</v>
      </c>
      <c r="BU2202" t="s">
        <v>182</v>
      </c>
      <c r="BV2202" t="s">
        <v>198</v>
      </c>
      <c r="BW2202" t="s">
        <v>198</v>
      </c>
      <c r="BX2202" t="s">
        <v>199</v>
      </c>
      <c r="BY2202" t="s">
        <v>198</v>
      </c>
      <c r="BZ2202" t="s">
        <v>199</v>
      </c>
      <c r="CA2202" t="s">
        <v>199</v>
      </c>
      <c r="CB2202" t="s">
        <v>21418</v>
      </c>
      <c r="CC2202" t="s">
        <v>201</v>
      </c>
      <c r="CD2202" t="s">
        <v>182</v>
      </c>
      <c r="CE2202" t="s">
        <v>21419</v>
      </c>
      <c r="CF2202" t="s">
        <v>21420</v>
      </c>
      <c r="CG2202" t="s">
        <v>2769</v>
      </c>
      <c r="CH2202" t="s">
        <v>21421</v>
      </c>
      <c r="CI2202" t="s">
        <v>25663</v>
      </c>
      <c r="CJ2202" t="s">
        <v>18342</v>
      </c>
      <c r="CK2202" t="s">
        <v>232</v>
      </c>
      <c r="CL2202" t="s">
        <v>233</v>
      </c>
      <c r="CM2202" t="s">
        <v>25664</v>
      </c>
      <c r="CN2202" t="s">
        <v>331</v>
      </c>
      <c r="CO2202" t="s">
        <v>183</v>
      </c>
      <c r="CP2202" t="s">
        <v>266</v>
      </c>
      <c r="CS2202" t="s">
        <v>198</v>
      </c>
      <c r="CT2202" t="s">
        <v>16598</v>
      </c>
      <c r="CU2202" t="s">
        <v>292</v>
      </c>
      <c r="CV2202" t="s">
        <v>293</v>
      </c>
      <c r="CW2202" t="s">
        <v>25665</v>
      </c>
      <c r="CX2202" t="s">
        <v>408</v>
      </c>
      <c r="CY2202" t="s">
        <v>183</v>
      </c>
      <c r="CZ2202" t="s">
        <v>211</v>
      </c>
      <c r="DA2202" t="s">
        <v>298</v>
      </c>
      <c r="DC2202" t="s">
        <v>457</v>
      </c>
      <c r="DD2202" t="s">
        <v>22409</v>
      </c>
      <c r="DE2202" t="s">
        <v>267</v>
      </c>
      <c r="DF2202" t="s">
        <v>268</v>
      </c>
      <c r="DG2202" t="s">
        <v>25666</v>
      </c>
      <c r="DH2202" t="s">
        <v>235</v>
      </c>
      <c r="DI2202" t="s">
        <v>183</v>
      </c>
      <c r="DJ2202" t="s">
        <v>211</v>
      </c>
      <c r="DK2202" t="s">
        <v>298</v>
      </c>
      <c r="DM2202" t="s">
        <v>459</v>
      </c>
      <c r="DN2202" t="s">
        <v>25667</v>
      </c>
      <c r="DO2202" t="s">
        <v>273</v>
      </c>
      <c r="DP2202" t="s">
        <v>274</v>
      </c>
      <c r="DQ2202" t="s">
        <v>25668</v>
      </c>
      <c r="DR2202" t="s">
        <v>4363</v>
      </c>
      <c r="DS2202" t="s">
        <v>183</v>
      </c>
      <c r="DT2202" t="s">
        <v>211</v>
      </c>
      <c r="DU2202" t="s">
        <v>345</v>
      </c>
      <c r="DW2202" t="s">
        <v>3539</v>
      </c>
      <c r="DX2202" t="s">
        <v>25669</v>
      </c>
      <c r="DY2202" t="s">
        <v>302</v>
      </c>
      <c r="DZ2202" t="s">
        <v>303</v>
      </c>
      <c r="EA2202" t="s">
        <v>19406</v>
      </c>
      <c r="EB2202" t="s">
        <v>235</v>
      </c>
      <c r="EC2202" t="s">
        <v>183</v>
      </c>
      <c r="ED2202" t="s">
        <v>211</v>
      </c>
      <c r="EE2202" t="s">
        <v>345</v>
      </c>
      <c r="EG2202" t="s">
        <v>9541</v>
      </c>
      <c r="EH2202" t="s">
        <v>6316</v>
      </c>
      <c r="EI2202" t="s">
        <v>238</v>
      </c>
      <c r="EJ2202" t="s">
        <v>239</v>
      </c>
      <c r="EK2202" t="s">
        <v>2630</v>
      </c>
      <c r="EL2202" t="s">
        <v>440</v>
      </c>
      <c r="EM2202" t="s">
        <v>183</v>
      </c>
      <c r="EN2202" t="s">
        <v>211</v>
      </c>
      <c r="EO2202" t="s">
        <v>345</v>
      </c>
      <c r="EQ2202" t="s">
        <v>3825</v>
      </c>
      <c r="ER2202" t="s">
        <v>25670</v>
      </c>
      <c r="ES2202" t="s">
        <v>346</v>
      </c>
      <c r="ET2202" t="s">
        <v>347</v>
      </c>
      <c r="EU2202" t="s">
        <v>25671</v>
      </c>
      <c r="EV2202" t="s">
        <v>1164</v>
      </c>
      <c r="EW2202" t="s">
        <v>183</v>
      </c>
      <c r="EX2202" t="s">
        <v>211</v>
      </c>
      <c r="EY2202" t="s">
        <v>298</v>
      </c>
      <c r="FA2202" t="s">
        <v>878</v>
      </c>
      <c r="FB2202" t="s">
        <v>25672</v>
      </c>
      <c r="FC2202" t="s">
        <v>207</v>
      </c>
      <c r="FD2202" t="s">
        <v>208</v>
      </c>
      <c r="FE2202" t="s">
        <v>25673</v>
      </c>
      <c r="FF2202" t="s">
        <v>576</v>
      </c>
      <c r="FG2202" t="s">
        <v>183</v>
      </c>
      <c r="FH2202" t="s">
        <v>211</v>
      </c>
      <c r="FI2202" t="s">
        <v>298</v>
      </c>
      <c r="FK2202" t="s">
        <v>474</v>
      </c>
      <c r="FU2202" t="s">
        <v>198</v>
      </c>
    </row>
    <row r="2203" spans="1:177">
      <c r="A2203" s="1" t="str">
        <f>HYPERLINK("http://digipan.lumentumllc.com/apps/getLink/index.php?t=PropLink&amp;p=5244618","PL")</f>
        <v>PL</v>
      </c>
      <c r="B2203" s="1" t="str">
        <f>HYPERLINK("http://digipan.lumentumllc.com/apps/getLink/index.php?t=TaxLink&amp;p=5244618","TL")</f>
        <v>TL</v>
      </c>
      <c r="C2203" s="1" t="str">
        <f>HYPERLINK("http://digipan.lumentumllc.com/apps/getMap/index.php?p=5244618","Map")</f>
        <v>Map</v>
      </c>
      <c r="E2203" t="s">
        <v>177</v>
      </c>
      <c r="F2203" t="s">
        <v>178</v>
      </c>
      <c r="L2203" t="s">
        <v>25674</v>
      </c>
      <c r="N2203" t="s">
        <v>25674</v>
      </c>
      <c r="O2203" t="s">
        <v>25674</v>
      </c>
      <c r="P2203" t="s">
        <v>25675</v>
      </c>
      <c r="Q2203" t="s">
        <v>25674</v>
      </c>
      <c r="V2203">
        <v>2517</v>
      </c>
      <c r="W2203">
        <v>8</v>
      </c>
      <c r="X2203">
        <v>2017</v>
      </c>
      <c r="Y2203">
        <v>2018</v>
      </c>
      <c r="Z2203">
        <v>460.16</v>
      </c>
      <c r="AB2203" t="s">
        <v>181</v>
      </c>
      <c r="AC2203" t="s">
        <v>182</v>
      </c>
      <c r="AD2203" t="s">
        <v>183</v>
      </c>
      <c r="AE2203">
        <v>0</v>
      </c>
      <c r="AF2203">
        <v>4</v>
      </c>
      <c r="AG2203" t="s">
        <v>381</v>
      </c>
      <c r="AH2203">
        <v>100</v>
      </c>
      <c r="AK2203">
        <v>0</v>
      </c>
      <c r="AL2203">
        <v>19863</v>
      </c>
      <c r="AM2203">
        <v>19246</v>
      </c>
      <c r="AN2203">
        <v>617</v>
      </c>
      <c r="AO2203">
        <v>366</v>
      </c>
      <c r="AP2203">
        <v>2016</v>
      </c>
      <c r="AQ2203">
        <v>2.3199999999999998</v>
      </c>
      <c r="AS2203" t="s">
        <v>25676</v>
      </c>
      <c r="AT2203" t="s">
        <v>15040</v>
      </c>
      <c r="AU2203" t="s">
        <v>177</v>
      </c>
      <c r="AV2203" t="s">
        <v>371</v>
      </c>
      <c r="AW2203" t="s">
        <v>182</v>
      </c>
      <c r="AX2203">
        <v>10</v>
      </c>
      <c r="AY2203" t="s">
        <v>3211</v>
      </c>
      <c r="AZ2203" t="s">
        <v>270</v>
      </c>
      <c r="BA2203" t="s">
        <v>3212</v>
      </c>
      <c r="BB2203" t="s">
        <v>191</v>
      </c>
      <c r="BC2203" t="s">
        <v>182</v>
      </c>
      <c r="BD2203" t="s">
        <v>182</v>
      </c>
      <c r="BE2203" t="s">
        <v>3930</v>
      </c>
      <c r="BF2203">
        <v>0</v>
      </c>
      <c r="BG2203">
        <v>0</v>
      </c>
      <c r="BH2203">
        <v>0</v>
      </c>
      <c r="BI2203" t="s">
        <v>199</v>
      </c>
      <c r="BJ2203" t="s">
        <v>315</v>
      </c>
      <c r="BL2203" t="s">
        <v>196</v>
      </c>
      <c r="BM2203" t="s">
        <v>197</v>
      </c>
      <c r="BN2203" t="s">
        <v>182</v>
      </c>
      <c r="BO2203" t="s">
        <v>198</v>
      </c>
      <c r="BP2203" t="s">
        <v>198</v>
      </c>
      <c r="BQ2203" t="s">
        <v>198</v>
      </c>
      <c r="BR2203" t="s">
        <v>198</v>
      </c>
      <c r="BS2203" t="s">
        <v>198</v>
      </c>
      <c r="BT2203" t="s">
        <v>198</v>
      </c>
      <c r="BU2203" t="s">
        <v>182</v>
      </c>
      <c r="BV2203" t="s">
        <v>198</v>
      </c>
      <c r="BW2203" t="s">
        <v>198</v>
      </c>
      <c r="BX2203" t="s">
        <v>199</v>
      </c>
      <c r="BY2203" t="s">
        <v>198</v>
      </c>
      <c r="BZ2203" t="s">
        <v>199</v>
      </c>
      <c r="CA2203" t="s">
        <v>199</v>
      </c>
      <c r="CB2203" t="s">
        <v>24396</v>
      </c>
      <c r="CC2203" t="s">
        <v>1407</v>
      </c>
      <c r="CD2203" t="s">
        <v>202</v>
      </c>
      <c r="CE2203" t="s">
        <v>25677</v>
      </c>
      <c r="CF2203" t="s">
        <v>413</v>
      </c>
      <c r="CG2203" t="s">
        <v>177</v>
      </c>
      <c r="CH2203" t="s">
        <v>2991</v>
      </c>
      <c r="CI2203" t="s">
        <v>25678</v>
      </c>
      <c r="CJ2203" t="s">
        <v>23048</v>
      </c>
      <c r="CK2203" t="s">
        <v>273</v>
      </c>
      <c r="CL2203" t="s">
        <v>274</v>
      </c>
      <c r="CM2203" t="s">
        <v>25679</v>
      </c>
      <c r="CN2203" t="s">
        <v>3342</v>
      </c>
      <c r="CO2203" t="s">
        <v>183</v>
      </c>
      <c r="CP2203" t="s">
        <v>211</v>
      </c>
      <c r="CQ2203" t="s">
        <v>270</v>
      </c>
      <c r="CS2203" t="s">
        <v>25680</v>
      </c>
      <c r="CT2203" t="s">
        <v>6791</v>
      </c>
      <c r="CU2203" t="s">
        <v>238</v>
      </c>
      <c r="CV2203" t="s">
        <v>239</v>
      </c>
      <c r="CW2203" t="s">
        <v>25681</v>
      </c>
      <c r="CX2203" t="s">
        <v>4595</v>
      </c>
      <c r="CY2203" t="s">
        <v>183</v>
      </c>
      <c r="CZ2203" t="s">
        <v>211</v>
      </c>
      <c r="DA2203" t="s">
        <v>337</v>
      </c>
      <c r="DC2203" t="s">
        <v>2084</v>
      </c>
      <c r="DD2203" t="s">
        <v>25682</v>
      </c>
      <c r="DE2203" t="s">
        <v>346</v>
      </c>
      <c r="DF2203" t="s">
        <v>347</v>
      </c>
      <c r="DG2203" t="s">
        <v>25683</v>
      </c>
      <c r="DH2203" t="s">
        <v>247</v>
      </c>
      <c r="DI2203" t="s">
        <v>183</v>
      </c>
      <c r="DJ2203" t="s">
        <v>211</v>
      </c>
      <c r="DK2203" t="s">
        <v>460</v>
      </c>
      <c r="DM2203" t="s">
        <v>13379</v>
      </c>
      <c r="DN2203" t="s">
        <v>25684</v>
      </c>
      <c r="DO2203" t="s">
        <v>207</v>
      </c>
      <c r="DP2203" t="s">
        <v>208</v>
      </c>
      <c r="DQ2203" t="s">
        <v>25685</v>
      </c>
      <c r="DR2203" t="s">
        <v>341</v>
      </c>
      <c r="DS2203" t="s">
        <v>183</v>
      </c>
      <c r="DT2203" t="s">
        <v>211</v>
      </c>
      <c r="DU2203" t="s">
        <v>334</v>
      </c>
      <c r="DW2203" t="s">
        <v>17619</v>
      </c>
      <c r="EG2203" t="s">
        <v>198</v>
      </c>
      <c r="EQ2203" t="s">
        <v>198</v>
      </c>
      <c r="FA2203" t="s">
        <v>198</v>
      </c>
      <c r="FK2203" t="s">
        <v>198</v>
      </c>
      <c r="FU2203" t="s">
        <v>198</v>
      </c>
    </row>
    <row r="2204" spans="1:177">
      <c r="A2204" s="1" t="str">
        <f>HYPERLINK("http://digipan.lumentumllc.com/apps/getLink/index.php?t=PropLink&amp;p=5244619","PL")</f>
        <v>PL</v>
      </c>
      <c r="B2204" s="1" t="str">
        <f>HYPERLINK("http://digipan.lumentumllc.com/apps/getLink/index.php?t=TaxLink&amp;p=5244619","TL")</f>
        <v>TL</v>
      </c>
      <c r="C2204" s="1" t="str">
        <f>HYPERLINK("http://digipan.lumentumllc.com/apps/getMap/index.php?p=5244619","Map")</f>
        <v>Map</v>
      </c>
      <c r="E2204" t="s">
        <v>177</v>
      </c>
      <c r="F2204" t="s">
        <v>178</v>
      </c>
      <c r="L2204" t="s">
        <v>25686</v>
      </c>
      <c r="N2204" t="s">
        <v>25686</v>
      </c>
      <c r="O2204" t="s">
        <v>25686</v>
      </c>
      <c r="P2204" t="s">
        <v>25687</v>
      </c>
      <c r="Q2204" t="s">
        <v>25686</v>
      </c>
      <c r="V2204">
        <v>2518</v>
      </c>
      <c r="W2204">
        <v>8</v>
      </c>
      <c r="X2204">
        <v>2017</v>
      </c>
      <c r="Y2204">
        <v>2018</v>
      </c>
      <c r="Z2204">
        <v>1520.15</v>
      </c>
      <c r="AB2204" t="s">
        <v>181</v>
      </c>
      <c r="AC2204" t="s">
        <v>202</v>
      </c>
      <c r="AD2204" t="s">
        <v>183</v>
      </c>
      <c r="AE2204">
        <v>1</v>
      </c>
      <c r="AF2204">
        <v>3</v>
      </c>
      <c r="AG2204" t="s">
        <v>257</v>
      </c>
      <c r="AH2204">
        <v>75</v>
      </c>
      <c r="AI2204">
        <v>1403.98</v>
      </c>
      <c r="AJ2204">
        <v>70.2</v>
      </c>
      <c r="AK2204">
        <v>1474.18</v>
      </c>
      <c r="AL2204">
        <v>96055</v>
      </c>
      <c r="AM2204">
        <v>24750</v>
      </c>
      <c r="AN2204">
        <v>71305</v>
      </c>
      <c r="AO2204">
        <v>1273</v>
      </c>
      <c r="AP2204">
        <v>2016</v>
      </c>
      <c r="AQ2204">
        <v>1.58</v>
      </c>
      <c r="AR2204">
        <v>1.53</v>
      </c>
      <c r="AS2204" t="s">
        <v>25688</v>
      </c>
      <c r="AT2204" t="s">
        <v>15040</v>
      </c>
      <c r="AU2204" t="s">
        <v>177</v>
      </c>
      <c r="AV2204" t="s">
        <v>371</v>
      </c>
      <c r="AW2204" t="s">
        <v>202</v>
      </c>
      <c r="AX2204">
        <v>1</v>
      </c>
      <c r="AY2204" t="s">
        <v>188</v>
      </c>
      <c r="AZ2204" t="s">
        <v>206</v>
      </c>
      <c r="BA2204" t="s">
        <v>355</v>
      </c>
      <c r="BB2204" t="s">
        <v>191</v>
      </c>
      <c r="BC2204" t="s">
        <v>182</v>
      </c>
      <c r="BD2204" t="s">
        <v>182</v>
      </c>
      <c r="BE2204" t="s">
        <v>3930</v>
      </c>
      <c r="BF2204">
        <v>1</v>
      </c>
      <c r="BG2204">
        <v>1</v>
      </c>
      <c r="BH2204">
        <v>1943</v>
      </c>
      <c r="BI2204" t="s">
        <v>16960</v>
      </c>
      <c r="BJ2204" t="s">
        <v>285</v>
      </c>
      <c r="BK2204" t="s">
        <v>195</v>
      </c>
      <c r="BL2204" t="s">
        <v>5283</v>
      </c>
      <c r="BM2204" t="s">
        <v>1598</v>
      </c>
      <c r="BN2204" t="s">
        <v>182</v>
      </c>
      <c r="BO2204" t="s">
        <v>198</v>
      </c>
      <c r="BP2204" t="s">
        <v>198</v>
      </c>
      <c r="BQ2204" t="s">
        <v>198</v>
      </c>
      <c r="BR2204" t="s">
        <v>198</v>
      </c>
      <c r="BS2204" t="s">
        <v>198</v>
      </c>
      <c r="BT2204" t="s">
        <v>198</v>
      </c>
      <c r="BU2204" t="s">
        <v>182</v>
      </c>
      <c r="BV2204" t="s">
        <v>198</v>
      </c>
      <c r="BW2204" t="s">
        <v>198</v>
      </c>
      <c r="BX2204" t="s">
        <v>199</v>
      </c>
      <c r="BY2204" t="s">
        <v>198</v>
      </c>
      <c r="BZ2204" t="s">
        <v>199</v>
      </c>
      <c r="CA2204" t="s">
        <v>199</v>
      </c>
      <c r="CB2204" t="s">
        <v>25689</v>
      </c>
      <c r="CC2204" t="s">
        <v>201</v>
      </c>
      <c r="CD2204" t="s">
        <v>202</v>
      </c>
      <c r="CE2204" t="s">
        <v>25690</v>
      </c>
      <c r="CF2204" t="s">
        <v>5331</v>
      </c>
      <c r="CG2204" t="s">
        <v>177</v>
      </c>
      <c r="CH2204" t="s">
        <v>371</v>
      </c>
      <c r="CI2204" t="s">
        <v>25691</v>
      </c>
      <c r="CJ2204" t="s">
        <v>18352</v>
      </c>
      <c r="CK2204" t="s">
        <v>232</v>
      </c>
      <c r="CL2204" t="s">
        <v>233</v>
      </c>
      <c r="CM2204" t="s">
        <v>25692</v>
      </c>
      <c r="CN2204" t="s">
        <v>235</v>
      </c>
      <c r="CO2204" t="s">
        <v>183</v>
      </c>
      <c r="CP2204" t="s">
        <v>266</v>
      </c>
      <c r="CS2204" t="s">
        <v>198</v>
      </c>
      <c r="CT2204" t="s">
        <v>21640</v>
      </c>
      <c r="CU2204" t="s">
        <v>302</v>
      </c>
      <c r="CV2204" t="s">
        <v>303</v>
      </c>
      <c r="CW2204" t="s">
        <v>25693</v>
      </c>
      <c r="CX2204" t="s">
        <v>235</v>
      </c>
      <c r="CY2204" t="s">
        <v>183</v>
      </c>
      <c r="CZ2204" t="s">
        <v>211</v>
      </c>
      <c r="DA2204" t="s">
        <v>212</v>
      </c>
      <c r="DB2204" t="s">
        <v>271</v>
      </c>
      <c r="DC2204" t="s">
        <v>1413</v>
      </c>
      <c r="DD2204" t="s">
        <v>6347</v>
      </c>
      <c r="DE2204" t="s">
        <v>238</v>
      </c>
      <c r="DF2204" t="s">
        <v>239</v>
      </c>
      <c r="DG2204" t="s">
        <v>25694</v>
      </c>
      <c r="DH2204" t="s">
        <v>235</v>
      </c>
      <c r="DI2204" t="s">
        <v>183</v>
      </c>
      <c r="DJ2204" t="s">
        <v>211</v>
      </c>
      <c r="DL2204" t="s">
        <v>271</v>
      </c>
      <c r="DM2204" t="s">
        <v>198</v>
      </c>
      <c r="DN2204" t="s">
        <v>25695</v>
      </c>
      <c r="DO2204" t="s">
        <v>346</v>
      </c>
      <c r="DP2204" t="s">
        <v>347</v>
      </c>
      <c r="DQ2204" t="s">
        <v>25696</v>
      </c>
      <c r="DR2204" t="s">
        <v>235</v>
      </c>
      <c r="DS2204" t="s">
        <v>183</v>
      </c>
      <c r="DT2204" t="s">
        <v>211</v>
      </c>
      <c r="DU2204" t="s">
        <v>298</v>
      </c>
      <c r="DW2204" t="s">
        <v>1622</v>
      </c>
      <c r="EG2204" t="s">
        <v>198</v>
      </c>
      <c r="EQ2204" t="s">
        <v>198</v>
      </c>
      <c r="FA2204" t="s">
        <v>198</v>
      </c>
      <c r="FK2204" t="s">
        <v>198</v>
      </c>
      <c r="FU2204" t="s">
        <v>198</v>
      </c>
    </row>
    <row r="2205" spans="1:177">
      <c r="A2205" s="1" t="str">
        <f>HYPERLINK("http://digipan.lumentumllc.com/apps/getLink/index.php?t=PropLink&amp;p=5244630","PL")</f>
        <v>PL</v>
      </c>
      <c r="B2205" s="1" t="str">
        <f>HYPERLINK("http://digipan.lumentumllc.com/apps/getLink/index.php?t=TaxLink&amp;p=5244630","TL")</f>
        <v>TL</v>
      </c>
      <c r="C2205" s="1" t="str">
        <f>HYPERLINK("http://digipan.lumentumllc.com/apps/getMap/index.php?p=5244630","Map")</f>
        <v>Map</v>
      </c>
      <c r="E2205" t="s">
        <v>177</v>
      </c>
      <c r="F2205" t="s">
        <v>178</v>
      </c>
      <c r="L2205" t="s">
        <v>25697</v>
      </c>
      <c r="N2205" t="s">
        <v>25697</v>
      </c>
      <c r="O2205" t="s">
        <v>25697</v>
      </c>
      <c r="P2205" t="s">
        <v>25698</v>
      </c>
      <c r="Q2205" t="s">
        <v>25697</v>
      </c>
      <c r="V2205">
        <v>2519</v>
      </c>
      <c r="W2205">
        <v>8</v>
      </c>
      <c r="X2205">
        <v>2017</v>
      </c>
      <c r="Y2205">
        <v>2018</v>
      </c>
      <c r="Z2205">
        <v>4083.74</v>
      </c>
      <c r="AB2205" t="s">
        <v>181</v>
      </c>
      <c r="AC2205" t="s">
        <v>182</v>
      </c>
      <c r="AD2205" t="s">
        <v>183</v>
      </c>
      <c r="AE2205">
        <v>1</v>
      </c>
      <c r="AF2205">
        <v>7</v>
      </c>
      <c r="AG2205" t="s">
        <v>418</v>
      </c>
      <c r="AH2205">
        <v>86</v>
      </c>
      <c r="AI2205">
        <v>3777.64</v>
      </c>
      <c r="AJ2205">
        <v>188.88</v>
      </c>
      <c r="AK2205">
        <v>3966.52</v>
      </c>
      <c r="AL2205">
        <v>195308</v>
      </c>
      <c r="AM2205">
        <v>51975</v>
      </c>
      <c r="AN2205">
        <v>143333</v>
      </c>
      <c r="AO2205">
        <v>3468</v>
      </c>
      <c r="AP2205">
        <v>2016</v>
      </c>
      <c r="AQ2205">
        <v>2.09</v>
      </c>
      <c r="AR2205">
        <v>2.0299999999999998</v>
      </c>
      <c r="AS2205" t="s">
        <v>25699</v>
      </c>
      <c r="AT2205" t="s">
        <v>15040</v>
      </c>
      <c r="AU2205" t="s">
        <v>177</v>
      </c>
      <c r="AV2205" t="s">
        <v>371</v>
      </c>
      <c r="AW2205" t="s">
        <v>182</v>
      </c>
      <c r="AX2205">
        <v>1</v>
      </c>
      <c r="AY2205" t="s">
        <v>188</v>
      </c>
      <c r="AZ2205" t="s">
        <v>206</v>
      </c>
      <c r="BA2205" t="s">
        <v>355</v>
      </c>
      <c r="BB2205" t="s">
        <v>191</v>
      </c>
      <c r="BC2205" t="s">
        <v>182</v>
      </c>
      <c r="BD2205" t="s">
        <v>182</v>
      </c>
      <c r="BE2205" t="s">
        <v>3682</v>
      </c>
      <c r="BF2205">
        <v>1</v>
      </c>
      <c r="BG2205">
        <v>1</v>
      </c>
      <c r="BH2205">
        <v>1966</v>
      </c>
      <c r="BI2205" t="s">
        <v>25700</v>
      </c>
      <c r="BJ2205" t="s">
        <v>285</v>
      </c>
      <c r="BK2205" t="s">
        <v>840</v>
      </c>
      <c r="BL2205" t="s">
        <v>199</v>
      </c>
      <c r="BM2205" t="s">
        <v>286</v>
      </c>
      <c r="BN2205" t="s">
        <v>182</v>
      </c>
      <c r="BO2205" t="s">
        <v>198</v>
      </c>
      <c r="BP2205" t="s">
        <v>198</v>
      </c>
      <c r="BQ2205" t="s">
        <v>198</v>
      </c>
      <c r="BR2205" t="s">
        <v>198</v>
      </c>
      <c r="BS2205" t="s">
        <v>198</v>
      </c>
      <c r="BT2205" t="s">
        <v>198</v>
      </c>
      <c r="BU2205" t="s">
        <v>182</v>
      </c>
      <c r="BV2205" t="s">
        <v>198</v>
      </c>
      <c r="BW2205" t="s">
        <v>198</v>
      </c>
      <c r="BX2205" t="s">
        <v>199</v>
      </c>
      <c r="BY2205" t="s">
        <v>198</v>
      </c>
      <c r="BZ2205" t="s">
        <v>199</v>
      </c>
      <c r="CA2205" t="s">
        <v>199</v>
      </c>
      <c r="CB2205" t="s">
        <v>25701</v>
      </c>
      <c r="CC2205" t="s">
        <v>1407</v>
      </c>
      <c r="CD2205" t="s">
        <v>202</v>
      </c>
      <c r="CE2205" t="s">
        <v>25702</v>
      </c>
      <c r="CF2205" t="s">
        <v>25703</v>
      </c>
      <c r="CG2205" t="s">
        <v>18836</v>
      </c>
      <c r="CH2205" t="s">
        <v>25704</v>
      </c>
      <c r="CI2205" t="s">
        <v>25705</v>
      </c>
      <c r="CJ2205" t="s">
        <v>8467</v>
      </c>
      <c r="CK2205" t="s">
        <v>232</v>
      </c>
      <c r="CL2205" t="s">
        <v>233</v>
      </c>
      <c r="CM2205" t="s">
        <v>25706</v>
      </c>
      <c r="CN2205" t="s">
        <v>235</v>
      </c>
      <c r="CO2205" t="s">
        <v>183</v>
      </c>
      <c r="CP2205" t="s">
        <v>266</v>
      </c>
      <c r="CS2205" t="s">
        <v>198</v>
      </c>
      <c r="CT2205" t="s">
        <v>16640</v>
      </c>
      <c r="CU2205" t="s">
        <v>292</v>
      </c>
      <c r="CV2205" t="s">
        <v>293</v>
      </c>
      <c r="CW2205" t="s">
        <v>25707</v>
      </c>
      <c r="CX2205" t="s">
        <v>235</v>
      </c>
      <c r="CY2205" t="s">
        <v>183</v>
      </c>
      <c r="CZ2205" t="s">
        <v>211</v>
      </c>
      <c r="DA2205" t="s">
        <v>345</v>
      </c>
      <c r="DC2205" t="s">
        <v>5480</v>
      </c>
      <c r="DD2205" t="s">
        <v>17506</v>
      </c>
      <c r="DE2205" t="s">
        <v>267</v>
      </c>
      <c r="DF2205" t="s">
        <v>268</v>
      </c>
      <c r="DG2205" t="s">
        <v>25708</v>
      </c>
      <c r="DH2205" t="s">
        <v>235</v>
      </c>
      <c r="DI2205" t="s">
        <v>183</v>
      </c>
      <c r="DJ2205" t="s">
        <v>211</v>
      </c>
      <c r="DK2205" t="s">
        <v>345</v>
      </c>
      <c r="DM2205" t="s">
        <v>2198</v>
      </c>
      <c r="DN2205" t="s">
        <v>25709</v>
      </c>
      <c r="DO2205" t="s">
        <v>273</v>
      </c>
      <c r="DP2205" t="s">
        <v>274</v>
      </c>
      <c r="DQ2205" t="s">
        <v>25710</v>
      </c>
      <c r="DR2205" t="s">
        <v>235</v>
      </c>
      <c r="DS2205" t="s">
        <v>183</v>
      </c>
      <c r="DT2205" t="s">
        <v>211</v>
      </c>
      <c r="DU2205" t="s">
        <v>345</v>
      </c>
      <c r="DW2205" t="s">
        <v>993</v>
      </c>
      <c r="DX2205" t="s">
        <v>16923</v>
      </c>
      <c r="DY2205" t="s">
        <v>302</v>
      </c>
      <c r="DZ2205" t="s">
        <v>303</v>
      </c>
      <c r="EA2205" t="s">
        <v>25711</v>
      </c>
      <c r="EB2205" t="s">
        <v>235</v>
      </c>
      <c r="EC2205" t="s">
        <v>183</v>
      </c>
      <c r="ED2205" t="s">
        <v>211</v>
      </c>
      <c r="EE2205" t="s">
        <v>345</v>
      </c>
      <c r="EG2205" t="s">
        <v>2490</v>
      </c>
      <c r="EH2205" t="s">
        <v>6489</v>
      </c>
      <c r="EI2205" t="s">
        <v>238</v>
      </c>
      <c r="EJ2205" t="s">
        <v>239</v>
      </c>
      <c r="EK2205" t="s">
        <v>25712</v>
      </c>
      <c r="EL2205" t="s">
        <v>235</v>
      </c>
      <c r="EM2205" t="s">
        <v>183</v>
      </c>
      <c r="EN2205" t="s">
        <v>211</v>
      </c>
      <c r="EO2205" t="s">
        <v>345</v>
      </c>
      <c r="EQ2205" t="s">
        <v>6842</v>
      </c>
      <c r="ER2205" t="s">
        <v>25713</v>
      </c>
      <c r="ES2205" t="s">
        <v>346</v>
      </c>
      <c r="ET2205" t="s">
        <v>347</v>
      </c>
      <c r="EU2205" t="s">
        <v>25714</v>
      </c>
      <c r="EV2205" t="s">
        <v>511</v>
      </c>
      <c r="EW2205" t="s">
        <v>183</v>
      </c>
      <c r="EX2205" t="s">
        <v>211</v>
      </c>
      <c r="EY2205" t="s">
        <v>345</v>
      </c>
      <c r="FA2205" t="s">
        <v>2496</v>
      </c>
      <c r="FB2205" t="s">
        <v>20566</v>
      </c>
      <c r="FC2205" t="s">
        <v>207</v>
      </c>
      <c r="FD2205" t="s">
        <v>208</v>
      </c>
      <c r="FE2205" t="s">
        <v>25715</v>
      </c>
      <c r="FF2205" t="s">
        <v>235</v>
      </c>
      <c r="FG2205" t="s">
        <v>183</v>
      </c>
      <c r="FH2205" t="s">
        <v>211</v>
      </c>
      <c r="FI2205" t="s">
        <v>345</v>
      </c>
      <c r="FK2205" t="s">
        <v>2534</v>
      </c>
      <c r="FU2205" t="s">
        <v>198</v>
      </c>
    </row>
    <row r="2206" spans="1:177">
      <c r="A2206" s="1" t="str">
        <f>HYPERLINK("http://digipan.lumentumllc.com/apps/getLink/index.php?t=PropLink&amp;p=15734758","PL")</f>
        <v>PL</v>
      </c>
      <c r="B2206" s="1" t="str">
        <f>HYPERLINK("http://digipan.lumentumllc.com/apps/getLink/index.php?t=TaxLink&amp;p=15734758","TL")</f>
        <v>TL</v>
      </c>
      <c r="C2206" s="1" t="str">
        <f>HYPERLINK("http://digipan.lumentumllc.com/apps/getMap/index.php?p=15734758","Map")</f>
        <v>Map</v>
      </c>
      <c r="E2206" t="s">
        <v>177</v>
      </c>
      <c r="F2206" t="s">
        <v>178</v>
      </c>
      <c r="L2206" t="s">
        <v>25716</v>
      </c>
      <c r="N2206" t="s">
        <v>25716</v>
      </c>
      <c r="O2206" t="s">
        <v>25716</v>
      </c>
      <c r="Q2206" t="s">
        <v>25716</v>
      </c>
      <c r="V2206">
        <v>2520</v>
      </c>
      <c r="W2206">
        <v>8</v>
      </c>
      <c r="X2206">
        <v>2017</v>
      </c>
      <c r="Y2206">
        <v>2018</v>
      </c>
      <c r="Z2206">
        <v>1942.33</v>
      </c>
      <c r="AG2206" t="s">
        <v>184</v>
      </c>
      <c r="AH2206">
        <v>0</v>
      </c>
      <c r="AK2206">
        <v>0</v>
      </c>
      <c r="AL2206">
        <v>96224</v>
      </c>
      <c r="AM2206">
        <v>24750</v>
      </c>
      <c r="AN2206">
        <v>71474</v>
      </c>
      <c r="AO2206">
        <v>1635</v>
      </c>
      <c r="AP2206">
        <v>2016</v>
      </c>
      <c r="AQ2206">
        <v>2.02</v>
      </c>
      <c r="AS2206" t="s">
        <v>25717</v>
      </c>
      <c r="AT2206" t="s">
        <v>15040</v>
      </c>
      <c r="AU2206" t="s">
        <v>177</v>
      </c>
      <c r="AV2206" t="s">
        <v>371</v>
      </c>
      <c r="AW2206" t="s">
        <v>182</v>
      </c>
      <c r="AX2206">
        <v>8</v>
      </c>
      <c r="AY2206" t="s">
        <v>188</v>
      </c>
      <c r="AZ2206" t="s">
        <v>329</v>
      </c>
      <c r="BA2206" t="s">
        <v>6773</v>
      </c>
      <c r="BB2206" t="s">
        <v>191</v>
      </c>
      <c r="BC2206" t="s">
        <v>182</v>
      </c>
      <c r="BD2206" t="s">
        <v>182</v>
      </c>
      <c r="BE2206" t="s">
        <v>3930</v>
      </c>
      <c r="BF2206">
        <v>1</v>
      </c>
      <c r="BG2206">
        <v>1</v>
      </c>
      <c r="BH2206">
        <v>1952</v>
      </c>
      <c r="BI2206" t="s">
        <v>15337</v>
      </c>
      <c r="BJ2206" t="s">
        <v>285</v>
      </c>
      <c r="BK2206" t="s">
        <v>195</v>
      </c>
      <c r="BL2206" t="s">
        <v>199</v>
      </c>
      <c r="BM2206" t="s">
        <v>197</v>
      </c>
      <c r="BN2206" t="s">
        <v>182</v>
      </c>
      <c r="BO2206" t="s">
        <v>25718</v>
      </c>
      <c r="BP2206" t="s">
        <v>9234</v>
      </c>
      <c r="BQ2206" t="s">
        <v>904</v>
      </c>
      <c r="BR2206" t="s">
        <v>9589</v>
      </c>
      <c r="BS2206" t="s">
        <v>198</v>
      </c>
      <c r="BT2206" t="s">
        <v>228</v>
      </c>
      <c r="BU2206" t="s">
        <v>182</v>
      </c>
      <c r="BV2206" t="s">
        <v>198</v>
      </c>
      <c r="BW2206" t="s">
        <v>198</v>
      </c>
      <c r="BX2206" t="s">
        <v>199</v>
      </c>
      <c r="BY2206" t="s">
        <v>198</v>
      </c>
      <c r="BZ2206" t="s">
        <v>199</v>
      </c>
      <c r="CA2206" t="s">
        <v>199</v>
      </c>
      <c r="CB2206" t="s">
        <v>25719</v>
      </c>
      <c r="CC2206" t="s">
        <v>201</v>
      </c>
      <c r="CD2206" t="s">
        <v>202</v>
      </c>
      <c r="CE2206" t="s">
        <v>25060</v>
      </c>
      <c r="CF2206" t="s">
        <v>5331</v>
      </c>
      <c r="CG2206" t="s">
        <v>177</v>
      </c>
      <c r="CH2206" t="s">
        <v>371</v>
      </c>
      <c r="CI2206" t="s">
        <v>25720</v>
      </c>
      <c r="CS2206" t="s">
        <v>198</v>
      </c>
      <c r="DC2206" t="s">
        <v>198</v>
      </c>
      <c r="DM2206" t="s">
        <v>198</v>
      </c>
      <c r="DW2206" t="s">
        <v>198</v>
      </c>
      <c r="EG2206" t="s">
        <v>198</v>
      </c>
      <c r="EQ2206" t="s">
        <v>198</v>
      </c>
      <c r="FA2206" t="s">
        <v>198</v>
      </c>
      <c r="FK2206" t="s">
        <v>198</v>
      </c>
      <c r="FU2206" t="s">
        <v>198</v>
      </c>
    </row>
    <row r="2207" spans="1:177">
      <c r="A2207" s="1" t="str">
        <f>HYPERLINK("http://digipan.lumentumllc.com/apps/getLink/index.php?t=PropLink&amp;p=15734766","PL")</f>
        <v>PL</v>
      </c>
      <c r="B2207" s="1" t="str">
        <f>HYPERLINK("http://digipan.lumentumllc.com/apps/getLink/index.php?t=TaxLink&amp;p=15734766","TL")</f>
        <v>TL</v>
      </c>
      <c r="C2207" s="1" t="str">
        <f>HYPERLINK("http://digipan.lumentumllc.com/apps/getMap/index.php?p=15734766","Map")</f>
        <v>Map</v>
      </c>
      <c r="E2207" t="s">
        <v>177</v>
      </c>
      <c r="F2207" t="s">
        <v>178</v>
      </c>
      <c r="L2207" t="s">
        <v>25721</v>
      </c>
      <c r="N2207" t="s">
        <v>25721</v>
      </c>
      <c r="O2207" t="s">
        <v>25721</v>
      </c>
      <c r="Q2207" t="s">
        <v>25721</v>
      </c>
      <c r="V2207">
        <v>2521</v>
      </c>
      <c r="W2207">
        <v>8</v>
      </c>
      <c r="X2207">
        <v>2017</v>
      </c>
      <c r="Y2207">
        <v>2018</v>
      </c>
      <c r="Z2207">
        <v>252.16</v>
      </c>
      <c r="AB2207" t="s">
        <v>181</v>
      </c>
      <c r="AC2207" t="s">
        <v>182</v>
      </c>
      <c r="AD2207" t="s">
        <v>183</v>
      </c>
      <c r="AE2207">
        <v>0</v>
      </c>
      <c r="AF2207">
        <v>1</v>
      </c>
      <c r="AG2207" t="s">
        <v>821</v>
      </c>
      <c r="AH2207">
        <v>100</v>
      </c>
      <c r="AK2207">
        <v>0</v>
      </c>
      <c r="AL2207">
        <v>10214</v>
      </c>
      <c r="AM2207">
        <v>10214</v>
      </c>
      <c r="AN2207">
        <v>0</v>
      </c>
      <c r="AO2207">
        <v>188</v>
      </c>
      <c r="AP2207">
        <v>2016</v>
      </c>
      <c r="AQ2207">
        <v>2.4700000000000002</v>
      </c>
      <c r="AS2207" t="s">
        <v>25722</v>
      </c>
      <c r="AT2207" t="s">
        <v>15040</v>
      </c>
      <c r="AU2207" t="s">
        <v>177</v>
      </c>
      <c r="AV2207" t="s">
        <v>371</v>
      </c>
      <c r="AW2207" t="s">
        <v>182</v>
      </c>
      <c r="AX2207">
        <v>10</v>
      </c>
      <c r="AY2207" t="s">
        <v>3211</v>
      </c>
      <c r="AZ2207" t="s">
        <v>270</v>
      </c>
      <c r="BA2207" t="s">
        <v>3212</v>
      </c>
      <c r="BB2207" t="s">
        <v>191</v>
      </c>
      <c r="BC2207" t="s">
        <v>182</v>
      </c>
      <c r="BD2207" t="s">
        <v>182</v>
      </c>
      <c r="BE2207" t="s">
        <v>11838</v>
      </c>
      <c r="BF2207">
        <v>0</v>
      </c>
      <c r="BG2207">
        <v>0</v>
      </c>
      <c r="BH2207">
        <v>0</v>
      </c>
      <c r="BI2207" t="s">
        <v>199</v>
      </c>
      <c r="BJ2207" t="s">
        <v>248</v>
      </c>
      <c r="BL2207" t="s">
        <v>199</v>
      </c>
      <c r="BM2207" t="s">
        <v>358</v>
      </c>
      <c r="BN2207" t="s">
        <v>182</v>
      </c>
      <c r="BO2207" t="s">
        <v>198</v>
      </c>
      <c r="BP2207" t="s">
        <v>198</v>
      </c>
      <c r="BQ2207" t="s">
        <v>198</v>
      </c>
      <c r="BR2207" t="s">
        <v>198</v>
      </c>
      <c r="BS2207" t="s">
        <v>198</v>
      </c>
      <c r="BT2207" t="s">
        <v>198</v>
      </c>
      <c r="BU2207" t="s">
        <v>182</v>
      </c>
      <c r="BV2207" t="s">
        <v>198</v>
      </c>
      <c r="BW2207" t="s">
        <v>198</v>
      </c>
      <c r="BX2207" t="s">
        <v>199</v>
      </c>
      <c r="BY2207" t="s">
        <v>198</v>
      </c>
      <c r="BZ2207" t="s">
        <v>199</v>
      </c>
      <c r="CA2207" t="s">
        <v>199</v>
      </c>
      <c r="CB2207" t="s">
        <v>25723</v>
      </c>
      <c r="CC2207" t="s">
        <v>201</v>
      </c>
      <c r="CD2207" t="s">
        <v>202</v>
      </c>
      <c r="CE2207" t="s">
        <v>25724</v>
      </c>
      <c r="CF2207" t="s">
        <v>25725</v>
      </c>
      <c r="CG2207" t="s">
        <v>177</v>
      </c>
      <c r="CH2207" t="s">
        <v>25726</v>
      </c>
      <c r="CI2207" t="s">
        <v>25727</v>
      </c>
      <c r="CJ2207" t="s">
        <v>16781</v>
      </c>
      <c r="CK2207" t="s">
        <v>232</v>
      </c>
      <c r="CL2207" t="s">
        <v>233</v>
      </c>
      <c r="CM2207" t="s">
        <v>25728</v>
      </c>
      <c r="CN2207" t="s">
        <v>1164</v>
      </c>
      <c r="CO2207" t="s">
        <v>183</v>
      </c>
      <c r="CP2207" t="s">
        <v>211</v>
      </c>
      <c r="CQ2207" t="s">
        <v>199</v>
      </c>
      <c r="CS2207" t="s">
        <v>2774</v>
      </c>
      <c r="DC2207" t="s">
        <v>198</v>
      </c>
      <c r="DM2207" t="s">
        <v>198</v>
      </c>
      <c r="DW2207" t="s">
        <v>198</v>
      </c>
      <c r="EG2207" t="s">
        <v>198</v>
      </c>
      <c r="EQ2207" t="s">
        <v>198</v>
      </c>
      <c r="FA2207" t="s">
        <v>198</v>
      </c>
      <c r="FK2207" t="s">
        <v>198</v>
      </c>
      <c r="FU2207" t="s">
        <v>198</v>
      </c>
    </row>
    <row r="2208" spans="1:177">
      <c r="A2208" s="1" t="str">
        <f>HYPERLINK("http://digipan.lumentumllc.com/apps/getLink/index.php?t=PropLink&amp;p=5244647","PL")</f>
        <v>PL</v>
      </c>
      <c r="B2208" s="1" t="str">
        <f>HYPERLINK("http://digipan.lumentumllc.com/apps/getLink/index.php?t=TaxLink&amp;p=5244647","TL")</f>
        <v>TL</v>
      </c>
      <c r="C2208" s="1" t="str">
        <f>HYPERLINK("http://digipan.lumentumllc.com/apps/getMap/index.php?p=5244647","Map")</f>
        <v>Map</v>
      </c>
      <c r="E2208" t="s">
        <v>177</v>
      </c>
      <c r="F2208" t="s">
        <v>178</v>
      </c>
      <c r="L2208" t="s">
        <v>25729</v>
      </c>
      <c r="N2208" t="s">
        <v>25729</v>
      </c>
      <c r="O2208" t="s">
        <v>25729</v>
      </c>
      <c r="P2208" t="s">
        <v>25730</v>
      </c>
      <c r="Q2208" t="s">
        <v>25729</v>
      </c>
      <c r="V2208">
        <v>2523</v>
      </c>
      <c r="W2208">
        <v>8</v>
      </c>
      <c r="X2208">
        <v>2017</v>
      </c>
      <c r="Y2208">
        <v>2018</v>
      </c>
      <c r="Z2208">
        <v>469.91</v>
      </c>
      <c r="AB2208" t="s">
        <v>181</v>
      </c>
      <c r="AC2208" t="s">
        <v>182</v>
      </c>
      <c r="AD2208" t="s">
        <v>183</v>
      </c>
      <c r="AE2208">
        <v>0</v>
      </c>
      <c r="AF2208">
        <v>2</v>
      </c>
      <c r="AG2208" t="s">
        <v>821</v>
      </c>
      <c r="AH2208">
        <v>100</v>
      </c>
      <c r="AK2208">
        <v>0</v>
      </c>
      <c r="AL2208">
        <v>20316</v>
      </c>
      <c r="AM2208">
        <v>20316</v>
      </c>
      <c r="AN2208">
        <v>0</v>
      </c>
      <c r="AO2208">
        <v>0</v>
      </c>
      <c r="AP2208">
        <v>0</v>
      </c>
      <c r="AQ2208">
        <v>2.31</v>
      </c>
      <c r="AS2208" t="s">
        <v>25676</v>
      </c>
      <c r="AT2208" t="s">
        <v>15040</v>
      </c>
      <c r="AU2208" t="s">
        <v>177</v>
      </c>
      <c r="AV2208" t="s">
        <v>371</v>
      </c>
      <c r="AW2208" t="s">
        <v>182</v>
      </c>
      <c r="AX2208">
        <v>0</v>
      </c>
      <c r="AY2208" t="s">
        <v>312</v>
      </c>
      <c r="AZ2208" t="s">
        <v>199</v>
      </c>
      <c r="BA2208" t="s">
        <v>313</v>
      </c>
      <c r="BB2208" t="s">
        <v>191</v>
      </c>
      <c r="BC2208" t="s">
        <v>182</v>
      </c>
      <c r="BD2208" t="s">
        <v>182</v>
      </c>
      <c r="BE2208" t="s">
        <v>3907</v>
      </c>
      <c r="BF2208">
        <v>0</v>
      </c>
      <c r="BG2208">
        <v>0</v>
      </c>
      <c r="BH2208">
        <v>0</v>
      </c>
      <c r="BI2208" t="s">
        <v>199</v>
      </c>
      <c r="BJ2208" t="s">
        <v>248</v>
      </c>
      <c r="BL2208" t="s">
        <v>199</v>
      </c>
      <c r="BM2208" t="s">
        <v>358</v>
      </c>
      <c r="BN2208" t="s">
        <v>182</v>
      </c>
      <c r="BO2208" t="s">
        <v>198</v>
      </c>
      <c r="BP2208" t="s">
        <v>198</v>
      </c>
      <c r="BQ2208" t="s">
        <v>198</v>
      </c>
      <c r="BR2208" t="s">
        <v>198</v>
      </c>
      <c r="BS2208" t="s">
        <v>198</v>
      </c>
      <c r="BT2208" t="s">
        <v>198</v>
      </c>
      <c r="BU2208" t="s">
        <v>182</v>
      </c>
      <c r="BV2208" t="s">
        <v>198</v>
      </c>
      <c r="BW2208" t="s">
        <v>198</v>
      </c>
      <c r="BX2208" t="s">
        <v>199</v>
      </c>
      <c r="BY2208" t="s">
        <v>198</v>
      </c>
      <c r="BZ2208" t="s">
        <v>199</v>
      </c>
      <c r="CA2208" t="s">
        <v>199</v>
      </c>
      <c r="CB2208" t="s">
        <v>25731</v>
      </c>
      <c r="CC2208" t="s">
        <v>201</v>
      </c>
      <c r="CD2208" t="s">
        <v>202</v>
      </c>
      <c r="CE2208" t="s">
        <v>25732</v>
      </c>
      <c r="CF2208" t="s">
        <v>5331</v>
      </c>
      <c r="CG2208" t="s">
        <v>177</v>
      </c>
      <c r="CH2208" t="s">
        <v>371</v>
      </c>
      <c r="CI2208" t="s">
        <v>25733</v>
      </c>
      <c r="CJ2208" t="s">
        <v>25734</v>
      </c>
      <c r="CK2208" t="s">
        <v>346</v>
      </c>
      <c r="CL2208" t="s">
        <v>347</v>
      </c>
      <c r="CM2208" t="s">
        <v>25735</v>
      </c>
      <c r="CN2208" t="s">
        <v>247</v>
      </c>
      <c r="CO2208" t="s">
        <v>183</v>
      </c>
      <c r="CP2208" t="s">
        <v>211</v>
      </c>
      <c r="CQ2208" t="s">
        <v>298</v>
      </c>
      <c r="CS2208" t="s">
        <v>443</v>
      </c>
      <c r="CT2208" t="s">
        <v>25346</v>
      </c>
      <c r="CU2208" t="s">
        <v>207</v>
      </c>
      <c r="CV2208" t="s">
        <v>208</v>
      </c>
      <c r="CW2208" t="s">
        <v>25736</v>
      </c>
      <c r="CX2208" t="s">
        <v>927</v>
      </c>
      <c r="CY2208" t="s">
        <v>183</v>
      </c>
      <c r="CZ2208" t="s">
        <v>211</v>
      </c>
      <c r="DA2208" t="s">
        <v>342</v>
      </c>
      <c r="DC2208" t="s">
        <v>6588</v>
      </c>
      <c r="DM2208" t="s">
        <v>198</v>
      </c>
      <c r="DW2208" t="s">
        <v>198</v>
      </c>
      <c r="EG2208" t="s">
        <v>198</v>
      </c>
      <c r="EQ2208" t="s">
        <v>198</v>
      </c>
      <c r="FA2208" t="s">
        <v>198</v>
      </c>
      <c r="FK2208" t="s">
        <v>198</v>
      </c>
      <c r="FU2208" t="s">
        <v>198</v>
      </c>
    </row>
    <row r="2209" spans="1:177">
      <c r="A2209" s="1" t="str">
        <f>HYPERLINK("http://digipan.lumentumllc.com/apps/getLink/index.php?t=PropLink&amp;p=5244652","PL")</f>
        <v>PL</v>
      </c>
      <c r="B2209" s="1" t="str">
        <f>HYPERLINK("http://digipan.lumentumllc.com/apps/getLink/index.php?t=TaxLink&amp;p=5244652","TL")</f>
        <v>TL</v>
      </c>
      <c r="C2209" s="1" t="str">
        <f>HYPERLINK("http://digipan.lumentumllc.com/apps/getMap/index.php?p=5244652","Map")</f>
        <v>Map</v>
      </c>
      <c r="E2209" t="s">
        <v>177</v>
      </c>
      <c r="F2209" t="s">
        <v>178</v>
      </c>
      <c r="L2209" t="s">
        <v>25737</v>
      </c>
      <c r="N2209" t="s">
        <v>25737</v>
      </c>
      <c r="O2209" t="s">
        <v>25737</v>
      </c>
      <c r="P2209" t="s">
        <v>25738</v>
      </c>
      <c r="Q2209" t="s">
        <v>25737</v>
      </c>
      <c r="V2209">
        <v>2524</v>
      </c>
      <c r="W2209">
        <v>8</v>
      </c>
      <c r="X2209">
        <v>2017</v>
      </c>
      <c r="Y2209">
        <v>2018</v>
      </c>
      <c r="Z2209">
        <v>2818.35</v>
      </c>
      <c r="AB2209" t="s">
        <v>181</v>
      </c>
      <c r="AC2209" t="s">
        <v>182</v>
      </c>
      <c r="AD2209" t="s">
        <v>183</v>
      </c>
      <c r="AE2209">
        <v>1</v>
      </c>
      <c r="AF2209">
        <v>7</v>
      </c>
      <c r="AG2209" t="s">
        <v>418</v>
      </c>
      <c r="AH2209">
        <v>86</v>
      </c>
      <c r="AI2209">
        <v>2607.86</v>
      </c>
      <c r="AJ2209">
        <v>130.38999999999999</v>
      </c>
      <c r="AK2209">
        <v>2738.25</v>
      </c>
      <c r="AL2209">
        <v>129266</v>
      </c>
      <c r="AM2209">
        <v>42075</v>
      </c>
      <c r="AN2209">
        <v>87191</v>
      </c>
      <c r="AO2209">
        <v>2386</v>
      </c>
      <c r="AP2209">
        <v>2016</v>
      </c>
      <c r="AQ2209">
        <v>2.1800000000000002</v>
      </c>
      <c r="AR2209">
        <v>2.12</v>
      </c>
      <c r="AS2209" t="s">
        <v>25739</v>
      </c>
      <c r="AT2209" t="s">
        <v>15040</v>
      </c>
      <c r="AU2209" t="s">
        <v>177</v>
      </c>
      <c r="AV2209" t="s">
        <v>371</v>
      </c>
      <c r="AW2209" t="s">
        <v>182</v>
      </c>
      <c r="AX2209">
        <v>1</v>
      </c>
      <c r="AY2209" t="s">
        <v>188</v>
      </c>
      <c r="AZ2209" t="s">
        <v>206</v>
      </c>
      <c r="BA2209" t="s">
        <v>355</v>
      </c>
      <c r="BB2209" t="s">
        <v>191</v>
      </c>
      <c r="BC2209" t="s">
        <v>182</v>
      </c>
      <c r="BD2209" t="s">
        <v>182</v>
      </c>
      <c r="BE2209" t="s">
        <v>3682</v>
      </c>
      <c r="BF2209">
        <v>1</v>
      </c>
      <c r="BG2209">
        <v>1</v>
      </c>
      <c r="BH2209">
        <v>1960</v>
      </c>
      <c r="BI2209" t="s">
        <v>24589</v>
      </c>
      <c r="BJ2209" t="s">
        <v>194</v>
      </c>
      <c r="BL2209" t="s">
        <v>2191</v>
      </c>
      <c r="BM2209" t="s">
        <v>501</v>
      </c>
      <c r="BN2209" t="s">
        <v>182</v>
      </c>
      <c r="BO2209" t="s">
        <v>198</v>
      </c>
      <c r="BP2209" t="s">
        <v>198</v>
      </c>
      <c r="BQ2209" t="s">
        <v>198</v>
      </c>
      <c r="BR2209" t="s">
        <v>198</v>
      </c>
      <c r="BS2209" t="s">
        <v>198</v>
      </c>
      <c r="BT2209" t="s">
        <v>198</v>
      </c>
      <c r="BU2209" t="s">
        <v>182</v>
      </c>
      <c r="BV2209" t="s">
        <v>198</v>
      </c>
      <c r="BW2209" t="s">
        <v>198</v>
      </c>
      <c r="BX2209" t="s">
        <v>199</v>
      </c>
      <c r="BY2209" t="s">
        <v>198</v>
      </c>
      <c r="BZ2209" t="s">
        <v>199</v>
      </c>
      <c r="CA2209" t="s">
        <v>199</v>
      </c>
      <c r="CB2209" t="s">
        <v>25740</v>
      </c>
      <c r="CC2209" t="s">
        <v>201</v>
      </c>
      <c r="CD2209" t="s">
        <v>182</v>
      </c>
      <c r="CE2209" t="s">
        <v>25741</v>
      </c>
      <c r="CF2209" t="s">
        <v>25742</v>
      </c>
      <c r="CG2209" t="s">
        <v>177</v>
      </c>
      <c r="CH2209" t="s">
        <v>25743</v>
      </c>
      <c r="CI2209" t="s">
        <v>25744</v>
      </c>
      <c r="CJ2209" t="s">
        <v>16816</v>
      </c>
      <c r="CK2209" t="s">
        <v>232</v>
      </c>
      <c r="CL2209" t="s">
        <v>233</v>
      </c>
      <c r="CM2209" t="s">
        <v>25745</v>
      </c>
      <c r="CN2209" t="s">
        <v>235</v>
      </c>
      <c r="CO2209" t="s">
        <v>183</v>
      </c>
      <c r="CP2209" t="s">
        <v>266</v>
      </c>
      <c r="CS2209" t="s">
        <v>198</v>
      </c>
      <c r="CT2209" t="s">
        <v>21998</v>
      </c>
      <c r="CU2209" t="s">
        <v>292</v>
      </c>
      <c r="CV2209" t="s">
        <v>293</v>
      </c>
      <c r="CW2209" t="s">
        <v>25746</v>
      </c>
      <c r="CX2209" t="s">
        <v>235</v>
      </c>
      <c r="CY2209" t="s">
        <v>183</v>
      </c>
      <c r="CZ2209" t="s">
        <v>211</v>
      </c>
      <c r="DA2209" t="s">
        <v>298</v>
      </c>
      <c r="DC2209" t="s">
        <v>5771</v>
      </c>
      <c r="DD2209" t="s">
        <v>17617</v>
      </c>
      <c r="DE2209" t="s">
        <v>267</v>
      </c>
      <c r="DF2209" t="s">
        <v>268</v>
      </c>
      <c r="DG2209" t="s">
        <v>25747</v>
      </c>
      <c r="DH2209" t="s">
        <v>235</v>
      </c>
      <c r="DI2209" t="s">
        <v>183</v>
      </c>
      <c r="DJ2209" t="s">
        <v>211</v>
      </c>
      <c r="DK2209" t="s">
        <v>342</v>
      </c>
      <c r="DM2209" t="s">
        <v>7476</v>
      </c>
      <c r="DN2209" t="s">
        <v>19749</v>
      </c>
      <c r="DO2209" t="s">
        <v>273</v>
      </c>
      <c r="DP2209" t="s">
        <v>274</v>
      </c>
      <c r="DQ2209" t="s">
        <v>25748</v>
      </c>
      <c r="DR2209" t="s">
        <v>235</v>
      </c>
      <c r="DS2209" t="s">
        <v>183</v>
      </c>
      <c r="DT2209" t="s">
        <v>211</v>
      </c>
      <c r="DU2209" t="s">
        <v>290</v>
      </c>
      <c r="DW2209" t="s">
        <v>7807</v>
      </c>
      <c r="DX2209" t="s">
        <v>17042</v>
      </c>
      <c r="DY2209" t="s">
        <v>302</v>
      </c>
      <c r="DZ2209" t="s">
        <v>303</v>
      </c>
      <c r="EA2209" t="s">
        <v>25749</v>
      </c>
      <c r="EB2209" t="s">
        <v>235</v>
      </c>
      <c r="EC2209" t="s">
        <v>183</v>
      </c>
      <c r="ED2209" t="s">
        <v>211</v>
      </c>
      <c r="EE2209" t="s">
        <v>523</v>
      </c>
      <c r="EG2209" t="s">
        <v>7807</v>
      </c>
      <c r="EH2209" t="s">
        <v>7127</v>
      </c>
      <c r="EI2209" t="s">
        <v>238</v>
      </c>
      <c r="EJ2209" t="s">
        <v>239</v>
      </c>
      <c r="EK2209" t="s">
        <v>25750</v>
      </c>
      <c r="EL2209" t="s">
        <v>235</v>
      </c>
      <c r="EM2209" t="s">
        <v>183</v>
      </c>
      <c r="EN2209" t="s">
        <v>211</v>
      </c>
      <c r="EO2209" t="s">
        <v>523</v>
      </c>
      <c r="EQ2209" t="s">
        <v>25751</v>
      </c>
      <c r="ER2209" t="s">
        <v>25752</v>
      </c>
      <c r="ES2209" t="s">
        <v>346</v>
      </c>
      <c r="ET2209" t="s">
        <v>347</v>
      </c>
      <c r="EU2209" t="s">
        <v>25753</v>
      </c>
      <c r="EV2209" t="s">
        <v>1164</v>
      </c>
      <c r="EW2209" t="s">
        <v>183</v>
      </c>
      <c r="EX2209" t="s">
        <v>211</v>
      </c>
      <c r="EY2209" t="s">
        <v>345</v>
      </c>
      <c r="FA2209" t="s">
        <v>5179</v>
      </c>
      <c r="FB2209" t="s">
        <v>25378</v>
      </c>
      <c r="FC2209" t="s">
        <v>207</v>
      </c>
      <c r="FD2209" t="s">
        <v>208</v>
      </c>
      <c r="FE2209" t="s">
        <v>25754</v>
      </c>
      <c r="FF2209" t="s">
        <v>816</v>
      </c>
      <c r="FG2209" t="s">
        <v>183</v>
      </c>
      <c r="FH2209" t="s">
        <v>211</v>
      </c>
      <c r="FI2209" t="s">
        <v>345</v>
      </c>
      <c r="FK2209" t="s">
        <v>3169</v>
      </c>
      <c r="FU2209" t="s">
        <v>198</v>
      </c>
    </row>
    <row r="2210" spans="1:177">
      <c r="A2210" s="1" t="str">
        <f>HYPERLINK("http://digipan.lumentumllc.com/apps/getLink/index.php?t=PropLink&amp;p=6461714","PL")</f>
        <v>PL</v>
      </c>
      <c r="B2210" s="1" t="str">
        <f>HYPERLINK("http://digipan.lumentumllc.com/apps/getLink/index.php?t=TaxLink&amp;p=6461714","TL")</f>
        <v>TL</v>
      </c>
      <c r="C2210" s="1" t="str">
        <f>HYPERLINK("http://digipan.lumentumllc.com/apps/getMap/index.php?p=6461714","Map")</f>
        <v>Map</v>
      </c>
      <c r="E2210" t="s">
        <v>177</v>
      </c>
      <c r="F2210" t="s">
        <v>178</v>
      </c>
      <c r="L2210" t="s">
        <v>25755</v>
      </c>
      <c r="N2210" t="s">
        <v>25755</v>
      </c>
      <c r="O2210" t="s">
        <v>25755</v>
      </c>
      <c r="P2210" t="s">
        <v>25756</v>
      </c>
      <c r="Q2210" t="s">
        <v>25755</v>
      </c>
      <c r="V2210">
        <v>2526</v>
      </c>
      <c r="W2210">
        <v>8</v>
      </c>
      <c r="X2210">
        <v>2017</v>
      </c>
      <c r="Y2210">
        <v>2018</v>
      </c>
      <c r="Z2210">
        <v>2234.52</v>
      </c>
      <c r="AB2210" t="s">
        <v>181</v>
      </c>
      <c r="AC2210" t="s">
        <v>182</v>
      </c>
      <c r="AD2210" t="s">
        <v>183</v>
      </c>
      <c r="AE2210">
        <v>1</v>
      </c>
      <c r="AF2210">
        <v>3</v>
      </c>
      <c r="AG2210" t="s">
        <v>257</v>
      </c>
      <c r="AH2210">
        <v>75</v>
      </c>
      <c r="AI2210">
        <v>1958.17</v>
      </c>
      <c r="AJ2210">
        <v>97.91</v>
      </c>
      <c r="AK2210">
        <v>2056.08</v>
      </c>
      <c r="AL2210">
        <v>102181</v>
      </c>
      <c r="AM2210">
        <v>38981</v>
      </c>
      <c r="AN2210">
        <v>63200</v>
      </c>
      <c r="AO2210">
        <v>1786</v>
      </c>
      <c r="AP2210">
        <v>2016</v>
      </c>
      <c r="AQ2210">
        <v>2.19</v>
      </c>
      <c r="AR2210">
        <v>2.0099999999999998</v>
      </c>
      <c r="AS2210" t="s">
        <v>25757</v>
      </c>
      <c r="AT2210" t="s">
        <v>15040</v>
      </c>
      <c r="AU2210" t="s">
        <v>177</v>
      </c>
      <c r="AV2210" t="s">
        <v>371</v>
      </c>
      <c r="AW2210" t="s">
        <v>182</v>
      </c>
      <c r="AX2210">
        <v>1</v>
      </c>
      <c r="AY2210" t="s">
        <v>188</v>
      </c>
      <c r="AZ2210" t="s">
        <v>206</v>
      </c>
      <c r="BA2210" t="s">
        <v>355</v>
      </c>
      <c r="BB2210" t="s">
        <v>191</v>
      </c>
      <c r="BC2210" t="s">
        <v>182</v>
      </c>
      <c r="BD2210" t="s">
        <v>182</v>
      </c>
      <c r="BE2210" t="s">
        <v>6986</v>
      </c>
      <c r="BF2210">
        <v>1</v>
      </c>
      <c r="BG2210">
        <v>1</v>
      </c>
      <c r="BH2210">
        <v>1986</v>
      </c>
      <c r="BI2210" t="s">
        <v>1530</v>
      </c>
      <c r="BJ2210" t="s">
        <v>285</v>
      </c>
      <c r="BK2210" t="s">
        <v>195</v>
      </c>
      <c r="BL2210" t="s">
        <v>25758</v>
      </c>
      <c r="BM2210" t="s">
        <v>232</v>
      </c>
      <c r="BN2210" t="s">
        <v>182</v>
      </c>
      <c r="BO2210" t="s">
        <v>1855</v>
      </c>
      <c r="BP2210" t="s">
        <v>25759</v>
      </c>
      <c r="BQ2210" t="s">
        <v>800</v>
      </c>
      <c r="BR2210" t="s">
        <v>563</v>
      </c>
      <c r="BS2210" t="s">
        <v>198</v>
      </c>
      <c r="BT2210" t="s">
        <v>7436</v>
      </c>
      <c r="BU2210" t="s">
        <v>182</v>
      </c>
      <c r="BV2210" t="s">
        <v>198</v>
      </c>
      <c r="BW2210" t="s">
        <v>198</v>
      </c>
      <c r="BX2210" t="s">
        <v>199</v>
      </c>
      <c r="BY2210" t="s">
        <v>198</v>
      </c>
      <c r="BZ2210" t="s">
        <v>199</v>
      </c>
      <c r="CA2210" t="s">
        <v>199</v>
      </c>
      <c r="CB2210" t="s">
        <v>25760</v>
      </c>
      <c r="CC2210" t="s">
        <v>1407</v>
      </c>
      <c r="CD2210" t="s">
        <v>202</v>
      </c>
      <c r="CE2210" t="s">
        <v>25761</v>
      </c>
      <c r="CF2210" t="s">
        <v>25762</v>
      </c>
      <c r="CG2210" t="s">
        <v>177</v>
      </c>
      <c r="CH2210" t="s">
        <v>25763</v>
      </c>
      <c r="CI2210" t="s">
        <v>25764</v>
      </c>
      <c r="CJ2210" t="s">
        <v>10383</v>
      </c>
      <c r="CK2210" t="s">
        <v>232</v>
      </c>
      <c r="CL2210" t="s">
        <v>233</v>
      </c>
      <c r="CM2210" t="s">
        <v>25765</v>
      </c>
      <c r="CN2210" t="s">
        <v>235</v>
      </c>
      <c r="CO2210" t="s">
        <v>183</v>
      </c>
      <c r="CP2210" t="s">
        <v>266</v>
      </c>
      <c r="CS2210" t="s">
        <v>198</v>
      </c>
      <c r="CT2210" t="s">
        <v>18804</v>
      </c>
      <c r="CU2210" t="s">
        <v>267</v>
      </c>
      <c r="CV2210" t="s">
        <v>268</v>
      </c>
      <c r="CW2210" t="s">
        <v>25766</v>
      </c>
      <c r="CX2210" t="s">
        <v>235</v>
      </c>
      <c r="CY2210" t="s">
        <v>183</v>
      </c>
      <c r="CZ2210" t="s">
        <v>211</v>
      </c>
      <c r="DA2210" t="s">
        <v>264</v>
      </c>
      <c r="DC2210" t="s">
        <v>25767</v>
      </c>
      <c r="DD2210" t="s">
        <v>14599</v>
      </c>
      <c r="DE2210" t="s">
        <v>273</v>
      </c>
      <c r="DF2210" t="s">
        <v>274</v>
      </c>
      <c r="DG2210" t="s">
        <v>25768</v>
      </c>
      <c r="DH2210" t="s">
        <v>235</v>
      </c>
      <c r="DI2210" t="s">
        <v>183</v>
      </c>
      <c r="DJ2210" t="s">
        <v>211</v>
      </c>
      <c r="DK2210" t="s">
        <v>296</v>
      </c>
      <c r="DM2210" t="s">
        <v>515</v>
      </c>
      <c r="DN2210" t="s">
        <v>17104</v>
      </c>
      <c r="DO2210" t="s">
        <v>302</v>
      </c>
      <c r="DP2210" t="s">
        <v>303</v>
      </c>
      <c r="DQ2210" t="s">
        <v>25769</v>
      </c>
      <c r="DR2210" t="s">
        <v>235</v>
      </c>
      <c r="DS2210" t="s">
        <v>183</v>
      </c>
      <c r="DT2210" t="s">
        <v>211</v>
      </c>
      <c r="DU2210" t="s">
        <v>264</v>
      </c>
      <c r="DW2210" t="s">
        <v>3027</v>
      </c>
      <c r="EG2210" t="s">
        <v>198</v>
      </c>
      <c r="EQ2210" t="s">
        <v>198</v>
      </c>
      <c r="FA2210" t="s">
        <v>198</v>
      </c>
      <c r="FK2210" t="s">
        <v>198</v>
      </c>
      <c r="FU2210" t="s">
        <v>198</v>
      </c>
    </row>
    <row r="2211" spans="1:177">
      <c r="A2211" s="1" t="str">
        <f>HYPERLINK("http://digipan.lumentumllc.com/apps/getLink/index.php?t=PropLink&amp;p=6461715","PL")</f>
        <v>PL</v>
      </c>
      <c r="B2211" s="1" t="str">
        <f>HYPERLINK("http://digipan.lumentumllc.com/apps/getLink/index.php?t=TaxLink&amp;p=6461715","TL")</f>
        <v>TL</v>
      </c>
      <c r="C2211" s="1" t="str">
        <f>HYPERLINK("http://digipan.lumentumllc.com/apps/getMap/index.php?p=6461715","Map")</f>
        <v>Map</v>
      </c>
      <c r="E2211" t="s">
        <v>177</v>
      </c>
      <c r="F2211" t="s">
        <v>178</v>
      </c>
      <c r="L2211" t="s">
        <v>25770</v>
      </c>
      <c r="N2211" t="s">
        <v>25770</v>
      </c>
      <c r="O2211" t="s">
        <v>25770</v>
      </c>
      <c r="P2211" t="s">
        <v>25771</v>
      </c>
      <c r="Q2211" t="s">
        <v>25770</v>
      </c>
      <c r="V2211">
        <v>2527</v>
      </c>
      <c r="W2211">
        <v>8</v>
      </c>
      <c r="X2211">
        <v>2017</v>
      </c>
      <c r="Y2211">
        <v>2018</v>
      </c>
      <c r="Z2211">
        <v>1156.5899999999999</v>
      </c>
      <c r="AB2211" t="s">
        <v>181</v>
      </c>
      <c r="AC2211" t="s">
        <v>182</v>
      </c>
      <c r="AD2211" t="s">
        <v>183</v>
      </c>
      <c r="AE2211">
        <v>0</v>
      </c>
      <c r="AF2211">
        <v>8</v>
      </c>
      <c r="AG2211" t="s">
        <v>14222</v>
      </c>
      <c r="AH2211">
        <v>100</v>
      </c>
      <c r="AK2211">
        <v>0</v>
      </c>
      <c r="AL2211">
        <v>52703</v>
      </c>
      <c r="AM2211">
        <v>17375</v>
      </c>
      <c r="AN2211">
        <v>35328</v>
      </c>
      <c r="AO2211">
        <v>962</v>
      </c>
      <c r="AP2211">
        <v>2016</v>
      </c>
      <c r="AQ2211">
        <v>2.19</v>
      </c>
      <c r="AS2211" t="s">
        <v>25772</v>
      </c>
      <c r="AT2211" t="s">
        <v>15040</v>
      </c>
      <c r="AU2211" t="s">
        <v>177</v>
      </c>
      <c r="AV2211" t="s">
        <v>371</v>
      </c>
      <c r="AW2211" t="s">
        <v>182</v>
      </c>
      <c r="AX2211">
        <v>1</v>
      </c>
      <c r="AY2211" t="s">
        <v>188</v>
      </c>
      <c r="AZ2211" t="s">
        <v>206</v>
      </c>
      <c r="BA2211" t="s">
        <v>355</v>
      </c>
      <c r="BB2211" t="s">
        <v>191</v>
      </c>
      <c r="BC2211" t="s">
        <v>182</v>
      </c>
      <c r="BD2211" t="s">
        <v>182</v>
      </c>
      <c r="BE2211" t="s">
        <v>11206</v>
      </c>
      <c r="BF2211">
        <v>1</v>
      </c>
      <c r="BG2211">
        <v>1</v>
      </c>
      <c r="BH2211">
        <v>1945</v>
      </c>
      <c r="BI2211" t="s">
        <v>4776</v>
      </c>
      <c r="BJ2211" t="s">
        <v>285</v>
      </c>
      <c r="BK2211" t="s">
        <v>840</v>
      </c>
      <c r="BL2211" t="s">
        <v>2075</v>
      </c>
      <c r="BM2211" t="s">
        <v>533</v>
      </c>
      <c r="BN2211" t="s">
        <v>182</v>
      </c>
      <c r="BO2211" t="s">
        <v>3184</v>
      </c>
      <c r="BP2211" t="s">
        <v>4714</v>
      </c>
      <c r="BR2211" t="s">
        <v>1461</v>
      </c>
      <c r="BS2211" t="s">
        <v>25773</v>
      </c>
      <c r="BT2211" t="s">
        <v>198</v>
      </c>
      <c r="BU2211" t="s">
        <v>182</v>
      </c>
      <c r="BV2211" t="s">
        <v>198</v>
      </c>
      <c r="BW2211" t="s">
        <v>198</v>
      </c>
      <c r="BX2211" t="s">
        <v>199</v>
      </c>
      <c r="BY2211" t="s">
        <v>198</v>
      </c>
      <c r="BZ2211" t="s">
        <v>199</v>
      </c>
      <c r="CA2211" t="s">
        <v>199</v>
      </c>
      <c r="CB2211" t="s">
        <v>25774</v>
      </c>
      <c r="CC2211" t="s">
        <v>1407</v>
      </c>
      <c r="CD2211" t="s">
        <v>202</v>
      </c>
      <c r="CE2211" t="s">
        <v>25775</v>
      </c>
      <c r="CF2211" t="s">
        <v>413</v>
      </c>
      <c r="CG2211" t="s">
        <v>177</v>
      </c>
      <c r="CH2211" t="s">
        <v>3987</v>
      </c>
      <c r="CI2211" t="s">
        <v>25776</v>
      </c>
      <c r="CJ2211" t="s">
        <v>24017</v>
      </c>
      <c r="CK2211" t="s">
        <v>232</v>
      </c>
      <c r="CL2211" t="s">
        <v>233</v>
      </c>
      <c r="CM2211" t="s">
        <v>25777</v>
      </c>
      <c r="CN2211" t="s">
        <v>235</v>
      </c>
      <c r="CO2211" t="s">
        <v>183</v>
      </c>
      <c r="CP2211" t="s">
        <v>211</v>
      </c>
      <c r="CQ2211" t="s">
        <v>206</v>
      </c>
      <c r="CS2211" t="s">
        <v>25778</v>
      </c>
      <c r="CT2211" t="s">
        <v>10095</v>
      </c>
      <c r="CU2211" t="s">
        <v>292</v>
      </c>
      <c r="CV2211" t="s">
        <v>293</v>
      </c>
      <c r="CW2211" t="s">
        <v>25779</v>
      </c>
      <c r="CX2211" t="s">
        <v>482</v>
      </c>
      <c r="CY2211" t="s">
        <v>183</v>
      </c>
      <c r="CZ2211" t="s">
        <v>211</v>
      </c>
      <c r="DA2211" t="s">
        <v>296</v>
      </c>
      <c r="DC2211" t="s">
        <v>25780</v>
      </c>
      <c r="DD2211" t="s">
        <v>11194</v>
      </c>
      <c r="DE2211" t="s">
        <v>267</v>
      </c>
      <c r="DF2211" t="s">
        <v>268</v>
      </c>
      <c r="DG2211" t="s">
        <v>25781</v>
      </c>
      <c r="DH2211" t="s">
        <v>482</v>
      </c>
      <c r="DI2211" t="s">
        <v>183</v>
      </c>
      <c r="DJ2211" t="s">
        <v>211</v>
      </c>
      <c r="DK2211" t="s">
        <v>444</v>
      </c>
      <c r="DM2211" t="s">
        <v>25780</v>
      </c>
      <c r="DN2211" t="s">
        <v>25782</v>
      </c>
      <c r="DO2211" t="s">
        <v>273</v>
      </c>
      <c r="DP2211" t="s">
        <v>274</v>
      </c>
      <c r="DQ2211" t="s">
        <v>25783</v>
      </c>
      <c r="DR2211" t="s">
        <v>4595</v>
      </c>
      <c r="DS2211" t="s">
        <v>183</v>
      </c>
      <c r="DT2211" t="s">
        <v>211</v>
      </c>
      <c r="DU2211" t="s">
        <v>635</v>
      </c>
      <c r="DW2211" t="s">
        <v>25780</v>
      </c>
      <c r="DX2211" t="s">
        <v>21733</v>
      </c>
      <c r="DY2211" t="s">
        <v>302</v>
      </c>
      <c r="DZ2211" t="s">
        <v>303</v>
      </c>
      <c r="EA2211" t="s">
        <v>25784</v>
      </c>
      <c r="EB2211" t="s">
        <v>235</v>
      </c>
      <c r="EC2211" t="s">
        <v>183</v>
      </c>
      <c r="ED2211" t="s">
        <v>211</v>
      </c>
      <c r="EE2211" t="s">
        <v>988</v>
      </c>
      <c r="EG2211" t="s">
        <v>25780</v>
      </c>
      <c r="EH2211" t="s">
        <v>25785</v>
      </c>
      <c r="EI2211" t="s">
        <v>238</v>
      </c>
      <c r="EJ2211" t="s">
        <v>303</v>
      </c>
      <c r="EK2211" t="s">
        <v>25786</v>
      </c>
      <c r="EL2211" t="s">
        <v>511</v>
      </c>
      <c r="EM2211" t="s">
        <v>183</v>
      </c>
      <c r="EN2211" t="s">
        <v>211</v>
      </c>
      <c r="EO2211" t="s">
        <v>988</v>
      </c>
      <c r="EQ2211" t="s">
        <v>25780</v>
      </c>
      <c r="ER2211" t="s">
        <v>20815</v>
      </c>
      <c r="ES2211" t="s">
        <v>346</v>
      </c>
      <c r="ET2211" t="s">
        <v>303</v>
      </c>
      <c r="EU2211" t="s">
        <v>25787</v>
      </c>
      <c r="EV2211" t="s">
        <v>511</v>
      </c>
      <c r="EW2211" t="s">
        <v>183</v>
      </c>
      <c r="EX2211" t="s">
        <v>211</v>
      </c>
      <c r="EY2211" t="s">
        <v>988</v>
      </c>
      <c r="FA2211" t="s">
        <v>25780</v>
      </c>
      <c r="FB2211" t="s">
        <v>25788</v>
      </c>
      <c r="FC2211" t="s">
        <v>207</v>
      </c>
      <c r="FD2211" t="s">
        <v>303</v>
      </c>
      <c r="FE2211" t="s">
        <v>25789</v>
      </c>
      <c r="FF2211" t="s">
        <v>511</v>
      </c>
      <c r="FG2211" t="s">
        <v>183</v>
      </c>
      <c r="FH2211" t="s">
        <v>211</v>
      </c>
      <c r="FI2211" t="s">
        <v>988</v>
      </c>
      <c r="FK2211" t="s">
        <v>25780</v>
      </c>
      <c r="FU2211" t="s">
        <v>198</v>
      </c>
    </row>
    <row r="2212" spans="1:177">
      <c r="A2212" s="1" t="str">
        <f>HYPERLINK("http://digipan.lumentumllc.com/apps/getLink/index.php?t=PropLink&amp;p=4637095","PL")</f>
        <v>PL</v>
      </c>
      <c r="B2212" s="1" t="str">
        <f>HYPERLINK("http://digipan.lumentumllc.com/apps/getLink/index.php?t=TaxLink&amp;p=4637095","TL")</f>
        <v>TL</v>
      </c>
      <c r="C2212" s="1" t="str">
        <f>HYPERLINK("http://digipan.lumentumllc.com/apps/getMap/index.php?p=4637095","Map")</f>
        <v>Map</v>
      </c>
      <c r="E2212" t="s">
        <v>177</v>
      </c>
      <c r="F2212" t="s">
        <v>178</v>
      </c>
      <c r="L2212" t="s">
        <v>25790</v>
      </c>
      <c r="N2212" t="s">
        <v>25790</v>
      </c>
      <c r="O2212" t="s">
        <v>25790</v>
      </c>
      <c r="P2212" t="s">
        <v>25791</v>
      </c>
      <c r="Q2212" t="s">
        <v>25790</v>
      </c>
      <c r="V2212">
        <v>2528</v>
      </c>
      <c r="W2212">
        <v>8</v>
      </c>
      <c r="X2212">
        <v>2017</v>
      </c>
      <c r="Y2212">
        <v>2018</v>
      </c>
      <c r="Z2212">
        <v>1637.35</v>
      </c>
      <c r="AB2212" t="s">
        <v>181</v>
      </c>
      <c r="AC2212" t="s">
        <v>182</v>
      </c>
      <c r="AD2212" t="s">
        <v>183</v>
      </c>
      <c r="AE2212">
        <v>1</v>
      </c>
      <c r="AF2212">
        <v>5</v>
      </c>
      <c r="AG2212" t="s">
        <v>322</v>
      </c>
      <c r="AH2212">
        <v>83</v>
      </c>
      <c r="AI2212">
        <v>1516.43</v>
      </c>
      <c r="AJ2212">
        <v>75.819999999999993</v>
      </c>
      <c r="AK2212">
        <v>1592.25</v>
      </c>
      <c r="AL2212">
        <v>131495</v>
      </c>
      <c r="AM2212">
        <v>57584</v>
      </c>
      <c r="AN2212">
        <v>73911</v>
      </c>
      <c r="AO2212">
        <v>1377</v>
      </c>
      <c r="AP2212">
        <v>2016</v>
      </c>
      <c r="AQ2212">
        <v>1.25</v>
      </c>
      <c r="AR2212">
        <v>1.21</v>
      </c>
      <c r="AS2212" t="s">
        <v>25792</v>
      </c>
      <c r="AT2212" t="s">
        <v>15040</v>
      </c>
      <c r="AU2212" t="s">
        <v>177</v>
      </c>
      <c r="AV2212" t="s">
        <v>371</v>
      </c>
      <c r="AW2212" t="s">
        <v>202</v>
      </c>
      <c r="AX2212">
        <v>1</v>
      </c>
      <c r="AY2212" t="s">
        <v>188</v>
      </c>
      <c r="AZ2212" t="s">
        <v>206</v>
      </c>
      <c r="BA2212" t="s">
        <v>355</v>
      </c>
      <c r="BB2212" t="s">
        <v>191</v>
      </c>
      <c r="BC2212" t="s">
        <v>182</v>
      </c>
      <c r="BD2212" t="s">
        <v>182</v>
      </c>
      <c r="BE2212" t="s">
        <v>14631</v>
      </c>
      <c r="BF2212">
        <v>1</v>
      </c>
      <c r="BG2212">
        <v>1</v>
      </c>
      <c r="BH2212">
        <v>1957</v>
      </c>
      <c r="BI2212" t="s">
        <v>6266</v>
      </c>
      <c r="BJ2212" t="s">
        <v>285</v>
      </c>
      <c r="BK2212" t="s">
        <v>195</v>
      </c>
      <c r="BL2212" t="s">
        <v>199</v>
      </c>
      <c r="BM2212" t="s">
        <v>325</v>
      </c>
      <c r="BN2212" t="s">
        <v>182</v>
      </c>
      <c r="BO2212" t="s">
        <v>198</v>
      </c>
      <c r="BP2212" t="s">
        <v>198</v>
      </c>
      <c r="BQ2212" t="s">
        <v>198</v>
      </c>
      <c r="BR2212" t="s">
        <v>198</v>
      </c>
      <c r="BS2212" t="s">
        <v>198</v>
      </c>
      <c r="BT2212" t="s">
        <v>198</v>
      </c>
      <c r="BU2212" t="s">
        <v>182</v>
      </c>
      <c r="BV2212" t="s">
        <v>198</v>
      </c>
      <c r="BW2212" t="s">
        <v>198</v>
      </c>
      <c r="BX2212" t="s">
        <v>199</v>
      </c>
      <c r="BY2212" t="s">
        <v>198</v>
      </c>
      <c r="BZ2212" t="s">
        <v>199</v>
      </c>
      <c r="CA2212" t="s">
        <v>199</v>
      </c>
      <c r="CB2212" t="s">
        <v>25793</v>
      </c>
      <c r="CC2212" t="s">
        <v>201</v>
      </c>
      <c r="CD2212" t="s">
        <v>202</v>
      </c>
      <c r="CE2212" t="s">
        <v>18775</v>
      </c>
      <c r="CF2212" t="s">
        <v>5331</v>
      </c>
      <c r="CG2212" t="s">
        <v>177</v>
      </c>
      <c r="CH2212" t="s">
        <v>371</v>
      </c>
      <c r="CI2212" t="s">
        <v>25794</v>
      </c>
      <c r="CJ2212" t="s">
        <v>10429</v>
      </c>
      <c r="CK2212" t="s">
        <v>232</v>
      </c>
      <c r="CL2212" t="s">
        <v>233</v>
      </c>
      <c r="CM2212" t="s">
        <v>25795</v>
      </c>
      <c r="CN2212" t="s">
        <v>235</v>
      </c>
      <c r="CO2212" t="s">
        <v>183</v>
      </c>
      <c r="CP2212" t="s">
        <v>266</v>
      </c>
      <c r="CS2212" t="s">
        <v>198</v>
      </c>
      <c r="CT2212" t="s">
        <v>18165</v>
      </c>
      <c r="CU2212" t="s">
        <v>292</v>
      </c>
      <c r="CV2212" t="s">
        <v>293</v>
      </c>
      <c r="CW2212" t="s">
        <v>25796</v>
      </c>
      <c r="CX2212" t="s">
        <v>235</v>
      </c>
      <c r="CY2212" t="s">
        <v>183</v>
      </c>
      <c r="CZ2212" t="s">
        <v>211</v>
      </c>
      <c r="DA2212" t="s">
        <v>345</v>
      </c>
      <c r="DC2212" t="s">
        <v>1609</v>
      </c>
      <c r="DD2212" t="s">
        <v>25797</v>
      </c>
      <c r="DE2212" t="s">
        <v>267</v>
      </c>
      <c r="DF2212" t="s">
        <v>268</v>
      </c>
      <c r="DG2212" t="s">
        <v>25798</v>
      </c>
      <c r="DH2212" t="s">
        <v>235</v>
      </c>
      <c r="DI2212" t="s">
        <v>183</v>
      </c>
      <c r="DJ2212" t="s">
        <v>211</v>
      </c>
      <c r="DK2212" t="s">
        <v>337</v>
      </c>
      <c r="DM2212" t="s">
        <v>10934</v>
      </c>
      <c r="DN2212" t="s">
        <v>18032</v>
      </c>
      <c r="DO2212" t="s">
        <v>273</v>
      </c>
      <c r="DP2212" t="s">
        <v>274</v>
      </c>
      <c r="DQ2212" t="s">
        <v>25799</v>
      </c>
      <c r="DR2212" t="s">
        <v>235</v>
      </c>
      <c r="DS2212" t="s">
        <v>183</v>
      </c>
      <c r="DT2212" t="s">
        <v>211</v>
      </c>
      <c r="DU2212" t="s">
        <v>345</v>
      </c>
      <c r="DW2212" t="s">
        <v>11099</v>
      </c>
      <c r="DX2212" t="s">
        <v>25800</v>
      </c>
      <c r="DY2212" t="s">
        <v>302</v>
      </c>
      <c r="DZ2212" t="s">
        <v>303</v>
      </c>
      <c r="EA2212" t="s">
        <v>25801</v>
      </c>
      <c r="EB2212" t="s">
        <v>235</v>
      </c>
      <c r="EC2212" t="s">
        <v>183</v>
      </c>
      <c r="ED2212" t="s">
        <v>211</v>
      </c>
      <c r="EE2212" t="s">
        <v>298</v>
      </c>
      <c r="EG2212" t="s">
        <v>464</v>
      </c>
      <c r="EH2212" t="s">
        <v>25802</v>
      </c>
      <c r="EI2212" t="s">
        <v>238</v>
      </c>
      <c r="EJ2212" t="s">
        <v>239</v>
      </c>
      <c r="EK2212" t="s">
        <v>25803</v>
      </c>
      <c r="EL2212" t="s">
        <v>235</v>
      </c>
      <c r="EM2212" t="s">
        <v>183</v>
      </c>
      <c r="EN2212" t="s">
        <v>211</v>
      </c>
      <c r="EO2212" t="s">
        <v>345</v>
      </c>
      <c r="EQ2212" t="s">
        <v>2753</v>
      </c>
      <c r="FA2212" t="s">
        <v>198</v>
      </c>
      <c r="FK2212" t="s">
        <v>198</v>
      </c>
      <c r="FU2212" t="s">
        <v>198</v>
      </c>
    </row>
    <row r="2213" spans="1:177">
      <c r="A2213" s="1" t="str">
        <f>HYPERLINK("http://digipan.lumentumllc.com/apps/getLink/index.php?t=PropLink&amp;p=5244659","PL")</f>
        <v>PL</v>
      </c>
      <c r="B2213" s="1" t="str">
        <f>HYPERLINK("http://digipan.lumentumllc.com/apps/getLink/index.php?t=TaxLink&amp;p=5244659","TL")</f>
        <v>TL</v>
      </c>
      <c r="C2213" s="1" t="str">
        <f>HYPERLINK("http://digipan.lumentumllc.com/apps/getMap/index.php?p=5244659","Map")</f>
        <v>Map</v>
      </c>
      <c r="E2213" t="s">
        <v>177</v>
      </c>
      <c r="F2213" t="s">
        <v>178</v>
      </c>
      <c r="L2213" t="s">
        <v>25804</v>
      </c>
      <c r="N2213" t="s">
        <v>25804</v>
      </c>
      <c r="O2213" t="s">
        <v>25804</v>
      </c>
      <c r="P2213" t="s">
        <v>25805</v>
      </c>
      <c r="Q2213" t="s">
        <v>25804</v>
      </c>
      <c r="V2213">
        <v>2529</v>
      </c>
      <c r="W2213">
        <v>8</v>
      </c>
      <c r="X2213">
        <v>2017</v>
      </c>
      <c r="Y2213">
        <v>2018</v>
      </c>
      <c r="Z2213">
        <v>569.83000000000004</v>
      </c>
      <c r="AB2213" t="s">
        <v>181</v>
      </c>
      <c r="AC2213" t="s">
        <v>182</v>
      </c>
      <c r="AD2213" t="s">
        <v>183</v>
      </c>
      <c r="AE2213">
        <v>0</v>
      </c>
      <c r="AF2213">
        <v>7</v>
      </c>
      <c r="AG2213" t="s">
        <v>528</v>
      </c>
      <c r="AH2213">
        <v>100</v>
      </c>
      <c r="AK2213">
        <v>0</v>
      </c>
      <c r="AL2213">
        <v>92531</v>
      </c>
      <c r="AM2213">
        <v>24750</v>
      </c>
      <c r="AN2213">
        <v>67781</v>
      </c>
      <c r="AO2213">
        <v>484</v>
      </c>
      <c r="AP2213">
        <v>2016</v>
      </c>
      <c r="AQ2213">
        <v>0.62</v>
      </c>
      <c r="AS2213" t="s">
        <v>25806</v>
      </c>
      <c r="AT2213" t="s">
        <v>15040</v>
      </c>
      <c r="AU2213" t="s">
        <v>177</v>
      </c>
      <c r="AV2213" t="s">
        <v>371</v>
      </c>
      <c r="AW2213" t="s">
        <v>202</v>
      </c>
      <c r="AX2213">
        <v>1</v>
      </c>
      <c r="AY2213" t="s">
        <v>188</v>
      </c>
      <c r="AZ2213" t="s">
        <v>206</v>
      </c>
      <c r="BA2213" t="s">
        <v>355</v>
      </c>
      <c r="BB2213" t="s">
        <v>191</v>
      </c>
      <c r="BC2213" t="s">
        <v>182</v>
      </c>
      <c r="BD2213" t="s">
        <v>182</v>
      </c>
      <c r="BE2213" t="s">
        <v>3930</v>
      </c>
      <c r="BF2213">
        <v>1</v>
      </c>
      <c r="BG2213">
        <v>1</v>
      </c>
      <c r="BH2213">
        <v>1976</v>
      </c>
      <c r="BI2213" t="s">
        <v>2762</v>
      </c>
      <c r="BJ2213" t="s">
        <v>285</v>
      </c>
      <c r="BK2213" t="s">
        <v>195</v>
      </c>
      <c r="BL2213" t="s">
        <v>199</v>
      </c>
      <c r="BM2213" t="s">
        <v>1825</v>
      </c>
      <c r="BN2213" t="s">
        <v>182</v>
      </c>
      <c r="BO2213" t="s">
        <v>198</v>
      </c>
      <c r="BP2213" t="s">
        <v>198</v>
      </c>
      <c r="BQ2213" t="s">
        <v>198</v>
      </c>
      <c r="BR2213" t="s">
        <v>198</v>
      </c>
      <c r="BS2213" t="s">
        <v>198</v>
      </c>
      <c r="BT2213" t="s">
        <v>198</v>
      </c>
      <c r="BU2213" t="s">
        <v>182</v>
      </c>
      <c r="BV2213" t="s">
        <v>198</v>
      </c>
      <c r="BW2213" t="s">
        <v>198</v>
      </c>
      <c r="BX2213" t="s">
        <v>199</v>
      </c>
      <c r="BY2213" t="s">
        <v>198</v>
      </c>
      <c r="BZ2213" t="s">
        <v>199</v>
      </c>
      <c r="CA2213" t="s">
        <v>199</v>
      </c>
      <c r="CB2213" t="s">
        <v>25807</v>
      </c>
      <c r="CC2213" t="s">
        <v>201</v>
      </c>
      <c r="CD2213" t="s">
        <v>182</v>
      </c>
      <c r="CE2213" t="s">
        <v>25808</v>
      </c>
      <c r="CF2213" t="s">
        <v>5331</v>
      </c>
      <c r="CG2213" t="s">
        <v>177</v>
      </c>
      <c r="CH2213" t="s">
        <v>371</v>
      </c>
      <c r="CI2213" t="s">
        <v>25809</v>
      </c>
      <c r="CJ2213" t="s">
        <v>16841</v>
      </c>
      <c r="CK2213" t="s">
        <v>232</v>
      </c>
      <c r="CL2213" t="s">
        <v>233</v>
      </c>
      <c r="CM2213" t="s">
        <v>25810</v>
      </c>
      <c r="CN2213" t="s">
        <v>235</v>
      </c>
      <c r="CO2213" t="s">
        <v>183</v>
      </c>
      <c r="CP2213" t="s">
        <v>211</v>
      </c>
      <c r="CQ2213" t="s">
        <v>206</v>
      </c>
      <c r="CS2213" t="s">
        <v>668</v>
      </c>
      <c r="CT2213" t="s">
        <v>10139</v>
      </c>
      <c r="CU2213" t="s">
        <v>292</v>
      </c>
      <c r="CV2213" t="s">
        <v>293</v>
      </c>
      <c r="CW2213" t="s">
        <v>25811</v>
      </c>
      <c r="CX2213" t="s">
        <v>235</v>
      </c>
      <c r="CY2213" t="s">
        <v>183</v>
      </c>
      <c r="CZ2213" t="s">
        <v>211</v>
      </c>
      <c r="DA2213" t="s">
        <v>250</v>
      </c>
      <c r="DC2213" t="s">
        <v>12875</v>
      </c>
      <c r="DD2213" t="s">
        <v>17701</v>
      </c>
      <c r="DE2213" t="s">
        <v>267</v>
      </c>
      <c r="DF2213" t="s">
        <v>268</v>
      </c>
      <c r="DG2213" t="s">
        <v>25812</v>
      </c>
      <c r="DH2213" t="s">
        <v>235</v>
      </c>
      <c r="DI2213" t="s">
        <v>183</v>
      </c>
      <c r="DJ2213" t="s">
        <v>211</v>
      </c>
      <c r="DK2213" t="s">
        <v>487</v>
      </c>
      <c r="DM2213" t="s">
        <v>12875</v>
      </c>
      <c r="DN2213" t="s">
        <v>18923</v>
      </c>
      <c r="DO2213" t="s">
        <v>273</v>
      </c>
      <c r="DP2213" t="s">
        <v>274</v>
      </c>
      <c r="DQ2213" t="s">
        <v>25813</v>
      </c>
      <c r="DR2213" t="s">
        <v>235</v>
      </c>
      <c r="DS2213" t="s">
        <v>183</v>
      </c>
      <c r="DT2213" t="s">
        <v>211</v>
      </c>
      <c r="DU2213" t="s">
        <v>298</v>
      </c>
      <c r="DW2213" t="s">
        <v>1645</v>
      </c>
      <c r="DX2213" t="s">
        <v>24821</v>
      </c>
      <c r="DY2213" t="s">
        <v>302</v>
      </c>
      <c r="DZ2213" t="s">
        <v>303</v>
      </c>
      <c r="EA2213" t="s">
        <v>25814</v>
      </c>
      <c r="EB2213" t="s">
        <v>235</v>
      </c>
      <c r="EC2213" t="s">
        <v>183</v>
      </c>
      <c r="ED2213" t="s">
        <v>211</v>
      </c>
      <c r="EE2213" t="s">
        <v>298</v>
      </c>
      <c r="EG2213" t="s">
        <v>1616</v>
      </c>
      <c r="EH2213" t="s">
        <v>25815</v>
      </c>
      <c r="EI2213" t="s">
        <v>346</v>
      </c>
      <c r="EJ2213" t="s">
        <v>347</v>
      </c>
      <c r="EK2213" t="s">
        <v>25816</v>
      </c>
      <c r="EL2213" t="s">
        <v>816</v>
      </c>
      <c r="EM2213" t="s">
        <v>183</v>
      </c>
      <c r="EN2213" t="s">
        <v>211</v>
      </c>
      <c r="EO2213" t="s">
        <v>342</v>
      </c>
      <c r="EQ2213" t="s">
        <v>1355</v>
      </c>
      <c r="ER2213" t="s">
        <v>25817</v>
      </c>
      <c r="ES2213" t="s">
        <v>207</v>
      </c>
      <c r="ET2213" t="s">
        <v>208</v>
      </c>
      <c r="EU2213" t="s">
        <v>25818</v>
      </c>
      <c r="EV2213" t="s">
        <v>469</v>
      </c>
      <c r="EW2213" t="s">
        <v>183</v>
      </c>
      <c r="EX2213" t="s">
        <v>211</v>
      </c>
      <c r="EY2213" t="s">
        <v>345</v>
      </c>
      <c r="FA2213" t="s">
        <v>1355</v>
      </c>
      <c r="FK2213" t="s">
        <v>198</v>
      </c>
      <c r="FU2213" t="s">
        <v>198</v>
      </c>
    </row>
    <row r="2214" spans="1:177">
      <c r="A2214" s="1" t="str">
        <f>HYPERLINK("http://digipan.lumentumllc.com/apps/getLink/index.php?t=PropLink&amp;p=5244660","PL")</f>
        <v>PL</v>
      </c>
      <c r="B2214" s="1" t="str">
        <f>HYPERLINK("http://digipan.lumentumllc.com/apps/getLink/index.php?t=TaxLink&amp;p=5244660","TL")</f>
        <v>TL</v>
      </c>
      <c r="C2214" s="1" t="str">
        <f>HYPERLINK("http://digipan.lumentumllc.com/apps/getMap/index.php?p=5244660","Map")</f>
        <v>Map</v>
      </c>
      <c r="E2214" t="s">
        <v>177</v>
      </c>
      <c r="F2214" t="s">
        <v>178</v>
      </c>
      <c r="L2214" t="s">
        <v>25819</v>
      </c>
      <c r="N2214" t="s">
        <v>25819</v>
      </c>
      <c r="O2214" t="s">
        <v>25819</v>
      </c>
      <c r="P2214" t="s">
        <v>25820</v>
      </c>
      <c r="Q2214" t="s">
        <v>25819</v>
      </c>
      <c r="V2214">
        <v>2530</v>
      </c>
      <c r="W2214">
        <v>8</v>
      </c>
      <c r="X2214">
        <v>2017</v>
      </c>
      <c r="Y2214">
        <v>2018</v>
      </c>
      <c r="Z2214">
        <v>513.95000000000005</v>
      </c>
      <c r="AB2214" t="s">
        <v>181</v>
      </c>
      <c r="AC2214" t="s">
        <v>182</v>
      </c>
      <c r="AD2214" t="s">
        <v>183</v>
      </c>
      <c r="AE2214">
        <v>2</v>
      </c>
      <c r="AF2214">
        <v>6</v>
      </c>
      <c r="AG2214" t="s">
        <v>794</v>
      </c>
      <c r="AH2214">
        <v>71</v>
      </c>
      <c r="AI2214">
        <v>882.5</v>
      </c>
      <c r="AJ2214">
        <v>86.64</v>
      </c>
      <c r="AK2214">
        <v>969.14</v>
      </c>
      <c r="AL2214">
        <v>24750</v>
      </c>
      <c r="AM2214">
        <v>24750</v>
      </c>
      <c r="AN2214">
        <v>0</v>
      </c>
      <c r="AO2214">
        <v>412</v>
      </c>
      <c r="AP2214">
        <v>2016</v>
      </c>
      <c r="AQ2214">
        <v>2.08</v>
      </c>
      <c r="AR2214">
        <v>3.92</v>
      </c>
      <c r="AS2214" t="s">
        <v>25821</v>
      </c>
      <c r="AT2214" t="s">
        <v>15040</v>
      </c>
      <c r="AU2214" t="s">
        <v>177</v>
      </c>
      <c r="AV2214" t="s">
        <v>371</v>
      </c>
      <c r="AW2214" t="s">
        <v>182</v>
      </c>
      <c r="AX2214">
        <v>0</v>
      </c>
      <c r="AY2214" t="s">
        <v>312</v>
      </c>
      <c r="AZ2214" t="s">
        <v>199</v>
      </c>
      <c r="BA2214" t="s">
        <v>313</v>
      </c>
      <c r="BB2214" t="s">
        <v>191</v>
      </c>
      <c r="BC2214" t="s">
        <v>182</v>
      </c>
      <c r="BD2214" t="s">
        <v>182</v>
      </c>
      <c r="BE2214" t="s">
        <v>3930</v>
      </c>
      <c r="BF2214">
        <v>0</v>
      </c>
      <c r="BG2214">
        <v>0</v>
      </c>
      <c r="BH2214">
        <v>0</v>
      </c>
      <c r="BI2214" t="s">
        <v>199</v>
      </c>
      <c r="BJ2214" t="s">
        <v>248</v>
      </c>
      <c r="BL2214" t="s">
        <v>2419</v>
      </c>
      <c r="BM2214" t="s">
        <v>2604</v>
      </c>
      <c r="BN2214" t="s">
        <v>182</v>
      </c>
      <c r="BO2214" t="s">
        <v>198</v>
      </c>
      <c r="BP2214" t="s">
        <v>198</v>
      </c>
      <c r="BQ2214" t="s">
        <v>198</v>
      </c>
      <c r="BR2214" t="s">
        <v>198</v>
      </c>
      <c r="BS2214" t="s">
        <v>198</v>
      </c>
      <c r="BT2214" t="s">
        <v>198</v>
      </c>
      <c r="BU2214" t="s">
        <v>182</v>
      </c>
      <c r="BV2214" t="s">
        <v>198</v>
      </c>
      <c r="BW2214" t="s">
        <v>198</v>
      </c>
      <c r="BX2214" t="s">
        <v>199</v>
      </c>
      <c r="BY2214" t="s">
        <v>198</v>
      </c>
      <c r="BZ2214" t="s">
        <v>199</v>
      </c>
      <c r="CA2214" t="s">
        <v>199</v>
      </c>
      <c r="CB2214" t="s">
        <v>25822</v>
      </c>
      <c r="CC2214" t="s">
        <v>201</v>
      </c>
      <c r="CD2214" t="s">
        <v>202</v>
      </c>
      <c r="CE2214" t="s">
        <v>25823</v>
      </c>
      <c r="CF2214" t="s">
        <v>5331</v>
      </c>
      <c r="CG2214" t="s">
        <v>177</v>
      </c>
      <c r="CH2214" t="s">
        <v>5332</v>
      </c>
      <c r="CI2214" t="s">
        <v>25824</v>
      </c>
      <c r="CJ2214" t="s">
        <v>24058</v>
      </c>
      <c r="CK2214" t="s">
        <v>232</v>
      </c>
      <c r="CL2214" t="s">
        <v>233</v>
      </c>
      <c r="CM2214" t="s">
        <v>25551</v>
      </c>
      <c r="CN2214" t="s">
        <v>484</v>
      </c>
      <c r="CO2214" t="s">
        <v>183</v>
      </c>
      <c r="CP2214" t="s">
        <v>266</v>
      </c>
      <c r="CS2214" t="s">
        <v>198</v>
      </c>
      <c r="CT2214" t="s">
        <v>4466</v>
      </c>
      <c r="CU2214" t="s">
        <v>292</v>
      </c>
      <c r="CV2214" t="s">
        <v>293</v>
      </c>
      <c r="CW2214" t="s">
        <v>25552</v>
      </c>
      <c r="CX2214" t="s">
        <v>235</v>
      </c>
      <c r="CY2214" t="s">
        <v>183</v>
      </c>
      <c r="CZ2214" t="s">
        <v>266</v>
      </c>
      <c r="DC2214" t="s">
        <v>198</v>
      </c>
      <c r="DD2214" t="s">
        <v>17720</v>
      </c>
      <c r="DE2214" t="s">
        <v>267</v>
      </c>
      <c r="DF2214" t="s">
        <v>268</v>
      </c>
      <c r="DG2214" t="s">
        <v>25825</v>
      </c>
      <c r="DH2214" t="s">
        <v>400</v>
      </c>
      <c r="DI2214" t="s">
        <v>183</v>
      </c>
      <c r="DJ2214" t="s">
        <v>211</v>
      </c>
      <c r="DK2214" t="s">
        <v>525</v>
      </c>
      <c r="DM2214" t="s">
        <v>1066</v>
      </c>
      <c r="DN2214" t="s">
        <v>18044</v>
      </c>
      <c r="DO2214" t="s">
        <v>273</v>
      </c>
      <c r="DP2214" t="s">
        <v>274</v>
      </c>
      <c r="DQ2214" t="s">
        <v>25826</v>
      </c>
      <c r="DR2214" t="s">
        <v>796</v>
      </c>
      <c r="DS2214" t="s">
        <v>183</v>
      </c>
      <c r="DT2214" t="s">
        <v>211</v>
      </c>
      <c r="DU2214" t="s">
        <v>337</v>
      </c>
      <c r="DW2214" t="s">
        <v>544</v>
      </c>
      <c r="DX2214" t="s">
        <v>20902</v>
      </c>
      <c r="DY2214" t="s">
        <v>302</v>
      </c>
      <c r="DZ2214" t="s">
        <v>303</v>
      </c>
      <c r="EA2214" t="s">
        <v>25827</v>
      </c>
      <c r="EB2214" t="s">
        <v>1586</v>
      </c>
      <c r="EC2214" t="s">
        <v>183</v>
      </c>
      <c r="ED2214" t="s">
        <v>211</v>
      </c>
      <c r="EE2214" t="s">
        <v>616</v>
      </c>
      <c r="EG2214" t="s">
        <v>25828</v>
      </c>
      <c r="EH2214" t="s">
        <v>23687</v>
      </c>
      <c r="EI2214" t="s">
        <v>238</v>
      </c>
      <c r="EJ2214" t="s">
        <v>239</v>
      </c>
      <c r="EK2214" t="s">
        <v>25829</v>
      </c>
      <c r="EL2214" t="s">
        <v>1491</v>
      </c>
      <c r="EM2214" t="s">
        <v>183</v>
      </c>
      <c r="EN2214" t="s">
        <v>211</v>
      </c>
      <c r="EO2214" t="s">
        <v>345</v>
      </c>
      <c r="EQ2214" t="s">
        <v>1097</v>
      </c>
      <c r="ER2214" t="s">
        <v>25830</v>
      </c>
      <c r="ES2214" t="s">
        <v>346</v>
      </c>
      <c r="ET2214" t="s">
        <v>347</v>
      </c>
      <c r="EU2214" t="s">
        <v>25831</v>
      </c>
      <c r="EV2214" t="s">
        <v>440</v>
      </c>
      <c r="EW2214" t="s">
        <v>183</v>
      </c>
      <c r="EX2214" t="s">
        <v>211</v>
      </c>
      <c r="EY2214" t="s">
        <v>345</v>
      </c>
      <c r="FA2214" t="s">
        <v>8421</v>
      </c>
      <c r="FB2214" t="s">
        <v>25441</v>
      </c>
      <c r="FC2214" t="s">
        <v>207</v>
      </c>
      <c r="FD2214" t="s">
        <v>208</v>
      </c>
      <c r="FE2214" t="s">
        <v>25832</v>
      </c>
      <c r="FF2214" t="s">
        <v>469</v>
      </c>
      <c r="FG2214" t="s">
        <v>183</v>
      </c>
      <c r="FH2214" t="s">
        <v>211</v>
      </c>
      <c r="FI2214" t="s">
        <v>345</v>
      </c>
      <c r="FK2214" t="s">
        <v>1355</v>
      </c>
      <c r="FU2214" t="s">
        <v>198</v>
      </c>
    </row>
    <row r="2215" spans="1:177">
      <c r="A2215" s="1" t="str">
        <f>HYPERLINK("http://digipan.lumentumllc.com/apps/getLink/index.php?t=PropLink&amp;p=6461718","PL")</f>
        <v>PL</v>
      </c>
      <c r="B2215" s="1" t="str">
        <f>HYPERLINK("http://digipan.lumentumllc.com/apps/getLink/index.php?t=TaxLink&amp;p=6461718","TL")</f>
        <v>TL</v>
      </c>
      <c r="C2215" s="1" t="str">
        <f>HYPERLINK("http://digipan.lumentumllc.com/apps/getMap/index.php?p=6461718","Map")</f>
        <v>Map</v>
      </c>
      <c r="E2215" t="s">
        <v>177</v>
      </c>
      <c r="F2215" t="s">
        <v>178</v>
      </c>
      <c r="L2215" t="s">
        <v>25833</v>
      </c>
      <c r="N2215" t="s">
        <v>25833</v>
      </c>
      <c r="O2215" t="s">
        <v>25833</v>
      </c>
      <c r="P2215" t="s">
        <v>25834</v>
      </c>
      <c r="Q2215" t="s">
        <v>25833</v>
      </c>
      <c r="V2215">
        <v>2533</v>
      </c>
      <c r="W2215">
        <v>8</v>
      </c>
      <c r="X2215">
        <v>2017</v>
      </c>
      <c r="Y2215">
        <v>2018</v>
      </c>
      <c r="Z2215">
        <v>671.07</v>
      </c>
      <c r="AB2215" t="s">
        <v>181</v>
      </c>
      <c r="AC2215" t="s">
        <v>182</v>
      </c>
      <c r="AD2215" t="s">
        <v>183</v>
      </c>
      <c r="AE2215">
        <v>0</v>
      </c>
      <c r="AF2215">
        <v>1</v>
      </c>
      <c r="AG2215" t="s">
        <v>821</v>
      </c>
      <c r="AH2215">
        <v>100</v>
      </c>
      <c r="AK2215">
        <v>0</v>
      </c>
      <c r="AL2215">
        <v>104074</v>
      </c>
      <c r="AM2215">
        <v>40000</v>
      </c>
      <c r="AN2215">
        <v>64074</v>
      </c>
      <c r="AO2215">
        <v>577</v>
      </c>
      <c r="AP2215">
        <v>2016</v>
      </c>
      <c r="AQ2215">
        <v>0.64</v>
      </c>
      <c r="AS2215" t="s">
        <v>25835</v>
      </c>
      <c r="AT2215" t="s">
        <v>15040</v>
      </c>
      <c r="AU2215" t="s">
        <v>177</v>
      </c>
      <c r="AV2215" t="s">
        <v>371</v>
      </c>
      <c r="AW2215" t="s">
        <v>202</v>
      </c>
      <c r="AX2215">
        <v>1</v>
      </c>
      <c r="AY2215" t="s">
        <v>188</v>
      </c>
      <c r="AZ2215" t="s">
        <v>206</v>
      </c>
      <c r="BA2215" t="s">
        <v>355</v>
      </c>
      <c r="BB2215" t="s">
        <v>191</v>
      </c>
      <c r="BC2215" t="s">
        <v>182</v>
      </c>
      <c r="BD2215" t="s">
        <v>182</v>
      </c>
      <c r="BE2215" t="s">
        <v>3956</v>
      </c>
      <c r="BF2215">
        <v>1</v>
      </c>
      <c r="BG2215">
        <v>1</v>
      </c>
      <c r="BH2215">
        <v>1954</v>
      </c>
      <c r="BI2215" t="s">
        <v>20602</v>
      </c>
      <c r="BJ2215" t="s">
        <v>194</v>
      </c>
      <c r="BK2215" t="s">
        <v>195</v>
      </c>
      <c r="BL2215" t="s">
        <v>199</v>
      </c>
      <c r="BM2215" t="s">
        <v>501</v>
      </c>
      <c r="BN2215" t="s">
        <v>182</v>
      </c>
      <c r="BO2215" t="s">
        <v>25836</v>
      </c>
      <c r="BP2215" t="s">
        <v>25837</v>
      </c>
      <c r="BS2215" t="s">
        <v>12939</v>
      </c>
      <c r="BT2215" t="s">
        <v>198</v>
      </c>
      <c r="BU2215" t="s">
        <v>182</v>
      </c>
      <c r="BV2215" t="s">
        <v>198</v>
      </c>
      <c r="BW2215" t="s">
        <v>198</v>
      </c>
      <c r="BX2215" t="s">
        <v>199</v>
      </c>
      <c r="BY2215" t="s">
        <v>198</v>
      </c>
      <c r="BZ2215" t="s">
        <v>199</v>
      </c>
      <c r="CA2215" t="s">
        <v>199</v>
      </c>
      <c r="CB2215" t="s">
        <v>25838</v>
      </c>
      <c r="CC2215" t="s">
        <v>201</v>
      </c>
      <c r="CD2215" t="s">
        <v>182</v>
      </c>
      <c r="CE2215" t="s">
        <v>25839</v>
      </c>
      <c r="CF2215" t="s">
        <v>5331</v>
      </c>
      <c r="CG2215" t="s">
        <v>177</v>
      </c>
      <c r="CH2215" t="s">
        <v>371</v>
      </c>
      <c r="CI2215" t="s">
        <v>25840</v>
      </c>
      <c r="CJ2215" t="s">
        <v>15041</v>
      </c>
      <c r="CK2215" t="s">
        <v>292</v>
      </c>
      <c r="CL2215" t="s">
        <v>293</v>
      </c>
      <c r="CM2215" t="s">
        <v>25841</v>
      </c>
      <c r="CN2215" t="s">
        <v>235</v>
      </c>
      <c r="CO2215" t="s">
        <v>183</v>
      </c>
      <c r="CP2215" t="s">
        <v>211</v>
      </c>
      <c r="CQ2215" t="s">
        <v>189</v>
      </c>
      <c r="CS2215" t="s">
        <v>25842</v>
      </c>
      <c r="DC2215" t="s">
        <v>198</v>
      </c>
      <c r="DM2215" t="s">
        <v>198</v>
      </c>
      <c r="DW2215" t="s">
        <v>198</v>
      </c>
      <c r="EG2215" t="s">
        <v>198</v>
      </c>
      <c r="EQ2215" t="s">
        <v>198</v>
      </c>
      <c r="FA2215" t="s">
        <v>198</v>
      </c>
      <c r="FK2215" t="s">
        <v>198</v>
      </c>
      <c r="FU2215" t="s">
        <v>198</v>
      </c>
    </row>
    <row r="2216" spans="1:177">
      <c r="A2216" s="1" t="str">
        <f>HYPERLINK("http://digipan.lumentumllc.com/apps/getLink/index.php?t=PropLink&amp;p=4637099","PL")</f>
        <v>PL</v>
      </c>
      <c r="B2216" s="1" t="str">
        <f>HYPERLINK("http://digipan.lumentumllc.com/apps/getLink/index.php?t=TaxLink&amp;p=4637099","TL")</f>
        <v>TL</v>
      </c>
      <c r="C2216" s="1" t="str">
        <f>HYPERLINK("http://digipan.lumentumllc.com/apps/getMap/index.php?p=4637099","Map")</f>
        <v>Map</v>
      </c>
      <c r="E2216" t="s">
        <v>177</v>
      </c>
      <c r="F2216" t="s">
        <v>178</v>
      </c>
      <c r="L2216" t="s">
        <v>25843</v>
      </c>
      <c r="N2216" t="s">
        <v>25843</v>
      </c>
      <c r="O2216" t="s">
        <v>25843</v>
      </c>
      <c r="P2216" t="s">
        <v>25844</v>
      </c>
      <c r="Q2216" t="s">
        <v>25843</v>
      </c>
      <c r="V2216">
        <v>2534</v>
      </c>
      <c r="W2216">
        <v>8</v>
      </c>
      <c r="X2216">
        <v>2017</v>
      </c>
      <c r="Y2216">
        <v>2018</v>
      </c>
      <c r="Z2216">
        <v>460.93</v>
      </c>
      <c r="AB2216" t="s">
        <v>181</v>
      </c>
      <c r="AC2216" t="s">
        <v>182</v>
      </c>
      <c r="AD2216" t="s">
        <v>183</v>
      </c>
      <c r="AE2216">
        <v>0</v>
      </c>
      <c r="AF2216">
        <v>5</v>
      </c>
      <c r="AG2216" t="s">
        <v>3266</v>
      </c>
      <c r="AH2216">
        <v>100</v>
      </c>
      <c r="AK2216">
        <v>0</v>
      </c>
      <c r="AL2216">
        <v>118993</v>
      </c>
      <c r="AM2216">
        <v>60600</v>
      </c>
      <c r="AN2216">
        <v>58393</v>
      </c>
      <c r="AO2216">
        <v>395</v>
      </c>
      <c r="AP2216">
        <v>2016</v>
      </c>
      <c r="AQ2216">
        <v>0.39</v>
      </c>
      <c r="AS2216" t="s">
        <v>25845</v>
      </c>
      <c r="AT2216" t="s">
        <v>15040</v>
      </c>
      <c r="AU2216" t="s">
        <v>177</v>
      </c>
      <c r="AV2216" t="s">
        <v>371</v>
      </c>
      <c r="AW2216" t="s">
        <v>202</v>
      </c>
      <c r="AX2216">
        <v>1</v>
      </c>
      <c r="AY2216" t="s">
        <v>188</v>
      </c>
      <c r="AZ2216" t="s">
        <v>206</v>
      </c>
      <c r="BA2216" t="s">
        <v>355</v>
      </c>
      <c r="BB2216" t="s">
        <v>191</v>
      </c>
      <c r="BC2216" t="s">
        <v>182</v>
      </c>
      <c r="BD2216" t="s">
        <v>182</v>
      </c>
      <c r="BE2216" t="s">
        <v>6156</v>
      </c>
      <c r="BF2216">
        <v>1</v>
      </c>
      <c r="BG2216">
        <v>1</v>
      </c>
      <c r="BH2216">
        <v>1956</v>
      </c>
      <c r="BI2216" t="s">
        <v>2471</v>
      </c>
      <c r="BJ2216" t="s">
        <v>194</v>
      </c>
      <c r="BK2216" t="s">
        <v>195</v>
      </c>
      <c r="BL2216" t="s">
        <v>6552</v>
      </c>
      <c r="BM2216" t="s">
        <v>2540</v>
      </c>
      <c r="BN2216" t="s">
        <v>182</v>
      </c>
      <c r="BO2216" t="s">
        <v>198</v>
      </c>
      <c r="BP2216" t="s">
        <v>198</v>
      </c>
      <c r="BQ2216" t="s">
        <v>198</v>
      </c>
      <c r="BR2216" t="s">
        <v>198</v>
      </c>
      <c r="BS2216" t="s">
        <v>198</v>
      </c>
      <c r="BT2216" t="s">
        <v>198</v>
      </c>
      <c r="BU2216" t="s">
        <v>182</v>
      </c>
      <c r="BV2216" t="s">
        <v>198</v>
      </c>
      <c r="BW2216" t="s">
        <v>198</v>
      </c>
      <c r="BX2216" t="s">
        <v>199</v>
      </c>
      <c r="BY2216" t="s">
        <v>198</v>
      </c>
      <c r="BZ2216" t="s">
        <v>199</v>
      </c>
      <c r="CA2216" t="s">
        <v>199</v>
      </c>
      <c r="CB2216" t="s">
        <v>25846</v>
      </c>
      <c r="CC2216" t="s">
        <v>201</v>
      </c>
      <c r="CD2216" t="s">
        <v>182</v>
      </c>
      <c r="CE2216" t="s">
        <v>25847</v>
      </c>
      <c r="CF2216" t="s">
        <v>5331</v>
      </c>
      <c r="CG2216" t="s">
        <v>177</v>
      </c>
      <c r="CH2216" t="s">
        <v>371</v>
      </c>
      <c r="CI2216" t="s">
        <v>25848</v>
      </c>
      <c r="CJ2216" t="s">
        <v>25849</v>
      </c>
      <c r="CK2216" t="s">
        <v>232</v>
      </c>
      <c r="CL2216" t="s">
        <v>233</v>
      </c>
      <c r="CM2216" t="s">
        <v>25850</v>
      </c>
      <c r="CN2216" t="s">
        <v>235</v>
      </c>
      <c r="CO2216" t="s">
        <v>183</v>
      </c>
      <c r="CP2216" t="s">
        <v>211</v>
      </c>
      <c r="CQ2216" t="s">
        <v>342</v>
      </c>
      <c r="CS2216" t="s">
        <v>1609</v>
      </c>
      <c r="CT2216" t="s">
        <v>5017</v>
      </c>
      <c r="CU2216" t="s">
        <v>267</v>
      </c>
      <c r="CV2216" t="s">
        <v>268</v>
      </c>
      <c r="CW2216" t="s">
        <v>25851</v>
      </c>
      <c r="CX2216" t="s">
        <v>235</v>
      </c>
      <c r="CY2216" t="s">
        <v>183</v>
      </c>
      <c r="CZ2216" t="s">
        <v>211</v>
      </c>
      <c r="DA2216" t="s">
        <v>329</v>
      </c>
      <c r="DC2216" t="s">
        <v>462</v>
      </c>
      <c r="DD2216" t="s">
        <v>18069</v>
      </c>
      <c r="DE2216" t="s">
        <v>273</v>
      </c>
      <c r="DF2216" t="s">
        <v>274</v>
      </c>
      <c r="DG2216" t="s">
        <v>25852</v>
      </c>
      <c r="DH2216" t="s">
        <v>235</v>
      </c>
      <c r="DI2216" t="s">
        <v>183</v>
      </c>
      <c r="DJ2216" t="s">
        <v>211</v>
      </c>
      <c r="DK2216" t="s">
        <v>270</v>
      </c>
      <c r="DM2216" t="s">
        <v>692</v>
      </c>
      <c r="DN2216" t="s">
        <v>25853</v>
      </c>
      <c r="DO2216" t="s">
        <v>302</v>
      </c>
      <c r="DP2216" t="s">
        <v>303</v>
      </c>
      <c r="DQ2216" t="s">
        <v>25854</v>
      </c>
      <c r="DR2216" t="s">
        <v>235</v>
      </c>
      <c r="DS2216" t="s">
        <v>183</v>
      </c>
      <c r="DT2216" t="s">
        <v>211</v>
      </c>
      <c r="DU2216" t="s">
        <v>337</v>
      </c>
      <c r="DW2216" t="s">
        <v>692</v>
      </c>
      <c r="DX2216" t="s">
        <v>6712</v>
      </c>
      <c r="DY2216" t="s">
        <v>238</v>
      </c>
      <c r="DZ2216" t="s">
        <v>239</v>
      </c>
      <c r="EA2216" t="s">
        <v>25855</v>
      </c>
      <c r="EB2216" t="s">
        <v>235</v>
      </c>
      <c r="EC2216" t="s">
        <v>183</v>
      </c>
      <c r="ED2216" t="s">
        <v>211</v>
      </c>
      <c r="EE2216" t="s">
        <v>296</v>
      </c>
      <c r="EG2216" t="s">
        <v>9087</v>
      </c>
      <c r="EQ2216" t="s">
        <v>198</v>
      </c>
      <c r="FA2216" t="s">
        <v>198</v>
      </c>
      <c r="FK2216" t="s">
        <v>198</v>
      </c>
      <c r="FU2216" t="s">
        <v>198</v>
      </c>
    </row>
    <row r="2217" spans="1:177">
      <c r="A2217" s="1" t="str">
        <f>HYPERLINK("http://digipan.lumentumllc.com/apps/getLink/index.php?t=PropLink&amp;p=15734887","PL")</f>
        <v>PL</v>
      </c>
      <c r="B2217" s="1" t="str">
        <f>HYPERLINK("http://digipan.lumentumllc.com/apps/getLink/index.php?t=TaxLink&amp;p=15734887","TL")</f>
        <v>TL</v>
      </c>
      <c r="C2217" s="1" t="str">
        <f>HYPERLINK("http://digipan.lumentumllc.com/apps/getMap/index.php?p=15734887","Map")</f>
        <v>Map</v>
      </c>
      <c r="E2217" t="s">
        <v>177</v>
      </c>
      <c r="F2217" t="s">
        <v>178</v>
      </c>
      <c r="L2217" t="s">
        <v>25856</v>
      </c>
      <c r="N2217" t="s">
        <v>25856</v>
      </c>
      <c r="O2217" t="s">
        <v>25856</v>
      </c>
      <c r="Q2217" t="s">
        <v>25856</v>
      </c>
      <c r="V2217">
        <v>2535</v>
      </c>
      <c r="W2217">
        <v>8</v>
      </c>
      <c r="X2217">
        <v>2017</v>
      </c>
      <c r="Y2217">
        <v>2018</v>
      </c>
      <c r="Z2217">
        <v>1016.11</v>
      </c>
      <c r="AG2217" t="s">
        <v>184</v>
      </c>
      <c r="AH2217">
        <v>0</v>
      </c>
      <c r="AK2217">
        <v>0</v>
      </c>
      <c r="AL2217">
        <v>59125</v>
      </c>
      <c r="AM2217">
        <v>40000</v>
      </c>
      <c r="AN2217">
        <v>19125</v>
      </c>
      <c r="AO2217">
        <v>1254</v>
      </c>
      <c r="AP2217">
        <v>2016</v>
      </c>
      <c r="AQ2217">
        <v>1.72</v>
      </c>
      <c r="AS2217" t="s">
        <v>25857</v>
      </c>
      <c r="AT2217" t="s">
        <v>15040</v>
      </c>
      <c r="AU2217" t="s">
        <v>177</v>
      </c>
      <c r="AV2217" t="s">
        <v>371</v>
      </c>
      <c r="AW2217" t="s">
        <v>182</v>
      </c>
      <c r="AX2217">
        <v>1</v>
      </c>
      <c r="AY2217" t="s">
        <v>188</v>
      </c>
      <c r="AZ2217" t="s">
        <v>206</v>
      </c>
      <c r="BA2217" t="s">
        <v>355</v>
      </c>
      <c r="BB2217" t="s">
        <v>191</v>
      </c>
      <c r="BC2217" t="s">
        <v>182</v>
      </c>
      <c r="BD2217" t="s">
        <v>182</v>
      </c>
      <c r="BE2217" t="s">
        <v>3956</v>
      </c>
      <c r="BF2217">
        <v>1</v>
      </c>
      <c r="BG2217">
        <v>1</v>
      </c>
      <c r="BH2217">
        <v>1959</v>
      </c>
      <c r="BI2217" t="s">
        <v>8588</v>
      </c>
      <c r="BJ2217" t="s">
        <v>194</v>
      </c>
      <c r="BK2217" t="s">
        <v>195</v>
      </c>
      <c r="BL2217" t="s">
        <v>1720</v>
      </c>
      <c r="BM2217" t="s">
        <v>325</v>
      </c>
      <c r="BN2217" t="s">
        <v>182</v>
      </c>
      <c r="BO2217" t="s">
        <v>198</v>
      </c>
      <c r="BP2217" t="s">
        <v>198</v>
      </c>
      <c r="BQ2217" t="s">
        <v>198</v>
      </c>
      <c r="BR2217" t="s">
        <v>198</v>
      </c>
      <c r="BS2217" t="s">
        <v>198</v>
      </c>
      <c r="BT2217" t="s">
        <v>198</v>
      </c>
      <c r="BU2217" t="s">
        <v>182</v>
      </c>
      <c r="BV2217" t="s">
        <v>198</v>
      </c>
      <c r="BW2217" t="s">
        <v>198</v>
      </c>
      <c r="BX2217" t="s">
        <v>199</v>
      </c>
      <c r="BY2217" t="s">
        <v>198</v>
      </c>
      <c r="BZ2217" t="s">
        <v>199</v>
      </c>
      <c r="CA2217" t="s">
        <v>199</v>
      </c>
      <c r="CB2217" t="s">
        <v>25858</v>
      </c>
      <c r="CC2217" t="s">
        <v>201</v>
      </c>
      <c r="CD2217" t="s">
        <v>182</v>
      </c>
      <c r="CE2217" t="s">
        <v>15493</v>
      </c>
      <c r="CF2217" t="s">
        <v>5331</v>
      </c>
      <c r="CG2217" t="s">
        <v>177</v>
      </c>
      <c r="CH2217" t="s">
        <v>371</v>
      </c>
      <c r="CI2217" t="s">
        <v>25859</v>
      </c>
      <c r="CS2217" t="s">
        <v>198</v>
      </c>
      <c r="DC2217" t="s">
        <v>198</v>
      </c>
      <c r="DM2217" t="s">
        <v>198</v>
      </c>
      <c r="DW2217" t="s">
        <v>198</v>
      </c>
      <c r="EG2217" t="s">
        <v>198</v>
      </c>
      <c r="EQ2217" t="s">
        <v>198</v>
      </c>
      <c r="FA2217" t="s">
        <v>198</v>
      </c>
      <c r="FK2217" t="s">
        <v>198</v>
      </c>
      <c r="FU2217" t="s">
        <v>198</v>
      </c>
    </row>
    <row r="2218" spans="1:177">
      <c r="A2218" s="1" t="str">
        <f>HYPERLINK("http://digipan.lumentumllc.com/apps/getLink/index.php?t=PropLink&amp;p=5244665","PL")</f>
        <v>PL</v>
      </c>
      <c r="B2218" s="1" t="str">
        <f>HYPERLINK("http://digipan.lumentumllc.com/apps/getLink/index.php?t=TaxLink&amp;p=5244665","TL")</f>
        <v>TL</v>
      </c>
      <c r="C2218" s="1" t="str">
        <f>HYPERLINK("http://digipan.lumentumllc.com/apps/getMap/index.php?p=5244665","Map")</f>
        <v>Map</v>
      </c>
      <c r="E2218" t="s">
        <v>177</v>
      </c>
      <c r="F2218" t="s">
        <v>178</v>
      </c>
      <c r="L2218" t="s">
        <v>25860</v>
      </c>
      <c r="N2218" t="s">
        <v>25860</v>
      </c>
      <c r="O2218" t="s">
        <v>25860</v>
      </c>
      <c r="P2218" t="s">
        <v>25861</v>
      </c>
      <c r="Q2218" t="s">
        <v>25860</v>
      </c>
      <c r="V2218">
        <v>2537</v>
      </c>
      <c r="W2218">
        <v>8</v>
      </c>
      <c r="X2218">
        <v>2017</v>
      </c>
      <c r="Y2218">
        <v>2018</v>
      </c>
      <c r="Z2218">
        <v>753.4</v>
      </c>
      <c r="AB2218" t="s">
        <v>181</v>
      </c>
      <c r="AC2218" t="s">
        <v>182</v>
      </c>
      <c r="AD2218" t="s">
        <v>183</v>
      </c>
      <c r="AE2218">
        <v>0</v>
      </c>
      <c r="AF2218">
        <v>3</v>
      </c>
      <c r="AG2218" t="s">
        <v>381</v>
      </c>
      <c r="AH2218">
        <v>100</v>
      </c>
      <c r="AK2218">
        <v>0</v>
      </c>
      <c r="AL2218">
        <v>91741</v>
      </c>
      <c r="AM2218">
        <v>40000</v>
      </c>
      <c r="AN2218">
        <v>51741</v>
      </c>
      <c r="AO2218">
        <v>653</v>
      </c>
      <c r="AP2218">
        <v>2016</v>
      </c>
      <c r="AQ2218">
        <v>0.82</v>
      </c>
      <c r="AS2218" t="s">
        <v>25862</v>
      </c>
      <c r="AT2218" t="s">
        <v>15040</v>
      </c>
      <c r="AU2218" t="s">
        <v>177</v>
      </c>
      <c r="AV2218" t="s">
        <v>371</v>
      </c>
      <c r="AW2218" t="s">
        <v>202</v>
      </c>
      <c r="AX2218">
        <v>1</v>
      </c>
      <c r="AY2218" t="s">
        <v>188</v>
      </c>
      <c r="AZ2218" t="s">
        <v>206</v>
      </c>
      <c r="BA2218" t="s">
        <v>355</v>
      </c>
      <c r="BB2218" t="s">
        <v>191</v>
      </c>
      <c r="BC2218" t="s">
        <v>182</v>
      </c>
      <c r="BD2218" t="s">
        <v>182</v>
      </c>
      <c r="BE2218" t="s">
        <v>3956</v>
      </c>
      <c r="BF2218">
        <v>1</v>
      </c>
      <c r="BG2218">
        <v>1</v>
      </c>
      <c r="BH2218">
        <v>1971</v>
      </c>
      <c r="BI2218" t="s">
        <v>14501</v>
      </c>
      <c r="BJ2218" t="s">
        <v>194</v>
      </c>
      <c r="BK2218" t="s">
        <v>195</v>
      </c>
      <c r="BL2218" t="s">
        <v>199</v>
      </c>
      <c r="BM2218" t="s">
        <v>346</v>
      </c>
      <c r="BN2218" t="s">
        <v>182</v>
      </c>
      <c r="BO2218" t="s">
        <v>4177</v>
      </c>
      <c r="BP2218" t="s">
        <v>25863</v>
      </c>
      <c r="BS2218" t="s">
        <v>25864</v>
      </c>
      <c r="BT2218" t="s">
        <v>198</v>
      </c>
      <c r="BU2218" t="s">
        <v>182</v>
      </c>
      <c r="BV2218" t="s">
        <v>198</v>
      </c>
      <c r="BW2218" t="s">
        <v>198</v>
      </c>
      <c r="BX2218" t="s">
        <v>199</v>
      </c>
      <c r="BY2218" t="s">
        <v>198</v>
      </c>
      <c r="BZ2218" t="s">
        <v>199</v>
      </c>
      <c r="CA2218" t="s">
        <v>199</v>
      </c>
      <c r="CB2218" t="s">
        <v>25865</v>
      </c>
      <c r="CC2218" t="s">
        <v>201</v>
      </c>
      <c r="CD2218" t="s">
        <v>202</v>
      </c>
      <c r="CE2218" t="s">
        <v>25866</v>
      </c>
      <c r="CF2218" t="s">
        <v>5331</v>
      </c>
      <c r="CG2218" t="s">
        <v>177</v>
      </c>
      <c r="CH2218" t="s">
        <v>371</v>
      </c>
      <c r="CI2218" t="s">
        <v>25867</v>
      </c>
      <c r="CJ2218" t="s">
        <v>11432</v>
      </c>
      <c r="CK2218" t="s">
        <v>292</v>
      </c>
      <c r="CL2218" t="s">
        <v>293</v>
      </c>
      <c r="CM2218" t="s">
        <v>25868</v>
      </c>
      <c r="CN2218" t="s">
        <v>235</v>
      </c>
      <c r="CO2218" t="s">
        <v>183</v>
      </c>
      <c r="CP2218" t="s">
        <v>211</v>
      </c>
      <c r="CQ2218" t="s">
        <v>212</v>
      </c>
      <c r="CS2218" t="s">
        <v>19535</v>
      </c>
      <c r="CT2218" t="s">
        <v>4384</v>
      </c>
      <c r="CU2218" t="s">
        <v>267</v>
      </c>
      <c r="CV2218" t="s">
        <v>268</v>
      </c>
      <c r="CW2218" t="s">
        <v>25869</v>
      </c>
      <c r="CX2218" t="s">
        <v>235</v>
      </c>
      <c r="CY2218" t="s">
        <v>183</v>
      </c>
      <c r="CZ2218" t="s">
        <v>211</v>
      </c>
      <c r="DA2218" t="s">
        <v>298</v>
      </c>
      <c r="DC2218" t="s">
        <v>25870</v>
      </c>
      <c r="DD2218" t="s">
        <v>25871</v>
      </c>
      <c r="DE2218" t="s">
        <v>346</v>
      </c>
      <c r="DF2218" t="s">
        <v>347</v>
      </c>
      <c r="DG2218" t="s">
        <v>25872</v>
      </c>
      <c r="DH2218" t="s">
        <v>235</v>
      </c>
      <c r="DI2218" t="s">
        <v>183</v>
      </c>
      <c r="DJ2218" t="s">
        <v>211</v>
      </c>
      <c r="DK2218" t="s">
        <v>342</v>
      </c>
      <c r="DM2218" t="s">
        <v>1419</v>
      </c>
      <c r="DW2218" t="s">
        <v>198</v>
      </c>
      <c r="EG2218" t="s">
        <v>198</v>
      </c>
      <c r="EQ2218" t="s">
        <v>198</v>
      </c>
      <c r="FA2218" t="s">
        <v>198</v>
      </c>
      <c r="FK2218" t="s">
        <v>198</v>
      </c>
      <c r="FU2218" t="s">
        <v>198</v>
      </c>
    </row>
    <row r="2219" spans="1:177">
      <c r="A2219" s="1" t="str">
        <f>HYPERLINK("http://digipan.lumentumllc.com/apps/getLink/index.php?t=PropLink&amp;p=5244667","PL")</f>
        <v>PL</v>
      </c>
      <c r="B2219" s="1" t="str">
        <f>HYPERLINK("http://digipan.lumentumllc.com/apps/getLink/index.php?t=TaxLink&amp;p=5244667","TL")</f>
        <v>TL</v>
      </c>
      <c r="C2219" s="1" t="str">
        <f>HYPERLINK("http://digipan.lumentumllc.com/apps/getMap/index.php?p=5244667","Map")</f>
        <v>Map</v>
      </c>
      <c r="E2219" t="s">
        <v>177</v>
      </c>
      <c r="F2219" t="s">
        <v>178</v>
      </c>
      <c r="L2219" t="s">
        <v>25873</v>
      </c>
      <c r="N2219" t="s">
        <v>25873</v>
      </c>
      <c r="O2219" t="s">
        <v>25873</v>
      </c>
      <c r="P2219" t="s">
        <v>25874</v>
      </c>
      <c r="Q2219" t="s">
        <v>25873</v>
      </c>
      <c r="V2219">
        <v>2538</v>
      </c>
      <c r="W2219">
        <v>8</v>
      </c>
      <c r="X2219">
        <v>2017</v>
      </c>
      <c r="Y2219">
        <v>2018</v>
      </c>
      <c r="Z2219">
        <v>1750.93</v>
      </c>
      <c r="AB2219" t="s">
        <v>181</v>
      </c>
      <c r="AC2219" t="s">
        <v>202</v>
      </c>
      <c r="AD2219" t="s">
        <v>183</v>
      </c>
      <c r="AE2219">
        <v>1</v>
      </c>
      <c r="AF2219">
        <v>6</v>
      </c>
      <c r="AG2219" t="s">
        <v>322</v>
      </c>
      <c r="AH2219">
        <v>83</v>
      </c>
      <c r="AI2219">
        <v>1650.14</v>
      </c>
      <c r="AJ2219">
        <v>82.51</v>
      </c>
      <c r="AK2219">
        <v>1732.65</v>
      </c>
      <c r="AL2219">
        <v>103273</v>
      </c>
      <c r="AM2219">
        <v>40000</v>
      </c>
      <c r="AN2219">
        <v>63273</v>
      </c>
      <c r="AO2219">
        <v>1501</v>
      </c>
      <c r="AP2219">
        <v>2016</v>
      </c>
      <c r="AQ2219">
        <v>1.7</v>
      </c>
      <c r="AR2219">
        <v>1.68</v>
      </c>
      <c r="AS2219" t="s">
        <v>25875</v>
      </c>
      <c r="AT2219" t="s">
        <v>15040</v>
      </c>
      <c r="AU2219" t="s">
        <v>177</v>
      </c>
      <c r="AV2219" t="s">
        <v>371</v>
      </c>
      <c r="AW2219" t="s">
        <v>182</v>
      </c>
      <c r="AX2219">
        <v>1</v>
      </c>
      <c r="AY2219" t="s">
        <v>188</v>
      </c>
      <c r="AZ2219" t="s">
        <v>206</v>
      </c>
      <c r="BA2219" t="s">
        <v>355</v>
      </c>
      <c r="BB2219" t="s">
        <v>191</v>
      </c>
      <c r="BC2219" t="s">
        <v>182</v>
      </c>
      <c r="BD2219" t="s">
        <v>182</v>
      </c>
      <c r="BE2219" t="s">
        <v>3956</v>
      </c>
      <c r="BF2219">
        <v>1</v>
      </c>
      <c r="BG2219">
        <v>1</v>
      </c>
      <c r="BH2219">
        <v>1996</v>
      </c>
      <c r="BI2219" t="s">
        <v>12295</v>
      </c>
      <c r="BJ2219" t="s">
        <v>194</v>
      </c>
      <c r="BK2219" t="s">
        <v>840</v>
      </c>
      <c r="BL2219" t="s">
        <v>6575</v>
      </c>
      <c r="BM2219" t="s">
        <v>346</v>
      </c>
      <c r="BN2219" t="s">
        <v>182</v>
      </c>
      <c r="BO2219" t="s">
        <v>5651</v>
      </c>
      <c r="BP2219" t="s">
        <v>23251</v>
      </c>
      <c r="BQ2219" t="s">
        <v>1896</v>
      </c>
      <c r="BR2219" t="s">
        <v>563</v>
      </c>
      <c r="BS2219" t="s">
        <v>198</v>
      </c>
      <c r="BT2219" t="s">
        <v>25876</v>
      </c>
      <c r="BU2219" t="s">
        <v>182</v>
      </c>
      <c r="BV2219" t="s">
        <v>198</v>
      </c>
      <c r="BW2219" t="s">
        <v>198</v>
      </c>
      <c r="BX2219" t="s">
        <v>199</v>
      </c>
      <c r="BY2219" t="s">
        <v>198</v>
      </c>
      <c r="BZ2219" t="s">
        <v>199</v>
      </c>
      <c r="CA2219" t="s">
        <v>199</v>
      </c>
      <c r="CB2219" t="s">
        <v>25877</v>
      </c>
      <c r="CC2219" t="s">
        <v>201</v>
      </c>
      <c r="CD2219" t="s">
        <v>182</v>
      </c>
      <c r="CE2219" t="s">
        <v>25878</v>
      </c>
      <c r="CF2219" t="s">
        <v>5331</v>
      </c>
      <c r="CG2219" t="s">
        <v>177</v>
      </c>
      <c r="CH2219" t="s">
        <v>371</v>
      </c>
      <c r="CI2219" t="s">
        <v>25879</v>
      </c>
      <c r="CJ2219" t="s">
        <v>16881</v>
      </c>
      <c r="CK2219" t="s">
        <v>232</v>
      </c>
      <c r="CL2219" t="s">
        <v>233</v>
      </c>
      <c r="CM2219" t="s">
        <v>4404</v>
      </c>
      <c r="CN2219" t="s">
        <v>235</v>
      </c>
      <c r="CO2219" t="s">
        <v>183</v>
      </c>
      <c r="CP2219" t="s">
        <v>266</v>
      </c>
      <c r="CS2219" t="s">
        <v>198</v>
      </c>
      <c r="CT2219" t="s">
        <v>10168</v>
      </c>
      <c r="CU2219" t="s">
        <v>292</v>
      </c>
      <c r="CV2219" t="s">
        <v>293</v>
      </c>
      <c r="CW2219" t="s">
        <v>25880</v>
      </c>
      <c r="CX2219" t="s">
        <v>235</v>
      </c>
      <c r="CY2219" t="s">
        <v>183</v>
      </c>
      <c r="CZ2219" t="s">
        <v>211</v>
      </c>
      <c r="DA2219" t="s">
        <v>250</v>
      </c>
      <c r="DB2219" t="s">
        <v>271</v>
      </c>
      <c r="DC2219" t="s">
        <v>20829</v>
      </c>
      <c r="DD2219" t="s">
        <v>18863</v>
      </c>
      <c r="DE2219" t="s">
        <v>267</v>
      </c>
      <c r="DF2219" t="s">
        <v>268</v>
      </c>
      <c r="DG2219" t="s">
        <v>25881</v>
      </c>
      <c r="DH2219" t="s">
        <v>235</v>
      </c>
      <c r="DI2219" t="s">
        <v>183</v>
      </c>
      <c r="DJ2219" t="s">
        <v>211</v>
      </c>
      <c r="DK2219" t="s">
        <v>487</v>
      </c>
      <c r="DL2219" t="s">
        <v>271</v>
      </c>
      <c r="DM2219" t="s">
        <v>20829</v>
      </c>
      <c r="DN2219" t="s">
        <v>21362</v>
      </c>
      <c r="DO2219" t="s">
        <v>273</v>
      </c>
      <c r="DP2219" t="s">
        <v>274</v>
      </c>
      <c r="DQ2219" t="s">
        <v>25882</v>
      </c>
      <c r="DR2219" t="s">
        <v>235</v>
      </c>
      <c r="DS2219" t="s">
        <v>183</v>
      </c>
      <c r="DT2219" t="s">
        <v>211</v>
      </c>
      <c r="DV2219" t="s">
        <v>271</v>
      </c>
      <c r="DW2219" t="s">
        <v>198</v>
      </c>
      <c r="DX2219" t="s">
        <v>7125</v>
      </c>
      <c r="DY2219" t="s">
        <v>238</v>
      </c>
      <c r="DZ2219" t="s">
        <v>239</v>
      </c>
      <c r="EA2219" t="s">
        <v>25883</v>
      </c>
      <c r="EB2219" t="s">
        <v>235</v>
      </c>
      <c r="EC2219" t="s">
        <v>183</v>
      </c>
      <c r="ED2219" t="s">
        <v>211</v>
      </c>
      <c r="EE2219" t="s">
        <v>212</v>
      </c>
      <c r="EF2219" t="s">
        <v>271</v>
      </c>
      <c r="EG2219" t="s">
        <v>25884</v>
      </c>
      <c r="EH2219" t="s">
        <v>25885</v>
      </c>
      <c r="EI2219" t="s">
        <v>346</v>
      </c>
      <c r="EJ2219" t="s">
        <v>347</v>
      </c>
      <c r="EK2219" t="s">
        <v>25886</v>
      </c>
      <c r="EL2219" t="s">
        <v>235</v>
      </c>
      <c r="EM2219" t="s">
        <v>183</v>
      </c>
      <c r="EN2219" t="s">
        <v>211</v>
      </c>
      <c r="EP2219" t="s">
        <v>271</v>
      </c>
      <c r="EQ2219" t="s">
        <v>198</v>
      </c>
      <c r="ER2219" t="s">
        <v>25491</v>
      </c>
      <c r="ES2219" t="s">
        <v>207</v>
      </c>
      <c r="ET2219" t="s">
        <v>208</v>
      </c>
      <c r="EU2219" t="s">
        <v>25887</v>
      </c>
      <c r="EV2219" t="s">
        <v>235</v>
      </c>
      <c r="EW2219" t="s">
        <v>183</v>
      </c>
      <c r="EX2219" t="s">
        <v>211</v>
      </c>
      <c r="EY2219" t="s">
        <v>189</v>
      </c>
      <c r="FA2219" t="s">
        <v>25888</v>
      </c>
      <c r="FK2219" t="s">
        <v>198</v>
      </c>
      <c r="FU2219" t="s">
        <v>198</v>
      </c>
    </row>
    <row r="2220" spans="1:177">
      <c r="A2220" s="1" t="str">
        <f>HYPERLINK("http://digipan.lumentumllc.com/apps/getLink/index.php?t=PropLink&amp;p=6886621","PL")</f>
        <v>PL</v>
      </c>
      <c r="B2220" s="1" t="str">
        <f>HYPERLINK("http://digipan.lumentumllc.com/apps/getLink/index.php?t=TaxLink&amp;p=6886621","TL")</f>
        <v>TL</v>
      </c>
      <c r="C2220" s="1" t="str">
        <f>HYPERLINK("http://digipan.lumentumllc.com/apps/getMap/index.php?p=6886621","Map")</f>
        <v>Map</v>
      </c>
      <c r="E2220" t="s">
        <v>177</v>
      </c>
      <c r="F2220" t="s">
        <v>178</v>
      </c>
      <c r="L2220" t="s">
        <v>25889</v>
      </c>
      <c r="N2220" t="s">
        <v>25889</v>
      </c>
      <c r="O2220" t="s">
        <v>25889</v>
      </c>
      <c r="P2220" t="s">
        <v>25890</v>
      </c>
      <c r="Q2220" t="s">
        <v>25889</v>
      </c>
      <c r="V2220">
        <v>2539</v>
      </c>
      <c r="W2220">
        <v>8</v>
      </c>
      <c r="X2220">
        <v>2017</v>
      </c>
      <c r="Y2220">
        <v>2018</v>
      </c>
      <c r="Z2220">
        <v>1945.15</v>
      </c>
      <c r="AB2220" t="s">
        <v>181</v>
      </c>
      <c r="AC2220" t="s">
        <v>182</v>
      </c>
      <c r="AD2220" t="s">
        <v>183</v>
      </c>
      <c r="AE2220">
        <v>1</v>
      </c>
      <c r="AF2220">
        <v>2</v>
      </c>
      <c r="AG2220" t="s">
        <v>363</v>
      </c>
      <c r="AH2220">
        <v>67</v>
      </c>
      <c r="AI2220">
        <v>1869.24</v>
      </c>
      <c r="AJ2220">
        <v>93.46</v>
      </c>
      <c r="AK2220">
        <v>1962.7</v>
      </c>
      <c r="AL2220">
        <v>114940</v>
      </c>
      <c r="AM2220">
        <v>34000</v>
      </c>
      <c r="AN2220">
        <v>80940</v>
      </c>
      <c r="AO2220">
        <v>1703</v>
      </c>
      <c r="AP2220">
        <v>2016</v>
      </c>
      <c r="AQ2220">
        <v>1.69</v>
      </c>
      <c r="AR2220">
        <v>1.71</v>
      </c>
      <c r="AS2220" t="s">
        <v>25891</v>
      </c>
      <c r="AT2220" t="s">
        <v>15040</v>
      </c>
      <c r="AU2220" t="s">
        <v>177</v>
      </c>
      <c r="AV2220" t="s">
        <v>371</v>
      </c>
      <c r="AW2220" t="s">
        <v>182</v>
      </c>
      <c r="AX2220">
        <v>1</v>
      </c>
      <c r="AY2220" t="s">
        <v>188</v>
      </c>
      <c r="AZ2220" t="s">
        <v>206</v>
      </c>
      <c r="BA2220" t="s">
        <v>355</v>
      </c>
      <c r="BB2220" t="s">
        <v>191</v>
      </c>
      <c r="BC2220" t="s">
        <v>182</v>
      </c>
      <c r="BD2220" t="s">
        <v>182</v>
      </c>
      <c r="BE2220" t="s">
        <v>6986</v>
      </c>
      <c r="BF2220">
        <v>1</v>
      </c>
      <c r="BG2220">
        <v>1</v>
      </c>
      <c r="BH2220">
        <v>1938</v>
      </c>
      <c r="BI2220" t="s">
        <v>9977</v>
      </c>
      <c r="BJ2220" t="s">
        <v>285</v>
      </c>
      <c r="BK2220" t="s">
        <v>195</v>
      </c>
      <c r="BL2220" t="s">
        <v>764</v>
      </c>
      <c r="BM2220" t="s">
        <v>238</v>
      </c>
      <c r="BN2220" t="s">
        <v>182</v>
      </c>
      <c r="BO2220" t="s">
        <v>3842</v>
      </c>
      <c r="BP2220" t="s">
        <v>25892</v>
      </c>
      <c r="BR2220" t="s">
        <v>1461</v>
      </c>
      <c r="BS2220" t="s">
        <v>16936</v>
      </c>
      <c r="BT2220" t="s">
        <v>198</v>
      </c>
      <c r="BU2220" t="s">
        <v>182</v>
      </c>
      <c r="BV2220" t="s">
        <v>198</v>
      </c>
      <c r="BW2220" t="s">
        <v>198</v>
      </c>
      <c r="BX2220" t="s">
        <v>199</v>
      </c>
      <c r="BY2220" t="s">
        <v>198</v>
      </c>
      <c r="BZ2220" t="s">
        <v>199</v>
      </c>
      <c r="CA2220" t="s">
        <v>199</v>
      </c>
      <c r="CB2220" t="s">
        <v>25893</v>
      </c>
      <c r="CC2220" t="s">
        <v>201</v>
      </c>
      <c r="CD2220" t="s">
        <v>182</v>
      </c>
      <c r="CE2220" t="s">
        <v>25894</v>
      </c>
      <c r="CF2220" t="s">
        <v>5331</v>
      </c>
      <c r="CG2220" t="s">
        <v>177</v>
      </c>
      <c r="CH2220" t="s">
        <v>371</v>
      </c>
      <c r="CI2220" t="s">
        <v>25895</v>
      </c>
      <c r="CJ2220" t="s">
        <v>16895</v>
      </c>
      <c r="CK2220" t="s">
        <v>232</v>
      </c>
      <c r="CL2220" t="s">
        <v>233</v>
      </c>
      <c r="CM2220" t="s">
        <v>25896</v>
      </c>
      <c r="CN2220" t="s">
        <v>235</v>
      </c>
      <c r="CO2220" t="s">
        <v>183</v>
      </c>
      <c r="CP2220" t="s">
        <v>266</v>
      </c>
      <c r="CS2220" t="s">
        <v>198</v>
      </c>
      <c r="CT2220" t="s">
        <v>5550</v>
      </c>
      <c r="CU2220" t="s">
        <v>292</v>
      </c>
      <c r="CV2220" t="s">
        <v>293</v>
      </c>
      <c r="CW2220" t="s">
        <v>25897</v>
      </c>
      <c r="CX2220" t="s">
        <v>235</v>
      </c>
      <c r="CY2220" t="s">
        <v>183</v>
      </c>
      <c r="CZ2220" t="s">
        <v>211</v>
      </c>
      <c r="DA2220" t="s">
        <v>296</v>
      </c>
      <c r="DC2220" t="s">
        <v>19331</v>
      </c>
      <c r="DD2220" t="s">
        <v>18878</v>
      </c>
      <c r="DE2220" t="s">
        <v>267</v>
      </c>
      <c r="DF2220" t="s">
        <v>268</v>
      </c>
      <c r="DG2220" t="s">
        <v>25898</v>
      </c>
      <c r="DH2220" t="s">
        <v>235</v>
      </c>
      <c r="DI2220" t="s">
        <v>183</v>
      </c>
      <c r="DJ2220" t="s">
        <v>211</v>
      </c>
      <c r="DK2220" t="s">
        <v>444</v>
      </c>
      <c r="DM2220" t="s">
        <v>19331</v>
      </c>
      <c r="DW2220" t="s">
        <v>198</v>
      </c>
      <c r="EG2220" t="s">
        <v>198</v>
      </c>
      <c r="EQ2220" t="s">
        <v>198</v>
      </c>
      <c r="FA2220" t="s">
        <v>198</v>
      </c>
      <c r="FK2220" t="s">
        <v>198</v>
      </c>
      <c r="FU2220" t="s">
        <v>198</v>
      </c>
    </row>
    <row r="2221" spans="1:177">
      <c r="A2221" s="1" t="str">
        <f>HYPERLINK("http://digipan.lumentumllc.com/apps/getLink/index.php?t=PropLink&amp;p=5244670","PL")</f>
        <v>PL</v>
      </c>
      <c r="B2221" s="1" t="str">
        <f>HYPERLINK("http://digipan.lumentumllc.com/apps/getLink/index.php?t=TaxLink&amp;p=5244670","TL")</f>
        <v>TL</v>
      </c>
      <c r="C2221" s="1" t="str">
        <f>HYPERLINK("http://digipan.lumentumllc.com/apps/getMap/index.php?p=5244670","Map")</f>
        <v>Map</v>
      </c>
      <c r="E2221" t="s">
        <v>177</v>
      </c>
      <c r="F2221" t="s">
        <v>178</v>
      </c>
      <c r="L2221" t="s">
        <v>25899</v>
      </c>
      <c r="N2221" t="s">
        <v>25899</v>
      </c>
      <c r="O2221" t="s">
        <v>25899</v>
      </c>
      <c r="P2221" t="s">
        <v>25900</v>
      </c>
      <c r="Q2221" t="s">
        <v>25899</v>
      </c>
      <c r="V2221">
        <v>2540</v>
      </c>
      <c r="W2221">
        <v>8</v>
      </c>
      <c r="X2221">
        <v>2017</v>
      </c>
      <c r="Y2221">
        <v>2018</v>
      </c>
      <c r="Z2221">
        <v>1488.64</v>
      </c>
      <c r="AB2221" t="s">
        <v>181</v>
      </c>
      <c r="AC2221" t="s">
        <v>182</v>
      </c>
      <c r="AD2221" t="s">
        <v>183</v>
      </c>
      <c r="AE2221">
        <v>1</v>
      </c>
      <c r="AF2221">
        <v>6</v>
      </c>
      <c r="AG2221" t="s">
        <v>322</v>
      </c>
      <c r="AH2221">
        <v>83</v>
      </c>
      <c r="AI2221">
        <v>1578.74</v>
      </c>
      <c r="AJ2221">
        <v>78.94</v>
      </c>
      <c r="AK2221">
        <v>1657.68</v>
      </c>
      <c r="AL2221">
        <v>90000</v>
      </c>
      <c r="AM2221">
        <v>90000</v>
      </c>
      <c r="AN2221">
        <v>0</v>
      </c>
      <c r="AO2221">
        <v>1435</v>
      </c>
      <c r="AP2221">
        <v>2016</v>
      </c>
      <c r="AQ2221">
        <v>1.65</v>
      </c>
      <c r="AR2221">
        <v>1.84</v>
      </c>
      <c r="AS2221" t="s">
        <v>25547</v>
      </c>
      <c r="AT2221" t="s">
        <v>15040</v>
      </c>
      <c r="AU2221" t="s">
        <v>177</v>
      </c>
      <c r="AV2221" t="s">
        <v>371</v>
      </c>
      <c r="AW2221" t="s">
        <v>182</v>
      </c>
      <c r="AX2221">
        <v>10</v>
      </c>
      <c r="AY2221" t="s">
        <v>3211</v>
      </c>
      <c r="AZ2221" t="s">
        <v>270</v>
      </c>
      <c r="BA2221" t="s">
        <v>3212</v>
      </c>
      <c r="BB2221" t="s">
        <v>191</v>
      </c>
      <c r="BC2221" t="s">
        <v>182</v>
      </c>
      <c r="BD2221" t="s">
        <v>182</v>
      </c>
      <c r="BE2221" t="s">
        <v>5369</v>
      </c>
      <c r="BF2221">
        <v>0</v>
      </c>
      <c r="BG2221">
        <v>0</v>
      </c>
      <c r="BH2221">
        <v>0</v>
      </c>
      <c r="BI2221" t="s">
        <v>199</v>
      </c>
      <c r="BJ2221" t="s">
        <v>315</v>
      </c>
      <c r="BL2221" t="s">
        <v>25901</v>
      </c>
      <c r="BM2221" t="s">
        <v>1311</v>
      </c>
      <c r="BN2221" t="s">
        <v>182</v>
      </c>
      <c r="BO2221" t="s">
        <v>198</v>
      </c>
      <c r="BP2221" t="s">
        <v>198</v>
      </c>
      <c r="BQ2221" t="s">
        <v>198</v>
      </c>
      <c r="BR2221" t="s">
        <v>198</v>
      </c>
      <c r="BS2221" t="s">
        <v>198</v>
      </c>
      <c r="BT2221" t="s">
        <v>198</v>
      </c>
      <c r="BU2221" t="s">
        <v>182</v>
      </c>
      <c r="BV2221" t="s">
        <v>198</v>
      </c>
      <c r="BW2221" t="s">
        <v>198</v>
      </c>
      <c r="BX2221" t="s">
        <v>199</v>
      </c>
      <c r="BY2221" t="s">
        <v>198</v>
      </c>
      <c r="BZ2221" t="s">
        <v>199</v>
      </c>
      <c r="CA2221" t="s">
        <v>199</v>
      </c>
      <c r="CB2221" t="s">
        <v>25902</v>
      </c>
      <c r="CC2221" t="s">
        <v>201</v>
      </c>
      <c r="CD2221" t="s">
        <v>182</v>
      </c>
      <c r="CE2221" t="s">
        <v>25903</v>
      </c>
      <c r="CF2221" t="s">
        <v>5331</v>
      </c>
      <c r="CG2221" t="s">
        <v>177</v>
      </c>
      <c r="CH2221" t="s">
        <v>371</v>
      </c>
      <c r="CI2221" t="s">
        <v>25904</v>
      </c>
      <c r="CJ2221" t="s">
        <v>25140</v>
      </c>
      <c r="CK2221" t="s">
        <v>232</v>
      </c>
      <c r="CL2221" t="s">
        <v>233</v>
      </c>
      <c r="CM2221" t="s">
        <v>25905</v>
      </c>
      <c r="CN2221" t="s">
        <v>235</v>
      </c>
      <c r="CO2221" t="s">
        <v>183</v>
      </c>
      <c r="CP2221" t="s">
        <v>266</v>
      </c>
      <c r="CS2221" t="s">
        <v>198</v>
      </c>
      <c r="CT2221" t="s">
        <v>10197</v>
      </c>
      <c r="CU2221" t="s">
        <v>292</v>
      </c>
      <c r="CV2221" t="s">
        <v>293</v>
      </c>
      <c r="CW2221" t="s">
        <v>25906</v>
      </c>
      <c r="CX2221" t="s">
        <v>235</v>
      </c>
      <c r="CY2221" t="s">
        <v>183</v>
      </c>
      <c r="CZ2221" t="s">
        <v>211</v>
      </c>
      <c r="DA2221" t="s">
        <v>523</v>
      </c>
      <c r="DC2221" t="s">
        <v>13344</v>
      </c>
      <c r="DD2221" t="s">
        <v>7287</v>
      </c>
      <c r="DE2221" t="s">
        <v>267</v>
      </c>
      <c r="DF2221" t="s">
        <v>268</v>
      </c>
      <c r="DG2221" t="s">
        <v>25907</v>
      </c>
      <c r="DH2221" t="s">
        <v>400</v>
      </c>
      <c r="DI2221" t="s">
        <v>183</v>
      </c>
      <c r="DJ2221" t="s">
        <v>211</v>
      </c>
      <c r="DK2221" t="s">
        <v>493</v>
      </c>
      <c r="DM2221" t="s">
        <v>25908</v>
      </c>
      <c r="DN2221" t="s">
        <v>21378</v>
      </c>
      <c r="DO2221" t="s">
        <v>273</v>
      </c>
      <c r="DP2221" t="s">
        <v>274</v>
      </c>
      <c r="DQ2221" t="s">
        <v>25909</v>
      </c>
      <c r="DR2221" t="s">
        <v>796</v>
      </c>
      <c r="DS2221" t="s">
        <v>183</v>
      </c>
      <c r="DT2221" t="s">
        <v>211</v>
      </c>
      <c r="DU2221" t="s">
        <v>298</v>
      </c>
      <c r="DW2221" t="s">
        <v>1069</v>
      </c>
      <c r="DX2221" t="s">
        <v>17250</v>
      </c>
      <c r="DY2221" t="s">
        <v>302</v>
      </c>
      <c r="DZ2221" t="s">
        <v>303</v>
      </c>
      <c r="EA2221" t="s">
        <v>25910</v>
      </c>
      <c r="EB2221" t="s">
        <v>7278</v>
      </c>
      <c r="EC2221" t="s">
        <v>183</v>
      </c>
      <c r="ED2221" t="s">
        <v>211</v>
      </c>
      <c r="EE2221" t="s">
        <v>298</v>
      </c>
      <c r="EG2221" t="s">
        <v>1346</v>
      </c>
      <c r="EH2221" t="s">
        <v>6726</v>
      </c>
      <c r="EI2221" t="s">
        <v>238</v>
      </c>
      <c r="EJ2221" t="s">
        <v>239</v>
      </c>
      <c r="EK2221" t="s">
        <v>25911</v>
      </c>
      <c r="EL2221" t="s">
        <v>440</v>
      </c>
      <c r="EM2221" t="s">
        <v>183</v>
      </c>
      <c r="EN2221" t="s">
        <v>211</v>
      </c>
      <c r="EO2221" t="s">
        <v>298</v>
      </c>
      <c r="EQ2221" t="s">
        <v>1794</v>
      </c>
      <c r="ER2221" t="s">
        <v>25912</v>
      </c>
      <c r="ES2221" t="s">
        <v>207</v>
      </c>
      <c r="ET2221" t="s">
        <v>208</v>
      </c>
      <c r="EU2221" t="s">
        <v>25913</v>
      </c>
      <c r="EV2221" t="s">
        <v>1676</v>
      </c>
      <c r="EW2221" t="s">
        <v>183</v>
      </c>
      <c r="EX2221" t="s">
        <v>211</v>
      </c>
      <c r="EY2221" t="s">
        <v>298</v>
      </c>
      <c r="FA2221" t="s">
        <v>5492</v>
      </c>
      <c r="FK2221" t="s">
        <v>198</v>
      </c>
      <c r="FU2221" t="s">
        <v>198</v>
      </c>
    </row>
    <row r="2222" spans="1:177">
      <c r="A2222" s="1" t="str">
        <f>HYPERLINK("http://digipan.lumentumllc.com/apps/getLink/index.php?t=PropLink&amp;p=5244671","PL")</f>
        <v>PL</v>
      </c>
      <c r="B2222" s="1" t="str">
        <f>HYPERLINK("http://digipan.lumentumllc.com/apps/getLink/index.php?t=TaxLink&amp;p=5244671","TL")</f>
        <v>TL</v>
      </c>
      <c r="C2222" s="1" t="str">
        <f>HYPERLINK("http://digipan.lumentumllc.com/apps/getMap/index.php?p=5244671","Map")</f>
        <v>Map</v>
      </c>
      <c r="E2222" t="s">
        <v>177</v>
      </c>
      <c r="F2222" t="s">
        <v>178</v>
      </c>
      <c r="L2222" t="s">
        <v>25914</v>
      </c>
      <c r="N2222" t="s">
        <v>25914</v>
      </c>
      <c r="O2222" t="s">
        <v>25914</v>
      </c>
      <c r="P2222" t="s">
        <v>25915</v>
      </c>
      <c r="Q2222" t="s">
        <v>25914</v>
      </c>
      <c r="V2222">
        <v>2541</v>
      </c>
      <c r="W2222">
        <v>8</v>
      </c>
      <c r="X2222">
        <v>2017</v>
      </c>
      <c r="Y2222">
        <v>2018</v>
      </c>
      <c r="Z2222">
        <v>567.84</v>
      </c>
      <c r="AB2222" t="s">
        <v>181</v>
      </c>
      <c r="AC2222" t="s">
        <v>182</v>
      </c>
      <c r="AD2222" t="s">
        <v>183</v>
      </c>
      <c r="AE2222">
        <v>1</v>
      </c>
      <c r="AF2222">
        <v>6</v>
      </c>
      <c r="AG2222" t="s">
        <v>418</v>
      </c>
      <c r="AH2222">
        <v>86</v>
      </c>
      <c r="AI2222">
        <v>483.6</v>
      </c>
      <c r="AJ2222">
        <v>24.18</v>
      </c>
      <c r="AK2222">
        <v>507.78</v>
      </c>
      <c r="AL2222">
        <v>68864</v>
      </c>
      <c r="AM2222">
        <v>30000</v>
      </c>
      <c r="AN2222">
        <v>38864</v>
      </c>
      <c r="AO2222">
        <v>422</v>
      </c>
      <c r="AP2222">
        <v>2016</v>
      </c>
      <c r="AQ2222">
        <v>0.82</v>
      </c>
      <c r="AR2222">
        <v>0.74</v>
      </c>
      <c r="AS2222" t="s">
        <v>25916</v>
      </c>
      <c r="AT2222" t="s">
        <v>15040</v>
      </c>
      <c r="AU2222" t="s">
        <v>177</v>
      </c>
      <c r="AV2222" t="s">
        <v>371</v>
      </c>
      <c r="AW2222" t="s">
        <v>202</v>
      </c>
      <c r="AX2222">
        <v>1</v>
      </c>
      <c r="AY2222" t="s">
        <v>188</v>
      </c>
      <c r="AZ2222" t="s">
        <v>206</v>
      </c>
      <c r="BA2222" t="s">
        <v>355</v>
      </c>
      <c r="BB2222" t="s">
        <v>191</v>
      </c>
      <c r="BC2222" t="s">
        <v>182</v>
      </c>
      <c r="BD2222" t="s">
        <v>182</v>
      </c>
      <c r="BE2222" t="s">
        <v>3956</v>
      </c>
      <c r="BF2222">
        <v>1</v>
      </c>
      <c r="BG2222">
        <v>1</v>
      </c>
      <c r="BH2222">
        <v>1986</v>
      </c>
      <c r="BI2222" t="s">
        <v>8631</v>
      </c>
      <c r="BJ2222" t="s">
        <v>285</v>
      </c>
      <c r="BK2222" t="s">
        <v>195</v>
      </c>
      <c r="BL2222" t="s">
        <v>2050</v>
      </c>
      <c r="BM2222" t="s">
        <v>346</v>
      </c>
      <c r="BN2222" t="s">
        <v>182</v>
      </c>
      <c r="BO2222" t="s">
        <v>198</v>
      </c>
      <c r="BP2222" t="s">
        <v>198</v>
      </c>
      <c r="BQ2222" t="s">
        <v>198</v>
      </c>
      <c r="BR2222" t="s">
        <v>198</v>
      </c>
      <c r="BS2222" t="s">
        <v>198</v>
      </c>
      <c r="BT2222" t="s">
        <v>198</v>
      </c>
      <c r="BU2222" t="s">
        <v>182</v>
      </c>
      <c r="BV2222" t="s">
        <v>198</v>
      </c>
      <c r="BW2222" t="s">
        <v>198</v>
      </c>
      <c r="BX2222" t="s">
        <v>199</v>
      </c>
      <c r="BY2222" t="s">
        <v>198</v>
      </c>
      <c r="BZ2222" t="s">
        <v>199</v>
      </c>
      <c r="CA2222" t="s">
        <v>199</v>
      </c>
      <c r="CB2222" t="s">
        <v>25917</v>
      </c>
      <c r="CC2222" t="s">
        <v>201</v>
      </c>
      <c r="CD2222" t="s">
        <v>202</v>
      </c>
      <c r="CE2222" t="s">
        <v>25918</v>
      </c>
      <c r="CF2222" t="s">
        <v>5331</v>
      </c>
      <c r="CG2222" t="s">
        <v>177</v>
      </c>
      <c r="CH2222" t="s">
        <v>371</v>
      </c>
      <c r="CI2222" t="s">
        <v>25919</v>
      </c>
      <c r="CJ2222" t="s">
        <v>10494</v>
      </c>
      <c r="CK2222" t="s">
        <v>232</v>
      </c>
      <c r="CL2222" t="s">
        <v>233</v>
      </c>
      <c r="CM2222" t="s">
        <v>25920</v>
      </c>
      <c r="CN2222" t="s">
        <v>235</v>
      </c>
      <c r="CO2222" t="s">
        <v>183</v>
      </c>
      <c r="CP2222" t="s">
        <v>266</v>
      </c>
      <c r="CS2222" t="s">
        <v>198</v>
      </c>
      <c r="CT2222" t="s">
        <v>10217</v>
      </c>
      <c r="CU2222" t="s">
        <v>292</v>
      </c>
      <c r="CV2222" t="s">
        <v>293</v>
      </c>
      <c r="CW2222" t="s">
        <v>25921</v>
      </c>
      <c r="CX2222" t="s">
        <v>235</v>
      </c>
      <c r="CY2222" t="s">
        <v>183</v>
      </c>
      <c r="CZ2222" t="s">
        <v>211</v>
      </c>
      <c r="DA2222" t="s">
        <v>298</v>
      </c>
      <c r="DC2222" t="s">
        <v>1641</v>
      </c>
      <c r="DD2222" t="s">
        <v>11179</v>
      </c>
      <c r="DE2222" t="s">
        <v>267</v>
      </c>
      <c r="DF2222" t="s">
        <v>268</v>
      </c>
      <c r="DG2222" t="s">
        <v>25922</v>
      </c>
      <c r="DH2222" t="s">
        <v>235</v>
      </c>
      <c r="DI2222" t="s">
        <v>183</v>
      </c>
      <c r="DJ2222" t="s">
        <v>211</v>
      </c>
      <c r="DK2222" t="s">
        <v>298</v>
      </c>
      <c r="DM2222" t="s">
        <v>459</v>
      </c>
      <c r="DN2222" t="s">
        <v>21436</v>
      </c>
      <c r="DO2222" t="s">
        <v>273</v>
      </c>
      <c r="DP2222" t="s">
        <v>274</v>
      </c>
      <c r="DQ2222" t="s">
        <v>25923</v>
      </c>
      <c r="DR2222" t="s">
        <v>514</v>
      </c>
      <c r="DS2222" t="s">
        <v>183</v>
      </c>
      <c r="DT2222" t="s">
        <v>211</v>
      </c>
      <c r="DU2222" t="s">
        <v>298</v>
      </c>
      <c r="DW2222" t="s">
        <v>1069</v>
      </c>
      <c r="DX2222" t="s">
        <v>17267</v>
      </c>
      <c r="DY2222" t="s">
        <v>302</v>
      </c>
      <c r="DZ2222" t="s">
        <v>303</v>
      </c>
      <c r="EA2222" t="s">
        <v>25924</v>
      </c>
      <c r="EB2222" t="s">
        <v>235</v>
      </c>
      <c r="EC2222" t="s">
        <v>183</v>
      </c>
      <c r="ED2222" t="s">
        <v>211</v>
      </c>
      <c r="EE2222" t="s">
        <v>298</v>
      </c>
      <c r="EG2222" t="s">
        <v>1346</v>
      </c>
      <c r="EH2222" t="s">
        <v>7283</v>
      </c>
      <c r="EI2222" t="s">
        <v>238</v>
      </c>
      <c r="EJ2222" t="s">
        <v>239</v>
      </c>
      <c r="EK2222" t="s">
        <v>25925</v>
      </c>
      <c r="EL2222" t="s">
        <v>247</v>
      </c>
      <c r="EM2222" t="s">
        <v>183</v>
      </c>
      <c r="EN2222" t="s">
        <v>211</v>
      </c>
      <c r="EO2222" t="s">
        <v>298</v>
      </c>
      <c r="EQ2222" t="s">
        <v>1794</v>
      </c>
      <c r="ER2222" t="s">
        <v>25926</v>
      </c>
      <c r="ES2222" t="s">
        <v>346</v>
      </c>
      <c r="ET2222" t="s">
        <v>347</v>
      </c>
      <c r="EU2222" t="s">
        <v>25927</v>
      </c>
      <c r="EV2222" t="s">
        <v>927</v>
      </c>
      <c r="EW2222" t="s">
        <v>183</v>
      </c>
      <c r="EX2222" t="s">
        <v>211</v>
      </c>
      <c r="EY2222" t="s">
        <v>298</v>
      </c>
      <c r="FA2222" t="s">
        <v>1622</v>
      </c>
      <c r="FK2222" t="s">
        <v>198</v>
      </c>
      <c r="FU2222" t="s">
        <v>198</v>
      </c>
    </row>
    <row r="2223" spans="1:177">
      <c r="A2223" s="1" t="str">
        <f>HYPERLINK("http://digipan.lumentumllc.com/apps/getLink/index.php?t=PropLink&amp;p=6461721","PL")</f>
        <v>PL</v>
      </c>
      <c r="B2223" s="1" t="str">
        <f>HYPERLINK("http://digipan.lumentumllc.com/apps/getLink/index.php?t=TaxLink&amp;p=6461721","TL")</f>
        <v>TL</v>
      </c>
      <c r="C2223" s="1" t="str">
        <f>HYPERLINK("http://digipan.lumentumllc.com/apps/getMap/index.php?p=6461721","Map")</f>
        <v>Map</v>
      </c>
      <c r="E2223" t="s">
        <v>177</v>
      </c>
      <c r="F2223" t="s">
        <v>178</v>
      </c>
      <c r="L2223" t="s">
        <v>25928</v>
      </c>
      <c r="N2223" t="s">
        <v>25928</v>
      </c>
      <c r="O2223" t="s">
        <v>25928</v>
      </c>
      <c r="P2223" t="s">
        <v>25929</v>
      </c>
      <c r="Q2223" t="s">
        <v>25928</v>
      </c>
      <c r="V2223">
        <v>2542</v>
      </c>
      <c r="W2223">
        <v>8</v>
      </c>
      <c r="X2223">
        <v>2017</v>
      </c>
      <c r="Y2223">
        <v>2018</v>
      </c>
      <c r="Z2223">
        <v>463.26</v>
      </c>
      <c r="AB2223" t="s">
        <v>181</v>
      </c>
      <c r="AC2223" t="s">
        <v>182</v>
      </c>
      <c r="AD2223" t="s">
        <v>183</v>
      </c>
      <c r="AE2223">
        <v>0</v>
      </c>
      <c r="AF2223">
        <v>1</v>
      </c>
      <c r="AG2223" t="s">
        <v>821</v>
      </c>
      <c r="AH2223">
        <v>100</v>
      </c>
      <c r="AK2223">
        <v>0</v>
      </c>
      <c r="AL2223">
        <v>95053</v>
      </c>
      <c r="AM2223">
        <v>38250</v>
      </c>
      <c r="AN2223">
        <v>56803</v>
      </c>
      <c r="AO2223">
        <v>397</v>
      </c>
      <c r="AP2223">
        <v>2016</v>
      </c>
      <c r="AQ2223">
        <v>0.49</v>
      </c>
      <c r="AS2223" t="s">
        <v>25930</v>
      </c>
      <c r="AT2223" t="s">
        <v>15040</v>
      </c>
      <c r="AU2223" t="s">
        <v>177</v>
      </c>
      <c r="AV2223" t="s">
        <v>371</v>
      </c>
      <c r="AW2223" t="s">
        <v>202</v>
      </c>
      <c r="AX2223">
        <v>1</v>
      </c>
      <c r="AY2223" t="s">
        <v>188</v>
      </c>
      <c r="AZ2223" t="s">
        <v>206</v>
      </c>
      <c r="BA2223" t="s">
        <v>355</v>
      </c>
      <c r="BB2223" t="s">
        <v>191</v>
      </c>
      <c r="BC2223" t="s">
        <v>182</v>
      </c>
      <c r="BD2223" t="s">
        <v>182</v>
      </c>
      <c r="BE2223" t="s">
        <v>3956</v>
      </c>
      <c r="BF2223">
        <v>1</v>
      </c>
      <c r="BG2223">
        <v>1</v>
      </c>
      <c r="BH2223">
        <v>1964</v>
      </c>
      <c r="BI2223" t="s">
        <v>10129</v>
      </c>
      <c r="BJ2223" t="s">
        <v>285</v>
      </c>
      <c r="BK2223" t="s">
        <v>840</v>
      </c>
      <c r="BL2223" t="s">
        <v>1081</v>
      </c>
      <c r="BM2223" t="s">
        <v>9802</v>
      </c>
      <c r="BN2223" t="s">
        <v>182</v>
      </c>
      <c r="BO2223" t="s">
        <v>25931</v>
      </c>
      <c r="BP2223" t="s">
        <v>25932</v>
      </c>
      <c r="BQ2223" t="s">
        <v>603</v>
      </c>
      <c r="BR2223" t="s">
        <v>563</v>
      </c>
      <c r="BS2223" t="s">
        <v>20674</v>
      </c>
      <c r="BT2223" t="s">
        <v>228</v>
      </c>
      <c r="BU2223" t="s">
        <v>182</v>
      </c>
      <c r="BV2223" t="s">
        <v>198</v>
      </c>
      <c r="BW2223" t="s">
        <v>198</v>
      </c>
      <c r="BX2223" t="s">
        <v>199</v>
      </c>
      <c r="BY2223" t="s">
        <v>198</v>
      </c>
      <c r="BZ2223" t="s">
        <v>199</v>
      </c>
      <c r="CA2223" t="s">
        <v>199</v>
      </c>
      <c r="CB2223" t="s">
        <v>25933</v>
      </c>
      <c r="CC2223" t="s">
        <v>201</v>
      </c>
      <c r="CD2223" t="s">
        <v>182</v>
      </c>
      <c r="CE2223" t="s">
        <v>25934</v>
      </c>
      <c r="CF2223" t="s">
        <v>5331</v>
      </c>
      <c r="CG2223" t="s">
        <v>177</v>
      </c>
      <c r="CH2223" t="s">
        <v>371</v>
      </c>
      <c r="CI2223" t="s">
        <v>25935</v>
      </c>
      <c r="CJ2223" t="s">
        <v>9735</v>
      </c>
      <c r="CK2223" t="s">
        <v>302</v>
      </c>
      <c r="CL2223" t="s">
        <v>303</v>
      </c>
      <c r="CM2223" t="s">
        <v>25936</v>
      </c>
      <c r="CN2223" t="s">
        <v>235</v>
      </c>
      <c r="CO2223" t="s">
        <v>183</v>
      </c>
      <c r="CP2223" t="s">
        <v>211</v>
      </c>
      <c r="CQ2223" t="s">
        <v>334</v>
      </c>
      <c r="CS2223" t="s">
        <v>8035</v>
      </c>
      <c r="DC2223" t="s">
        <v>198</v>
      </c>
      <c r="DM2223" t="s">
        <v>198</v>
      </c>
      <c r="DW2223" t="s">
        <v>198</v>
      </c>
      <c r="EG2223" t="s">
        <v>198</v>
      </c>
      <c r="EQ2223" t="s">
        <v>198</v>
      </c>
      <c r="FA2223" t="s">
        <v>198</v>
      </c>
      <c r="FK2223" t="s">
        <v>198</v>
      </c>
      <c r="FU2223" t="s">
        <v>198</v>
      </c>
    </row>
    <row r="2224" spans="1:177">
      <c r="A2224" s="1" t="str">
        <f>HYPERLINK("http://digipan.lumentumllc.com/apps/getLink/index.php?t=PropLink&amp;p=5244673","PL")</f>
        <v>PL</v>
      </c>
      <c r="B2224" s="1" t="str">
        <f>HYPERLINK("http://digipan.lumentumllc.com/apps/getLink/index.php?t=TaxLink&amp;p=5244673","TL")</f>
        <v>TL</v>
      </c>
      <c r="C2224" s="1" t="str">
        <f>HYPERLINK("http://digipan.lumentumllc.com/apps/getMap/index.php?p=5244673","Map")</f>
        <v>Map</v>
      </c>
      <c r="E2224" t="s">
        <v>177</v>
      </c>
      <c r="F2224" t="s">
        <v>178</v>
      </c>
      <c r="L2224" t="s">
        <v>25937</v>
      </c>
      <c r="N2224" t="s">
        <v>25937</v>
      </c>
      <c r="O2224" t="s">
        <v>25937</v>
      </c>
      <c r="P2224" t="s">
        <v>25938</v>
      </c>
      <c r="Q2224" t="s">
        <v>25937</v>
      </c>
      <c r="V2224">
        <v>2543</v>
      </c>
      <c r="W2224">
        <v>8</v>
      </c>
      <c r="X2224">
        <v>2017</v>
      </c>
      <c r="Y2224">
        <v>2018</v>
      </c>
      <c r="Z2224">
        <v>301.69</v>
      </c>
      <c r="AB2224" t="s">
        <v>181</v>
      </c>
      <c r="AC2224" t="s">
        <v>182</v>
      </c>
      <c r="AD2224" t="s">
        <v>183</v>
      </c>
      <c r="AE2224">
        <v>0</v>
      </c>
      <c r="AF2224">
        <v>5</v>
      </c>
      <c r="AG2224" t="s">
        <v>744</v>
      </c>
      <c r="AH2224">
        <v>100</v>
      </c>
      <c r="AK2224">
        <v>0</v>
      </c>
      <c r="AL2224">
        <v>23625</v>
      </c>
      <c r="AM2224">
        <v>23625</v>
      </c>
      <c r="AN2224">
        <v>0</v>
      </c>
      <c r="AO2224">
        <v>151</v>
      </c>
      <c r="AP2224">
        <v>2016</v>
      </c>
      <c r="AQ2224">
        <v>1.28</v>
      </c>
      <c r="AS2224" t="s">
        <v>23653</v>
      </c>
      <c r="AT2224" t="s">
        <v>15040</v>
      </c>
      <c r="AU2224" t="s">
        <v>177</v>
      </c>
      <c r="AV2224" t="s">
        <v>371</v>
      </c>
      <c r="AW2224" t="s">
        <v>182</v>
      </c>
      <c r="AX2224">
        <v>0</v>
      </c>
      <c r="AY2224" t="s">
        <v>312</v>
      </c>
      <c r="AZ2224" t="s">
        <v>199</v>
      </c>
      <c r="BA2224" t="s">
        <v>313</v>
      </c>
      <c r="BB2224" t="s">
        <v>191</v>
      </c>
      <c r="BC2224" t="s">
        <v>182</v>
      </c>
      <c r="BD2224" t="s">
        <v>182</v>
      </c>
      <c r="BE2224" t="s">
        <v>13126</v>
      </c>
      <c r="BF2224">
        <v>0</v>
      </c>
      <c r="BG2224">
        <v>0</v>
      </c>
      <c r="BH2224">
        <v>0</v>
      </c>
      <c r="BI2224" t="s">
        <v>199</v>
      </c>
      <c r="BJ2224" t="s">
        <v>315</v>
      </c>
      <c r="BL2224" t="s">
        <v>199</v>
      </c>
      <c r="BM2224" t="s">
        <v>273</v>
      </c>
      <c r="BN2224" t="s">
        <v>182</v>
      </c>
      <c r="BO2224" t="s">
        <v>198</v>
      </c>
      <c r="BP2224" t="s">
        <v>198</v>
      </c>
      <c r="BQ2224" t="s">
        <v>198</v>
      </c>
      <c r="BR2224" t="s">
        <v>198</v>
      </c>
      <c r="BS2224" t="s">
        <v>198</v>
      </c>
      <c r="BT2224" t="s">
        <v>198</v>
      </c>
      <c r="BU2224" t="s">
        <v>182</v>
      </c>
      <c r="BV2224" t="s">
        <v>198</v>
      </c>
      <c r="BW2224" t="s">
        <v>198</v>
      </c>
      <c r="BX2224" t="s">
        <v>199</v>
      </c>
      <c r="BY2224" t="s">
        <v>198</v>
      </c>
      <c r="BZ2224" t="s">
        <v>199</v>
      </c>
      <c r="CA2224" t="s">
        <v>199</v>
      </c>
      <c r="CB2224" t="s">
        <v>25939</v>
      </c>
      <c r="CC2224" t="s">
        <v>201</v>
      </c>
      <c r="CD2224" t="s">
        <v>182</v>
      </c>
      <c r="CE2224" t="s">
        <v>25940</v>
      </c>
      <c r="CF2224" t="s">
        <v>1477</v>
      </c>
      <c r="CG2224" t="s">
        <v>177</v>
      </c>
      <c r="CH2224" t="s">
        <v>25941</v>
      </c>
      <c r="CI2224" t="s">
        <v>25942</v>
      </c>
      <c r="CJ2224" t="s">
        <v>5432</v>
      </c>
      <c r="CK2224" t="s">
        <v>273</v>
      </c>
      <c r="CL2224" t="s">
        <v>274</v>
      </c>
      <c r="CM2224" t="s">
        <v>25943</v>
      </c>
      <c r="CN2224" t="s">
        <v>402</v>
      </c>
      <c r="CO2224" t="s">
        <v>183</v>
      </c>
      <c r="CP2224" t="s">
        <v>211</v>
      </c>
      <c r="CQ2224" t="s">
        <v>329</v>
      </c>
      <c r="CS2224" t="s">
        <v>2359</v>
      </c>
      <c r="CT2224" t="s">
        <v>17304</v>
      </c>
      <c r="CU2224" t="s">
        <v>302</v>
      </c>
      <c r="CV2224" t="s">
        <v>303</v>
      </c>
      <c r="CW2224" t="s">
        <v>25944</v>
      </c>
      <c r="CX2224" t="s">
        <v>331</v>
      </c>
      <c r="CY2224" t="s">
        <v>183</v>
      </c>
      <c r="CZ2224" t="s">
        <v>211</v>
      </c>
      <c r="DA2224" t="s">
        <v>298</v>
      </c>
      <c r="DC2224" t="s">
        <v>1131</v>
      </c>
      <c r="DD2224" t="s">
        <v>7413</v>
      </c>
      <c r="DE2224" t="s">
        <v>238</v>
      </c>
      <c r="DF2224" t="s">
        <v>239</v>
      </c>
      <c r="DG2224" t="s">
        <v>25945</v>
      </c>
      <c r="DH2224" t="s">
        <v>391</v>
      </c>
      <c r="DI2224" t="s">
        <v>183</v>
      </c>
      <c r="DJ2224" t="s">
        <v>211</v>
      </c>
      <c r="DK2224" t="s">
        <v>337</v>
      </c>
      <c r="DM2224" t="s">
        <v>1349</v>
      </c>
      <c r="DN2224" t="s">
        <v>25946</v>
      </c>
      <c r="DO2224" t="s">
        <v>346</v>
      </c>
      <c r="DP2224" t="s">
        <v>347</v>
      </c>
      <c r="DQ2224" t="s">
        <v>25947</v>
      </c>
      <c r="DR2224" t="s">
        <v>576</v>
      </c>
      <c r="DS2224" t="s">
        <v>183</v>
      </c>
      <c r="DT2224" t="s">
        <v>211</v>
      </c>
      <c r="DU2224" t="s">
        <v>298</v>
      </c>
      <c r="DW2224" t="s">
        <v>3166</v>
      </c>
      <c r="DX2224" t="s">
        <v>25948</v>
      </c>
      <c r="DY2224" t="s">
        <v>207</v>
      </c>
      <c r="DZ2224" t="s">
        <v>208</v>
      </c>
      <c r="EA2224" t="s">
        <v>25949</v>
      </c>
      <c r="EB2224" t="s">
        <v>486</v>
      </c>
      <c r="EC2224" t="s">
        <v>183</v>
      </c>
      <c r="ED2224" t="s">
        <v>211</v>
      </c>
      <c r="EE2224" t="s">
        <v>345</v>
      </c>
      <c r="EG2224" t="s">
        <v>5893</v>
      </c>
      <c r="EQ2224" t="s">
        <v>198</v>
      </c>
      <c r="FA2224" t="s">
        <v>198</v>
      </c>
      <c r="FK2224" t="s">
        <v>198</v>
      </c>
      <c r="FU2224" t="s">
        <v>198</v>
      </c>
    </row>
    <row r="2225" spans="1:177">
      <c r="A2225" s="1" t="str">
        <f>HYPERLINK("http://digipan.lumentumllc.com/apps/getLink/index.php?t=PropLink&amp;p=5244675","PL")</f>
        <v>PL</v>
      </c>
      <c r="B2225" s="1" t="str">
        <f>HYPERLINK("http://digipan.lumentumllc.com/apps/getLink/index.php?t=TaxLink&amp;p=5244675","TL")</f>
        <v>TL</v>
      </c>
      <c r="C2225" s="1" t="str">
        <f>HYPERLINK("http://digipan.lumentumllc.com/apps/getMap/index.php?p=5244675","Map")</f>
        <v>Map</v>
      </c>
      <c r="E2225" t="s">
        <v>177</v>
      </c>
      <c r="F2225" t="s">
        <v>178</v>
      </c>
      <c r="L2225" t="s">
        <v>25950</v>
      </c>
      <c r="N2225" t="s">
        <v>25950</v>
      </c>
      <c r="O2225" t="s">
        <v>25950</v>
      </c>
      <c r="P2225" t="s">
        <v>25951</v>
      </c>
      <c r="Q2225" t="s">
        <v>25950</v>
      </c>
      <c r="V2225">
        <v>2544</v>
      </c>
      <c r="W2225">
        <v>8</v>
      </c>
      <c r="X2225">
        <v>2017</v>
      </c>
      <c r="Y2225">
        <v>2018</v>
      </c>
      <c r="Z2225">
        <v>858.14</v>
      </c>
      <c r="AB2225" t="s">
        <v>181</v>
      </c>
      <c r="AC2225" t="s">
        <v>182</v>
      </c>
      <c r="AD2225" t="s">
        <v>183</v>
      </c>
      <c r="AE2225">
        <v>0</v>
      </c>
      <c r="AF2225">
        <v>5</v>
      </c>
      <c r="AG2225" t="s">
        <v>744</v>
      </c>
      <c r="AH2225">
        <v>100</v>
      </c>
      <c r="AK2225">
        <v>0</v>
      </c>
      <c r="AL2225">
        <v>52345</v>
      </c>
      <c r="AM2225">
        <v>48800</v>
      </c>
      <c r="AN2225">
        <v>3545</v>
      </c>
      <c r="AO2225">
        <v>676</v>
      </c>
      <c r="AP2225">
        <v>2016</v>
      </c>
      <c r="AQ2225">
        <v>1.64</v>
      </c>
      <c r="AS2225" t="s">
        <v>25952</v>
      </c>
      <c r="AT2225" t="s">
        <v>15040</v>
      </c>
      <c r="AU2225" t="s">
        <v>177</v>
      </c>
      <c r="AV2225" t="s">
        <v>371</v>
      </c>
      <c r="AW2225" t="s">
        <v>182</v>
      </c>
      <c r="AX2225">
        <v>2</v>
      </c>
      <c r="AY2225" t="s">
        <v>188</v>
      </c>
      <c r="AZ2225" t="s">
        <v>189</v>
      </c>
      <c r="BA2225" t="s">
        <v>190</v>
      </c>
      <c r="BB2225" t="s">
        <v>191</v>
      </c>
      <c r="BC2225" t="s">
        <v>182</v>
      </c>
      <c r="BD2225" t="s">
        <v>182</v>
      </c>
      <c r="BE2225" t="s">
        <v>5948</v>
      </c>
      <c r="BF2225">
        <v>1</v>
      </c>
      <c r="BG2225">
        <v>1</v>
      </c>
      <c r="BH2225">
        <v>1972</v>
      </c>
      <c r="BI2225" t="s">
        <v>6814</v>
      </c>
      <c r="BJ2225" t="s">
        <v>285</v>
      </c>
      <c r="BK2225" t="s">
        <v>195</v>
      </c>
      <c r="BL2225" t="s">
        <v>1753</v>
      </c>
      <c r="BM2225" t="s">
        <v>501</v>
      </c>
      <c r="BN2225" t="s">
        <v>182</v>
      </c>
      <c r="BO2225" t="s">
        <v>198</v>
      </c>
      <c r="BP2225" t="s">
        <v>198</v>
      </c>
      <c r="BQ2225" t="s">
        <v>198</v>
      </c>
      <c r="BR2225" t="s">
        <v>198</v>
      </c>
      <c r="BS2225" t="s">
        <v>198</v>
      </c>
      <c r="BT2225" t="s">
        <v>198</v>
      </c>
      <c r="BU2225" t="s">
        <v>182</v>
      </c>
      <c r="BV2225" t="s">
        <v>198</v>
      </c>
      <c r="BW2225" t="s">
        <v>198</v>
      </c>
      <c r="BX2225" t="s">
        <v>199</v>
      </c>
      <c r="BY2225" t="s">
        <v>198</v>
      </c>
      <c r="BZ2225" t="s">
        <v>199</v>
      </c>
      <c r="CA2225" t="s">
        <v>199</v>
      </c>
      <c r="CB2225" t="s">
        <v>25953</v>
      </c>
      <c r="CC2225" t="s">
        <v>201</v>
      </c>
      <c r="CD2225" t="s">
        <v>202</v>
      </c>
      <c r="CE2225" t="s">
        <v>25954</v>
      </c>
      <c r="CF2225" t="s">
        <v>5331</v>
      </c>
      <c r="CG2225" t="s">
        <v>177</v>
      </c>
      <c r="CH2225" t="s">
        <v>371</v>
      </c>
      <c r="CI2225" t="s">
        <v>25955</v>
      </c>
      <c r="CJ2225" t="s">
        <v>25956</v>
      </c>
      <c r="CK2225" t="s">
        <v>292</v>
      </c>
      <c r="CL2225" t="s">
        <v>293</v>
      </c>
      <c r="CM2225" t="s">
        <v>25957</v>
      </c>
      <c r="CN2225" t="s">
        <v>235</v>
      </c>
      <c r="CO2225" t="s">
        <v>183</v>
      </c>
      <c r="CP2225" t="s">
        <v>211</v>
      </c>
      <c r="CQ2225" t="s">
        <v>290</v>
      </c>
      <c r="CS2225" t="s">
        <v>25958</v>
      </c>
      <c r="CT2225" t="s">
        <v>19890</v>
      </c>
      <c r="CU2225" t="s">
        <v>273</v>
      </c>
      <c r="CV2225" t="s">
        <v>274</v>
      </c>
      <c r="CW2225" t="s">
        <v>25959</v>
      </c>
      <c r="CX2225" t="s">
        <v>235</v>
      </c>
      <c r="CY2225" t="s">
        <v>183</v>
      </c>
      <c r="CZ2225" t="s">
        <v>211</v>
      </c>
      <c r="DA2225" t="s">
        <v>329</v>
      </c>
      <c r="DC2225" t="s">
        <v>12939</v>
      </c>
      <c r="DD2225" t="s">
        <v>7371</v>
      </c>
      <c r="DE2225" t="s">
        <v>238</v>
      </c>
      <c r="DF2225" t="s">
        <v>239</v>
      </c>
      <c r="DG2225" t="s">
        <v>25960</v>
      </c>
      <c r="DH2225" t="s">
        <v>247</v>
      </c>
      <c r="DI2225" t="s">
        <v>183</v>
      </c>
      <c r="DJ2225" t="s">
        <v>211</v>
      </c>
      <c r="DK2225" t="s">
        <v>342</v>
      </c>
      <c r="DM2225" t="s">
        <v>15652</v>
      </c>
      <c r="DN2225" t="s">
        <v>25961</v>
      </c>
      <c r="DO2225" t="s">
        <v>346</v>
      </c>
      <c r="DP2225" t="s">
        <v>347</v>
      </c>
      <c r="DQ2225" t="s">
        <v>25962</v>
      </c>
      <c r="DR2225" t="s">
        <v>511</v>
      </c>
      <c r="DS2225" t="s">
        <v>183</v>
      </c>
      <c r="DT2225" t="s">
        <v>211</v>
      </c>
      <c r="DU2225" t="s">
        <v>345</v>
      </c>
      <c r="DW2225" t="s">
        <v>15652</v>
      </c>
      <c r="DX2225" t="s">
        <v>25526</v>
      </c>
      <c r="DY2225" t="s">
        <v>207</v>
      </c>
      <c r="DZ2225" t="s">
        <v>208</v>
      </c>
      <c r="EA2225" t="s">
        <v>25963</v>
      </c>
      <c r="EB2225" t="s">
        <v>469</v>
      </c>
      <c r="EC2225" t="s">
        <v>183</v>
      </c>
      <c r="ED2225" t="s">
        <v>211</v>
      </c>
      <c r="EE2225" t="s">
        <v>298</v>
      </c>
      <c r="EG2225" t="s">
        <v>5492</v>
      </c>
      <c r="EQ2225" t="s">
        <v>198</v>
      </c>
      <c r="FA2225" t="s">
        <v>198</v>
      </c>
      <c r="FK2225" t="s">
        <v>198</v>
      </c>
      <c r="FU2225" t="s">
        <v>198</v>
      </c>
    </row>
    <row r="2226" spans="1:177">
      <c r="A2226" s="1" t="str">
        <f>HYPERLINK("http://digipan.lumentumllc.com/apps/getLink/index.php?t=PropLink&amp;p=5244676","PL")</f>
        <v>PL</v>
      </c>
      <c r="B2226" s="1" t="str">
        <f>HYPERLINK("http://digipan.lumentumllc.com/apps/getLink/index.php?t=TaxLink&amp;p=5244676","TL")</f>
        <v>TL</v>
      </c>
      <c r="C2226" s="1" t="str">
        <f>HYPERLINK("http://digipan.lumentumllc.com/apps/getMap/index.php?p=5244676","Map")</f>
        <v>Map</v>
      </c>
      <c r="E2226" t="s">
        <v>177</v>
      </c>
      <c r="F2226" t="s">
        <v>178</v>
      </c>
      <c r="L2226" t="s">
        <v>25964</v>
      </c>
      <c r="N2226" t="s">
        <v>25964</v>
      </c>
      <c r="O2226" t="s">
        <v>25964</v>
      </c>
      <c r="P2226" t="s">
        <v>25965</v>
      </c>
      <c r="Q2226" t="s">
        <v>25964</v>
      </c>
      <c r="V2226">
        <v>2545</v>
      </c>
      <c r="W2226">
        <v>8</v>
      </c>
      <c r="X2226">
        <v>2017</v>
      </c>
      <c r="Y2226">
        <v>2018</v>
      </c>
      <c r="Z2226">
        <v>532.30999999999995</v>
      </c>
      <c r="AB2226" t="s">
        <v>181</v>
      </c>
      <c r="AC2226" t="s">
        <v>182</v>
      </c>
      <c r="AD2226" t="s">
        <v>183</v>
      </c>
      <c r="AE2226">
        <v>0</v>
      </c>
      <c r="AF2226">
        <v>5</v>
      </c>
      <c r="AG2226" t="s">
        <v>3266</v>
      </c>
      <c r="AH2226">
        <v>100</v>
      </c>
      <c r="AK2226">
        <v>0</v>
      </c>
      <c r="AL2226">
        <v>32000</v>
      </c>
      <c r="AM2226">
        <v>32000</v>
      </c>
      <c r="AN2226">
        <v>0</v>
      </c>
      <c r="AO2226">
        <v>406</v>
      </c>
      <c r="AP2226">
        <v>2016</v>
      </c>
      <c r="AQ2226">
        <v>1.66</v>
      </c>
      <c r="AS2226" t="s">
        <v>25966</v>
      </c>
      <c r="AT2226" t="s">
        <v>15040</v>
      </c>
      <c r="AU2226" t="s">
        <v>177</v>
      </c>
      <c r="AV2226" t="s">
        <v>371</v>
      </c>
      <c r="AW2226" t="s">
        <v>182</v>
      </c>
      <c r="AX2226">
        <v>0</v>
      </c>
      <c r="AY2226" t="s">
        <v>312</v>
      </c>
      <c r="AZ2226" t="s">
        <v>199</v>
      </c>
      <c r="BA2226" t="s">
        <v>313</v>
      </c>
      <c r="BB2226" t="s">
        <v>191</v>
      </c>
      <c r="BC2226" t="s">
        <v>182</v>
      </c>
      <c r="BD2226" t="s">
        <v>182</v>
      </c>
      <c r="BE2226" t="s">
        <v>3956</v>
      </c>
      <c r="BF2226">
        <v>0</v>
      </c>
      <c r="BG2226">
        <v>0</v>
      </c>
      <c r="BH2226">
        <v>0</v>
      </c>
      <c r="BI2226" t="s">
        <v>199</v>
      </c>
      <c r="BJ2226" t="s">
        <v>396</v>
      </c>
      <c r="BL2226" t="s">
        <v>199</v>
      </c>
      <c r="BM2226" t="s">
        <v>358</v>
      </c>
      <c r="BN2226" t="s">
        <v>182</v>
      </c>
      <c r="BO2226" t="s">
        <v>198</v>
      </c>
      <c r="BP2226" t="s">
        <v>198</v>
      </c>
      <c r="BQ2226" t="s">
        <v>198</v>
      </c>
      <c r="BR2226" t="s">
        <v>198</v>
      </c>
      <c r="BS2226" t="s">
        <v>198</v>
      </c>
      <c r="BT2226" t="s">
        <v>198</v>
      </c>
      <c r="BU2226" t="s">
        <v>182</v>
      </c>
      <c r="BV2226" t="s">
        <v>198</v>
      </c>
      <c r="BW2226" t="s">
        <v>198</v>
      </c>
      <c r="BX2226" t="s">
        <v>199</v>
      </c>
      <c r="BY2226" t="s">
        <v>198</v>
      </c>
      <c r="BZ2226" t="s">
        <v>199</v>
      </c>
      <c r="CA2226" t="s">
        <v>199</v>
      </c>
      <c r="CB2226" t="s">
        <v>25967</v>
      </c>
      <c r="CC2226" t="s">
        <v>201</v>
      </c>
      <c r="CD2226" t="s">
        <v>202</v>
      </c>
      <c r="CE2226" t="s">
        <v>25968</v>
      </c>
      <c r="CF2226" t="s">
        <v>25969</v>
      </c>
      <c r="CG2226" t="s">
        <v>1902</v>
      </c>
      <c r="CH2226" t="s">
        <v>25970</v>
      </c>
      <c r="CI2226" t="s">
        <v>25971</v>
      </c>
      <c r="CJ2226" t="s">
        <v>16925</v>
      </c>
      <c r="CK2226" t="s">
        <v>232</v>
      </c>
      <c r="CL2226" t="s">
        <v>233</v>
      </c>
      <c r="CM2226" t="s">
        <v>25972</v>
      </c>
      <c r="CN2226" t="s">
        <v>1164</v>
      </c>
      <c r="CO2226" t="s">
        <v>183</v>
      </c>
      <c r="CP2226" t="s">
        <v>211</v>
      </c>
      <c r="CQ2226" t="s">
        <v>189</v>
      </c>
      <c r="CS2226" t="s">
        <v>23638</v>
      </c>
      <c r="CT2226" t="s">
        <v>11196</v>
      </c>
      <c r="CU2226" t="s">
        <v>267</v>
      </c>
      <c r="CV2226" t="s">
        <v>268</v>
      </c>
      <c r="CW2226" t="s">
        <v>20935</v>
      </c>
      <c r="CX2226" t="s">
        <v>400</v>
      </c>
      <c r="CY2226" t="s">
        <v>183</v>
      </c>
      <c r="CZ2226" t="s">
        <v>211</v>
      </c>
      <c r="DA2226" t="s">
        <v>212</v>
      </c>
      <c r="DC2226" t="s">
        <v>25973</v>
      </c>
      <c r="DD2226" t="s">
        <v>1823</v>
      </c>
      <c r="DE2226" t="s">
        <v>273</v>
      </c>
      <c r="DF2226" t="s">
        <v>274</v>
      </c>
      <c r="DG2226" t="s">
        <v>25974</v>
      </c>
      <c r="DH2226" t="s">
        <v>3342</v>
      </c>
      <c r="DI2226" t="s">
        <v>183</v>
      </c>
      <c r="DJ2226" t="s">
        <v>211</v>
      </c>
      <c r="DK2226" t="s">
        <v>334</v>
      </c>
      <c r="DM2226" t="s">
        <v>25973</v>
      </c>
      <c r="DN2226" t="s">
        <v>7336</v>
      </c>
      <c r="DO2226" t="s">
        <v>238</v>
      </c>
      <c r="DP2226" t="s">
        <v>239</v>
      </c>
      <c r="DQ2226" t="s">
        <v>25975</v>
      </c>
      <c r="DR2226" t="s">
        <v>440</v>
      </c>
      <c r="DS2226" t="s">
        <v>183</v>
      </c>
      <c r="DT2226" t="s">
        <v>211</v>
      </c>
      <c r="DU2226" t="s">
        <v>1368</v>
      </c>
      <c r="DW2226" t="s">
        <v>25973</v>
      </c>
      <c r="DX2226" t="s">
        <v>25976</v>
      </c>
      <c r="DY2226" t="s">
        <v>346</v>
      </c>
      <c r="DZ2226" t="s">
        <v>347</v>
      </c>
      <c r="EA2226" t="s">
        <v>25977</v>
      </c>
      <c r="EB2226" t="s">
        <v>2515</v>
      </c>
      <c r="EC2226" t="s">
        <v>183</v>
      </c>
      <c r="ED2226" t="s">
        <v>211</v>
      </c>
      <c r="EE2226" t="s">
        <v>298</v>
      </c>
      <c r="EG2226" t="s">
        <v>878</v>
      </c>
      <c r="EQ2226" t="s">
        <v>198</v>
      </c>
      <c r="FA2226" t="s">
        <v>198</v>
      </c>
      <c r="FK2226" t="s">
        <v>198</v>
      </c>
      <c r="FU2226" t="s">
        <v>198</v>
      </c>
    </row>
    <row r="2227" spans="1:177">
      <c r="A2227" s="1" t="str">
        <f>HYPERLINK("http://digipan.lumentumllc.com/apps/getLink/index.php?t=PropLink&amp;p=4637104","PL")</f>
        <v>PL</v>
      </c>
      <c r="B2227" s="1" t="str">
        <f>HYPERLINK("http://digipan.lumentumllc.com/apps/getLink/index.php?t=TaxLink&amp;p=4637104","TL")</f>
        <v>TL</v>
      </c>
      <c r="C2227" s="1" t="str">
        <f>HYPERLINK("http://digipan.lumentumllc.com/apps/getMap/index.php?p=4637104","Map")</f>
        <v>Map</v>
      </c>
      <c r="E2227" t="s">
        <v>177</v>
      </c>
      <c r="F2227" t="s">
        <v>178</v>
      </c>
      <c r="L2227" t="s">
        <v>25978</v>
      </c>
      <c r="N2227" t="s">
        <v>25978</v>
      </c>
      <c r="O2227" t="s">
        <v>25978</v>
      </c>
      <c r="P2227" t="s">
        <v>25979</v>
      </c>
      <c r="Q2227" t="s">
        <v>25978</v>
      </c>
      <c r="V2227">
        <v>2546</v>
      </c>
      <c r="W2227">
        <v>8</v>
      </c>
      <c r="X2227">
        <v>2017</v>
      </c>
      <c r="Y2227">
        <v>2018</v>
      </c>
      <c r="Z2227">
        <v>657.37</v>
      </c>
      <c r="AG2227" t="s">
        <v>184</v>
      </c>
      <c r="AH2227">
        <v>0</v>
      </c>
      <c r="AK2227">
        <v>0</v>
      </c>
      <c r="AL2227">
        <v>40000</v>
      </c>
      <c r="AM2227">
        <v>40000</v>
      </c>
      <c r="AN2227">
        <v>0</v>
      </c>
      <c r="AO2227">
        <v>507</v>
      </c>
      <c r="AP2227">
        <v>2016</v>
      </c>
      <c r="AQ2227">
        <v>1.64</v>
      </c>
      <c r="AS2227" t="s">
        <v>25980</v>
      </c>
      <c r="AT2227" t="s">
        <v>15040</v>
      </c>
      <c r="AU2227" t="s">
        <v>177</v>
      </c>
      <c r="AV2227" t="s">
        <v>371</v>
      </c>
      <c r="AW2227" t="s">
        <v>182</v>
      </c>
      <c r="AX2227">
        <v>0</v>
      </c>
      <c r="AY2227" t="s">
        <v>312</v>
      </c>
      <c r="AZ2227" t="s">
        <v>199</v>
      </c>
      <c r="BA2227" t="s">
        <v>313</v>
      </c>
      <c r="BB2227" t="s">
        <v>191</v>
      </c>
      <c r="BC2227" t="s">
        <v>182</v>
      </c>
      <c r="BD2227" t="s">
        <v>182</v>
      </c>
      <c r="BE2227" t="s">
        <v>3956</v>
      </c>
      <c r="BF2227">
        <v>0</v>
      </c>
      <c r="BG2227">
        <v>0</v>
      </c>
      <c r="BH2227">
        <v>0</v>
      </c>
      <c r="BI2227" t="s">
        <v>199</v>
      </c>
      <c r="BJ2227" t="s">
        <v>396</v>
      </c>
      <c r="BL2227" t="s">
        <v>199</v>
      </c>
      <c r="BM2227" t="s">
        <v>286</v>
      </c>
      <c r="BN2227" t="s">
        <v>182</v>
      </c>
      <c r="BO2227" t="s">
        <v>198</v>
      </c>
      <c r="BP2227" t="s">
        <v>198</v>
      </c>
      <c r="BQ2227" t="s">
        <v>198</v>
      </c>
      <c r="BR2227" t="s">
        <v>198</v>
      </c>
      <c r="BS2227" t="s">
        <v>198</v>
      </c>
      <c r="BT2227" t="s">
        <v>198</v>
      </c>
      <c r="BU2227" t="s">
        <v>182</v>
      </c>
      <c r="BV2227" t="s">
        <v>198</v>
      </c>
      <c r="BW2227" t="s">
        <v>198</v>
      </c>
      <c r="BX2227" t="s">
        <v>199</v>
      </c>
      <c r="BY2227" t="s">
        <v>198</v>
      </c>
      <c r="BZ2227" t="s">
        <v>199</v>
      </c>
      <c r="CA2227" t="s">
        <v>199</v>
      </c>
      <c r="CB2227" t="s">
        <v>25981</v>
      </c>
      <c r="CC2227" t="s">
        <v>201</v>
      </c>
      <c r="CD2227" t="s">
        <v>182</v>
      </c>
      <c r="CE2227" t="s">
        <v>25982</v>
      </c>
      <c r="CF2227" t="s">
        <v>2333</v>
      </c>
      <c r="CG2227" t="s">
        <v>177</v>
      </c>
      <c r="CH2227" t="s">
        <v>2334</v>
      </c>
      <c r="CI2227" t="s">
        <v>25983</v>
      </c>
      <c r="CS2227" t="s">
        <v>198</v>
      </c>
      <c r="DC2227" t="s">
        <v>198</v>
      </c>
      <c r="DM2227" t="s">
        <v>198</v>
      </c>
      <c r="DW2227" t="s">
        <v>198</v>
      </c>
      <c r="EG2227" t="s">
        <v>198</v>
      </c>
      <c r="EQ2227" t="s">
        <v>198</v>
      </c>
      <c r="FA2227" t="s">
        <v>198</v>
      </c>
      <c r="FK2227" t="s">
        <v>198</v>
      </c>
      <c r="FU2227" t="s">
        <v>198</v>
      </c>
    </row>
    <row r="2228" spans="1:177">
      <c r="A2228" s="1" t="str">
        <f>HYPERLINK("http://digipan.lumentumllc.com/apps/getLink/index.php?t=PropLink&amp;p=5244677","PL")</f>
        <v>PL</v>
      </c>
      <c r="B2228" s="1" t="str">
        <f>HYPERLINK("http://digipan.lumentumllc.com/apps/getLink/index.php?t=TaxLink&amp;p=5244677","TL")</f>
        <v>TL</v>
      </c>
      <c r="C2228" s="1" t="str">
        <f>HYPERLINK("http://digipan.lumentumllc.com/apps/getMap/index.php?p=5244677","Map")</f>
        <v>Map</v>
      </c>
      <c r="E2228" t="s">
        <v>177</v>
      </c>
      <c r="F2228" t="s">
        <v>178</v>
      </c>
      <c r="L2228" t="s">
        <v>25984</v>
      </c>
      <c r="N2228" t="s">
        <v>25984</v>
      </c>
      <c r="O2228" t="s">
        <v>25984</v>
      </c>
      <c r="P2228" t="s">
        <v>25985</v>
      </c>
      <c r="Q2228" t="s">
        <v>25984</v>
      </c>
      <c r="V2228">
        <v>2547</v>
      </c>
      <c r="W2228">
        <v>8</v>
      </c>
      <c r="X2228">
        <v>2017</v>
      </c>
      <c r="Y2228">
        <v>2018</v>
      </c>
      <c r="Z2228">
        <v>657.37</v>
      </c>
      <c r="AB2228" t="s">
        <v>181</v>
      </c>
      <c r="AC2228" t="s">
        <v>182</v>
      </c>
      <c r="AD2228" t="s">
        <v>183</v>
      </c>
      <c r="AE2228">
        <v>1</v>
      </c>
      <c r="AF2228">
        <v>4</v>
      </c>
      <c r="AG2228" t="s">
        <v>951</v>
      </c>
      <c r="AH2228">
        <v>80</v>
      </c>
      <c r="AI2228">
        <v>575.75</v>
      </c>
      <c r="AJ2228">
        <v>34.549999999999997</v>
      </c>
      <c r="AK2228">
        <v>610.29999999999995</v>
      </c>
      <c r="AL2228">
        <v>40000</v>
      </c>
      <c r="AM2228">
        <v>40000</v>
      </c>
      <c r="AN2228">
        <v>0</v>
      </c>
      <c r="AO2228">
        <v>507</v>
      </c>
      <c r="AP2228">
        <v>2016</v>
      </c>
      <c r="AQ2228">
        <v>1.64</v>
      </c>
      <c r="AR2228">
        <v>1.53</v>
      </c>
      <c r="AS2228" t="s">
        <v>25980</v>
      </c>
      <c r="AT2228" t="s">
        <v>15040</v>
      </c>
      <c r="AU2228" t="s">
        <v>177</v>
      </c>
      <c r="AV2228" t="s">
        <v>371</v>
      </c>
      <c r="AW2228" t="s">
        <v>182</v>
      </c>
      <c r="AX2228">
        <v>0</v>
      </c>
      <c r="AY2228" t="s">
        <v>312</v>
      </c>
      <c r="AZ2228" t="s">
        <v>199</v>
      </c>
      <c r="BA2228" t="s">
        <v>313</v>
      </c>
      <c r="BB2228" t="s">
        <v>191</v>
      </c>
      <c r="BC2228" t="s">
        <v>182</v>
      </c>
      <c r="BD2228" t="s">
        <v>182</v>
      </c>
      <c r="BE2228" t="s">
        <v>3956</v>
      </c>
      <c r="BF2228">
        <v>0</v>
      </c>
      <c r="BG2228">
        <v>0</v>
      </c>
      <c r="BH2228">
        <v>0</v>
      </c>
      <c r="BI2228" t="s">
        <v>199</v>
      </c>
      <c r="BJ2228" t="s">
        <v>315</v>
      </c>
      <c r="BL2228" t="s">
        <v>199</v>
      </c>
      <c r="BM2228" t="s">
        <v>358</v>
      </c>
      <c r="BN2228" t="s">
        <v>182</v>
      </c>
      <c r="BO2228" t="s">
        <v>198</v>
      </c>
      <c r="BP2228" t="s">
        <v>198</v>
      </c>
      <c r="BQ2228" t="s">
        <v>198</v>
      </c>
      <c r="BR2228" t="s">
        <v>198</v>
      </c>
      <c r="BS2228" t="s">
        <v>198</v>
      </c>
      <c r="BT2228" t="s">
        <v>198</v>
      </c>
      <c r="BU2228" t="s">
        <v>182</v>
      </c>
      <c r="BV2228" t="s">
        <v>198</v>
      </c>
      <c r="BW2228" t="s">
        <v>198</v>
      </c>
      <c r="BX2228" t="s">
        <v>199</v>
      </c>
      <c r="BY2228" t="s">
        <v>198</v>
      </c>
      <c r="BZ2228" t="s">
        <v>199</v>
      </c>
      <c r="CA2228" t="s">
        <v>199</v>
      </c>
      <c r="CB2228" t="s">
        <v>25986</v>
      </c>
      <c r="CC2228" t="s">
        <v>201</v>
      </c>
      <c r="CD2228" t="s">
        <v>182</v>
      </c>
      <c r="CE2228" t="s">
        <v>25987</v>
      </c>
      <c r="CF2228" t="s">
        <v>20782</v>
      </c>
      <c r="CG2228" t="s">
        <v>1902</v>
      </c>
      <c r="CH2228" t="s">
        <v>25970</v>
      </c>
      <c r="CI2228" t="s">
        <v>25988</v>
      </c>
      <c r="CJ2228" t="s">
        <v>16945</v>
      </c>
      <c r="CK2228" t="s">
        <v>232</v>
      </c>
      <c r="CL2228" t="s">
        <v>233</v>
      </c>
      <c r="CM2228" t="s">
        <v>25989</v>
      </c>
      <c r="CN2228" t="s">
        <v>278</v>
      </c>
      <c r="CO2228" t="s">
        <v>183</v>
      </c>
      <c r="CP2228" t="s">
        <v>266</v>
      </c>
      <c r="CS2228" t="s">
        <v>198</v>
      </c>
      <c r="CT2228" t="s">
        <v>18421</v>
      </c>
      <c r="CU2228" t="s">
        <v>267</v>
      </c>
      <c r="CV2228" t="s">
        <v>268</v>
      </c>
      <c r="CW2228" t="s">
        <v>25990</v>
      </c>
      <c r="CX2228" t="s">
        <v>400</v>
      </c>
      <c r="CY2228" t="s">
        <v>183</v>
      </c>
      <c r="CZ2228" t="s">
        <v>211</v>
      </c>
      <c r="DA2228" t="s">
        <v>212</v>
      </c>
      <c r="DC2228" t="s">
        <v>16874</v>
      </c>
      <c r="DD2228" t="s">
        <v>12442</v>
      </c>
      <c r="DE2228" t="s">
        <v>273</v>
      </c>
      <c r="DF2228" t="s">
        <v>274</v>
      </c>
      <c r="DG2228" t="s">
        <v>25991</v>
      </c>
      <c r="DH2228" t="s">
        <v>796</v>
      </c>
      <c r="DI2228" t="s">
        <v>183</v>
      </c>
      <c r="DJ2228" t="s">
        <v>211</v>
      </c>
      <c r="DK2228" t="s">
        <v>334</v>
      </c>
      <c r="DM2228" t="s">
        <v>16874</v>
      </c>
      <c r="DN2228" t="s">
        <v>7322</v>
      </c>
      <c r="DO2228" t="s">
        <v>238</v>
      </c>
      <c r="DP2228" t="s">
        <v>239</v>
      </c>
      <c r="DQ2228" t="s">
        <v>25992</v>
      </c>
      <c r="DR2228" t="s">
        <v>1491</v>
      </c>
      <c r="DS2228" t="s">
        <v>183</v>
      </c>
      <c r="DT2228" t="s">
        <v>211</v>
      </c>
      <c r="DU2228" t="s">
        <v>1368</v>
      </c>
      <c r="DW2228" t="s">
        <v>16874</v>
      </c>
      <c r="DX2228" t="s">
        <v>25993</v>
      </c>
      <c r="DY2228" t="s">
        <v>346</v>
      </c>
      <c r="DZ2228" t="s">
        <v>347</v>
      </c>
      <c r="EA2228" t="s">
        <v>25994</v>
      </c>
      <c r="EB2228" t="s">
        <v>391</v>
      </c>
      <c r="EC2228" t="s">
        <v>183</v>
      </c>
      <c r="ED2228" t="s">
        <v>211</v>
      </c>
      <c r="EE2228" t="s">
        <v>298</v>
      </c>
      <c r="EG2228" t="s">
        <v>878</v>
      </c>
      <c r="EQ2228" t="s">
        <v>198</v>
      </c>
      <c r="FA2228" t="s">
        <v>198</v>
      </c>
      <c r="FK2228" t="s">
        <v>198</v>
      </c>
      <c r="FU2228" t="s">
        <v>198</v>
      </c>
    </row>
    <row r="2229" spans="1:177">
      <c r="A2229" s="1" t="str">
        <f>HYPERLINK("http://digipan.lumentumllc.com/apps/getLink/index.php?t=PropLink&amp;p=6594079","PL")</f>
        <v>PL</v>
      </c>
      <c r="B2229" s="1" t="str">
        <f>HYPERLINK("http://digipan.lumentumllc.com/apps/getLink/index.php?t=TaxLink&amp;p=6594079","TL")</f>
        <v>TL</v>
      </c>
      <c r="C2229" s="1" t="str">
        <f>HYPERLINK("http://digipan.lumentumllc.com/apps/getMap/index.php?p=6594079","Map")</f>
        <v>Map</v>
      </c>
      <c r="E2229" t="s">
        <v>177</v>
      </c>
      <c r="F2229" t="s">
        <v>178</v>
      </c>
      <c r="L2229" t="s">
        <v>25995</v>
      </c>
      <c r="N2229" t="s">
        <v>25995</v>
      </c>
      <c r="O2229" t="s">
        <v>25995</v>
      </c>
      <c r="P2229" t="s">
        <v>25996</v>
      </c>
      <c r="Q2229" t="s">
        <v>25995</v>
      </c>
      <c r="V2229">
        <v>2548</v>
      </c>
      <c r="W2229">
        <v>8</v>
      </c>
      <c r="X2229">
        <v>2017</v>
      </c>
      <c r="Y2229">
        <v>2018</v>
      </c>
      <c r="Z2229">
        <v>626.12</v>
      </c>
      <c r="AB2229" t="s">
        <v>181</v>
      </c>
      <c r="AC2229" t="s">
        <v>182</v>
      </c>
      <c r="AD2229" t="s">
        <v>183</v>
      </c>
      <c r="AE2229">
        <v>4</v>
      </c>
      <c r="AF2229">
        <v>0</v>
      </c>
      <c r="AG2229" t="s">
        <v>2601</v>
      </c>
      <c r="AH2229">
        <v>0</v>
      </c>
      <c r="AI2229">
        <v>2181.4299999999998</v>
      </c>
      <c r="AJ2229">
        <v>498.91</v>
      </c>
      <c r="AK2229">
        <v>2680.34</v>
      </c>
      <c r="AL2229">
        <v>38000</v>
      </c>
      <c r="AM2229">
        <v>38000</v>
      </c>
      <c r="AN2229">
        <v>0</v>
      </c>
      <c r="AO2229">
        <v>482</v>
      </c>
      <c r="AP2229">
        <v>2016</v>
      </c>
      <c r="AQ2229">
        <v>1.65</v>
      </c>
      <c r="AR2229">
        <v>7.05</v>
      </c>
      <c r="AS2229" t="s">
        <v>25980</v>
      </c>
      <c r="AT2229" t="s">
        <v>15040</v>
      </c>
      <c r="AU2229" t="s">
        <v>177</v>
      </c>
      <c r="AV2229" t="s">
        <v>371</v>
      </c>
      <c r="AW2229" t="s">
        <v>182</v>
      </c>
      <c r="AX2229">
        <v>0</v>
      </c>
      <c r="AY2229" t="s">
        <v>312</v>
      </c>
      <c r="AZ2229" t="s">
        <v>199</v>
      </c>
      <c r="BA2229" t="s">
        <v>313</v>
      </c>
      <c r="BB2229" t="s">
        <v>191</v>
      </c>
      <c r="BC2229" t="s">
        <v>182</v>
      </c>
      <c r="BD2229" t="s">
        <v>182</v>
      </c>
      <c r="BE2229" t="s">
        <v>3956</v>
      </c>
      <c r="BF2229">
        <v>0</v>
      </c>
      <c r="BG2229">
        <v>0</v>
      </c>
      <c r="BH2229">
        <v>0</v>
      </c>
      <c r="BI2229" t="s">
        <v>199</v>
      </c>
      <c r="BJ2229" t="s">
        <v>315</v>
      </c>
      <c r="BL2229" t="s">
        <v>199</v>
      </c>
      <c r="BM2229" t="s">
        <v>358</v>
      </c>
      <c r="BN2229" t="s">
        <v>182</v>
      </c>
      <c r="BO2229" t="s">
        <v>198</v>
      </c>
      <c r="BP2229" t="s">
        <v>198</v>
      </c>
      <c r="BQ2229" t="s">
        <v>198</v>
      </c>
      <c r="BR2229" t="s">
        <v>198</v>
      </c>
      <c r="BS2229" t="s">
        <v>198</v>
      </c>
      <c r="BT2229" t="s">
        <v>198</v>
      </c>
      <c r="BU2229" t="s">
        <v>182</v>
      </c>
      <c r="BV2229" t="s">
        <v>198</v>
      </c>
      <c r="BW2229" t="s">
        <v>198</v>
      </c>
      <c r="BX2229" t="s">
        <v>199</v>
      </c>
      <c r="BY2229" t="s">
        <v>198</v>
      </c>
      <c r="BZ2229" t="s">
        <v>199</v>
      </c>
      <c r="CA2229" t="s">
        <v>199</v>
      </c>
      <c r="CB2229" t="s">
        <v>25997</v>
      </c>
      <c r="CC2229" t="s">
        <v>201</v>
      </c>
      <c r="CD2229" t="s">
        <v>182</v>
      </c>
      <c r="CE2229" t="s">
        <v>25998</v>
      </c>
      <c r="CF2229" t="s">
        <v>413</v>
      </c>
      <c r="CG2229" t="s">
        <v>177</v>
      </c>
      <c r="CH2229" t="s">
        <v>5741</v>
      </c>
      <c r="CI2229" t="s">
        <v>25999</v>
      </c>
      <c r="CJ2229" t="s">
        <v>18492</v>
      </c>
      <c r="CK2229" t="s">
        <v>232</v>
      </c>
      <c r="CL2229" t="s">
        <v>233</v>
      </c>
      <c r="CM2229" t="s">
        <v>26000</v>
      </c>
      <c r="CN2229" t="s">
        <v>484</v>
      </c>
      <c r="CO2229" t="s">
        <v>183</v>
      </c>
      <c r="CP2229" t="s">
        <v>266</v>
      </c>
      <c r="CS2229" t="s">
        <v>198</v>
      </c>
      <c r="CT2229" t="s">
        <v>10274</v>
      </c>
      <c r="CU2229" t="s">
        <v>292</v>
      </c>
      <c r="CV2229" t="s">
        <v>293</v>
      </c>
      <c r="CW2229" t="s">
        <v>26001</v>
      </c>
      <c r="CX2229" t="s">
        <v>333</v>
      </c>
      <c r="CY2229" t="s">
        <v>183</v>
      </c>
      <c r="CZ2229" t="s">
        <v>266</v>
      </c>
      <c r="DC2229" t="s">
        <v>198</v>
      </c>
      <c r="DD2229" t="s">
        <v>17822</v>
      </c>
      <c r="DE2229" t="s">
        <v>267</v>
      </c>
      <c r="DF2229" t="s">
        <v>268</v>
      </c>
      <c r="DG2229" t="s">
        <v>26002</v>
      </c>
      <c r="DH2229" t="s">
        <v>484</v>
      </c>
      <c r="DI2229" t="s">
        <v>183</v>
      </c>
      <c r="DJ2229" t="s">
        <v>266</v>
      </c>
      <c r="DM2229" t="s">
        <v>198</v>
      </c>
      <c r="DN2229" t="s">
        <v>20254</v>
      </c>
      <c r="DO2229" t="s">
        <v>273</v>
      </c>
      <c r="DP2229" t="s">
        <v>274</v>
      </c>
      <c r="DQ2229" t="s">
        <v>26003</v>
      </c>
      <c r="DR2229" t="s">
        <v>235</v>
      </c>
      <c r="DS2229" t="s">
        <v>183</v>
      </c>
      <c r="DT2229" t="s">
        <v>266</v>
      </c>
      <c r="DW2229" t="s">
        <v>198</v>
      </c>
      <c r="EG2229" t="s">
        <v>198</v>
      </c>
      <c r="EQ2229" t="s">
        <v>198</v>
      </c>
      <c r="FA2229" t="s">
        <v>198</v>
      </c>
      <c r="FK2229" t="s">
        <v>198</v>
      </c>
      <c r="FU2229" t="s">
        <v>198</v>
      </c>
    </row>
    <row r="2230" spans="1:177">
      <c r="A2230" s="1" t="str">
        <f>HYPERLINK("http://digipan.lumentumllc.com/apps/getLink/index.php?t=PropLink&amp;p=5244681","PL")</f>
        <v>PL</v>
      </c>
      <c r="B2230" s="1" t="str">
        <f>HYPERLINK("http://digipan.lumentumllc.com/apps/getLink/index.php?t=TaxLink&amp;p=5244681","TL")</f>
        <v>TL</v>
      </c>
      <c r="C2230" s="1" t="str">
        <f>HYPERLINK("http://digipan.lumentumllc.com/apps/getMap/index.php?p=5244681","Map")</f>
        <v>Map</v>
      </c>
      <c r="E2230" t="s">
        <v>177</v>
      </c>
      <c r="F2230" t="s">
        <v>178</v>
      </c>
      <c r="L2230" t="s">
        <v>26004</v>
      </c>
      <c r="N2230" t="s">
        <v>26004</v>
      </c>
      <c r="O2230" t="s">
        <v>26004</v>
      </c>
      <c r="P2230" t="s">
        <v>26005</v>
      </c>
      <c r="Q2230" t="s">
        <v>26004</v>
      </c>
      <c r="V2230">
        <v>2549</v>
      </c>
      <c r="W2230">
        <v>8</v>
      </c>
      <c r="X2230">
        <v>2017</v>
      </c>
      <c r="Y2230">
        <v>2018</v>
      </c>
      <c r="Z2230">
        <v>854.07</v>
      </c>
      <c r="AB2230" t="s">
        <v>181</v>
      </c>
      <c r="AC2230" t="s">
        <v>182</v>
      </c>
      <c r="AD2230" t="s">
        <v>183</v>
      </c>
      <c r="AE2230">
        <v>1</v>
      </c>
      <c r="AF2230">
        <v>5</v>
      </c>
      <c r="AG2230" t="s">
        <v>322</v>
      </c>
      <c r="AH2230">
        <v>83</v>
      </c>
      <c r="AI2230">
        <v>865.88</v>
      </c>
      <c r="AJ2230">
        <v>43.29</v>
      </c>
      <c r="AK2230">
        <v>909.17</v>
      </c>
      <c r="AL2230">
        <v>49390</v>
      </c>
      <c r="AM2230">
        <v>35000</v>
      </c>
      <c r="AN2230">
        <v>14390</v>
      </c>
      <c r="AO2230">
        <v>776</v>
      </c>
      <c r="AP2230">
        <v>2016</v>
      </c>
      <c r="AQ2230">
        <v>1.73</v>
      </c>
      <c r="AR2230">
        <v>1.84</v>
      </c>
      <c r="AS2230" t="s">
        <v>26006</v>
      </c>
      <c r="AT2230" t="s">
        <v>15040</v>
      </c>
      <c r="AU2230" t="s">
        <v>177</v>
      </c>
      <c r="AV2230" t="s">
        <v>371</v>
      </c>
      <c r="AW2230" t="s">
        <v>182</v>
      </c>
      <c r="AX2230">
        <v>12</v>
      </c>
      <c r="AY2230" t="s">
        <v>3641</v>
      </c>
      <c r="AZ2230" t="s">
        <v>427</v>
      </c>
      <c r="BA2230" t="s">
        <v>7093</v>
      </c>
      <c r="BB2230" t="s">
        <v>191</v>
      </c>
      <c r="BC2230" t="s">
        <v>182</v>
      </c>
      <c r="BD2230" t="s">
        <v>182</v>
      </c>
      <c r="BE2230" t="s">
        <v>3930</v>
      </c>
      <c r="BF2230">
        <v>2</v>
      </c>
      <c r="BG2230">
        <v>1</v>
      </c>
      <c r="BH2230">
        <v>1968</v>
      </c>
      <c r="BI2230" t="s">
        <v>14702</v>
      </c>
      <c r="BJ2230" t="s">
        <v>285</v>
      </c>
      <c r="BK2230" t="s">
        <v>840</v>
      </c>
      <c r="BL2230" t="s">
        <v>18375</v>
      </c>
      <c r="BM2230" t="s">
        <v>4724</v>
      </c>
      <c r="BN2230" t="s">
        <v>182</v>
      </c>
      <c r="BO2230" t="s">
        <v>26007</v>
      </c>
      <c r="BP2230" t="s">
        <v>24803</v>
      </c>
      <c r="BS2230" t="s">
        <v>14253</v>
      </c>
      <c r="BT2230" t="s">
        <v>198</v>
      </c>
      <c r="BU2230" t="s">
        <v>182</v>
      </c>
      <c r="BV2230" t="s">
        <v>198</v>
      </c>
      <c r="BW2230" t="s">
        <v>198</v>
      </c>
      <c r="BX2230" t="s">
        <v>199</v>
      </c>
      <c r="BY2230" t="s">
        <v>198</v>
      </c>
      <c r="BZ2230" t="s">
        <v>199</v>
      </c>
      <c r="CA2230" t="s">
        <v>199</v>
      </c>
      <c r="CB2230" t="s">
        <v>26008</v>
      </c>
      <c r="CC2230" t="s">
        <v>201</v>
      </c>
      <c r="CD2230" t="s">
        <v>182</v>
      </c>
      <c r="CE2230" t="s">
        <v>25903</v>
      </c>
      <c r="CF2230" t="s">
        <v>5331</v>
      </c>
      <c r="CG2230" t="s">
        <v>177</v>
      </c>
      <c r="CH2230" t="s">
        <v>371</v>
      </c>
      <c r="CI2230" t="s">
        <v>26009</v>
      </c>
      <c r="CJ2230" t="s">
        <v>16964</v>
      </c>
      <c r="CK2230" t="s">
        <v>232</v>
      </c>
      <c r="CL2230" t="s">
        <v>233</v>
      </c>
      <c r="CM2230" t="s">
        <v>26010</v>
      </c>
      <c r="CN2230" t="s">
        <v>235</v>
      </c>
      <c r="CO2230" t="s">
        <v>183</v>
      </c>
      <c r="CP2230" t="s">
        <v>266</v>
      </c>
      <c r="CS2230" t="s">
        <v>198</v>
      </c>
      <c r="CT2230" t="s">
        <v>16816</v>
      </c>
      <c r="CU2230" t="s">
        <v>292</v>
      </c>
      <c r="CV2230" t="s">
        <v>293</v>
      </c>
      <c r="CW2230" t="s">
        <v>26011</v>
      </c>
      <c r="CX2230" t="s">
        <v>235</v>
      </c>
      <c r="CY2230" t="s">
        <v>183</v>
      </c>
      <c r="CZ2230" t="s">
        <v>211</v>
      </c>
      <c r="DA2230" t="s">
        <v>523</v>
      </c>
      <c r="DC2230" t="s">
        <v>13344</v>
      </c>
      <c r="DD2230" t="s">
        <v>17839</v>
      </c>
      <c r="DE2230" t="s">
        <v>267</v>
      </c>
      <c r="DF2230" t="s">
        <v>268</v>
      </c>
      <c r="DG2230" t="s">
        <v>26012</v>
      </c>
      <c r="DH2230" t="s">
        <v>235</v>
      </c>
      <c r="DI2230" t="s">
        <v>183</v>
      </c>
      <c r="DJ2230" t="s">
        <v>211</v>
      </c>
      <c r="DK2230" t="s">
        <v>298</v>
      </c>
      <c r="DM2230" t="s">
        <v>459</v>
      </c>
      <c r="DN2230" t="s">
        <v>8509</v>
      </c>
      <c r="DO2230" t="s">
        <v>273</v>
      </c>
      <c r="DP2230" t="s">
        <v>274</v>
      </c>
      <c r="DQ2230" t="s">
        <v>26013</v>
      </c>
      <c r="DR2230" t="s">
        <v>838</v>
      </c>
      <c r="DS2230" t="s">
        <v>183</v>
      </c>
      <c r="DT2230" t="s">
        <v>211</v>
      </c>
      <c r="DU2230" t="s">
        <v>298</v>
      </c>
      <c r="DW2230" t="s">
        <v>1069</v>
      </c>
      <c r="DX2230" t="s">
        <v>21799</v>
      </c>
      <c r="DY2230" t="s">
        <v>302</v>
      </c>
      <c r="DZ2230" t="s">
        <v>303</v>
      </c>
      <c r="EA2230" t="s">
        <v>26014</v>
      </c>
      <c r="EB2230" t="s">
        <v>1586</v>
      </c>
      <c r="EC2230" t="s">
        <v>183</v>
      </c>
      <c r="ED2230" t="s">
        <v>211</v>
      </c>
      <c r="EE2230" t="s">
        <v>298</v>
      </c>
      <c r="EG2230" t="s">
        <v>2359</v>
      </c>
      <c r="EH2230" t="s">
        <v>7339</v>
      </c>
      <c r="EI2230" t="s">
        <v>238</v>
      </c>
      <c r="EJ2230" t="s">
        <v>239</v>
      </c>
      <c r="EK2230" t="s">
        <v>26015</v>
      </c>
      <c r="EL2230" t="s">
        <v>247</v>
      </c>
      <c r="EM2230" t="s">
        <v>183</v>
      </c>
      <c r="EN2230" t="s">
        <v>211</v>
      </c>
      <c r="EO2230" t="s">
        <v>298</v>
      </c>
      <c r="EQ2230" t="s">
        <v>1794</v>
      </c>
      <c r="FA2230" t="s">
        <v>198</v>
      </c>
      <c r="FK2230" t="s">
        <v>198</v>
      </c>
      <c r="FU2230" t="s">
        <v>198</v>
      </c>
    </row>
    <row r="2231" spans="1:177">
      <c r="A2231" s="1" t="str">
        <f>HYPERLINK("http://digipan.lumentumllc.com/apps/getLink/index.php?t=PropLink&amp;p=5244682","PL")</f>
        <v>PL</v>
      </c>
      <c r="B2231" s="1" t="str">
        <f>HYPERLINK("http://digipan.lumentumllc.com/apps/getLink/index.php?t=TaxLink&amp;p=5244682","TL")</f>
        <v>TL</v>
      </c>
      <c r="C2231" s="1" t="str">
        <f>HYPERLINK("http://digipan.lumentumllc.com/apps/getMap/index.php?p=5244682","Map")</f>
        <v>Map</v>
      </c>
      <c r="E2231" t="s">
        <v>177</v>
      </c>
      <c r="F2231" t="s">
        <v>178</v>
      </c>
      <c r="L2231" t="s">
        <v>26016</v>
      </c>
      <c r="N2231" t="s">
        <v>26016</v>
      </c>
      <c r="O2231" t="s">
        <v>26016</v>
      </c>
      <c r="P2231" t="s">
        <v>26017</v>
      </c>
      <c r="Q2231" t="s">
        <v>26016</v>
      </c>
      <c r="V2231">
        <v>2550</v>
      </c>
      <c r="W2231">
        <v>8</v>
      </c>
      <c r="X2231">
        <v>2017</v>
      </c>
      <c r="Y2231">
        <v>2018</v>
      </c>
      <c r="Z2231">
        <v>614.55999999999995</v>
      </c>
      <c r="AB2231" t="s">
        <v>181</v>
      </c>
      <c r="AC2231" t="s">
        <v>182</v>
      </c>
      <c r="AD2231" t="s">
        <v>183</v>
      </c>
      <c r="AE2231">
        <v>1</v>
      </c>
      <c r="AF2231">
        <v>4</v>
      </c>
      <c r="AG2231" t="s">
        <v>951</v>
      </c>
      <c r="AH2231">
        <v>80</v>
      </c>
      <c r="AI2231">
        <v>617.94000000000005</v>
      </c>
      <c r="AJ2231">
        <v>40.17</v>
      </c>
      <c r="AK2231">
        <v>658.11</v>
      </c>
      <c r="AL2231">
        <v>35000</v>
      </c>
      <c r="AM2231">
        <v>35000</v>
      </c>
      <c r="AN2231">
        <v>0</v>
      </c>
      <c r="AO2231">
        <v>546</v>
      </c>
      <c r="AP2231">
        <v>2016</v>
      </c>
      <c r="AQ2231">
        <v>1.76</v>
      </c>
      <c r="AR2231">
        <v>1.88</v>
      </c>
      <c r="AS2231" t="s">
        <v>26018</v>
      </c>
      <c r="AT2231" t="s">
        <v>15040</v>
      </c>
      <c r="AU2231" t="s">
        <v>177</v>
      </c>
      <c r="AV2231" t="s">
        <v>371</v>
      </c>
      <c r="AW2231" t="s">
        <v>182</v>
      </c>
      <c r="AX2231">
        <v>0</v>
      </c>
      <c r="AY2231" t="s">
        <v>312</v>
      </c>
      <c r="AZ2231" t="s">
        <v>199</v>
      </c>
      <c r="BA2231" t="s">
        <v>313</v>
      </c>
      <c r="BB2231" t="s">
        <v>191</v>
      </c>
      <c r="BC2231" t="s">
        <v>182</v>
      </c>
      <c r="BD2231" t="s">
        <v>182</v>
      </c>
      <c r="BE2231" t="s">
        <v>3930</v>
      </c>
      <c r="BF2231">
        <v>0</v>
      </c>
      <c r="BG2231">
        <v>0</v>
      </c>
      <c r="BH2231">
        <v>0</v>
      </c>
      <c r="BI2231" t="s">
        <v>199</v>
      </c>
      <c r="BJ2231" t="s">
        <v>315</v>
      </c>
      <c r="BL2231" t="s">
        <v>6051</v>
      </c>
      <c r="BM2231" t="s">
        <v>1387</v>
      </c>
      <c r="BN2231" t="s">
        <v>182</v>
      </c>
      <c r="BO2231" t="s">
        <v>198</v>
      </c>
      <c r="BP2231" t="s">
        <v>198</v>
      </c>
      <c r="BQ2231" t="s">
        <v>198</v>
      </c>
      <c r="BR2231" t="s">
        <v>198</v>
      </c>
      <c r="BS2231" t="s">
        <v>198</v>
      </c>
      <c r="BT2231" t="s">
        <v>198</v>
      </c>
      <c r="BU2231" t="s">
        <v>182</v>
      </c>
      <c r="BV2231" t="s">
        <v>198</v>
      </c>
      <c r="BW2231" t="s">
        <v>198</v>
      </c>
      <c r="BX2231" t="s">
        <v>199</v>
      </c>
      <c r="BY2231" t="s">
        <v>198</v>
      </c>
      <c r="BZ2231" t="s">
        <v>199</v>
      </c>
      <c r="CA2231" t="s">
        <v>199</v>
      </c>
      <c r="CB2231" t="s">
        <v>26019</v>
      </c>
      <c r="CC2231" t="s">
        <v>201</v>
      </c>
      <c r="CD2231" t="s">
        <v>182</v>
      </c>
      <c r="CE2231" t="s">
        <v>25903</v>
      </c>
      <c r="CF2231" t="s">
        <v>5331</v>
      </c>
      <c r="CG2231" t="s">
        <v>177</v>
      </c>
      <c r="CH2231" t="s">
        <v>371</v>
      </c>
      <c r="CI2231" t="s">
        <v>26020</v>
      </c>
      <c r="CJ2231" t="s">
        <v>19939</v>
      </c>
      <c r="CK2231" t="s">
        <v>232</v>
      </c>
      <c r="CL2231" t="s">
        <v>233</v>
      </c>
      <c r="CM2231" t="s">
        <v>22792</v>
      </c>
      <c r="CN2231" t="s">
        <v>688</v>
      </c>
      <c r="CO2231" t="s">
        <v>183</v>
      </c>
      <c r="CP2231" t="s">
        <v>266</v>
      </c>
      <c r="CS2231" t="s">
        <v>198</v>
      </c>
      <c r="CT2231" t="s">
        <v>10383</v>
      </c>
      <c r="CU2231" t="s">
        <v>292</v>
      </c>
      <c r="CV2231" t="s">
        <v>293</v>
      </c>
      <c r="CW2231" t="s">
        <v>26021</v>
      </c>
      <c r="CX2231" t="s">
        <v>333</v>
      </c>
      <c r="CY2231" t="s">
        <v>183</v>
      </c>
      <c r="CZ2231" t="s">
        <v>211</v>
      </c>
      <c r="DA2231" t="s">
        <v>523</v>
      </c>
      <c r="DC2231" t="s">
        <v>13344</v>
      </c>
      <c r="DD2231" t="s">
        <v>18425</v>
      </c>
      <c r="DE2231" t="s">
        <v>267</v>
      </c>
      <c r="DF2231" t="s">
        <v>268</v>
      </c>
      <c r="DG2231" t="s">
        <v>22773</v>
      </c>
      <c r="DH2231" t="s">
        <v>484</v>
      </c>
      <c r="DI2231" t="s">
        <v>183</v>
      </c>
      <c r="DJ2231" t="s">
        <v>211</v>
      </c>
      <c r="DK2231" t="s">
        <v>345</v>
      </c>
      <c r="DM2231" t="s">
        <v>542</v>
      </c>
      <c r="DN2231" t="s">
        <v>20303</v>
      </c>
      <c r="DO2231" t="s">
        <v>273</v>
      </c>
      <c r="DP2231" t="s">
        <v>274</v>
      </c>
      <c r="DQ2231" t="s">
        <v>26022</v>
      </c>
      <c r="DR2231" t="s">
        <v>796</v>
      </c>
      <c r="DS2231" t="s">
        <v>183</v>
      </c>
      <c r="DT2231" t="s">
        <v>211</v>
      </c>
      <c r="DU2231" t="s">
        <v>298</v>
      </c>
      <c r="DW2231" t="s">
        <v>1069</v>
      </c>
      <c r="DX2231" t="s">
        <v>21819</v>
      </c>
      <c r="DY2231" t="s">
        <v>302</v>
      </c>
      <c r="DZ2231" t="s">
        <v>303</v>
      </c>
      <c r="EA2231" t="s">
        <v>26023</v>
      </c>
      <c r="EB2231" t="s">
        <v>7278</v>
      </c>
      <c r="EC2231" t="s">
        <v>183</v>
      </c>
      <c r="ED2231" t="s">
        <v>211</v>
      </c>
      <c r="EE2231" t="s">
        <v>298</v>
      </c>
      <c r="EG2231" t="s">
        <v>2359</v>
      </c>
      <c r="EQ2231" t="s">
        <v>198</v>
      </c>
      <c r="FA2231" t="s">
        <v>198</v>
      </c>
      <c r="FK2231" t="s">
        <v>198</v>
      </c>
      <c r="FU2231" t="s">
        <v>198</v>
      </c>
    </row>
    <row r="2232" spans="1:177">
      <c r="A2232" s="1" t="str">
        <f>HYPERLINK("http://digipan.lumentumllc.com/apps/getLink/index.php?t=PropLink&amp;p=5244684","PL")</f>
        <v>PL</v>
      </c>
      <c r="B2232" s="1" t="str">
        <f>HYPERLINK("http://digipan.lumentumllc.com/apps/getLink/index.php?t=TaxLink&amp;p=5244684","TL")</f>
        <v>TL</v>
      </c>
      <c r="C2232" s="1" t="str">
        <f>HYPERLINK("http://digipan.lumentumllc.com/apps/getMap/index.php?p=5244684","Map")</f>
        <v>Map</v>
      </c>
      <c r="E2232" t="s">
        <v>177</v>
      </c>
      <c r="F2232" t="s">
        <v>178</v>
      </c>
      <c r="L2232" t="s">
        <v>26024</v>
      </c>
      <c r="N2232" t="s">
        <v>26024</v>
      </c>
      <c r="O2232" t="s">
        <v>26024</v>
      </c>
      <c r="P2232" t="s">
        <v>26025</v>
      </c>
      <c r="Q2232" t="s">
        <v>26024</v>
      </c>
      <c r="V2232">
        <v>2551</v>
      </c>
      <c r="W2232">
        <v>8</v>
      </c>
      <c r="X2232">
        <v>2017</v>
      </c>
      <c r="Y2232">
        <v>2018</v>
      </c>
      <c r="Z2232">
        <v>2368.89</v>
      </c>
      <c r="AG2232" t="s">
        <v>184</v>
      </c>
      <c r="AH2232">
        <v>0</v>
      </c>
      <c r="AK2232">
        <v>0</v>
      </c>
      <c r="AL2232">
        <v>115283</v>
      </c>
      <c r="AM2232">
        <v>41208</v>
      </c>
      <c r="AN2232">
        <v>74075</v>
      </c>
      <c r="AO2232">
        <v>1999</v>
      </c>
      <c r="AP2232">
        <v>2016</v>
      </c>
      <c r="AQ2232">
        <v>2.0499999999999998</v>
      </c>
      <c r="AS2232" t="s">
        <v>26026</v>
      </c>
      <c r="AT2232" t="s">
        <v>15040</v>
      </c>
      <c r="AU2232" t="s">
        <v>177</v>
      </c>
      <c r="AV2232" t="s">
        <v>371</v>
      </c>
      <c r="AW2232" t="s">
        <v>182</v>
      </c>
      <c r="AX2232">
        <v>1</v>
      </c>
      <c r="AY2232" t="s">
        <v>188</v>
      </c>
      <c r="AZ2232" t="s">
        <v>206</v>
      </c>
      <c r="BA2232" t="s">
        <v>355</v>
      </c>
      <c r="BB2232" t="s">
        <v>191</v>
      </c>
      <c r="BC2232" t="s">
        <v>182</v>
      </c>
      <c r="BD2232" t="s">
        <v>182</v>
      </c>
      <c r="BE2232" t="s">
        <v>235</v>
      </c>
      <c r="BF2232">
        <v>1</v>
      </c>
      <c r="BG2232">
        <v>1</v>
      </c>
      <c r="BH2232">
        <v>1975</v>
      </c>
      <c r="BI2232" t="s">
        <v>12095</v>
      </c>
      <c r="BJ2232" t="s">
        <v>285</v>
      </c>
      <c r="BK2232" t="s">
        <v>195</v>
      </c>
      <c r="BL2232" t="s">
        <v>199</v>
      </c>
      <c r="BM2232" t="s">
        <v>286</v>
      </c>
      <c r="BN2232" t="s">
        <v>182</v>
      </c>
      <c r="BO2232" t="s">
        <v>198</v>
      </c>
      <c r="BP2232" t="s">
        <v>198</v>
      </c>
      <c r="BQ2232" t="s">
        <v>198</v>
      </c>
      <c r="BR2232" t="s">
        <v>198</v>
      </c>
      <c r="BS2232" t="s">
        <v>198</v>
      </c>
      <c r="BT2232" t="s">
        <v>198</v>
      </c>
      <c r="BU2232" t="s">
        <v>182</v>
      </c>
      <c r="BV2232" t="s">
        <v>198</v>
      </c>
      <c r="BW2232" t="s">
        <v>198</v>
      </c>
      <c r="BX2232" t="s">
        <v>199</v>
      </c>
      <c r="BY2232" t="s">
        <v>198</v>
      </c>
      <c r="BZ2232" t="s">
        <v>199</v>
      </c>
      <c r="CA2232" t="s">
        <v>199</v>
      </c>
      <c r="CB2232" t="s">
        <v>26027</v>
      </c>
      <c r="CC2232" t="s">
        <v>201</v>
      </c>
      <c r="CD2232" t="s">
        <v>202</v>
      </c>
      <c r="CE2232" t="s">
        <v>26028</v>
      </c>
      <c r="CF2232" t="s">
        <v>5331</v>
      </c>
      <c r="CG2232" t="s">
        <v>177</v>
      </c>
      <c r="CH2232" t="s">
        <v>5332</v>
      </c>
      <c r="CI2232" t="s">
        <v>26029</v>
      </c>
      <c r="CS2232" t="s">
        <v>198</v>
      </c>
      <c r="DC2232" t="s">
        <v>198</v>
      </c>
      <c r="DM2232" t="s">
        <v>198</v>
      </c>
      <c r="DW2232" t="s">
        <v>198</v>
      </c>
      <c r="EG2232" t="s">
        <v>198</v>
      </c>
      <c r="EQ2232" t="s">
        <v>198</v>
      </c>
      <c r="FA2232" t="s">
        <v>198</v>
      </c>
      <c r="FK2232" t="s">
        <v>198</v>
      </c>
      <c r="FU2232" t="s">
        <v>198</v>
      </c>
    </row>
    <row r="2233" spans="1:177">
      <c r="A2233" s="1" t="str">
        <f>HYPERLINK("http://digipan.lumentumllc.com/apps/getLink/index.php?t=PropLink&amp;p=15734956","PL")</f>
        <v>PL</v>
      </c>
      <c r="B2233" s="1" t="str">
        <f>HYPERLINK("http://digipan.lumentumllc.com/apps/getLink/index.php?t=TaxLink&amp;p=15734956","TL")</f>
        <v>TL</v>
      </c>
      <c r="C2233" s="1" t="str">
        <f>HYPERLINK("http://digipan.lumentumllc.com/apps/getMap/index.php?p=15734956","Map")</f>
        <v>Map</v>
      </c>
      <c r="E2233" t="s">
        <v>177</v>
      </c>
      <c r="F2233" t="s">
        <v>178</v>
      </c>
      <c r="L2233" t="s">
        <v>26030</v>
      </c>
      <c r="N2233" t="s">
        <v>26030</v>
      </c>
      <c r="O2233" t="s">
        <v>26030</v>
      </c>
      <c r="Q2233" t="s">
        <v>26030</v>
      </c>
      <c r="V2233">
        <v>2553</v>
      </c>
      <c r="W2233">
        <v>8</v>
      </c>
      <c r="X2233">
        <v>2017</v>
      </c>
      <c r="Y2233">
        <v>2018</v>
      </c>
      <c r="Z2233">
        <v>1275.1199999999999</v>
      </c>
      <c r="AG2233" t="s">
        <v>184</v>
      </c>
      <c r="AH2233">
        <v>0</v>
      </c>
      <c r="AK2233">
        <v>0</v>
      </c>
      <c r="AL2233">
        <v>84553</v>
      </c>
      <c r="AM2233">
        <v>27175</v>
      </c>
      <c r="AN2233">
        <v>57378</v>
      </c>
      <c r="AO2233">
        <v>1057</v>
      </c>
      <c r="AP2233">
        <v>2016</v>
      </c>
      <c r="AQ2233">
        <v>1.51</v>
      </c>
      <c r="AS2233" t="s">
        <v>26031</v>
      </c>
      <c r="AT2233" t="s">
        <v>15040</v>
      </c>
      <c r="AU2233" t="s">
        <v>177</v>
      </c>
      <c r="AV2233" t="s">
        <v>371</v>
      </c>
      <c r="AW2233" t="s">
        <v>202</v>
      </c>
      <c r="AX2233">
        <v>1</v>
      </c>
      <c r="AY2233" t="s">
        <v>188</v>
      </c>
      <c r="AZ2233" t="s">
        <v>206</v>
      </c>
      <c r="BA2233" t="s">
        <v>355</v>
      </c>
      <c r="BB2233" t="s">
        <v>191</v>
      </c>
      <c r="BC2233" t="s">
        <v>182</v>
      </c>
      <c r="BD2233" t="s">
        <v>182</v>
      </c>
      <c r="BE2233" t="s">
        <v>5975</v>
      </c>
      <c r="BF2233">
        <v>1</v>
      </c>
      <c r="BG2233">
        <v>1</v>
      </c>
      <c r="BH2233">
        <v>1965</v>
      </c>
      <c r="BI2233" t="s">
        <v>11663</v>
      </c>
      <c r="BJ2233" t="s">
        <v>285</v>
      </c>
      <c r="BK2233" t="s">
        <v>840</v>
      </c>
      <c r="BL2233" t="s">
        <v>199</v>
      </c>
      <c r="BM2233" t="s">
        <v>232</v>
      </c>
      <c r="BN2233" t="s">
        <v>182</v>
      </c>
      <c r="BO2233" t="s">
        <v>198</v>
      </c>
      <c r="BP2233" t="s">
        <v>198</v>
      </c>
      <c r="BQ2233" t="s">
        <v>198</v>
      </c>
      <c r="BR2233" t="s">
        <v>198</v>
      </c>
      <c r="BS2233" t="s">
        <v>198</v>
      </c>
      <c r="BT2233" t="s">
        <v>198</v>
      </c>
      <c r="BU2233" t="s">
        <v>182</v>
      </c>
      <c r="BV2233" t="s">
        <v>198</v>
      </c>
      <c r="BW2233" t="s">
        <v>198</v>
      </c>
      <c r="BX2233" t="s">
        <v>199</v>
      </c>
      <c r="BY2233" t="s">
        <v>198</v>
      </c>
      <c r="BZ2233" t="s">
        <v>199</v>
      </c>
      <c r="CA2233" t="s">
        <v>199</v>
      </c>
      <c r="CB2233" t="s">
        <v>26032</v>
      </c>
      <c r="CC2233" t="s">
        <v>201</v>
      </c>
      <c r="CD2233" t="s">
        <v>202</v>
      </c>
      <c r="CE2233" t="s">
        <v>26033</v>
      </c>
      <c r="CF2233" t="s">
        <v>5331</v>
      </c>
      <c r="CG2233" t="s">
        <v>177</v>
      </c>
      <c r="CH2233" t="s">
        <v>371</v>
      </c>
      <c r="CI2233" t="s">
        <v>26034</v>
      </c>
      <c r="CS2233" t="s">
        <v>198</v>
      </c>
      <c r="DC2233" t="s">
        <v>198</v>
      </c>
      <c r="DM2233" t="s">
        <v>198</v>
      </c>
      <c r="DW2233" t="s">
        <v>198</v>
      </c>
      <c r="EG2233" t="s">
        <v>198</v>
      </c>
      <c r="EQ2233" t="s">
        <v>198</v>
      </c>
      <c r="FA2233" t="s">
        <v>198</v>
      </c>
      <c r="FK2233" t="s">
        <v>198</v>
      </c>
      <c r="FU2233" t="s">
        <v>198</v>
      </c>
    </row>
    <row r="2234" spans="1:177">
      <c r="A2234" s="1" t="str">
        <f>HYPERLINK("http://digipan.lumentumllc.com/apps/getLink/index.php?t=PropLink&amp;p=6461722","PL")</f>
        <v>PL</v>
      </c>
      <c r="B2234" s="1" t="str">
        <f>HYPERLINK("http://digipan.lumentumllc.com/apps/getLink/index.php?t=TaxLink&amp;p=6461722","TL")</f>
        <v>TL</v>
      </c>
      <c r="C2234" s="1" t="str">
        <f>HYPERLINK("http://digipan.lumentumllc.com/apps/getMap/index.php?p=6461722","Map")</f>
        <v>Map</v>
      </c>
      <c r="E2234" t="s">
        <v>177</v>
      </c>
      <c r="F2234" t="s">
        <v>178</v>
      </c>
      <c r="L2234" t="s">
        <v>26035</v>
      </c>
      <c r="N2234" t="s">
        <v>26035</v>
      </c>
      <c r="O2234" t="s">
        <v>26035</v>
      </c>
      <c r="P2234" t="s">
        <v>26036</v>
      </c>
      <c r="Q2234" t="s">
        <v>26035</v>
      </c>
      <c r="V2234">
        <v>2554</v>
      </c>
      <c r="W2234">
        <v>8</v>
      </c>
      <c r="X2234">
        <v>2017</v>
      </c>
      <c r="Y2234">
        <v>2018</v>
      </c>
      <c r="Z2234">
        <v>325.98</v>
      </c>
      <c r="AB2234" t="s">
        <v>181</v>
      </c>
      <c r="AC2234" t="s">
        <v>182</v>
      </c>
      <c r="AD2234" t="s">
        <v>183</v>
      </c>
      <c r="AE2234">
        <v>0</v>
      </c>
      <c r="AF2234">
        <v>1</v>
      </c>
      <c r="AG2234" t="s">
        <v>821</v>
      </c>
      <c r="AH2234">
        <v>100</v>
      </c>
      <c r="AK2234">
        <v>0</v>
      </c>
      <c r="AL2234">
        <v>15097</v>
      </c>
      <c r="AM2234">
        <v>15097</v>
      </c>
      <c r="AN2234">
        <v>0</v>
      </c>
      <c r="AO2234">
        <v>251</v>
      </c>
      <c r="AP2234">
        <v>2016</v>
      </c>
      <c r="AQ2234">
        <v>2.16</v>
      </c>
      <c r="AS2234" t="s">
        <v>26037</v>
      </c>
      <c r="AT2234" t="s">
        <v>15040</v>
      </c>
      <c r="AU2234" t="s">
        <v>177</v>
      </c>
      <c r="AV2234" t="s">
        <v>371</v>
      </c>
      <c r="AW2234" t="s">
        <v>182</v>
      </c>
      <c r="AX2234">
        <v>0</v>
      </c>
      <c r="AY2234" t="s">
        <v>312</v>
      </c>
      <c r="AZ2234" t="s">
        <v>199</v>
      </c>
      <c r="BA2234" t="s">
        <v>313</v>
      </c>
      <c r="BB2234" t="s">
        <v>191</v>
      </c>
      <c r="BC2234" t="s">
        <v>182</v>
      </c>
      <c r="BD2234" t="s">
        <v>182</v>
      </c>
      <c r="BE2234" t="s">
        <v>5975</v>
      </c>
      <c r="BF2234">
        <v>0</v>
      </c>
      <c r="BG2234">
        <v>0</v>
      </c>
      <c r="BH2234">
        <v>0</v>
      </c>
      <c r="BI2234" t="s">
        <v>199</v>
      </c>
      <c r="BJ2234" t="s">
        <v>315</v>
      </c>
      <c r="BL2234" t="s">
        <v>2050</v>
      </c>
      <c r="BM2234" t="s">
        <v>197</v>
      </c>
      <c r="BN2234" t="s">
        <v>182</v>
      </c>
      <c r="BO2234" t="s">
        <v>14720</v>
      </c>
      <c r="BP2234" t="s">
        <v>26038</v>
      </c>
      <c r="BS2234" t="s">
        <v>19751</v>
      </c>
      <c r="BT2234" t="s">
        <v>198</v>
      </c>
      <c r="BU2234" t="s">
        <v>182</v>
      </c>
      <c r="BV2234" t="s">
        <v>198</v>
      </c>
      <c r="BW2234" t="s">
        <v>198</v>
      </c>
      <c r="BX2234" t="s">
        <v>199</v>
      </c>
      <c r="BY2234" t="s">
        <v>198</v>
      </c>
      <c r="BZ2234" t="s">
        <v>199</v>
      </c>
      <c r="CA2234" t="s">
        <v>199</v>
      </c>
      <c r="CB2234" t="s">
        <v>26039</v>
      </c>
      <c r="CC2234" t="s">
        <v>201</v>
      </c>
      <c r="CD2234" t="s">
        <v>202</v>
      </c>
      <c r="CE2234" t="s">
        <v>26040</v>
      </c>
      <c r="CF2234" t="s">
        <v>15835</v>
      </c>
      <c r="CG2234" t="s">
        <v>1602</v>
      </c>
      <c r="CH2234" t="s">
        <v>22610</v>
      </c>
      <c r="CI2234" t="s">
        <v>26041</v>
      </c>
      <c r="CJ2234" t="s">
        <v>24017</v>
      </c>
      <c r="CK2234" t="s">
        <v>292</v>
      </c>
      <c r="CL2234" t="s">
        <v>293</v>
      </c>
      <c r="CM2234" t="s">
        <v>26042</v>
      </c>
      <c r="CN2234" t="s">
        <v>389</v>
      </c>
      <c r="CO2234" t="s">
        <v>183</v>
      </c>
      <c r="CP2234" t="s">
        <v>211</v>
      </c>
      <c r="CQ2234" t="s">
        <v>329</v>
      </c>
      <c r="CS2234" t="s">
        <v>5919</v>
      </c>
      <c r="DC2234" t="s">
        <v>198</v>
      </c>
      <c r="DM2234" t="s">
        <v>198</v>
      </c>
      <c r="DW2234" t="s">
        <v>198</v>
      </c>
      <c r="EG2234" t="s">
        <v>198</v>
      </c>
      <c r="EQ2234" t="s">
        <v>198</v>
      </c>
      <c r="FA2234" t="s">
        <v>198</v>
      </c>
      <c r="FK2234" t="s">
        <v>198</v>
      </c>
      <c r="FU2234" t="s">
        <v>198</v>
      </c>
    </row>
    <row r="2235" spans="1:177">
      <c r="A2235" s="1" t="str">
        <f>HYPERLINK("http://digipan.lumentumllc.com/apps/getLink/index.php?t=PropLink&amp;p=15734961","PL")</f>
        <v>PL</v>
      </c>
      <c r="B2235" s="1" t="str">
        <f>HYPERLINK("http://digipan.lumentumllc.com/apps/getLink/index.php?t=TaxLink&amp;p=15734961","TL")</f>
        <v>TL</v>
      </c>
      <c r="C2235" s="1" t="str">
        <f>HYPERLINK("http://digipan.lumentumllc.com/apps/getMap/index.php?p=15734961","Map")</f>
        <v>Map</v>
      </c>
      <c r="E2235" t="s">
        <v>177</v>
      </c>
      <c r="F2235" t="s">
        <v>178</v>
      </c>
      <c r="L2235" t="s">
        <v>26043</v>
      </c>
      <c r="N2235" t="s">
        <v>26043</v>
      </c>
      <c r="O2235" t="s">
        <v>26043</v>
      </c>
      <c r="Q2235" t="s">
        <v>26043</v>
      </c>
      <c r="V2235">
        <v>2555</v>
      </c>
      <c r="W2235">
        <v>8</v>
      </c>
      <c r="X2235">
        <v>2017</v>
      </c>
      <c r="Y2235">
        <v>2018</v>
      </c>
      <c r="Z2235">
        <v>325.98</v>
      </c>
      <c r="AG2235" t="s">
        <v>184</v>
      </c>
      <c r="AH2235">
        <v>0</v>
      </c>
      <c r="AK2235">
        <v>0</v>
      </c>
      <c r="AL2235">
        <v>15097</v>
      </c>
      <c r="AM2235">
        <v>15097</v>
      </c>
      <c r="AN2235">
        <v>0</v>
      </c>
      <c r="AO2235">
        <v>251</v>
      </c>
      <c r="AP2235">
        <v>2016</v>
      </c>
      <c r="AQ2235">
        <v>2.16</v>
      </c>
      <c r="AS2235" t="s">
        <v>26037</v>
      </c>
      <c r="AT2235" t="s">
        <v>15040</v>
      </c>
      <c r="AU2235" t="s">
        <v>177</v>
      </c>
      <c r="AV2235" t="s">
        <v>371</v>
      </c>
      <c r="AW2235" t="s">
        <v>182</v>
      </c>
      <c r="AX2235">
        <v>0</v>
      </c>
      <c r="AY2235" t="s">
        <v>312</v>
      </c>
      <c r="AZ2235" t="s">
        <v>199</v>
      </c>
      <c r="BA2235" t="s">
        <v>313</v>
      </c>
      <c r="BB2235" t="s">
        <v>191</v>
      </c>
      <c r="BC2235" t="s">
        <v>182</v>
      </c>
      <c r="BD2235" t="s">
        <v>182</v>
      </c>
      <c r="BE2235" t="s">
        <v>5975</v>
      </c>
      <c r="BF2235">
        <v>0</v>
      </c>
      <c r="BG2235">
        <v>0</v>
      </c>
      <c r="BH2235">
        <v>0</v>
      </c>
      <c r="BI2235" t="s">
        <v>199</v>
      </c>
      <c r="BJ2235" t="s">
        <v>315</v>
      </c>
      <c r="BL2235" t="s">
        <v>2050</v>
      </c>
      <c r="BM2235" t="s">
        <v>197</v>
      </c>
      <c r="BN2235" t="s">
        <v>182</v>
      </c>
      <c r="BO2235" t="s">
        <v>198</v>
      </c>
      <c r="BP2235" t="s">
        <v>198</v>
      </c>
      <c r="BQ2235" t="s">
        <v>198</v>
      </c>
      <c r="BR2235" t="s">
        <v>198</v>
      </c>
      <c r="BS2235" t="s">
        <v>198</v>
      </c>
      <c r="BT2235" t="s">
        <v>198</v>
      </c>
      <c r="BU2235" t="s">
        <v>182</v>
      </c>
      <c r="BV2235" t="s">
        <v>198</v>
      </c>
      <c r="BW2235" t="s">
        <v>198</v>
      </c>
      <c r="BX2235" t="s">
        <v>199</v>
      </c>
      <c r="BY2235" t="s">
        <v>198</v>
      </c>
      <c r="BZ2235" t="s">
        <v>199</v>
      </c>
      <c r="CA2235" t="s">
        <v>199</v>
      </c>
      <c r="CB2235" t="s">
        <v>26044</v>
      </c>
      <c r="CC2235" t="s">
        <v>201</v>
      </c>
      <c r="CD2235" t="s">
        <v>202</v>
      </c>
      <c r="CE2235" t="s">
        <v>26045</v>
      </c>
      <c r="CF2235" t="s">
        <v>15835</v>
      </c>
      <c r="CG2235" t="s">
        <v>1602</v>
      </c>
      <c r="CH2235" t="s">
        <v>22610</v>
      </c>
      <c r="CI2235" t="s">
        <v>26046</v>
      </c>
      <c r="CS2235" t="s">
        <v>198</v>
      </c>
      <c r="DC2235" t="s">
        <v>198</v>
      </c>
      <c r="DM2235" t="s">
        <v>198</v>
      </c>
      <c r="DW2235" t="s">
        <v>198</v>
      </c>
      <c r="EG2235" t="s">
        <v>198</v>
      </c>
      <c r="EQ2235" t="s">
        <v>198</v>
      </c>
      <c r="FA2235" t="s">
        <v>198</v>
      </c>
      <c r="FK2235" t="s">
        <v>198</v>
      </c>
      <c r="FU2235" t="s">
        <v>198</v>
      </c>
    </row>
    <row r="2236" spans="1:177">
      <c r="A2236" s="1" t="str">
        <f>HYPERLINK("http://digipan.lumentumllc.com/apps/getLink/index.php?t=PropLink&amp;p=7112327","PL")</f>
        <v>PL</v>
      </c>
      <c r="B2236" s="1" t="str">
        <f>HYPERLINK("http://digipan.lumentumllc.com/apps/getLink/index.php?t=TaxLink&amp;p=7112327","TL")</f>
        <v>TL</v>
      </c>
      <c r="C2236" s="1" t="str">
        <f>HYPERLINK("http://digipan.lumentumllc.com/apps/getMap/index.php?p=7112327","Map")</f>
        <v>Map</v>
      </c>
      <c r="E2236" t="s">
        <v>177</v>
      </c>
      <c r="F2236" t="s">
        <v>178</v>
      </c>
      <c r="L2236" t="s">
        <v>26047</v>
      </c>
      <c r="N2236" t="s">
        <v>26047</v>
      </c>
      <c r="O2236" t="s">
        <v>26047</v>
      </c>
      <c r="P2236" t="s">
        <v>26048</v>
      </c>
      <c r="Q2236" t="s">
        <v>26047</v>
      </c>
      <c r="V2236">
        <v>2556</v>
      </c>
      <c r="W2236">
        <v>8</v>
      </c>
      <c r="X2236">
        <v>2017</v>
      </c>
      <c r="Y2236">
        <v>2018</v>
      </c>
      <c r="Z2236">
        <v>2584.0100000000002</v>
      </c>
      <c r="AB2236" t="s">
        <v>181</v>
      </c>
      <c r="AC2236" t="s">
        <v>182</v>
      </c>
      <c r="AD2236" t="s">
        <v>183</v>
      </c>
      <c r="AE2236">
        <v>0</v>
      </c>
      <c r="AF2236">
        <v>2</v>
      </c>
      <c r="AG2236" t="s">
        <v>216</v>
      </c>
      <c r="AH2236">
        <v>100</v>
      </c>
      <c r="AK2236">
        <v>0</v>
      </c>
      <c r="AL2236">
        <v>118395</v>
      </c>
      <c r="AM2236">
        <v>37125</v>
      </c>
      <c r="AN2236">
        <v>81270</v>
      </c>
      <c r="AO2236">
        <v>2189</v>
      </c>
      <c r="AP2236">
        <v>2016</v>
      </c>
      <c r="AQ2236">
        <v>2.1800000000000002</v>
      </c>
      <c r="AS2236" t="s">
        <v>26049</v>
      </c>
      <c r="AT2236" t="s">
        <v>15040</v>
      </c>
      <c r="AU2236" t="s">
        <v>177</v>
      </c>
      <c r="AV2236" t="s">
        <v>371</v>
      </c>
      <c r="AW2236" t="s">
        <v>182</v>
      </c>
      <c r="AX2236">
        <v>1</v>
      </c>
      <c r="AY2236" t="s">
        <v>188</v>
      </c>
      <c r="AZ2236" t="s">
        <v>206</v>
      </c>
      <c r="BA2236" t="s">
        <v>355</v>
      </c>
      <c r="BB2236" t="s">
        <v>191</v>
      </c>
      <c r="BC2236" t="s">
        <v>182</v>
      </c>
      <c r="BD2236" t="s">
        <v>182</v>
      </c>
      <c r="BE2236" t="s">
        <v>3956</v>
      </c>
      <c r="BF2236">
        <v>1</v>
      </c>
      <c r="BG2236">
        <v>1</v>
      </c>
      <c r="BH2236">
        <v>1955</v>
      </c>
      <c r="BI2236" t="s">
        <v>21324</v>
      </c>
      <c r="BJ2236" t="s">
        <v>194</v>
      </c>
      <c r="BK2236" t="s">
        <v>840</v>
      </c>
      <c r="BL2236" t="s">
        <v>199</v>
      </c>
      <c r="BM2236" t="s">
        <v>273</v>
      </c>
      <c r="BN2236" t="s">
        <v>182</v>
      </c>
      <c r="BO2236" t="s">
        <v>198</v>
      </c>
      <c r="BP2236" t="s">
        <v>198</v>
      </c>
      <c r="BQ2236" t="s">
        <v>198</v>
      </c>
      <c r="BR2236" t="s">
        <v>198</v>
      </c>
      <c r="BS2236" t="s">
        <v>198</v>
      </c>
      <c r="BT2236" t="s">
        <v>198</v>
      </c>
      <c r="BU2236" t="s">
        <v>182</v>
      </c>
      <c r="BV2236" t="s">
        <v>198</v>
      </c>
      <c r="BW2236" t="s">
        <v>198</v>
      </c>
      <c r="BX2236" t="s">
        <v>199</v>
      </c>
      <c r="BY2236" t="s">
        <v>198</v>
      </c>
      <c r="BZ2236" t="s">
        <v>199</v>
      </c>
      <c r="CA2236" t="s">
        <v>199</v>
      </c>
      <c r="CB2236" t="s">
        <v>26050</v>
      </c>
      <c r="CC2236" t="s">
        <v>201</v>
      </c>
      <c r="CD2236" t="s">
        <v>182</v>
      </c>
      <c r="CE2236" t="s">
        <v>26051</v>
      </c>
      <c r="CF2236" t="s">
        <v>5331</v>
      </c>
      <c r="CG2236" t="s">
        <v>177</v>
      </c>
      <c r="CH2236" t="s">
        <v>371</v>
      </c>
      <c r="CI2236" t="s">
        <v>26052</v>
      </c>
      <c r="CJ2236" t="s">
        <v>18506</v>
      </c>
      <c r="CK2236" t="s">
        <v>232</v>
      </c>
      <c r="CL2236" t="s">
        <v>233</v>
      </c>
      <c r="CM2236" t="s">
        <v>26053</v>
      </c>
      <c r="CN2236" t="s">
        <v>235</v>
      </c>
      <c r="CO2236" t="s">
        <v>183</v>
      </c>
      <c r="CP2236" t="s">
        <v>211</v>
      </c>
      <c r="CQ2236" t="s">
        <v>270</v>
      </c>
      <c r="CS2236" t="s">
        <v>26054</v>
      </c>
      <c r="CT2236" t="s">
        <v>10429</v>
      </c>
      <c r="CU2236" t="s">
        <v>292</v>
      </c>
      <c r="CV2236" t="s">
        <v>293</v>
      </c>
      <c r="CW2236" t="s">
        <v>26055</v>
      </c>
      <c r="CX2236" t="s">
        <v>235</v>
      </c>
      <c r="CY2236" t="s">
        <v>183</v>
      </c>
      <c r="CZ2236" t="s">
        <v>211</v>
      </c>
      <c r="DA2236" t="s">
        <v>337</v>
      </c>
      <c r="DC2236" t="s">
        <v>26054</v>
      </c>
      <c r="DM2236" t="s">
        <v>198</v>
      </c>
      <c r="DW2236" t="s">
        <v>198</v>
      </c>
      <c r="EG2236" t="s">
        <v>198</v>
      </c>
      <c r="EQ2236" t="s">
        <v>198</v>
      </c>
      <c r="FA2236" t="s">
        <v>198</v>
      </c>
      <c r="FK2236" t="s">
        <v>198</v>
      </c>
      <c r="FU2236" t="s">
        <v>198</v>
      </c>
    </row>
    <row r="2237" spans="1:177">
      <c r="A2237" s="1" t="str">
        <f>HYPERLINK("http://digipan.lumentumllc.com/apps/getLink/index.php?t=PropLink&amp;p=15734971","PL")</f>
        <v>PL</v>
      </c>
      <c r="B2237" s="1" t="str">
        <f>HYPERLINK("http://digipan.lumentumllc.com/apps/getLink/index.php?t=TaxLink&amp;p=15734971","TL")</f>
        <v>TL</v>
      </c>
      <c r="C2237" s="1" t="str">
        <f>HYPERLINK("http://digipan.lumentumllc.com/apps/getMap/index.php?p=15734971","Map")</f>
        <v>Map</v>
      </c>
      <c r="E2237" t="s">
        <v>177</v>
      </c>
      <c r="F2237" t="s">
        <v>178</v>
      </c>
      <c r="L2237" t="s">
        <v>26056</v>
      </c>
      <c r="N2237" t="s">
        <v>26056</v>
      </c>
      <c r="O2237" t="s">
        <v>26056</v>
      </c>
      <c r="Q2237" t="s">
        <v>26056</v>
      </c>
      <c r="V2237">
        <v>2557</v>
      </c>
      <c r="W2237">
        <v>8</v>
      </c>
      <c r="X2237">
        <v>2017</v>
      </c>
      <c r="Y2237">
        <v>2018</v>
      </c>
      <c r="Z2237">
        <v>1639.31</v>
      </c>
      <c r="AB2237" t="s">
        <v>181</v>
      </c>
      <c r="AC2237" t="s">
        <v>182</v>
      </c>
      <c r="AD2237" t="s">
        <v>6467</v>
      </c>
      <c r="AE2237">
        <v>0</v>
      </c>
      <c r="AF2237">
        <v>1</v>
      </c>
      <c r="AG2237" t="s">
        <v>821</v>
      </c>
      <c r="AH2237">
        <v>100</v>
      </c>
      <c r="AK2237">
        <v>0</v>
      </c>
      <c r="AL2237">
        <v>74567</v>
      </c>
      <c r="AM2237">
        <v>24750</v>
      </c>
      <c r="AN2237">
        <v>49817</v>
      </c>
      <c r="AO2237">
        <v>43</v>
      </c>
      <c r="AP2237">
        <v>2016</v>
      </c>
      <c r="AQ2237">
        <v>2.2000000000000002</v>
      </c>
      <c r="AS2237" t="s">
        <v>26057</v>
      </c>
      <c r="AT2237" t="s">
        <v>15040</v>
      </c>
      <c r="AU2237" t="s">
        <v>177</v>
      </c>
      <c r="AV2237" t="s">
        <v>371</v>
      </c>
      <c r="AW2237" t="s">
        <v>182</v>
      </c>
      <c r="AX2237">
        <v>1</v>
      </c>
      <c r="AY2237" t="s">
        <v>188</v>
      </c>
      <c r="AZ2237" t="s">
        <v>206</v>
      </c>
      <c r="BA2237" t="s">
        <v>355</v>
      </c>
      <c r="BB2237" t="s">
        <v>191</v>
      </c>
      <c r="BC2237" t="s">
        <v>182</v>
      </c>
      <c r="BD2237" t="s">
        <v>182</v>
      </c>
      <c r="BE2237" t="s">
        <v>3930</v>
      </c>
      <c r="BF2237">
        <v>1</v>
      </c>
      <c r="BG2237">
        <v>1</v>
      </c>
      <c r="BH2237">
        <v>1950</v>
      </c>
      <c r="BI2237" t="s">
        <v>6977</v>
      </c>
      <c r="BJ2237" t="s">
        <v>285</v>
      </c>
      <c r="BK2237" t="s">
        <v>195</v>
      </c>
      <c r="BL2237" t="s">
        <v>199</v>
      </c>
      <c r="BM2237" t="s">
        <v>3644</v>
      </c>
      <c r="BN2237" t="s">
        <v>182</v>
      </c>
      <c r="BO2237" t="s">
        <v>198</v>
      </c>
      <c r="BP2237" t="s">
        <v>198</v>
      </c>
      <c r="BQ2237" t="s">
        <v>198</v>
      </c>
      <c r="BR2237" t="s">
        <v>198</v>
      </c>
      <c r="BS2237" t="s">
        <v>198</v>
      </c>
      <c r="BT2237" t="s">
        <v>198</v>
      </c>
      <c r="BU2237" t="s">
        <v>182</v>
      </c>
      <c r="BV2237" t="s">
        <v>198</v>
      </c>
      <c r="BW2237" t="s">
        <v>198</v>
      </c>
      <c r="BX2237" t="s">
        <v>199</v>
      </c>
      <c r="BY2237" t="s">
        <v>198</v>
      </c>
      <c r="BZ2237" t="s">
        <v>199</v>
      </c>
      <c r="CA2237" t="s">
        <v>199</v>
      </c>
      <c r="CB2237" t="s">
        <v>26058</v>
      </c>
      <c r="CC2237" t="s">
        <v>201</v>
      </c>
      <c r="CD2237" t="s">
        <v>202</v>
      </c>
      <c r="CE2237" t="s">
        <v>26059</v>
      </c>
      <c r="CF2237" t="s">
        <v>5331</v>
      </c>
      <c r="CG2237" t="s">
        <v>177</v>
      </c>
      <c r="CH2237" t="s">
        <v>371</v>
      </c>
      <c r="CI2237" t="s">
        <v>26060</v>
      </c>
      <c r="CJ2237" t="s">
        <v>16244</v>
      </c>
      <c r="CK2237" t="s">
        <v>273</v>
      </c>
      <c r="CL2237" t="s">
        <v>274</v>
      </c>
      <c r="CM2237" t="s">
        <v>26061</v>
      </c>
      <c r="CN2237" t="s">
        <v>482</v>
      </c>
      <c r="CO2237" t="s">
        <v>5</v>
      </c>
      <c r="CP2237" t="s">
        <v>211</v>
      </c>
      <c r="CQ2237" t="s">
        <v>264</v>
      </c>
      <c r="CS2237" t="s">
        <v>7129</v>
      </c>
      <c r="DC2237" t="s">
        <v>198</v>
      </c>
      <c r="DM2237" t="s">
        <v>198</v>
      </c>
      <c r="DW2237" t="s">
        <v>198</v>
      </c>
      <c r="EG2237" t="s">
        <v>198</v>
      </c>
      <c r="EQ2237" t="s">
        <v>198</v>
      </c>
      <c r="FA2237" t="s">
        <v>198</v>
      </c>
      <c r="FK2237" t="s">
        <v>198</v>
      </c>
      <c r="FU2237" t="s">
        <v>198</v>
      </c>
    </row>
    <row r="2238" spans="1:177">
      <c r="A2238" s="1" t="str">
        <f>HYPERLINK("http://digipan.lumentumllc.com/apps/getLink/index.php?t=PropLink&amp;p=15734973","PL")</f>
        <v>PL</v>
      </c>
      <c r="B2238" s="1" t="str">
        <f>HYPERLINK("http://digipan.lumentumllc.com/apps/getLink/index.php?t=TaxLink&amp;p=15734973","TL")</f>
        <v>TL</v>
      </c>
      <c r="C2238" s="1" t="str">
        <f>HYPERLINK("http://digipan.lumentumllc.com/apps/getMap/index.php?p=15734973","Map")</f>
        <v>Map</v>
      </c>
      <c r="E2238" t="s">
        <v>177</v>
      </c>
      <c r="F2238" t="s">
        <v>178</v>
      </c>
      <c r="L2238" t="s">
        <v>26062</v>
      </c>
      <c r="N2238" t="s">
        <v>26062</v>
      </c>
      <c r="O2238" t="s">
        <v>26062</v>
      </c>
      <c r="Q2238" t="s">
        <v>26062</v>
      </c>
      <c r="V2238">
        <v>2558</v>
      </c>
      <c r="W2238">
        <v>8</v>
      </c>
      <c r="X2238">
        <v>2017</v>
      </c>
      <c r="Y2238">
        <v>2018</v>
      </c>
      <c r="Z2238">
        <v>501.37</v>
      </c>
      <c r="AG2238" t="s">
        <v>184</v>
      </c>
      <c r="AH2238">
        <v>0</v>
      </c>
      <c r="AK2238">
        <v>0</v>
      </c>
      <c r="AL2238">
        <v>123607</v>
      </c>
      <c r="AM2238">
        <v>37125</v>
      </c>
      <c r="AN2238">
        <v>86482</v>
      </c>
      <c r="AO2238">
        <v>421</v>
      </c>
      <c r="AP2238">
        <v>2016</v>
      </c>
      <c r="AQ2238">
        <v>0.41</v>
      </c>
      <c r="AS2238" t="s">
        <v>26063</v>
      </c>
      <c r="AT2238" t="s">
        <v>15040</v>
      </c>
      <c r="AU2238" t="s">
        <v>177</v>
      </c>
      <c r="AV2238" t="s">
        <v>371</v>
      </c>
      <c r="AW2238" t="s">
        <v>202</v>
      </c>
      <c r="AX2238">
        <v>1</v>
      </c>
      <c r="AY2238" t="s">
        <v>188</v>
      </c>
      <c r="AZ2238" t="s">
        <v>206</v>
      </c>
      <c r="BA2238" t="s">
        <v>355</v>
      </c>
      <c r="BB2238" t="s">
        <v>191</v>
      </c>
      <c r="BC2238" t="s">
        <v>182</v>
      </c>
      <c r="BD2238" t="s">
        <v>182</v>
      </c>
      <c r="BE2238" t="s">
        <v>3956</v>
      </c>
      <c r="BF2238">
        <v>1</v>
      </c>
      <c r="BG2238">
        <v>1</v>
      </c>
      <c r="BH2238">
        <v>1957</v>
      </c>
      <c r="BI2238" t="s">
        <v>4406</v>
      </c>
      <c r="BJ2238" t="s">
        <v>285</v>
      </c>
      <c r="BK2238" t="s">
        <v>195</v>
      </c>
      <c r="BL2238" t="s">
        <v>841</v>
      </c>
      <c r="BM2238" t="s">
        <v>368</v>
      </c>
      <c r="BN2238" t="s">
        <v>182</v>
      </c>
      <c r="BO2238" t="s">
        <v>8682</v>
      </c>
      <c r="BP2238" t="s">
        <v>26064</v>
      </c>
      <c r="BQ2238" t="s">
        <v>800</v>
      </c>
      <c r="BR2238" t="s">
        <v>563</v>
      </c>
      <c r="BS2238" t="s">
        <v>198</v>
      </c>
      <c r="BT2238" t="s">
        <v>15576</v>
      </c>
      <c r="BU2238" t="s">
        <v>182</v>
      </c>
      <c r="BV2238" t="s">
        <v>198</v>
      </c>
      <c r="BW2238" t="s">
        <v>198</v>
      </c>
      <c r="BX2238" t="s">
        <v>199</v>
      </c>
      <c r="BY2238" t="s">
        <v>198</v>
      </c>
      <c r="BZ2238" t="s">
        <v>199</v>
      </c>
      <c r="CA2238" t="s">
        <v>199</v>
      </c>
      <c r="CB2238" t="s">
        <v>26065</v>
      </c>
      <c r="CC2238" t="s">
        <v>201</v>
      </c>
      <c r="CD2238" t="s">
        <v>182</v>
      </c>
      <c r="CE2238" t="s">
        <v>26066</v>
      </c>
      <c r="CF2238" t="s">
        <v>5331</v>
      </c>
      <c r="CG2238" t="s">
        <v>177</v>
      </c>
      <c r="CH2238" t="s">
        <v>371</v>
      </c>
      <c r="CI2238" t="s">
        <v>26067</v>
      </c>
      <c r="CS2238" t="s">
        <v>198</v>
      </c>
      <c r="DC2238" t="s">
        <v>198</v>
      </c>
      <c r="DM2238" t="s">
        <v>198</v>
      </c>
      <c r="DW2238" t="s">
        <v>198</v>
      </c>
      <c r="EG2238" t="s">
        <v>198</v>
      </c>
      <c r="EQ2238" t="s">
        <v>198</v>
      </c>
      <c r="FA2238" t="s">
        <v>198</v>
      </c>
      <c r="FK2238" t="s">
        <v>198</v>
      </c>
      <c r="FU2238" t="s">
        <v>198</v>
      </c>
    </row>
    <row r="2239" spans="1:177">
      <c r="A2239" s="1" t="str">
        <f>HYPERLINK("http://digipan.lumentumllc.com/apps/getLink/index.php?t=PropLink&amp;p=7112329","PL")</f>
        <v>PL</v>
      </c>
      <c r="B2239" s="1" t="str">
        <f>HYPERLINK("http://digipan.lumentumllc.com/apps/getLink/index.php?t=TaxLink&amp;p=7112329","TL")</f>
        <v>TL</v>
      </c>
      <c r="C2239" s="1" t="str">
        <f>HYPERLINK("http://digipan.lumentumllc.com/apps/getMap/index.php?p=7112329","Map")</f>
        <v>Map</v>
      </c>
      <c r="E2239" t="s">
        <v>177</v>
      </c>
      <c r="F2239" t="s">
        <v>178</v>
      </c>
      <c r="L2239" t="s">
        <v>26068</v>
      </c>
      <c r="N2239" t="s">
        <v>26068</v>
      </c>
      <c r="O2239" t="s">
        <v>26068</v>
      </c>
      <c r="P2239" t="s">
        <v>26069</v>
      </c>
      <c r="Q2239" t="s">
        <v>26068</v>
      </c>
      <c r="V2239">
        <v>2559</v>
      </c>
      <c r="W2239">
        <v>8</v>
      </c>
      <c r="X2239">
        <v>2017</v>
      </c>
      <c r="Y2239">
        <v>2018</v>
      </c>
      <c r="Z2239">
        <v>1636.82</v>
      </c>
      <c r="AB2239" t="s">
        <v>181</v>
      </c>
      <c r="AC2239" t="s">
        <v>182</v>
      </c>
      <c r="AD2239" t="s">
        <v>183</v>
      </c>
      <c r="AE2239">
        <v>1</v>
      </c>
      <c r="AF2239">
        <v>1</v>
      </c>
      <c r="AG2239" t="s">
        <v>2222</v>
      </c>
      <c r="AH2239">
        <v>50</v>
      </c>
      <c r="AI2239">
        <v>1501.31</v>
      </c>
      <c r="AJ2239">
        <v>75.069999999999993</v>
      </c>
      <c r="AK2239">
        <v>1576.38</v>
      </c>
      <c r="AL2239">
        <v>75240</v>
      </c>
      <c r="AM2239">
        <v>24750</v>
      </c>
      <c r="AN2239">
        <v>50490</v>
      </c>
      <c r="AO2239">
        <v>1363</v>
      </c>
      <c r="AP2239">
        <v>2016</v>
      </c>
      <c r="AQ2239">
        <v>2.1800000000000002</v>
      </c>
      <c r="AR2239">
        <v>2.1</v>
      </c>
      <c r="AS2239" t="s">
        <v>26070</v>
      </c>
      <c r="AT2239" t="s">
        <v>15040</v>
      </c>
      <c r="AU2239" t="s">
        <v>177</v>
      </c>
      <c r="AV2239" t="s">
        <v>371</v>
      </c>
      <c r="AW2239" t="s">
        <v>182</v>
      </c>
      <c r="AX2239">
        <v>1</v>
      </c>
      <c r="AY2239" t="s">
        <v>188</v>
      </c>
      <c r="AZ2239" t="s">
        <v>206</v>
      </c>
      <c r="BA2239" t="s">
        <v>355</v>
      </c>
      <c r="BB2239" t="s">
        <v>191</v>
      </c>
      <c r="BC2239" t="s">
        <v>182</v>
      </c>
      <c r="BD2239" t="s">
        <v>182</v>
      </c>
      <c r="BE2239" t="s">
        <v>3930</v>
      </c>
      <c r="BF2239">
        <v>1</v>
      </c>
      <c r="BG2239">
        <v>1</v>
      </c>
      <c r="BH2239">
        <v>1925</v>
      </c>
      <c r="BI2239" t="s">
        <v>1992</v>
      </c>
      <c r="BJ2239" t="s">
        <v>285</v>
      </c>
      <c r="BK2239" t="s">
        <v>195</v>
      </c>
      <c r="BL2239" t="s">
        <v>21835</v>
      </c>
      <c r="BM2239" t="s">
        <v>292</v>
      </c>
      <c r="BN2239" t="s">
        <v>182</v>
      </c>
      <c r="BO2239" t="s">
        <v>198</v>
      </c>
      <c r="BP2239" t="s">
        <v>198</v>
      </c>
      <c r="BQ2239" t="s">
        <v>198</v>
      </c>
      <c r="BR2239" t="s">
        <v>198</v>
      </c>
      <c r="BS2239" t="s">
        <v>198</v>
      </c>
      <c r="BT2239" t="s">
        <v>198</v>
      </c>
      <c r="BU2239" t="s">
        <v>182</v>
      </c>
      <c r="BV2239" t="s">
        <v>198</v>
      </c>
      <c r="BW2239" t="s">
        <v>198</v>
      </c>
      <c r="BX2239" t="s">
        <v>199</v>
      </c>
      <c r="BY2239" t="s">
        <v>198</v>
      </c>
      <c r="BZ2239" t="s">
        <v>199</v>
      </c>
      <c r="CA2239" t="s">
        <v>199</v>
      </c>
      <c r="CB2239" t="s">
        <v>26071</v>
      </c>
      <c r="CC2239" t="s">
        <v>201</v>
      </c>
      <c r="CD2239" t="s">
        <v>182</v>
      </c>
      <c r="CE2239" t="s">
        <v>26072</v>
      </c>
      <c r="CF2239" t="s">
        <v>413</v>
      </c>
      <c r="CG2239" t="s">
        <v>177</v>
      </c>
      <c r="CH2239" t="s">
        <v>782</v>
      </c>
      <c r="CI2239" t="s">
        <v>26073</v>
      </c>
      <c r="CJ2239" t="s">
        <v>17023</v>
      </c>
      <c r="CK2239" t="s">
        <v>232</v>
      </c>
      <c r="CL2239" t="s">
        <v>233</v>
      </c>
      <c r="CM2239" t="s">
        <v>26074</v>
      </c>
      <c r="CN2239" t="s">
        <v>235</v>
      </c>
      <c r="CO2239" t="s">
        <v>183</v>
      </c>
      <c r="CP2239" t="s">
        <v>266</v>
      </c>
      <c r="CS2239" t="s">
        <v>198</v>
      </c>
      <c r="CT2239" t="s">
        <v>25151</v>
      </c>
      <c r="CU2239" t="s">
        <v>292</v>
      </c>
      <c r="CV2239" t="s">
        <v>293</v>
      </c>
      <c r="CW2239" t="s">
        <v>26075</v>
      </c>
      <c r="CX2239" t="s">
        <v>235</v>
      </c>
      <c r="CY2239" t="s">
        <v>183</v>
      </c>
      <c r="CZ2239" t="s">
        <v>211</v>
      </c>
      <c r="DA2239" t="s">
        <v>337</v>
      </c>
      <c r="DC2239" t="s">
        <v>9055</v>
      </c>
      <c r="DM2239" t="s">
        <v>198</v>
      </c>
      <c r="DW2239" t="s">
        <v>198</v>
      </c>
      <c r="EG2239" t="s">
        <v>198</v>
      </c>
      <c r="EQ2239" t="s">
        <v>198</v>
      </c>
      <c r="FA2239" t="s">
        <v>198</v>
      </c>
      <c r="FK2239" t="s">
        <v>198</v>
      </c>
      <c r="FU2239" t="s">
        <v>198</v>
      </c>
    </row>
    <row r="2240" spans="1:177">
      <c r="A2240" s="1" t="str">
        <f>HYPERLINK("http://digipan.lumentumllc.com/apps/getLink/index.php?t=PropLink&amp;p=5244695","PL")</f>
        <v>PL</v>
      </c>
      <c r="B2240" s="1" t="str">
        <f>HYPERLINK("http://digipan.lumentumllc.com/apps/getLink/index.php?t=TaxLink&amp;p=5244695","TL")</f>
        <v>TL</v>
      </c>
      <c r="C2240" s="1" t="str">
        <f>HYPERLINK("http://digipan.lumentumllc.com/apps/getMap/index.php?p=5244695","Map")</f>
        <v>Map</v>
      </c>
      <c r="E2240" t="s">
        <v>177</v>
      </c>
      <c r="F2240" t="s">
        <v>178</v>
      </c>
      <c r="L2240" t="s">
        <v>26076</v>
      </c>
      <c r="N2240" t="s">
        <v>26076</v>
      </c>
      <c r="O2240" t="s">
        <v>26076</v>
      </c>
      <c r="P2240" t="s">
        <v>26077</v>
      </c>
      <c r="Q2240" t="s">
        <v>26076</v>
      </c>
      <c r="V2240">
        <v>2560</v>
      </c>
      <c r="W2240">
        <v>8</v>
      </c>
      <c r="X2240">
        <v>2017</v>
      </c>
      <c r="Y2240">
        <v>2018</v>
      </c>
      <c r="Z2240">
        <v>1350.51</v>
      </c>
      <c r="AB2240" t="s">
        <v>181</v>
      </c>
      <c r="AC2240" t="s">
        <v>182</v>
      </c>
      <c r="AD2240" t="s">
        <v>183</v>
      </c>
      <c r="AE2240">
        <v>2</v>
      </c>
      <c r="AF2240">
        <v>6</v>
      </c>
      <c r="AG2240" t="s">
        <v>26078</v>
      </c>
      <c r="AH2240">
        <v>75</v>
      </c>
      <c r="AI2240">
        <v>2406.48</v>
      </c>
      <c r="AJ2240">
        <v>120.32</v>
      </c>
      <c r="AK2240">
        <v>2526.8000000000002</v>
      </c>
      <c r="AL2240">
        <v>61169</v>
      </c>
      <c r="AM2240">
        <v>24750</v>
      </c>
      <c r="AN2240">
        <v>36419</v>
      </c>
      <c r="AO2240">
        <v>1131</v>
      </c>
      <c r="AP2240">
        <v>2016</v>
      </c>
      <c r="AQ2240">
        <v>2.21</v>
      </c>
      <c r="AR2240">
        <v>4.13</v>
      </c>
      <c r="AS2240" t="s">
        <v>26079</v>
      </c>
      <c r="AT2240" t="s">
        <v>15040</v>
      </c>
      <c r="AU2240" t="s">
        <v>177</v>
      </c>
      <c r="AV2240" t="s">
        <v>371</v>
      </c>
      <c r="AW2240" t="s">
        <v>182</v>
      </c>
      <c r="AX2240">
        <v>1</v>
      </c>
      <c r="AY2240" t="s">
        <v>188</v>
      </c>
      <c r="AZ2240" t="s">
        <v>206</v>
      </c>
      <c r="BA2240" t="s">
        <v>355</v>
      </c>
      <c r="BB2240" t="s">
        <v>191</v>
      </c>
      <c r="BC2240" t="s">
        <v>182</v>
      </c>
      <c r="BD2240" t="s">
        <v>182</v>
      </c>
      <c r="BE2240" t="s">
        <v>3930</v>
      </c>
      <c r="BF2240">
        <v>1</v>
      </c>
      <c r="BG2240">
        <v>1</v>
      </c>
      <c r="BH2240">
        <v>1958</v>
      </c>
      <c r="BI2240" t="s">
        <v>12586</v>
      </c>
      <c r="BJ2240" t="s">
        <v>285</v>
      </c>
      <c r="BK2240" t="s">
        <v>195</v>
      </c>
      <c r="BL2240" t="s">
        <v>1720</v>
      </c>
      <c r="BM2240" t="s">
        <v>273</v>
      </c>
      <c r="BN2240" t="s">
        <v>182</v>
      </c>
      <c r="BO2240" t="s">
        <v>26080</v>
      </c>
      <c r="BP2240" t="s">
        <v>1574</v>
      </c>
      <c r="BQ2240" t="s">
        <v>904</v>
      </c>
      <c r="BR2240" t="s">
        <v>643</v>
      </c>
      <c r="BS2240" t="s">
        <v>198</v>
      </c>
      <c r="BT2240" t="s">
        <v>228</v>
      </c>
      <c r="BU2240" t="s">
        <v>182</v>
      </c>
      <c r="BV2240" t="s">
        <v>198</v>
      </c>
      <c r="BW2240" t="s">
        <v>198</v>
      </c>
      <c r="BX2240" t="s">
        <v>199</v>
      </c>
      <c r="BY2240" t="s">
        <v>198</v>
      </c>
      <c r="BZ2240" t="s">
        <v>199</v>
      </c>
      <c r="CA2240" t="s">
        <v>199</v>
      </c>
      <c r="CB2240" t="s">
        <v>26081</v>
      </c>
      <c r="CC2240" t="s">
        <v>201</v>
      </c>
      <c r="CD2240" t="s">
        <v>182</v>
      </c>
      <c r="CE2240" t="s">
        <v>26082</v>
      </c>
      <c r="CF2240" t="s">
        <v>5331</v>
      </c>
      <c r="CG2240" t="s">
        <v>177</v>
      </c>
      <c r="CH2240" t="s">
        <v>371</v>
      </c>
      <c r="CI2240" t="s">
        <v>26083</v>
      </c>
      <c r="CJ2240" t="s">
        <v>17044</v>
      </c>
      <c r="CK2240" t="s">
        <v>232</v>
      </c>
      <c r="CL2240" t="s">
        <v>233</v>
      </c>
      <c r="CM2240" t="s">
        <v>26084</v>
      </c>
      <c r="CN2240" t="s">
        <v>235</v>
      </c>
      <c r="CO2240" t="s">
        <v>183</v>
      </c>
      <c r="CP2240" t="s">
        <v>266</v>
      </c>
      <c r="CS2240" t="s">
        <v>198</v>
      </c>
      <c r="CT2240" t="s">
        <v>10494</v>
      </c>
      <c r="CU2240" t="s">
        <v>292</v>
      </c>
      <c r="CV2240" t="s">
        <v>293</v>
      </c>
      <c r="CW2240" t="s">
        <v>26085</v>
      </c>
      <c r="CX2240" t="s">
        <v>235</v>
      </c>
      <c r="CY2240" t="s">
        <v>183</v>
      </c>
      <c r="CZ2240" t="s">
        <v>266</v>
      </c>
      <c r="DC2240" t="s">
        <v>198</v>
      </c>
      <c r="DD2240" t="s">
        <v>22624</v>
      </c>
      <c r="DE2240" t="s">
        <v>267</v>
      </c>
      <c r="DF2240" t="s">
        <v>268</v>
      </c>
      <c r="DG2240" t="s">
        <v>26086</v>
      </c>
      <c r="DH2240" t="s">
        <v>235</v>
      </c>
      <c r="DI2240" t="s">
        <v>183</v>
      </c>
      <c r="DJ2240" t="s">
        <v>211</v>
      </c>
      <c r="DK2240" t="s">
        <v>345</v>
      </c>
      <c r="DM2240" t="s">
        <v>26087</v>
      </c>
      <c r="DN2240" t="s">
        <v>26088</v>
      </c>
      <c r="DO2240" t="s">
        <v>273</v>
      </c>
      <c r="DP2240" t="s">
        <v>274</v>
      </c>
      <c r="DQ2240" t="s">
        <v>26089</v>
      </c>
      <c r="DR2240" t="s">
        <v>235</v>
      </c>
      <c r="DS2240" t="s">
        <v>183</v>
      </c>
      <c r="DT2240" t="s">
        <v>211</v>
      </c>
      <c r="DU2240" t="s">
        <v>493</v>
      </c>
      <c r="DW2240" t="s">
        <v>26090</v>
      </c>
      <c r="DX2240" t="s">
        <v>21861</v>
      </c>
      <c r="DY2240" t="s">
        <v>302</v>
      </c>
      <c r="DZ2240" t="s">
        <v>303</v>
      </c>
      <c r="EA2240" t="s">
        <v>26091</v>
      </c>
      <c r="EB2240" t="s">
        <v>235</v>
      </c>
      <c r="EC2240" t="s">
        <v>183</v>
      </c>
      <c r="ED2240" t="s">
        <v>211</v>
      </c>
      <c r="EE2240" t="s">
        <v>264</v>
      </c>
      <c r="EG2240" t="s">
        <v>2512</v>
      </c>
      <c r="EH2240" t="s">
        <v>7499</v>
      </c>
      <c r="EI2240" t="s">
        <v>238</v>
      </c>
      <c r="EJ2240" t="s">
        <v>239</v>
      </c>
      <c r="EK2240" t="s">
        <v>26092</v>
      </c>
      <c r="EL2240" t="s">
        <v>331</v>
      </c>
      <c r="EM2240" t="s">
        <v>183</v>
      </c>
      <c r="EN2240" t="s">
        <v>211</v>
      </c>
      <c r="EO2240" t="s">
        <v>264</v>
      </c>
      <c r="EQ2240" t="s">
        <v>26093</v>
      </c>
      <c r="ER2240" t="s">
        <v>26094</v>
      </c>
      <c r="ES2240" t="s">
        <v>346</v>
      </c>
      <c r="ET2240" t="s">
        <v>347</v>
      </c>
      <c r="EU2240" t="s">
        <v>26095</v>
      </c>
      <c r="EV2240" t="s">
        <v>235</v>
      </c>
      <c r="EW2240" t="s">
        <v>183</v>
      </c>
      <c r="EX2240" t="s">
        <v>211</v>
      </c>
      <c r="EY2240" t="s">
        <v>471</v>
      </c>
      <c r="FA2240" t="s">
        <v>26093</v>
      </c>
      <c r="FB2240" t="s">
        <v>26096</v>
      </c>
      <c r="FC2240" t="s">
        <v>207</v>
      </c>
      <c r="FD2240" t="s">
        <v>347</v>
      </c>
      <c r="FE2240" t="s">
        <v>26097</v>
      </c>
      <c r="FF2240" t="s">
        <v>235</v>
      </c>
      <c r="FG2240" t="s">
        <v>183</v>
      </c>
      <c r="FH2240" t="s">
        <v>211</v>
      </c>
      <c r="FI2240" t="s">
        <v>342</v>
      </c>
      <c r="FK2240" t="s">
        <v>551</v>
      </c>
      <c r="FU2240" t="s">
        <v>198</v>
      </c>
    </row>
    <row r="2241" spans="1:177">
      <c r="A2241" s="1" t="str">
        <f>HYPERLINK("http://digipan.lumentumllc.com/apps/getLink/index.php?t=PropLink&amp;p=4637115","PL")</f>
        <v>PL</v>
      </c>
      <c r="B2241" s="1" t="str">
        <f>HYPERLINK("http://digipan.lumentumllc.com/apps/getLink/index.php?t=TaxLink&amp;p=4637115","TL")</f>
        <v>TL</v>
      </c>
      <c r="C2241" s="1" t="str">
        <f>HYPERLINK("http://digipan.lumentumllc.com/apps/getMap/index.php?p=4637115","Map")</f>
        <v>Map</v>
      </c>
      <c r="E2241" t="s">
        <v>177</v>
      </c>
      <c r="F2241" t="s">
        <v>178</v>
      </c>
      <c r="L2241" t="s">
        <v>26098</v>
      </c>
      <c r="N2241" t="s">
        <v>26098</v>
      </c>
      <c r="O2241" t="s">
        <v>26098</v>
      </c>
      <c r="P2241" t="s">
        <v>26099</v>
      </c>
      <c r="Q2241" t="s">
        <v>26098</v>
      </c>
      <c r="V2241">
        <v>2561</v>
      </c>
      <c r="W2241">
        <v>8</v>
      </c>
      <c r="X2241">
        <v>2017</v>
      </c>
      <c r="Y2241">
        <v>2018</v>
      </c>
      <c r="Z2241">
        <v>609.96</v>
      </c>
      <c r="AB2241" t="s">
        <v>181</v>
      </c>
      <c r="AC2241" t="s">
        <v>182</v>
      </c>
      <c r="AD2241" t="s">
        <v>183</v>
      </c>
      <c r="AE2241">
        <v>1</v>
      </c>
      <c r="AF2241">
        <v>1</v>
      </c>
      <c r="AG2241" t="s">
        <v>2222</v>
      </c>
      <c r="AH2241">
        <v>50</v>
      </c>
      <c r="AI2241">
        <v>606.22</v>
      </c>
      <c r="AJ2241">
        <v>30.31</v>
      </c>
      <c r="AK2241">
        <v>636.53</v>
      </c>
      <c r="AL2241">
        <v>85562</v>
      </c>
      <c r="AM2241">
        <v>27720</v>
      </c>
      <c r="AN2241">
        <v>57842</v>
      </c>
      <c r="AO2241">
        <v>536</v>
      </c>
      <c r="AP2241">
        <v>2016</v>
      </c>
      <c r="AQ2241">
        <v>0.71</v>
      </c>
      <c r="AR2241">
        <v>0.74</v>
      </c>
      <c r="AS2241" t="s">
        <v>26100</v>
      </c>
      <c r="AT2241" t="s">
        <v>15040</v>
      </c>
      <c r="AU2241" t="s">
        <v>177</v>
      </c>
      <c r="AV2241" t="s">
        <v>371</v>
      </c>
      <c r="AW2241" t="s">
        <v>202</v>
      </c>
      <c r="AX2241">
        <v>1</v>
      </c>
      <c r="AY2241" t="s">
        <v>188</v>
      </c>
      <c r="AZ2241" t="s">
        <v>206</v>
      </c>
      <c r="BA2241" t="s">
        <v>355</v>
      </c>
      <c r="BB2241" t="s">
        <v>191</v>
      </c>
      <c r="BC2241" t="s">
        <v>182</v>
      </c>
      <c r="BD2241" t="s">
        <v>182</v>
      </c>
      <c r="BE2241" t="s">
        <v>12936</v>
      </c>
      <c r="BF2241">
        <v>1</v>
      </c>
      <c r="BG2241">
        <v>1</v>
      </c>
      <c r="BH2241">
        <v>1963</v>
      </c>
      <c r="BI2241" t="s">
        <v>20187</v>
      </c>
      <c r="BJ2241" t="s">
        <v>285</v>
      </c>
      <c r="BK2241" t="s">
        <v>195</v>
      </c>
      <c r="BL2241" t="s">
        <v>6226</v>
      </c>
      <c r="BM2241" t="s">
        <v>2582</v>
      </c>
      <c r="BN2241" t="s">
        <v>182</v>
      </c>
      <c r="BO2241" t="s">
        <v>198</v>
      </c>
      <c r="BP2241" t="s">
        <v>198</v>
      </c>
      <c r="BQ2241" t="s">
        <v>198</v>
      </c>
      <c r="BR2241" t="s">
        <v>198</v>
      </c>
      <c r="BS2241" t="s">
        <v>198</v>
      </c>
      <c r="BT2241" t="s">
        <v>198</v>
      </c>
      <c r="BU2241" t="s">
        <v>182</v>
      </c>
      <c r="BV2241" t="s">
        <v>198</v>
      </c>
      <c r="BW2241" t="s">
        <v>198</v>
      </c>
      <c r="BX2241" t="s">
        <v>199</v>
      </c>
      <c r="BY2241" t="s">
        <v>198</v>
      </c>
      <c r="BZ2241" t="s">
        <v>199</v>
      </c>
      <c r="CA2241" t="s">
        <v>199</v>
      </c>
      <c r="CB2241" t="s">
        <v>26101</v>
      </c>
      <c r="CC2241" t="s">
        <v>201</v>
      </c>
      <c r="CD2241" t="s">
        <v>202</v>
      </c>
      <c r="CE2241" t="s">
        <v>26102</v>
      </c>
      <c r="CF2241" t="s">
        <v>5331</v>
      </c>
      <c r="CG2241" t="s">
        <v>177</v>
      </c>
      <c r="CH2241" t="s">
        <v>371</v>
      </c>
      <c r="CI2241" t="s">
        <v>26103</v>
      </c>
      <c r="CJ2241" t="s">
        <v>18555</v>
      </c>
      <c r="CK2241" t="s">
        <v>232</v>
      </c>
      <c r="CL2241" t="s">
        <v>233</v>
      </c>
      <c r="CM2241" t="s">
        <v>1950</v>
      </c>
      <c r="CN2241" t="s">
        <v>235</v>
      </c>
      <c r="CO2241" t="s">
        <v>183</v>
      </c>
      <c r="CP2241" t="s">
        <v>266</v>
      </c>
      <c r="CS2241" t="s">
        <v>198</v>
      </c>
      <c r="CT2241" t="s">
        <v>16925</v>
      </c>
      <c r="CU2241" t="s">
        <v>292</v>
      </c>
      <c r="CV2241" t="s">
        <v>293</v>
      </c>
      <c r="CW2241" t="s">
        <v>26104</v>
      </c>
      <c r="CX2241" t="s">
        <v>235</v>
      </c>
      <c r="CY2241" t="s">
        <v>183</v>
      </c>
      <c r="CZ2241" t="s">
        <v>211</v>
      </c>
      <c r="DA2241" t="s">
        <v>298</v>
      </c>
      <c r="DC2241" t="s">
        <v>4507</v>
      </c>
      <c r="DM2241" t="s">
        <v>198</v>
      </c>
      <c r="DW2241" t="s">
        <v>198</v>
      </c>
      <c r="EG2241" t="s">
        <v>198</v>
      </c>
      <c r="EQ2241" t="s">
        <v>198</v>
      </c>
      <c r="FA2241" t="s">
        <v>198</v>
      </c>
      <c r="FK2241" t="s">
        <v>198</v>
      </c>
      <c r="FU2241" t="s">
        <v>198</v>
      </c>
    </row>
    <row r="2242" spans="1:177">
      <c r="A2242" s="1" t="str">
        <f>HYPERLINK("http://digipan.lumentumllc.com/apps/getLink/index.php?t=PropLink&amp;p=5244698","PL")</f>
        <v>PL</v>
      </c>
      <c r="B2242" s="1" t="str">
        <f>HYPERLINK("http://digipan.lumentumllc.com/apps/getLink/index.php?t=TaxLink&amp;p=5244698","TL")</f>
        <v>TL</v>
      </c>
      <c r="C2242" s="1" t="str">
        <f>HYPERLINK("http://digipan.lumentumllc.com/apps/getMap/index.php?p=5244698","Map")</f>
        <v>Map</v>
      </c>
      <c r="E2242" t="s">
        <v>177</v>
      </c>
      <c r="F2242" t="s">
        <v>178</v>
      </c>
      <c r="L2242" t="s">
        <v>26105</v>
      </c>
      <c r="N2242" t="s">
        <v>26105</v>
      </c>
      <c r="O2242" t="s">
        <v>26105</v>
      </c>
      <c r="P2242" t="s">
        <v>26106</v>
      </c>
      <c r="Q2242" t="s">
        <v>26105</v>
      </c>
      <c r="V2242">
        <v>2562</v>
      </c>
      <c r="W2242">
        <v>8</v>
      </c>
      <c r="X2242">
        <v>2017</v>
      </c>
      <c r="Y2242">
        <v>2018</v>
      </c>
      <c r="Z2242">
        <v>456.11</v>
      </c>
      <c r="AB2242" t="s">
        <v>181</v>
      </c>
      <c r="AC2242" t="s">
        <v>202</v>
      </c>
      <c r="AD2242" t="s">
        <v>183</v>
      </c>
      <c r="AE2242">
        <v>0</v>
      </c>
      <c r="AF2242">
        <v>6</v>
      </c>
      <c r="AG2242" t="s">
        <v>528</v>
      </c>
      <c r="AH2242">
        <v>100</v>
      </c>
      <c r="AK2242">
        <v>0</v>
      </c>
      <c r="AL2242">
        <v>21780</v>
      </c>
      <c r="AM2242">
        <v>21780</v>
      </c>
      <c r="AN2242">
        <v>0</v>
      </c>
      <c r="AO2242">
        <v>362</v>
      </c>
      <c r="AP2242">
        <v>2016</v>
      </c>
      <c r="AQ2242">
        <v>2.09</v>
      </c>
      <c r="AS2242" t="s">
        <v>26107</v>
      </c>
      <c r="AT2242" t="s">
        <v>15040</v>
      </c>
      <c r="AU2242" t="s">
        <v>177</v>
      </c>
      <c r="AV2242" t="s">
        <v>371</v>
      </c>
      <c r="AW2242" t="s">
        <v>182</v>
      </c>
      <c r="AX2242">
        <v>0</v>
      </c>
      <c r="AY2242" t="s">
        <v>312</v>
      </c>
      <c r="AZ2242" t="s">
        <v>199</v>
      </c>
      <c r="BA2242" t="s">
        <v>313</v>
      </c>
      <c r="BB2242" t="s">
        <v>191</v>
      </c>
      <c r="BC2242" t="s">
        <v>182</v>
      </c>
      <c r="BD2242" t="s">
        <v>182</v>
      </c>
      <c r="BE2242" t="s">
        <v>11206</v>
      </c>
      <c r="BF2242">
        <v>0</v>
      </c>
      <c r="BG2242">
        <v>0</v>
      </c>
      <c r="BH2242">
        <v>0</v>
      </c>
      <c r="BI2242" t="s">
        <v>199</v>
      </c>
      <c r="BJ2242" t="s">
        <v>248</v>
      </c>
      <c r="BL2242" t="s">
        <v>26108</v>
      </c>
      <c r="BM2242" t="s">
        <v>207</v>
      </c>
      <c r="BN2242" t="s">
        <v>182</v>
      </c>
      <c r="BO2242" t="s">
        <v>198</v>
      </c>
      <c r="BP2242" t="s">
        <v>198</v>
      </c>
      <c r="BQ2242" t="s">
        <v>198</v>
      </c>
      <c r="BR2242" t="s">
        <v>198</v>
      </c>
      <c r="BS2242" t="s">
        <v>198</v>
      </c>
      <c r="BT2242" t="s">
        <v>198</v>
      </c>
      <c r="BU2242" t="s">
        <v>182</v>
      </c>
      <c r="BV2242" t="s">
        <v>198</v>
      </c>
      <c r="BW2242" t="s">
        <v>198</v>
      </c>
      <c r="BX2242" t="s">
        <v>199</v>
      </c>
      <c r="BY2242" t="s">
        <v>198</v>
      </c>
      <c r="BZ2242" t="s">
        <v>199</v>
      </c>
      <c r="CA2242" t="s">
        <v>199</v>
      </c>
      <c r="CB2242" t="s">
        <v>26101</v>
      </c>
      <c r="CC2242" t="s">
        <v>201</v>
      </c>
      <c r="CD2242" t="s">
        <v>202</v>
      </c>
      <c r="CE2242" t="s">
        <v>26109</v>
      </c>
      <c r="CF2242" t="s">
        <v>5331</v>
      </c>
      <c r="CG2242" t="s">
        <v>177</v>
      </c>
      <c r="CH2242" t="s">
        <v>371</v>
      </c>
      <c r="CI2242" t="s">
        <v>26110</v>
      </c>
      <c r="CJ2242" t="s">
        <v>10510</v>
      </c>
      <c r="CK2242" t="s">
        <v>292</v>
      </c>
      <c r="CL2242" t="s">
        <v>293</v>
      </c>
      <c r="CM2242" t="s">
        <v>26111</v>
      </c>
      <c r="CN2242" t="s">
        <v>482</v>
      </c>
      <c r="CO2242" t="s">
        <v>183</v>
      </c>
      <c r="CP2242" t="s">
        <v>211</v>
      </c>
      <c r="CQ2242" t="s">
        <v>329</v>
      </c>
      <c r="CR2242" t="s">
        <v>6042</v>
      </c>
      <c r="CS2242" t="s">
        <v>1611</v>
      </c>
      <c r="CT2242" t="s">
        <v>17929</v>
      </c>
      <c r="CU2242" t="s">
        <v>267</v>
      </c>
      <c r="CV2242" t="s">
        <v>268</v>
      </c>
      <c r="CW2242" t="s">
        <v>26112</v>
      </c>
      <c r="CX2242" t="s">
        <v>482</v>
      </c>
      <c r="CY2242" t="s">
        <v>183</v>
      </c>
      <c r="CZ2242" t="s">
        <v>211</v>
      </c>
      <c r="DA2242" t="s">
        <v>298</v>
      </c>
      <c r="DB2242" t="s">
        <v>6042</v>
      </c>
      <c r="DC2242" t="s">
        <v>1611</v>
      </c>
      <c r="DD2242" t="s">
        <v>18102</v>
      </c>
      <c r="DE2242" t="s">
        <v>273</v>
      </c>
      <c r="DF2242" t="s">
        <v>274</v>
      </c>
      <c r="DG2242" t="s">
        <v>26113</v>
      </c>
      <c r="DH2242" t="s">
        <v>3395</v>
      </c>
      <c r="DI2242" t="s">
        <v>183</v>
      </c>
      <c r="DJ2242" t="s">
        <v>211</v>
      </c>
      <c r="DK2242" t="s">
        <v>525</v>
      </c>
      <c r="DL2242" t="s">
        <v>6042</v>
      </c>
      <c r="DM2242" t="s">
        <v>1611</v>
      </c>
      <c r="DN2242" t="s">
        <v>20700</v>
      </c>
      <c r="DO2242" t="s">
        <v>302</v>
      </c>
      <c r="DP2242" t="s">
        <v>303</v>
      </c>
      <c r="DQ2242" t="s">
        <v>26114</v>
      </c>
      <c r="DR2242" t="s">
        <v>440</v>
      </c>
      <c r="DS2242" t="s">
        <v>183</v>
      </c>
      <c r="DT2242" t="s">
        <v>211</v>
      </c>
      <c r="DU2242" t="s">
        <v>1064</v>
      </c>
      <c r="DV2242" t="s">
        <v>6042</v>
      </c>
      <c r="DW2242" t="s">
        <v>1611</v>
      </c>
      <c r="DX2242" t="s">
        <v>6873</v>
      </c>
      <c r="DY2242" t="s">
        <v>238</v>
      </c>
      <c r="DZ2242" t="s">
        <v>239</v>
      </c>
      <c r="EA2242" t="s">
        <v>17445</v>
      </c>
      <c r="EB2242" t="s">
        <v>1491</v>
      </c>
      <c r="EC2242" t="s">
        <v>183</v>
      </c>
      <c r="ED2242" t="s">
        <v>211</v>
      </c>
      <c r="EE2242" t="s">
        <v>219</v>
      </c>
      <c r="EF2242" t="s">
        <v>6042</v>
      </c>
      <c r="EG2242" t="s">
        <v>1611</v>
      </c>
      <c r="EH2242" t="s">
        <v>26115</v>
      </c>
      <c r="EI2242" t="s">
        <v>346</v>
      </c>
      <c r="EJ2242" t="s">
        <v>347</v>
      </c>
      <c r="EK2242" t="s">
        <v>25319</v>
      </c>
      <c r="EL2242" t="s">
        <v>2515</v>
      </c>
      <c r="EM2242" t="s">
        <v>183</v>
      </c>
      <c r="EN2242" t="s">
        <v>211</v>
      </c>
      <c r="EP2242" t="s">
        <v>6042</v>
      </c>
      <c r="EQ2242" t="s">
        <v>198</v>
      </c>
      <c r="FA2242" t="s">
        <v>198</v>
      </c>
      <c r="FK2242" t="s">
        <v>198</v>
      </c>
      <c r="FU2242" t="s">
        <v>198</v>
      </c>
    </row>
    <row r="2243" spans="1:177">
      <c r="A2243" s="1" t="str">
        <f>HYPERLINK("http://digipan.lumentumllc.com/apps/getLink/index.php?t=PropLink&amp;p=4637119","PL")</f>
        <v>PL</v>
      </c>
      <c r="B2243" s="1" t="str">
        <f>HYPERLINK("http://digipan.lumentumllc.com/apps/getLink/index.php?t=TaxLink&amp;p=4637119","TL")</f>
        <v>TL</v>
      </c>
      <c r="C2243" s="1" t="str">
        <f>HYPERLINK("http://digipan.lumentumllc.com/apps/getMap/index.php?p=4637119","Map")</f>
        <v>Map</v>
      </c>
      <c r="E2243" t="s">
        <v>177</v>
      </c>
      <c r="F2243" t="s">
        <v>178</v>
      </c>
      <c r="L2243" t="s">
        <v>26116</v>
      </c>
      <c r="N2243" t="s">
        <v>26116</v>
      </c>
      <c r="O2243" t="s">
        <v>26116</v>
      </c>
      <c r="P2243" t="s">
        <v>26117</v>
      </c>
      <c r="Q2243" t="s">
        <v>26116</v>
      </c>
      <c r="V2243">
        <v>2564</v>
      </c>
      <c r="W2243">
        <v>8</v>
      </c>
      <c r="X2243">
        <v>2017</v>
      </c>
      <c r="Y2243">
        <v>2018</v>
      </c>
      <c r="Z2243">
        <v>1088.3399999999999</v>
      </c>
      <c r="AB2243" t="s">
        <v>181</v>
      </c>
      <c r="AC2243" t="s">
        <v>182</v>
      </c>
      <c r="AD2243" t="s">
        <v>183</v>
      </c>
      <c r="AE2243">
        <v>0</v>
      </c>
      <c r="AF2243">
        <v>1</v>
      </c>
      <c r="AG2243" t="s">
        <v>184</v>
      </c>
      <c r="AH2243">
        <v>0</v>
      </c>
      <c r="AK2243">
        <v>0</v>
      </c>
      <c r="AL2243">
        <v>49006</v>
      </c>
      <c r="AM2243">
        <v>28215</v>
      </c>
      <c r="AN2243">
        <v>20791</v>
      </c>
      <c r="AO2243">
        <v>905</v>
      </c>
      <c r="AP2243">
        <v>2016</v>
      </c>
      <c r="AQ2243">
        <v>2.2200000000000002</v>
      </c>
      <c r="AS2243" t="s">
        <v>26118</v>
      </c>
      <c r="AT2243" t="s">
        <v>15040</v>
      </c>
      <c r="AU2243" t="s">
        <v>177</v>
      </c>
      <c r="AV2243" t="s">
        <v>371</v>
      </c>
      <c r="AW2243" t="s">
        <v>182</v>
      </c>
      <c r="AX2243">
        <v>1</v>
      </c>
      <c r="AY2243" t="s">
        <v>188</v>
      </c>
      <c r="AZ2243" t="s">
        <v>206</v>
      </c>
      <c r="BA2243" t="s">
        <v>355</v>
      </c>
      <c r="BB2243" t="s">
        <v>191</v>
      </c>
      <c r="BC2243" t="s">
        <v>182</v>
      </c>
      <c r="BD2243" t="s">
        <v>182</v>
      </c>
      <c r="BE2243" t="s">
        <v>12936</v>
      </c>
      <c r="BF2243">
        <v>1</v>
      </c>
      <c r="BG2243">
        <v>1</v>
      </c>
      <c r="BH2243">
        <v>1989</v>
      </c>
      <c r="BI2243" t="s">
        <v>11289</v>
      </c>
      <c r="BJ2243" t="s">
        <v>194</v>
      </c>
      <c r="BK2243" t="s">
        <v>840</v>
      </c>
      <c r="BL2243" t="s">
        <v>199</v>
      </c>
      <c r="BM2243" t="s">
        <v>292</v>
      </c>
      <c r="BN2243" t="s">
        <v>182</v>
      </c>
      <c r="BO2243" t="s">
        <v>26119</v>
      </c>
      <c r="BP2243" t="s">
        <v>26120</v>
      </c>
      <c r="BQ2243" t="s">
        <v>1896</v>
      </c>
      <c r="BR2243" t="s">
        <v>643</v>
      </c>
      <c r="BS2243" t="s">
        <v>198</v>
      </c>
      <c r="BT2243" t="s">
        <v>228</v>
      </c>
      <c r="BU2243" t="s">
        <v>182</v>
      </c>
      <c r="BV2243" t="s">
        <v>198</v>
      </c>
      <c r="BW2243" t="s">
        <v>198</v>
      </c>
      <c r="BX2243" t="s">
        <v>199</v>
      </c>
      <c r="BY2243" t="s">
        <v>198</v>
      </c>
      <c r="BZ2243" t="s">
        <v>199</v>
      </c>
      <c r="CA2243" t="s">
        <v>199</v>
      </c>
      <c r="CB2243" t="s">
        <v>26121</v>
      </c>
      <c r="CC2243" t="s">
        <v>201</v>
      </c>
      <c r="CD2243" t="s">
        <v>182</v>
      </c>
      <c r="CE2243" t="s">
        <v>26122</v>
      </c>
      <c r="CF2243" t="s">
        <v>5331</v>
      </c>
      <c r="CG2243" t="s">
        <v>177</v>
      </c>
      <c r="CH2243" t="s">
        <v>371</v>
      </c>
      <c r="CI2243" t="s">
        <v>26123</v>
      </c>
      <c r="CJ2243" t="s">
        <v>26124</v>
      </c>
      <c r="CK2243" t="s">
        <v>207</v>
      </c>
      <c r="CL2243" t="s">
        <v>208</v>
      </c>
      <c r="CM2243" t="s">
        <v>26125</v>
      </c>
      <c r="CN2243" t="s">
        <v>816</v>
      </c>
      <c r="CO2243" t="s">
        <v>183</v>
      </c>
      <c r="CP2243" t="s">
        <v>211</v>
      </c>
      <c r="CQ2243" t="s">
        <v>199</v>
      </c>
      <c r="CS2243" t="s">
        <v>26126</v>
      </c>
      <c r="DC2243" t="s">
        <v>198</v>
      </c>
      <c r="DM2243" t="s">
        <v>198</v>
      </c>
      <c r="DW2243" t="s">
        <v>198</v>
      </c>
      <c r="EG2243" t="s">
        <v>198</v>
      </c>
      <c r="EQ2243" t="s">
        <v>198</v>
      </c>
      <c r="FA2243" t="s">
        <v>198</v>
      </c>
      <c r="FK2243" t="s">
        <v>198</v>
      </c>
      <c r="FU2243" t="s">
        <v>198</v>
      </c>
    </row>
    <row r="2244" spans="1:177">
      <c r="A2244" s="1" t="str">
        <f>HYPERLINK("http://digipan.lumentumllc.com/apps/getLink/index.php?t=PropLink&amp;p=4637121","PL")</f>
        <v>PL</v>
      </c>
      <c r="B2244" s="1" t="str">
        <f>HYPERLINK("http://digipan.lumentumllc.com/apps/getLink/index.php?t=TaxLink&amp;p=4637121","TL")</f>
        <v>TL</v>
      </c>
      <c r="C2244" s="1" t="str">
        <f>HYPERLINK("http://digipan.lumentumllc.com/apps/getMap/index.php?p=4637121","Map")</f>
        <v>Map</v>
      </c>
      <c r="E2244" t="s">
        <v>177</v>
      </c>
      <c r="F2244" t="s">
        <v>178</v>
      </c>
      <c r="L2244" t="s">
        <v>26127</v>
      </c>
      <c r="N2244" t="s">
        <v>26127</v>
      </c>
      <c r="O2244" t="s">
        <v>26127</v>
      </c>
      <c r="P2244" t="s">
        <v>26128</v>
      </c>
      <c r="Q2244" t="s">
        <v>26127</v>
      </c>
      <c r="V2244">
        <v>2565</v>
      </c>
      <c r="W2244">
        <v>8</v>
      </c>
      <c r="X2244">
        <v>2017</v>
      </c>
      <c r="Y2244">
        <v>2018</v>
      </c>
      <c r="Z2244">
        <v>653.69000000000005</v>
      </c>
      <c r="AB2244" t="s">
        <v>181</v>
      </c>
      <c r="AC2244" t="s">
        <v>182</v>
      </c>
      <c r="AD2244" t="s">
        <v>183</v>
      </c>
      <c r="AE2244">
        <v>0</v>
      </c>
      <c r="AF2244">
        <v>4</v>
      </c>
      <c r="AG2244" t="s">
        <v>744</v>
      </c>
      <c r="AH2244">
        <v>100</v>
      </c>
      <c r="AK2244">
        <v>0</v>
      </c>
      <c r="AL2244">
        <v>31927</v>
      </c>
      <c r="AM2244">
        <v>31927</v>
      </c>
      <c r="AN2244">
        <v>0</v>
      </c>
      <c r="AO2244">
        <v>531</v>
      </c>
      <c r="AP2244">
        <v>2016</v>
      </c>
      <c r="AQ2244">
        <v>2.0499999999999998</v>
      </c>
      <c r="AS2244" t="s">
        <v>26037</v>
      </c>
      <c r="AT2244" t="s">
        <v>15040</v>
      </c>
      <c r="AU2244" t="s">
        <v>177</v>
      </c>
      <c r="AV2244" t="s">
        <v>371</v>
      </c>
      <c r="AW2244" t="s">
        <v>182</v>
      </c>
      <c r="AX2244">
        <v>0</v>
      </c>
      <c r="AY2244" t="s">
        <v>312</v>
      </c>
      <c r="AZ2244" t="s">
        <v>199</v>
      </c>
      <c r="BA2244" t="s">
        <v>313</v>
      </c>
      <c r="BB2244" t="s">
        <v>191</v>
      </c>
      <c r="BC2244" t="s">
        <v>182</v>
      </c>
      <c r="BD2244" t="s">
        <v>182</v>
      </c>
      <c r="BE2244" t="s">
        <v>6986</v>
      </c>
      <c r="BF2244">
        <v>0</v>
      </c>
      <c r="BG2244">
        <v>0</v>
      </c>
      <c r="BH2244">
        <v>0</v>
      </c>
      <c r="BI2244" t="s">
        <v>199</v>
      </c>
      <c r="BJ2244" t="s">
        <v>315</v>
      </c>
      <c r="BL2244" t="s">
        <v>199</v>
      </c>
      <c r="BM2244" t="s">
        <v>273</v>
      </c>
      <c r="BN2244" t="s">
        <v>182</v>
      </c>
      <c r="BO2244" t="s">
        <v>198</v>
      </c>
      <c r="BP2244" t="s">
        <v>198</v>
      </c>
      <c r="BQ2244" t="s">
        <v>198</v>
      </c>
      <c r="BR2244" t="s">
        <v>198</v>
      </c>
      <c r="BS2244" t="s">
        <v>198</v>
      </c>
      <c r="BT2244" t="s">
        <v>198</v>
      </c>
      <c r="BU2244" t="s">
        <v>182</v>
      </c>
      <c r="BV2244" t="s">
        <v>198</v>
      </c>
      <c r="BW2244" t="s">
        <v>198</v>
      </c>
      <c r="BX2244" t="s">
        <v>199</v>
      </c>
      <c r="BY2244" t="s">
        <v>198</v>
      </c>
      <c r="BZ2244" t="s">
        <v>199</v>
      </c>
      <c r="CA2244" t="s">
        <v>199</v>
      </c>
      <c r="CB2244" t="s">
        <v>26129</v>
      </c>
      <c r="CC2244" t="s">
        <v>201</v>
      </c>
      <c r="CD2244" t="s">
        <v>182</v>
      </c>
      <c r="CE2244" t="s">
        <v>26130</v>
      </c>
      <c r="CF2244" t="s">
        <v>26131</v>
      </c>
      <c r="CG2244" t="s">
        <v>177</v>
      </c>
      <c r="CH2244" t="s">
        <v>26132</v>
      </c>
      <c r="CI2244" t="s">
        <v>26133</v>
      </c>
      <c r="CJ2244" t="s">
        <v>1330</v>
      </c>
      <c r="CK2244" t="s">
        <v>292</v>
      </c>
      <c r="CL2244" t="s">
        <v>293</v>
      </c>
      <c r="CM2244" t="s">
        <v>26134</v>
      </c>
      <c r="CN2244" t="s">
        <v>482</v>
      </c>
      <c r="CO2244" t="s">
        <v>183</v>
      </c>
      <c r="CP2244" t="s">
        <v>211</v>
      </c>
      <c r="CQ2244" t="s">
        <v>342</v>
      </c>
      <c r="CS2244" t="s">
        <v>7547</v>
      </c>
      <c r="CT2244" t="s">
        <v>17958</v>
      </c>
      <c r="CU2244" t="s">
        <v>267</v>
      </c>
      <c r="CV2244" t="s">
        <v>268</v>
      </c>
      <c r="CW2244" t="s">
        <v>26135</v>
      </c>
      <c r="CX2244" t="s">
        <v>400</v>
      </c>
      <c r="CY2244" t="s">
        <v>183</v>
      </c>
      <c r="CZ2244" t="s">
        <v>211</v>
      </c>
      <c r="DA2244" t="s">
        <v>345</v>
      </c>
      <c r="DC2244" t="s">
        <v>7547</v>
      </c>
      <c r="DD2244" t="s">
        <v>16111</v>
      </c>
      <c r="DE2244" t="s">
        <v>273</v>
      </c>
      <c r="DF2244" t="s">
        <v>274</v>
      </c>
      <c r="DG2244" t="s">
        <v>10427</v>
      </c>
      <c r="DH2244" t="s">
        <v>796</v>
      </c>
      <c r="DI2244" t="s">
        <v>183</v>
      </c>
      <c r="DJ2244" t="s">
        <v>211</v>
      </c>
      <c r="DK2244" t="s">
        <v>270</v>
      </c>
      <c r="DM2244" t="s">
        <v>692</v>
      </c>
      <c r="DN2244" t="s">
        <v>6913</v>
      </c>
      <c r="DO2244" t="s">
        <v>238</v>
      </c>
      <c r="DP2244" t="s">
        <v>239</v>
      </c>
      <c r="DQ2244" t="s">
        <v>26136</v>
      </c>
      <c r="DR2244" t="s">
        <v>1491</v>
      </c>
      <c r="DS2244" t="s">
        <v>183</v>
      </c>
      <c r="DT2244" t="s">
        <v>211</v>
      </c>
      <c r="DU2244" t="s">
        <v>334</v>
      </c>
      <c r="DW2244" t="s">
        <v>18675</v>
      </c>
      <c r="EG2244" t="s">
        <v>198</v>
      </c>
      <c r="EQ2244" t="s">
        <v>198</v>
      </c>
      <c r="FA2244" t="s">
        <v>198</v>
      </c>
      <c r="FK2244" t="s">
        <v>198</v>
      </c>
      <c r="FU2244" t="s">
        <v>198</v>
      </c>
    </row>
    <row r="2245" spans="1:177">
      <c r="A2245" s="1" t="str">
        <f>HYPERLINK("http://digipan.lumentumllc.com/apps/getLink/index.php?t=PropLink&amp;p=6461723","PL")</f>
        <v>PL</v>
      </c>
      <c r="B2245" s="1" t="str">
        <f>HYPERLINK("http://digipan.lumentumllc.com/apps/getLink/index.php?t=TaxLink&amp;p=6461723","TL")</f>
        <v>TL</v>
      </c>
      <c r="C2245" s="1" t="str">
        <f>HYPERLINK("http://digipan.lumentumllc.com/apps/getMap/index.php?p=6461723","Map")</f>
        <v>Map</v>
      </c>
      <c r="E2245" t="s">
        <v>177</v>
      </c>
      <c r="F2245" t="s">
        <v>178</v>
      </c>
      <c r="L2245" t="s">
        <v>26137</v>
      </c>
      <c r="N2245" t="s">
        <v>26137</v>
      </c>
      <c r="O2245" t="s">
        <v>26137</v>
      </c>
      <c r="P2245" t="s">
        <v>26138</v>
      </c>
      <c r="Q2245" t="s">
        <v>26137</v>
      </c>
      <c r="V2245">
        <v>2567</v>
      </c>
      <c r="W2245">
        <v>8</v>
      </c>
      <c r="X2245">
        <v>2017</v>
      </c>
      <c r="Y2245">
        <v>2018</v>
      </c>
      <c r="Z2245">
        <v>653.69000000000005</v>
      </c>
      <c r="AB2245" t="s">
        <v>181</v>
      </c>
      <c r="AC2245" t="s">
        <v>182</v>
      </c>
      <c r="AD2245" t="s">
        <v>183</v>
      </c>
      <c r="AE2245">
        <v>0</v>
      </c>
      <c r="AF2245">
        <v>1</v>
      </c>
      <c r="AG2245" t="s">
        <v>821</v>
      </c>
      <c r="AH2245">
        <v>100</v>
      </c>
      <c r="AK2245">
        <v>0</v>
      </c>
      <c r="AL2245">
        <v>31927</v>
      </c>
      <c r="AM2245">
        <v>31927</v>
      </c>
      <c r="AN2245">
        <v>0</v>
      </c>
      <c r="AO2245">
        <v>531</v>
      </c>
      <c r="AP2245">
        <v>2016</v>
      </c>
      <c r="AQ2245">
        <v>2.0499999999999998</v>
      </c>
      <c r="AS2245" t="s">
        <v>26139</v>
      </c>
      <c r="AT2245" t="s">
        <v>15040</v>
      </c>
      <c r="AU2245" t="s">
        <v>177</v>
      </c>
      <c r="AV2245" t="s">
        <v>371</v>
      </c>
      <c r="AW2245" t="s">
        <v>182</v>
      </c>
      <c r="AX2245">
        <v>0</v>
      </c>
      <c r="AY2245" t="s">
        <v>312</v>
      </c>
      <c r="AZ2245" t="s">
        <v>199</v>
      </c>
      <c r="BA2245" t="s">
        <v>313</v>
      </c>
      <c r="BB2245" t="s">
        <v>191</v>
      </c>
      <c r="BC2245" t="s">
        <v>182</v>
      </c>
      <c r="BD2245" t="s">
        <v>182</v>
      </c>
      <c r="BE2245" t="s">
        <v>6986</v>
      </c>
      <c r="BF2245">
        <v>0</v>
      </c>
      <c r="BG2245">
        <v>0</v>
      </c>
      <c r="BH2245">
        <v>0</v>
      </c>
      <c r="BI2245" t="s">
        <v>199</v>
      </c>
      <c r="BJ2245" t="s">
        <v>315</v>
      </c>
      <c r="BL2245" t="s">
        <v>2050</v>
      </c>
      <c r="BM2245" t="s">
        <v>197</v>
      </c>
      <c r="BN2245" t="s">
        <v>182</v>
      </c>
      <c r="BO2245" t="s">
        <v>198</v>
      </c>
      <c r="BP2245" t="s">
        <v>198</v>
      </c>
      <c r="BQ2245" t="s">
        <v>198</v>
      </c>
      <c r="BR2245" t="s">
        <v>198</v>
      </c>
      <c r="BS2245" t="s">
        <v>198</v>
      </c>
      <c r="BT2245" t="s">
        <v>198</v>
      </c>
      <c r="BU2245" t="s">
        <v>182</v>
      </c>
      <c r="BV2245" t="s">
        <v>198</v>
      </c>
      <c r="BW2245" t="s">
        <v>198</v>
      </c>
      <c r="BX2245" t="s">
        <v>199</v>
      </c>
      <c r="BY2245" t="s">
        <v>198</v>
      </c>
      <c r="BZ2245" t="s">
        <v>199</v>
      </c>
      <c r="CA2245" t="s">
        <v>199</v>
      </c>
      <c r="CB2245" t="s">
        <v>26140</v>
      </c>
      <c r="CC2245" t="s">
        <v>1407</v>
      </c>
      <c r="CD2245" t="s">
        <v>202</v>
      </c>
      <c r="CE2245" t="s">
        <v>26141</v>
      </c>
      <c r="CF2245" t="s">
        <v>26142</v>
      </c>
      <c r="CG2245" t="s">
        <v>18872</v>
      </c>
      <c r="CH2245" t="s">
        <v>26143</v>
      </c>
      <c r="CI2245" t="s">
        <v>26144</v>
      </c>
      <c r="CJ2245" t="s">
        <v>26145</v>
      </c>
      <c r="CK2245" t="s">
        <v>302</v>
      </c>
      <c r="CL2245" t="s">
        <v>303</v>
      </c>
      <c r="CM2245" t="s">
        <v>26146</v>
      </c>
      <c r="CN2245" t="s">
        <v>235</v>
      </c>
      <c r="CO2245" t="s">
        <v>183</v>
      </c>
      <c r="CP2245" t="s">
        <v>211</v>
      </c>
      <c r="CQ2245" t="s">
        <v>471</v>
      </c>
      <c r="CS2245" t="s">
        <v>26147</v>
      </c>
      <c r="DC2245" t="s">
        <v>198</v>
      </c>
      <c r="DM2245" t="s">
        <v>198</v>
      </c>
      <c r="DW2245" t="s">
        <v>198</v>
      </c>
      <c r="EG2245" t="s">
        <v>198</v>
      </c>
      <c r="EQ2245" t="s">
        <v>198</v>
      </c>
      <c r="FA2245" t="s">
        <v>198</v>
      </c>
      <c r="FK2245" t="s">
        <v>198</v>
      </c>
      <c r="FU2245" t="s">
        <v>198</v>
      </c>
    </row>
    <row r="2246" spans="1:177">
      <c r="A2246" s="1" t="str">
        <f>HYPERLINK("http://digipan.lumentumllc.com/apps/getLink/index.php?t=PropLink&amp;p=5244710","PL")</f>
        <v>PL</v>
      </c>
      <c r="B2246" s="1" t="str">
        <f>HYPERLINK("http://digipan.lumentumllc.com/apps/getLink/index.php?t=TaxLink&amp;p=5244710","TL")</f>
        <v>TL</v>
      </c>
      <c r="C2246" s="1" t="str">
        <f>HYPERLINK("http://digipan.lumentumllc.com/apps/getMap/index.php?p=5244710","Map")</f>
        <v>Map</v>
      </c>
      <c r="E2246" t="s">
        <v>177</v>
      </c>
      <c r="F2246" t="s">
        <v>178</v>
      </c>
      <c r="L2246" t="s">
        <v>26148</v>
      </c>
      <c r="N2246" t="s">
        <v>26148</v>
      </c>
      <c r="O2246" t="s">
        <v>26148</v>
      </c>
      <c r="P2246" t="s">
        <v>26149</v>
      </c>
      <c r="Q2246" t="s">
        <v>26148</v>
      </c>
      <c r="V2246">
        <v>2568</v>
      </c>
      <c r="W2246">
        <v>8</v>
      </c>
      <c r="X2246">
        <v>2017</v>
      </c>
      <c r="Y2246">
        <v>2018</v>
      </c>
      <c r="Z2246">
        <v>311.52999999999997</v>
      </c>
      <c r="AB2246" t="s">
        <v>181</v>
      </c>
      <c r="AC2246" t="s">
        <v>182</v>
      </c>
      <c r="AD2246" t="s">
        <v>183</v>
      </c>
      <c r="AE2246">
        <v>7</v>
      </c>
      <c r="AF2246">
        <v>0</v>
      </c>
      <c r="AG2246" t="s">
        <v>1038</v>
      </c>
      <c r="AH2246">
        <v>0</v>
      </c>
      <c r="AI2246">
        <v>2156.29</v>
      </c>
      <c r="AJ2246">
        <v>1243.45</v>
      </c>
      <c r="AK2246">
        <v>3399.74</v>
      </c>
      <c r="AL2246">
        <v>14355</v>
      </c>
      <c r="AM2246">
        <v>14355</v>
      </c>
      <c r="AN2246">
        <v>0</v>
      </c>
      <c r="AO2246">
        <v>239</v>
      </c>
      <c r="AP2246">
        <v>2016</v>
      </c>
      <c r="AQ2246">
        <v>2.17</v>
      </c>
      <c r="AR2246">
        <v>23.68</v>
      </c>
      <c r="AS2246" t="s">
        <v>26037</v>
      </c>
      <c r="AT2246" t="s">
        <v>15040</v>
      </c>
      <c r="AU2246" t="s">
        <v>177</v>
      </c>
      <c r="AV2246" t="s">
        <v>371</v>
      </c>
      <c r="AW2246" t="s">
        <v>182</v>
      </c>
      <c r="AX2246">
        <v>0</v>
      </c>
      <c r="AY2246" t="s">
        <v>312</v>
      </c>
      <c r="AZ2246" t="s">
        <v>199</v>
      </c>
      <c r="BA2246" t="s">
        <v>313</v>
      </c>
      <c r="BB2246" t="s">
        <v>191</v>
      </c>
      <c r="BC2246" t="s">
        <v>182</v>
      </c>
      <c r="BD2246" t="s">
        <v>182</v>
      </c>
      <c r="BE2246" t="s">
        <v>3918</v>
      </c>
      <c r="BF2246">
        <v>0</v>
      </c>
      <c r="BG2246">
        <v>0</v>
      </c>
      <c r="BH2246">
        <v>0</v>
      </c>
      <c r="BI2246" t="s">
        <v>199</v>
      </c>
      <c r="BJ2246" t="s">
        <v>315</v>
      </c>
      <c r="BL2246" t="s">
        <v>199</v>
      </c>
      <c r="BM2246" t="s">
        <v>358</v>
      </c>
      <c r="BN2246" t="s">
        <v>182</v>
      </c>
      <c r="BO2246" t="s">
        <v>198</v>
      </c>
      <c r="BP2246" t="s">
        <v>198</v>
      </c>
      <c r="BQ2246" t="s">
        <v>198</v>
      </c>
      <c r="BR2246" t="s">
        <v>198</v>
      </c>
      <c r="BS2246" t="s">
        <v>198</v>
      </c>
      <c r="BT2246" t="s">
        <v>198</v>
      </c>
      <c r="BU2246" t="s">
        <v>182</v>
      </c>
      <c r="BV2246" t="s">
        <v>198</v>
      </c>
      <c r="BW2246" t="s">
        <v>198</v>
      </c>
      <c r="BX2246" t="s">
        <v>199</v>
      </c>
      <c r="BY2246" t="s">
        <v>198</v>
      </c>
      <c r="BZ2246" t="s">
        <v>199</v>
      </c>
      <c r="CA2246" t="s">
        <v>199</v>
      </c>
      <c r="CB2246" t="s">
        <v>26150</v>
      </c>
      <c r="CC2246" t="s">
        <v>201</v>
      </c>
      <c r="CD2246" t="s">
        <v>182</v>
      </c>
      <c r="CE2246" t="s">
        <v>26151</v>
      </c>
      <c r="CF2246" t="s">
        <v>4097</v>
      </c>
      <c r="CG2246" t="s">
        <v>177</v>
      </c>
      <c r="CH2246" t="s">
        <v>26152</v>
      </c>
      <c r="CI2246" t="s">
        <v>26153</v>
      </c>
      <c r="CJ2246" t="s">
        <v>22189</v>
      </c>
      <c r="CK2246" t="s">
        <v>232</v>
      </c>
      <c r="CL2246" t="s">
        <v>233</v>
      </c>
      <c r="CM2246" t="s">
        <v>26154</v>
      </c>
      <c r="CN2246" t="s">
        <v>486</v>
      </c>
      <c r="CO2246" t="s">
        <v>183</v>
      </c>
      <c r="CP2246" t="s">
        <v>266</v>
      </c>
      <c r="CS2246" t="s">
        <v>198</v>
      </c>
      <c r="CT2246" t="s">
        <v>16994</v>
      </c>
      <c r="CU2246" t="s">
        <v>292</v>
      </c>
      <c r="CV2246" t="s">
        <v>293</v>
      </c>
      <c r="CW2246" t="s">
        <v>26155</v>
      </c>
      <c r="CX2246" t="s">
        <v>482</v>
      </c>
      <c r="CY2246" t="s">
        <v>183</v>
      </c>
      <c r="CZ2246" t="s">
        <v>266</v>
      </c>
      <c r="DC2246" t="s">
        <v>198</v>
      </c>
      <c r="DD2246" t="s">
        <v>22678</v>
      </c>
      <c r="DE2246" t="s">
        <v>267</v>
      </c>
      <c r="DF2246" t="s">
        <v>268</v>
      </c>
      <c r="DG2246" t="s">
        <v>26156</v>
      </c>
      <c r="DH2246" t="s">
        <v>482</v>
      </c>
      <c r="DI2246" t="s">
        <v>183</v>
      </c>
      <c r="DJ2246" t="s">
        <v>266</v>
      </c>
      <c r="DM2246" t="s">
        <v>198</v>
      </c>
      <c r="DN2246" t="s">
        <v>26157</v>
      </c>
      <c r="DO2246" t="s">
        <v>273</v>
      </c>
      <c r="DP2246" t="s">
        <v>274</v>
      </c>
      <c r="DQ2246" t="s">
        <v>26158</v>
      </c>
      <c r="DR2246" t="s">
        <v>4595</v>
      </c>
      <c r="DS2246" t="s">
        <v>183</v>
      </c>
      <c r="DT2246" t="s">
        <v>266</v>
      </c>
      <c r="DW2246" t="s">
        <v>198</v>
      </c>
      <c r="DX2246" t="s">
        <v>20866</v>
      </c>
      <c r="DY2246" t="s">
        <v>302</v>
      </c>
      <c r="DZ2246" t="s">
        <v>303</v>
      </c>
      <c r="EA2246" t="s">
        <v>26159</v>
      </c>
      <c r="EB2246" t="s">
        <v>341</v>
      </c>
      <c r="EC2246" t="s">
        <v>183</v>
      </c>
      <c r="ED2246" t="s">
        <v>266</v>
      </c>
      <c r="EG2246" t="s">
        <v>198</v>
      </c>
      <c r="EH2246" t="s">
        <v>6994</v>
      </c>
      <c r="EI2246" t="s">
        <v>238</v>
      </c>
      <c r="EJ2246" t="s">
        <v>239</v>
      </c>
      <c r="EK2246" t="s">
        <v>26160</v>
      </c>
      <c r="EL2246" t="s">
        <v>4595</v>
      </c>
      <c r="EM2246" t="s">
        <v>183</v>
      </c>
      <c r="EN2246" t="s">
        <v>266</v>
      </c>
      <c r="EQ2246" t="s">
        <v>198</v>
      </c>
      <c r="ER2246" t="s">
        <v>26161</v>
      </c>
      <c r="ES2246" t="s">
        <v>346</v>
      </c>
      <c r="ET2246" t="s">
        <v>347</v>
      </c>
      <c r="EU2246" t="s">
        <v>26162</v>
      </c>
      <c r="EV2246" t="s">
        <v>576</v>
      </c>
      <c r="EW2246" t="s">
        <v>183</v>
      </c>
      <c r="EX2246" t="s">
        <v>266</v>
      </c>
      <c r="FA2246" t="s">
        <v>198</v>
      </c>
      <c r="FK2246" t="s">
        <v>198</v>
      </c>
      <c r="FU2246" t="s">
        <v>198</v>
      </c>
    </row>
    <row r="2247" spans="1:177">
      <c r="A2247" s="1" t="str">
        <f>HYPERLINK("http://digipan.lumentumllc.com/apps/getLink/index.php?t=PropLink&amp;p=5244711","PL")</f>
        <v>PL</v>
      </c>
      <c r="B2247" s="1" t="str">
        <f>HYPERLINK("http://digipan.lumentumllc.com/apps/getLink/index.php?t=TaxLink&amp;p=5244711","TL")</f>
        <v>TL</v>
      </c>
      <c r="C2247" s="1" t="str">
        <f>HYPERLINK("http://digipan.lumentumllc.com/apps/getMap/index.php?p=5244711","Map")</f>
        <v>Map</v>
      </c>
      <c r="E2247" t="s">
        <v>177</v>
      </c>
      <c r="F2247" t="s">
        <v>178</v>
      </c>
      <c r="L2247" t="s">
        <v>26163</v>
      </c>
      <c r="N2247" t="s">
        <v>26163</v>
      </c>
      <c r="O2247" t="s">
        <v>26163</v>
      </c>
      <c r="P2247" t="s">
        <v>26164</v>
      </c>
      <c r="Q2247" t="s">
        <v>26163</v>
      </c>
      <c r="V2247">
        <v>2569</v>
      </c>
      <c r="W2247">
        <v>8</v>
      </c>
      <c r="X2247">
        <v>2017</v>
      </c>
      <c r="Y2247">
        <v>2018</v>
      </c>
      <c r="Z2247">
        <v>653.69000000000005</v>
      </c>
      <c r="AB2247" t="s">
        <v>181</v>
      </c>
      <c r="AC2247" t="s">
        <v>202</v>
      </c>
      <c r="AD2247" t="s">
        <v>183</v>
      </c>
      <c r="AE2247">
        <v>2</v>
      </c>
      <c r="AF2247">
        <v>4</v>
      </c>
      <c r="AG2247" t="s">
        <v>2376</v>
      </c>
      <c r="AH2247">
        <v>60</v>
      </c>
      <c r="AI2247">
        <v>1124.21</v>
      </c>
      <c r="AJ2247">
        <v>272.37</v>
      </c>
      <c r="AK2247">
        <v>1396.58</v>
      </c>
      <c r="AL2247">
        <v>31927</v>
      </c>
      <c r="AM2247">
        <v>31927</v>
      </c>
      <c r="AN2247">
        <v>0</v>
      </c>
      <c r="AO2247">
        <v>531</v>
      </c>
      <c r="AP2247">
        <v>2016</v>
      </c>
      <c r="AQ2247">
        <v>2.0499999999999998</v>
      </c>
      <c r="AR2247">
        <v>4.37</v>
      </c>
      <c r="AS2247" t="s">
        <v>26037</v>
      </c>
      <c r="AT2247" t="s">
        <v>15040</v>
      </c>
      <c r="AU2247" t="s">
        <v>177</v>
      </c>
      <c r="AV2247" t="s">
        <v>371</v>
      </c>
      <c r="AW2247" t="s">
        <v>182</v>
      </c>
      <c r="AX2247">
        <v>0</v>
      </c>
      <c r="AY2247" t="s">
        <v>312</v>
      </c>
      <c r="AZ2247" t="s">
        <v>199</v>
      </c>
      <c r="BA2247" t="s">
        <v>313</v>
      </c>
      <c r="BB2247" t="s">
        <v>191</v>
      </c>
      <c r="BC2247" t="s">
        <v>182</v>
      </c>
      <c r="BD2247" t="s">
        <v>182</v>
      </c>
      <c r="BE2247" t="s">
        <v>6986</v>
      </c>
      <c r="BF2247">
        <v>0</v>
      </c>
      <c r="BG2247">
        <v>0</v>
      </c>
      <c r="BH2247">
        <v>0</v>
      </c>
      <c r="BI2247" t="s">
        <v>199</v>
      </c>
      <c r="BJ2247" t="s">
        <v>315</v>
      </c>
      <c r="BL2247" t="s">
        <v>199</v>
      </c>
      <c r="BM2247" t="s">
        <v>286</v>
      </c>
      <c r="BN2247" t="s">
        <v>182</v>
      </c>
      <c r="BO2247" t="s">
        <v>198</v>
      </c>
      <c r="BP2247" t="s">
        <v>198</v>
      </c>
      <c r="BQ2247" t="s">
        <v>198</v>
      </c>
      <c r="BR2247" t="s">
        <v>198</v>
      </c>
      <c r="BS2247" t="s">
        <v>198</v>
      </c>
      <c r="BT2247" t="s">
        <v>198</v>
      </c>
      <c r="BU2247" t="s">
        <v>182</v>
      </c>
      <c r="BV2247" t="s">
        <v>198</v>
      </c>
      <c r="BW2247" t="s">
        <v>198</v>
      </c>
      <c r="BX2247" t="s">
        <v>199</v>
      </c>
      <c r="BY2247" t="s">
        <v>198</v>
      </c>
      <c r="BZ2247" t="s">
        <v>199</v>
      </c>
      <c r="CA2247" t="s">
        <v>199</v>
      </c>
      <c r="CB2247" t="s">
        <v>26165</v>
      </c>
      <c r="CC2247" t="s">
        <v>201</v>
      </c>
      <c r="CD2247" t="s">
        <v>182</v>
      </c>
      <c r="CE2247" t="s">
        <v>26166</v>
      </c>
      <c r="CF2247" t="s">
        <v>14334</v>
      </c>
      <c r="CG2247" t="s">
        <v>1602</v>
      </c>
      <c r="CH2247" t="s">
        <v>14335</v>
      </c>
      <c r="CI2247" t="s">
        <v>26167</v>
      </c>
      <c r="CJ2247" t="s">
        <v>5404</v>
      </c>
      <c r="CK2247" t="s">
        <v>232</v>
      </c>
      <c r="CL2247" t="s">
        <v>233</v>
      </c>
      <c r="CM2247" t="s">
        <v>26168</v>
      </c>
      <c r="CN2247" t="s">
        <v>484</v>
      </c>
      <c r="CO2247" t="s">
        <v>183</v>
      </c>
      <c r="CP2247" t="s">
        <v>266</v>
      </c>
      <c r="CS2247" t="s">
        <v>198</v>
      </c>
      <c r="CT2247" t="s">
        <v>18506</v>
      </c>
      <c r="CU2247" t="s">
        <v>292</v>
      </c>
      <c r="CV2247" t="s">
        <v>293</v>
      </c>
      <c r="CW2247" t="s">
        <v>26134</v>
      </c>
      <c r="CX2247" t="s">
        <v>482</v>
      </c>
      <c r="CY2247" t="s">
        <v>183</v>
      </c>
      <c r="CZ2247" t="s">
        <v>266</v>
      </c>
      <c r="DC2247" t="s">
        <v>198</v>
      </c>
      <c r="DD2247" t="s">
        <v>22693</v>
      </c>
      <c r="DE2247" t="s">
        <v>267</v>
      </c>
      <c r="DF2247" t="s">
        <v>268</v>
      </c>
      <c r="DG2247" t="s">
        <v>26135</v>
      </c>
      <c r="DH2247" t="s">
        <v>400</v>
      </c>
      <c r="DI2247" t="s">
        <v>183</v>
      </c>
      <c r="DJ2247" t="s">
        <v>211</v>
      </c>
      <c r="DK2247" t="s">
        <v>633</v>
      </c>
      <c r="DM2247" t="s">
        <v>2219</v>
      </c>
      <c r="DN2247" t="s">
        <v>18958</v>
      </c>
      <c r="DO2247" t="s">
        <v>273</v>
      </c>
      <c r="DP2247" t="s">
        <v>274</v>
      </c>
      <c r="DQ2247" t="s">
        <v>10427</v>
      </c>
      <c r="DR2247" t="s">
        <v>796</v>
      </c>
      <c r="DS2247" t="s">
        <v>183</v>
      </c>
      <c r="DT2247" t="s">
        <v>211</v>
      </c>
      <c r="DU2247" t="s">
        <v>808</v>
      </c>
      <c r="DW2247" t="s">
        <v>12325</v>
      </c>
      <c r="DX2247" t="s">
        <v>8462</v>
      </c>
      <c r="DY2247" t="s">
        <v>346</v>
      </c>
      <c r="DZ2247" t="s">
        <v>347</v>
      </c>
      <c r="EA2247" t="s">
        <v>26169</v>
      </c>
      <c r="EB2247" t="s">
        <v>391</v>
      </c>
      <c r="EC2247" t="s">
        <v>183</v>
      </c>
      <c r="ED2247" t="s">
        <v>211</v>
      </c>
      <c r="EE2247" t="s">
        <v>493</v>
      </c>
      <c r="EF2247" t="s">
        <v>271</v>
      </c>
      <c r="EG2247" t="s">
        <v>13300</v>
      </c>
      <c r="EH2247" t="s">
        <v>25682</v>
      </c>
      <c r="EI2247" t="s">
        <v>207</v>
      </c>
      <c r="EJ2247" t="s">
        <v>208</v>
      </c>
      <c r="EK2247" t="s">
        <v>26170</v>
      </c>
      <c r="EL2247" t="s">
        <v>1966</v>
      </c>
      <c r="EM2247" t="s">
        <v>183</v>
      </c>
      <c r="EN2247" t="s">
        <v>211</v>
      </c>
      <c r="EP2247" t="s">
        <v>271</v>
      </c>
      <c r="EQ2247" t="s">
        <v>198</v>
      </c>
      <c r="FA2247" t="s">
        <v>198</v>
      </c>
      <c r="FK2247" t="s">
        <v>198</v>
      </c>
      <c r="FU2247" t="s">
        <v>198</v>
      </c>
    </row>
    <row r="2248" spans="1:177">
      <c r="A2248" s="1" t="str">
        <f>HYPERLINK("http://digipan.lumentumllc.com/apps/getLink/index.php?t=PropLink&amp;p=5244718","PL")</f>
        <v>PL</v>
      </c>
      <c r="B2248" s="1" t="str">
        <f>HYPERLINK("http://digipan.lumentumllc.com/apps/getLink/index.php?t=TaxLink&amp;p=5244718","TL")</f>
        <v>TL</v>
      </c>
      <c r="C2248" s="1" t="str">
        <f>HYPERLINK("http://digipan.lumentumllc.com/apps/getMap/index.php?p=5244718","Map")</f>
        <v>Map</v>
      </c>
      <c r="E2248" t="s">
        <v>177</v>
      </c>
      <c r="F2248" t="s">
        <v>178</v>
      </c>
      <c r="L2248" t="s">
        <v>26171</v>
      </c>
      <c r="N2248" t="s">
        <v>26171</v>
      </c>
      <c r="O2248" t="s">
        <v>26171</v>
      </c>
      <c r="P2248" t="s">
        <v>26172</v>
      </c>
      <c r="Q2248" t="s">
        <v>26171</v>
      </c>
      <c r="V2248">
        <v>2570</v>
      </c>
      <c r="W2248">
        <v>8</v>
      </c>
      <c r="X2248">
        <v>2017</v>
      </c>
      <c r="Y2248">
        <v>2018</v>
      </c>
      <c r="Z2248">
        <v>541.25</v>
      </c>
      <c r="AB2248" t="s">
        <v>181</v>
      </c>
      <c r="AC2248" t="s">
        <v>202</v>
      </c>
      <c r="AD2248" t="s">
        <v>183</v>
      </c>
      <c r="AE2248">
        <v>1</v>
      </c>
      <c r="AF2248">
        <v>6</v>
      </c>
      <c r="AG2248" t="s">
        <v>322</v>
      </c>
      <c r="AH2248">
        <v>83</v>
      </c>
      <c r="AI2248">
        <v>498.5</v>
      </c>
      <c r="AJ2248">
        <v>24.93</v>
      </c>
      <c r="AK2248">
        <v>523.42999999999995</v>
      </c>
      <c r="AL2248">
        <v>51531</v>
      </c>
      <c r="AM2248">
        <v>27720</v>
      </c>
      <c r="AN2248">
        <v>23811</v>
      </c>
      <c r="AO2248">
        <v>436</v>
      </c>
      <c r="AP2248">
        <v>2016</v>
      </c>
      <c r="AQ2248">
        <v>1.05</v>
      </c>
      <c r="AR2248">
        <v>1.02</v>
      </c>
      <c r="AS2248" t="s">
        <v>26173</v>
      </c>
      <c r="AT2248" t="s">
        <v>15040</v>
      </c>
      <c r="AU2248" t="s">
        <v>177</v>
      </c>
      <c r="AV2248" t="s">
        <v>371</v>
      </c>
      <c r="AW2248" t="s">
        <v>202</v>
      </c>
      <c r="AX2248">
        <v>8</v>
      </c>
      <c r="AY2248" t="s">
        <v>188</v>
      </c>
      <c r="AZ2248" t="s">
        <v>329</v>
      </c>
      <c r="BA2248" t="s">
        <v>6773</v>
      </c>
      <c r="BB2248" t="s">
        <v>191</v>
      </c>
      <c r="BC2248" t="s">
        <v>182</v>
      </c>
      <c r="BD2248" t="s">
        <v>182</v>
      </c>
      <c r="BE2248" t="s">
        <v>12936</v>
      </c>
      <c r="BF2248">
        <v>1</v>
      </c>
      <c r="BG2248">
        <v>1</v>
      </c>
      <c r="BH2248">
        <v>1930</v>
      </c>
      <c r="BI2248" t="s">
        <v>18702</v>
      </c>
      <c r="BJ2248" t="s">
        <v>285</v>
      </c>
      <c r="BK2248" t="s">
        <v>195</v>
      </c>
      <c r="BL2248" t="s">
        <v>199</v>
      </c>
      <c r="BM2248" t="s">
        <v>358</v>
      </c>
      <c r="BN2248" t="s">
        <v>182</v>
      </c>
      <c r="BO2248" t="s">
        <v>198</v>
      </c>
      <c r="BP2248" t="s">
        <v>198</v>
      </c>
      <c r="BQ2248" t="s">
        <v>198</v>
      </c>
      <c r="BR2248" t="s">
        <v>198</v>
      </c>
      <c r="BS2248" t="s">
        <v>198</v>
      </c>
      <c r="BT2248" t="s">
        <v>198</v>
      </c>
      <c r="BU2248" t="s">
        <v>182</v>
      </c>
      <c r="BV2248" t="s">
        <v>198</v>
      </c>
      <c r="BW2248" t="s">
        <v>198</v>
      </c>
      <c r="BX2248" t="s">
        <v>199</v>
      </c>
      <c r="BY2248" t="s">
        <v>198</v>
      </c>
      <c r="BZ2248" t="s">
        <v>199</v>
      </c>
      <c r="CA2248" t="s">
        <v>199</v>
      </c>
      <c r="CB2248" t="s">
        <v>26174</v>
      </c>
      <c r="CC2248" t="s">
        <v>201</v>
      </c>
      <c r="CD2248" t="s">
        <v>202</v>
      </c>
      <c r="CE2248" t="s">
        <v>26173</v>
      </c>
      <c r="CF2248" t="s">
        <v>5331</v>
      </c>
      <c r="CG2248" t="s">
        <v>177</v>
      </c>
      <c r="CH2248" t="s">
        <v>371</v>
      </c>
      <c r="CI2248" t="s">
        <v>26175</v>
      </c>
      <c r="CJ2248" t="s">
        <v>17087</v>
      </c>
      <c r="CK2248" t="s">
        <v>232</v>
      </c>
      <c r="CL2248" t="s">
        <v>233</v>
      </c>
      <c r="CM2248" t="s">
        <v>26176</v>
      </c>
      <c r="CN2248" t="s">
        <v>235</v>
      </c>
      <c r="CO2248" t="s">
        <v>183</v>
      </c>
      <c r="CP2248" t="s">
        <v>266</v>
      </c>
      <c r="CS2248" t="s">
        <v>198</v>
      </c>
      <c r="CT2248" t="s">
        <v>17023</v>
      </c>
      <c r="CU2248" t="s">
        <v>292</v>
      </c>
      <c r="CV2248" t="s">
        <v>293</v>
      </c>
      <c r="CW2248" t="s">
        <v>26177</v>
      </c>
      <c r="CX2248" t="s">
        <v>333</v>
      </c>
      <c r="CY2248" t="s">
        <v>183</v>
      </c>
      <c r="CZ2248" t="s">
        <v>211</v>
      </c>
      <c r="DA2248" t="s">
        <v>298</v>
      </c>
      <c r="DC2248" t="s">
        <v>1641</v>
      </c>
      <c r="DD2248" t="s">
        <v>18630</v>
      </c>
      <c r="DE2248" t="s">
        <v>267</v>
      </c>
      <c r="DF2248" t="s">
        <v>268</v>
      </c>
      <c r="DG2248" t="s">
        <v>26178</v>
      </c>
      <c r="DH2248" t="s">
        <v>235</v>
      </c>
      <c r="DI2248" t="s">
        <v>183</v>
      </c>
      <c r="DJ2248" t="s">
        <v>211</v>
      </c>
      <c r="DK2248" t="s">
        <v>298</v>
      </c>
      <c r="DM2248" t="s">
        <v>2096</v>
      </c>
      <c r="DN2248" t="s">
        <v>18963</v>
      </c>
      <c r="DO2248" t="s">
        <v>273</v>
      </c>
      <c r="DP2248" t="s">
        <v>274</v>
      </c>
      <c r="DQ2248" t="s">
        <v>26179</v>
      </c>
      <c r="DR2248" t="s">
        <v>235</v>
      </c>
      <c r="DS2248" t="s">
        <v>183</v>
      </c>
      <c r="DT2248" t="s">
        <v>211</v>
      </c>
      <c r="DU2248" t="s">
        <v>298</v>
      </c>
      <c r="DW2248" t="s">
        <v>1069</v>
      </c>
      <c r="DX2248" t="s">
        <v>26180</v>
      </c>
      <c r="DY2248" t="s">
        <v>302</v>
      </c>
      <c r="DZ2248" t="s">
        <v>303</v>
      </c>
      <c r="EA2248" t="s">
        <v>26181</v>
      </c>
      <c r="EB2248" t="s">
        <v>235</v>
      </c>
      <c r="EC2248" t="s">
        <v>183</v>
      </c>
      <c r="ED2248" t="s">
        <v>211</v>
      </c>
      <c r="EE2248" t="s">
        <v>337</v>
      </c>
      <c r="EG2248" t="s">
        <v>23119</v>
      </c>
      <c r="EH2248" t="s">
        <v>7024</v>
      </c>
      <c r="EI2248" t="s">
        <v>238</v>
      </c>
      <c r="EJ2248" t="s">
        <v>239</v>
      </c>
      <c r="EK2248" t="s">
        <v>26182</v>
      </c>
      <c r="EL2248" t="s">
        <v>816</v>
      </c>
      <c r="EM2248" t="s">
        <v>183</v>
      </c>
      <c r="EN2248" t="s">
        <v>211</v>
      </c>
      <c r="EO2248" t="s">
        <v>298</v>
      </c>
      <c r="EQ2248" t="s">
        <v>441</v>
      </c>
      <c r="ER2248" t="s">
        <v>26183</v>
      </c>
      <c r="ES2248" t="s">
        <v>207</v>
      </c>
      <c r="ET2248" t="s">
        <v>208</v>
      </c>
      <c r="EU2248" t="s">
        <v>26184</v>
      </c>
      <c r="EV2248" t="s">
        <v>576</v>
      </c>
      <c r="EW2248" t="s">
        <v>183</v>
      </c>
      <c r="EX2248" t="s">
        <v>211</v>
      </c>
      <c r="EY2248" t="s">
        <v>270</v>
      </c>
      <c r="EZ2248" t="s">
        <v>271</v>
      </c>
      <c r="FA2248" t="s">
        <v>10793</v>
      </c>
      <c r="FK2248" t="s">
        <v>198</v>
      </c>
      <c r="FU2248" t="s">
        <v>198</v>
      </c>
    </row>
    <row r="2249" spans="1:177">
      <c r="A2249" s="1" t="str">
        <f>HYPERLINK("http://digipan.lumentumllc.com/apps/getLink/index.php?t=PropLink&amp;p=6128751","PL")</f>
        <v>PL</v>
      </c>
      <c r="B2249" s="1" t="str">
        <f>HYPERLINK("http://digipan.lumentumllc.com/apps/getLink/index.php?t=TaxLink&amp;p=6128751","TL")</f>
        <v>TL</v>
      </c>
      <c r="C2249" s="1" t="str">
        <f>HYPERLINK("http://digipan.lumentumllc.com/apps/getMap/index.php?p=6128751","Map")</f>
        <v>Map</v>
      </c>
      <c r="E2249" t="s">
        <v>177</v>
      </c>
      <c r="F2249" t="s">
        <v>178</v>
      </c>
      <c r="L2249" t="s">
        <v>26185</v>
      </c>
      <c r="N2249" t="s">
        <v>26185</v>
      </c>
      <c r="O2249" t="s">
        <v>26185</v>
      </c>
      <c r="P2249" t="s">
        <v>26186</v>
      </c>
      <c r="Q2249" t="s">
        <v>26185</v>
      </c>
      <c r="V2249">
        <v>2571</v>
      </c>
      <c r="W2249">
        <v>8</v>
      </c>
      <c r="X2249">
        <v>2017</v>
      </c>
      <c r="Y2249">
        <v>2018</v>
      </c>
      <c r="Z2249">
        <v>1453.67</v>
      </c>
      <c r="AB2249" t="s">
        <v>181</v>
      </c>
      <c r="AC2249" t="s">
        <v>202</v>
      </c>
      <c r="AD2249" t="s">
        <v>183</v>
      </c>
      <c r="AE2249">
        <v>0</v>
      </c>
      <c r="AF2249">
        <v>5</v>
      </c>
      <c r="AG2249" t="s">
        <v>3266</v>
      </c>
      <c r="AH2249">
        <v>100</v>
      </c>
      <c r="AK2249">
        <v>0</v>
      </c>
      <c r="AL2249">
        <v>65955</v>
      </c>
      <c r="AM2249">
        <v>65100</v>
      </c>
      <c r="AN2249">
        <v>855</v>
      </c>
      <c r="AO2249">
        <v>1268</v>
      </c>
      <c r="AP2249">
        <v>2016</v>
      </c>
      <c r="AQ2249">
        <v>2.2000000000000002</v>
      </c>
      <c r="AS2249" t="s">
        <v>26187</v>
      </c>
      <c r="AT2249" t="s">
        <v>15040</v>
      </c>
      <c r="AU2249" t="s">
        <v>177</v>
      </c>
      <c r="AV2249" t="s">
        <v>371</v>
      </c>
      <c r="AW2249" t="s">
        <v>182</v>
      </c>
      <c r="AX2249">
        <v>70</v>
      </c>
      <c r="AY2249" t="s">
        <v>19592</v>
      </c>
      <c r="AZ2249" t="s">
        <v>1443</v>
      </c>
      <c r="BA2249" t="s">
        <v>19593</v>
      </c>
      <c r="BB2249" t="s">
        <v>191</v>
      </c>
      <c r="BC2249" t="s">
        <v>182</v>
      </c>
      <c r="BD2249" t="s">
        <v>182</v>
      </c>
      <c r="BE2249" t="s">
        <v>11735</v>
      </c>
      <c r="BF2249">
        <v>1</v>
      </c>
      <c r="BG2249">
        <v>0</v>
      </c>
      <c r="BH2249">
        <v>0</v>
      </c>
      <c r="BI2249" t="s">
        <v>199</v>
      </c>
      <c r="BJ2249" t="s">
        <v>248</v>
      </c>
      <c r="BL2249" t="s">
        <v>199</v>
      </c>
      <c r="BM2249" t="s">
        <v>346</v>
      </c>
      <c r="BN2249" t="s">
        <v>182</v>
      </c>
      <c r="BO2249" t="s">
        <v>198</v>
      </c>
      <c r="BP2249" t="s">
        <v>198</v>
      </c>
      <c r="BQ2249" t="s">
        <v>198</v>
      </c>
      <c r="BR2249" t="s">
        <v>198</v>
      </c>
      <c r="BS2249" t="s">
        <v>198</v>
      </c>
      <c r="BT2249" t="s">
        <v>198</v>
      </c>
      <c r="BU2249" t="s">
        <v>182</v>
      </c>
      <c r="BV2249" t="s">
        <v>198</v>
      </c>
      <c r="BW2249" t="s">
        <v>198</v>
      </c>
      <c r="BX2249" t="s">
        <v>199</v>
      </c>
      <c r="BY2249" t="s">
        <v>198</v>
      </c>
      <c r="BZ2249" t="s">
        <v>199</v>
      </c>
      <c r="CA2249" t="s">
        <v>199</v>
      </c>
      <c r="CB2249" t="s">
        <v>26188</v>
      </c>
      <c r="CC2249" t="s">
        <v>201</v>
      </c>
      <c r="CD2249" t="s">
        <v>202</v>
      </c>
      <c r="CE2249" t="s">
        <v>26189</v>
      </c>
      <c r="CF2249" t="s">
        <v>5331</v>
      </c>
      <c r="CG2249" t="s">
        <v>177</v>
      </c>
      <c r="CH2249" t="s">
        <v>5332</v>
      </c>
      <c r="CI2249" t="s">
        <v>26190</v>
      </c>
      <c r="CJ2249" t="s">
        <v>18555</v>
      </c>
      <c r="CK2249" t="s">
        <v>292</v>
      </c>
      <c r="CL2249" t="s">
        <v>293</v>
      </c>
      <c r="CM2249" t="s">
        <v>26191</v>
      </c>
      <c r="CN2249" t="s">
        <v>235</v>
      </c>
      <c r="CO2249" t="s">
        <v>183</v>
      </c>
      <c r="CP2249" t="s">
        <v>211</v>
      </c>
      <c r="CQ2249" t="s">
        <v>264</v>
      </c>
      <c r="CS2249" t="s">
        <v>3291</v>
      </c>
      <c r="CT2249" t="s">
        <v>22752</v>
      </c>
      <c r="CU2249" t="s">
        <v>267</v>
      </c>
      <c r="CV2249" t="s">
        <v>268</v>
      </c>
      <c r="CW2249" t="s">
        <v>26192</v>
      </c>
      <c r="CX2249" t="s">
        <v>482</v>
      </c>
      <c r="CY2249" t="s">
        <v>183</v>
      </c>
      <c r="CZ2249" t="s">
        <v>211</v>
      </c>
      <c r="DA2249" t="s">
        <v>250</v>
      </c>
      <c r="DB2249" t="s">
        <v>271</v>
      </c>
      <c r="DC2249" t="s">
        <v>14197</v>
      </c>
      <c r="DD2249" t="s">
        <v>20378</v>
      </c>
      <c r="DE2249" t="s">
        <v>273</v>
      </c>
      <c r="DF2249" t="s">
        <v>274</v>
      </c>
      <c r="DG2249" t="s">
        <v>26193</v>
      </c>
      <c r="DH2249" t="s">
        <v>1676</v>
      </c>
      <c r="DI2249" t="s">
        <v>183</v>
      </c>
      <c r="DJ2249" t="s">
        <v>211</v>
      </c>
      <c r="DL2249" t="s">
        <v>271</v>
      </c>
      <c r="DM2249" t="s">
        <v>198</v>
      </c>
      <c r="DN2249" t="s">
        <v>20952</v>
      </c>
      <c r="DO2249" t="s">
        <v>302</v>
      </c>
      <c r="DP2249" t="s">
        <v>303</v>
      </c>
      <c r="DQ2249" t="s">
        <v>26194</v>
      </c>
      <c r="DR2249" t="s">
        <v>3342</v>
      </c>
      <c r="DS2249" t="s">
        <v>183</v>
      </c>
      <c r="DT2249" t="s">
        <v>211</v>
      </c>
      <c r="DV2249" t="s">
        <v>271</v>
      </c>
      <c r="DW2249" t="s">
        <v>198</v>
      </c>
      <c r="DX2249" t="s">
        <v>7889</v>
      </c>
      <c r="DY2249" t="s">
        <v>238</v>
      </c>
      <c r="DZ2249" t="s">
        <v>239</v>
      </c>
      <c r="EA2249" t="s">
        <v>26195</v>
      </c>
      <c r="EB2249" t="s">
        <v>391</v>
      </c>
      <c r="EC2249" t="s">
        <v>183</v>
      </c>
      <c r="ED2249" t="s">
        <v>211</v>
      </c>
      <c r="EE2249" t="s">
        <v>334</v>
      </c>
      <c r="EG2249" t="s">
        <v>26196</v>
      </c>
      <c r="EQ2249" t="s">
        <v>198</v>
      </c>
      <c r="FA2249" t="s">
        <v>198</v>
      </c>
      <c r="FK2249" t="s">
        <v>198</v>
      </c>
      <c r="FU2249" t="s">
        <v>198</v>
      </c>
    </row>
    <row r="2250" spans="1:177">
      <c r="A2250" s="1" t="str">
        <f>HYPERLINK("http://digipan.lumentumllc.com/apps/getLink/index.php?t=PropLink&amp;p=5244726","PL")</f>
        <v>PL</v>
      </c>
      <c r="B2250" s="1" t="str">
        <f>HYPERLINK("http://digipan.lumentumllc.com/apps/getLink/index.php?t=TaxLink&amp;p=5244726","TL")</f>
        <v>TL</v>
      </c>
      <c r="C2250" s="1" t="str">
        <f>HYPERLINK("http://digipan.lumentumllc.com/apps/getMap/index.php?p=5244726","Map")</f>
        <v>Map</v>
      </c>
      <c r="E2250" t="s">
        <v>177</v>
      </c>
      <c r="F2250" t="s">
        <v>178</v>
      </c>
      <c r="L2250" t="s">
        <v>26197</v>
      </c>
      <c r="N2250" t="s">
        <v>26197</v>
      </c>
      <c r="O2250" t="s">
        <v>26197</v>
      </c>
      <c r="P2250" t="s">
        <v>26198</v>
      </c>
      <c r="Q2250" t="s">
        <v>26197</v>
      </c>
      <c r="V2250">
        <v>2572</v>
      </c>
      <c r="W2250">
        <v>8</v>
      </c>
      <c r="X2250">
        <v>2017</v>
      </c>
      <c r="Y2250">
        <v>2018</v>
      </c>
      <c r="Z2250">
        <v>629.49</v>
      </c>
      <c r="AB2250" t="s">
        <v>181</v>
      </c>
      <c r="AC2250" t="s">
        <v>202</v>
      </c>
      <c r="AD2250" t="s">
        <v>183</v>
      </c>
      <c r="AE2250">
        <v>1</v>
      </c>
      <c r="AF2250">
        <v>6</v>
      </c>
      <c r="AG2250" t="s">
        <v>322</v>
      </c>
      <c r="AH2250">
        <v>83</v>
      </c>
      <c r="AI2250">
        <v>525.83000000000004</v>
      </c>
      <c r="AJ2250">
        <v>47.32</v>
      </c>
      <c r="AK2250">
        <v>573.15</v>
      </c>
      <c r="AL2250">
        <v>27720</v>
      </c>
      <c r="AM2250">
        <v>27720</v>
      </c>
      <c r="AN2250">
        <v>0</v>
      </c>
      <c r="AO2250">
        <v>461</v>
      </c>
      <c r="AP2250">
        <v>2016</v>
      </c>
      <c r="AQ2250">
        <v>2.27</v>
      </c>
      <c r="AR2250">
        <v>2.0699999999999998</v>
      </c>
      <c r="AS2250" t="s">
        <v>26199</v>
      </c>
      <c r="AT2250" t="s">
        <v>15040</v>
      </c>
      <c r="AU2250" t="s">
        <v>177</v>
      </c>
      <c r="AV2250" t="s">
        <v>371</v>
      </c>
      <c r="AW2250" t="s">
        <v>182</v>
      </c>
      <c r="AX2250">
        <v>0</v>
      </c>
      <c r="AY2250" t="s">
        <v>312</v>
      </c>
      <c r="AZ2250" t="s">
        <v>199</v>
      </c>
      <c r="BA2250" t="s">
        <v>313</v>
      </c>
      <c r="BB2250" t="s">
        <v>191</v>
      </c>
      <c r="BC2250" t="s">
        <v>182</v>
      </c>
      <c r="BD2250" t="s">
        <v>182</v>
      </c>
      <c r="BE2250" t="s">
        <v>12936</v>
      </c>
      <c r="BF2250">
        <v>0</v>
      </c>
      <c r="BG2250">
        <v>0</v>
      </c>
      <c r="BH2250">
        <v>0</v>
      </c>
      <c r="BI2250" t="s">
        <v>199</v>
      </c>
      <c r="BJ2250" t="s">
        <v>315</v>
      </c>
      <c r="BL2250" t="s">
        <v>199</v>
      </c>
      <c r="BM2250" t="s">
        <v>1156</v>
      </c>
      <c r="BN2250" t="s">
        <v>182</v>
      </c>
      <c r="BO2250" t="s">
        <v>198</v>
      </c>
      <c r="BP2250" t="s">
        <v>198</v>
      </c>
      <c r="BQ2250" t="s">
        <v>198</v>
      </c>
      <c r="BR2250" t="s">
        <v>198</v>
      </c>
      <c r="BS2250" t="s">
        <v>198</v>
      </c>
      <c r="BT2250" t="s">
        <v>198</v>
      </c>
      <c r="BU2250" t="s">
        <v>182</v>
      </c>
      <c r="BV2250" t="s">
        <v>198</v>
      </c>
      <c r="BW2250" t="s">
        <v>198</v>
      </c>
      <c r="BX2250" t="s">
        <v>199</v>
      </c>
      <c r="BY2250" t="s">
        <v>198</v>
      </c>
      <c r="BZ2250" t="s">
        <v>199</v>
      </c>
      <c r="CA2250" t="s">
        <v>199</v>
      </c>
      <c r="CB2250" t="s">
        <v>25104</v>
      </c>
      <c r="CC2250" t="s">
        <v>201</v>
      </c>
      <c r="CD2250" t="s">
        <v>202</v>
      </c>
      <c r="CE2250" t="s">
        <v>25105</v>
      </c>
      <c r="CF2250" t="s">
        <v>23111</v>
      </c>
      <c r="CG2250" t="s">
        <v>177</v>
      </c>
      <c r="CH2250" t="s">
        <v>23112</v>
      </c>
      <c r="CI2250" t="s">
        <v>26200</v>
      </c>
      <c r="CJ2250" t="s">
        <v>25367</v>
      </c>
      <c r="CK2250" t="s">
        <v>232</v>
      </c>
      <c r="CL2250" t="s">
        <v>233</v>
      </c>
      <c r="CM2250" t="s">
        <v>26201</v>
      </c>
      <c r="CN2250" t="s">
        <v>1966</v>
      </c>
      <c r="CO2250" t="s">
        <v>183</v>
      </c>
      <c r="CP2250" t="s">
        <v>266</v>
      </c>
      <c r="CS2250" t="s">
        <v>198</v>
      </c>
      <c r="CT2250" t="s">
        <v>20127</v>
      </c>
      <c r="CU2250" t="s">
        <v>292</v>
      </c>
      <c r="CV2250" t="s">
        <v>293</v>
      </c>
      <c r="CW2250" t="s">
        <v>7396</v>
      </c>
      <c r="CX2250" t="s">
        <v>333</v>
      </c>
      <c r="CY2250" t="s">
        <v>183</v>
      </c>
      <c r="CZ2250" t="s">
        <v>211</v>
      </c>
      <c r="DA2250" t="s">
        <v>345</v>
      </c>
      <c r="DC2250" t="s">
        <v>1088</v>
      </c>
      <c r="DD2250" t="s">
        <v>22757</v>
      </c>
      <c r="DE2250" t="s">
        <v>267</v>
      </c>
      <c r="DF2250" t="s">
        <v>268</v>
      </c>
      <c r="DG2250" t="s">
        <v>26202</v>
      </c>
      <c r="DH2250" t="s">
        <v>482</v>
      </c>
      <c r="DI2250" t="s">
        <v>183</v>
      </c>
      <c r="DJ2250" t="s">
        <v>211</v>
      </c>
      <c r="DK2250" t="s">
        <v>345</v>
      </c>
      <c r="DM2250" t="s">
        <v>13292</v>
      </c>
      <c r="DN2250" t="s">
        <v>26203</v>
      </c>
      <c r="DO2250" t="s">
        <v>273</v>
      </c>
      <c r="DP2250" t="s">
        <v>274</v>
      </c>
      <c r="DQ2250" t="s">
        <v>26204</v>
      </c>
      <c r="DR2250" t="s">
        <v>796</v>
      </c>
      <c r="DS2250" t="s">
        <v>183</v>
      </c>
      <c r="DT2250" t="s">
        <v>211</v>
      </c>
      <c r="DU2250" t="s">
        <v>334</v>
      </c>
      <c r="DW2250" t="s">
        <v>26205</v>
      </c>
      <c r="DX2250" t="s">
        <v>7112</v>
      </c>
      <c r="DY2250" t="s">
        <v>238</v>
      </c>
      <c r="DZ2250" t="s">
        <v>239</v>
      </c>
      <c r="EA2250" t="s">
        <v>545</v>
      </c>
      <c r="EB2250" t="s">
        <v>4595</v>
      </c>
      <c r="EC2250" t="s">
        <v>183</v>
      </c>
      <c r="ED2250" t="s">
        <v>211</v>
      </c>
      <c r="EE2250" t="s">
        <v>339</v>
      </c>
      <c r="EF2250" t="s">
        <v>271</v>
      </c>
      <c r="EG2250" t="s">
        <v>13300</v>
      </c>
      <c r="EH2250" t="s">
        <v>26206</v>
      </c>
      <c r="EI2250" t="s">
        <v>346</v>
      </c>
      <c r="EJ2250" t="s">
        <v>347</v>
      </c>
      <c r="EK2250" t="s">
        <v>26207</v>
      </c>
      <c r="EL2250" t="s">
        <v>391</v>
      </c>
      <c r="EM2250" t="s">
        <v>183</v>
      </c>
      <c r="EN2250" t="s">
        <v>211</v>
      </c>
      <c r="EO2250" t="s">
        <v>493</v>
      </c>
      <c r="EP2250" t="s">
        <v>271</v>
      </c>
      <c r="EQ2250" t="s">
        <v>13300</v>
      </c>
      <c r="ER2250" t="s">
        <v>26208</v>
      </c>
      <c r="ES2250" t="s">
        <v>207</v>
      </c>
      <c r="ET2250" t="s">
        <v>208</v>
      </c>
      <c r="EU2250" t="s">
        <v>26209</v>
      </c>
      <c r="EV2250" t="s">
        <v>1966</v>
      </c>
      <c r="EW2250" t="s">
        <v>183</v>
      </c>
      <c r="EX2250" t="s">
        <v>211</v>
      </c>
      <c r="EZ2250" t="s">
        <v>271</v>
      </c>
      <c r="FA2250" t="s">
        <v>198</v>
      </c>
      <c r="FK2250" t="s">
        <v>198</v>
      </c>
      <c r="FU2250" t="s">
        <v>198</v>
      </c>
    </row>
    <row r="2251" spans="1:177">
      <c r="A2251" s="1" t="str">
        <f>HYPERLINK("http://digipan.lumentumllc.com/apps/getLink/index.php?t=PropLink&amp;p=5244727","PL")</f>
        <v>PL</v>
      </c>
      <c r="B2251" s="1" t="str">
        <f>HYPERLINK("http://digipan.lumentumllc.com/apps/getLink/index.php?t=TaxLink&amp;p=5244727","TL")</f>
        <v>TL</v>
      </c>
      <c r="C2251" s="1" t="str">
        <f>HYPERLINK("http://digipan.lumentumllc.com/apps/getMap/index.php?p=5244727","Map")</f>
        <v>Map</v>
      </c>
      <c r="E2251" t="s">
        <v>177</v>
      </c>
      <c r="F2251" t="s">
        <v>178</v>
      </c>
      <c r="L2251" t="s">
        <v>26210</v>
      </c>
      <c r="N2251" t="s">
        <v>26210</v>
      </c>
      <c r="O2251" t="s">
        <v>26210</v>
      </c>
      <c r="P2251" t="s">
        <v>26211</v>
      </c>
      <c r="Q2251" t="s">
        <v>26210</v>
      </c>
      <c r="V2251">
        <v>2573</v>
      </c>
      <c r="W2251">
        <v>8</v>
      </c>
      <c r="X2251">
        <v>2017</v>
      </c>
      <c r="Y2251">
        <v>2018</v>
      </c>
      <c r="Z2251">
        <v>1940.62</v>
      </c>
      <c r="AB2251" t="s">
        <v>181</v>
      </c>
      <c r="AC2251" t="s">
        <v>202</v>
      </c>
      <c r="AD2251" t="s">
        <v>183</v>
      </c>
      <c r="AE2251">
        <v>1</v>
      </c>
      <c r="AF2251">
        <v>6</v>
      </c>
      <c r="AG2251" t="s">
        <v>322</v>
      </c>
      <c r="AH2251">
        <v>83</v>
      </c>
      <c r="AI2251">
        <v>1750.12</v>
      </c>
      <c r="AJ2251">
        <v>87.51</v>
      </c>
      <c r="AK2251">
        <v>1837.63</v>
      </c>
      <c r="AL2251">
        <v>88546</v>
      </c>
      <c r="AM2251">
        <v>27720</v>
      </c>
      <c r="AN2251">
        <v>60826</v>
      </c>
      <c r="AO2251">
        <v>1593</v>
      </c>
      <c r="AP2251">
        <v>2016</v>
      </c>
      <c r="AQ2251">
        <v>2.19</v>
      </c>
      <c r="AR2251">
        <v>2.08</v>
      </c>
      <c r="AS2251" t="s">
        <v>26212</v>
      </c>
      <c r="AT2251" t="s">
        <v>15040</v>
      </c>
      <c r="AU2251" t="s">
        <v>177</v>
      </c>
      <c r="AV2251" t="s">
        <v>371</v>
      </c>
      <c r="AW2251" t="s">
        <v>182</v>
      </c>
      <c r="AX2251">
        <v>1</v>
      </c>
      <c r="AY2251" t="s">
        <v>188</v>
      </c>
      <c r="AZ2251" t="s">
        <v>206</v>
      </c>
      <c r="BA2251" t="s">
        <v>355</v>
      </c>
      <c r="BB2251" t="s">
        <v>191</v>
      </c>
      <c r="BC2251" t="s">
        <v>182</v>
      </c>
      <c r="BD2251" t="s">
        <v>182</v>
      </c>
      <c r="BE2251" t="s">
        <v>12936</v>
      </c>
      <c r="BF2251">
        <v>1</v>
      </c>
      <c r="BG2251">
        <v>1</v>
      </c>
      <c r="BH2251">
        <v>1970</v>
      </c>
      <c r="BI2251" t="s">
        <v>15980</v>
      </c>
      <c r="BJ2251" t="s">
        <v>285</v>
      </c>
      <c r="BK2251" t="s">
        <v>840</v>
      </c>
      <c r="BL2251" t="s">
        <v>199</v>
      </c>
      <c r="BM2251" t="s">
        <v>4724</v>
      </c>
      <c r="BN2251" t="s">
        <v>182</v>
      </c>
      <c r="BO2251" t="s">
        <v>198</v>
      </c>
      <c r="BP2251" t="s">
        <v>198</v>
      </c>
      <c r="BQ2251" t="s">
        <v>198</v>
      </c>
      <c r="BR2251" t="s">
        <v>198</v>
      </c>
      <c r="BS2251" t="s">
        <v>198</v>
      </c>
      <c r="BT2251" t="s">
        <v>198</v>
      </c>
      <c r="BU2251" t="s">
        <v>182</v>
      </c>
      <c r="BV2251" t="s">
        <v>198</v>
      </c>
      <c r="BW2251" t="s">
        <v>198</v>
      </c>
      <c r="BX2251" t="s">
        <v>199</v>
      </c>
      <c r="BY2251" t="s">
        <v>198</v>
      </c>
      <c r="BZ2251" t="s">
        <v>199</v>
      </c>
      <c r="CA2251" t="s">
        <v>199</v>
      </c>
      <c r="CB2251" t="s">
        <v>25104</v>
      </c>
      <c r="CC2251" t="s">
        <v>201</v>
      </c>
      <c r="CD2251" t="s">
        <v>202</v>
      </c>
      <c r="CE2251" t="s">
        <v>25105</v>
      </c>
      <c r="CF2251" t="s">
        <v>23111</v>
      </c>
      <c r="CG2251" t="s">
        <v>177</v>
      </c>
      <c r="CH2251" t="s">
        <v>23112</v>
      </c>
      <c r="CI2251" t="s">
        <v>26213</v>
      </c>
      <c r="CJ2251" t="s">
        <v>20189</v>
      </c>
      <c r="CK2251" t="s">
        <v>232</v>
      </c>
      <c r="CL2251" t="s">
        <v>233</v>
      </c>
      <c r="CM2251" t="s">
        <v>26214</v>
      </c>
      <c r="CN2251" t="s">
        <v>235</v>
      </c>
      <c r="CO2251" t="s">
        <v>183</v>
      </c>
      <c r="CP2251" t="s">
        <v>266</v>
      </c>
      <c r="CS2251" t="s">
        <v>198</v>
      </c>
      <c r="CT2251" t="s">
        <v>22189</v>
      </c>
      <c r="CU2251" t="s">
        <v>292</v>
      </c>
      <c r="CV2251" t="s">
        <v>293</v>
      </c>
      <c r="CW2251" t="s">
        <v>26215</v>
      </c>
      <c r="CX2251" t="s">
        <v>235</v>
      </c>
      <c r="CY2251" t="s">
        <v>183</v>
      </c>
      <c r="CZ2251" t="s">
        <v>211</v>
      </c>
      <c r="DA2251" t="s">
        <v>345</v>
      </c>
      <c r="DC2251" t="s">
        <v>1088</v>
      </c>
      <c r="DD2251" t="s">
        <v>26216</v>
      </c>
      <c r="DE2251" t="s">
        <v>267</v>
      </c>
      <c r="DF2251" t="s">
        <v>268</v>
      </c>
      <c r="DG2251" t="s">
        <v>26217</v>
      </c>
      <c r="DH2251" t="s">
        <v>235</v>
      </c>
      <c r="DI2251" t="s">
        <v>183</v>
      </c>
      <c r="DJ2251" t="s">
        <v>211</v>
      </c>
      <c r="DK2251" t="s">
        <v>334</v>
      </c>
      <c r="DM2251" t="s">
        <v>23116</v>
      </c>
      <c r="DN2251" t="s">
        <v>16762</v>
      </c>
      <c r="DO2251" t="s">
        <v>273</v>
      </c>
      <c r="DP2251" t="s">
        <v>274</v>
      </c>
      <c r="DQ2251" t="s">
        <v>26218</v>
      </c>
      <c r="DR2251" t="s">
        <v>235</v>
      </c>
      <c r="DS2251" t="s">
        <v>183</v>
      </c>
      <c r="DT2251" t="s">
        <v>211</v>
      </c>
      <c r="DU2251" t="s">
        <v>337</v>
      </c>
      <c r="DW2251" t="s">
        <v>544</v>
      </c>
      <c r="DX2251" t="s">
        <v>17335</v>
      </c>
      <c r="DY2251" t="s">
        <v>302</v>
      </c>
      <c r="DZ2251" t="s">
        <v>303</v>
      </c>
      <c r="EA2251" t="s">
        <v>26219</v>
      </c>
      <c r="EB2251" t="s">
        <v>235</v>
      </c>
      <c r="EC2251" t="s">
        <v>183</v>
      </c>
      <c r="ED2251" t="s">
        <v>211</v>
      </c>
      <c r="EE2251" t="s">
        <v>337</v>
      </c>
      <c r="EG2251" t="s">
        <v>23119</v>
      </c>
      <c r="EH2251" t="s">
        <v>26220</v>
      </c>
      <c r="EI2251" t="s">
        <v>346</v>
      </c>
      <c r="EJ2251" t="s">
        <v>347</v>
      </c>
      <c r="EK2251" t="s">
        <v>26221</v>
      </c>
      <c r="EL2251" t="s">
        <v>305</v>
      </c>
      <c r="EM2251" t="s">
        <v>183</v>
      </c>
      <c r="EN2251" t="s">
        <v>211</v>
      </c>
      <c r="EO2251" t="s">
        <v>270</v>
      </c>
      <c r="EP2251" t="s">
        <v>271</v>
      </c>
      <c r="EQ2251" t="s">
        <v>2786</v>
      </c>
      <c r="ER2251" t="s">
        <v>25713</v>
      </c>
      <c r="ES2251" t="s">
        <v>207</v>
      </c>
      <c r="ET2251" t="s">
        <v>208</v>
      </c>
      <c r="EU2251" t="s">
        <v>26222</v>
      </c>
      <c r="EV2251" t="s">
        <v>688</v>
      </c>
      <c r="EW2251" t="s">
        <v>183</v>
      </c>
      <c r="EX2251" t="s">
        <v>211</v>
      </c>
      <c r="EZ2251" t="s">
        <v>271</v>
      </c>
      <c r="FA2251" t="s">
        <v>198</v>
      </c>
      <c r="FK2251" t="s">
        <v>198</v>
      </c>
      <c r="FU2251" t="s">
        <v>198</v>
      </c>
    </row>
    <row r="2252" spans="1:177">
      <c r="A2252" s="1" t="str">
        <f>HYPERLINK("http://digipan.lumentumllc.com/apps/getLink/index.php?t=PropLink&amp;p=15735080","PL")</f>
        <v>PL</v>
      </c>
      <c r="B2252" s="1" t="str">
        <f>HYPERLINK("http://digipan.lumentumllc.com/apps/getLink/index.php?t=TaxLink&amp;p=15735080","TL")</f>
        <v>TL</v>
      </c>
      <c r="C2252" s="1" t="str">
        <f>HYPERLINK("http://digipan.lumentumllc.com/apps/getMap/index.php?p=15735080","Map")</f>
        <v>Map</v>
      </c>
      <c r="E2252" t="s">
        <v>177</v>
      </c>
      <c r="F2252" t="s">
        <v>178</v>
      </c>
      <c r="L2252" t="s">
        <v>26223</v>
      </c>
      <c r="N2252" t="s">
        <v>26223</v>
      </c>
      <c r="O2252" t="s">
        <v>26223</v>
      </c>
      <c r="Q2252" t="s">
        <v>26223</v>
      </c>
      <c r="V2252">
        <v>2574</v>
      </c>
      <c r="W2252">
        <v>8</v>
      </c>
      <c r="X2252">
        <v>2017</v>
      </c>
      <c r="Y2252">
        <v>2018</v>
      </c>
      <c r="Z2252">
        <v>598.95000000000005</v>
      </c>
      <c r="AG2252" t="s">
        <v>184</v>
      </c>
      <c r="AH2252">
        <v>0</v>
      </c>
      <c r="AK2252">
        <v>0</v>
      </c>
      <c r="AL2252">
        <v>100982</v>
      </c>
      <c r="AM2252">
        <v>31927</v>
      </c>
      <c r="AN2252">
        <v>69055</v>
      </c>
      <c r="AO2252">
        <v>525</v>
      </c>
      <c r="AP2252">
        <v>2016</v>
      </c>
      <c r="AQ2252">
        <v>0.59</v>
      </c>
      <c r="AS2252" t="s">
        <v>26224</v>
      </c>
      <c r="AT2252" t="s">
        <v>15040</v>
      </c>
      <c r="AU2252" t="s">
        <v>177</v>
      </c>
      <c r="AV2252" t="s">
        <v>371</v>
      </c>
      <c r="AW2252" t="s">
        <v>202</v>
      </c>
      <c r="AX2252">
        <v>1</v>
      </c>
      <c r="AY2252" t="s">
        <v>188</v>
      </c>
      <c r="AZ2252" t="s">
        <v>206</v>
      </c>
      <c r="BA2252" t="s">
        <v>355</v>
      </c>
      <c r="BB2252" t="s">
        <v>191</v>
      </c>
      <c r="BC2252" t="s">
        <v>182</v>
      </c>
      <c r="BD2252" t="s">
        <v>182</v>
      </c>
      <c r="BE2252" t="s">
        <v>6986</v>
      </c>
      <c r="BF2252">
        <v>1</v>
      </c>
      <c r="BG2252">
        <v>1</v>
      </c>
      <c r="BH2252">
        <v>1974</v>
      </c>
      <c r="BI2252" t="s">
        <v>7006</v>
      </c>
      <c r="BJ2252" t="s">
        <v>285</v>
      </c>
      <c r="BK2252" t="s">
        <v>195</v>
      </c>
      <c r="BL2252" t="s">
        <v>199</v>
      </c>
      <c r="BM2252" t="s">
        <v>559</v>
      </c>
      <c r="BN2252" t="s">
        <v>182</v>
      </c>
      <c r="BO2252" t="s">
        <v>8682</v>
      </c>
      <c r="BP2252" t="s">
        <v>26225</v>
      </c>
      <c r="BQ2252" t="s">
        <v>800</v>
      </c>
      <c r="BR2252" t="s">
        <v>582</v>
      </c>
      <c r="BS2252" t="s">
        <v>198</v>
      </c>
      <c r="BT2252" t="s">
        <v>26226</v>
      </c>
      <c r="BU2252" t="s">
        <v>182</v>
      </c>
      <c r="BV2252" t="s">
        <v>198</v>
      </c>
      <c r="BW2252" t="s">
        <v>198</v>
      </c>
      <c r="BX2252" t="s">
        <v>199</v>
      </c>
      <c r="BY2252" t="s">
        <v>198</v>
      </c>
      <c r="BZ2252" t="s">
        <v>199</v>
      </c>
      <c r="CA2252" t="s">
        <v>199</v>
      </c>
      <c r="CB2252" t="s">
        <v>25059</v>
      </c>
      <c r="CC2252" t="s">
        <v>201</v>
      </c>
      <c r="CD2252" t="s">
        <v>202</v>
      </c>
      <c r="CE2252" t="s">
        <v>26227</v>
      </c>
      <c r="CF2252" t="s">
        <v>5331</v>
      </c>
      <c r="CG2252" t="s">
        <v>177</v>
      </c>
      <c r="CH2252" t="s">
        <v>371</v>
      </c>
      <c r="CI2252" t="s">
        <v>26228</v>
      </c>
      <c r="CS2252" t="s">
        <v>198</v>
      </c>
      <c r="DC2252" t="s">
        <v>198</v>
      </c>
      <c r="DM2252" t="s">
        <v>198</v>
      </c>
      <c r="DW2252" t="s">
        <v>198</v>
      </c>
      <c r="EG2252" t="s">
        <v>198</v>
      </c>
      <c r="EQ2252" t="s">
        <v>198</v>
      </c>
      <c r="FA2252" t="s">
        <v>198</v>
      </c>
      <c r="FK2252" t="s">
        <v>198</v>
      </c>
      <c r="FU2252" t="s">
        <v>198</v>
      </c>
    </row>
    <row r="2253" spans="1:177">
      <c r="A2253" s="1" t="str">
        <f>HYPERLINK("http://digipan.lumentumllc.com/apps/getLink/index.php?t=PropLink&amp;p=15735089","PL")</f>
        <v>PL</v>
      </c>
      <c r="B2253" s="1" t="str">
        <f>HYPERLINK("http://digipan.lumentumllc.com/apps/getLink/index.php?t=TaxLink&amp;p=15735089","TL")</f>
        <v>TL</v>
      </c>
      <c r="C2253" s="1" t="str">
        <f>HYPERLINK("http://digipan.lumentumllc.com/apps/getMap/index.php?p=15735089","Map")</f>
        <v>Map</v>
      </c>
      <c r="E2253" t="s">
        <v>177</v>
      </c>
      <c r="F2253" t="s">
        <v>178</v>
      </c>
      <c r="L2253" t="s">
        <v>26229</v>
      </c>
      <c r="N2253" t="s">
        <v>26229</v>
      </c>
      <c r="O2253" t="s">
        <v>26229</v>
      </c>
      <c r="Q2253" t="s">
        <v>26229</v>
      </c>
      <c r="V2253">
        <v>2575</v>
      </c>
      <c r="W2253">
        <v>8</v>
      </c>
      <c r="X2253">
        <v>2017</v>
      </c>
      <c r="Y2253">
        <v>2018</v>
      </c>
      <c r="Z2253">
        <v>579.89</v>
      </c>
      <c r="AG2253" t="s">
        <v>184</v>
      </c>
      <c r="AH2253">
        <v>0</v>
      </c>
      <c r="AK2253">
        <v>0</v>
      </c>
      <c r="AL2253">
        <v>75785</v>
      </c>
      <c r="AM2253">
        <v>27720</v>
      </c>
      <c r="AN2253">
        <v>48065</v>
      </c>
      <c r="AO2253">
        <v>508</v>
      </c>
      <c r="AP2253">
        <v>2016</v>
      </c>
      <c r="AQ2253">
        <v>0.77</v>
      </c>
      <c r="AS2253" t="s">
        <v>26230</v>
      </c>
      <c r="AT2253" t="s">
        <v>15040</v>
      </c>
      <c r="AU2253" t="s">
        <v>177</v>
      </c>
      <c r="AV2253" t="s">
        <v>371</v>
      </c>
      <c r="AW2253" t="s">
        <v>202</v>
      </c>
      <c r="AX2253">
        <v>1</v>
      </c>
      <c r="AY2253" t="s">
        <v>188</v>
      </c>
      <c r="AZ2253" t="s">
        <v>206</v>
      </c>
      <c r="BA2253" t="s">
        <v>355</v>
      </c>
      <c r="BB2253" t="s">
        <v>191</v>
      </c>
      <c r="BC2253" t="s">
        <v>182</v>
      </c>
      <c r="BD2253" t="s">
        <v>182</v>
      </c>
      <c r="BE2253" t="s">
        <v>12936</v>
      </c>
      <c r="BF2253">
        <v>1</v>
      </c>
      <c r="BG2253">
        <v>1</v>
      </c>
      <c r="BH2253">
        <v>1962</v>
      </c>
      <c r="BI2253" t="s">
        <v>10431</v>
      </c>
      <c r="BJ2253" t="s">
        <v>285</v>
      </c>
      <c r="BK2253" t="s">
        <v>195</v>
      </c>
      <c r="BL2253" t="s">
        <v>196</v>
      </c>
      <c r="BM2253" t="s">
        <v>1474</v>
      </c>
      <c r="BN2253" t="s">
        <v>182</v>
      </c>
      <c r="BO2253" t="s">
        <v>198</v>
      </c>
      <c r="BP2253" t="s">
        <v>198</v>
      </c>
      <c r="BQ2253" t="s">
        <v>198</v>
      </c>
      <c r="BR2253" t="s">
        <v>198</v>
      </c>
      <c r="BS2253" t="s">
        <v>198</v>
      </c>
      <c r="BT2253" t="s">
        <v>198</v>
      </c>
      <c r="BU2253" t="s">
        <v>182</v>
      </c>
      <c r="BV2253" t="s">
        <v>198</v>
      </c>
      <c r="BW2253" t="s">
        <v>198</v>
      </c>
      <c r="BX2253" t="s">
        <v>199</v>
      </c>
      <c r="BY2253" t="s">
        <v>198</v>
      </c>
      <c r="BZ2253" t="s">
        <v>199</v>
      </c>
      <c r="CA2253" t="s">
        <v>199</v>
      </c>
      <c r="CB2253" t="s">
        <v>26231</v>
      </c>
      <c r="CC2253" t="s">
        <v>201</v>
      </c>
      <c r="CD2253" t="s">
        <v>182</v>
      </c>
      <c r="CE2253" t="s">
        <v>13152</v>
      </c>
      <c r="CF2253" t="s">
        <v>5331</v>
      </c>
      <c r="CG2253" t="s">
        <v>177</v>
      </c>
      <c r="CH2253" t="s">
        <v>5332</v>
      </c>
      <c r="CI2253" t="s">
        <v>26232</v>
      </c>
      <c r="CS2253" t="s">
        <v>198</v>
      </c>
      <c r="DC2253" t="s">
        <v>198</v>
      </c>
      <c r="DM2253" t="s">
        <v>198</v>
      </c>
      <c r="DW2253" t="s">
        <v>198</v>
      </c>
      <c r="EG2253" t="s">
        <v>198</v>
      </c>
      <c r="EQ2253" t="s">
        <v>198</v>
      </c>
      <c r="FA2253" t="s">
        <v>198</v>
      </c>
      <c r="FK2253" t="s">
        <v>198</v>
      </c>
      <c r="FU2253" t="s">
        <v>198</v>
      </c>
    </row>
    <row r="2254" spans="1:177">
      <c r="A2254" s="1" t="str">
        <f>HYPERLINK("http://digipan.lumentumllc.com/apps/getLink/index.php?t=PropLink&amp;p=6886625","PL")</f>
        <v>PL</v>
      </c>
      <c r="B2254" s="1" t="str">
        <f>HYPERLINK("http://digipan.lumentumllc.com/apps/getLink/index.php?t=TaxLink&amp;p=6886625","TL")</f>
        <v>TL</v>
      </c>
      <c r="C2254" s="1" t="str">
        <f>HYPERLINK("http://digipan.lumentumllc.com/apps/getMap/index.php?p=6886625","Map")</f>
        <v>Map</v>
      </c>
      <c r="E2254" t="s">
        <v>177</v>
      </c>
      <c r="F2254" t="s">
        <v>178</v>
      </c>
      <c r="L2254" t="s">
        <v>26233</v>
      </c>
      <c r="N2254" t="s">
        <v>26233</v>
      </c>
      <c r="O2254" t="s">
        <v>26233</v>
      </c>
      <c r="P2254" t="s">
        <v>26234</v>
      </c>
      <c r="Q2254" t="s">
        <v>26233</v>
      </c>
      <c r="V2254">
        <v>2576</v>
      </c>
      <c r="W2254">
        <v>8</v>
      </c>
      <c r="X2254">
        <v>2017</v>
      </c>
      <c r="Y2254">
        <v>2018</v>
      </c>
      <c r="Z2254">
        <v>721.57</v>
      </c>
      <c r="AG2254" t="s">
        <v>184</v>
      </c>
      <c r="AH2254">
        <v>0</v>
      </c>
      <c r="AK2254">
        <v>0</v>
      </c>
      <c r="AL2254">
        <v>104342</v>
      </c>
      <c r="AM2254">
        <v>27720</v>
      </c>
      <c r="AN2254">
        <v>76622</v>
      </c>
      <c r="AO2254">
        <v>640</v>
      </c>
      <c r="AP2254">
        <v>2016</v>
      </c>
      <c r="AQ2254">
        <v>0.69</v>
      </c>
      <c r="AS2254" t="s">
        <v>26235</v>
      </c>
      <c r="AT2254" t="s">
        <v>15040</v>
      </c>
      <c r="AU2254" t="s">
        <v>177</v>
      </c>
      <c r="AV2254" t="s">
        <v>371</v>
      </c>
      <c r="AW2254" t="s">
        <v>202</v>
      </c>
      <c r="AX2254">
        <v>1</v>
      </c>
      <c r="AY2254" t="s">
        <v>188</v>
      </c>
      <c r="AZ2254" t="s">
        <v>206</v>
      </c>
      <c r="BA2254" t="s">
        <v>355</v>
      </c>
      <c r="BB2254" t="s">
        <v>191</v>
      </c>
      <c r="BC2254" t="s">
        <v>182</v>
      </c>
      <c r="BD2254" t="s">
        <v>182</v>
      </c>
      <c r="BE2254" t="s">
        <v>12936</v>
      </c>
      <c r="BF2254">
        <v>1</v>
      </c>
      <c r="BG2254">
        <v>1</v>
      </c>
      <c r="BH2254">
        <v>1985</v>
      </c>
      <c r="BI2254" t="s">
        <v>652</v>
      </c>
      <c r="BJ2254" t="s">
        <v>285</v>
      </c>
      <c r="BK2254" t="s">
        <v>195</v>
      </c>
      <c r="BL2254" t="s">
        <v>26236</v>
      </c>
      <c r="BM2254" t="s">
        <v>451</v>
      </c>
      <c r="BN2254" t="s">
        <v>182</v>
      </c>
      <c r="BO2254" t="s">
        <v>198</v>
      </c>
      <c r="BP2254" t="s">
        <v>198</v>
      </c>
      <c r="BQ2254" t="s">
        <v>198</v>
      </c>
      <c r="BR2254" t="s">
        <v>198</v>
      </c>
      <c r="BS2254" t="s">
        <v>198</v>
      </c>
      <c r="BT2254" t="s">
        <v>198</v>
      </c>
      <c r="BU2254" t="s">
        <v>182</v>
      </c>
      <c r="BV2254" t="s">
        <v>198</v>
      </c>
      <c r="BW2254" t="s">
        <v>198</v>
      </c>
      <c r="BX2254" t="s">
        <v>199</v>
      </c>
      <c r="BY2254" t="s">
        <v>198</v>
      </c>
      <c r="BZ2254" t="s">
        <v>199</v>
      </c>
      <c r="CA2254" t="s">
        <v>199</v>
      </c>
      <c r="CB2254" t="s">
        <v>26237</v>
      </c>
      <c r="CC2254" t="s">
        <v>201</v>
      </c>
      <c r="CD2254" t="s">
        <v>202</v>
      </c>
      <c r="CE2254" t="s">
        <v>26238</v>
      </c>
      <c r="CF2254" t="s">
        <v>5331</v>
      </c>
      <c r="CG2254" t="s">
        <v>177</v>
      </c>
      <c r="CH2254" t="s">
        <v>371</v>
      </c>
      <c r="CI2254" t="s">
        <v>26239</v>
      </c>
      <c r="CS2254" t="s">
        <v>198</v>
      </c>
      <c r="DC2254" t="s">
        <v>198</v>
      </c>
      <c r="DM2254" t="s">
        <v>198</v>
      </c>
      <c r="DW2254" t="s">
        <v>198</v>
      </c>
      <c r="EG2254" t="s">
        <v>198</v>
      </c>
      <c r="EQ2254" t="s">
        <v>198</v>
      </c>
      <c r="FA2254" t="s">
        <v>198</v>
      </c>
      <c r="FK2254" t="s">
        <v>198</v>
      </c>
      <c r="FU2254" t="s">
        <v>198</v>
      </c>
    </row>
    <row r="2255" spans="1:177">
      <c r="A2255" s="1" t="str">
        <f>HYPERLINK("http://digipan.lumentumllc.com/apps/getLink/index.php?t=PropLink&amp;p=5244730","PL")</f>
        <v>PL</v>
      </c>
      <c r="B2255" s="1" t="str">
        <f>HYPERLINK("http://digipan.lumentumllc.com/apps/getLink/index.php?t=TaxLink&amp;p=5244730","TL")</f>
        <v>TL</v>
      </c>
      <c r="C2255" s="1" t="str">
        <f>HYPERLINK("http://digipan.lumentumllc.com/apps/getMap/index.php?p=5244730","Map")</f>
        <v>Map</v>
      </c>
      <c r="E2255" t="s">
        <v>177</v>
      </c>
      <c r="F2255" t="s">
        <v>178</v>
      </c>
      <c r="L2255" t="s">
        <v>26240</v>
      </c>
      <c r="N2255" t="s">
        <v>26240</v>
      </c>
      <c r="O2255" t="s">
        <v>26240</v>
      </c>
      <c r="P2255" t="s">
        <v>26241</v>
      </c>
      <c r="Q2255" t="s">
        <v>26240</v>
      </c>
      <c r="V2255">
        <v>2577</v>
      </c>
      <c r="W2255">
        <v>8</v>
      </c>
      <c r="X2255">
        <v>2017</v>
      </c>
      <c r="Y2255">
        <v>2018</v>
      </c>
      <c r="Z2255">
        <v>622.14</v>
      </c>
      <c r="AB2255" t="s">
        <v>181</v>
      </c>
      <c r="AC2255" t="s">
        <v>182</v>
      </c>
      <c r="AD2255" t="s">
        <v>183</v>
      </c>
      <c r="AE2255">
        <v>1</v>
      </c>
      <c r="AF2255">
        <v>7</v>
      </c>
      <c r="AG2255" t="s">
        <v>418</v>
      </c>
      <c r="AH2255">
        <v>86</v>
      </c>
      <c r="AI2255">
        <v>1460.38</v>
      </c>
      <c r="AJ2255">
        <v>73.02</v>
      </c>
      <c r="AK2255">
        <v>1533.4</v>
      </c>
      <c r="AL2255">
        <v>75813</v>
      </c>
      <c r="AM2255">
        <v>31927</v>
      </c>
      <c r="AN2255">
        <v>43886</v>
      </c>
      <c r="AO2255">
        <v>1325</v>
      </c>
      <c r="AP2255">
        <v>2016</v>
      </c>
      <c r="AQ2255">
        <v>0.82</v>
      </c>
      <c r="AR2255">
        <v>2.02</v>
      </c>
      <c r="AS2255" t="s">
        <v>26242</v>
      </c>
      <c r="AT2255" t="s">
        <v>15040</v>
      </c>
      <c r="AU2255" t="s">
        <v>177</v>
      </c>
      <c r="AV2255" t="s">
        <v>371</v>
      </c>
      <c r="AW2255" t="s">
        <v>202</v>
      </c>
      <c r="AX2255">
        <v>1</v>
      </c>
      <c r="AY2255" t="s">
        <v>188</v>
      </c>
      <c r="AZ2255" t="s">
        <v>206</v>
      </c>
      <c r="BA2255" t="s">
        <v>355</v>
      </c>
      <c r="BB2255" t="s">
        <v>191</v>
      </c>
      <c r="BC2255" t="s">
        <v>182</v>
      </c>
      <c r="BD2255" t="s">
        <v>182</v>
      </c>
      <c r="BE2255" t="s">
        <v>6986</v>
      </c>
      <c r="BF2255">
        <v>1</v>
      </c>
      <c r="BG2255">
        <v>1</v>
      </c>
      <c r="BH2255">
        <v>1973</v>
      </c>
      <c r="BI2255" t="s">
        <v>9025</v>
      </c>
      <c r="BJ2255" t="s">
        <v>285</v>
      </c>
      <c r="BK2255" t="s">
        <v>195</v>
      </c>
      <c r="BL2255" t="s">
        <v>199</v>
      </c>
      <c r="BM2255" t="s">
        <v>559</v>
      </c>
      <c r="BN2255" t="s">
        <v>182</v>
      </c>
      <c r="BO2255" t="s">
        <v>198</v>
      </c>
      <c r="BP2255" t="s">
        <v>198</v>
      </c>
      <c r="BQ2255" t="s">
        <v>198</v>
      </c>
      <c r="BR2255" t="s">
        <v>198</v>
      </c>
      <c r="BS2255" t="s">
        <v>198</v>
      </c>
      <c r="BT2255" t="s">
        <v>198</v>
      </c>
      <c r="BU2255" t="s">
        <v>182</v>
      </c>
      <c r="BV2255" t="s">
        <v>198</v>
      </c>
      <c r="BW2255" t="s">
        <v>198</v>
      </c>
      <c r="BX2255" t="s">
        <v>199</v>
      </c>
      <c r="BY2255" t="s">
        <v>198</v>
      </c>
      <c r="BZ2255" t="s">
        <v>199</v>
      </c>
      <c r="CA2255" t="s">
        <v>199</v>
      </c>
      <c r="CB2255" t="s">
        <v>26243</v>
      </c>
      <c r="CC2255" t="s">
        <v>201</v>
      </c>
      <c r="CD2255" t="s">
        <v>202</v>
      </c>
      <c r="CE2255" t="s">
        <v>26244</v>
      </c>
      <c r="CF2255" t="s">
        <v>5331</v>
      </c>
      <c r="CG2255" t="s">
        <v>177</v>
      </c>
      <c r="CH2255" t="s">
        <v>371</v>
      </c>
      <c r="CI2255" t="s">
        <v>26245</v>
      </c>
      <c r="CJ2255" t="s">
        <v>18677</v>
      </c>
      <c r="CK2255" t="s">
        <v>232</v>
      </c>
      <c r="CL2255" t="s">
        <v>233</v>
      </c>
      <c r="CM2255" t="s">
        <v>26246</v>
      </c>
      <c r="CN2255" t="s">
        <v>235</v>
      </c>
      <c r="CO2255" t="s">
        <v>183</v>
      </c>
      <c r="CP2255" t="s">
        <v>266</v>
      </c>
      <c r="CS2255" t="s">
        <v>198</v>
      </c>
      <c r="CT2255" t="s">
        <v>5404</v>
      </c>
      <c r="CU2255" t="s">
        <v>292</v>
      </c>
      <c r="CV2255" t="s">
        <v>293</v>
      </c>
      <c r="CW2255" t="s">
        <v>26247</v>
      </c>
      <c r="CX2255" t="s">
        <v>235</v>
      </c>
      <c r="CY2255" t="s">
        <v>183</v>
      </c>
      <c r="CZ2255" t="s">
        <v>211</v>
      </c>
      <c r="DA2255" t="s">
        <v>298</v>
      </c>
      <c r="DC2255" t="s">
        <v>430</v>
      </c>
      <c r="DD2255" t="s">
        <v>26248</v>
      </c>
      <c r="DE2255" t="s">
        <v>267</v>
      </c>
      <c r="DF2255" t="s">
        <v>268</v>
      </c>
      <c r="DG2255" t="s">
        <v>26249</v>
      </c>
      <c r="DH2255" t="s">
        <v>235</v>
      </c>
      <c r="DI2255" t="s">
        <v>183</v>
      </c>
      <c r="DJ2255" t="s">
        <v>211</v>
      </c>
      <c r="DK2255" t="s">
        <v>345</v>
      </c>
      <c r="DM2255" t="s">
        <v>785</v>
      </c>
      <c r="DN2255" t="s">
        <v>13497</v>
      </c>
      <c r="DO2255" t="s">
        <v>273</v>
      </c>
      <c r="DP2255" t="s">
        <v>274</v>
      </c>
      <c r="DQ2255" t="s">
        <v>26250</v>
      </c>
      <c r="DR2255" t="s">
        <v>235</v>
      </c>
      <c r="DS2255" t="s">
        <v>183</v>
      </c>
      <c r="DT2255" t="s">
        <v>211</v>
      </c>
      <c r="DU2255" t="s">
        <v>337</v>
      </c>
      <c r="DW2255" t="s">
        <v>4982</v>
      </c>
      <c r="DX2255" t="s">
        <v>17368</v>
      </c>
      <c r="DY2255" t="s">
        <v>302</v>
      </c>
      <c r="DZ2255" t="s">
        <v>303</v>
      </c>
      <c r="EA2255" t="s">
        <v>26251</v>
      </c>
      <c r="EB2255" t="s">
        <v>235</v>
      </c>
      <c r="EC2255" t="s">
        <v>183</v>
      </c>
      <c r="ED2255" t="s">
        <v>211</v>
      </c>
      <c r="EE2255" t="s">
        <v>337</v>
      </c>
      <c r="EG2255" t="s">
        <v>4916</v>
      </c>
      <c r="EH2255" t="s">
        <v>7953</v>
      </c>
      <c r="EI2255" t="s">
        <v>238</v>
      </c>
      <c r="EJ2255" t="s">
        <v>239</v>
      </c>
      <c r="EK2255" t="s">
        <v>26252</v>
      </c>
      <c r="EL2255" t="s">
        <v>247</v>
      </c>
      <c r="EM2255" t="s">
        <v>183</v>
      </c>
      <c r="EN2255" t="s">
        <v>211</v>
      </c>
      <c r="EO2255" t="s">
        <v>345</v>
      </c>
      <c r="EQ2255" t="s">
        <v>1097</v>
      </c>
      <c r="ER2255" t="s">
        <v>26253</v>
      </c>
      <c r="ES2255" t="s">
        <v>346</v>
      </c>
      <c r="ET2255" t="s">
        <v>347</v>
      </c>
      <c r="EU2255" t="s">
        <v>26254</v>
      </c>
      <c r="EV2255" t="s">
        <v>305</v>
      </c>
      <c r="EW2255" t="s">
        <v>183</v>
      </c>
      <c r="EX2255" t="s">
        <v>211</v>
      </c>
      <c r="EY2255" t="s">
        <v>298</v>
      </c>
      <c r="FA2255" t="s">
        <v>878</v>
      </c>
      <c r="FB2255" t="s">
        <v>26255</v>
      </c>
      <c r="FC2255" t="s">
        <v>207</v>
      </c>
      <c r="FD2255" t="s">
        <v>208</v>
      </c>
      <c r="FE2255" t="s">
        <v>26256</v>
      </c>
      <c r="FF2255" t="s">
        <v>235</v>
      </c>
      <c r="FG2255" t="s">
        <v>183</v>
      </c>
      <c r="FH2255" t="s">
        <v>211</v>
      </c>
      <c r="FI2255" t="s">
        <v>298</v>
      </c>
      <c r="FK2255" t="s">
        <v>7700</v>
      </c>
      <c r="FU2255" t="s">
        <v>198</v>
      </c>
    </row>
    <row r="2256" spans="1:177">
      <c r="A2256" s="1" t="str">
        <f>HYPERLINK("http://digipan.lumentumllc.com/apps/getLink/index.php?t=PropLink&amp;p=5244731","PL")</f>
        <v>PL</v>
      </c>
      <c r="B2256" s="1" t="str">
        <f>HYPERLINK("http://digipan.lumentumllc.com/apps/getLink/index.php?t=TaxLink&amp;p=5244731","TL")</f>
        <v>TL</v>
      </c>
      <c r="C2256" s="1" t="str">
        <f>HYPERLINK("http://digipan.lumentumllc.com/apps/getMap/index.php?p=5244731","Map")</f>
        <v>Map</v>
      </c>
      <c r="E2256" t="s">
        <v>177</v>
      </c>
      <c r="F2256" t="s">
        <v>178</v>
      </c>
      <c r="L2256" t="s">
        <v>26257</v>
      </c>
      <c r="N2256" t="s">
        <v>26257</v>
      </c>
      <c r="O2256" t="s">
        <v>26257</v>
      </c>
      <c r="P2256" t="s">
        <v>26258</v>
      </c>
      <c r="Q2256" t="s">
        <v>26257</v>
      </c>
      <c r="V2256">
        <v>2578</v>
      </c>
      <c r="W2256">
        <v>8</v>
      </c>
      <c r="X2256">
        <v>2017</v>
      </c>
      <c r="Y2256">
        <v>2018</v>
      </c>
      <c r="Z2256">
        <v>2332.0100000000002</v>
      </c>
      <c r="AB2256" t="s">
        <v>181</v>
      </c>
      <c r="AC2256" t="s">
        <v>182</v>
      </c>
      <c r="AD2256" t="s">
        <v>183</v>
      </c>
      <c r="AE2256">
        <v>1</v>
      </c>
      <c r="AF2256">
        <v>3</v>
      </c>
      <c r="AG2256" t="s">
        <v>257</v>
      </c>
      <c r="AH2256">
        <v>75</v>
      </c>
      <c r="AI2256">
        <v>2156.1</v>
      </c>
      <c r="AJ2256">
        <v>107.81</v>
      </c>
      <c r="AK2256">
        <v>2263.91</v>
      </c>
      <c r="AL2256">
        <v>111046</v>
      </c>
      <c r="AM2256">
        <v>31927</v>
      </c>
      <c r="AN2256">
        <v>79119</v>
      </c>
      <c r="AO2256">
        <v>1969</v>
      </c>
      <c r="AP2256">
        <v>2016</v>
      </c>
      <c r="AQ2256">
        <v>2.1</v>
      </c>
      <c r="AR2256">
        <v>2.04</v>
      </c>
      <c r="AS2256" t="s">
        <v>26259</v>
      </c>
      <c r="AT2256" t="s">
        <v>15040</v>
      </c>
      <c r="AU2256" t="s">
        <v>177</v>
      </c>
      <c r="AV2256" t="s">
        <v>371</v>
      </c>
      <c r="AW2256" t="s">
        <v>182</v>
      </c>
      <c r="AX2256">
        <v>1</v>
      </c>
      <c r="AY2256" t="s">
        <v>188</v>
      </c>
      <c r="AZ2256" t="s">
        <v>206</v>
      </c>
      <c r="BA2256" t="s">
        <v>355</v>
      </c>
      <c r="BB2256" t="s">
        <v>191</v>
      </c>
      <c r="BC2256" t="s">
        <v>182</v>
      </c>
      <c r="BD2256" t="s">
        <v>182</v>
      </c>
      <c r="BE2256" t="s">
        <v>6986</v>
      </c>
      <c r="BF2256">
        <v>1</v>
      </c>
      <c r="BG2256">
        <v>1</v>
      </c>
      <c r="BH2256">
        <v>1976</v>
      </c>
      <c r="BI2256" t="s">
        <v>9977</v>
      </c>
      <c r="BJ2256" t="s">
        <v>285</v>
      </c>
      <c r="BK2256" t="s">
        <v>840</v>
      </c>
      <c r="BL2256" t="s">
        <v>199</v>
      </c>
      <c r="BM2256" t="s">
        <v>238</v>
      </c>
      <c r="BN2256" t="s">
        <v>182</v>
      </c>
      <c r="BO2256" t="s">
        <v>198</v>
      </c>
      <c r="BP2256" t="s">
        <v>198</v>
      </c>
      <c r="BQ2256" t="s">
        <v>198</v>
      </c>
      <c r="BR2256" t="s">
        <v>198</v>
      </c>
      <c r="BS2256" t="s">
        <v>198</v>
      </c>
      <c r="BT2256" t="s">
        <v>198</v>
      </c>
      <c r="BU2256" t="s">
        <v>182</v>
      </c>
      <c r="BV2256" t="s">
        <v>198</v>
      </c>
      <c r="BW2256" t="s">
        <v>198</v>
      </c>
      <c r="BX2256" t="s">
        <v>199</v>
      </c>
      <c r="BY2256" t="s">
        <v>198</v>
      </c>
      <c r="BZ2256" t="s">
        <v>199</v>
      </c>
      <c r="CA2256" t="s">
        <v>199</v>
      </c>
      <c r="CB2256" t="s">
        <v>26260</v>
      </c>
      <c r="CC2256" t="s">
        <v>201</v>
      </c>
      <c r="CD2256" t="s">
        <v>182</v>
      </c>
      <c r="CE2256" t="s">
        <v>26261</v>
      </c>
      <c r="CF2256" t="s">
        <v>26262</v>
      </c>
      <c r="CG2256" t="s">
        <v>177</v>
      </c>
      <c r="CH2256" t="s">
        <v>371</v>
      </c>
      <c r="CI2256" t="s">
        <v>26263</v>
      </c>
      <c r="CJ2256" t="s">
        <v>2839</v>
      </c>
      <c r="CK2256" t="s">
        <v>232</v>
      </c>
      <c r="CL2256" t="s">
        <v>233</v>
      </c>
      <c r="CM2256" t="s">
        <v>26264</v>
      </c>
      <c r="CN2256" t="s">
        <v>235</v>
      </c>
      <c r="CO2256" t="s">
        <v>183</v>
      </c>
      <c r="CP2256" t="s">
        <v>266</v>
      </c>
      <c r="CS2256" t="s">
        <v>198</v>
      </c>
      <c r="CT2256" t="s">
        <v>17087</v>
      </c>
      <c r="CU2256" t="s">
        <v>292</v>
      </c>
      <c r="CV2256" t="s">
        <v>293</v>
      </c>
      <c r="CW2256" t="s">
        <v>26265</v>
      </c>
      <c r="CX2256" t="s">
        <v>235</v>
      </c>
      <c r="CY2256" t="s">
        <v>183</v>
      </c>
      <c r="CZ2256" t="s">
        <v>211</v>
      </c>
      <c r="DA2256" t="s">
        <v>345</v>
      </c>
      <c r="DC2256" t="s">
        <v>1088</v>
      </c>
      <c r="DD2256" t="s">
        <v>26266</v>
      </c>
      <c r="DE2256" t="s">
        <v>267</v>
      </c>
      <c r="DF2256" t="s">
        <v>268</v>
      </c>
      <c r="DG2256" t="s">
        <v>26267</v>
      </c>
      <c r="DH2256" t="s">
        <v>235</v>
      </c>
      <c r="DI2256" t="s">
        <v>183</v>
      </c>
      <c r="DJ2256" t="s">
        <v>211</v>
      </c>
      <c r="DK2256" t="s">
        <v>460</v>
      </c>
      <c r="DM2256" t="s">
        <v>21483</v>
      </c>
      <c r="DN2256" t="s">
        <v>19079</v>
      </c>
      <c r="DO2256" t="s">
        <v>273</v>
      </c>
      <c r="DP2256" t="s">
        <v>274</v>
      </c>
      <c r="DQ2256" t="s">
        <v>26268</v>
      </c>
      <c r="DR2256" t="s">
        <v>235</v>
      </c>
      <c r="DS2256" t="s">
        <v>183</v>
      </c>
      <c r="DT2256" t="s">
        <v>211</v>
      </c>
      <c r="DU2256" t="s">
        <v>298</v>
      </c>
      <c r="DW2256" t="s">
        <v>1069</v>
      </c>
      <c r="EG2256" t="s">
        <v>198</v>
      </c>
      <c r="EQ2256" t="s">
        <v>198</v>
      </c>
      <c r="FA2256" t="s">
        <v>198</v>
      </c>
      <c r="FK2256" t="s">
        <v>198</v>
      </c>
      <c r="FU2256" t="s">
        <v>198</v>
      </c>
    </row>
    <row r="2257" spans="1:177">
      <c r="A2257" s="1" t="str">
        <f>HYPERLINK("http://digipan.lumentumllc.com/apps/getLink/index.php?t=PropLink&amp;p=5244737","PL")</f>
        <v>PL</v>
      </c>
      <c r="B2257" s="1" t="str">
        <f>HYPERLINK("http://digipan.lumentumllc.com/apps/getLink/index.php?t=TaxLink&amp;p=5244737","TL")</f>
        <v>TL</v>
      </c>
      <c r="C2257" s="1" t="str">
        <f>HYPERLINK("http://digipan.lumentumllc.com/apps/getMap/index.php?p=5244737","Map")</f>
        <v>Map</v>
      </c>
      <c r="E2257" t="s">
        <v>177</v>
      </c>
      <c r="F2257" t="s">
        <v>178</v>
      </c>
      <c r="L2257" t="s">
        <v>26269</v>
      </c>
      <c r="N2257" t="s">
        <v>26269</v>
      </c>
      <c r="O2257" t="s">
        <v>26269</v>
      </c>
      <c r="P2257" t="s">
        <v>26270</v>
      </c>
      <c r="Q2257" t="s">
        <v>26269</v>
      </c>
      <c r="V2257">
        <v>2579</v>
      </c>
      <c r="W2257">
        <v>8</v>
      </c>
      <c r="X2257">
        <v>2017</v>
      </c>
      <c r="Y2257">
        <v>2018</v>
      </c>
      <c r="Z2257">
        <v>581.41999999999996</v>
      </c>
      <c r="AB2257" t="s">
        <v>181</v>
      </c>
      <c r="AC2257" t="s">
        <v>182</v>
      </c>
      <c r="AD2257" t="s">
        <v>183</v>
      </c>
      <c r="AE2257">
        <v>0</v>
      </c>
      <c r="AF2257">
        <v>4</v>
      </c>
      <c r="AG2257" t="s">
        <v>381</v>
      </c>
      <c r="AH2257">
        <v>100</v>
      </c>
      <c r="AK2257">
        <v>0</v>
      </c>
      <c r="AL2257">
        <v>28215</v>
      </c>
      <c r="AM2257">
        <v>28215</v>
      </c>
      <c r="AN2257">
        <v>0</v>
      </c>
      <c r="AO2257">
        <v>469</v>
      </c>
      <c r="AP2257">
        <v>2016</v>
      </c>
      <c r="AQ2257">
        <v>2.06</v>
      </c>
      <c r="AS2257" t="s">
        <v>26271</v>
      </c>
      <c r="AT2257" t="s">
        <v>15040</v>
      </c>
      <c r="AU2257" t="s">
        <v>177</v>
      </c>
      <c r="AV2257" t="s">
        <v>371</v>
      </c>
      <c r="AW2257" t="s">
        <v>182</v>
      </c>
      <c r="AX2257">
        <v>0</v>
      </c>
      <c r="AY2257" t="s">
        <v>312</v>
      </c>
      <c r="AZ2257" t="s">
        <v>199</v>
      </c>
      <c r="BA2257" t="s">
        <v>313</v>
      </c>
      <c r="BB2257" t="s">
        <v>191</v>
      </c>
      <c r="BC2257" t="s">
        <v>182</v>
      </c>
      <c r="BD2257" t="s">
        <v>182</v>
      </c>
      <c r="BE2257" t="s">
        <v>13126</v>
      </c>
      <c r="BF2257">
        <v>0</v>
      </c>
      <c r="BG2257">
        <v>0</v>
      </c>
      <c r="BH2257">
        <v>0</v>
      </c>
      <c r="BI2257" t="s">
        <v>199</v>
      </c>
      <c r="BJ2257" t="s">
        <v>315</v>
      </c>
      <c r="BL2257" t="s">
        <v>196</v>
      </c>
      <c r="BM2257" t="s">
        <v>197</v>
      </c>
      <c r="BN2257" t="s">
        <v>182</v>
      </c>
      <c r="BO2257" t="s">
        <v>198</v>
      </c>
      <c r="BP2257" t="s">
        <v>198</v>
      </c>
      <c r="BQ2257" t="s">
        <v>198</v>
      </c>
      <c r="BR2257" t="s">
        <v>198</v>
      </c>
      <c r="BS2257" t="s">
        <v>198</v>
      </c>
      <c r="BT2257" t="s">
        <v>198</v>
      </c>
      <c r="BU2257" t="s">
        <v>182</v>
      </c>
      <c r="BV2257" t="s">
        <v>198</v>
      </c>
      <c r="BW2257" t="s">
        <v>198</v>
      </c>
      <c r="BX2257" t="s">
        <v>199</v>
      </c>
      <c r="BY2257" t="s">
        <v>198</v>
      </c>
      <c r="BZ2257" t="s">
        <v>199</v>
      </c>
      <c r="CA2257" t="s">
        <v>199</v>
      </c>
      <c r="CB2257" t="s">
        <v>24396</v>
      </c>
      <c r="CC2257" t="s">
        <v>1407</v>
      </c>
      <c r="CD2257" t="s">
        <v>202</v>
      </c>
      <c r="CE2257" t="s">
        <v>25677</v>
      </c>
      <c r="CF2257" t="s">
        <v>413</v>
      </c>
      <c r="CG2257" t="s">
        <v>177</v>
      </c>
      <c r="CH2257" t="s">
        <v>2991</v>
      </c>
      <c r="CI2257" t="s">
        <v>26272</v>
      </c>
      <c r="CJ2257" t="s">
        <v>26273</v>
      </c>
      <c r="CK2257" t="s">
        <v>273</v>
      </c>
      <c r="CL2257" t="s">
        <v>274</v>
      </c>
      <c r="CM2257" t="s">
        <v>26274</v>
      </c>
      <c r="CN2257" t="s">
        <v>3342</v>
      </c>
      <c r="CO2257" t="s">
        <v>183</v>
      </c>
      <c r="CP2257" t="s">
        <v>211</v>
      </c>
      <c r="CQ2257" t="s">
        <v>206</v>
      </c>
      <c r="CS2257" t="s">
        <v>13513</v>
      </c>
      <c r="CT2257" t="s">
        <v>7179</v>
      </c>
      <c r="CU2257" t="s">
        <v>238</v>
      </c>
      <c r="CV2257" t="s">
        <v>239</v>
      </c>
      <c r="CW2257" t="s">
        <v>4294</v>
      </c>
      <c r="CX2257" t="s">
        <v>1491</v>
      </c>
      <c r="CY2257" t="s">
        <v>183</v>
      </c>
      <c r="CZ2257" t="s">
        <v>211</v>
      </c>
      <c r="DA2257" t="s">
        <v>306</v>
      </c>
      <c r="DC2257" t="s">
        <v>13681</v>
      </c>
      <c r="DD2257" t="s">
        <v>26275</v>
      </c>
      <c r="DE2257" t="s">
        <v>346</v>
      </c>
      <c r="DF2257" t="s">
        <v>347</v>
      </c>
      <c r="DG2257" t="s">
        <v>26276</v>
      </c>
      <c r="DH2257" t="s">
        <v>391</v>
      </c>
      <c r="DI2257" t="s">
        <v>183</v>
      </c>
      <c r="DJ2257" t="s">
        <v>211</v>
      </c>
      <c r="DK2257" t="s">
        <v>460</v>
      </c>
      <c r="DM2257" t="s">
        <v>13379</v>
      </c>
      <c r="DN2257" t="s">
        <v>26277</v>
      </c>
      <c r="DO2257" t="s">
        <v>207</v>
      </c>
      <c r="DP2257" t="s">
        <v>208</v>
      </c>
      <c r="DQ2257" t="s">
        <v>26278</v>
      </c>
      <c r="DR2257" t="s">
        <v>341</v>
      </c>
      <c r="DS2257" t="s">
        <v>183</v>
      </c>
      <c r="DT2257" t="s">
        <v>211</v>
      </c>
      <c r="DU2257" t="s">
        <v>298</v>
      </c>
      <c r="DW2257" t="s">
        <v>5101</v>
      </c>
      <c r="EG2257" t="s">
        <v>198</v>
      </c>
      <c r="EQ2257" t="s">
        <v>198</v>
      </c>
      <c r="FA2257" t="s">
        <v>198</v>
      </c>
      <c r="FK2257" t="s">
        <v>198</v>
      </c>
      <c r="FU2257" t="s">
        <v>198</v>
      </c>
    </row>
    <row r="2258" spans="1:177">
      <c r="A2258" s="1" t="str">
        <f>HYPERLINK("http://digipan.lumentumllc.com/apps/getLink/index.php?t=PropLink&amp;p=6128757","PL")</f>
        <v>PL</v>
      </c>
      <c r="B2258" s="1" t="str">
        <f>HYPERLINK("http://digipan.lumentumllc.com/apps/getLink/index.php?t=TaxLink&amp;p=6128757","TL")</f>
        <v>TL</v>
      </c>
      <c r="C2258" s="1" t="str">
        <f>HYPERLINK("http://digipan.lumentumllc.com/apps/getMap/index.php?p=6128757","Map")</f>
        <v>Map</v>
      </c>
      <c r="E2258" t="s">
        <v>177</v>
      </c>
      <c r="F2258" t="s">
        <v>178</v>
      </c>
      <c r="L2258" t="s">
        <v>26279</v>
      </c>
      <c r="N2258" t="s">
        <v>26279</v>
      </c>
      <c r="O2258" t="s">
        <v>26279</v>
      </c>
      <c r="P2258" t="s">
        <v>26280</v>
      </c>
      <c r="Q2258" t="s">
        <v>26279</v>
      </c>
      <c r="V2258">
        <v>2580</v>
      </c>
      <c r="W2258">
        <v>8</v>
      </c>
      <c r="X2258">
        <v>2017</v>
      </c>
      <c r="Y2258">
        <v>2018</v>
      </c>
      <c r="Z2258">
        <v>1765.05</v>
      </c>
      <c r="AB2258" t="s">
        <v>181</v>
      </c>
      <c r="AC2258" t="s">
        <v>182</v>
      </c>
      <c r="AD2258" t="s">
        <v>183</v>
      </c>
      <c r="AE2258">
        <v>0</v>
      </c>
      <c r="AF2258">
        <v>2</v>
      </c>
      <c r="AG2258" t="s">
        <v>216</v>
      </c>
      <c r="AH2258">
        <v>100</v>
      </c>
      <c r="AK2258">
        <v>0</v>
      </c>
      <c r="AL2258">
        <v>81935</v>
      </c>
      <c r="AM2258">
        <v>24750</v>
      </c>
      <c r="AN2258">
        <v>57185</v>
      </c>
      <c r="AO2258">
        <v>1482</v>
      </c>
      <c r="AP2258">
        <v>2016</v>
      </c>
      <c r="AQ2258">
        <v>2.15</v>
      </c>
      <c r="AS2258" t="s">
        <v>26281</v>
      </c>
      <c r="AT2258" t="s">
        <v>15040</v>
      </c>
      <c r="AU2258" t="s">
        <v>177</v>
      </c>
      <c r="AV2258" t="s">
        <v>371</v>
      </c>
      <c r="AW2258" t="s">
        <v>182</v>
      </c>
      <c r="AX2258">
        <v>1</v>
      </c>
      <c r="AY2258" t="s">
        <v>188</v>
      </c>
      <c r="AZ2258" t="s">
        <v>206</v>
      </c>
      <c r="BA2258" t="s">
        <v>355</v>
      </c>
      <c r="BB2258" t="s">
        <v>191</v>
      </c>
      <c r="BC2258" t="s">
        <v>182</v>
      </c>
      <c r="BD2258" t="s">
        <v>182</v>
      </c>
      <c r="BE2258" t="s">
        <v>3930</v>
      </c>
      <c r="BF2258">
        <v>1</v>
      </c>
      <c r="BG2258">
        <v>1</v>
      </c>
      <c r="BH2258">
        <v>1981</v>
      </c>
      <c r="BI2258" t="s">
        <v>1685</v>
      </c>
      <c r="BJ2258" t="s">
        <v>285</v>
      </c>
      <c r="BK2258" t="s">
        <v>840</v>
      </c>
      <c r="BL2258" t="s">
        <v>7514</v>
      </c>
      <c r="BM2258" t="s">
        <v>1003</v>
      </c>
      <c r="BN2258" t="s">
        <v>182</v>
      </c>
      <c r="BO2258" t="s">
        <v>198</v>
      </c>
      <c r="BP2258" t="s">
        <v>198</v>
      </c>
      <c r="BQ2258" t="s">
        <v>198</v>
      </c>
      <c r="BR2258" t="s">
        <v>198</v>
      </c>
      <c r="BS2258" t="s">
        <v>198</v>
      </c>
      <c r="BT2258" t="s">
        <v>198</v>
      </c>
      <c r="BU2258" t="s">
        <v>182</v>
      </c>
      <c r="BV2258" t="s">
        <v>198</v>
      </c>
      <c r="BW2258" t="s">
        <v>198</v>
      </c>
      <c r="BX2258" t="s">
        <v>199</v>
      </c>
      <c r="BY2258" t="s">
        <v>198</v>
      </c>
      <c r="BZ2258" t="s">
        <v>199</v>
      </c>
      <c r="CA2258" t="s">
        <v>199</v>
      </c>
      <c r="CB2258" t="s">
        <v>26282</v>
      </c>
      <c r="CC2258" t="s">
        <v>201</v>
      </c>
      <c r="CD2258" t="s">
        <v>182</v>
      </c>
      <c r="CE2258" t="s">
        <v>26283</v>
      </c>
      <c r="CF2258" t="s">
        <v>5331</v>
      </c>
      <c r="CG2258" t="s">
        <v>177</v>
      </c>
      <c r="CH2258" t="s">
        <v>371</v>
      </c>
      <c r="CI2258" t="s">
        <v>26284</v>
      </c>
      <c r="CJ2258" t="s">
        <v>25439</v>
      </c>
      <c r="CK2258" t="s">
        <v>232</v>
      </c>
      <c r="CL2258" t="s">
        <v>233</v>
      </c>
      <c r="CM2258" t="s">
        <v>26285</v>
      </c>
      <c r="CN2258" t="s">
        <v>235</v>
      </c>
      <c r="CO2258" t="s">
        <v>183</v>
      </c>
      <c r="CP2258" t="s">
        <v>211</v>
      </c>
      <c r="CQ2258" t="s">
        <v>270</v>
      </c>
      <c r="CS2258" t="s">
        <v>21868</v>
      </c>
      <c r="CT2258" t="s">
        <v>26286</v>
      </c>
      <c r="CU2258" t="s">
        <v>302</v>
      </c>
      <c r="CV2258" t="s">
        <v>303</v>
      </c>
      <c r="CW2258" t="s">
        <v>26287</v>
      </c>
      <c r="CX2258" t="s">
        <v>235</v>
      </c>
      <c r="CY2258" t="s">
        <v>183</v>
      </c>
      <c r="CZ2258" t="s">
        <v>211</v>
      </c>
      <c r="DA2258" t="s">
        <v>199</v>
      </c>
      <c r="DC2258" t="s">
        <v>5257</v>
      </c>
      <c r="DM2258" t="s">
        <v>198</v>
      </c>
      <c r="DW2258" t="s">
        <v>198</v>
      </c>
      <c r="EG2258" t="s">
        <v>198</v>
      </c>
      <c r="EQ2258" t="s">
        <v>198</v>
      </c>
      <c r="FA2258" t="s">
        <v>198</v>
      </c>
      <c r="FK2258" t="s">
        <v>198</v>
      </c>
      <c r="FU2258" t="s">
        <v>198</v>
      </c>
    </row>
    <row r="2259" spans="1:177">
      <c r="A2259" s="1" t="str">
        <f>HYPERLINK("http://digipan.lumentumllc.com/apps/getLink/index.php?t=PropLink&amp;p=5244745","PL")</f>
        <v>PL</v>
      </c>
      <c r="B2259" s="1" t="str">
        <f>HYPERLINK("http://digipan.lumentumllc.com/apps/getLink/index.php?t=TaxLink&amp;p=5244745","TL")</f>
        <v>TL</v>
      </c>
      <c r="C2259" s="1" t="str">
        <f>HYPERLINK("http://digipan.lumentumllc.com/apps/getMap/index.php?p=5244745","Map")</f>
        <v>Map</v>
      </c>
      <c r="E2259" t="s">
        <v>177</v>
      </c>
      <c r="F2259" t="s">
        <v>178</v>
      </c>
      <c r="L2259" t="s">
        <v>26288</v>
      </c>
      <c r="N2259" t="s">
        <v>26288</v>
      </c>
      <c r="O2259" t="s">
        <v>26288</v>
      </c>
      <c r="P2259" t="s">
        <v>26289</v>
      </c>
      <c r="Q2259" t="s">
        <v>26288</v>
      </c>
      <c r="V2259">
        <v>2581</v>
      </c>
      <c r="W2259">
        <v>8</v>
      </c>
      <c r="X2259">
        <v>2017</v>
      </c>
      <c r="Y2259">
        <v>2018</v>
      </c>
      <c r="Z2259">
        <v>1327.89</v>
      </c>
      <c r="AG2259" t="s">
        <v>184</v>
      </c>
      <c r="AH2259">
        <v>0</v>
      </c>
      <c r="AK2259">
        <v>0</v>
      </c>
      <c r="AL2259">
        <v>106844</v>
      </c>
      <c r="AM2259">
        <v>31927</v>
      </c>
      <c r="AN2259">
        <v>74917</v>
      </c>
      <c r="AO2259">
        <v>262</v>
      </c>
      <c r="AP2259">
        <v>2016</v>
      </c>
      <c r="AQ2259">
        <v>1.24</v>
      </c>
      <c r="AS2259" t="s">
        <v>26290</v>
      </c>
      <c r="AT2259" t="s">
        <v>15040</v>
      </c>
      <c r="AU2259" t="s">
        <v>177</v>
      </c>
      <c r="AV2259" t="s">
        <v>371</v>
      </c>
      <c r="AW2259" t="s">
        <v>202</v>
      </c>
      <c r="AX2259">
        <v>1</v>
      </c>
      <c r="AY2259" t="s">
        <v>188</v>
      </c>
      <c r="AZ2259" t="s">
        <v>206</v>
      </c>
      <c r="BA2259" t="s">
        <v>355</v>
      </c>
      <c r="BB2259" t="s">
        <v>191</v>
      </c>
      <c r="BC2259" t="s">
        <v>182</v>
      </c>
      <c r="BD2259" t="s">
        <v>182</v>
      </c>
      <c r="BE2259" t="s">
        <v>6986</v>
      </c>
      <c r="BF2259">
        <v>1</v>
      </c>
      <c r="BG2259">
        <v>1</v>
      </c>
      <c r="BH2259">
        <v>1971</v>
      </c>
      <c r="BI2259" t="s">
        <v>14321</v>
      </c>
      <c r="BJ2259" t="s">
        <v>285</v>
      </c>
      <c r="BK2259" t="s">
        <v>840</v>
      </c>
      <c r="BL2259" t="s">
        <v>199</v>
      </c>
      <c r="BM2259" t="s">
        <v>533</v>
      </c>
      <c r="BN2259" t="s">
        <v>182</v>
      </c>
      <c r="BO2259" t="s">
        <v>198</v>
      </c>
      <c r="BP2259" t="s">
        <v>198</v>
      </c>
      <c r="BQ2259" t="s">
        <v>198</v>
      </c>
      <c r="BR2259" t="s">
        <v>198</v>
      </c>
      <c r="BS2259" t="s">
        <v>198</v>
      </c>
      <c r="BT2259" t="s">
        <v>198</v>
      </c>
      <c r="BU2259" t="s">
        <v>182</v>
      </c>
      <c r="BV2259" t="s">
        <v>198</v>
      </c>
      <c r="BW2259" t="s">
        <v>198</v>
      </c>
      <c r="BX2259" t="s">
        <v>199</v>
      </c>
      <c r="BY2259" t="s">
        <v>198</v>
      </c>
      <c r="BZ2259" t="s">
        <v>199</v>
      </c>
      <c r="CA2259" t="s">
        <v>199</v>
      </c>
      <c r="CB2259" t="s">
        <v>26291</v>
      </c>
      <c r="CC2259" t="s">
        <v>201</v>
      </c>
      <c r="CD2259" t="s">
        <v>182</v>
      </c>
      <c r="CE2259" t="s">
        <v>26292</v>
      </c>
      <c r="CF2259" t="s">
        <v>5331</v>
      </c>
      <c r="CG2259" t="s">
        <v>177</v>
      </c>
      <c r="CH2259" t="s">
        <v>371</v>
      </c>
      <c r="CI2259" t="s">
        <v>26293</v>
      </c>
      <c r="CS2259" t="s">
        <v>198</v>
      </c>
      <c r="DC2259" t="s">
        <v>198</v>
      </c>
      <c r="DM2259" t="s">
        <v>198</v>
      </c>
      <c r="DW2259" t="s">
        <v>198</v>
      </c>
      <c r="EG2259" t="s">
        <v>198</v>
      </c>
      <c r="EQ2259" t="s">
        <v>198</v>
      </c>
      <c r="FA2259" t="s">
        <v>198</v>
      </c>
      <c r="FK2259" t="s">
        <v>198</v>
      </c>
      <c r="FU2259" t="s">
        <v>198</v>
      </c>
    </row>
    <row r="2260" spans="1:177">
      <c r="A2260" s="1" t="str">
        <f>HYPERLINK("http://digipan.lumentumllc.com/apps/getLink/index.php?t=PropLink&amp;p=5244747","PL")</f>
        <v>PL</v>
      </c>
      <c r="B2260" s="1" t="str">
        <f>HYPERLINK("http://digipan.lumentumllc.com/apps/getLink/index.php?t=TaxLink&amp;p=5244747","TL")</f>
        <v>TL</v>
      </c>
      <c r="C2260" s="1" t="str">
        <f>HYPERLINK("http://digipan.lumentumllc.com/apps/getMap/index.php?p=5244747","Map")</f>
        <v>Map</v>
      </c>
      <c r="E2260" t="s">
        <v>177</v>
      </c>
      <c r="F2260" t="s">
        <v>178</v>
      </c>
      <c r="L2260" t="s">
        <v>26294</v>
      </c>
      <c r="N2260" t="s">
        <v>26294</v>
      </c>
      <c r="O2260" t="s">
        <v>26294</v>
      </c>
      <c r="P2260" t="s">
        <v>26295</v>
      </c>
      <c r="Q2260" t="s">
        <v>26294</v>
      </c>
      <c r="V2260">
        <v>2582</v>
      </c>
      <c r="W2260">
        <v>8</v>
      </c>
      <c r="X2260">
        <v>2017</v>
      </c>
      <c r="Y2260">
        <v>2018</v>
      </c>
      <c r="Z2260">
        <v>702.16</v>
      </c>
      <c r="AB2260" t="s">
        <v>181</v>
      </c>
      <c r="AC2260" t="s">
        <v>182</v>
      </c>
      <c r="AD2260" t="s">
        <v>183</v>
      </c>
      <c r="AE2260">
        <v>1</v>
      </c>
      <c r="AF2260">
        <v>7</v>
      </c>
      <c r="AG2260" t="s">
        <v>418</v>
      </c>
      <c r="AH2260">
        <v>86</v>
      </c>
      <c r="AI2260">
        <v>699.13</v>
      </c>
      <c r="AJ2260">
        <v>34.96</v>
      </c>
      <c r="AK2260">
        <v>734.09</v>
      </c>
      <c r="AL2260">
        <v>101589</v>
      </c>
      <c r="AM2260">
        <v>29180</v>
      </c>
      <c r="AN2260">
        <v>72409</v>
      </c>
      <c r="AO2260">
        <v>621</v>
      </c>
      <c r="AP2260">
        <v>2016</v>
      </c>
      <c r="AQ2260">
        <v>0.69</v>
      </c>
      <c r="AR2260">
        <v>0.72</v>
      </c>
      <c r="AS2260" t="s">
        <v>26296</v>
      </c>
      <c r="AT2260" t="s">
        <v>15040</v>
      </c>
      <c r="AU2260" t="s">
        <v>177</v>
      </c>
      <c r="AV2260" t="s">
        <v>371</v>
      </c>
      <c r="AW2260" t="s">
        <v>202</v>
      </c>
      <c r="AX2260">
        <v>1</v>
      </c>
      <c r="AY2260" t="s">
        <v>188</v>
      </c>
      <c r="AZ2260" t="s">
        <v>206</v>
      </c>
      <c r="BA2260" t="s">
        <v>355</v>
      </c>
      <c r="BB2260" t="s">
        <v>191</v>
      </c>
      <c r="BC2260" t="s">
        <v>182</v>
      </c>
      <c r="BD2260" t="s">
        <v>182</v>
      </c>
      <c r="BE2260" t="s">
        <v>3861</v>
      </c>
      <c r="BF2260">
        <v>1</v>
      </c>
      <c r="BG2260">
        <v>1</v>
      </c>
      <c r="BH2260">
        <v>1975</v>
      </c>
      <c r="BI2260" t="s">
        <v>12706</v>
      </c>
      <c r="BJ2260" t="s">
        <v>285</v>
      </c>
      <c r="BK2260" t="s">
        <v>195</v>
      </c>
      <c r="BL2260" t="s">
        <v>3879</v>
      </c>
      <c r="BM2260" t="s">
        <v>368</v>
      </c>
      <c r="BN2260" t="s">
        <v>182</v>
      </c>
      <c r="BO2260" t="s">
        <v>3842</v>
      </c>
      <c r="BP2260" t="s">
        <v>26297</v>
      </c>
      <c r="BS2260" t="s">
        <v>26298</v>
      </c>
      <c r="BT2260" t="s">
        <v>198</v>
      </c>
      <c r="BU2260" t="s">
        <v>182</v>
      </c>
      <c r="BV2260" t="s">
        <v>198</v>
      </c>
      <c r="BW2260" t="s">
        <v>198</v>
      </c>
      <c r="BX2260" t="s">
        <v>199</v>
      </c>
      <c r="BY2260" t="s">
        <v>198</v>
      </c>
      <c r="BZ2260" t="s">
        <v>199</v>
      </c>
      <c r="CA2260" t="s">
        <v>199</v>
      </c>
      <c r="CB2260" t="s">
        <v>26299</v>
      </c>
      <c r="CC2260" t="s">
        <v>201</v>
      </c>
      <c r="CD2260" t="s">
        <v>182</v>
      </c>
      <c r="CE2260" t="s">
        <v>26300</v>
      </c>
      <c r="CF2260" t="s">
        <v>5331</v>
      </c>
      <c r="CG2260" t="s">
        <v>177</v>
      </c>
      <c r="CH2260" t="s">
        <v>371</v>
      </c>
      <c r="CI2260" t="s">
        <v>26301</v>
      </c>
      <c r="CJ2260" t="s">
        <v>2902</v>
      </c>
      <c r="CK2260" t="s">
        <v>232</v>
      </c>
      <c r="CL2260" t="s">
        <v>233</v>
      </c>
      <c r="CM2260" t="s">
        <v>26302</v>
      </c>
      <c r="CN2260" t="s">
        <v>235</v>
      </c>
      <c r="CO2260" t="s">
        <v>183</v>
      </c>
      <c r="CP2260" t="s">
        <v>266</v>
      </c>
      <c r="CS2260" t="s">
        <v>198</v>
      </c>
      <c r="CT2260" t="s">
        <v>17135</v>
      </c>
      <c r="CU2260" t="s">
        <v>292</v>
      </c>
      <c r="CV2260" t="s">
        <v>293</v>
      </c>
      <c r="CW2260" t="s">
        <v>26303</v>
      </c>
      <c r="CX2260" t="s">
        <v>235</v>
      </c>
      <c r="CY2260" t="s">
        <v>183</v>
      </c>
      <c r="CZ2260" t="s">
        <v>211</v>
      </c>
      <c r="DA2260" t="s">
        <v>298</v>
      </c>
      <c r="DC2260" t="s">
        <v>1641</v>
      </c>
      <c r="DD2260" t="s">
        <v>16829</v>
      </c>
      <c r="DE2260" t="s">
        <v>267</v>
      </c>
      <c r="DF2260" t="s">
        <v>268</v>
      </c>
      <c r="DG2260" t="s">
        <v>26304</v>
      </c>
      <c r="DH2260" t="s">
        <v>235</v>
      </c>
      <c r="DI2260" t="s">
        <v>183</v>
      </c>
      <c r="DJ2260" t="s">
        <v>211</v>
      </c>
      <c r="DK2260" t="s">
        <v>212</v>
      </c>
      <c r="DM2260" t="s">
        <v>10936</v>
      </c>
      <c r="DN2260" t="s">
        <v>20477</v>
      </c>
      <c r="DO2260" t="s">
        <v>273</v>
      </c>
      <c r="DP2260" t="s">
        <v>274</v>
      </c>
      <c r="DQ2260" t="s">
        <v>26305</v>
      </c>
      <c r="DR2260" t="s">
        <v>235</v>
      </c>
      <c r="DS2260" t="s">
        <v>183</v>
      </c>
      <c r="DT2260" t="s">
        <v>211</v>
      </c>
      <c r="DU2260" t="s">
        <v>270</v>
      </c>
      <c r="DW2260" t="s">
        <v>1447</v>
      </c>
      <c r="DX2260" t="s">
        <v>21016</v>
      </c>
      <c r="DY2260" t="s">
        <v>302</v>
      </c>
      <c r="DZ2260" t="s">
        <v>303</v>
      </c>
      <c r="EA2260" t="s">
        <v>26306</v>
      </c>
      <c r="EB2260" t="s">
        <v>235</v>
      </c>
      <c r="EC2260" t="s">
        <v>183</v>
      </c>
      <c r="ED2260" t="s">
        <v>211</v>
      </c>
      <c r="EE2260" t="s">
        <v>298</v>
      </c>
      <c r="EG2260" t="s">
        <v>2359</v>
      </c>
      <c r="EH2260" t="s">
        <v>8123</v>
      </c>
      <c r="EI2260" t="s">
        <v>238</v>
      </c>
      <c r="EJ2260" t="s">
        <v>239</v>
      </c>
      <c r="EK2260" t="s">
        <v>26307</v>
      </c>
      <c r="EL2260" t="s">
        <v>235</v>
      </c>
      <c r="EM2260" t="s">
        <v>183</v>
      </c>
      <c r="EN2260" t="s">
        <v>211</v>
      </c>
      <c r="EO2260" t="s">
        <v>493</v>
      </c>
      <c r="EQ2260" t="s">
        <v>26308</v>
      </c>
      <c r="ER2260" t="s">
        <v>26309</v>
      </c>
      <c r="ES2260" t="s">
        <v>346</v>
      </c>
      <c r="ET2260" t="s">
        <v>347</v>
      </c>
      <c r="EU2260" t="s">
        <v>26310</v>
      </c>
      <c r="EV2260" t="s">
        <v>235</v>
      </c>
      <c r="EW2260" t="s">
        <v>183</v>
      </c>
      <c r="EX2260" t="s">
        <v>211</v>
      </c>
      <c r="EY2260" t="s">
        <v>199</v>
      </c>
      <c r="FA2260" t="s">
        <v>8855</v>
      </c>
      <c r="FB2260" t="s">
        <v>26311</v>
      </c>
      <c r="FC2260" t="s">
        <v>207</v>
      </c>
      <c r="FD2260" t="s">
        <v>208</v>
      </c>
      <c r="FE2260" t="s">
        <v>26312</v>
      </c>
      <c r="FF2260" t="s">
        <v>235</v>
      </c>
      <c r="FG2260" t="s">
        <v>183</v>
      </c>
      <c r="FH2260" t="s">
        <v>211</v>
      </c>
      <c r="FI2260" t="s">
        <v>206</v>
      </c>
      <c r="FK2260" t="s">
        <v>7014</v>
      </c>
      <c r="FU2260" t="s">
        <v>198</v>
      </c>
    </row>
    <row r="2261" spans="1:177">
      <c r="A2261" s="1" t="str">
        <f>HYPERLINK("http://digipan.lumentumllc.com/apps/getLink/index.php?t=PropLink&amp;p=5244750","PL")</f>
        <v>PL</v>
      </c>
      <c r="B2261" s="1" t="str">
        <f>HYPERLINK("http://digipan.lumentumllc.com/apps/getLink/index.php?t=TaxLink&amp;p=5244750","TL")</f>
        <v>TL</v>
      </c>
      <c r="C2261" s="1" t="str">
        <f>HYPERLINK("http://digipan.lumentumllc.com/apps/getMap/index.php?p=5244750","Map")</f>
        <v>Map</v>
      </c>
      <c r="E2261" t="s">
        <v>177</v>
      </c>
      <c r="F2261" t="s">
        <v>178</v>
      </c>
      <c r="L2261" t="s">
        <v>26313</v>
      </c>
      <c r="N2261" t="s">
        <v>26313</v>
      </c>
      <c r="O2261" t="s">
        <v>26313</v>
      </c>
      <c r="P2261" t="s">
        <v>26314</v>
      </c>
      <c r="Q2261" t="s">
        <v>26313</v>
      </c>
      <c r="V2261">
        <v>2584</v>
      </c>
      <c r="W2261">
        <v>8</v>
      </c>
      <c r="X2261">
        <v>2017</v>
      </c>
      <c r="Y2261">
        <v>2018</v>
      </c>
      <c r="Z2261">
        <v>1720.54</v>
      </c>
      <c r="AB2261" t="s">
        <v>181</v>
      </c>
      <c r="AC2261" t="s">
        <v>202</v>
      </c>
      <c r="AD2261" t="s">
        <v>183</v>
      </c>
      <c r="AE2261">
        <v>1</v>
      </c>
      <c r="AF2261">
        <v>6</v>
      </c>
      <c r="AG2261" t="s">
        <v>322</v>
      </c>
      <c r="AH2261">
        <v>83</v>
      </c>
      <c r="AI2261">
        <v>1591.12</v>
      </c>
      <c r="AJ2261">
        <v>79.56</v>
      </c>
      <c r="AK2261">
        <v>1670.68</v>
      </c>
      <c r="AL2261">
        <v>78335</v>
      </c>
      <c r="AM2261">
        <v>29180</v>
      </c>
      <c r="AN2261">
        <v>49155</v>
      </c>
      <c r="AO2261">
        <v>1446</v>
      </c>
      <c r="AP2261">
        <v>2016</v>
      </c>
      <c r="AQ2261">
        <v>2.2000000000000002</v>
      </c>
      <c r="AR2261">
        <v>2.13</v>
      </c>
      <c r="AS2261" t="s">
        <v>26315</v>
      </c>
      <c r="AT2261" t="s">
        <v>15040</v>
      </c>
      <c r="AU2261" t="s">
        <v>177</v>
      </c>
      <c r="AV2261" t="s">
        <v>371</v>
      </c>
      <c r="AW2261" t="s">
        <v>182</v>
      </c>
      <c r="AX2261">
        <v>1</v>
      </c>
      <c r="AY2261" t="s">
        <v>188</v>
      </c>
      <c r="AZ2261" t="s">
        <v>206</v>
      </c>
      <c r="BA2261" t="s">
        <v>355</v>
      </c>
      <c r="BB2261" t="s">
        <v>191</v>
      </c>
      <c r="BC2261" t="s">
        <v>182</v>
      </c>
      <c r="BD2261" t="s">
        <v>182</v>
      </c>
      <c r="BE2261" t="s">
        <v>3861</v>
      </c>
      <c r="BF2261">
        <v>1</v>
      </c>
      <c r="BG2261">
        <v>1</v>
      </c>
      <c r="BH2261">
        <v>1978</v>
      </c>
      <c r="BI2261" t="s">
        <v>10431</v>
      </c>
      <c r="BJ2261" t="s">
        <v>285</v>
      </c>
      <c r="BK2261" t="s">
        <v>195</v>
      </c>
      <c r="BL2261" t="s">
        <v>199</v>
      </c>
      <c r="BM2261" t="s">
        <v>292</v>
      </c>
      <c r="BN2261" t="s">
        <v>182</v>
      </c>
      <c r="BO2261" t="s">
        <v>198</v>
      </c>
      <c r="BP2261" t="s">
        <v>198</v>
      </c>
      <c r="BQ2261" t="s">
        <v>198</v>
      </c>
      <c r="BR2261" t="s">
        <v>198</v>
      </c>
      <c r="BS2261" t="s">
        <v>198</v>
      </c>
      <c r="BT2261" t="s">
        <v>198</v>
      </c>
      <c r="BU2261" t="s">
        <v>182</v>
      </c>
      <c r="BV2261" t="s">
        <v>198</v>
      </c>
      <c r="BW2261" t="s">
        <v>198</v>
      </c>
      <c r="BX2261" t="s">
        <v>199</v>
      </c>
      <c r="BY2261" t="s">
        <v>198</v>
      </c>
      <c r="BZ2261" t="s">
        <v>199</v>
      </c>
      <c r="CA2261" t="s">
        <v>199</v>
      </c>
      <c r="CB2261" t="s">
        <v>26316</v>
      </c>
      <c r="CC2261" t="s">
        <v>201</v>
      </c>
      <c r="CD2261" t="s">
        <v>182</v>
      </c>
      <c r="CE2261" t="s">
        <v>26317</v>
      </c>
      <c r="CF2261" t="s">
        <v>5331</v>
      </c>
      <c r="CG2261" t="s">
        <v>177</v>
      </c>
      <c r="CH2261" t="s">
        <v>371</v>
      </c>
      <c r="CI2261" t="s">
        <v>26318</v>
      </c>
      <c r="CJ2261" t="s">
        <v>2920</v>
      </c>
      <c r="CK2261" t="s">
        <v>232</v>
      </c>
      <c r="CL2261" t="s">
        <v>233</v>
      </c>
      <c r="CM2261" t="s">
        <v>26319</v>
      </c>
      <c r="CN2261" t="s">
        <v>235</v>
      </c>
      <c r="CO2261" t="s">
        <v>183</v>
      </c>
      <c r="CP2261" t="s">
        <v>266</v>
      </c>
      <c r="CS2261" t="s">
        <v>198</v>
      </c>
      <c r="CT2261" t="s">
        <v>2839</v>
      </c>
      <c r="CU2261" t="s">
        <v>292</v>
      </c>
      <c r="CV2261" t="s">
        <v>293</v>
      </c>
      <c r="CW2261" t="s">
        <v>26320</v>
      </c>
      <c r="CX2261" t="s">
        <v>235</v>
      </c>
      <c r="CY2261" t="s">
        <v>183</v>
      </c>
      <c r="CZ2261" t="s">
        <v>211</v>
      </c>
      <c r="DA2261" t="s">
        <v>345</v>
      </c>
      <c r="DC2261" t="s">
        <v>1264</v>
      </c>
      <c r="DD2261" t="s">
        <v>18071</v>
      </c>
      <c r="DE2261" t="s">
        <v>267</v>
      </c>
      <c r="DF2261" t="s">
        <v>268</v>
      </c>
      <c r="DG2261" t="s">
        <v>26321</v>
      </c>
      <c r="DH2261" t="s">
        <v>235</v>
      </c>
      <c r="DI2261" t="s">
        <v>183</v>
      </c>
      <c r="DJ2261" t="s">
        <v>211</v>
      </c>
      <c r="DK2261" t="s">
        <v>847</v>
      </c>
      <c r="DM2261" t="s">
        <v>3719</v>
      </c>
      <c r="DN2261" t="s">
        <v>24019</v>
      </c>
      <c r="DO2261" t="s">
        <v>273</v>
      </c>
      <c r="DP2261" t="s">
        <v>274</v>
      </c>
      <c r="DQ2261" t="s">
        <v>26322</v>
      </c>
      <c r="DR2261" t="s">
        <v>235</v>
      </c>
      <c r="DS2261" t="s">
        <v>183</v>
      </c>
      <c r="DT2261" t="s">
        <v>211</v>
      </c>
      <c r="DU2261" t="s">
        <v>342</v>
      </c>
      <c r="DW2261" t="s">
        <v>2490</v>
      </c>
      <c r="DX2261" t="s">
        <v>7356</v>
      </c>
      <c r="DY2261" t="s">
        <v>238</v>
      </c>
      <c r="DZ2261" t="s">
        <v>239</v>
      </c>
      <c r="EA2261" t="s">
        <v>26323</v>
      </c>
      <c r="EB2261" t="s">
        <v>7482</v>
      </c>
      <c r="EC2261" t="s">
        <v>183</v>
      </c>
      <c r="ED2261" t="s">
        <v>211</v>
      </c>
      <c r="EE2261" t="s">
        <v>212</v>
      </c>
      <c r="EF2261" t="s">
        <v>271</v>
      </c>
      <c r="EG2261" t="s">
        <v>970</v>
      </c>
      <c r="EH2261" t="s">
        <v>26324</v>
      </c>
      <c r="EI2261" t="s">
        <v>346</v>
      </c>
      <c r="EJ2261" t="s">
        <v>347</v>
      </c>
      <c r="EK2261" t="s">
        <v>26325</v>
      </c>
      <c r="EL2261" t="s">
        <v>305</v>
      </c>
      <c r="EM2261" t="s">
        <v>183</v>
      </c>
      <c r="EN2261" t="s">
        <v>211</v>
      </c>
      <c r="EP2261" t="s">
        <v>271</v>
      </c>
      <c r="EQ2261" t="s">
        <v>198</v>
      </c>
      <c r="ER2261" t="s">
        <v>25815</v>
      </c>
      <c r="ES2261" t="s">
        <v>207</v>
      </c>
      <c r="ET2261" t="s">
        <v>208</v>
      </c>
      <c r="EU2261" t="s">
        <v>26326</v>
      </c>
      <c r="EV2261" t="s">
        <v>235</v>
      </c>
      <c r="EW2261" t="s">
        <v>183</v>
      </c>
      <c r="EX2261" t="s">
        <v>211</v>
      </c>
      <c r="EY2261" t="s">
        <v>1067</v>
      </c>
      <c r="EZ2261" t="s">
        <v>271</v>
      </c>
      <c r="FA2261" t="s">
        <v>970</v>
      </c>
      <c r="FK2261" t="s">
        <v>198</v>
      </c>
      <c r="FU2261" t="s">
        <v>198</v>
      </c>
    </row>
    <row r="2262" spans="1:177">
      <c r="A2262" s="1" t="str">
        <f>HYPERLINK("http://digipan.lumentumllc.com/apps/getLink/index.php?t=PropLink&amp;p=4637138","PL")</f>
        <v>PL</v>
      </c>
      <c r="B2262" s="1" t="str">
        <f>HYPERLINK("http://digipan.lumentumllc.com/apps/getLink/index.php?t=TaxLink&amp;p=4637138","TL")</f>
        <v>TL</v>
      </c>
      <c r="C2262" s="1" t="str">
        <f>HYPERLINK("http://digipan.lumentumllc.com/apps/getMap/index.php?p=4637138","Map")</f>
        <v>Map</v>
      </c>
      <c r="E2262" t="s">
        <v>177</v>
      </c>
      <c r="F2262" t="s">
        <v>178</v>
      </c>
      <c r="L2262" t="s">
        <v>26327</v>
      </c>
      <c r="N2262" t="s">
        <v>26327</v>
      </c>
      <c r="O2262" t="s">
        <v>26327</v>
      </c>
      <c r="P2262" t="s">
        <v>26328</v>
      </c>
      <c r="Q2262" t="s">
        <v>26327</v>
      </c>
      <c r="V2262">
        <v>2585</v>
      </c>
      <c r="W2262">
        <v>8</v>
      </c>
      <c r="X2262">
        <v>2017</v>
      </c>
      <c r="Y2262">
        <v>2018</v>
      </c>
      <c r="Z2262">
        <v>618.23</v>
      </c>
      <c r="AB2262" t="s">
        <v>181</v>
      </c>
      <c r="AC2262" t="s">
        <v>182</v>
      </c>
      <c r="AD2262" t="s">
        <v>183</v>
      </c>
      <c r="AE2262">
        <v>1</v>
      </c>
      <c r="AF2262">
        <v>6</v>
      </c>
      <c r="AG2262" t="s">
        <v>322</v>
      </c>
      <c r="AH2262">
        <v>83</v>
      </c>
      <c r="AI2262">
        <v>614.55999999999995</v>
      </c>
      <c r="AJ2262">
        <v>30.73</v>
      </c>
      <c r="AK2262">
        <v>645.29</v>
      </c>
      <c r="AL2262">
        <v>93684</v>
      </c>
      <c r="AM2262">
        <v>31927</v>
      </c>
      <c r="AN2262">
        <v>61757</v>
      </c>
      <c r="AO2262">
        <v>543</v>
      </c>
      <c r="AP2262">
        <v>2016</v>
      </c>
      <c r="AQ2262">
        <v>0.66</v>
      </c>
      <c r="AR2262">
        <v>0.69</v>
      </c>
      <c r="AS2262" t="s">
        <v>26329</v>
      </c>
      <c r="AT2262" t="s">
        <v>15040</v>
      </c>
      <c r="AU2262" t="s">
        <v>177</v>
      </c>
      <c r="AV2262" t="s">
        <v>371</v>
      </c>
      <c r="AW2262" t="s">
        <v>202</v>
      </c>
      <c r="AX2262">
        <v>1</v>
      </c>
      <c r="AY2262" t="s">
        <v>188</v>
      </c>
      <c r="AZ2262" t="s">
        <v>206</v>
      </c>
      <c r="BA2262" t="s">
        <v>355</v>
      </c>
      <c r="BB2262" t="s">
        <v>191</v>
      </c>
      <c r="BC2262" t="s">
        <v>182</v>
      </c>
      <c r="BD2262" t="s">
        <v>182</v>
      </c>
      <c r="BE2262" t="s">
        <v>6986</v>
      </c>
      <c r="BF2262">
        <v>1</v>
      </c>
      <c r="BG2262">
        <v>1</v>
      </c>
      <c r="BH2262">
        <v>1972</v>
      </c>
      <c r="BI2262" t="s">
        <v>13605</v>
      </c>
      <c r="BJ2262" t="s">
        <v>285</v>
      </c>
      <c r="BK2262" t="s">
        <v>840</v>
      </c>
      <c r="BL2262" t="s">
        <v>199</v>
      </c>
      <c r="BM2262" t="s">
        <v>267</v>
      </c>
      <c r="BN2262" t="s">
        <v>182</v>
      </c>
      <c r="BO2262" t="s">
        <v>198</v>
      </c>
      <c r="BP2262" t="s">
        <v>198</v>
      </c>
      <c r="BQ2262" t="s">
        <v>198</v>
      </c>
      <c r="BR2262" t="s">
        <v>198</v>
      </c>
      <c r="BS2262" t="s">
        <v>198</v>
      </c>
      <c r="BT2262" t="s">
        <v>198</v>
      </c>
      <c r="BU2262" t="s">
        <v>182</v>
      </c>
      <c r="BV2262" t="s">
        <v>198</v>
      </c>
      <c r="BW2262" t="s">
        <v>198</v>
      </c>
      <c r="BX2262" t="s">
        <v>199</v>
      </c>
      <c r="BY2262" t="s">
        <v>198</v>
      </c>
      <c r="BZ2262" t="s">
        <v>199</v>
      </c>
      <c r="CA2262" t="s">
        <v>199</v>
      </c>
      <c r="CB2262" t="s">
        <v>26330</v>
      </c>
      <c r="CC2262" t="s">
        <v>201</v>
      </c>
      <c r="CD2262" t="s">
        <v>202</v>
      </c>
      <c r="CE2262" t="s">
        <v>18775</v>
      </c>
      <c r="CF2262" t="s">
        <v>5331</v>
      </c>
      <c r="CG2262" t="s">
        <v>177</v>
      </c>
      <c r="CH2262" t="s">
        <v>371</v>
      </c>
      <c r="CI2262" t="s">
        <v>26331</v>
      </c>
      <c r="CJ2262" t="s">
        <v>26332</v>
      </c>
      <c r="CK2262" t="s">
        <v>232</v>
      </c>
      <c r="CL2262" t="s">
        <v>233</v>
      </c>
      <c r="CM2262" t="s">
        <v>26333</v>
      </c>
      <c r="CN2262" t="s">
        <v>235</v>
      </c>
      <c r="CO2262" t="s">
        <v>183</v>
      </c>
      <c r="CP2262" t="s">
        <v>266</v>
      </c>
      <c r="CS2262" t="s">
        <v>198</v>
      </c>
      <c r="CT2262" t="s">
        <v>25410</v>
      </c>
      <c r="CU2262" t="s">
        <v>292</v>
      </c>
      <c r="CV2262" t="s">
        <v>293</v>
      </c>
      <c r="CW2262" t="s">
        <v>26334</v>
      </c>
      <c r="CX2262" t="s">
        <v>235</v>
      </c>
      <c r="CY2262" t="s">
        <v>183</v>
      </c>
      <c r="CZ2262" t="s">
        <v>211</v>
      </c>
      <c r="DA2262" t="s">
        <v>298</v>
      </c>
      <c r="DC2262" t="s">
        <v>4023</v>
      </c>
      <c r="DD2262" t="s">
        <v>22845</v>
      </c>
      <c r="DE2262" t="s">
        <v>267</v>
      </c>
      <c r="DF2262" t="s">
        <v>268</v>
      </c>
      <c r="DG2262" t="s">
        <v>26335</v>
      </c>
      <c r="DH2262" t="s">
        <v>235</v>
      </c>
      <c r="DI2262" t="s">
        <v>183</v>
      </c>
      <c r="DJ2262" t="s">
        <v>211</v>
      </c>
      <c r="DK2262" t="s">
        <v>337</v>
      </c>
      <c r="DM2262" t="s">
        <v>10934</v>
      </c>
      <c r="DN2262" t="s">
        <v>19231</v>
      </c>
      <c r="DO2262" t="s">
        <v>273</v>
      </c>
      <c r="DP2262" t="s">
        <v>274</v>
      </c>
      <c r="DQ2262" t="s">
        <v>26336</v>
      </c>
      <c r="DR2262" t="s">
        <v>235</v>
      </c>
      <c r="DS2262" t="s">
        <v>183</v>
      </c>
      <c r="DT2262" t="s">
        <v>211</v>
      </c>
      <c r="DU2262" t="s">
        <v>345</v>
      </c>
      <c r="DW2262" t="s">
        <v>11099</v>
      </c>
      <c r="DX2262" t="s">
        <v>26337</v>
      </c>
      <c r="DY2262" t="s">
        <v>302</v>
      </c>
      <c r="DZ2262" t="s">
        <v>303</v>
      </c>
      <c r="EA2262" t="s">
        <v>26338</v>
      </c>
      <c r="EB2262" t="s">
        <v>235</v>
      </c>
      <c r="EC2262" t="s">
        <v>183</v>
      </c>
      <c r="ED2262" t="s">
        <v>211</v>
      </c>
      <c r="EE2262" t="s">
        <v>298</v>
      </c>
      <c r="EG2262" t="s">
        <v>464</v>
      </c>
      <c r="EH2262" t="s">
        <v>5139</v>
      </c>
      <c r="EI2262" t="s">
        <v>238</v>
      </c>
      <c r="EJ2262" t="s">
        <v>239</v>
      </c>
      <c r="EK2262" t="s">
        <v>23245</v>
      </c>
      <c r="EL2262" t="s">
        <v>235</v>
      </c>
      <c r="EM2262" t="s">
        <v>183</v>
      </c>
      <c r="EN2262" t="s">
        <v>211</v>
      </c>
      <c r="EO2262" t="s">
        <v>345</v>
      </c>
      <c r="EQ2262" t="s">
        <v>2753</v>
      </c>
      <c r="ER2262" t="s">
        <v>26339</v>
      </c>
      <c r="ES2262" t="s">
        <v>207</v>
      </c>
      <c r="ET2262" t="s">
        <v>208</v>
      </c>
      <c r="EU2262" t="s">
        <v>26340</v>
      </c>
      <c r="EV2262" t="s">
        <v>235</v>
      </c>
      <c r="EW2262" t="s">
        <v>183</v>
      </c>
      <c r="EX2262" t="s">
        <v>211</v>
      </c>
      <c r="EY2262" t="s">
        <v>342</v>
      </c>
      <c r="FA2262" t="s">
        <v>6588</v>
      </c>
      <c r="FK2262" t="s">
        <v>198</v>
      </c>
      <c r="FU2262" t="s">
        <v>198</v>
      </c>
    </row>
    <row r="2263" spans="1:177">
      <c r="A2263" s="1" t="str">
        <f>HYPERLINK("http://digipan.lumentumllc.com/apps/getLink/index.php?t=PropLink&amp;p=15735172","PL")</f>
        <v>PL</v>
      </c>
      <c r="B2263" s="1" t="str">
        <f>HYPERLINK("http://digipan.lumentumllc.com/apps/getLink/index.php?t=TaxLink&amp;p=15735172","TL")</f>
        <v>TL</v>
      </c>
      <c r="C2263" s="1" t="str">
        <f>HYPERLINK("http://digipan.lumentumllc.com/apps/getMap/index.php?p=15735172","Map")</f>
        <v>Map</v>
      </c>
      <c r="E2263" t="s">
        <v>177</v>
      </c>
      <c r="F2263" t="s">
        <v>178</v>
      </c>
      <c r="L2263" t="s">
        <v>26341</v>
      </c>
      <c r="N2263" t="s">
        <v>26341</v>
      </c>
      <c r="O2263" t="s">
        <v>26341</v>
      </c>
      <c r="Q2263" t="s">
        <v>26341</v>
      </c>
      <c r="V2263">
        <v>2586</v>
      </c>
      <c r="W2263">
        <v>8</v>
      </c>
      <c r="X2263">
        <v>2017</v>
      </c>
      <c r="Y2263">
        <v>2018</v>
      </c>
      <c r="Z2263">
        <v>1828.24</v>
      </c>
      <c r="AG2263" t="s">
        <v>184</v>
      </c>
      <c r="AH2263">
        <v>0</v>
      </c>
      <c r="AK2263">
        <v>0</v>
      </c>
      <c r="AL2263">
        <v>133831</v>
      </c>
      <c r="AM2263">
        <v>54111</v>
      </c>
      <c r="AN2263">
        <v>79720</v>
      </c>
      <c r="AO2263">
        <v>1637</v>
      </c>
      <c r="AP2263">
        <v>2016</v>
      </c>
      <c r="AQ2263">
        <v>1.37</v>
      </c>
      <c r="AS2263" t="s">
        <v>26342</v>
      </c>
      <c r="AT2263" t="s">
        <v>15040</v>
      </c>
      <c r="AU2263" t="s">
        <v>177</v>
      </c>
      <c r="AV2263" t="s">
        <v>371</v>
      </c>
      <c r="AW2263" t="s">
        <v>202</v>
      </c>
      <c r="AX2263">
        <v>1</v>
      </c>
      <c r="AY2263" t="s">
        <v>188</v>
      </c>
      <c r="AZ2263" t="s">
        <v>206</v>
      </c>
      <c r="BA2263" t="s">
        <v>355</v>
      </c>
      <c r="BB2263" t="s">
        <v>191</v>
      </c>
      <c r="BC2263" t="s">
        <v>182</v>
      </c>
      <c r="BD2263" t="s">
        <v>182</v>
      </c>
      <c r="BE2263" t="s">
        <v>2503</v>
      </c>
      <c r="BF2263">
        <v>2</v>
      </c>
      <c r="BG2263">
        <v>2</v>
      </c>
      <c r="BH2263">
        <v>1966</v>
      </c>
      <c r="BI2263" t="s">
        <v>18707</v>
      </c>
      <c r="BJ2263" t="s">
        <v>194</v>
      </c>
      <c r="BK2263" t="s">
        <v>840</v>
      </c>
      <c r="BL2263" t="s">
        <v>199</v>
      </c>
      <c r="BM2263" t="s">
        <v>267</v>
      </c>
      <c r="BN2263" t="s">
        <v>182</v>
      </c>
      <c r="BO2263" t="s">
        <v>198</v>
      </c>
      <c r="BP2263" t="s">
        <v>198</v>
      </c>
      <c r="BQ2263" t="s">
        <v>198</v>
      </c>
      <c r="BR2263" t="s">
        <v>198</v>
      </c>
      <c r="BS2263" t="s">
        <v>198</v>
      </c>
      <c r="BT2263" t="s">
        <v>198</v>
      </c>
      <c r="BU2263" t="s">
        <v>182</v>
      </c>
      <c r="BV2263" t="s">
        <v>198</v>
      </c>
      <c r="BW2263" t="s">
        <v>198</v>
      </c>
      <c r="BX2263" t="s">
        <v>199</v>
      </c>
      <c r="BY2263" t="s">
        <v>198</v>
      </c>
      <c r="BZ2263" t="s">
        <v>199</v>
      </c>
      <c r="CA2263" t="s">
        <v>199</v>
      </c>
      <c r="CB2263" t="s">
        <v>26343</v>
      </c>
      <c r="CC2263" t="s">
        <v>201</v>
      </c>
      <c r="CD2263" t="s">
        <v>182</v>
      </c>
      <c r="CE2263" t="s">
        <v>26344</v>
      </c>
      <c r="CF2263" t="s">
        <v>5331</v>
      </c>
      <c r="CG2263" t="s">
        <v>177</v>
      </c>
      <c r="CH2263" t="s">
        <v>371</v>
      </c>
      <c r="CI2263" t="s">
        <v>26345</v>
      </c>
      <c r="CS2263" t="s">
        <v>198</v>
      </c>
      <c r="DC2263" t="s">
        <v>198</v>
      </c>
      <c r="DM2263" t="s">
        <v>198</v>
      </c>
      <c r="DW2263" t="s">
        <v>198</v>
      </c>
      <c r="EG2263" t="s">
        <v>198</v>
      </c>
      <c r="EQ2263" t="s">
        <v>198</v>
      </c>
      <c r="FA2263" t="s">
        <v>198</v>
      </c>
      <c r="FK2263" t="s">
        <v>198</v>
      </c>
      <c r="FU2263" t="s">
        <v>198</v>
      </c>
    </row>
    <row r="2264" spans="1:177">
      <c r="A2264" s="1" t="str">
        <f>HYPERLINK("http://digipan.lumentumllc.com/apps/getLink/index.php?t=PropLink&amp;p=5244752","PL")</f>
        <v>PL</v>
      </c>
      <c r="B2264" s="1" t="str">
        <f>HYPERLINK("http://digipan.lumentumllc.com/apps/getLink/index.php?t=TaxLink&amp;p=5244752","TL")</f>
        <v>TL</v>
      </c>
      <c r="C2264" s="1" t="str">
        <f>HYPERLINK("http://digipan.lumentumllc.com/apps/getMap/index.php?p=5244752","Map")</f>
        <v>Map</v>
      </c>
      <c r="E2264" t="s">
        <v>177</v>
      </c>
      <c r="F2264" t="s">
        <v>178</v>
      </c>
      <c r="L2264" t="s">
        <v>26346</v>
      </c>
      <c r="N2264" t="s">
        <v>26346</v>
      </c>
      <c r="O2264" t="s">
        <v>26346</v>
      </c>
      <c r="P2264" t="s">
        <v>26347</v>
      </c>
      <c r="Q2264" t="s">
        <v>26346</v>
      </c>
      <c r="V2264">
        <v>2587</v>
      </c>
      <c r="W2264">
        <v>8</v>
      </c>
      <c r="X2264">
        <v>2017</v>
      </c>
      <c r="Y2264">
        <v>2018</v>
      </c>
      <c r="Z2264">
        <v>2456.6999999999998</v>
      </c>
      <c r="AB2264" t="s">
        <v>181</v>
      </c>
      <c r="AC2264" t="s">
        <v>182</v>
      </c>
      <c r="AD2264" t="s">
        <v>183</v>
      </c>
      <c r="AE2264">
        <v>1</v>
      </c>
      <c r="AF2264">
        <v>7</v>
      </c>
      <c r="AG2264" t="s">
        <v>418</v>
      </c>
      <c r="AH2264">
        <v>86</v>
      </c>
      <c r="AI2264">
        <v>2233.41</v>
      </c>
      <c r="AJ2264">
        <v>111.67</v>
      </c>
      <c r="AK2264">
        <v>2345.08</v>
      </c>
      <c r="AL2264">
        <v>115820</v>
      </c>
      <c r="AM2264">
        <v>57128</v>
      </c>
      <c r="AN2264">
        <v>58692</v>
      </c>
      <c r="AO2264">
        <v>2040</v>
      </c>
      <c r="AP2264">
        <v>2016</v>
      </c>
      <c r="AQ2264">
        <v>2.12</v>
      </c>
      <c r="AR2264">
        <v>2.02</v>
      </c>
      <c r="AS2264" t="s">
        <v>26348</v>
      </c>
      <c r="AT2264" t="s">
        <v>15040</v>
      </c>
      <c r="AU2264" t="s">
        <v>177</v>
      </c>
      <c r="AV2264" t="s">
        <v>371</v>
      </c>
      <c r="AW2264" t="s">
        <v>182</v>
      </c>
      <c r="AX2264">
        <v>1</v>
      </c>
      <c r="AY2264" t="s">
        <v>188</v>
      </c>
      <c r="AZ2264" t="s">
        <v>206</v>
      </c>
      <c r="BA2264" t="s">
        <v>355</v>
      </c>
      <c r="BB2264" t="s">
        <v>191</v>
      </c>
      <c r="BC2264" t="s">
        <v>182</v>
      </c>
      <c r="BD2264" t="s">
        <v>182</v>
      </c>
      <c r="BE2264" t="s">
        <v>11735</v>
      </c>
      <c r="BF2264">
        <v>1</v>
      </c>
      <c r="BG2264">
        <v>1</v>
      </c>
      <c r="BH2264">
        <v>1971</v>
      </c>
      <c r="BI2264" t="s">
        <v>10774</v>
      </c>
      <c r="BJ2264" t="s">
        <v>194</v>
      </c>
      <c r="BK2264" t="s">
        <v>195</v>
      </c>
      <c r="BL2264" t="s">
        <v>199</v>
      </c>
      <c r="BM2264" t="s">
        <v>4973</v>
      </c>
      <c r="BN2264" t="s">
        <v>182</v>
      </c>
      <c r="BO2264" t="s">
        <v>198</v>
      </c>
      <c r="BP2264" t="s">
        <v>198</v>
      </c>
      <c r="BQ2264" t="s">
        <v>198</v>
      </c>
      <c r="BR2264" t="s">
        <v>198</v>
      </c>
      <c r="BS2264" t="s">
        <v>198</v>
      </c>
      <c r="BT2264" t="s">
        <v>198</v>
      </c>
      <c r="BU2264" t="s">
        <v>182</v>
      </c>
      <c r="BV2264" t="s">
        <v>198</v>
      </c>
      <c r="BW2264" t="s">
        <v>198</v>
      </c>
      <c r="BX2264" t="s">
        <v>199</v>
      </c>
      <c r="BY2264" t="s">
        <v>198</v>
      </c>
      <c r="BZ2264" t="s">
        <v>199</v>
      </c>
      <c r="CA2264" t="s">
        <v>199</v>
      </c>
      <c r="CB2264" t="s">
        <v>26349</v>
      </c>
      <c r="CC2264" t="s">
        <v>201</v>
      </c>
      <c r="CD2264" t="s">
        <v>182</v>
      </c>
      <c r="CE2264" t="s">
        <v>26350</v>
      </c>
      <c r="CF2264" t="s">
        <v>5331</v>
      </c>
      <c r="CG2264" t="s">
        <v>177</v>
      </c>
      <c r="CH2264" t="s">
        <v>371</v>
      </c>
      <c r="CI2264" t="s">
        <v>26351</v>
      </c>
      <c r="CJ2264" t="s">
        <v>18709</v>
      </c>
      <c r="CK2264" t="s">
        <v>232</v>
      </c>
      <c r="CL2264" t="s">
        <v>233</v>
      </c>
      <c r="CM2264" t="s">
        <v>26352</v>
      </c>
      <c r="CN2264" t="s">
        <v>235</v>
      </c>
      <c r="CO2264" t="s">
        <v>183</v>
      </c>
      <c r="CP2264" t="s">
        <v>266</v>
      </c>
      <c r="CS2264" t="s">
        <v>198</v>
      </c>
      <c r="CT2264" t="s">
        <v>2858</v>
      </c>
      <c r="CU2264" t="s">
        <v>292</v>
      </c>
      <c r="CV2264" t="s">
        <v>293</v>
      </c>
      <c r="CW2264" t="s">
        <v>26353</v>
      </c>
      <c r="CX2264" t="s">
        <v>235</v>
      </c>
      <c r="CY2264" t="s">
        <v>183</v>
      </c>
      <c r="CZ2264" t="s">
        <v>211</v>
      </c>
      <c r="DA2264" t="s">
        <v>523</v>
      </c>
      <c r="DC2264" t="s">
        <v>5154</v>
      </c>
      <c r="DD2264" t="s">
        <v>22856</v>
      </c>
      <c r="DE2264" t="s">
        <v>267</v>
      </c>
      <c r="DF2264" t="s">
        <v>268</v>
      </c>
      <c r="DG2264" t="s">
        <v>26354</v>
      </c>
      <c r="DH2264" t="s">
        <v>235</v>
      </c>
      <c r="DI2264" t="s">
        <v>183</v>
      </c>
      <c r="DJ2264" t="s">
        <v>211</v>
      </c>
      <c r="DK2264" t="s">
        <v>345</v>
      </c>
      <c r="DM2264" t="s">
        <v>542</v>
      </c>
      <c r="DN2264" t="s">
        <v>23724</v>
      </c>
      <c r="DO2264" t="s">
        <v>273</v>
      </c>
      <c r="DP2264" t="s">
        <v>274</v>
      </c>
      <c r="DQ2264" t="s">
        <v>26355</v>
      </c>
      <c r="DR2264" t="s">
        <v>235</v>
      </c>
      <c r="DS2264" t="s">
        <v>183</v>
      </c>
      <c r="DT2264" t="s">
        <v>211</v>
      </c>
      <c r="DU2264" t="s">
        <v>298</v>
      </c>
      <c r="DW2264" t="s">
        <v>462</v>
      </c>
      <c r="DX2264" t="s">
        <v>17531</v>
      </c>
      <c r="DY2264" t="s">
        <v>302</v>
      </c>
      <c r="DZ2264" t="s">
        <v>303</v>
      </c>
      <c r="EA2264" t="s">
        <v>26356</v>
      </c>
      <c r="EB2264" t="s">
        <v>235</v>
      </c>
      <c r="EC2264" t="s">
        <v>183</v>
      </c>
      <c r="ED2264" t="s">
        <v>211</v>
      </c>
      <c r="EE2264" t="s">
        <v>298</v>
      </c>
      <c r="EG2264" t="s">
        <v>464</v>
      </c>
      <c r="EH2264" t="s">
        <v>7391</v>
      </c>
      <c r="EI2264" t="s">
        <v>238</v>
      </c>
      <c r="EJ2264" t="s">
        <v>239</v>
      </c>
      <c r="EK2264" t="s">
        <v>26357</v>
      </c>
      <c r="EL2264" t="s">
        <v>235</v>
      </c>
      <c r="EM2264" t="s">
        <v>183</v>
      </c>
      <c r="EN2264" t="s">
        <v>211</v>
      </c>
      <c r="EO2264" t="s">
        <v>345</v>
      </c>
      <c r="EQ2264" t="s">
        <v>6842</v>
      </c>
      <c r="ER2264" t="s">
        <v>26358</v>
      </c>
      <c r="ES2264" t="s">
        <v>346</v>
      </c>
      <c r="ET2264" t="s">
        <v>347</v>
      </c>
      <c r="EU2264" t="s">
        <v>26359</v>
      </c>
      <c r="EV2264" t="s">
        <v>511</v>
      </c>
      <c r="EW2264" t="s">
        <v>183</v>
      </c>
      <c r="EX2264" t="s">
        <v>211</v>
      </c>
      <c r="EY2264" t="s">
        <v>345</v>
      </c>
      <c r="FA2264" t="s">
        <v>2496</v>
      </c>
      <c r="FB2264" t="s">
        <v>26360</v>
      </c>
      <c r="FC2264" t="s">
        <v>207</v>
      </c>
      <c r="FD2264" t="s">
        <v>208</v>
      </c>
      <c r="FE2264" t="s">
        <v>26361</v>
      </c>
      <c r="FF2264" t="s">
        <v>235</v>
      </c>
      <c r="FG2264" t="s">
        <v>183</v>
      </c>
      <c r="FH2264" t="s">
        <v>211</v>
      </c>
      <c r="FI2264" t="s">
        <v>298</v>
      </c>
      <c r="FK2264" t="s">
        <v>1167</v>
      </c>
      <c r="FU2264" t="s">
        <v>198</v>
      </c>
    </row>
    <row r="2265" spans="1:177">
      <c r="A2265" s="1" t="str">
        <f>HYPERLINK("http://digipan.lumentumllc.com/apps/getLink/index.php?t=PropLink&amp;p=15735236","PL")</f>
        <v>PL</v>
      </c>
      <c r="B2265" s="1" t="str">
        <f>HYPERLINK("http://digipan.lumentumllc.com/apps/getLink/index.php?t=TaxLink&amp;p=15735236","TL")</f>
        <v>TL</v>
      </c>
      <c r="C2265" s="1" t="str">
        <f>HYPERLINK("http://digipan.lumentumllc.com/apps/getMap/index.php?p=15735236","Map")</f>
        <v>Map</v>
      </c>
      <c r="E2265" t="s">
        <v>177</v>
      </c>
      <c r="F2265" t="s">
        <v>178</v>
      </c>
      <c r="L2265" t="s">
        <v>26362</v>
      </c>
      <c r="N2265" t="s">
        <v>26362</v>
      </c>
      <c r="O2265" t="s">
        <v>26362</v>
      </c>
      <c r="Q2265" t="s">
        <v>26362</v>
      </c>
      <c r="V2265">
        <v>2588</v>
      </c>
      <c r="W2265">
        <v>8</v>
      </c>
      <c r="X2265">
        <v>2017</v>
      </c>
      <c r="Y2265">
        <v>2018</v>
      </c>
      <c r="Z2265">
        <v>1027.03</v>
      </c>
      <c r="AG2265" t="s">
        <v>184</v>
      </c>
      <c r="AH2265">
        <v>0</v>
      </c>
      <c r="AK2265">
        <v>0</v>
      </c>
      <c r="AL2265">
        <v>51425</v>
      </c>
      <c r="AM2265">
        <v>51425</v>
      </c>
      <c r="AN2265">
        <v>0</v>
      </c>
      <c r="AO2265">
        <v>821</v>
      </c>
      <c r="AP2265">
        <v>2016</v>
      </c>
      <c r="AQ2265">
        <v>2</v>
      </c>
      <c r="AS2265" t="s">
        <v>26363</v>
      </c>
      <c r="AT2265" t="s">
        <v>15040</v>
      </c>
      <c r="AU2265" t="s">
        <v>177</v>
      </c>
      <c r="AV2265" t="s">
        <v>371</v>
      </c>
      <c r="AW2265" t="s">
        <v>182</v>
      </c>
      <c r="AX2265">
        <v>0</v>
      </c>
      <c r="AY2265" t="s">
        <v>312</v>
      </c>
      <c r="AZ2265" t="s">
        <v>199</v>
      </c>
      <c r="BA2265" t="s">
        <v>313</v>
      </c>
      <c r="BB2265" t="s">
        <v>191</v>
      </c>
      <c r="BC2265" t="s">
        <v>182</v>
      </c>
      <c r="BD2265" t="s">
        <v>182</v>
      </c>
      <c r="BE2265" t="s">
        <v>3956</v>
      </c>
      <c r="BF2265">
        <v>0</v>
      </c>
      <c r="BG2265">
        <v>0</v>
      </c>
      <c r="BH2265">
        <v>0</v>
      </c>
      <c r="BI2265" t="s">
        <v>199</v>
      </c>
      <c r="BJ2265" t="s">
        <v>194</v>
      </c>
      <c r="BL2265" t="s">
        <v>7671</v>
      </c>
      <c r="BM2265" t="s">
        <v>197</v>
      </c>
      <c r="BN2265" t="s">
        <v>182</v>
      </c>
      <c r="BO2265" t="s">
        <v>19103</v>
      </c>
      <c r="BP2265" t="s">
        <v>26364</v>
      </c>
      <c r="BQ2265" t="s">
        <v>562</v>
      </c>
      <c r="BR2265" t="s">
        <v>582</v>
      </c>
      <c r="BS2265" t="s">
        <v>198</v>
      </c>
      <c r="BT2265" t="s">
        <v>26365</v>
      </c>
      <c r="BU2265" t="s">
        <v>182</v>
      </c>
      <c r="BV2265" t="s">
        <v>198</v>
      </c>
      <c r="BW2265" t="s">
        <v>198</v>
      </c>
      <c r="BX2265" t="s">
        <v>199</v>
      </c>
      <c r="BY2265" t="s">
        <v>198</v>
      </c>
      <c r="BZ2265" t="s">
        <v>199</v>
      </c>
      <c r="CA2265" t="s">
        <v>199</v>
      </c>
      <c r="CB2265" t="s">
        <v>26366</v>
      </c>
      <c r="CC2265" t="s">
        <v>201</v>
      </c>
      <c r="CD2265" t="s">
        <v>202</v>
      </c>
      <c r="CE2265" t="s">
        <v>26367</v>
      </c>
      <c r="CF2265" t="s">
        <v>5331</v>
      </c>
      <c r="CG2265" t="s">
        <v>177</v>
      </c>
      <c r="CH2265" t="s">
        <v>371</v>
      </c>
      <c r="CI2265" t="s">
        <v>26368</v>
      </c>
      <c r="CS2265" t="s">
        <v>198</v>
      </c>
      <c r="DC2265" t="s">
        <v>198</v>
      </c>
      <c r="DM2265" t="s">
        <v>198</v>
      </c>
      <c r="DW2265" t="s">
        <v>198</v>
      </c>
      <c r="EG2265" t="s">
        <v>198</v>
      </c>
      <c r="EQ2265" t="s">
        <v>198</v>
      </c>
      <c r="FA2265" t="s">
        <v>198</v>
      </c>
      <c r="FK2265" t="s">
        <v>198</v>
      </c>
      <c r="FU2265" t="s">
        <v>198</v>
      </c>
    </row>
    <row r="2266" spans="1:177">
      <c r="A2266" s="1" t="str">
        <f>HYPERLINK("http://digipan.lumentumllc.com/apps/getLink/index.php?t=PropLink&amp;p=5244757","PL")</f>
        <v>PL</v>
      </c>
      <c r="B2266" s="1" t="str">
        <f>HYPERLINK("http://digipan.lumentumllc.com/apps/getLink/index.php?t=TaxLink&amp;p=5244757","TL")</f>
        <v>TL</v>
      </c>
      <c r="C2266" s="1" t="str">
        <f>HYPERLINK("http://digipan.lumentumllc.com/apps/getMap/index.php?p=5244757","Map")</f>
        <v>Map</v>
      </c>
      <c r="E2266" t="s">
        <v>177</v>
      </c>
      <c r="F2266" t="s">
        <v>178</v>
      </c>
      <c r="L2266" t="s">
        <v>26369</v>
      </c>
      <c r="N2266" t="s">
        <v>26369</v>
      </c>
      <c r="O2266" t="s">
        <v>26369</v>
      </c>
      <c r="P2266" t="s">
        <v>26370</v>
      </c>
      <c r="Q2266" t="s">
        <v>26369</v>
      </c>
      <c r="V2266">
        <v>2589</v>
      </c>
      <c r="W2266">
        <v>8</v>
      </c>
      <c r="X2266">
        <v>2017</v>
      </c>
      <c r="Y2266">
        <v>2018</v>
      </c>
      <c r="Z2266">
        <v>2253.52</v>
      </c>
      <c r="AB2266" t="s">
        <v>181</v>
      </c>
      <c r="AC2266" t="s">
        <v>202</v>
      </c>
      <c r="AD2266" t="s">
        <v>183</v>
      </c>
      <c r="AE2266">
        <v>1</v>
      </c>
      <c r="AF2266">
        <v>5</v>
      </c>
      <c r="AG2266" t="s">
        <v>322</v>
      </c>
      <c r="AH2266">
        <v>83</v>
      </c>
      <c r="AI2266">
        <v>2088.2800000000002</v>
      </c>
      <c r="AJ2266">
        <v>104.41</v>
      </c>
      <c r="AK2266">
        <v>2192.69</v>
      </c>
      <c r="AL2266">
        <v>103063</v>
      </c>
      <c r="AM2266">
        <v>27158</v>
      </c>
      <c r="AN2266">
        <v>75905</v>
      </c>
      <c r="AO2266">
        <v>1906</v>
      </c>
      <c r="AP2266">
        <v>2016</v>
      </c>
      <c r="AQ2266">
        <v>2.19</v>
      </c>
      <c r="AR2266">
        <v>2.13</v>
      </c>
      <c r="AS2266" t="s">
        <v>26371</v>
      </c>
      <c r="AT2266" t="s">
        <v>15040</v>
      </c>
      <c r="AU2266" t="s">
        <v>177</v>
      </c>
      <c r="AV2266" t="s">
        <v>371</v>
      </c>
      <c r="AW2266" t="s">
        <v>182</v>
      </c>
      <c r="AX2266">
        <v>19</v>
      </c>
      <c r="AY2266" t="s">
        <v>3641</v>
      </c>
      <c r="AZ2266" t="s">
        <v>523</v>
      </c>
      <c r="BA2266" t="s">
        <v>26372</v>
      </c>
      <c r="BB2266" t="s">
        <v>191</v>
      </c>
      <c r="BC2266" t="s">
        <v>182</v>
      </c>
      <c r="BD2266" t="s">
        <v>182</v>
      </c>
      <c r="BE2266" t="s">
        <v>6986</v>
      </c>
      <c r="BF2266">
        <v>1</v>
      </c>
      <c r="BG2266">
        <v>0</v>
      </c>
      <c r="BH2266">
        <v>1983</v>
      </c>
      <c r="BI2266" t="s">
        <v>20398</v>
      </c>
      <c r="BJ2266" t="s">
        <v>194</v>
      </c>
      <c r="BK2266" t="s">
        <v>195</v>
      </c>
      <c r="BL2266" t="s">
        <v>199</v>
      </c>
      <c r="BM2266" t="s">
        <v>358</v>
      </c>
      <c r="BN2266" t="s">
        <v>182</v>
      </c>
      <c r="BO2266" t="s">
        <v>198</v>
      </c>
      <c r="BP2266" t="s">
        <v>198</v>
      </c>
      <c r="BQ2266" t="s">
        <v>198</v>
      </c>
      <c r="BR2266" t="s">
        <v>198</v>
      </c>
      <c r="BS2266" t="s">
        <v>198</v>
      </c>
      <c r="BT2266" t="s">
        <v>198</v>
      </c>
      <c r="BU2266" t="s">
        <v>182</v>
      </c>
      <c r="BV2266" t="s">
        <v>198</v>
      </c>
      <c r="BW2266" t="s">
        <v>198</v>
      </c>
      <c r="BX2266" t="s">
        <v>199</v>
      </c>
      <c r="BY2266" t="s">
        <v>198</v>
      </c>
      <c r="BZ2266" t="s">
        <v>199</v>
      </c>
      <c r="CA2266" t="s">
        <v>199</v>
      </c>
      <c r="CB2266" t="s">
        <v>26373</v>
      </c>
      <c r="CC2266" t="s">
        <v>201</v>
      </c>
      <c r="CD2266" t="s">
        <v>182</v>
      </c>
      <c r="CE2266" t="s">
        <v>26374</v>
      </c>
      <c r="CF2266" t="s">
        <v>24750</v>
      </c>
      <c r="CG2266" t="s">
        <v>1602</v>
      </c>
      <c r="CH2266" t="s">
        <v>24751</v>
      </c>
      <c r="CI2266" t="s">
        <v>26375</v>
      </c>
      <c r="CJ2266" t="s">
        <v>26376</v>
      </c>
      <c r="CK2266" t="s">
        <v>232</v>
      </c>
      <c r="CL2266" t="s">
        <v>233</v>
      </c>
      <c r="CM2266" t="s">
        <v>26377</v>
      </c>
      <c r="CN2266" t="s">
        <v>235</v>
      </c>
      <c r="CO2266" t="s">
        <v>183</v>
      </c>
      <c r="CP2266" t="s">
        <v>266</v>
      </c>
      <c r="CS2266" t="s">
        <v>198</v>
      </c>
      <c r="CT2266" t="s">
        <v>3615</v>
      </c>
      <c r="CU2266" t="s">
        <v>267</v>
      </c>
      <c r="CV2266" t="s">
        <v>268</v>
      </c>
      <c r="CW2266" t="s">
        <v>26378</v>
      </c>
      <c r="CX2266" t="s">
        <v>235</v>
      </c>
      <c r="CY2266" t="s">
        <v>183</v>
      </c>
      <c r="CZ2266" t="s">
        <v>211</v>
      </c>
      <c r="DB2266" t="s">
        <v>271</v>
      </c>
      <c r="DC2266" t="s">
        <v>198</v>
      </c>
      <c r="DD2266" t="s">
        <v>24076</v>
      </c>
      <c r="DE2266" t="s">
        <v>273</v>
      </c>
      <c r="DF2266" t="s">
        <v>274</v>
      </c>
      <c r="DG2266" t="s">
        <v>26379</v>
      </c>
      <c r="DH2266" t="s">
        <v>235</v>
      </c>
      <c r="DI2266" t="s">
        <v>183</v>
      </c>
      <c r="DJ2266" t="s">
        <v>211</v>
      </c>
      <c r="DL2266" t="s">
        <v>271</v>
      </c>
      <c r="DM2266" t="s">
        <v>198</v>
      </c>
      <c r="DN2266" t="s">
        <v>26380</v>
      </c>
      <c r="DO2266" t="s">
        <v>302</v>
      </c>
      <c r="DP2266" t="s">
        <v>303</v>
      </c>
      <c r="DQ2266" t="s">
        <v>26381</v>
      </c>
      <c r="DR2266" t="s">
        <v>235</v>
      </c>
      <c r="DS2266" t="s">
        <v>183</v>
      </c>
      <c r="DT2266" t="s">
        <v>211</v>
      </c>
      <c r="DU2266" t="s">
        <v>337</v>
      </c>
      <c r="DW2266" t="s">
        <v>4916</v>
      </c>
      <c r="DX2266" t="s">
        <v>5180</v>
      </c>
      <c r="DY2266" t="s">
        <v>238</v>
      </c>
      <c r="DZ2266" t="s">
        <v>239</v>
      </c>
      <c r="EA2266" t="s">
        <v>26382</v>
      </c>
      <c r="EB2266" t="s">
        <v>235</v>
      </c>
      <c r="EC2266" t="s">
        <v>183</v>
      </c>
      <c r="ED2266" t="s">
        <v>211</v>
      </c>
      <c r="EE2266" t="s">
        <v>298</v>
      </c>
      <c r="EG2266" t="s">
        <v>1133</v>
      </c>
      <c r="EH2266" t="s">
        <v>26383</v>
      </c>
      <c r="EI2266" t="s">
        <v>346</v>
      </c>
      <c r="EJ2266" t="s">
        <v>347</v>
      </c>
      <c r="EK2266" t="s">
        <v>26384</v>
      </c>
      <c r="EL2266" t="s">
        <v>331</v>
      </c>
      <c r="EM2266" t="s">
        <v>183</v>
      </c>
      <c r="EN2266" t="s">
        <v>211</v>
      </c>
      <c r="EO2266" t="s">
        <v>460</v>
      </c>
      <c r="EQ2266" t="s">
        <v>887</v>
      </c>
      <c r="FA2266" t="s">
        <v>198</v>
      </c>
      <c r="FK2266" t="s">
        <v>198</v>
      </c>
      <c r="FU2266" t="s">
        <v>198</v>
      </c>
    </row>
    <row r="2267" spans="1:177">
      <c r="A2267" s="1" t="str">
        <f>HYPERLINK("http://digipan.lumentumllc.com/apps/getLink/index.php?t=PropLink&amp;p=5244759","PL")</f>
        <v>PL</v>
      </c>
      <c r="B2267" s="1" t="str">
        <f>HYPERLINK("http://digipan.lumentumllc.com/apps/getLink/index.php?t=TaxLink&amp;p=5244759","TL")</f>
        <v>TL</v>
      </c>
      <c r="C2267" s="1" t="str">
        <f>HYPERLINK("http://digipan.lumentumllc.com/apps/getMap/index.php?p=5244759","Map")</f>
        <v>Map</v>
      </c>
      <c r="E2267" t="s">
        <v>177</v>
      </c>
      <c r="F2267" t="s">
        <v>178</v>
      </c>
      <c r="L2267" t="s">
        <v>26385</v>
      </c>
      <c r="N2267" t="s">
        <v>26385</v>
      </c>
      <c r="O2267" t="s">
        <v>26385</v>
      </c>
      <c r="P2267" t="s">
        <v>26386</v>
      </c>
      <c r="Q2267" t="s">
        <v>26385</v>
      </c>
      <c r="V2267">
        <v>2590</v>
      </c>
      <c r="W2267">
        <v>8</v>
      </c>
      <c r="X2267">
        <v>2017</v>
      </c>
      <c r="Y2267">
        <v>2018</v>
      </c>
      <c r="Z2267">
        <v>256.5</v>
      </c>
      <c r="AB2267" t="s">
        <v>181</v>
      </c>
      <c r="AC2267" t="s">
        <v>182</v>
      </c>
      <c r="AD2267" t="s">
        <v>183</v>
      </c>
      <c r="AE2267">
        <v>0</v>
      </c>
      <c r="AF2267">
        <v>4</v>
      </c>
      <c r="AG2267" t="s">
        <v>744</v>
      </c>
      <c r="AH2267">
        <v>100</v>
      </c>
      <c r="AK2267">
        <v>0</v>
      </c>
      <c r="AL2267">
        <v>53647</v>
      </c>
      <c r="AM2267">
        <v>21458</v>
      </c>
      <c r="AN2267">
        <v>32189</v>
      </c>
      <c r="AO2267">
        <v>196</v>
      </c>
      <c r="AP2267">
        <v>2016</v>
      </c>
      <c r="AQ2267">
        <v>0.48</v>
      </c>
      <c r="AS2267" t="s">
        <v>26387</v>
      </c>
      <c r="AT2267" t="s">
        <v>15040</v>
      </c>
      <c r="AU2267" t="s">
        <v>177</v>
      </c>
      <c r="AV2267" t="s">
        <v>371</v>
      </c>
      <c r="AW2267" t="s">
        <v>202</v>
      </c>
      <c r="AX2267">
        <v>1</v>
      </c>
      <c r="AY2267" t="s">
        <v>188</v>
      </c>
      <c r="AZ2267" t="s">
        <v>206</v>
      </c>
      <c r="BA2267" t="s">
        <v>355</v>
      </c>
      <c r="BB2267" t="s">
        <v>191</v>
      </c>
      <c r="BC2267" t="s">
        <v>182</v>
      </c>
      <c r="BD2267" t="s">
        <v>182</v>
      </c>
      <c r="BE2267" t="s">
        <v>11206</v>
      </c>
      <c r="BF2267">
        <v>1</v>
      </c>
      <c r="BG2267">
        <v>1</v>
      </c>
      <c r="BH2267">
        <v>1920</v>
      </c>
      <c r="BI2267" t="s">
        <v>3057</v>
      </c>
      <c r="BJ2267" t="s">
        <v>285</v>
      </c>
      <c r="BK2267" t="s">
        <v>195</v>
      </c>
      <c r="BL2267" t="s">
        <v>199</v>
      </c>
      <c r="BM2267" t="s">
        <v>679</v>
      </c>
      <c r="BN2267" t="s">
        <v>182</v>
      </c>
      <c r="BO2267" t="s">
        <v>26388</v>
      </c>
      <c r="BP2267" t="s">
        <v>26389</v>
      </c>
      <c r="BQ2267" t="s">
        <v>904</v>
      </c>
      <c r="BR2267" t="s">
        <v>563</v>
      </c>
      <c r="BS2267" t="s">
        <v>26390</v>
      </c>
      <c r="BT2267" t="s">
        <v>26391</v>
      </c>
      <c r="BU2267" t="s">
        <v>182</v>
      </c>
      <c r="BV2267" t="s">
        <v>198</v>
      </c>
      <c r="BW2267" t="s">
        <v>198</v>
      </c>
      <c r="BX2267" t="s">
        <v>199</v>
      </c>
      <c r="BY2267" t="s">
        <v>198</v>
      </c>
      <c r="BZ2267" t="s">
        <v>199</v>
      </c>
      <c r="CA2267" t="s">
        <v>199</v>
      </c>
      <c r="CB2267" t="s">
        <v>26392</v>
      </c>
      <c r="CC2267" t="s">
        <v>201</v>
      </c>
      <c r="CD2267" t="s">
        <v>182</v>
      </c>
      <c r="CE2267" t="s">
        <v>26393</v>
      </c>
      <c r="CF2267" t="s">
        <v>5331</v>
      </c>
      <c r="CG2267" t="s">
        <v>177</v>
      </c>
      <c r="CH2267" t="s">
        <v>371</v>
      </c>
      <c r="CI2267" t="s">
        <v>26394</v>
      </c>
      <c r="CJ2267" t="s">
        <v>13313</v>
      </c>
      <c r="CK2267" t="s">
        <v>292</v>
      </c>
      <c r="CL2267" t="s">
        <v>293</v>
      </c>
      <c r="CM2267" t="s">
        <v>26395</v>
      </c>
      <c r="CN2267" t="s">
        <v>482</v>
      </c>
      <c r="CO2267" t="s">
        <v>183</v>
      </c>
      <c r="CP2267" t="s">
        <v>211</v>
      </c>
      <c r="CQ2267" t="s">
        <v>212</v>
      </c>
      <c r="CS2267" t="s">
        <v>3460</v>
      </c>
      <c r="CT2267" t="s">
        <v>17601</v>
      </c>
      <c r="CU2267" t="s">
        <v>302</v>
      </c>
      <c r="CV2267" t="s">
        <v>303</v>
      </c>
      <c r="CW2267" t="s">
        <v>26396</v>
      </c>
      <c r="CX2267" t="s">
        <v>235</v>
      </c>
      <c r="CY2267" t="s">
        <v>183</v>
      </c>
      <c r="CZ2267" t="s">
        <v>211</v>
      </c>
      <c r="DA2267" t="s">
        <v>199</v>
      </c>
      <c r="DC2267" t="s">
        <v>6165</v>
      </c>
      <c r="DD2267" t="s">
        <v>7479</v>
      </c>
      <c r="DE2267" t="s">
        <v>238</v>
      </c>
      <c r="DF2267" t="s">
        <v>239</v>
      </c>
      <c r="DG2267" t="s">
        <v>26397</v>
      </c>
      <c r="DH2267" t="s">
        <v>331</v>
      </c>
      <c r="DI2267" t="s">
        <v>183</v>
      </c>
      <c r="DJ2267" t="s">
        <v>211</v>
      </c>
      <c r="DK2267" t="s">
        <v>199</v>
      </c>
      <c r="DM2267" t="s">
        <v>3572</v>
      </c>
      <c r="DN2267" t="s">
        <v>26398</v>
      </c>
      <c r="DO2267" t="s">
        <v>346</v>
      </c>
      <c r="DP2267" t="s">
        <v>347</v>
      </c>
      <c r="DQ2267" t="s">
        <v>26399</v>
      </c>
      <c r="DR2267" t="s">
        <v>235</v>
      </c>
      <c r="DS2267" t="s">
        <v>183</v>
      </c>
      <c r="DT2267" t="s">
        <v>211</v>
      </c>
      <c r="DU2267" t="s">
        <v>199</v>
      </c>
      <c r="DW2267" t="s">
        <v>1504</v>
      </c>
      <c r="EG2267" t="s">
        <v>198</v>
      </c>
      <c r="EQ2267" t="s">
        <v>198</v>
      </c>
      <c r="FA2267" t="s">
        <v>198</v>
      </c>
      <c r="FK2267" t="s">
        <v>198</v>
      </c>
      <c r="FU2267" t="s">
        <v>198</v>
      </c>
    </row>
    <row r="2268" spans="1:177">
      <c r="A2268" s="1" t="str">
        <f>HYPERLINK("http://digipan.lumentumllc.com/apps/getLink/index.php?t=PropLink&amp;p=15735273","PL")</f>
        <v>PL</v>
      </c>
      <c r="B2268" s="1" t="str">
        <f>HYPERLINK("http://digipan.lumentumllc.com/apps/getLink/index.php?t=TaxLink&amp;p=15735273","TL")</f>
        <v>TL</v>
      </c>
      <c r="C2268" s="1" t="str">
        <f>HYPERLINK("http://digipan.lumentumllc.com/apps/getMap/index.php?p=15735273","Map")</f>
        <v>Map</v>
      </c>
      <c r="E2268" t="s">
        <v>177</v>
      </c>
      <c r="F2268" t="s">
        <v>178</v>
      </c>
      <c r="L2268" t="s">
        <v>26400</v>
      </c>
      <c r="N2268" t="s">
        <v>26400</v>
      </c>
      <c r="O2268" t="s">
        <v>26400</v>
      </c>
      <c r="Q2268" t="s">
        <v>26400</v>
      </c>
      <c r="V2268">
        <v>2593</v>
      </c>
      <c r="W2268">
        <v>8</v>
      </c>
      <c r="X2268">
        <v>2017</v>
      </c>
      <c r="Y2268">
        <v>2018</v>
      </c>
      <c r="Z2268">
        <v>638.30999999999995</v>
      </c>
      <c r="AG2268" t="s">
        <v>184</v>
      </c>
      <c r="AH2268">
        <v>0</v>
      </c>
      <c r="AK2268">
        <v>0</v>
      </c>
      <c r="AL2268">
        <v>50490</v>
      </c>
      <c r="AM2268">
        <v>50490</v>
      </c>
      <c r="AN2268">
        <v>0</v>
      </c>
      <c r="AO2268">
        <v>469</v>
      </c>
      <c r="AP2268">
        <v>2016</v>
      </c>
      <c r="AQ2268">
        <v>1.26</v>
      </c>
      <c r="AS2268" t="s">
        <v>26401</v>
      </c>
      <c r="AT2268" t="s">
        <v>15040</v>
      </c>
      <c r="AU2268" t="s">
        <v>177</v>
      </c>
      <c r="AV2268" t="s">
        <v>371</v>
      </c>
      <c r="AW2268" t="s">
        <v>182</v>
      </c>
      <c r="AX2268">
        <v>0</v>
      </c>
      <c r="AY2268" t="s">
        <v>312</v>
      </c>
      <c r="AZ2268" t="s">
        <v>199</v>
      </c>
      <c r="BA2268" t="s">
        <v>313</v>
      </c>
      <c r="BB2268" t="s">
        <v>191</v>
      </c>
      <c r="BC2268" t="s">
        <v>182</v>
      </c>
      <c r="BD2268" t="s">
        <v>182</v>
      </c>
      <c r="BE2268" t="s">
        <v>11206</v>
      </c>
      <c r="BF2268">
        <v>0</v>
      </c>
      <c r="BG2268">
        <v>0</v>
      </c>
      <c r="BH2268">
        <v>0</v>
      </c>
      <c r="BI2268" t="s">
        <v>199</v>
      </c>
      <c r="BJ2268" t="s">
        <v>248</v>
      </c>
      <c r="BL2268" t="s">
        <v>1753</v>
      </c>
      <c r="BM2268" t="s">
        <v>197</v>
      </c>
      <c r="BN2268" t="s">
        <v>182</v>
      </c>
      <c r="BO2268" t="s">
        <v>198</v>
      </c>
      <c r="BP2268" t="s">
        <v>198</v>
      </c>
      <c r="BQ2268" t="s">
        <v>198</v>
      </c>
      <c r="BR2268" t="s">
        <v>198</v>
      </c>
      <c r="BS2268" t="s">
        <v>198</v>
      </c>
      <c r="BT2268" t="s">
        <v>198</v>
      </c>
      <c r="BU2268" t="s">
        <v>182</v>
      </c>
      <c r="BV2268" t="s">
        <v>198</v>
      </c>
      <c r="BW2268" t="s">
        <v>198</v>
      </c>
      <c r="BX2268" t="s">
        <v>199</v>
      </c>
      <c r="BY2268" t="s">
        <v>198</v>
      </c>
      <c r="BZ2268" t="s">
        <v>199</v>
      </c>
      <c r="CA2268" t="s">
        <v>199</v>
      </c>
      <c r="CB2268" t="s">
        <v>26402</v>
      </c>
      <c r="CC2268" t="s">
        <v>201</v>
      </c>
      <c r="CD2268" t="s">
        <v>202</v>
      </c>
      <c r="CE2268" t="s">
        <v>26403</v>
      </c>
      <c r="CF2268" t="s">
        <v>5331</v>
      </c>
      <c r="CG2268" t="s">
        <v>177</v>
      </c>
      <c r="CH2268" t="s">
        <v>371</v>
      </c>
      <c r="CI2268" t="s">
        <v>26404</v>
      </c>
      <c r="CS2268" t="s">
        <v>198</v>
      </c>
      <c r="DC2268" t="s">
        <v>198</v>
      </c>
      <c r="DM2268" t="s">
        <v>198</v>
      </c>
      <c r="DW2268" t="s">
        <v>198</v>
      </c>
      <c r="EG2268" t="s">
        <v>198</v>
      </c>
      <c r="EQ2268" t="s">
        <v>198</v>
      </c>
      <c r="FA2268" t="s">
        <v>198</v>
      </c>
      <c r="FK2268" t="s">
        <v>198</v>
      </c>
      <c r="FU2268" t="s">
        <v>198</v>
      </c>
    </row>
    <row r="2269" spans="1:177">
      <c r="A2269" s="1" t="str">
        <f>HYPERLINK("http://digipan.lumentumllc.com/apps/getLink/index.php?t=PropLink&amp;p=5244766","PL")</f>
        <v>PL</v>
      </c>
      <c r="B2269" s="1" t="str">
        <f>HYPERLINK("http://digipan.lumentumllc.com/apps/getLink/index.php?t=TaxLink&amp;p=5244766","TL")</f>
        <v>TL</v>
      </c>
      <c r="C2269" s="1" t="str">
        <f>HYPERLINK("http://digipan.lumentumllc.com/apps/getMap/index.php?p=5244766","Map")</f>
        <v>Map</v>
      </c>
      <c r="E2269" t="s">
        <v>177</v>
      </c>
      <c r="F2269" t="s">
        <v>178</v>
      </c>
      <c r="L2269" t="s">
        <v>26405</v>
      </c>
      <c r="N2269" t="s">
        <v>26405</v>
      </c>
      <c r="O2269" t="s">
        <v>26405</v>
      </c>
      <c r="P2269" t="s">
        <v>26406</v>
      </c>
      <c r="Q2269" t="s">
        <v>26405</v>
      </c>
      <c r="V2269">
        <v>2594</v>
      </c>
      <c r="W2269">
        <v>8</v>
      </c>
      <c r="X2269">
        <v>2017</v>
      </c>
      <c r="Y2269">
        <v>2018</v>
      </c>
      <c r="Z2269">
        <v>1050.8399999999999</v>
      </c>
      <c r="AB2269" t="s">
        <v>181</v>
      </c>
      <c r="AC2269" t="s">
        <v>202</v>
      </c>
      <c r="AD2269" t="s">
        <v>1037</v>
      </c>
      <c r="AE2269">
        <v>2</v>
      </c>
      <c r="AF2269">
        <v>4</v>
      </c>
      <c r="AG2269" t="s">
        <v>2376</v>
      </c>
      <c r="AH2269">
        <v>60</v>
      </c>
      <c r="AI2269">
        <v>1873.87</v>
      </c>
      <c r="AJ2269">
        <v>93.69</v>
      </c>
      <c r="AK2269">
        <v>1967.56</v>
      </c>
      <c r="AL2269">
        <v>50867</v>
      </c>
      <c r="AM2269">
        <v>27500</v>
      </c>
      <c r="AN2269">
        <v>23367</v>
      </c>
      <c r="AO2269">
        <v>837</v>
      </c>
      <c r="AP2269">
        <v>2016</v>
      </c>
      <c r="AQ2269">
        <v>2.0699999999999998</v>
      </c>
      <c r="AR2269">
        <v>3.87</v>
      </c>
      <c r="AS2269" t="s">
        <v>26407</v>
      </c>
      <c r="AT2269" t="s">
        <v>15040</v>
      </c>
      <c r="AU2269" t="s">
        <v>177</v>
      </c>
      <c r="AV2269" t="s">
        <v>371</v>
      </c>
      <c r="AW2269" t="s">
        <v>182</v>
      </c>
      <c r="AX2269">
        <v>1</v>
      </c>
      <c r="AY2269" t="s">
        <v>188</v>
      </c>
      <c r="AZ2269" t="s">
        <v>206</v>
      </c>
      <c r="BA2269" t="s">
        <v>355</v>
      </c>
      <c r="BB2269" t="s">
        <v>191</v>
      </c>
      <c r="BC2269" t="s">
        <v>182</v>
      </c>
      <c r="BD2269" t="s">
        <v>182</v>
      </c>
      <c r="BE2269" t="s">
        <v>12936</v>
      </c>
      <c r="BF2269">
        <v>1</v>
      </c>
      <c r="BG2269">
        <v>1</v>
      </c>
      <c r="BH2269">
        <v>1900</v>
      </c>
      <c r="BI2269" t="s">
        <v>10170</v>
      </c>
      <c r="BJ2269" t="s">
        <v>285</v>
      </c>
      <c r="BK2269" t="s">
        <v>195</v>
      </c>
      <c r="BL2269" t="s">
        <v>26408</v>
      </c>
      <c r="BM2269" t="s">
        <v>2351</v>
      </c>
      <c r="BN2269" t="s">
        <v>182</v>
      </c>
      <c r="BO2269" t="s">
        <v>26409</v>
      </c>
      <c r="BP2269" t="s">
        <v>26410</v>
      </c>
      <c r="BS2269" t="s">
        <v>26411</v>
      </c>
      <c r="BT2269" t="s">
        <v>198</v>
      </c>
      <c r="BU2269" t="s">
        <v>182</v>
      </c>
      <c r="BV2269" t="s">
        <v>198</v>
      </c>
      <c r="BW2269" t="s">
        <v>198</v>
      </c>
      <c r="BX2269" t="s">
        <v>199</v>
      </c>
      <c r="BY2269" t="s">
        <v>198</v>
      </c>
      <c r="BZ2269" t="s">
        <v>199</v>
      </c>
      <c r="CA2269" t="s">
        <v>199</v>
      </c>
      <c r="CB2269" t="s">
        <v>26412</v>
      </c>
      <c r="CC2269" t="s">
        <v>201</v>
      </c>
      <c r="CD2269" t="s">
        <v>202</v>
      </c>
      <c r="CE2269" t="s">
        <v>26413</v>
      </c>
      <c r="CF2269" t="s">
        <v>5331</v>
      </c>
      <c r="CG2269" t="s">
        <v>177</v>
      </c>
      <c r="CH2269" t="s">
        <v>371</v>
      </c>
      <c r="CI2269" t="s">
        <v>26414</v>
      </c>
      <c r="CJ2269" t="s">
        <v>7676</v>
      </c>
      <c r="CK2269" t="s">
        <v>232</v>
      </c>
      <c r="CL2269" t="s">
        <v>233</v>
      </c>
      <c r="CM2269" t="s">
        <v>26415</v>
      </c>
      <c r="CN2269" t="s">
        <v>235</v>
      </c>
      <c r="CO2269" t="s">
        <v>183</v>
      </c>
      <c r="CP2269" t="s">
        <v>266</v>
      </c>
      <c r="CS2269" t="s">
        <v>198</v>
      </c>
      <c r="CT2269" t="s">
        <v>2920</v>
      </c>
      <c r="CU2269" t="s">
        <v>292</v>
      </c>
      <c r="CV2269" t="s">
        <v>293</v>
      </c>
      <c r="CW2269" t="s">
        <v>26416</v>
      </c>
      <c r="CX2269" t="s">
        <v>235</v>
      </c>
      <c r="CY2269" t="s">
        <v>183</v>
      </c>
      <c r="CZ2269" t="s">
        <v>266</v>
      </c>
      <c r="DC2269" t="s">
        <v>198</v>
      </c>
      <c r="DD2269" t="s">
        <v>20481</v>
      </c>
      <c r="DE2269" t="s">
        <v>273</v>
      </c>
      <c r="DF2269" t="s">
        <v>274</v>
      </c>
      <c r="DG2269" t="s">
        <v>26417</v>
      </c>
      <c r="DH2269" t="s">
        <v>235</v>
      </c>
      <c r="DI2269" t="s">
        <v>183</v>
      </c>
      <c r="DJ2269" t="s">
        <v>211</v>
      </c>
      <c r="DK2269" t="s">
        <v>270</v>
      </c>
      <c r="DL2269" t="s">
        <v>271</v>
      </c>
      <c r="DM2269" t="s">
        <v>23119</v>
      </c>
      <c r="DN2269" t="s">
        <v>21645</v>
      </c>
      <c r="DO2269" t="s">
        <v>302</v>
      </c>
      <c r="DP2269" t="s">
        <v>303</v>
      </c>
      <c r="DQ2269" t="s">
        <v>26418</v>
      </c>
      <c r="DR2269" t="s">
        <v>482</v>
      </c>
      <c r="DS2269" t="s">
        <v>183</v>
      </c>
      <c r="DT2269" t="s">
        <v>211</v>
      </c>
      <c r="DV2269" t="s">
        <v>271</v>
      </c>
      <c r="DW2269" t="s">
        <v>198</v>
      </c>
      <c r="DX2269" t="s">
        <v>26419</v>
      </c>
      <c r="DY2269" t="s">
        <v>238</v>
      </c>
      <c r="DZ2269" t="s">
        <v>239</v>
      </c>
      <c r="EA2269" t="s">
        <v>26420</v>
      </c>
      <c r="EB2269" t="s">
        <v>482</v>
      </c>
      <c r="EC2269" t="s">
        <v>5</v>
      </c>
      <c r="ED2269" t="s">
        <v>211</v>
      </c>
      <c r="EE2269" t="s">
        <v>206</v>
      </c>
      <c r="EG2269" t="s">
        <v>26421</v>
      </c>
      <c r="EH2269" t="s">
        <v>26161</v>
      </c>
      <c r="EI2269" t="s">
        <v>207</v>
      </c>
      <c r="EJ2269" t="s">
        <v>208</v>
      </c>
      <c r="EK2269" t="s">
        <v>26422</v>
      </c>
      <c r="EL2269" t="s">
        <v>482</v>
      </c>
      <c r="EM2269" t="s">
        <v>5</v>
      </c>
      <c r="EN2269" t="s">
        <v>211</v>
      </c>
      <c r="EO2269" t="s">
        <v>189</v>
      </c>
      <c r="EQ2269" t="s">
        <v>26423</v>
      </c>
      <c r="FA2269" t="s">
        <v>198</v>
      </c>
      <c r="FK2269" t="s">
        <v>198</v>
      </c>
      <c r="FU2269" t="s">
        <v>198</v>
      </c>
    </row>
    <row r="2270" spans="1:177">
      <c r="A2270" s="1" t="str">
        <f>HYPERLINK("http://digipan.lumentumllc.com/apps/getLink/index.php?t=PropLink&amp;p=5244767","PL")</f>
        <v>PL</v>
      </c>
      <c r="B2270" s="1" t="str">
        <f>HYPERLINK("http://digipan.lumentumllc.com/apps/getLink/index.php?t=TaxLink&amp;p=5244767","TL")</f>
        <v>TL</v>
      </c>
      <c r="C2270" s="1" t="str">
        <f>HYPERLINK("http://digipan.lumentumllc.com/apps/getMap/index.php?p=5244767","Map")</f>
        <v>Map</v>
      </c>
      <c r="E2270" t="s">
        <v>177</v>
      </c>
      <c r="F2270" t="s">
        <v>178</v>
      </c>
      <c r="L2270" t="s">
        <v>26424</v>
      </c>
      <c r="N2270" t="s">
        <v>26424</v>
      </c>
      <c r="O2270" t="s">
        <v>26424</v>
      </c>
      <c r="P2270" t="s">
        <v>26425</v>
      </c>
      <c r="Q2270" t="s">
        <v>26424</v>
      </c>
      <c r="V2270">
        <v>2595</v>
      </c>
      <c r="W2270">
        <v>8</v>
      </c>
      <c r="X2270">
        <v>2017</v>
      </c>
      <c r="Y2270">
        <v>2018</v>
      </c>
      <c r="Z2270">
        <v>2887.74</v>
      </c>
      <c r="AB2270" t="s">
        <v>181</v>
      </c>
      <c r="AC2270" t="s">
        <v>182</v>
      </c>
      <c r="AD2270" t="s">
        <v>183</v>
      </c>
      <c r="AE2270">
        <v>0</v>
      </c>
      <c r="AF2270">
        <v>5</v>
      </c>
      <c r="AG2270" t="s">
        <v>744</v>
      </c>
      <c r="AH2270">
        <v>100</v>
      </c>
      <c r="AK2270">
        <v>0</v>
      </c>
      <c r="AL2270">
        <v>132485</v>
      </c>
      <c r="AM2270">
        <v>55556</v>
      </c>
      <c r="AN2270">
        <v>76929</v>
      </c>
      <c r="AO2270">
        <v>2672</v>
      </c>
      <c r="AP2270">
        <v>2016</v>
      </c>
      <c r="AQ2270">
        <v>2.1800000000000002</v>
      </c>
      <c r="AS2270" t="s">
        <v>26426</v>
      </c>
      <c r="AT2270" t="s">
        <v>15040</v>
      </c>
      <c r="AU2270" t="s">
        <v>177</v>
      </c>
      <c r="AV2270" t="s">
        <v>371</v>
      </c>
      <c r="AW2270" t="s">
        <v>182</v>
      </c>
      <c r="AX2270">
        <v>12</v>
      </c>
      <c r="AY2270" t="s">
        <v>3641</v>
      </c>
      <c r="AZ2270" t="s">
        <v>427</v>
      </c>
      <c r="BA2270" t="s">
        <v>7093</v>
      </c>
      <c r="BB2270" t="s">
        <v>191</v>
      </c>
      <c r="BC2270" t="s">
        <v>182</v>
      </c>
      <c r="BD2270" t="s">
        <v>182</v>
      </c>
      <c r="BE2270" t="s">
        <v>3861</v>
      </c>
      <c r="BF2270">
        <v>1</v>
      </c>
      <c r="BG2270">
        <v>0</v>
      </c>
      <c r="BH2270">
        <v>1939</v>
      </c>
      <c r="BI2270" t="s">
        <v>14080</v>
      </c>
      <c r="BJ2270" t="s">
        <v>194</v>
      </c>
      <c r="BK2270" t="s">
        <v>840</v>
      </c>
      <c r="BL2270" t="s">
        <v>1720</v>
      </c>
      <c r="BM2270" t="s">
        <v>2351</v>
      </c>
      <c r="BN2270" t="s">
        <v>182</v>
      </c>
      <c r="BO2270" t="s">
        <v>15599</v>
      </c>
      <c r="BP2270" t="s">
        <v>26427</v>
      </c>
      <c r="BR2270" t="s">
        <v>1575</v>
      </c>
      <c r="BS2270" t="s">
        <v>26428</v>
      </c>
      <c r="BT2270" t="s">
        <v>198</v>
      </c>
      <c r="BU2270" t="s">
        <v>182</v>
      </c>
      <c r="BV2270" t="s">
        <v>198</v>
      </c>
      <c r="BW2270" t="s">
        <v>198</v>
      </c>
      <c r="BX2270" t="s">
        <v>199</v>
      </c>
      <c r="BY2270" t="s">
        <v>198</v>
      </c>
      <c r="BZ2270" t="s">
        <v>199</v>
      </c>
      <c r="CA2270" t="s">
        <v>199</v>
      </c>
      <c r="CB2270" t="s">
        <v>21051</v>
      </c>
      <c r="CC2270" t="s">
        <v>201</v>
      </c>
      <c r="CD2270" t="s">
        <v>182</v>
      </c>
      <c r="CE2270" t="s">
        <v>21052</v>
      </c>
      <c r="CF2270" t="s">
        <v>5331</v>
      </c>
      <c r="CG2270" t="s">
        <v>177</v>
      </c>
      <c r="CH2270" t="s">
        <v>371</v>
      </c>
      <c r="CI2270" t="s">
        <v>26429</v>
      </c>
      <c r="CJ2270" t="s">
        <v>26332</v>
      </c>
      <c r="CK2270" t="s">
        <v>292</v>
      </c>
      <c r="CL2270" t="s">
        <v>293</v>
      </c>
      <c r="CM2270" t="s">
        <v>26430</v>
      </c>
      <c r="CN2270" t="s">
        <v>235</v>
      </c>
      <c r="CO2270" t="s">
        <v>183</v>
      </c>
      <c r="CP2270" t="s">
        <v>211</v>
      </c>
      <c r="CQ2270" t="s">
        <v>189</v>
      </c>
      <c r="CS2270" t="s">
        <v>21055</v>
      </c>
      <c r="CT2270" t="s">
        <v>26431</v>
      </c>
      <c r="CU2270" t="s">
        <v>302</v>
      </c>
      <c r="CV2270" t="s">
        <v>303</v>
      </c>
      <c r="CW2270" t="s">
        <v>26432</v>
      </c>
      <c r="CX2270" t="s">
        <v>235</v>
      </c>
      <c r="CY2270" t="s">
        <v>183</v>
      </c>
      <c r="CZ2270" t="s">
        <v>211</v>
      </c>
      <c r="DA2270" t="s">
        <v>189</v>
      </c>
      <c r="DC2270" t="s">
        <v>549</v>
      </c>
      <c r="DD2270" t="s">
        <v>8409</v>
      </c>
      <c r="DE2270" t="s">
        <v>238</v>
      </c>
      <c r="DF2270" t="s">
        <v>239</v>
      </c>
      <c r="DG2270" t="s">
        <v>26433</v>
      </c>
      <c r="DH2270" t="s">
        <v>235</v>
      </c>
      <c r="DI2270" t="s">
        <v>183</v>
      </c>
      <c r="DJ2270" t="s">
        <v>211</v>
      </c>
      <c r="DK2270" t="s">
        <v>460</v>
      </c>
      <c r="DM2270" t="s">
        <v>549</v>
      </c>
      <c r="DN2270" t="s">
        <v>26434</v>
      </c>
      <c r="DO2270" t="s">
        <v>346</v>
      </c>
      <c r="DP2270" t="s">
        <v>347</v>
      </c>
      <c r="DQ2270" t="s">
        <v>26435</v>
      </c>
      <c r="DR2270" t="s">
        <v>247</v>
      </c>
      <c r="DS2270" t="s">
        <v>183</v>
      </c>
      <c r="DT2270" t="s">
        <v>211</v>
      </c>
      <c r="DU2270" t="s">
        <v>298</v>
      </c>
      <c r="DW2270" t="s">
        <v>1622</v>
      </c>
      <c r="DX2270" t="s">
        <v>26436</v>
      </c>
      <c r="DY2270" t="s">
        <v>207</v>
      </c>
      <c r="DZ2270" t="s">
        <v>208</v>
      </c>
      <c r="EA2270" t="s">
        <v>26437</v>
      </c>
      <c r="EB2270" t="s">
        <v>235</v>
      </c>
      <c r="EC2270" t="s">
        <v>183</v>
      </c>
      <c r="ED2270" t="s">
        <v>211</v>
      </c>
      <c r="EE2270" t="s">
        <v>298</v>
      </c>
      <c r="EG2270" t="s">
        <v>474</v>
      </c>
      <c r="EQ2270" t="s">
        <v>198</v>
      </c>
      <c r="FA2270" t="s">
        <v>198</v>
      </c>
      <c r="FK2270" t="s">
        <v>198</v>
      </c>
      <c r="FU2270" t="s">
        <v>198</v>
      </c>
    </row>
    <row r="2271" spans="1:177">
      <c r="A2271" s="1" t="str">
        <f>HYPERLINK("http://digipan.lumentumllc.com/apps/getLink/index.php?t=PropLink&amp;p=7112332","PL")</f>
        <v>PL</v>
      </c>
      <c r="B2271" s="1" t="str">
        <f>HYPERLINK("http://digipan.lumentumllc.com/apps/getLink/index.php?t=TaxLink&amp;p=7112332","TL")</f>
        <v>TL</v>
      </c>
      <c r="C2271" s="1" t="str">
        <f>HYPERLINK("http://digipan.lumentumllc.com/apps/getMap/index.php?p=7112332","Map")</f>
        <v>Map</v>
      </c>
      <c r="E2271" t="s">
        <v>177</v>
      </c>
      <c r="F2271" t="s">
        <v>178</v>
      </c>
      <c r="L2271" t="s">
        <v>26438</v>
      </c>
      <c r="N2271" t="s">
        <v>26438</v>
      </c>
      <c r="O2271" t="s">
        <v>26438</v>
      </c>
      <c r="P2271" t="s">
        <v>26439</v>
      </c>
      <c r="Q2271" t="s">
        <v>26438</v>
      </c>
      <c r="V2271">
        <v>2596</v>
      </c>
      <c r="W2271">
        <v>8</v>
      </c>
      <c r="X2271">
        <v>2017</v>
      </c>
      <c r="Y2271">
        <v>2018</v>
      </c>
      <c r="Z2271">
        <v>1206.8499999999999</v>
      </c>
      <c r="AB2271" t="s">
        <v>181</v>
      </c>
      <c r="AC2271" t="s">
        <v>182</v>
      </c>
      <c r="AD2271" t="s">
        <v>183</v>
      </c>
      <c r="AE2271">
        <v>1</v>
      </c>
      <c r="AF2271">
        <v>1</v>
      </c>
      <c r="AG2271" t="s">
        <v>2222</v>
      </c>
      <c r="AH2271">
        <v>50</v>
      </c>
      <c r="AI2271">
        <v>1019.47</v>
      </c>
      <c r="AJ2271">
        <v>50.97</v>
      </c>
      <c r="AK2271">
        <v>1070.44</v>
      </c>
      <c r="AL2271">
        <v>63898</v>
      </c>
      <c r="AM2271">
        <v>44000</v>
      </c>
      <c r="AN2271">
        <v>19898</v>
      </c>
      <c r="AO2271">
        <v>918</v>
      </c>
      <c r="AP2271">
        <v>2016</v>
      </c>
      <c r="AQ2271">
        <v>1.89</v>
      </c>
      <c r="AR2271">
        <v>1.68</v>
      </c>
      <c r="AS2271" t="s">
        <v>26440</v>
      </c>
      <c r="AT2271" t="s">
        <v>15040</v>
      </c>
      <c r="AU2271" t="s">
        <v>177</v>
      </c>
      <c r="AV2271" t="s">
        <v>371</v>
      </c>
      <c r="AW2271" t="s">
        <v>182</v>
      </c>
      <c r="AX2271">
        <v>1</v>
      </c>
      <c r="AY2271" t="s">
        <v>188</v>
      </c>
      <c r="AZ2271" t="s">
        <v>206</v>
      </c>
      <c r="BA2271" t="s">
        <v>355</v>
      </c>
      <c r="BB2271" t="s">
        <v>191</v>
      </c>
      <c r="BC2271" t="s">
        <v>182</v>
      </c>
      <c r="BD2271" t="s">
        <v>182</v>
      </c>
      <c r="BE2271" t="s">
        <v>3930</v>
      </c>
      <c r="BF2271">
        <v>1</v>
      </c>
      <c r="BG2271">
        <v>1</v>
      </c>
      <c r="BH2271">
        <v>1930</v>
      </c>
      <c r="BI2271" t="s">
        <v>9888</v>
      </c>
      <c r="BJ2271" t="s">
        <v>285</v>
      </c>
      <c r="BK2271" t="s">
        <v>195</v>
      </c>
      <c r="BL2271" t="s">
        <v>26441</v>
      </c>
      <c r="BM2271" t="s">
        <v>292</v>
      </c>
      <c r="BN2271" t="s">
        <v>182</v>
      </c>
      <c r="BO2271" t="s">
        <v>198</v>
      </c>
      <c r="BP2271" t="s">
        <v>198</v>
      </c>
      <c r="BQ2271" t="s">
        <v>198</v>
      </c>
      <c r="BR2271" t="s">
        <v>198</v>
      </c>
      <c r="BS2271" t="s">
        <v>198</v>
      </c>
      <c r="BT2271" t="s">
        <v>198</v>
      </c>
      <c r="BU2271" t="s">
        <v>182</v>
      </c>
      <c r="BV2271" t="s">
        <v>198</v>
      </c>
      <c r="BW2271" t="s">
        <v>198</v>
      </c>
      <c r="BX2271" t="s">
        <v>199</v>
      </c>
      <c r="BY2271" t="s">
        <v>198</v>
      </c>
      <c r="BZ2271" t="s">
        <v>199</v>
      </c>
      <c r="CA2271" t="s">
        <v>199</v>
      </c>
      <c r="CB2271" t="s">
        <v>21418</v>
      </c>
      <c r="CC2271" t="s">
        <v>201</v>
      </c>
      <c r="CD2271" t="s">
        <v>182</v>
      </c>
      <c r="CE2271" t="s">
        <v>21419</v>
      </c>
      <c r="CF2271" t="s">
        <v>21420</v>
      </c>
      <c r="CG2271" t="s">
        <v>2769</v>
      </c>
      <c r="CH2271" t="s">
        <v>21421</v>
      </c>
      <c r="CI2271" t="s">
        <v>26442</v>
      </c>
      <c r="CJ2271" t="s">
        <v>357</v>
      </c>
      <c r="CK2271" t="s">
        <v>232</v>
      </c>
      <c r="CL2271" t="s">
        <v>233</v>
      </c>
      <c r="CM2271" t="s">
        <v>26443</v>
      </c>
      <c r="CN2271" t="s">
        <v>235</v>
      </c>
      <c r="CO2271" t="s">
        <v>183</v>
      </c>
      <c r="CP2271" t="s">
        <v>266</v>
      </c>
      <c r="CS2271" t="s">
        <v>198</v>
      </c>
      <c r="CT2271" t="s">
        <v>18709</v>
      </c>
      <c r="CU2271" t="s">
        <v>292</v>
      </c>
      <c r="CV2271" t="s">
        <v>293</v>
      </c>
      <c r="CW2271" t="s">
        <v>26444</v>
      </c>
      <c r="CX2271" t="s">
        <v>235</v>
      </c>
      <c r="CY2271" t="s">
        <v>183</v>
      </c>
      <c r="CZ2271" t="s">
        <v>211</v>
      </c>
      <c r="DA2271" t="s">
        <v>298</v>
      </c>
      <c r="DC2271" t="s">
        <v>457</v>
      </c>
      <c r="DM2271" t="s">
        <v>198</v>
      </c>
      <c r="DW2271" t="s">
        <v>198</v>
      </c>
      <c r="EG2271" t="s">
        <v>198</v>
      </c>
      <c r="EQ2271" t="s">
        <v>198</v>
      </c>
      <c r="FA2271" t="s">
        <v>198</v>
      </c>
      <c r="FK2271" t="s">
        <v>198</v>
      </c>
      <c r="FU2271" t="s">
        <v>198</v>
      </c>
    </row>
    <row r="2272" spans="1:177">
      <c r="A2272" s="1" t="str">
        <f>HYPERLINK("http://digipan.lumentumllc.com/apps/getLink/index.php?t=PropLink&amp;p=15735304","PL")</f>
        <v>PL</v>
      </c>
      <c r="B2272" s="1" t="str">
        <f>HYPERLINK("http://digipan.lumentumllc.com/apps/getLink/index.php?t=TaxLink&amp;p=15735304","TL")</f>
        <v>TL</v>
      </c>
      <c r="C2272" s="1" t="str">
        <f>HYPERLINK("http://digipan.lumentumllc.com/apps/getMap/index.php?p=15735304","Map")</f>
        <v>Map</v>
      </c>
      <c r="E2272" t="s">
        <v>177</v>
      </c>
      <c r="F2272" t="s">
        <v>178</v>
      </c>
      <c r="L2272" t="s">
        <v>26445</v>
      </c>
      <c r="N2272" t="s">
        <v>26445</v>
      </c>
      <c r="O2272" t="s">
        <v>26445</v>
      </c>
      <c r="Q2272" t="s">
        <v>26445</v>
      </c>
      <c r="V2272">
        <v>2597</v>
      </c>
      <c r="W2272">
        <v>8</v>
      </c>
      <c r="X2272">
        <v>2017</v>
      </c>
      <c r="Y2272">
        <v>2018</v>
      </c>
      <c r="Z2272">
        <v>311.23</v>
      </c>
      <c r="AB2272" t="s">
        <v>181</v>
      </c>
      <c r="AC2272" t="s">
        <v>182</v>
      </c>
      <c r="AD2272" t="s">
        <v>6467</v>
      </c>
      <c r="AE2272">
        <v>0</v>
      </c>
      <c r="AF2272">
        <v>1</v>
      </c>
      <c r="AG2272" t="s">
        <v>821</v>
      </c>
      <c r="AH2272">
        <v>100</v>
      </c>
      <c r="AK2272">
        <v>0</v>
      </c>
      <c r="AL2272">
        <v>78532</v>
      </c>
      <c r="AM2272">
        <v>55000</v>
      </c>
      <c r="AN2272">
        <v>23532</v>
      </c>
      <c r="AO2272">
        <v>257</v>
      </c>
      <c r="AP2272">
        <v>2016</v>
      </c>
      <c r="AQ2272">
        <v>0.4</v>
      </c>
      <c r="AS2272" t="s">
        <v>26446</v>
      </c>
      <c r="AT2272" t="s">
        <v>15040</v>
      </c>
      <c r="AU2272" t="s">
        <v>177</v>
      </c>
      <c r="AV2272" t="s">
        <v>371</v>
      </c>
      <c r="AW2272" t="s">
        <v>202</v>
      </c>
      <c r="AX2272">
        <v>1</v>
      </c>
      <c r="AY2272" t="s">
        <v>188</v>
      </c>
      <c r="AZ2272" t="s">
        <v>206</v>
      </c>
      <c r="BA2272" t="s">
        <v>355</v>
      </c>
      <c r="BB2272" t="s">
        <v>191</v>
      </c>
      <c r="BC2272" t="s">
        <v>182</v>
      </c>
      <c r="BD2272" t="s">
        <v>182</v>
      </c>
      <c r="BE2272" t="s">
        <v>10485</v>
      </c>
      <c r="BF2272">
        <v>1</v>
      </c>
      <c r="BG2272">
        <v>1</v>
      </c>
      <c r="BH2272">
        <v>1948</v>
      </c>
      <c r="BI2272" t="s">
        <v>7778</v>
      </c>
      <c r="BJ2272" t="s">
        <v>285</v>
      </c>
      <c r="BK2272" t="s">
        <v>195</v>
      </c>
      <c r="BL2272" t="s">
        <v>199</v>
      </c>
      <c r="BM2272" t="s">
        <v>358</v>
      </c>
      <c r="BN2272" t="s">
        <v>182</v>
      </c>
      <c r="BO2272" t="s">
        <v>198</v>
      </c>
      <c r="BP2272" t="s">
        <v>198</v>
      </c>
      <c r="BQ2272" t="s">
        <v>198</v>
      </c>
      <c r="BR2272" t="s">
        <v>198</v>
      </c>
      <c r="BS2272" t="s">
        <v>198</v>
      </c>
      <c r="BT2272" t="s">
        <v>198</v>
      </c>
      <c r="BU2272" t="s">
        <v>182</v>
      </c>
      <c r="BV2272" t="s">
        <v>198</v>
      </c>
      <c r="BW2272" t="s">
        <v>198</v>
      </c>
      <c r="BX2272" t="s">
        <v>199</v>
      </c>
      <c r="BY2272" t="s">
        <v>198</v>
      </c>
      <c r="BZ2272" t="s">
        <v>199</v>
      </c>
      <c r="CA2272" t="s">
        <v>199</v>
      </c>
      <c r="CB2272" t="s">
        <v>26447</v>
      </c>
      <c r="CC2272" t="s">
        <v>201</v>
      </c>
      <c r="CD2272" t="s">
        <v>182</v>
      </c>
      <c r="CE2272" t="s">
        <v>26448</v>
      </c>
      <c r="CF2272" t="s">
        <v>5331</v>
      </c>
      <c r="CG2272" t="s">
        <v>177</v>
      </c>
      <c r="CH2272" t="s">
        <v>371</v>
      </c>
      <c r="CI2272" t="s">
        <v>26449</v>
      </c>
      <c r="CJ2272" t="s">
        <v>25111</v>
      </c>
      <c r="CK2272" t="s">
        <v>273</v>
      </c>
      <c r="CL2272" t="s">
        <v>274</v>
      </c>
      <c r="CM2272" t="s">
        <v>26450</v>
      </c>
      <c r="CN2272" t="s">
        <v>482</v>
      </c>
      <c r="CO2272" t="s">
        <v>5</v>
      </c>
      <c r="CP2272" t="s">
        <v>211</v>
      </c>
      <c r="CQ2272" t="s">
        <v>199</v>
      </c>
      <c r="CS2272" t="s">
        <v>17131</v>
      </c>
      <c r="DC2272" t="s">
        <v>198</v>
      </c>
      <c r="DM2272" t="s">
        <v>198</v>
      </c>
      <c r="DW2272" t="s">
        <v>198</v>
      </c>
      <c r="EG2272" t="s">
        <v>198</v>
      </c>
      <c r="EQ2272" t="s">
        <v>198</v>
      </c>
      <c r="FA2272" t="s">
        <v>198</v>
      </c>
      <c r="FK2272" t="s">
        <v>198</v>
      </c>
      <c r="FU2272" t="s">
        <v>198</v>
      </c>
    </row>
    <row r="2273" spans="1:177">
      <c r="A2273" s="1" t="str">
        <f>HYPERLINK("http://digipan.lumentumllc.com/apps/getLink/index.php?t=PropLink&amp;p=6594092","PL")</f>
        <v>PL</v>
      </c>
      <c r="B2273" s="1" t="str">
        <f>HYPERLINK("http://digipan.lumentumllc.com/apps/getLink/index.php?t=TaxLink&amp;p=6594092","TL")</f>
        <v>TL</v>
      </c>
      <c r="C2273" s="1" t="str">
        <f>HYPERLINK("http://digipan.lumentumllc.com/apps/getMap/index.php?p=6594092","Map")</f>
        <v>Map</v>
      </c>
      <c r="E2273" t="s">
        <v>177</v>
      </c>
      <c r="F2273" t="s">
        <v>178</v>
      </c>
      <c r="L2273" t="s">
        <v>26451</v>
      </c>
      <c r="N2273" t="s">
        <v>26451</v>
      </c>
      <c r="O2273" t="s">
        <v>26451</v>
      </c>
      <c r="P2273" t="s">
        <v>26452</v>
      </c>
      <c r="Q2273" t="s">
        <v>26451</v>
      </c>
      <c r="V2273">
        <v>2598</v>
      </c>
      <c r="W2273">
        <v>8</v>
      </c>
      <c r="X2273">
        <v>2017</v>
      </c>
      <c r="Y2273">
        <v>2018</v>
      </c>
      <c r="Z2273">
        <v>252.56</v>
      </c>
      <c r="AB2273" t="s">
        <v>181</v>
      </c>
      <c r="AC2273" t="s">
        <v>182</v>
      </c>
      <c r="AD2273" t="s">
        <v>183</v>
      </c>
      <c r="AE2273">
        <v>0</v>
      </c>
      <c r="AF2273">
        <v>1</v>
      </c>
      <c r="AG2273" t="s">
        <v>821</v>
      </c>
      <c r="AH2273">
        <v>100</v>
      </c>
      <c r="AK2273">
        <v>0</v>
      </c>
      <c r="AL2273">
        <v>109139</v>
      </c>
      <c r="AM2273">
        <v>50464</v>
      </c>
      <c r="AN2273">
        <v>58675</v>
      </c>
      <c r="AO2273">
        <v>521</v>
      </c>
      <c r="AP2273">
        <v>2016</v>
      </c>
      <c r="AQ2273">
        <v>0.23</v>
      </c>
      <c r="AS2273" t="s">
        <v>26453</v>
      </c>
      <c r="AT2273" t="s">
        <v>15040</v>
      </c>
      <c r="AU2273" t="s">
        <v>177</v>
      </c>
      <c r="AV2273" t="s">
        <v>371</v>
      </c>
      <c r="AW2273" t="s">
        <v>202</v>
      </c>
      <c r="AX2273">
        <v>1</v>
      </c>
      <c r="AY2273" t="s">
        <v>188</v>
      </c>
      <c r="AZ2273" t="s">
        <v>206</v>
      </c>
      <c r="BA2273" t="s">
        <v>355</v>
      </c>
      <c r="BB2273" t="s">
        <v>191</v>
      </c>
      <c r="BC2273" t="s">
        <v>182</v>
      </c>
      <c r="BD2273" t="s">
        <v>182</v>
      </c>
      <c r="BE2273" t="s">
        <v>11735</v>
      </c>
      <c r="BF2273">
        <v>1</v>
      </c>
      <c r="BG2273">
        <v>1</v>
      </c>
      <c r="BH2273">
        <v>1946</v>
      </c>
      <c r="BI2273" t="s">
        <v>11833</v>
      </c>
      <c r="BJ2273" t="s">
        <v>194</v>
      </c>
      <c r="BK2273" t="s">
        <v>195</v>
      </c>
      <c r="BL2273" t="s">
        <v>199</v>
      </c>
      <c r="BM2273" t="s">
        <v>358</v>
      </c>
      <c r="BN2273" t="s">
        <v>182</v>
      </c>
      <c r="BO2273" t="s">
        <v>198</v>
      </c>
      <c r="BP2273" t="s">
        <v>198</v>
      </c>
      <c r="BQ2273" t="s">
        <v>198</v>
      </c>
      <c r="BR2273" t="s">
        <v>198</v>
      </c>
      <c r="BS2273" t="s">
        <v>198</v>
      </c>
      <c r="BT2273" t="s">
        <v>198</v>
      </c>
      <c r="BU2273" t="s">
        <v>182</v>
      </c>
      <c r="BV2273" t="s">
        <v>198</v>
      </c>
      <c r="BW2273" t="s">
        <v>198</v>
      </c>
      <c r="BX2273" t="s">
        <v>199</v>
      </c>
      <c r="BY2273" t="s">
        <v>198</v>
      </c>
      <c r="BZ2273" t="s">
        <v>199</v>
      </c>
      <c r="CA2273" t="s">
        <v>199</v>
      </c>
      <c r="CB2273" t="s">
        <v>26454</v>
      </c>
      <c r="CC2273" t="s">
        <v>201</v>
      </c>
      <c r="CD2273" t="s">
        <v>182</v>
      </c>
      <c r="CE2273" t="s">
        <v>26455</v>
      </c>
      <c r="CF2273" t="s">
        <v>5331</v>
      </c>
      <c r="CG2273" t="s">
        <v>177</v>
      </c>
      <c r="CH2273" t="s">
        <v>371</v>
      </c>
      <c r="CI2273" t="s">
        <v>26456</v>
      </c>
      <c r="CJ2273" t="s">
        <v>3373</v>
      </c>
      <c r="CK2273" t="s">
        <v>232</v>
      </c>
      <c r="CL2273" t="s">
        <v>233</v>
      </c>
      <c r="CM2273" t="s">
        <v>26457</v>
      </c>
      <c r="CN2273" t="s">
        <v>235</v>
      </c>
      <c r="CO2273" t="s">
        <v>183</v>
      </c>
      <c r="CP2273" t="s">
        <v>211</v>
      </c>
      <c r="CQ2273" t="s">
        <v>206</v>
      </c>
      <c r="CS2273" t="s">
        <v>26458</v>
      </c>
      <c r="DC2273" t="s">
        <v>198</v>
      </c>
      <c r="DM2273" t="s">
        <v>198</v>
      </c>
      <c r="DW2273" t="s">
        <v>198</v>
      </c>
      <c r="EG2273" t="s">
        <v>198</v>
      </c>
      <c r="EQ2273" t="s">
        <v>198</v>
      </c>
      <c r="FA2273" t="s">
        <v>198</v>
      </c>
      <c r="FK2273" t="s">
        <v>198</v>
      </c>
      <c r="FU2273" t="s">
        <v>198</v>
      </c>
    </row>
    <row r="2274" spans="1:177">
      <c r="A2274" s="1" t="str">
        <f>HYPERLINK("http://digipan.lumentumllc.com/apps/getLink/index.php?t=PropLink&amp;p=6594093","PL")</f>
        <v>PL</v>
      </c>
      <c r="B2274" s="1" t="str">
        <f>HYPERLINK("http://digipan.lumentumllc.com/apps/getLink/index.php?t=TaxLink&amp;p=6594093","TL")</f>
        <v>TL</v>
      </c>
      <c r="C2274" s="1" t="str">
        <f>HYPERLINK("http://digipan.lumentumllc.com/apps/getMap/index.php?p=6594093","Map")</f>
        <v>Map</v>
      </c>
      <c r="E2274" t="s">
        <v>177</v>
      </c>
      <c r="F2274" t="s">
        <v>178</v>
      </c>
      <c r="L2274" t="s">
        <v>26459</v>
      </c>
      <c r="N2274" t="s">
        <v>26459</v>
      </c>
      <c r="O2274" t="s">
        <v>26459</v>
      </c>
      <c r="P2274" t="s">
        <v>26460</v>
      </c>
      <c r="Q2274" t="s">
        <v>26459</v>
      </c>
      <c r="V2274">
        <v>2599</v>
      </c>
      <c r="W2274">
        <v>8</v>
      </c>
      <c r="X2274">
        <v>2017</v>
      </c>
      <c r="Y2274">
        <v>2018</v>
      </c>
      <c r="Z2274">
        <v>6757.52</v>
      </c>
      <c r="AB2274" t="s">
        <v>181</v>
      </c>
      <c r="AC2274" t="s">
        <v>182</v>
      </c>
      <c r="AD2274" t="s">
        <v>183</v>
      </c>
      <c r="AE2274">
        <v>1</v>
      </c>
      <c r="AF2274">
        <v>3</v>
      </c>
      <c r="AG2274" t="s">
        <v>257</v>
      </c>
      <c r="AH2274">
        <v>75</v>
      </c>
      <c r="AI2274">
        <v>6284.88</v>
      </c>
      <c r="AJ2274">
        <v>314.24</v>
      </c>
      <c r="AK2274">
        <v>6599.12</v>
      </c>
      <c r="AL2274">
        <v>314619</v>
      </c>
      <c r="AM2274">
        <v>192000</v>
      </c>
      <c r="AN2274">
        <v>122619</v>
      </c>
      <c r="AO2274">
        <v>5786</v>
      </c>
      <c r="AP2274">
        <v>2016</v>
      </c>
      <c r="AQ2274">
        <v>2.15</v>
      </c>
      <c r="AR2274">
        <v>2.1</v>
      </c>
      <c r="AS2274" t="s">
        <v>26461</v>
      </c>
      <c r="AT2274" t="s">
        <v>15040</v>
      </c>
      <c r="AU2274" t="s">
        <v>177</v>
      </c>
      <c r="AV2274" t="s">
        <v>371</v>
      </c>
      <c r="AW2274" t="s">
        <v>182</v>
      </c>
      <c r="AX2274">
        <v>1</v>
      </c>
      <c r="AY2274" t="s">
        <v>188</v>
      </c>
      <c r="AZ2274" t="s">
        <v>206</v>
      </c>
      <c r="BA2274" t="s">
        <v>355</v>
      </c>
      <c r="BB2274" t="s">
        <v>191</v>
      </c>
      <c r="BC2274" t="s">
        <v>182</v>
      </c>
      <c r="BD2274" t="s">
        <v>182</v>
      </c>
      <c r="BE2274" t="s">
        <v>2503</v>
      </c>
      <c r="BF2274">
        <v>1</v>
      </c>
      <c r="BG2274">
        <v>1</v>
      </c>
      <c r="BH2274">
        <v>1975</v>
      </c>
      <c r="BI2274" t="s">
        <v>19111</v>
      </c>
      <c r="BJ2274" t="s">
        <v>396</v>
      </c>
      <c r="BK2274" t="s">
        <v>195</v>
      </c>
      <c r="BL2274" t="s">
        <v>2801</v>
      </c>
      <c r="BM2274" t="s">
        <v>1474</v>
      </c>
      <c r="BN2274" t="s">
        <v>182</v>
      </c>
      <c r="BO2274" t="s">
        <v>3184</v>
      </c>
      <c r="BP2274" t="s">
        <v>1574</v>
      </c>
      <c r="BR2274" t="s">
        <v>1461</v>
      </c>
      <c r="BS2274" t="s">
        <v>26462</v>
      </c>
      <c r="BT2274" t="s">
        <v>198</v>
      </c>
      <c r="BU2274" t="s">
        <v>182</v>
      </c>
      <c r="BV2274" t="s">
        <v>198</v>
      </c>
      <c r="BW2274" t="s">
        <v>198</v>
      </c>
      <c r="BX2274" t="s">
        <v>199</v>
      </c>
      <c r="BY2274" t="s">
        <v>198</v>
      </c>
      <c r="BZ2274" t="s">
        <v>199</v>
      </c>
      <c r="CA2274" t="s">
        <v>199</v>
      </c>
      <c r="CB2274" t="s">
        <v>26463</v>
      </c>
      <c r="CC2274" t="s">
        <v>201</v>
      </c>
      <c r="CD2274" t="s">
        <v>202</v>
      </c>
      <c r="CE2274" t="s">
        <v>26464</v>
      </c>
      <c r="CF2274" t="s">
        <v>5331</v>
      </c>
      <c r="CG2274" t="s">
        <v>177</v>
      </c>
      <c r="CH2274" t="s">
        <v>371</v>
      </c>
      <c r="CI2274" t="s">
        <v>26465</v>
      </c>
      <c r="CJ2274" t="s">
        <v>7714</v>
      </c>
      <c r="CK2274" t="s">
        <v>232</v>
      </c>
      <c r="CL2274" t="s">
        <v>233</v>
      </c>
      <c r="CM2274" t="s">
        <v>26466</v>
      </c>
      <c r="CN2274" t="s">
        <v>235</v>
      </c>
      <c r="CO2274" t="s">
        <v>183</v>
      </c>
      <c r="CP2274" t="s">
        <v>266</v>
      </c>
      <c r="CS2274" t="s">
        <v>198</v>
      </c>
      <c r="CT2274" t="s">
        <v>2951</v>
      </c>
      <c r="CU2274" t="s">
        <v>292</v>
      </c>
      <c r="CV2274" t="s">
        <v>293</v>
      </c>
      <c r="CW2274" t="s">
        <v>26467</v>
      </c>
      <c r="CX2274" t="s">
        <v>235</v>
      </c>
      <c r="CY2274" t="s">
        <v>183</v>
      </c>
      <c r="CZ2274" t="s">
        <v>211</v>
      </c>
      <c r="DA2274" t="s">
        <v>345</v>
      </c>
      <c r="DC2274" t="s">
        <v>1088</v>
      </c>
      <c r="DD2274" t="s">
        <v>22899</v>
      </c>
      <c r="DE2274" t="s">
        <v>267</v>
      </c>
      <c r="DF2274" t="s">
        <v>268</v>
      </c>
      <c r="DG2274" t="s">
        <v>26468</v>
      </c>
      <c r="DH2274" t="s">
        <v>235</v>
      </c>
      <c r="DI2274" t="s">
        <v>183</v>
      </c>
      <c r="DJ2274" t="s">
        <v>211</v>
      </c>
      <c r="DK2274" t="s">
        <v>847</v>
      </c>
      <c r="DM2274" t="s">
        <v>9828</v>
      </c>
      <c r="DN2274" t="s">
        <v>26469</v>
      </c>
      <c r="DO2274" t="s">
        <v>273</v>
      </c>
      <c r="DP2274" t="s">
        <v>274</v>
      </c>
      <c r="DQ2274" t="s">
        <v>26470</v>
      </c>
      <c r="DR2274" t="s">
        <v>235</v>
      </c>
      <c r="DS2274" t="s">
        <v>183</v>
      </c>
      <c r="DT2274" t="s">
        <v>211</v>
      </c>
      <c r="DU2274" t="s">
        <v>616</v>
      </c>
      <c r="DW2274" t="s">
        <v>10057</v>
      </c>
      <c r="EG2274" t="s">
        <v>198</v>
      </c>
      <c r="EQ2274" t="s">
        <v>198</v>
      </c>
      <c r="FA2274" t="s">
        <v>198</v>
      </c>
      <c r="FK2274" t="s">
        <v>198</v>
      </c>
      <c r="FU2274" t="s">
        <v>198</v>
      </c>
    </row>
    <row r="2275" spans="1:177">
      <c r="A2275" s="1" t="str">
        <f>HYPERLINK("http://digipan.lumentumllc.com/apps/getLink/index.php?t=PropLink&amp;p=15735377","PL")</f>
        <v>PL</v>
      </c>
      <c r="B2275" s="1" t="str">
        <f>HYPERLINK("http://digipan.lumentumllc.com/apps/getLink/index.php?t=TaxLink&amp;p=15735377","TL")</f>
        <v>TL</v>
      </c>
      <c r="C2275" s="1" t="str">
        <f>HYPERLINK("http://digipan.lumentumllc.com/apps/getMap/index.php?p=15735377","Map")</f>
        <v>Map</v>
      </c>
      <c r="E2275" t="s">
        <v>177</v>
      </c>
      <c r="F2275" t="s">
        <v>178</v>
      </c>
      <c r="L2275" t="s">
        <v>26471</v>
      </c>
      <c r="N2275" t="s">
        <v>26471</v>
      </c>
      <c r="O2275" t="s">
        <v>26471</v>
      </c>
      <c r="Q2275" t="s">
        <v>26471</v>
      </c>
      <c r="V2275">
        <v>2600</v>
      </c>
      <c r="W2275">
        <v>8</v>
      </c>
      <c r="X2275">
        <v>2017</v>
      </c>
      <c r="Y2275">
        <v>2018</v>
      </c>
      <c r="Z2275">
        <v>1533.13</v>
      </c>
      <c r="AG2275" t="s">
        <v>184</v>
      </c>
      <c r="AH2275">
        <v>0</v>
      </c>
      <c r="AK2275">
        <v>0</v>
      </c>
      <c r="AL2275">
        <v>126611</v>
      </c>
      <c r="AM2275">
        <v>80000</v>
      </c>
      <c r="AN2275">
        <v>46611</v>
      </c>
      <c r="AO2275">
        <v>1281</v>
      </c>
      <c r="AP2275">
        <v>2016</v>
      </c>
      <c r="AQ2275">
        <v>1.21</v>
      </c>
      <c r="AS2275" t="s">
        <v>26472</v>
      </c>
      <c r="AT2275" t="s">
        <v>15040</v>
      </c>
      <c r="AU2275" t="s">
        <v>177</v>
      </c>
      <c r="AV2275" t="s">
        <v>371</v>
      </c>
      <c r="AW2275" t="s">
        <v>202</v>
      </c>
      <c r="AX2275">
        <v>1</v>
      </c>
      <c r="AY2275" t="s">
        <v>188</v>
      </c>
      <c r="AZ2275" t="s">
        <v>206</v>
      </c>
      <c r="BA2275" t="s">
        <v>355</v>
      </c>
      <c r="BB2275" t="s">
        <v>191</v>
      </c>
      <c r="BC2275" t="s">
        <v>182</v>
      </c>
      <c r="BD2275" t="s">
        <v>182</v>
      </c>
      <c r="BE2275" t="s">
        <v>9756</v>
      </c>
      <c r="BF2275">
        <v>1</v>
      </c>
      <c r="BG2275">
        <v>1</v>
      </c>
      <c r="BH2275">
        <v>1949</v>
      </c>
      <c r="BI2275" t="s">
        <v>6874</v>
      </c>
      <c r="BJ2275" t="s">
        <v>194</v>
      </c>
      <c r="BK2275" t="s">
        <v>840</v>
      </c>
      <c r="BL2275" t="s">
        <v>26473</v>
      </c>
      <c r="BM2275" t="s">
        <v>559</v>
      </c>
      <c r="BN2275" t="s">
        <v>182</v>
      </c>
      <c r="BO2275" t="s">
        <v>26474</v>
      </c>
      <c r="BP2275" t="s">
        <v>26475</v>
      </c>
      <c r="BQ2275" t="s">
        <v>562</v>
      </c>
      <c r="BR2275" t="s">
        <v>563</v>
      </c>
      <c r="BS2275" t="s">
        <v>198</v>
      </c>
      <c r="BT2275" t="s">
        <v>564</v>
      </c>
      <c r="BU2275" t="s">
        <v>182</v>
      </c>
      <c r="BV2275" t="s">
        <v>198</v>
      </c>
      <c r="BW2275" t="s">
        <v>198</v>
      </c>
      <c r="BX2275" t="s">
        <v>199</v>
      </c>
      <c r="BY2275" t="s">
        <v>198</v>
      </c>
      <c r="BZ2275" t="s">
        <v>199</v>
      </c>
      <c r="CA2275" t="s">
        <v>199</v>
      </c>
      <c r="CB2275" t="s">
        <v>26476</v>
      </c>
      <c r="CC2275" t="s">
        <v>201</v>
      </c>
      <c r="CD2275" t="s">
        <v>202</v>
      </c>
      <c r="CE2275" t="s">
        <v>26477</v>
      </c>
      <c r="CF2275" t="s">
        <v>5331</v>
      </c>
      <c r="CG2275" t="s">
        <v>177</v>
      </c>
      <c r="CH2275" t="s">
        <v>371</v>
      </c>
      <c r="CI2275" t="s">
        <v>26478</v>
      </c>
      <c r="CS2275" t="s">
        <v>198</v>
      </c>
      <c r="DC2275" t="s">
        <v>198</v>
      </c>
      <c r="DM2275" t="s">
        <v>198</v>
      </c>
      <c r="DW2275" t="s">
        <v>198</v>
      </c>
      <c r="EG2275" t="s">
        <v>198</v>
      </c>
      <c r="EQ2275" t="s">
        <v>198</v>
      </c>
      <c r="FA2275" t="s">
        <v>198</v>
      </c>
      <c r="FK2275" t="s">
        <v>198</v>
      </c>
      <c r="FU2275" t="s">
        <v>198</v>
      </c>
    </row>
    <row r="2276" spans="1:177">
      <c r="A2276" s="1" t="str">
        <f>HYPERLINK("http://digipan.lumentumllc.com/apps/getLink/index.php?t=PropLink&amp;p=6594097","PL")</f>
        <v>PL</v>
      </c>
      <c r="B2276" s="1" t="str">
        <f>HYPERLINK("http://digipan.lumentumllc.com/apps/getLink/index.php?t=TaxLink&amp;p=6594097","TL")</f>
        <v>TL</v>
      </c>
      <c r="C2276" s="1" t="str">
        <f>HYPERLINK("http://digipan.lumentumllc.com/apps/getMap/index.php?p=6594097","Map")</f>
        <v>Map</v>
      </c>
      <c r="E2276" t="s">
        <v>177</v>
      </c>
      <c r="F2276" t="s">
        <v>178</v>
      </c>
      <c r="L2276" t="s">
        <v>26479</v>
      </c>
      <c r="N2276" t="s">
        <v>26479</v>
      </c>
      <c r="O2276" t="s">
        <v>26479</v>
      </c>
      <c r="P2276" t="s">
        <v>26480</v>
      </c>
      <c r="Q2276" t="s">
        <v>26479</v>
      </c>
      <c r="V2276">
        <v>2604</v>
      </c>
      <c r="W2276">
        <v>8</v>
      </c>
      <c r="X2276">
        <v>2017</v>
      </c>
      <c r="Y2276">
        <v>2018</v>
      </c>
      <c r="Z2276">
        <v>2557.17</v>
      </c>
      <c r="AB2276" t="s">
        <v>181</v>
      </c>
      <c r="AC2276" t="s">
        <v>182</v>
      </c>
      <c r="AD2276" t="s">
        <v>183</v>
      </c>
      <c r="AE2276">
        <v>0</v>
      </c>
      <c r="AF2276">
        <v>1</v>
      </c>
      <c r="AG2276" t="s">
        <v>821</v>
      </c>
      <c r="AH2276">
        <v>100</v>
      </c>
      <c r="AK2276">
        <v>0</v>
      </c>
      <c r="AL2276">
        <v>119614</v>
      </c>
      <c r="AM2276">
        <v>42879</v>
      </c>
      <c r="AN2276">
        <v>76735</v>
      </c>
      <c r="AO2276">
        <v>2134</v>
      </c>
      <c r="AP2276">
        <v>2016</v>
      </c>
      <c r="AQ2276">
        <v>2.14</v>
      </c>
      <c r="AS2276" t="s">
        <v>26481</v>
      </c>
      <c r="AT2276" t="s">
        <v>15040</v>
      </c>
      <c r="AU2276" t="s">
        <v>177</v>
      </c>
      <c r="AV2276" t="s">
        <v>371</v>
      </c>
      <c r="AW2276" t="s">
        <v>182</v>
      </c>
      <c r="AX2276">
        <v>1</v>
      </c>
      <c r="AY2276" t="s">
        <v>188</v>
      </c>
      <c r="AZ2276" t="s">
        <v>206</v>
      </c>
      <c r="BA2276" t="s">
        <v>355</v>
      </c>
      <c r="BB2276" t="s">
        <v>191</v>
      </c>
      <c r="BC2276" t="s">
        <v>182</v>
      </c>
      <c r="BD2276" t="s">
        <v>182</v>
      </c>
      <c r="BE2276" t="s">
        <v>20287</v>
      </c>
      <c r="BF2276">
        <v>1</v>
      </c>
      <c r="BG2276">
        <v>1</v>
      </c>
      <c r="BH2276">
        <v>1977</v>
      </c>
      <c r="BI2276" t="s">
        <v>15303</v>
      </c>
      <c r="BJ2276" t="s">
        <v>194</v>
      </c>
      <c r="BK2276" t="s">
        <v>195</v>
      </c>
      <c r="BL2276" t="s">
        <v>199</v>
      </c>
      <c r="BM2276" t="s">
        <v>207</v>
      </c>
      <c r="BN2276" t="s">
        <v>182</v>
      </c>
      <c r="BO2276" t="s">
        <v>1204</v>
      </c>
      <c r="BP2276" t="s">
        <v>26482</v>
      </c>
      <c r="BQ2276" t="s">
        <v>800</v>
      </c>
      <c r="BR2276" t="s">
        <v>563</v>
      </c>
      <c r="BS2276" t="s">
        <v>198</v>
      </c>
      <c r="BT2276" t="s">
        <v>26483</v>
      </c>
      <c r="BU2276" t="s">
        <v>182</v>
      </c>
      <c r="BV2276" t="s">
        <v>198</v>
      </c>
      <c r="BW2276" t="s">
        <v>198</v>
      </c>
      <c r="BX2276" t="s">
        <v>199</v>
      </c>
      <c r="BY2276" t="s">
        <v>198</v>
      </c>
      <c r="BZ2276" t="s">
        <v>199</v>
      </c>
      <c r="CA2276" t="s">
        <v>199</v>
      </c>
      <c r="CB2276" t="s">
        <v>26484</v>
      </c>
      <c r="CC2276" t="s">
        <v>201</v>
      </c>
      <c r="CD2276" t="s">
        <v>182</v>
      </c>
      <c r="CE2276" t="s">
        <v>15143</v>
      </c>
      <c r="CF2276" t="s">
        <v>2333</v>
      </c>
      <c r="CG2276" t="s">
        <v>177</v>
      </c>
      <c r="CH2276" t="s">
        <v>2334</v>
      </c>
      <c r="CI2276" t="s">
        <v>26485</v>
      </c>
      <c r="CJ2276" t="s">
        <v>21531</v>
      </c>
      <c r="CK2276" t="s">
        <v>273</v>
      </c>
      <c r="CL2276" t="s">
        <v>274</v>
      </c>
      <c r="CM2276" t="s">
        <v>26486</v>
      </c>
      <c r="CN2276" t="s">
        <v>235</v>
      </c>
      <c r="CO2276" t="s">
        <v>183</v>
      </c>
      <c r="CP2276" t="s">
        <v>211</v>
      </c>
      <c r="CQ2276" t="s">
        <v>199</v>
      </c>
      <c r="CS2276" t="s">
        <v>11027</v>
      </c>
      <c r="DC2276" t="s">
        <v>198</v>
      </c>
      <c r="DM2276" t="s">
        <v>198</v>
      </c>
      <c r="DW2276" t="s">
        <v>198</v>
      </c>
      <c r="EG2276" t="s">
        <v>198</v>
      </c>
      <c r="EQ2276" t="s">
        <v>198</v>
      </c>
      <c r="FA2276" t="s">
        <v>198</v>
      </c>
      <c r="FK2276" t="s">
        <v>198</v>
      </c>
      <c r="FU2276" t="s">
        <v>198</v>
      </c>
    </row>
    <row r="2277" spans="1:177">
      <c r="A2277" s="1" t="str">
        <f>HYPERLINK("http://digipan.lumentumllc.com/apps/getLink/index.php?t=PropLink&amp;p=5244780","PL")</f>
        <v>PL</v>
      </c>
      <c r="B2277" s="1" t="str">
        <f>HYPERLINK("http://digipan.lumentumllc.com/apps/getLink/index.php?t=TaxLink&amp;p=5244780","TL")</f>
        <v>TL</v>
      </c>
      <c r="C2277" s="1" t="str">
        <f>HYPERLINK("http://digipan.lumentumllc.com/apps/getMap/index.php?p=5244780","Map")</f>
        <v>Map</v>
      </c>
      <c r="E2277" t="s">
        <v>177</v>
      </c>
      <c r="F2277" t="s">
        <v>178</v>
      </c>
      <c r="L2277" t="s">
        <v>26487</v>
      </c>
      <c r="N2277" t="s">
        <v>26487</v>
      </c>
      <c r="O2277" t="s">
        <v>26487</v>
      </c>
      <c r="P2277" t="s">
        <v>26488</v>
      </c>
      <c r="Q2277" t="s">
        <v>26487</v>
      </c>
      <c r="V2277">
        <v>2605</v>
      </c>
      <c r="W2277">
        <v>8</v>
      </c>
      <c r="X2277">
        <v>2017</v>
      </c>
      <c r="Y2277">
        <v>2018</v>
      </c>
      <c r="Z2277">
        <v>10919.31</v>
      </c>
      <c r="AG2277" t="s">
        <v>184</v>
      </c>
      <c r="AH2277">
        <v>0</v>
      </c>
      <c r="AK2277">
        <v>0</v>
      </c>
      <c r="AL2277">
        <v>505093</v>
      </c>
      <c r="AM2277">
        <v>123840</v>
      </c>
      <c r="AN2277">
        <v>381253</v>
      </c>
      <c r="AO2277">
        <v>10393</v>
      </c>
      <c r="AP2277">
        <v>2016</v>
      </c>
      <c r="AQ2277">
        <v>2.16</v>
      </c>
      <c r="AS2277" t="s">
        <v>26489</v>
      </c>
      <c r="AT2277" t="s">
        <v>15040</v>
      </c>
      <c r="AU2277" t="s">
        <v>177</v>
      </c>
      <c r="AV2277" t="s">
        <v>371</v>
      </c>
      <c r="AW2277" t="s">
        <v>182</v>
      </c>
      <c r="AX2277">
        <v>19</v>
      </c>
      <c r="AY2277" t="s">
        <v>3641</v>
      </c>
      <c r="AZ2277" t="s">
        <v>523</v>
      </c>
      <c r="BA2277" t="s">
        <v>26372</v>
      </c>
      <c r="BB2277" t="s">
        <v>191</v>
      </c>
      <c r="BC2277" t="s">
        <v>182</v>
      </c>
      <c r="BD2277" t="s">
        <v>182</v>
      </c>
      <c r="BE2277" t="s">
        <v>6073</v>
      </c>
      <c r="BF2277">
        <v>1</v>
      </c>
      <c r="BG2277">
        <v>0</v>
      </c>
      <c r="BH2277">
        <v>2006</v>
      </c>
      <c r="BI2277" t="s">
        <v>26490</v>
      </c>
      <c r="BJ2277" t="s">
        <v>396</v>
      </c>
      <c r="BK2277" t="s">
        <v>840</v>
      </c>
      <c r="BL2277" t="s">
        <v>25579</v>
      </c>
      <c r="BM2277" t="s">
        <v>410</v>
      </c>
      <c r="BN2277" t="s">
        <v>182</v>
      </c>
      <c r="BO2277" t="s">
        <v>26491</v>
      </c>
      <c r="BP2277" t="s">
        <v>5899</v>
      </c>
      <c r="BS2277" t="s">
        <v>20970</v>
      </c>
      <c r="BT2277" t="s">
        <v>198</v>
      </c>
      <c r="BU2277" t="s">
        <v>182</v>
      </c>
      <c r="BV2277" t="s">
        <v>198</v>
      </c>
      <c r="BW2277" t="s">
        <v>198</v>
      </c>
      <c r="BX2277" t="s">
        <v>199</v>
      </c>
      <c r="BY2277" t="s">
        <v>198</v>
      </c>
      <c r="BZ2277" t="s">
        <v>199</v>
      </c>
      <c r="CA2277" t="s">
        <v>199</v>
      </c>
      <c r="CB2277" t="s">
        <v>26492</v>
      </c>
      <c r="CC2277" t="s">
        <v>201</v>
      </c>
      <c r="CD2277" t="s">
        <v>182</v>
      </c>
      <c r="CE2277" t="s">
        <v>26493</v>
      </c>
      <c r="CF2277" t="s">
        <v>5331</v>
      </c>
      <c r="CG2277" t="s">
        <v>177</v>
      </c>
      <c r="CH2277" t="s">
        <v>371</v>
      </c>
      <c r="CI2277" t="s">
        <v>26494</v>
      </c>
      <c r="CS2277" t="s">
        <v>198</v>
      </c>
      <c r="DC2277" t="s">
        <v>198</v>
      </c>
      <c r="DM2277" t="s">
        <v>198</v>
      </c>
      <c r="DW2277" t="s">
        <v>198</v>
      </c>
      <c r="EG2277" t="s">
        <v>198</v>
      </c>
      <c r="EQ2277" t="s">
        <v>198</v>
      </c>
      <c r="FA2277" t="s">
        <v>198</v>
      </c>
      <c r="FK2277" t="s">
        <v>198</v>
      </c>
      <c r="FU2277" t="s">
        <v>198</v>
      </c>
    </row>
    <row r="2278" spans="1:177">
      <c r="A2278" s="1" t="str">
        <f>HYPERLINK("http://digipan.lumentumllc.com/apps/getLink/index.php?t=PropLink&amp;p=5244784","PL")</f>
        <v>PL</v>
      </c>
      <c r="B2278" s="1" t="str">
        <f>HYPERLINK("http://digipan.lumentumllc.com/apps/getLink/index.php?t=TaxLink&amp;p=5244784","TL")</f>
        <v>TL</v>
      </c>
      <c r="C2278" s="1" t="str">
        <f>HYPERLINK("http://digipan.lumentumllc.com/apps/getMap/index.php?p=5244784","Map")</f>
        <v>Map</v>
      </c>
      <c r="E2278" t="s">
        <v>177</v>
      </c>
      <c r="F2278" t="s">
        <v>178</v>
      </c>
      <c r="L2278" t="s">
        <v>26495</v>
      </c>
      <c r="N2278" t="s">
        <v>26495</v>
      </c>
      <c r="O2278" t="s">
        <v>26495</v>
      </c>
      <c r="P2278" t="s">
        <v>26496</v>
      </c>
      <c r="Q2278" t="s">
        <v>26495</v>
      </c>
      <c r="V2278">
        <v>2606</v>
      </c>
      <c r="W2278">
        <v>8</v>
      </c>
      <c r="X2278">
        <v>2017</v>
      </c>
      <c r="Y2278">
        <v>2018</v>
      </c>
      <c r="Z2278">
        <v>1637.29</v>
      </c>
      <c r="AG2278" t="s">
        <v>184</v>
      </c>
      <c r="AH2278">
        <v>0</v>
      </c>
      <c r="AK2278">
        <v>0</v>
      </c>
      <c r="AL2278">
        <v>267189</v>
      </c>
      <c r="AM2278">
        <v>122500</v>
      </c>
      <c r="AN2278">
        <v>144689</v>
      </c>
      <c r="AO2278">
        <v>4196</v>
      </c>
      <c r="AP2278">
        <v>2016</v>
      </c>
      <c r="AQ2278">
        <v>0.61</v>
      </c>
      <c r="AS2278" t="s">
        <v>26497</v>
      </c>
      <c r="AT2278" t="s">
        <v>15040</v>
      </c>
      <c r="AU2278" t="s">
        <v>177</v>
      </c>
      <c r="AV2278" t="s">
        <v>371</v>
      </c>
      <c r="AW2278" t="s">
        <v>182</v>
      </c>
      <c r="AX2278">
        <v>12</v>
      </c>
      <c r="AY2278" t="s">
        <v>3641</v>
      </c>
      <c r="AZ2278" t="s">
        <v>427</v>
      </c>
      <c r="BA2278" t="s">
        <v>7093</v>
      </c>
      <c r="BB2278" t="s">
        <v>191</v>
      </c>
      <c r="BC2278" t="s">
        <v>182</v>
      </c>
      <c r="BD2278" t="s">
        <v>182</v>
      </c>
      <c r="BE2278" t="s">
        <v>5737</v>
      </c>
      <c r="BF2278">
        <v>1</v>
      </c>
      <c r="BG2278">
        <v>0</v>
      </c>
      <c r="BH2278">
        <v>1900</v>
      </c>
      <c r="BI2278" t="s">
        <v>22800</v>
      </c>
      <c r="BJ2278" t="s">
        <v>396</v>
      </c>
      <c r="BK2278" t="s">
        <v>24230</v>
      </c>
      <c r="BL2278" t="s">
        <v>25579</v>
      </c>
      <c r="BM2278" t="s">
        <v>451</v>
      </c>
      <c r="BN2278" t="s">
        <v>182</v>
      </c>
      <c r="BO2278" t="s">
        <v>198</v>
      </c>
      <c r="BP2278" t="s">
        <v>198</v>
      </c>
      <c r="BQ2278" t="s">
        <v>198</v>
      </c>
      <c r="BR2278" t="s">
        <v>198</v>
      </c>
      <c r="BS2278" t="s">
        <v>198</v>
      </c>
      <c r="BT2278" t="s">
        <v>198</v>
      </c>
      <c r="BU2278" t="s">
        <v>182</v>
      </c>
      <c r="BV2278" t="s">
        <v>198</v>
      </c>
      <c r="BW2278" t="s">
        <v>198</v>
      </c>
      <c r="BX2278" t="s">
        <v>199</v>
      </c>
      <c r="BY2278" t="s">
        <v>198</v>
      </c>
      <c r="BZ2278" t="s">
        <v>199</v>
      </c>
      <c r="CA2278" t="s">
        <v>199</v>
      </c>
      <c r="CB2278" t="s">
        <v>26498</v>
      </c>
      <c r="CC2278" t="s">
        <v>201</v>
      </c>
      <c r="CD2278" t="s">
        <v>182</v>
      </c>
      <c r="CE2278" t="s">
        <v>26499</v>
      </c>
      <c r="CF2278" t="s">
        <v>5331</v>
      </c>
      <c r="CG2278" t="s">
        <v>177</v>
      </c>
      <c r="CH2278" t="s">
        <v>371</v>
      </c>
      <c r="CI2278" t="s">
        <v>26500</v>
      </c>
      <c r="CS2278" t="s">
        <v>198</v>
      </c>
      <c r="DC2278" t="s">
        <v>198</v>
      </c>
      <c r="DM2278" t="s">
        <v>198</v>
      </c>
      <c r="DW2278" t="s">
        <v>198</v>
      </c>
      <c r="EG2278" t="s">
        <v>198</v>
      </c>
      <c r="EQ2278" t="s">
        <v>198</v>
      </c>
      <c r="FA2278" t="s">
        <v>198</v>
      </c>
      <c r="FK2278" t="s">
        <v>198</v>
      </c>
      <c r="FU2278" t="s">
        <v>198</v>
      </c>
    </row>
    <row r="2279" spans="1:177">
      <c r="A2279" s="1" t="str">
        <f>HYPERLINK("http://digipan.lumentumllc.com/apps/getLink/index.php?t=PropLink&amp;p=6128765","PL")</f>
        <v>PL</v>
      </c>
      <c r="B2279" s="1" t="str">
        <f>HYPERLINK("http://digipan.lumentumllc.com/apps/getLink/index.php?t=TaxLink&amp;p=6128765","TL")</f>
        <v>TL</v>
      </c>
      <c r="C2279" s="1" t="str">
        <f>HYPERLINK("http://digipan.lumentumllc.com/apps/getMap/index.php?p=6128765","Map")</f>
        <v>Map</v>
      </c>
      <c r="E2279" t="s">
        <v>177</v>
      </c>
      <c r="F2279" t="s">
        <v>178</v>
      </c>
      <c r="L2279" t="s">
        <v>26501</v>
      </c>
      <c r="N2279" t="s">
        <v>26501</v>
      </c>
      <c r="O2279" t="s">
        <v>26501</v>
      </c>
      <c r="P2279" t="s">
        <v>26502</v>
      </c>
      <c r="Q2279" t="s">
        <v>26501</v>
      </c>
      <c r="V2279">
        <v>2607</v>
      </c>
      <c r="W2279">
        <v>8</v>
      </c>
      <c r="X2279">
        <v>2017</v>
      </c>
      <c r="Y2279">
        <v>2018</v>
      </c>
      <c r="Z2279">
        <v>3405.45</v>
      </c>
      <c r="AB2279" t="s">
        <v>181</v>
      </c>
      <c r="AC2279" t="s">
        <v>182</v>
      </c>
      <c r="AD2279" t="s">
        <v>183</v>
      </c>
      <c r="AE2279">
        <v>0</v>
      </c>
      <c r="AF2279">
        <v>2</v>
      </c>
      <c r="AG2279" t="s">
        <v>216</v>
      </c>
      <c r="AH2279">
        <v>100</v>
      </c>
      <c r="AK2279">
        <v>0</v>
      </c>
      <c r="AL2279">
        <v>156503</v>
      </c>
      <c r="AM2279">
        <v>132300</v>
      </c>
      <c r="AN2279">
        <v>24203</v>
      </c>
      <c r="AO2279">
        <v>3186</v>
      </c>
      <c r="AP2279">
        <v>2016</v>
      </c>
      <c r="AQ2279">
        <v>2.1800000000000002</v>
      </c>
      <c r="AS2279" t="s">
        <v>26503</v>
      </c>
      <c r="AT2279" t="s">
        <v>15040</v>
      </c>
      <c r="AU2279" t="s">
        <v>177</v>
      </c>
      <c r="AV2279" t="s">
        <v>371</v>
      </c>
      <c r="AW2279" t="s">
        <v>182</v>
      </c>
      <c r="AX2279">
        <v>48</v>
      </c>
      <c r="AY2279" t="s">
        <v>5663</v>
      </c>
      <c r="AZ2279" t="s">
        <v>1162</v>
      </c>
      <c r="BA2279" t="s">
        <v>5947</v>
      </c>
      <c r="BB2279" t="s">
        <v>191</v>
      </c>
      <c r="BC2279" t="s">
        <v>182</v>
      </c>
      <c r="BD2279" t="s">
        <v>182</v>
      </c>
      <c r="BE2279" t="s">
        <v>5975</v>
      </c>
      <c r="BF2279">
        <v>1</v>
      </c>
      <c r="BG2279">
        <v>0</v>
      </c>
      <c r="BH2279">
        <v>1974</v>
      </c>
      <c r="BI2279" t="s">
        <v>26504</v>
      </c>
      <c r="BJ2279" t="s">
        <v>194</v>
      </c>
      <c r="BK2279" t="s">
        <v>3643</v>
      </c>
      <c r="BL2279" t="s">
        <v>18077</v>
      </c>
      <c r="BM2279" t="s">
        <v>197</v>
      </c>
      <c r="BN2279" t="s">
        <v>182</v>
      </c>
      <c r="BO2279" t="s">
        <v>198</v>
      </c>
      <c r="BP2279" t="s">
        <v>198</v>
      </c>
      <c r="BQ2279" t="s">
        <v>198</v>
      </c>
      <c r="BR2279" t="s">
        <v>198</v>
      </c>
      <c r="BS2279" t="s">
        <v>198</v>
      </c>
      <c r="BT2279" t="s">
        <v>198</v>
      </c>
      <c r="BU2279" t="s">
        <v>182</v>
      </c>
      <c r="BV2279" t="s">
        <v>198</v>
      </c>
      <c r="BW2279" t="s">
        <v>198</v>
      </c>
      <c r="BX2279" t="s">
        <v>199</v>
      </c>
      <c r="BY2279" t="s">
        <v>198</v>
      </c>
      <c r="BZ2279" t="s">
        <v>199</v>
      </c>
      <c r="CA2279" t="s">
        <v>199</v>
      </c>
      <c r="CB2279" t="s">
        <v>26505</v>
      </c>
      <c r="CC2279" t="s">
        <v>201</v>
      </c>
      <c r="CD2279" t="s">
        <v>202</v>
      </c>
      <c r="CE2279" t="s">
        <v>26506</v>
      </c>
      <c r="CF2279" t="s">
        <v>413</v>
      </c>
      <c r="CG2279" t="s">
        <v>177</v>
      </c>
      <c r="CH2279" t="s">
        <v>4089</v>
      </c>
      <c r="CI2279" t="s">
        <v>26507</v>
      </c>
      <c r="CJ2279" t="s">
        <v>7735</v>
      </c>
      <c r="CK2279" t="s">
        <v>238</v>
      </c>
      <c r="CL2279" t="s">
        <v>239</v>
      </c>
      <c r="CM2279" t="s">
        <v>26508</v>
      </c>
      <c r="CN2279" t="s">
        <v>436</v>
      </c>
      <c r="CO2279" t="s">
        <v>183</v>
      </c>
      <c r="CP2279" t="s">
        <v>211</v>
      </c>
      <c r="CQ2279" t="s">
        <v>342</v>
      </c>
      <c r="CS2279" t="s">
        <v>5179</v>
      </c>
      <c r="CT2279" t="s">
        <v>26509</v>
      </c>
      <c r="CU2279" t="s">
        <v>346</v>
      </c>
      <c r="CV2279" t="s">
        <v>239</v>
      </c>
      <c r="CW2279" t="s">
        <v>26510</v>
      </c>
      <c r="CX2279" t="s">
        <v>436</v>
      </c>
      <c r="CY2279" t="s">
        <v>183</v>
      </c>
      <c r="CZ2279" t="s">
        <v>211</v>
      </c>
      <c r="DA2279" t="s">
        <v>342</v>
      </c>
      <c r="DC2279" t="s">
        <v>5179</v>
      </c>
      <c r="DM2279" t="s">
        <v>198</v>
      </c>
      <c r="DW2279" t="s">
        <v>198</v>
      </c>
      <c r="EG2279" t="s">
        <v>198</v>
      </c>
      <c r="EQ2279" t="s">
        <v>198</v>
      </c>
      <c r="FA2279" t="s">
        <v>198</v>
      </c>
      <c r="FK2279" t="s">
        <v>198</v>
      </c>
      <c r="FU2279" t="s">
        <v>198</v>
      </c>
    </row>
    <row r="2280" spans="1:177">
      <c r="A2280" s="1" t="str">
        <f>HYPERLINK("http://digipan.lumentumllc.com/apps/getLink/index.php?t=PropLink&amp;p=5244787","PL")</f>
        <v>PL</v>
      </c>
      <c r="B2280" s="1" t="str">
        <f>HYPERLINK("http://digipan.lumentumllc.com/apps/getLink/index.php?t=TaxLink&amp;p=5244787","TL")</f>
        <v>TL</v>
      </c>
      <c r="C2280" s="1" t="str">
        <f>HYPERLINK("http://digipan.lumentumllc.com/apps/getMap/index.php?p=5244787","Map")</f>
        <v>Map</v>
      </c>
      <c r="E2280" t="s">
        <v>177</v>
      </c>
      <c r="F2280" t="s">
        <v>178</v>
      </c>
      <c r="L2280" t="s">
        <v>26511</v>
      </c>
      <c r="N2280" t="s">
        <v>26511</v>
      </c>
      <c r="O2280" t="s">
        <v>26511</v>
      </c>
      <c r="P2280" t="s">
        <v>26512</v>
      </c>
      <c r="Q2280" t="s">
        <v>26511</v>
      </c>
      <c r="V2280">
        <v>2608</v>
      </c>
      <c r="W2280">
        <v>8</v>
      </c>
      <c r="X2280">
        <v>2017</v>
      </c>
      <c r="Y2280">
        <v>2018</v>
      </c>
      <c r="Z2280">
        <v>5081.45</v>
      </c>
      <c r="AB2280" t="s">
        <v>181</v>
      </c>
      <c r="AC2280" t="s">
        <v>182</v>
      </c>
      <c r="AD2280" t="s">
        <v>183</v>
      </c>
      <c r="AE2280">
        <v>1</v>
      </c>
      <c r="AF2280">
        <v>5</v>
      </c>
      <c r="AG2280" t="s">
        <v>322</v>
      </c>
      <c r="AH2280">
        <v>83</v>
      </c>
      <c r="AI2280">
        <v>5180.76</v>
      </c>
      <c r="AJ2280">
        <v>259.04000000000002</v>
      </c>
      <c r="AK2280">
        <v>5439.8</v>
      </c>
      <c r="AL2280">
        <v>284211</v>
      </c>
      <c r="AM2280">
        <v>130680</v>
      </c>
      <c r="AN2280">
        <v>153531</v>
      </c>
      <c r="AO2280">
        <v>4765</v>
      </c>
      <c r="AP2280">
        <v>2016</v>
      </c>
      <c r="AQ2280">
        <v>1.79</v>
      </c>
      <c r="AR2280">
        <v>1.91</v>
      </c>
      <c r="AS2280" t="s">
        <v>26513</v>
      </c>
      <c r="AT2280" t="s">
        <v>15040</v>
      </c>
      <c r="AU2280" t="s">
        <v>177</v>
      </c>
      <c r="AV2280" t="s">
        <v>371</v>
      </c>
      <c r="AW2280" t="s">
        <v>202</v>
      </c>
      <c r="AX2280">
        <v>41</v>
      </c>
      <c r="AY2280" t="s">
        <v>5663</v>
      </c>
      <c r="AZ2280" t="s">
        <v>1006</v>
      </c>
      <c r="BA2280" t="s">
        <v>5664</v>
      </c>
      <c r="BB2280" t="s">
        <v>191</v>
      </c>
      <c r="BC2280" t="s">
        <v>182</v>
      </c>
      <c r="BD2280" t="s">
        <v>182</v>
      </c>
      <c r="BE2280" t="s">
        <v>5880</v>
      </c>
      <c r="BF2280">
        <v>2</v>
      </c>
      <c r="BG2280">
        <v>1</v>
      </c>
      <c r="BH2280">
        <v>1972</v>
      </c>
      <c r="BI2280" t="s">
        <v>26514</v>
      </c>
      <c r="BJ2280" t="s">
        <v>194</v>
      </c>
      <c r="BK2280" t="s">
        <v>3643</v>
      </c>
      <c r="BL2280" t="s">
        <v>199</v>
      </c>
      <c r="BM2280" t="s">
        <v>679</v>
      </c>
      <c r="BN2280" t="s">
        <v>182</v>
      </c>
      <c r="BO2280" t="s">
        <v>198</v>
      </c>
      <c r="BP2280" t="s">
        <v>198</v>
      </c>
      <c r="BQ2280" t="s">
        <v>198</v>
      </c>
      <c r="BR2280" t="s">
        <v>198</v>
      </c>
      <c r="BS2280" t="s">
        <v>198</v>
      </c>
      <c r="BT2280" t="s">
        <v>198</v>
      </c>
      <c r="BU2280" t="s">
        <v>182</v>
      </c>
      <c r="BV2280" t="s">
        <v>198</v>
      </c>
      <c r="BW2280" t="s">
        <v>198</v>
      </c>
      <c r="BX2280" t="s">
        <v>199</v>
      </c>
      <c r="BY2280" t="s">
        <v>198</v>
      </c>
      <c r="BZ2280" t="s">
        <v>199</v>
      </c>
      <c r="CA2280" t="s">
        <v>199</v>
      </c>
      <c r="CB2280" t="s">
        <v>26515</v>
      </c>
      <c r="CC2280" t="s">
        <v>201</v>
      </c>
      <c r="CD2280" t="s">
        <v>182</v>
      </c>
      <c r="CE2280" t="s">
        <v>26516</v>
      </c>
      <c r="CF2280" t="s">
        <v>5331</v>
      </c>
      <c r="CG2280" t="s">
        <v>177</v>
      </c>
      <c r="CH2280" t="s">
        <v>371</v>
      </c>
      <c r="CI2280" t="s">
        <v>26517</v>
      </c>
      <c r="CJ2280" t="s">
        <v>7831</v>
      </c>
      <c r="CK2280" t="s">
        <v>232</v>
      </c>
      <c r="CL2280" t="s">
        <v>233</v>
      </c>
      <c r="CM2280" t="s">
        <v>26518</v>
      </c>
      <c r="CN2280" t="s">
        <v>235</v>
      </c>
      <c r="CO2280" t="s">
        <v>183</v>
      </c>
      <c r="CP2280" t="s">
        <v>266</v>
      </c>
      <c r="CS2280" t="s">
        <v>198</v>
      </c>
      <c r="CT2280" t="s">
        <v>17402</v>
      </c>
      <c r="CU2280" t="s">
        <v>292</v>
      </c>
      <c r="CV2280" t="s">
        <v>293</v>
      </c>
      <c r="CW2280" t="s">
        <v>26519</v>
      </c>
      <c r="CX2280" t="s">
        <v>235</v>
      </c>
      <c r="CY2280" t="s">
        <v>183</v>
      </c>
      <c r="CZ2280" t="s">
        <v>211</v>
      </c>
      <c r="DA2280" t="s">
        <v>339</v>
      </c>
      <c r="DC2280" t="s">
        <v>12539</v>
      </c>
      <c r="DD2280" t="s">
        <v>18273</v>
      </c>
      <c r="DE2280" t="s">
        <v>267</v>
      </c>
      <c r="DF2280" t="s">
        <v>268</v>
      </c>
      <c r="DG2280" t="s">
        <v>26520</v>
      </c>
      <c r="DH2280" t="s">
        <v>235</v>
      </c>
      <c r="DI2280" t="s">
        <v>183</v>
      </c>
      <c r="DJ2280" t="s">
        <v>211</v>
      </c>
      <c r="DK2280" t="s">
        <v>339</v>
      </c>
      <c r="DM2280" t="s">
        <v>17567</v>
      </c>
      <c r="DN2280" t="s">
        <v>26521</v>
      </c>
      <c r="DO2280" t="s">
        <v>273</v>
      </c>
      <c r="DP2280" t="s">
        <v>274</v>
      </c>
      <c r="DQ2280" t="s">
        <v>26522</v>
      </c>
      <c r="DR2280" t="s">
        <v>235</v>
      </c>
      <c r="DS2280" t="s">
        <v>183</v>
      </c>
      <c r="DT2280" t="s">
        <v>211</v>
      </c>
      <c r="DU2280" t="s">
        <v>444</v>
      </c>
      <c r="DW2280" t="s">
        <v>26523</v>
      </c>
      <c r="DX2280" t="s">
        <v>5295</v>
      </c>
      <c r="DY2280" t="s">
        <v>238</v>
      </c>
      <c r="DZ2280" t="s">
        <v>239</v>
      </c>
      <c r="EA2280" t="s">
        <v>26524</v>
      </c>
      <c r="EB2280" t="s">
        <v>331</v>
      </c>
      <c r="EC2280" t="s">
        <v>183</v>
      </c>
      <c r="ED2280" t="s">
        <v>211</v>
      </c>
      <c r="EE2280" t="s">
        <v>212</v>
      </c>
      <c r="EG2280" t="s">
        <v>26525</v>
      </c>
      <c r="EH2280" t="s">
        <v>26526</v>
      </c>
      <c r="EI2280" t="s">
        <v>346</v>
      </c>
      <c r="EJ2280" t="s">
        <v>347</v>
      </c>
      <c r="EK2280" t="s">
        <v>26527</v>
      </c>
      <c r="EL2280" t="s">
        <v>331</v>
      </c>
      <c r="EM2280" t="s">
        <v>183</v>
      </c>
      <c r="EN2280" t="s">
        <v>211</v>
      </c>
      <c r="EO2280" t="s">
        <v>329</v>
      </c>
      <c r="EQ2280" t="s">
        <v>474</v>
      </c>
      <c r="FA2280" t="s">
        <v>198</v>
      </c>
      <c r="FK2280" t="s">
        <v>198</v>
      </c>
      <c r="FU2280" t="s">
        <v>198</v>
      </c>
    </row>
    <row r="2281" spans="1:177">
      <c r="A2281" s="1" t="str">
        <f>HYPERLINK("http://digipan.lumentumllc.com/apps/getLink/index.php?t=PropLink&amp;p=15735563","PL")</f>
        <v>PL</v>
      </c>
      <c r="B2281" s="1" t="str">
        <f>HYPERLINK("http://digipan.lumentumllc.com/apps/getLink/index.php?t=TaxLink&amp;p=15735563","TL")</f>
        <v>TL</v>
      </c>
      <c r="C2281" s="1" t="str">
        <f>HYPERLINK("http://digipan.lumentumllc.com/apps/getMap/index.php?p=15735563","Map")</f>
        <v>Map</v>
      </c>
      <c r="E2281" t="s">
        <v>177</v>
      </c>
      <c r="F2281" t="s">
        <v>178</v>
      </c>
      <c r="L2281" t="s">
        <v>26528</v>
      </c>
      <c r="N2281" t="s">
        <v>26528</v>
      </c>
      <c r="O2281" t="s">
        <v>26528</v>
      </c>
      <c r="Q2281" t="s">
        <v>26528</v>
      </c>
      <c r="V2281">
        <v>2610</v>
      </c>
      <c r="W2281">
        <v>8</v>
      </c>
      <c r="X2281">
        <v>2017</v>
      </c>
      <c r="Y2281">
        <v>2018</v>
      </c>
      <c r="Z2281">
        <v>2538.6</v>
      </c>
      <c r="AB2281" t="s">
        <v>181</v>
      </c>
      <c r="AC2281" t="s">
        <v>182</v>
      </c>
      <c r="AD2281" t="s">
        <v>183</v>
      </c>
      <c r="AE2281">
        <v>1</v>
      </c>
      <c r="AF2281">
        <v>0</v>
      </c>
      <c r="AG2281" t="s">
        <v>1200</v>
      </c>
      <c r="AH2281">
        <v>0</v>
      </c>
      <c r="AI2281">
        <v>2325.19</v>
      </c>
      <c r="AJ2281">
        <v>116.26</v>
      </c>
      <c r="AK2281">
        <v>2441.4499999999998</v>
      </c>
      <c r="AL2281">
        <v>117979</v>
      </c>
      <c r="AM2281">
        <v>70686</v>
      </c>
      <c r="AN2281">
        <v>47293</v>
      </c>
      <c r="AO2281">
        <v>2125</v>
      </c>
      <c r="AP2281">
        <v>2016</v>
      </c>
      <c r="AQ2281">
        <v>2.15</v>
      </c>
      <c r="AR2281">
        <v>2.0699999999999998</v>
      </c>
      <c r="AS2281" t="s">
        <v>26529</v>
      </c>
      <c r="AT2281" t="s">
        <v>15040</v>
      </c>
      <c r="AU2281" t="s">
        <v>177</v>
      </c>
      <c r="AV2281" t="s">
        <v>371</v>
      </c>
      <c r="AW2281" t="s">
        <v>182</v>
      </c>
      <c r="AX2281">
        <v>1</v>
      </c>
      <c r="AY2281" t="s">
        <v>188</v>
      </c>
      <c r="AZ2281" t="s">
        <v>206</v>
      </c>
      <c r="BA2281" t="s">
        <v>355</v>
      </c>
      <c r="BB2281" t="s">
        <v>191</v>
      </c>
      <c r="BC2281" t="s">
        <v>182</v>
      </c>
      <c r="BD2281" t="s">
        <v>182</v>
      </c>
      <c r="BE2281" t="s">
        <v>6305</v>
      </c>
      <c r="BF2281">
        <v>1</v>
      </c>
      <c r="BG2281">
        <v>1</v>
      </c>
      <c r="BH2281">
        <v>1956</v>
      </c>
      <c r="BI2281" t="s">
        <v>11188</v>
      </c>
      <c r="BJ2281" t="s">
        <v>285</v>
      </c>
      <c r="BK2281" t="s">
        <v>840</v>
      </c>
      <c r="BL2281" t="s">
        <v>199</v>
      </c>
      <c r="BM2281" t="s">
        <v>325</v>
      </c>
      <c r="BN2281" t="s">
        <v>182</v>
      </c>
      <c r="BO2281" t="s">
        <v>198</v>
      </c>
      <c r="BP2281" t="s">
        <v>198</v>
      </c>
      <c r="BQ2281" t="s">
        <v>198</v>
      </c>
      <c r="BR2281" t="s">
        <v>198</v>
      </c>
      <c r="BS2281" t="s">
        <v>198</v>
      </c>
      <c r="BT2281" t="s">
        <v>198</v>
      </c>
      <c r="BU2281" t="s">
        <v>182</v>
      </c>
      <c r="BV2281" t="s">
        <v>198</v>
      </c>
      <c r="BW2281" t="s">
        <v>198</v>
      </c>
      <c r="BX2281" t="s">
        <v>199</v>
      </c>
      <c r="BY2281" t="s">
        <v>198</v>
      </c>
      <c r="BZ2281" t="s">
        <v>199</v>
      </c>
      <c r="CA2281" t="s">
        <v>199</v>
      </c>
      <c r="CB2281" t="s">
        <v>20929</v>
      </c>
      <c r="CC2281" t="s">
        <v>201</v>
      </c>
      <c r="CD2281" t="s">
        <v>182</v>
      </c>
      <c r="CE2281" t="s">
        <v>26530</v>
      </c>
      <c r="CF2281" t="s">
        <v>5331</v>
      </c>
      <c r="CG2281" t="s">
        <v>177</v>
      </c>
      <c r="CH2281" t="s">
        <v>5332</v>
      </c>
      <c r="CI2281" t="s">
        <v>26531</v>
      </c>
      <c r="CJ2281" t="s">
        <v>17506</v>
      </c>
      <c r="CK2281" t="s">
        <v>232</v>
      </c>
      <c r="CL2281" t="s">
        <v>233</v>
      </c>
      <c r="CM2281" t="s">
        <v>26532</v>
      </c>
      <c r="CN2281" t="s">
        <v>235</v>
      </c>
      <c r="CO2281" t="s">
        <v>183</v>
      </c>
      <c r="CP2281" t="s">
        <v>266</v>
      </c>
      <c r="CS2281" t="s">
        <v>198</v>
      </c>
      <c r="DC2281" t="s">
        <v>198</v>
      </c>
      <c r="DM2281" t="s">
        <v>198</v>
      </c>
      <c r="DW2281" t="s">
        <v>198</v>
      </c>
      <c r="EG2281" t="s">
        <v>198</v>
      </c>
      <c r="EQ2281" t="s">
        <v>198</v>
      </c>
      <c r="FA2281" t="s">
        <v>198</v>
      </c>
      <c r="FK2281" t="s">
        <v>198</v>
      </c>
      <c r="FU2281" t="s">
        <v>198</v>
      </c>
    </row>
    <row r="2282" spans="1:177">
      <c r="A2282" s="1" t="str">
        <f>HYPERLINK("http://digipan.lumentumllc.com/apps/getLink/index.php?t=PropLink&amp;p=5244795","PL")</f>
        <v>PL</v>
      </c>
      <c r="B2282" s="1" t="str">
        <f>HYPERLINK("http://digipan.lumentumllc.com/apps/getLink/index.php?t=TaxLink&amp;p=5244795","TL")</f>
        <v>TL</v>
      </c>
      <c r="C2282" s="1" t="str">
        <f>HYPERLINK("http://digipan.lumentumllc.com/apps/getMap/index.php?p=5244795","Map")</f>
        <v>Map</v>
      </c>
      <c r="E2282" t="s">
        <v>177</v>
      </c>
      <c r="F2282" t="s">
        <v>178</v>
      </c>
      <c r="L2282" t="s">
        <v>26533</v>
      </c>
      <c r="N2282" t="s">
        <v>26533</v>
      </c>
      <c r="O2282" t="s">
        <v>26533</v>
      </c>
      <c r="P2282" t="s">
        <v>26534</v>
      </c>
      <c r="Q2282" t="s">
        <v>26533</v>
      </c>
      <c r="V2282">
        <v>2611</v>
      </c>
      <c r="W2282">
        <v>8</v>
      </c>
      <c r="X2282">
        <v>2017</v>
      </c>
      <c r="Y2282">
        <v>2018</v>
      </c>
      <c r="Z2282">
        <v>525.04999999999995</v>
      </c>
      <c r="AB2282" t="s">
        <v>181</v>
      </c>
      <c r="AC2282" t="s">
        <v>182</v>
      </c>
      <c r="AD2282" t="s">
        <v>183</v>
      </c>
      <c r="AE2282">
        <v>1</v>
      </c>
      <c r="AF2282">
        <v>7</v>
      </c>
      <c r="AG2282" t="s">
        <v>418</v>
      </c>
      <c r="AH2282">
        <v>86</v>
      </c>
      <c r="AI2282">
        <v>429</v>
      </c>
      <c r="AJ2282">
        <v>38.61</v>
      </c>
      <c r="AK2282">
        <v>467.61</v>
      </c>
      <c r="AL2282">
        <v>32725</v>
      </c>
      <c r="AM2282">
        <v>32725</v>
      </c>
      <c r="AN2282">
        <v>0</v>
      </c>
      <c r="AO2282">
        <v>372</v>
      </c>
      <c r="AP2282">
        <v>2016</v>
      </c>
      <c r="AQ2282">
        <v>1.6</v>
      </c>
      <c r="AR2282">
        <v>1.43</v>
      </c>
      <c r="AS2282" t="s">
        <v>26535</v>
      </c>
      <c r="AT2282" t="s">
        <v>15040</v>
      </c>
      <c r="AU2282" t="s">
        <v>177</v>
      </c>
      <c r="AV2282" t="s">
        <v>371</v>
      </c>
      <c r="AW2282" t="s">
        <v>182</v>
      </c>
      <c r="AX2282">
        <v>0</v>
      </c>
      <c r="AY2282" t="s">
        <v>312</v>
      </c>
      <c r="AZ2282" t="s">
        <v>199</v>
      </c>
      <c r="BA2282" t="s">
        <v>313</v>
      </c>
      <c r="BB2282" t="s">
        <v>191</v>
      </c>
      <c r="BC2282" t="s">
        <v>182</v>
      </c>
      <c r="BD2282" t="s">
        <v>182</v>
      </c>
      <c r="BE2282" t="s">
        <v>11268</v>
      </c>
      <c r="BF2282">
        <v>0</v>
      </c>
      <c r="BG2282">
        <v>0</v>
      </c>
      <c r="BH2282">
        <v>0</v>
      </c>
      <c r="BI2282" t="s">
        <v>199</v>
      </c>
      <c r="BJ2282" t="s">
        <v>315</v>
      </c>
      <c r="BL2282" t="s">
        <v>199</v>
      </c>
      <c r="BM2282" t="s">
        <v>325</v>
      </c>
      <c r="BN2282" t="s">
        <v>182</v>
      </c>
      <c r="BO2282" t="s">
        <v>198</v>
      </c>
      <c r="BP2282" t="s">
        <v>198</v>
      </c>
      <c r="BQ2282" t="s">
        <v>198</v>
      </c>
      <c r="BR2282" t="s">
        <v>198</v>
      </c>
      <c r="BS2282" t="s">
        <v>198</v>
      </c>
      <c r="BT2282" t="s">
        <v>198</v>
      </c>
      <c r="BU2282" t="s">
        <v>182</v>
      </c>
      <c r="BV2282" t="s">
        <v>198</v>
      </c>
      <c r="BW2282" t="s">
        <v>198</v>
      </c>
      <c r="BX2282" t="s">
        <v>199</v>
      </c>
      <c r="BY2282" t="s">
        <v>198</v>
      </c>
      <c r="BZ2282" t="s">
        <v>199</v>
      </c>
      <c r="CA2282" t="s">
        <v>199</v>
      </c>
      <c r="CB2282" t="s">
        <v>20929</v>
      </c>
      <c r="CC2282" t="s">
        <v>201</v>
      </c>
      <c r="CD2282" t="s">
        <v>182</v>
      </c>
      <c r="CE2282" t="s">
        <v>26530</v>
      </c>
      <c r="CF2282" t="s">
        <v>5331</v>
      </c>
      <c r="CG2282" t="s">
        <v>177</v>
      </c>
      <c r="CH2282" t="s">
        <v>5332</v>
      </c>
      <c r="CI2282" t="s">
        <v>26536</v>
      </c>
      <c r="CJ2282" t="s">
        <v>17533</v>
      </c>
      <c r="CK2282" t="s">
        <v>232</v>
      </c>
      <c r="CL2282" t="s">
        <v>233</v>
      </c>
      <c r="CM2282" t="s">
        <v>26537</v>
      </c>
      <c r="CN2282" t="s">
        <v>1966</v>
      </c>
      <c r="CO2282" t="s">
        <v>183</v>
      </c>
      <c r="CP2282" t="s">
        <v>266</v>
      </c>
      <c r="CS2282" t="s">
        <v>198</v>
      </c>
      <c r="CT2282" t="s">
        <v>15755</v>
      </c>
      <c r="CU2282" t="s">
        <v>292</v>
      </c>
      <c r="CV2282" t="s">
        <v>293</v>
      </c>
      <c r="CW2282" t="s">
        <v>26538</v>
      </c>
      <c r="CX2282" t="s">
        <v>333</v>
      </c>
      <c r="CY2282" t="s">
        <v>183</v>
      </c>
      <c r="CZ2282" t="s">
        <v>211</v>
      </c>
      <c r="DA2282" t="s">
        <v>345</v>
      </c>
      <c r="DC2282" t="s">
        <v>2825</v>
      </c>
      <c r="DD2282" t="s">
        <v>3011</v>
      </c>
      <c r="DE2282" t="s">
        <v>267</v>
      </c>
      <c r="DF2282" t="s">
        <v>268</v>
      </c>
      <c r="DG2282" t="s">
        <v>26539</v>
      </c>
      <c r="DH2282" t="s">
        <v>400</v>
      </c>
      <c r="DI2282" t="s">
        <v>183</v>
      </c>
      <c r="DJ2282" t="s">
        <v>211</v>
      </c>
      <c r="DK2282" t="s">
        <v>865</v>
      </c>
      <c r="DM2282" t="s">
        <v>2825</v>
      </c>
      <c r="DN2282" t="s">
        <v>21543</v>
      </c>
      <c r="DO2282" t="s">
        <v>273</v>
      </c>
      <c r="DP2282" t="s">
        <v>274</v>
      </c>
      <c r="DQ2282" t="s">
        <v>26540</v>
      </c>
      <c r="DR2282" t="s">
        <v>402</v>
      </c>
      <c r="DS2282" t="s">
        <v>183</v>
      </c>
      <c r="DT2282" t="s">
        <v>211</v>
      </c>
      <c r="DU2282" t="s">
        <v>298</v>
      </c>
      <c r="DW2282" t="s">
        <v>1069</v>
      </c>
      <c r="DX2282" t="s">
        <v>17731</v>
      </c>
      <c r="DY2282" t="s">
        <v>302</v>
      </c>
      <c r="DZ2282" t="s">
        <v>303</v>
      </c>
      <c r="EA2282" t="s">
        <v>26541</v>
      </c>
      <c r="EB2282" t="s">
        <v>440</v>
      </c>
      <c r="EC2282" t="s">
        <v>183</v>
      </c>
      <c r="ED2282" t="s">
        <v>211</v>
      </c>
      <c r="EE2282" t="s">
        <v>298</v>
      </c>
      <c r="EG2282" t="s">
        <v>2359</v>
      </c>
      <c r="EH2282" t="s">
        <v>5160</v>
      </c>
      <c r="EI2282" t="s">
        <v>238</v>
      </c>
      <c r="EJ2282" t="s">
        <v>239</v>
      </c>
      <c r="EK2282" t="s">
        <v>26542</v>
      </c>
      <c r="EL2282" t="s">
        <v>1491</v>
      </c>
      <c r="EM2282" t="s">
        <v>183</v>
      </c>
      <c r="EN2282" t="s">
        <v>211</v>
      </c>
      <c r="EO2282" t="s">
        <v>298</v>
      </c>
      <c r="EQ2282" t="s">
        <v>1815</v>
      </c>
      <c r="ER2282" t="s">
        <v>26543</v>
      </c>
      <c r="ES2282" t="s">
        <v>346</v>
      </c>
      <c r="ET2282" t="s">
        <v>347</v>
      </c>
      <c r="EU2282" t="s">
        <v>26544</v>
      </c>
      <c r="EV2282" t="s">
        <v>331</v>
      </c>
      <c r="EW2282" t="s">
        <v>183</v>
      </c>
      <c r="EX2282" t="s">
        <v>211</v>
      </c>
      <c r="EY2282" t="s">
        <v>345</v>
      </c>
      <c r="FA2282" t="s">
        <v>2496</v>
      </c>
      <c r="FB2282" t="s">
        <v>26115</v>
      </c>
      <c r="FC2282" t="s">
        <v>207</v>
      </c>
      <c r="FD2282" t="s">
        <v>208</v>
      </c>
      <c r="FE2282" t="s">
        <v>26545</v>
      </c>
      <c r="FF2282" t="s">
        <v>1491</v>
      </c>
      <c r="FG2282" t="s">
        <v>183</v>
      </c>
      <c r="FH2282" t="s">
        <v>211</v>
      </c>
      <c r="FI2282" t="s">
        <v>345</v>
      </c>
      <c r="FK2282" t="s">
        <v>1703</v>
      </c>
      <c r="FU2282" t="s">
        <v>198</v>
      </c>
    </row>
    <row r="2283" spans="1:177">
      <c r="A2283" s="1" t="str">
        <f>HYPERLINK("http://digipan.lumentumllc.com/apps/getLink/index.php?t=PropLink&amp;p=4637161","PL")</f>
        <v>PL</v>
      </c>
      <c r="B2283" s="1" t="str">
        <f>HYPERLINK("http://digipan.lumentumllc.com/apps/getLink/index.php?t=TaxLink&amp;p=4637161","TL")</f>
        <v>TL</v>
      </c>
      <c r="C2283" s="1" t="str">
        <f>HYPERLINK("http://digipan.lumentumllc.com/apps/getMap/index.php?p=4637161","Map")</f>
        <v>Map</v>
      </c>
      <c r="E2283" t="s">
        <v>177</v>
      </c>
      <c r="F2283" t="s">
        <v>178</v>
      </c>
      <c r="L2283" t="s">
        <v>26546</v>
      </c>
      <c r="N2283" t="s">
        <v>26546</v>
      </c>
      <c r="O2283" t="s">
        <v>26546</v>
      </c>
      <c r="P2283" t="s">
        <v>26547</v>
      </c>
      <c r="Q2283" t="s">
        <v>26546</v>
      </c>
      <c r="V2283">
        <v>2612</v>
      </c>
      <c r="W2283">
        <v>8</v>
      </c>
      <c r="X2283">
        <v>2017</v>
      </c>
      <c r="Y2283">
        <v>2018</v>
      </c>
      <c r="Z2283">
        <v>2210.09</v>
      </c>
      <c r="AB2283" t="s">
        <v>181</v>
      </c>
      <c r="AC2283" t="s">
        <v>182</v>
      </c>
      <c r="AD2283" t="s">
        <v>183</v>
      </c>
      <c r="AE2283">
        <v>1</v>
      </c>
      <c r="AF2283">
        <v>3</v>
      </c>
      <c r="AG2283" t="s">
        <v>257</v>
      </c>
      <c r="AH2283">
        <v>75</v>
      </c>
      <c r="AI2283">
        <v>2261.2199999999998</v>
      </c>
      <c r="AJ2283">
        <v>113.06</v>
      </c>
      <c r="AK2283">
        <v>2374.2800000000002</v>
      </c>
      <c r="AL2283">
        <v>130858</v>
      </c>
      <c r="AM2283">
        <v>60000</v>
      </c>
      <c r="AN2283">
        <v>70858</v>
      </c>
      <c r="AO2283">
        <v>2066</v>
      </c>
      <c r="AP2283">
        <v>2016</v>
      </c>
      <c r="AQ2283">
        <v>1.69</v>
      </c>
      <c r="AR2283">
        <v>1.81</v>
      </c>
      <c r="AS2283" t="s">
        <v>26548</v>
      </c>
      <c r="AT2283" t="s">
        <v>15040</v>
      </c>
      <c r="AU2283" t="s">
        <v>177</v>
      </c>
      <c r="AV2283" t="s">
        <v>371</v>
      </c>
      <c r="AW2283" t="s">
        <v>182</v>
      </c>
      <c r="AX2283">
        <v>16</v>
      </c>
      <c r="AY2283" t="s">
        <v>3641</v>
      </c>
      <c r="AZ2283" t="s">
        <v>444</v>
      </c>
      <c r="BA2283" t="s">
        <v>26549</v>
      </c>
      <c r="BB2283" t="s">
        <v>11220</v>
      </c>
      <c r="BC2283" t="s">
        <v>182</v>
      </c>
      <c r="BD2283" t="s">
        <v>182</v>
      </c>
      <c r="BE2283" t="s">
        <v>3682</v>
      </c>
      <c r="BF2283">
        <v>1</v>
      </c>
      <c r="BG2283">
        <v>0</v>
      </c>
      <c r="BH2283">
        <v>1950</v>
      </c>
      <c r="BI2283" t="s">
        <v>6701</v>
      </c>
      <c r="BJ2283" t="s">
        <v>285</v>
      </c>
      <c r="BK2283" t="s">
        <v>840</v>
      </c>
      <c r="BL2283" t="s">
        <v>26550</v>
      </c>
      <c r="BM2283" t="s">
        <v>679</v>
      </c>
      <c r="BN2283" t="s">
        <v>182</v>
      </c>
      <c r="BO2283" t="s">
        <v>26551</v>
      </c>
      <c r="BP2283" t="s">
        <v>26552</v>
      </c>
      <c r="BQ2283" t="s">
        <v>226</v>
      </c>
      <c r="BR2283" t="s">
        <v>227</v>
      </c>
      <c r="BS2283" t="s">
        <v>198</v>
      </c>
      <c r="BT2283" t="s">
        <v>26553</v>
      </c>
      <c r="BU2283" t="s">
        <v>182</v>
      </c>
      <c r="BV2283" t="s">
        <v>198</v>
      </c>
      <c r="BW2283" t="s">
        <v>198</v>
      </c>
      <c r="BX2283" t="s">
        <v>199</v>
      </c>
      <c r="BY2283" t="s">
        <v>198</v>
      </c>
      <c r="BZ2283" t="s">
        <v>199</v>
      </c>
      <c r="CA2283" t="s">
        <v>199</v>
      </c>
      <c r="CB2283" t="s">
        <v>26554</v>
      </c>
      <c r="CC2283" t="s">
        <v>201</v>
      </c>
      <c r="CD2283" t="s">
        <v>182</v>
      </c>
      <c r="CE2283" t="s">
        <v>26555</v>
      </c>
      <c r="CF2283" t="s">
        <v>5331</v>
      </c>
      <c r="CG2283" t="s">
        <v>177</v>
      </c>
      <c r="CH2283" t="s">
        <v>371</v>
      </c>
      <c r="CI2283" t="s">
        <v>26556</v>
      </c>
      <c r="CJ2283" t="s">
        <v>17571</v>
      </c>
      <c r="CK2283" t="s">
        <v>232</v>
      </c>
      <c r="CL2283" t="s">
        <v>233</v>
      </c>
      <c r="CM2283" t="s">
        <v>26557</v>
      </c>
      <c r="CN2283" t="s">
        <v>235</v>
      </c>
      <c r="CO2283" t="s">
        <v>183</v>
      </c>
      <c r="CP2283" t="s">
        <v>266</v>
      </c>
      <c r="CS2283" t="s">
        <v>198</v>
      </c>
      <c r="CT2283" t="s">
        <v>24522</v>
      </c>
      <c r="CU2283" t="s">
        <v>292</v>
      </c>
      <c r="CV2283" t="s">
        <v>293</v>
      </c>
      <c r="CW2283" t="s">
        <v>26558</v>
      </c>
      <c r="CX2283" t="s">
        <v>235</v>
      </c>
      <c r="CY2283" t="s">
        <v>183</v>
      </c>
      <c r="CZ2283" t="s">
        <v>211</v>
      </c>
      <c r="DA2283" t="s">
        <v>345</v>
      </c>
      <c r="DC2283" t="s">
        <v>2177</v>
      </c>
      <c r="DD2283" t="s">
        <v>25025</v>
      </c>
      <c r="DE2283" t="s">
        <v>267</v>
      </c>
      <c r="DF2283" t="s">
        <v>268</v>
      </c>
      <c r="DG2283" t="s">
        <v>26559</v>
      </c>
      <c r="DH2283" t="s">
        <v>235</v>
      </c>
      <c r="DI2283" t="s">
        <v>183</v>
      </c>
      <c r="DJ2283" t="s">
        <v>211</v>
      </c>
      <c r="DK2283" t="s">
        <v>270</v>
      </c>
      <c r="DM2283" t="s">
        <v>4982</v>
      </c>
      <c r="DN2283" t="s">
        <v>26560</v>
      </c>
      <c r="DO2283" t="s">
        <v>273</v>
      </c>
      <c r="DP2283" t="s">
        <v>274</v>
      </c>
      <c r="DQ2283" t="s">
        <v>26561</v>
      </c>
      <c r="DR2283" t="s">
        <v>235</v>
      </c>
      <c r="DS2283" t="s">
        <v>183</v>
      </c>
      <c r="DT2283" t="s">
        <v>211</v>
      </c>
      <c r="DU2283" t="s">
        <v>493</v>
      </c>
      <c r="DW2283" t="s">
        <v>15522</v>
      </c>
      <c r="EG2283" t="s">
        <v>198</v>
      </c>
      <c r="EQ2283" t="s">
        <v>198</v>
      </c>
      <c r="FA2283" t="s">
        <v>198</v>
      </c>
      <c r="FK2283" t="s">
        <v>198</v>
      </c>
      <c r="FU2283" t="s">
        <v>198</v>
      </c>
    </row>
    <row r="2284" spans="1:177">
      <c r="A2284" s="1" t="str">
        <f>HYPERLINK("http://digipan.lumentumllc.com/apps/getLink/index.php?t=PropLink&amp;p=6461727","PL")</f>
        <v>PL</v>
      </c>
      <c r="B2284" s="1" t="str">
        <f>HYPERLINK("http://digipan.lumentumllc.com/apps/getLink/index.php?t=TaxLink&amp;p=6461727","TL")</f>
        <v>TL</v>
      </c>
      <c r="C2284" s="1" t="str">
        <f>HYPERLINK("http://digipan.lumentumllc.com/apps/getMap/index.php?p=6461727","Map")</f>
        <v>Map</v>
      </c>
      <c r="E2284" t="s">
        <v>177</v>
      </c>
      <c r="F2284" t="s">
        <v>178</v>
      </c>
      <c r="L2284" t="s">
        <v>26562</v>
      </c>
      <c r="N2284" t="s">
        <v>26562</v>
      </c>
      <c r="O2284" t="s">
        <v>26562</v>
      </c>
      <c r="P2284" t="s">
        <v>26563</v>
      </c>
      <c r="Q2284" t="s">
        <v>26562</v>
      </c>
      <c r="V2284">
        <v>2613</v>
      </c>
      <c r="W2284">
        <v>8</v>
      </c>
      <c r="X2284">
        <v>2017</v>
      </c>
      <c r="Y2284">
        <v>2018</v>
      </c>
      <c r="Z2284">
        <v>2340.04</v>
      </c>
      <c r="AG2284" t="s">
        <v>184</v>
      </c>
      <c r="AH2284">
        <v>0</v>
      </c>
      <c r="AK2284">
        <v>0</v>
      </c>
      <c r="AL2284">
        <v>138664</v>
      </c>
      <c r="AM2284">
        <v>52000</v>
      </c>
      <c r="AN2284">
        <v>86664</v>
      </c>
      <c r="AO2284">
        <v>2161</v>
      </c>
      <c r="AP2284">
        <v>2016</v>
      </c>
      <c r="AQ2284">
        <v>1.69</v>
      </c>
      <c r="AS2284" t="s">
        <v>26564</v>
      </c>
      <c r="AT2284" t="s">
        <v>15040</v>
      </c>
      <c r="AU2284" t="s">
        <v>177</v>
      </c>
      <c r="AV2284" t="s">
        <v>371</v>
      </c>
      <c r="AW2284" t="s">
        <v>182</v>
      </c>
      <c r="AX2284">
        <v>17</v>
      </c>
      <c r="AY2284" t="s">
        <v>3641</v>
      </c>
      <c r="AZ2284" t="s">
        <v>471</v>
      </c>
      <c r="BA2284" t="s">
        <v>4920</v>
      </c>
      <c r="BB2284" t="s">
        <v>191</v>
      </c>
      <c r="BC2284" t="s">
        <v>182</v>
      </c>
      <c r="BD2284" t="s">
        <v>182</v>
      </c>
      <c r="BE2284" t="s">
        <v>5880</v>
      </c>
      <c r="BF2284">
        <v>1</v>
      </c>
      <c r="BG2284">
        <v>0</v>
      </c>
      <c r="BH2284">
        <v>1971</v>
      </c>
      <c r="BI2284" t="s">
        <v>17400</v>
      </c>
      <c r="BJ2284" t="s">
        <v>194</v>
      </c>
      <c r="BK2284" t="s">
        <v>840</v>
      </c>
      <c r="BL2284" t="s">
        <v>26550</v>
      </c>
      <c r="BM2284" t="s">
        <v>197</v>
      </c>
      <c r="BN2284" t="s">
        <v>182</v>
      </c>
      <c r="BO2284" t="s">
        <v>26565</v>
      </c>
      <c r="BP2284" t="s">
        <v>26566</v>
      </c>
      <c r="BQ2284" t="s">
        <v>226</v>
      </c>
      <c r="BR2284" t="s">
        <v>227</v>
      </c>
      <c r="BS2284" t="s">
        <v>198</v>
      </c>
      <c r="BT2284" t="s">
        <v>26567</v>
      </c>
      <c r="BU2284" t="s">
        <v>182</v>
      </c>
      <c r="BV2284" t="s">
        <v>198</v>
      </c>
      <c r="BW2284" t="s">
        <v>198</v>
      </c>
      <c r="BX2284" t="s">
        <v>199</v>
      </c>
      <c r="BY2284" t="s">
        <v>198</v>
      </c>
      <c r="BZ2284" t="s">
        <v>199</v>
      </c>
      <c r="CA2284" t="s">
        <v>199</v>
      </c>
      <c r="CB2284" t="s">
        <v>26568</v>
      </c>
      <c r="CC2284" t="s">
        <v>201</v>
      </c>
      <c r="CD2284" t="s">
        <v>202</v>
      </c>
      <c r="CE2284" t="s">
        <v>26569</v>
      </c>
      <c r="CF2284" t="s">
        <v>26570</v>
      </c>
      <c r="CG2284" t="s">
        <v>26571</v>
      </c>
      <c r="CH2284" t="s">
        <v>26572</v>
      </c>
      <c r="CI2284" t="s">
        <v>26573</v>
      </c>
      <c r="CS2284" t="s">
        <v>198</v>
      </c>
      <c r="DC2284" t="s">
        <v>198</v>
      </c>
      <c r="DM2284" t="s">
        <v>198</v>
      </c>
      <c r="DW2284" t="s">
        <v>198</v>
      </c>
      <c r="EG2284" t="s">
        <v>198</v>
      </c>
      <c r="EQ2284" t="s">
        <v>198</v>
      </c>
      <c r="FA2284" t="s">
        <v>198</v>
      </c>
      <c r="FK2284" t="s">
        <v>198</v>
      </c>
      <c r="FU2284" t="s">
        <v>198</v>
      </c>
    </row>
    <row r="2285" spans="1:177">
      <c r="A2285" s="1" t="str">
        <f>HYPERLINK("http://digipan.lumentumllc.com/apps/getLink/index.php?t=PropLink&amp;p=5244800","PL")</f>
        <v>PL</v>
      </c>
      <c r="B2285" s="1" t="str">
        <f>HYPERLINK("http://digipan.lumentumllc.com/apps/getLink/index.php?t=TaxLink&amp;p=5244800","TL")</f>
        <v>TL</v>
      </c>
      <c r="C2285" s="1" t="str">
        <f>HYPERLINK("http://digipan.lumentumllc.com/apps/getMap/index.php?p=5244800","Map")</f>
        <v>Map</v>
      </c>
      <c r="E2285" t="s">
        <v>177</v>
      </c>
      <c r="F2285" t="s">
        <v>178</v>
      </c>
      <c r="L2285" t="s">
        <v>26574</v>
      </c>
      <c r="N2285" t="s">
        <v>26574</v>
      </c>
      <c r="O2285" t="s">
        <v>26574</v>
      </c>
      <c r="P2285" t="s">
        <v>26575</v>
      </c>
      <c r="Q2285" t="s">
        <v>26574</v>
      </c>
      <c r="V2285">
        <v>2614</v>
      </c>
      <c r="W2285">
        <v>8</v>
      </c>
      <c r="X2285">
        <v>2017</v>
      </c>
      <c r="Y2285">
        <v>2018</v>
      </c>
      <c r="Z2285">
        <v>336.98</v>
      </c>
      <c r="AB2285" t="s">
        <v>181</v>
      </c>
      <c r="AC2285" t="s">
        <v>182</v>
      </c>
      <c r="AD2285" t="s">
        <v>183</v>
      </c>
      <c r="AE2285">
        <v>0</v>
      </c>
      <c r="AF2285">
        <v>6</v>
      </c>
      <c r="AG2285" t="s">
        <v>3266</v>
      </c>
      <c r="AH2285">
        <v>100</v>
      </c>
      <c r="AK2285">
        <v>0</v>
      </c>
      <c r="AL2285">
        <v>22500</v>
      </c>
      <c r="AM2285">
        <v>22500</v>
      </c>
      <c r="AN2285">
        <v>0</v>
      </c>
      <c r="AO2285">
        <v>216</v>
      </c>
      <c r="AP2285">
        <v>2016</v>
      </c>
      <c r="AQ2285">
        <v>1.5</v>
      </c>
      <c r="AS2285" t="s">
        <v>23653</v>
      </c>
      <c r="AT2285" t="s">
        <v>15040</v>
      </c>
      <c r="AU2285" t="s">
        <v>177</v>
      </c>
      <c r="AV2285" t="s">
        <v>371</v>
      </c>
      <c r="AW2285" t="s">
        <v>182</v>
      </c>
      <c r="AX2285">
        <v>0</v>
      </c>
      <c r="AY2285" t="s">
        <v>312</v>
      </c>
      <c r="AZ2285" t="s">
        <v>199</v>
      </c>
      <c r="BA2285" t="s">
        <v>313</v>
      </c>
      <c r="BB2285" t="s">
        <v>191</v>
      </c>
      <c r="BC2285" t="s">
        <v>182</v>
      </c>
      <c r="BD2285" t="s">
        <v>182</v>
      </c>
      <c r="BE2285" t="s">
        <v>3956</v>
      </c>
      <c r="BF2285">
        <v>0</v>
      </c>
      <c r="BG2285">
        <v>0</v>
      </c>
      <c r="BH2285">
        <v>0</v>
      </c>
      <c r="BI2285" t="s">
        <v>199</v>
      </c>
      <c r="BJ2285" t="s">
        <v>315</v>
      </c>
      <c r="BL2285" t="s">
        <v>199</v>
      </c>
      <c r="BM2285" t="s">
        <v>273</v>
      </c>
      <c r="BN2285" t="s">
        <v>182</v>
      </c>
      <c r="BO2285" t="s">
        <v>198</v>
      </c>
      <c r="BP2285" t="s">
        <v>198</v>
      </c>
      <c r="BQ2285" t="s">
        <v>198</v>
      </c>
      <c r="BR2285" t="s">
        <v>198</v>
      </c>
      <c r="BS2285" t="s">
        <v>198</v>
      </c>
      <c r="BT2285" t="s">
        <v>198</v>
      </c>
      <c r="BU2285" t="s">
        <v>182</v>
      </c>
      <c r="BV2285" t="s">
        <v>198</v>
      </c>
      <c r="BW2285" t="s">
        <v>198</v>
      </c>
      <c r="BX2285" t="s">
        <v>199</v>
      </c>
      <c r="BY2285" t="s">
        <v>198</v>
      </c>
      <c r="BZ2285" t="s">
        <v>199</v>
      </c>
      <c r="CA2285" t="s">
        <v>199</v>
      </c>
      <c r="CB2285" t="s">
        <v>25939</v>
      </c>
      <c r="CC2285" t="s">
        <v>201</v>
      </c>
      <c r="CD2285" t="s">
        <v>182</v>
      </c>
      <c r="CE2285" t="s">
        <v>25940</v>
      </c>
      <c r="CF2285" t="s">
        <v>1477</v>
      </c>
      <c r="CG2285" t="s">
        <v>177</v>
      </c>
      <c r="CH2285" t="s">
        <v>25941</v>
      </c>
      <c r="CI2285" t="s">
        <v>26576</v>
      </c>
      <c r="CJ2285" t="s">
        <v>18368</v>
      </c>
      <c r="CK2285" t="s">
        <v>267</v>
      </c>
      <c r="CL2285" t="s">
        <v>268</v>
      </c>
      <c r="CM2285" t="s">
        <v>26577</v>
      </c>
      <c r="CN2285" t="s">
        <v>400</v>
      </c>
      <c r="CO2285" t="s">
        <v>183</v>
      </c>
      <c r="CP2285" t="s">
        <v>211</v>
      </c>
      <c r="CQ2285" t="s">
        <v>298</v>
      </c>
      <c r="CS2285" t="s">
        <v>5806</v>
      </c>
      <c r="CT2285" t="s">
        <v>577</v>
      </c>
      <c r="CU2285" t="s">
        <v>273</v>
      </c>
      <c r="CV2285" t="s">
        <v>274</v>
      </c>
      <c r="CW2285" t="s">
        <v>26578</v>
      </c>
      <c r="CX2285" t="s">
        <v>402</v>
      </c>
      <c r="CY2285" t="s">
        <v>183</v>
      </c>
      <c r="CZ2285" t="s">
        <v>211</v>
      </c>
      <c r="DA2285" t="s">
        <v>329</v>
      </c>
      <c r="DC2285" t="s">
        <v>2359</v>
      </c>
      <c r="DD2285" t="s">
        <v>13434</v>
      </c>
      <c r="DE2285" t="s">
        <v>302</v>
      </c>
      <c r="DF2285" t="s">
        <v>303</v>
      </c>
      <c r="DG2285" t="s">
        <v>26579</v>
      </c>
      <c r="DH2285" t="s">
        <v>1586</v>
      </c>
      <c r="DI2285" t="s">
        <v>183</v>
      </c>
      <c r="DJ2285" t="s">
        <v>211</v>
      </c>
      <c r="DK2285" t="s">
        <v>298</v>
      </c>
      <c r="DM2285" t="s">
        <v>1131</v>
      </c>
      <c r="DN2285" t="s">
        <v>18141</v>
      </c>
      <c r="DO2285" t="s">
        <v>238</v>
      </c>
      <c r="DP2285" t="s">
        <v>239</v>
      </c>
      <c r="DQ2285" t="s">
        <v>26580</v>
      </c>
      <c r="DR2285" t="s">
        <v>1491</v>
      </c>
      <c r="DS2285" t="s">
        <v>183</v>
      </c>
      <c r="DT2285" t="s">
        <v>211</v>
      </c>
      <c r="DU2285" t="s">
        <v>337</v>
      </c>
      <c r="DW2285" t="s">
        <v>1349</v>
      </c>
      <c r="DX2285" t="s">
        <v>26581</v>
      </c>
      <c r="DY2285" t="s">
        <v>346</v>
      </c>
      <c r="DZ2285" t="s">
        <v>347</v>
      </c>
      <c r="EA2285" t="s">
        <v>26582</v>
      </c>
      <c r="EB2285" t="s">
        <v>247</v>
      </c>
      <c r="EC2285" t="s">
        <v>183</v>
      </c>
      <c r="ED2285" t="s">
        <v>211</v>
      </c>
      <c r="EE2285" t="s">
        <v>298</v>
      </c>
      <c r="EG2285" t="s">
        <v>3166</v>
      </c>
      <c r="EH2285" t="s">
        <v>26583</v>
      </c>
      <c r="EI2285" t="s">
        <v>207</v>
      </c>
      <c r="EJ2285" t="s">
        <v>208</v>
      </c>
      <c r="EK2285" t="s">
        <v>26584</v>
      </c>
      <c r="EL2285" t="s">
        <v>1615</v>
      </c>
      <c r="EM2285" t="s">
        <v>183</v>
      </c>
      <c r="EN2285" t="s">
        <v>211</v>
      </c>
      <c r="EO2285" t="s">
        <v>345</v>
      </c>
      <c r="EQ2285" t="s">
        <v>5893</v>
      </c>
      <c r="FA2285" t="s">
        <v>198</v>
      </c>
      <c r="FK2285" t="s">
        <v>198</v>
      </c>
      <c r="FU2285" t="s">
        <v>198</v>
      </c>
    </row>
    <row r="2286" spans="1:177">
      <c r="A2286" s="1" t="str">
        <f>HYPERLINK("http://digipan.lumentumllc.com/apps/getLink/index.php?t=PropLink&amp;p=6129064","PL")</f>
        <v>PL</v>
      </c>
      <c r="B2286" s="1" t="str">
        <f>HYPERLINK("http://digipan.lumentumllc.com/apps/getLink/index.php?t=TaxLink&amp;p=6129064","TL")</f>
        <v>TL</v>
      </c>
      <c r="C2286" s="1" t="str">
        <f>HYPERLINK("http://digipan.lumentumllc.com/apps/getMap/index.php?p=6129064","Map")</f>
        <v>Map</v>
      </c>
      <c r="E2286" t="s">
        <v>177</v>
      </c>
      <c r="F2286" t="s">
        <v>178</v>
      </c>
      <c r="L2286" t="s">
        <v>7363</v>
      </c>
      <c r="N2286" t="s">
        <v>7363</v>
      </c>
      <c r="O2286" t="s">
        <v>7363</v>
      </c>
      <c r="P2286" t="s">
        <v>7364</v>
      </c>
      <c r="Q2286" t="s">
        <v>7363</v>
      </c>
      <c r="V2286">
        <v>2615</v>
      </c>
      <c r="W2286">
        <v>8</v>
      </c>
      <c r="X2286">
        <v>2016</v>
      </c>
      <c r="Y2286">
        <v>2018</v>
      </c>
      <c r="Z2286">
        <v>521.17999999999995</v>
      </c>
      <c r="AB2286" t="s">
        <v>181</v>
      </c>
      <c r="AC2286" t="s">
        <v>182</v>
      </c>
      <c r="AD2286" t="s">
        <v>183</v>
      </c>
      <c r="AE2286">
        <v>0</v>
      </c>
      <c r="AF2286">
        <v>3</v>
      </c>
      <c r="AG2286" t="s">
        <v>381</v>
      </c>
      <c r="AH2286">
        <v>100</v>
      </c>
      <c r="AK2286">
        <v>0</v>
      </c>
      <c r="AL2286">
        <v>129203</v>
      </c>
      <c r="AM2286">
        <v>32320</v>
      </c>
      <c r="AN2286">
        <v>96883</v>
      </c>
      <c r="AO2286">
        <v>385</v>
      </c>
      <c r="AP2286">
        <v>2016</v>
      </c>
      <c r="AQ2286">
        <v>0.4</v>
      </c>
      <c r="AS2286" t="s">
        <v>7365</v>
      </c>
      <c r="AT2286" t="s">
        <v>186</v>
      </c>
      <c r="AU2286" t="s">
        <v>177</v>
      </c>
      <c r="AV2286" t="s">
        <v>187</v>
      </c>
      <c r="AW2286" t="s">
        <v>202</v>
      </c>
      <c r="AX2286">
        <v>50</v>
      </c>
      <c r="AY2286" t="s">
        <v>218</v>
      </c>
      <c r="AZ2286" t="s">
        <v>589</v>
      </c>
      <c r="BA2286" t="s">
        <v>590</v>
      </c>
      <c r="BB2286" t="s">
        <v>191</v>
      </c>
      <c r="BC2286" t="s">
        <v>182</v>
      </c>
      <c r="BD2286" t="s">
        <v>182</v>
      </c>
      <c r="BE2286" t="s">
        <v>576</v>
      </c>
      <c r="BF2286">
        <v>2</v>
      </c>
      <c r="BG2286">
        <v>2</v>
      </c>
      <c r="BH2286">
        <v>1997</v>
      </c>
      <c r="BI2286" t="s">
        <v>1332</v>
      </c>
      <c r="BJ2286" t="s">
        <v>194</v>
      </c>
      <c r="BK2286" t="s">
        <v>195</v>
      </c>
      <c r="BL2286" t="s">
        <v>199</v>
      </c>
      <c r="BM2286" t="s">
        <v>410</v>
      </c>
      <c r="BN2286" t="s">
        <v>182</v>
      </c>
      <c r="BO2286" t="s">
        <v>3842</v>
      </c>
      <c r="BP2286" t="s">
        <v>7366</v>
      </c>
      <c r="BS2286" t="s">
        <v>7367</v>
      </c>
      <c r="BT2286" t="s">
        <v>198</v>
      </c>
      <c r="BU2286" t="s">
        <v>182</v>
      </c>
      <c r="BV2286" t="s">
        <v>198</v>
      </c>
      <c r="BW2286" t="s">
        <v>198</v>
      </c>
      <c r="BX2286" t="s">
        <v>199</v>
      </c>
      <c r="BY2286" t="s">
        <v>198</v>
      </c>
      <c r="BZ2286" t="s">
        <v>199</v>
      </c>
      <c r="CA2286" t="s">
        <v>199</v>
      </c>
      <c r="CB2286" t="s">
        <v>7368</v>
      </c>
      <c r="CC2286" t="s">
        <v>201</v>
      </c>
      <c r="CD2286" t="s">
        <v>202</v>
      </c>
      <c r="CE2286" t="s">
        <v>7369</v>
      </c>
      <c r="CF2286" t="s">
        <v>204</v>
      </c>
      <c r="CG2286" t="s">
        <v>177</v>
      </c>
      <c r="CH2286" t="s">
        <v>187</v>
      </c>
      <c r="CI2286" t="s">
        <v>7370</v>
      </c>
      <c r="CJ2286" t="s">
        <v>7371</v>
      </c>
      <c r="CK2286" t="s">
        <v>273</v>
      </c>
      <c r="CL2286" t="s">
        <v>274</v>
      </c>
      <c r="CM2286" t="s">
        <v>7372</v>
      </c>
      <c r="CN2286" t="s">
        <v>235</v>
      </c>
      <c r="CO2286" t="s">
        <v>183</v>
      </c>
      <c r="CP2286" t="s">
        <v>211</v>
      </c>
      <c r="CQ2286" t="s">
        <v>342</v>
      </c>
      <c r="CS2286" t="s">
        <v>1372</v>
      </c>
      <c r="CT2286" t="s">
        <v>7373</v>
      </c>
      <c r="CU2286" t="s">
        <v>302</v>
      </c>
      <c r="CV2286" t="s">
        <v>303</v>
      </c>
      <c r="CW2286" t="s">
        <v>7374</v>
      </c>
      <c r="CX2286" t="s">
        <v>796</v>
      </c>
      <c r="CY2286" t="s">
        <v>183</v>
      </c>
      <c r="CZ2286" t="s">
        <v>211</v>
      </c>
      <c r="DA2286" t="s">
        <v>270</v>
      </c>
      <c r="DC2286" t="s">
        <v>7375</v>
      </c>
      <c r="DD2286" t="s">
        <v>7376</v>
      </c>
      <c r="DE2286" t="s">
        <v>238</v>
      </c>
      <c r="DF2286" t="s">
        <v>239</v>
      </c>
      <c r="DG2286" t="s">
        <v>7377</v>
      </c>
      <c r="DH2286" t="s">
        <v>278</v>
      </c>
      <c r="DI2286" t="s">
        <v>183</v>
      </c>
      <c r="DJ2286" t="s">
        <v>211</v>
      </c>
      <c r="DK2286" t="s">
        <v>206</v>
      </c>
      <c r="DM2286" t="s">
        <v>7378</v>
      </c>
      <c r="DW2286" t="s">
        <v>198</v>
      </c>
      <c r="EG2286" t="s">
        <v>198</v>
      </c>
      <c r="EQ2286" t="s">
        <v>198</v>
      </c>
      <c r="FA2286" t="s">
        <v>198</v>
      </c>
      <c r="FK2286" t="s">
        <v>198</v>
      </c>
      <c r="FU2286" t="s">
        <v>198</v>
      </c>
    </row>
    <row r="2287" spans="1:177">
      <c r="A2287" s="1" t="str">
        <f>HYPERLINK("http://digipan.lumentumllc.com/apps/getLink/index.php?t=PropLink&amp;p=5245453","PL")</f>
        <v>PL</v>
      </c>
      <c r="B2287" s="1" t="str">
        <f>HYPERLINK("http://digipan.lumentumllc.com/apps/getLink/index.php?t=TaxLink&amp;p=5245453","TL")</f>
        <v>TL</v>
      </c>
      <c r="C2287" s="1" t="str">
        <f>HYPERLINK("http://digipan.lumentumllc.com/apps/getMap/index.php?p=5245453","Map")</f>
        <v>Map</v>
      </c>
      <c r="E2287" t="s">
        <v>177</v>
      </c>
      <c r="F2287" t="s">
        <v>178</v>
      </c>
      <c r="L2287" t="s">
        <v>7956</v>
      </c>
      <c r="N2287" t="s">
        <v>7956</v>
      </c>
      <c r="O2287" t="s">
        <v>7956</v>
      </c>
      <c r="P2287" t="s">
        <v>7957</v>
      </c>
      <c r="Q2287" t="s">
        <v>7956</v>
      </c>
      <c r="V2287">
        <v>2616</v>
      </c>
      <c r="W2287">
        <v>8</v>
      </c>
      <c r="X2287">
        <v>2016</v>
      </c>
      <c r="Y2287">
        <v>2018</v>
      </c>
      <c r="Z2287">
        <v>605.11</v>
      </c>
      <c r="AB2287" t="s">
        <v>181</v>
      </c>
      <c r="AC2287" t="s">
        <v>182</v>
      </c>
      <c r="AD2287" t="s">
        <v>183</v>
      </c>
      <c r="AE2287">
        <v>0</v>
      </c>
      <c r="AF2287">
        <v>7</v>
      </c>
      <c r="AG2287" t="s">
        <v>528</v>
      </c>
      <c r="AH2287">
        <v>100</v>
      </c>
      <c r="AK2287">
        <v>0</v>
      </c>
      <c r="AL2287">
        <v>76128</v>
      </c>
      <c r="AM2287">
        <v>23808</v>
      </c>
      <c r="AN2287">
        <v>52320</v>
      </c>
      <c r="AO2287">
        <v>451</v>
      </c>
      <c r="AP2287">
        <v>2016</v>
      </c>
      <c r="AQ2287">
        <v>0.79</v>
      </c>
      <c r="AS2287" t="s">
        <v>7958</v>
      </c>
      <c r="AT2287" t="s">
        <v>186</v>
      </c>
      <c r="AU2287" t="s">
        <v>177</v>
      </c>
      <c r="AV2287" t="s">
        <v>187</v>
      </c>
      <c r="AW2287" t="s">
        <v>202</v>
      </c>
      <c r="AX2287">
        <v>2</v>
      </c>
      <c r="AY2287" t="s">
        <v>188</v>
      </c>
      <c r="AZ2287" t="s">
        <v>189</v>
      </c>
      <c r="BA2287" t="s">
        <v>190</v>
      </c>
      <c r="BB2287" t="s">
        <v>191</v>
      </c>
      <c r="BC2287" t="s">
        <v>182</v>
      </c>
      <c r="BD2287" t="s">
        <v>182</v>
      </c>
      <c r="BE2287" t="s">
        <v>7959</v>
      </c>
      <c r="BF2287">
        <v>1</v>
      </c>
      <c r="BG2287">
        <v>1</v>
      </c>
      <c r="BH2287">
        <v>2001</v>
      </c>
      <c r="BI2287" t="s">
        <v>7960</v>
      </c>
      <c r="BJ2287" t="s">
        <v>194</v>
      </c>
      <c r="BK2287" t="s">
        <v>195</v>
      </c>
      <c r="BL2287" t="s">
        <v>7961</v>
      </c>
      <c r="BM2287" t="s">
        <v>1311</v>
      </c>
      <c r="BN2287" t="s">
        <v>182</v>
      </c>
      <c r="BO2287" t="s">
        <v>198</v>
      </c>
      <c r="BP2287" t="s">
        <v>198</v>
      </c>
      <c r="BQ2287" t="s">
        <v>198</v>
      </c>
      <c r="BR2287" t="s">
        <v>198</v>
      </c>
      <c r="BS2287" t="s">
        <v>198</v>
      </c>
      <c r="BT2287" t="s">
        <v>198</v>
      </c>
      <c r="BU2287" t="s">
        <v>182</v>
      </c>
      <c r="BV2287" t="s">
        <v>198</v>
      </c>
      <c r="BW2287" t="s">
        <v>198</v>
      </c>
      <c r="BX2287" t="s">
        <v>199</v>
      </c>
      <c r="BY2287" t="s">
        <v>198</v>
      </c>
      <c r="BZ2287" t="s">
        <v>199</v>
      </c>
      <c r="CA2287" t="s">
        <v>199</v>
      </c>
      <c r="CB2287" t="s">
        <v>7962</v>
      </c>
      <c r="CC2287" t="s">
        <v>201</v>
      </c>
      <c r="CD2287" t="s">
        <v>182</v>
      </c>
      <c r="CE2287" t="s">
        <v>7963</v>
      </c>
      <c r="CF2287" t="s">
        <v>204</v>
      </c>
      <c r="CG2287" t="s">
        <v>177</v>
      </c>
      <c r="CH2287" t="s">
        <v>187</v>
      </c>
      <c r="CI2287" t="s">
        <v>7964</v>
      </c>
      <c r="CJ2287" t="s">
        <v>6994</v>
      </c>
      <c r="CK2287" t="s">
        <v>292</v>
      </c>
      <c r="CL2287" t="s">
        <v>293</v>
      </c>
      <c r="CM2287" t="s">
        <v>7965</v>
      </c>
      <c r="CN2287" t="s">
        <v>235</v>
      </c>
      <c r="CO2287" t="s">
        <v>183</v>
      </c>
      <c r="CP2287" t="s">
        <v>211</v>
      </c>
      <c r="CQ2287" t="s">
        <v>298</v>
      </c>
      <c r="CS2287" t="s">
        <v>430</v>
      </c>
      <c r="CT2287" t="s">
        <v>7950</v>
      </c>
      <c r="CU2287" t="s">
        <v>267</v>
      </c>
      <c r="CV2287" t="s">
        <v>268</v>
      </c>
      <c r="CW2287" t="s">
        <v>7966</v>
      </c>
      <c r="CX2287" t="s">
        <v>235</v>
      </c>
      <c r="CY2287" t="s">
        <v>183</v>
      </c>
      <c r="CZ2287" t="s">
        <v>211</v>
      </c>
      <c r="DA2287" t="s">
        <v>808</v>
      </c>
      <c r="DC2287" t="s">
        <v>7967</v>
      </c>
      <c r="DD2287" t="s">
        <v>7953</v>
      </c>
      <c r="DE2287" t="s">
        <v>273</v>
      </c>
      <c r="DF2287" t="s">
        <v>274</v>
      </c>
      <c r="DG2287" t="s">
        <v>7968</v>
      </c>
      <c r="DH2287" t="s">
        <v>235</v>
      </c>
      <c r="DI2287" t="s">
        <v>183</v>
      </c>
      <c r="DJ2287" t="s">
        <v>211</v>
      </c>
      <c r="DK2287" t="s">
        <v>298</v>
      </c>
      <c r="DM2287" t="s">
        <v>462</v>
      </c>
      <c r="DN2287" t="s">
        <v>7969</v>
      </c>
      <c r="DO2287" t="s">
        <v>302</v>
      </c>
      <c r="DP2287" t="s">
        <v>303</v>
      </c>
      <c r="DQ2287" t="s">
        <v>7230</v>
      </c>
      <c r="DR2287" t="s">
        <v>796</v>
      </c>
      <c r="DS2287" t="s">
        <v>183</v>
      </c>
      <c r="DT2287" t="s">
        <v>211</v>
      </c>
      <c r="DU2287" t="s">
        <v>298</v>
      </c>
      <c r="DW2287" t="s">
        <v>2359</v>
      </c>
      <c r="DX2287" t="s">
        <v>7970</v>
      </c>
      <c r="DY2287" t="s">
        <v>238</v>
      </c>
      <c r="DZ2287" t="s">
        <v>239</v>
      </c>
      <c r="EA2287" t="s">
        <v>7971</v>
      </c>
      <c r="EB2287" t="s">
        <v>440</v>
      </c>
      <c r="EC2287" t="s">
        <v>183</v>
      </c>
      <c r="ED2287" t="s">
        <v>211</v>
      </c>
      <c r="EE2287" t="s">
        <v>298</v>
      </c>
      <c r="EG2287" t="s">
        <v>467</v>
      </c>
      <c r="EH2287" t="s">
        <v>1202</v>
      </c>
      <c r="EI2287" t="s">
        <v>346</v>
      </c>
      <c r="EJ2287" t="s">
        <v>347</v>
      </c>
      <c r="EK2287" t="s">
        <v>7972</v>
      </c>
      <c r="EL2287" t="s">
        <v>247</v>
      </c>
      <c r="EM2287" t="s">
        <v>183</v>
      </c>
      <c r="EN2287" t="s">
        <v>211</v>
      </c>
      <c r="EO2287" t="s">
        <v>298</v>
      </c>
      <c r="EQ2287" t="s">
        <v>1622</v>
      </c>
      <c r="ER2287" t="s">
        <v>7678</v>
      </c>
      <c r="ES2287" t="s">
        <v>207</v>
      </c>
      <c r="ET2287" t="s">
        <v>208</v>
      </c>
      <c r="EU2287" t="s">
        <v>7973</v>
      </c>
      <c r="EV2287" t="s">
        <v>1966</v>
      </c>
      <c r="EW2287" t="s">
        <v>183</v>
      </c>
      <c r="EX2287" t="s">
        <v>211</v>
      </c>
      <c r="EY2287" t="s">
        <v>212</v>
      </c>
      <c r="FA2287" t="s">
        <v>7974</v>
      </c>
      <c r="FK2287" t="s">
        <v>198</v>
      </c>
      <c r="FU2287" t="s">
        <v>198</v>
      </c>
    </row>
    <row r="2288" spans="1:177">
      <c r="A2288" s="1" t="str">
        <f>HYPERLINK("http://digipan.lumentumllc.com/apps/getLink/index.php?t=PropLink&amp;p=4637359","PL")</f>
        <v>PL</v>
      </c>
      <c r="B2288" s="1" t="str">
        <f>HYPERLINK("http://digipan.lumentumllc.com/apps/getLink/index.php?t=TaxLink&amp;p=4637359","TL")</f>
        <v>TL</v>
      </c>
      <c r="C2288" s="1" t="str">
        <f>HYPERLINK("http://digipan.lumentumllc.com/apps/getMap/index.php?p=4637359","Map")</f>
        <v>Map</v>
      </c>
      <c r="E2288" t="s">
        <v>177</v>
      </c>
      <c r="F2288" t="s">
        <v>178</v>
      </c>
      <c r="L2288" t="s">
        <v>8635</v>
      </c>
      <c r="N2288" t="s">
        <v>8635</v>
      </c>
      <c r="O2288" t="s">
        <v>8635</v>
      </c>
      <c r="P2288" t="s">
        <v>8636</v>
      </c>
      <c r="Q2288" t="s">
        <v>8635</v>
      </c>
      <c r="V2288">
        <v>2617</v>
      </c>
      <c r="W2288">
        <v>8</v>
      </c>
      <c r="X2288">
        <v>2016</v>
      </c>
      <c r="Y2288">
        <v>2018</v>
      </c>
      <c r="Z2288">
        <v>1905.62</v>
      </c>
      <c r="AG2288" t="s">
        <v>184</v>
      </c>
      <c r="AH2288">
        <v>0</v>
      </c>
      <c r="AK2288">
        <v>0</v>
      </c>
      <c r="AL2288">
        <v>187784</v>
      </c>
      <c r="AM2288">
        <v>28920</v>
      </c>
      <c r="AN2288">
        <v>158864</v>
      </c>
      <c r="AO2288">
        <v>1475</v>
      </c>
      <c r="AP2288">
        <v>2016</v>
      </c>
      <c r="AQ2288">
        <v>1.01</v>
      </c>
      <c r="AS2288" t="s">
        <v>8637</v>
      </c>
      <c r="AT2288" t="s">
        <v>3747</v>
      </c>
      <c r="AU2288" t="s">
        <v>177</v>
      </c>
      <c r="AV2288" t="s">
        <v>1030</v>
      </c>
      <c r="AW2288" t="s">
        <v>202</v>
      </c>
      <c r="AX2288">
        <v>1</v>
      </c>
      <c r="AY2288" t="s">
        <v>188</v>
      </c>
      <c r="AZ2288" t="s">
        <v>206</v>
      </c>
      <c r="BA2288" t="s">
        <v>355</v>
      </c>
      <c r="BB2288" t="s">
        <v>191</v>
      </c>
      <c r="BC2288" t="s">
        <v>182</v>
      </c>
      <c r="BD2288" t="s">
        <v>182</v>
      </c>
      <c r="BE2288" t="s">
        <v>8638</v>
      </c>
      <c r="BF2288">
        <v>1</v>
      </c>
      <c r="BG2288">
        <v>1</v>
      </c>
      <c r="BH2288">
        <v>1975</v>
      </c>
      <c r="BI2288" t="s">
        <v>8639</v>
      </c>
      <c r="BJ2288" t="s">
        <v>315</v>
      </c>
      <c r="BK2288" t="s">
        <v>195</v>
      </c>
      <c r="BL2288" t="s">
        <v>6377</v>
      </c>
      <c r="BM2288" t="s">
        <v>1332</v>
      </c>
      <c r="BN2288" t="s">
        <v>182</v>
      </c>
      <c r="BO2288" t="s">
        <v>1204</v>
      </c>
      <c r="BP2288" t="s">
        <v>2911</v>
      </c>
      <c r="BQ2288" t="s">
        <v>800</v>
      </c>
      <c r="BS2288" t="s">
        <v>198</v>
      </c>
      <c r="BT2288" t="s">
        <v>8640</v>
      </c>
      <c r="BU2288" t="s">
        <v>182</v>
      </c>
      <c r="BV2288" t="s">
        <v>198</v>
      </c>
      <c r="BW2288" t="s">
        <v>198</v>
      </c>
      <c r="BX2288" t="s">
        <v>199</v>
      </c>
      <c r="BY2288" t="s">
        <v>198</v>
      </c>
      <c r="BZ2288" t="s">
        <v>199</v>
      </c>
      <c r="CA2288" t="s">
        <v>199</v>
      </c>
      <c r="CB2288" t="s">
        <v>8641</v>
      </c>
      <c r="CC2288" t="s">
        <v>201</v>
      </c>
      <c r="CD2288" t="s">
        <v>182</v>
      </c>
      <c r="CE2288" t="s">
        <v>8642</v>
      </c>
      <c r="CF2288" t="s">
        <v>1029</v>
      </c>
      <c r="CG2288" t="s">
        <v>177</v>
      </c>
      <c r="CH2288" t="s">
        <v>1030</v>
      </c>
      <c r="CI2288" t="s">
        <v>8643</v>
      </c>
      <c r="CS2288" t="s">
        <v>198</v>
      </c>
      <c r="DC2288" t="s">
        <v>198</v>
      </c>
      <c r="DM2288" t="s">
        <v>198</v>
      </c>
      <c r="DW2288" t="s">
        <v>198</v>
      </c>
      <c r="EG2288" t="s">
        <v>198</v>
      </c>
      <c r="EQ2288" t="s">
        <v>198</v>
      </c>
      <c r="FA2288" t="s">
        <v>198</v>
      </c>
      <c r="FK2288" t="s">
        <v>198</v>
      </c>
      <c r="FU2288" t="s">
        <v>198</v>
      </c>
    </row>
    <row r="2289" spans="1:177">
      <c r="A2289" s="1" t="str">
        <f>HYPERLINK("http://digipan.lumentumllc.com/apps/getLink/index.php?t=PropLink&amp;p=4638622","PL")</f>
        <v>PL</v>
      </c>
      <c r="B2289" s="1" t="str">
        <f>HYPERLINK("http://digipan.lumentumllc.com/apps/getLink/index.php?t=TaxLink&amp;p=4638622","TL")</f>
        <v>TL</v>
      </c>
      <c r="C2289" s="1" t="str">
        <f>HYPERLINK("http://digipan.lumentumllc.com/apps/getMap/index.php?p=4638622","Map")</f>
        <v>Map</v>
      </c>
      <c r="E2289" t="s">
        <v>177</v>
      </c>
      <c r="F2289" t="s">
        <v>178</v>
      </c>
      <c r="L2289" t="s">
        <v>17167</v>
      </c>
      <c r="N2289" t="s">
        <v>17167</v>
      </c>
      <c r="O2289" t="s">
        <v>17167</v>
      </c>
      <c r="P2289" t="s">
        <v>17168</v>
      </c>
      <c r="Q2289" t="s">
        <v>17167</v>
      </c>
      <c r="V2289">
        <v>2618</v>
      </c>
      <c r="W2289">
        <v>8</v>
      </c>
      <c r="X2289">
        <v>2016</v>
      </c>
      <c r="Y2289">
        <v>2018</v>
      </c>
      <c r="Z2289">
        <v>777.58</v>
      </c>
      <c r="AG2289" t="s">
        <v>184</v>
      </c>
      <c r="AH2289">
        <v>0</v>
      </c>
      <c r="AK2289">
        <v>0</v>
      </c>
      <c r="AL2289">
        <v>101245</v>
      </c>
      <c r="AM2289">
        <v>28000</v>
      </c>
      <c r="AN2289">
        <v>73245</v>
      </c>
      <c r="AO2289">
        <v>587</v>
      </c>
      <c r="AP2289">
        <v>2016</v>
      </c>
      <c r="AQ2289">
        <v>0.77</v>
      </c>
      <c r="AS2289" t="s">
        <v>17169</v>
      </c>
      <c r="AT2289" t="s">
        <v>3210</v>
      </c>
      <c r="AU2289" t="s">
        <v>177</v>
      </c>
      <c r="AV2289" t="s">
        <v>2334</v>
      </c>
      <c r="AW2289" t="s">
        <v>202</v>
      </c>
      <c r="AX2289">
        <v>2</v>
      </c>
      <c r="AY2289" t="s">
        <v>188</v>
      </c>
      <c r="AZ2289" t="s">
        <v>189</v>
      </c>
      <c r="BA2289" t="s">
        <v>190</v>
      </c>
      <c r="BB2289" t="s">
        <v>191</v>
      </c>
      <c r="BC2289" t="s">
        <v>182</v>
      </c>
      <c r="BD2289" t="s">
        <v>182</v>
      </c>
      <c r="BE2289" t="s">
        <v>383</v>
      </c>
      <c r="BF2289">
        <v>1</v>
      </c>
      <c r="BG2289">
        <v>1</v>
      </c>
      <c r="BH2289">
        <v>1999</v>
      </c>
      <c r="BI2289" t="s">
        <v>17170</v>
      </c>
      <c r="BJ2289" t="s">
        <v>194</v>
      </c>
      <c r="BK2289" t="s">
        <v>195</v>
      </c>
      <c r="BL2289" t="s">
        <v>196</v>
      </c>
      <c r="BM2289" t="s">
        <v>501</v>
      </c>
      <c r="BN2289" t="s">
        <v>182</v>
      </c>
      <c r="BO2289" t="s">
        <v>198</v>
      </c>
      <c r="BP2289" t="s">
        <v>198</v>
      </c>
      <c r="BQ2289" t="s">
        <v>198</v>
      </c>
      <c r="BR2289" t="s">
        <v>198</v>
      </c>
      <c r="BS2289" t="s">
        <v>198</v>
      </c>
      <c r="BT2289" t="s">
        <v>198</v>
      </c>
      <c r="BU2289" t="s">
        <v>182</v>
      </c>
      <c r="BV2289" t="s">
        <v>198</v>
      </c>
      <c r="BW2289" t="s">
        <v>198</v>
      </c>
      <c r="BX2289" t="s">
        <v>199</v>
      </c>
      <c r="BY2289" t="s">
        <v>198</v>
      </c>
      <c r="BZ2289" t="s">
        <v>199</v>
      </c>
      <c r="CA2289" t="s">
        <v>199</v>
      </c>
      <c r="CB2289" t="s">
        <v>17171</v>
      </c>
      <c r="CC2289" t="s">
        <v>201</v>
      </c>
      <c r="CD2289" t="s">
        <v>202</v>
      </c>
      <c r="CE2289" t="s">
        <v>17172</v>
      </c>
      <c r="CF2289" t="s">
        <v>2333</v>
      </c>
      <c r="CG2289" t="s">
        <v>177</v>
      </c>
      <c r="CH2289" t="s">
        <v>2334</v>
      </c>
      <c r="CI2289" t="s">
        <v>17173</v>
      </c>
      <c r="CS2289" t="s">
        <v>198</v>
      </c>
      <c r="DC2289" t="s">
        <v>198</v>
      </c>
      <c r="DM2289" t="s">
        <v>198</v>
      </c>
      <c r="DW2289" t="s">
        <v>198</v>
      </c>
      <c r="EG2289" t="s">
        <v>198</v>
      </c>
      <c r="EQ2289" t="s">
        <v>198</v>
      </c>
      <c r="FA2289" t="s">
        <v>198</v>
      </c>
      <c r="FK2289" t="s">
        <v>198</v>
      </c>
      <c r="FU2289" t="s">
        <v>198</v>
      </c>
    </row>
    <row r="2290" spans="1:177">
      <c r="A2290" s="1" t="str">
        <f>HYPERLINK("http://digipan.lumentumllc.com/apps/getLink/index.php?t=PropLink&amp;p=5246892","PL")</f>
        <v>PL</v>
      </c>
      <c r="B2290" s="1" t="str">
        <f>HYPERLINK("http://digipan.lumentumllc.com/apps/getLink/index.php?t=TaxLink&amp;p=5246892","TL")</f>
        <v>TL</v>
      </c>
      <c r="C2290" s="1" t="str">
        <f>HYPERLINK("http://digipan.lumentumllc.com/apps/getMap/index.php?p=5246892","Map")</f>
        <v>Map</v>
      </c>
      <c r="E2290" t="s">
        <v>177</v>
      </c>
      <c r="F2290" t="s">
        <v>178</v>
      </c>
      <c r="L2290" t="s">
        <v>19382</v>
      </c>
      <c r="N2290" t="s">
        <v>19382</v>
      </c>
      <c r="O2290" t="s">
        <v>19382</v>
      </c>
      <c r="P2290" t="s">
        <v>19383</v>
      </c>
      <c r="Q2290" t="s">
        <v>19382</v>
      </c>
      <c r="V2290">
        <v>2619</v>
      </c>
      <c r="W2290">
        <v>8</v>
      </c>
      <c r="X2290">
        <v>2016</v>
      </c>
      <c r="Y2290">
        <v>2018</v>
      </c>
      <c r="Z2290">
        <v>1004.15</v>
      </c>
      <c r="AB2290" t="s">
        <v>181</v>
      </c>
      <c r="AC2290" t="s">
        <v>182</v>
      </c>
      <c r="AD2290" t="s">
        <v>183</v>
      </c>
      <c r="AE2290">
        <v>1</v>
      </c>
      <c r="AF2290">
        <v>3</v>
      </c>
      <c r="AG2290" t="s">
        <v>363</v>
      </c>
      <c r="AH2290">
        <v>67</v>
      </c>
      <c r="AI2290">
        <v>695.8</v>
      </c>
      <c r="AJ2290">
        <v>34.79</v>
      </c>
      <c r="AK2290">
        <v>730.59</v>
      </c>
      <c r="AL2290">
        <v>105419</v>
      </c>
      <c r="AM2290">
        <v>50000</v>
      </c>
      <c r="AN2290">
        <v>55419</v>
      </c>
      <c r="AO2290">
        <v>765</v>
      </c>
      <c r="AP2290">
        <v>2016</v>
      </c>
      <c r="AQ2290">
        <v>0.95</v>
      </c>
      <c r="AR2290">
        <v>0.69</v>
      </c>
      <c r="AS2290" t="s">
        <v>19384</v>
      </c>
      <c r="AT2290" t="s">
        <v>15040</v>
      </c>
      <c r="AU2290" t="s">
        <v>177</v>
      </c>
      <c r="AV2290" t="s">
        <v>371</v>
      </c>
      <c r="AW2290" t="s">
        <v>202</v>
      </c>
      <c r="AX2290">
        <v>2</v>
      </c>
      <c r="AY2290" t="s">
        <v>188</v>
      </c>
      <c r="AZ2290" t="s">
        <v>189</v>
      </c>
      <c r="BA2290" t="s">
        <v>190</v>
      </c>
      <c r="BB2290" t="s">
        <v>191</v>
      </c>
      <c r="BC2290" t="s">
        <v>182</v>
      </c>
      <c r="BD2290" t="s">
        <v>182</v>
      </c>
      <c r="BE2290" t="s">
        <v>365</v>
      </c>
      <c r="BF2290">
        <v>1</v>
      </c>
      <c r="BG2290">
        <v>1</v>
      </c>
      <c r="BH2290">
        <v>1999</v>
      </c>
      <c r="BI2290" t="s">
        <v>4667</v>
      </c>
      <c r="BJ2290" t="s">
        <v>194</v>
      </c>
      <c r="BK2290" t="s">
        <v>195</v>
      </c>
      <c r="BL2290" t="s">
        <v>8937</v>
      </c>
      <c r="BM2290" t="s">
        <v>238</v>
      </c>
      <c r="BN2290" t="s">
        <v>182</v>
      </c>
      <c r="BO2290" t="s">
        <v>1721</v>
      </c>
      <c r="BP2290" t="s">
        <v>19385</v>
      </c>
      <c r="BR2290" t="s">
        <v>1723</v>
      </c>
      <c r="BS2290" t="s">
        <v>19386</v>
      </c>
      <c r="BT2290" t="s">
        <v>4815</v>
      </c>
      <c r="BU2290" t="s">
        <v>182</v>
      </c>
      <c r="BV2290" t="s">
        <v>198</v>
      </c>
      <c r="BW2290" t="s">
        <v>198</v>
      </c>
      <c r="BX2290" t="s">
        <v>199</v>
      </c>
      <c r="BY2290" t="s">
        <v>198</v>
      </c>
      <c r="BZ2290" t="s">
        <v>199</v>
      </c>
      <c r="CA2290" t="s">
        <v>199</v>
      </c>
      <c r="CB2290" t="s">
        <v>19387</v>
      </c>
      <c r="CC2290" t="s">
        <v>201</v>
      </c>
      <c r="CD2290" t="s">
        <v>182</v>
      </c>
      <c r="CE2290" t="s">
        <v>19388</v>
      </c>
      <c r="CF2290" t="s">
        <v>5331</v>
      </c>
      <c r="CG2290" t="s">
        <v>177</v>
      </c>
      <c r="CH2290" t="s">
        <v>371</v>
      </c>
      <c r="CI2290" t="s">
        <v>19389</v>
      </c>
      <c r="CJ2290" t="s">
        <v>13112</v>
      </c>
      <c r="CK2290" t="s">
        <v>273</v>
      </c>
      <c r="CL2290" t="s">
        <v>274</v>
      </c>
      <c r="CM2290" t="s">
        <v>19390</v>
      </c>
      <c r="CN2290" t="s">
        <v>235</v>
      </c>
      <c r="CO2290" t="s">
        <v>183</v>
      </c>
      <c r="CP2290" t="s">
        <v>266</v>
      </c>
      <c r="CS2290" t="s">
        <v>198</v>
      </c>
      <c r="CT2290" t="s">
        <v>19391</v>
      </c>
      <c r="CU2290" t="s">
        <v>302</v>
      </c>
      <c r="CV2290" t="s">
        <v>303</v>
      </c>
      <c r="CW2290" t="s">
        <v>19392</v>
      </c>
      <c r="CX2290" t="s">
        <v>3342</v>
      </c>
      <c r="CY2290" t="s">
        <v>183</v>
      </c>
      <c r="CZ2290" t="s">
        <v>211</v>
      </c>
      <c r="DA2290" t="s">
        <v>345</v>
      </c>
      <c r="DC2290" t="s">
        <v>3807</v>
      </c>
      <c r="DD2290" t="s">
        <v>19393</v>
      </c>
      <c r="DE2290" t="s">
        <v>238</v>
      </c>
      <c r="DF2290" t="s">
        <v>239</v>
      </c>
      <c r="DG2290" t="s">
        <v>19394</v>
      </c>
      <c r="DH2290" t="s">
        <v>440</v>
      </c>
      <c r="DI2290" t="s">
        <v>183</v>
      </c>
      <c r="DJ2290" t="s">
        <v>211</v>
      </c>
      <c r="DK2290" t="s">
        <v>345</v>
      </c>
      <c r="DM2290" t="s">
        <v>4460</v>
      </c>
      <c r="DN2290" t="s">
        <v>18368</v>
      </c>
      <c r="DO2290" t="s">
        <v>207</v>
      </c>
      <c r="DP2290" t="s">
        <v>208</v>
      </c>
      <c r="DQ2290" t="s">
        <v>19395</v>
      </c>
      <c r="DR2290" t="s">
        <v>341</v>
      </c>
      <c r="DS2290" t="s">
        <v>183</v>
      </c>
      <c r="DT2290" t="s">
        <v>211</v>
      </c>
      <c r="DU2290" t="s">
        <v>342</v>
      </c>
      <c r="DW2290" t="s">
        <v>6588</v>
      </c>
      <c r="EG2290" t="s">
        <v>198</v>
      </c>
      <c r="EQ2290" t="s">
        <v>198</v>
      </c>
      <c r="FA2290" t="s">
        <v>198</v>
      </c>
      <c r="FK2290" t="s">
        <v>198</v>
      </c>
      <c r="FU2290" t="s">
        <v>198</v>
      </c>
    </row>
    <row r="2291" spans="1:177">
      <c r="A2291" s="1" t="str">
        <f>HYPERLINK("http://digipan.lumentumllc.com/apps/getLink/index.php?t=PropLink&amp;p=4638622","PL")</f>
        <v>PL</v>
      </c>
      <c r="B2291" s="1" t="str">
        <f>HYPERLINK("http://digipan.lumentumllc.com/apps/getLink/index.php?t=TaxLink&amp;p=4638622","TL")</f>
        <v>TL</v>
      </c>
      <c r="C2291" s="1" t="str">
        <f>HYPERLINK("http://digipan.lumentumllc.com/apps/getMap/index.php?p=4638622","Map")</f>
        <v>Map</v>
      </c>
      <c r="E2291" t="s">
        <v>177</v>
      </c>
      <c r="F2291" t="s">
        <v>178</v>
      </c>
      <c r="L2291" t="s">
        <v>17167</v>
      </c>
      <c r="N2291" t="s">
        <v>17167</v>
      </c>
      <c r="O2291" t="s">
        <v>17167</v>
      </c>
      <c r="P2291" t="s">
        <v>17168</v>
      </c>
      <c r="Q2291" t="s">
        <v>17167</v>
      </c>
      <c r="V2291">
        <v>2620</v>
      </c>
      <c r="W2291">
        <v>8</v>
      </c>
      <c r="X2291">
        <v>2015</v>
      </c>
      <c r="Y2291">
        <v>2018</v>
      </c>
      <c r="Z2291">
        <v>904.04</v>
      </c>
      <c r="AG2291" t="s">
        <v>184</v>
      </c>
      <c r="AH2291">
        <v>0</v>
      </c>
      <c r="AK2291">
        <v>0</v>
      </c>
      <c r="AL2291">
        <v>101245</v>
      </c>
      <c r="AM2291">
        <v>28000</v>
      </c>
      <c r="AN2291">
        <v>73245</v>
      </c>
      <c r="AO2291">
        <v>587</v>
      </c>
      <c r="AP2291">
        <v>2016</v>
      </c>
      <c r="AQ2291">
        <v>0.89</v>
      </c>
      <c r="AS2291" t="s">
        <v>17169</v>
      </c>
      <c r="AT2291" t="s">
        <v>3210</v>
      </c>
      <c r="AU2291" t="s">
        <v>177</v>
      </c>
      <c r="AV2291" t="s">
        <v>2334</v>
      </c>
      <c r="AW2291" t="s">
        <v>202</v>
      </c>
      <c r="AX2291">
        <v>2</v>
      </c>
      <c r="AY2291" t="s">
        <v>188</v>
      </c>
      <c r="AZ2291" t="s">
        <v>189</v>
      </c>
      <c r="BA2291" t="s">
        <v>190</v>
      </c>
      <c r="BB2291" t="s">
        <v>191</v>
      </c>
      <c r="BC2291" t="s">
        <v>182</v>
      </c>
      <c r="BD2291" t="s">
        <v>182</v>
      </c>
      <c r="BE2291" t="s">
        <v>383</v>
      </c>
      <c r="BF2291">
        <v>1</v>
      </c>
      <c r="BG2291">
        <v>1</v>
      </c>
      <c r="BH2291">
        <v>1999</v>
      </c>
      <c r="BI2291" t="s">
        <v>17170</v>
      </c>
      <c r="BJ2291" t="s">
        <v>194</v>
      </c>
      <c r="BK2291" t="s">
        <v>195</v>
      </c>
      <c r="BL2291" t="s">
        <v>196</v>
      </c>
      <c r="BM2291" t="s">
        <v>501</v>
      </c>
      <c r="BN2291" t="s">
        <v>182</v>
      </c>
      <c r="BO2291" t="s">
        <v>198</v>
      </c>
      <c r="BP2291" t="s">
        <v>198</v>
      </c>
      <c r="BQ2291" t="s">
        <v>198</v>
      </c>
      <c r="BR2291" t="s">
        <v>198</v>
      </c>
      <c r="BS2291" t="s">
        <v>198</v>
      </c>
      <c r="BT2291" t="s">
        <v>198</v>
      </c>
      <c r="BU2291" t="s">
        <v>182</v>
      </c>
      <c r="BV2291" t="s">
        <v>198</v>
      </c>
      <c r="BW2291" t="s">
        <v>198</v>
      </c>
      <c r="BX2291" t="s">
        <v>199</v>
      </c>
      <c r="BY2291" t="s">
        <v>198</v>
      </c>
      <c r="BZ2291" t="s">
        <v>199</v>
      </c>
      <c r="CA2291" t="s">
        <v>199</v>
      </c>
      <c r="CB2291" t="s">
        <v>17171</v>
      </c>
      <c r="CC2291" t="s">
        <v>201</v>
      </c>
      <c r="CD2291" t="s">
        <v>202</v>
      </c>
      <c r="CE2291" t="s">
        <v>17172</v>
      </c>
      <c r="CF2291" t="s">
        <v>2333</v>
      </c>
      <c r="CG2291" t="s">
        <v>177</v>
      </c>
      <c r="CH2291" t="s">
        <v>2334</v>
      </c>
      <c r="CI2291" t="s">
        <v>17173</v>
      </c>
      <c r="CS2291" t="s">
        <v>198</v>
      </c>
      <c r="DC2291" t="s">
        <v>198</v>
      </c>
      <c r="DM2291" t="s">
        <v>198</v>
      </c>
      <c r="DW2291" t="s">
        <v>198</v>
      </c>
      <c r="EG2291" t="s">
        <v>198</v>
      </c>
      <c r="EQ2291" t="s">
        <v>198</v>
      </c>
      <c r="FA2291" t="s">
        <v>198</v>
      </c>
      <c r="FK2291" t="s">
        <v>198</v>
      </c>
      <c r="FU2291" t="s">
        <v>198</v>
      </c>
    </row>
    <row r="2292" spans="1:177">
      <c r="A2292" s="1" t="str">
        <f>HYPERLINK("http://digipan.lumentumllc.com/apps/getLink/index.php?t=PropLink&amp;p=5246892","PL")</f>
        <v>PL</v>
      </c>
      <c r="B2292" s="1" t="str">
        <f>HYPERLINK("http://digipan.lumentumllc.com/apps/getLink/index.php?t=TaxLink&amp;p=5246892","TL")</f>
        <v>TL</v>
      </c>
      <c r="C2292" s="1" t="str">
        <f>HYPERLINK("http://digipan.lumentumllc.com/apps/getMap/index.php?p=5246892","Map")</f>
        <v>Map</v>
      </c>
      <c r="E2292" t="s">
        <v>177</v>
      </c>
      <c r="F2292" t="s">
        <v>178</v>
      </c>
      <c r="L2292" t="s">
        <v>19382</v>
      </c>
      <c r="N2292" t="s">
        <v>19382</v>
      </c>
      <c r="O2292" t="s">
        <v>19382</v>
      </c>
      <c r="P2292" t="s">
        <v>19383</v>
      </c>
      <c r="Q2292" t="s">
        <v>19382</v>
      </c>
      <c r="V2292">
        <v>2621</v>
      </c>
      <c r="W2292">
        <v>8</v>
      </c>
      <c r="X2292">
        <v>2015</v>
      </c>
      <c r="Y2292">
        <v>2018</v>
      </c>
      <c r="Z2292">
        <v>1338.77</v>
      </c>
      <c r="AB2292" t="s">
        <v>181</v>
      </c>
      <c r="AC2292" t="s">
        <v>182</v>
      </c>
      <c r="AD2292" t="s">
        <v>183</v>
      </c>
      <c r="AE2292">
        <v>1</v>
      </c>
      <c r="AF2292">
        <v>3</v>
      </c>
      <c r="AG2292" t="s">
        <v>363</v>
      </c>
      <c r="AH2292">
        <v>67</v>
      </c>
      <c r="AI2292">
        <v>695.8</v>
      </c>
      <c r="AJ2292">
        <v>34.79</v>
      </c>
      <c r="AK2292">
        <v>730.59</v>
      </c>
      <c r="AL2292">
        <v>105419</v>
      </c>
      <c r="AM2292">
        <v>50000</v>
      </c>
      <c r="AN2292">
        <v>55419</v>
      </c>
      <c r="AO2292">
        <v>765</v>
      </c>
      <c r="AP2292">
        <v>2016</v>
      </c>
      <c r="AQ2292">
        <v>1.27</v>
      </c>
      <c r="AR2292">
        <v>0.69</v>
      </c>
      <c r="AS2292" t="s">
        <v>19384</v>
      </c>
      <c r="AT2292" t="s">
        <v>15040</v>
      </c>
      <c r="AU2292" t="s">
        <v>177</v>
      </c>
      <c r="AV2292" t="s">
        <v>371</v>
      </c>
      <c r="AW2292" t="s">
        <v>202</v>
      </c>
      <c r="AX2292">
        <v>2</v>
      </c>
      <c r="AY2292" t="s">
        <v>188</v>
      </c>
      <c r="AZ2292" t="s">
        <v>189</v>
      </c>
      <c r="BA2292" t="s">
        <v>190</v>
      </c>
      <c r="BB2292" t="s">
        <v>191</v>
      </c>
      <c r="BC2292" t="s">
        <v>182</v>
      </c>
      <c r="BD2292" t="s">
        <v>182</v>
      </c>
      <c r="BE2292" t="s">
        <v>365</v>
      </c>
      <c r="BF2292">
        <v>1</v>
      </c>
      <c r="BG2292">
        <v>1</v>
      </c>
      <c r="BH2292">
        <v>1999</v>
      </c>
      <c r="BI2292" t="s">
        <v>4667</v>
      </c>
      <c r="BJ2292" t="s">
        <v>194</v>
      </c>
      <c r="BK2292" t="s">
        <v>195</v>
      </c>
      <c r="BL2292" t="s">
        <v>8937</v>
      </c>
      <c r="BM2292" t="s">
        <v>238</v>
      </c>
      <c r="BN2292" t="s">
        <v>182</v>
      </c>
      <c r="BO2292" t="s">
        <v>1721</v>
      </c>
      <c r="BP2292" t="s">
        <v>19385</v>
      </c>
      <c r="BR2292" t="s">
        <v>1723</v>
      </c>
      <c r="BS2292" t="s">
        <v>19386</v>
      </c>
      <c r="BT2292" t="s">
        <v>4815</v>
      </c>
      <c r="BU2292" t="s">
        <v>182</v>
      </c>
      <c r="BV2292" t="s">
        <v>198</v>
      </c>
      <c r="BW2292" t="s">
        <v>198</v>
      </c>
      <c r="BX2292" t="s">
        <v>199</v>
      </c>
      <c r="BY2292" t="s">
        <v>198</v>
      </c>
      <c r="BZ2292" t="s">
        <v>199</v>
      </c>
      <c r="CA2292" t="s">
        <v>199</v>
      </c>
      <c r="CB2292" t="s">
        <v>19387</v>
      </c>
      <c r="CC2292" t="s">
        <v>201</v>
      </c>
      <c r="CD2292" t="s">
        <v>182</v>
      </c>
      <c r="CE2292" t="s">
        <v>19388</v>
      </c>
      <c r="CF2292" t="s">
        <v>5331</v>
      </c>
      <c r="CG2292" t="s">
        <v>177</v>
      </c>
      <c r="CH2292" t="s">
        <v>371</v>
      </c>
      <c r="CI2292" t="s">
        <v>19389</v>
      </c>
      <c r="CJ2292" t="s">
        <v>13112</v>
      </c>
      <c r="CK2292" t="s">
        <v>273</v>
      </c>
      <c r="CL2292" t="s">
        <v>274</v>
      </c>
      <c r="CM2292" t="s">
        <v>19390</v>
      </c>
      <c r="CN2292" t="s">
        <v>235</v>
      </c>
      <c r="CO2292" t="s">
        <v>183</v>
      </c>
      <c r="CP2292" t="s">
        <v>266</v>
      </c>
      <c r="CS2292" t="s">
        <v>198</v>
      </c>
      <c r="CT2292" t="s">
        <v>19391</v>
      </c>
      <c r="CU2292" t="s">
        <v>302</v>
      </c>
      <c r="CV2292" t="s">
        <v>303</v>
      </c>
      <c r="CW2292" t="s">
        <v>19392</v>
      </c>
      <c r="CX2292" t="s">
        <v>3342</v>
      </c>
      <c r="CY2292" t="s">
        <v>183</v>
      </c>
      <c r="CZ2292" t="s">
        <v>211</v>
      </c>
      <c r="DA2292" t="s">
        <v>345</v>
      </c>
      <c r="DC2292" t="s">
        <v>3807</v>
      </c>
      <c r="DD2292" t="s">
        <v>19393</v>
      </c>
      <c r="DE2292" t="s">
        <v>238</v>
      </c>
      <c r="DF2292" t="s">
        <v>239</v>
      </c>
      <c r="DG2292" t="s">
        <v>19394</v>
      </c>
      <c r="DH2292" t="s">
        <v>440</v>
      </c>
      <c r="DI2292" t="s">
        <v>183</v>
      </c>
      <c r="DJ2292" t="s">
        <v>211</v>
      </c>
      <c r="DK2292" t="s">
        <v>345</v>
      </c>
      <c r="DM2292" t="s">
        <v>4460</v>
      </c>
      <c r="DN2292" t="s">
        <v>18368</v>
      </c>
      <c r="DO2292" t="s">
        <v>207</v>
      </c>
      <c r="DP2292" t="s">
        <v>208</v>
      </c>
      <c r="DQ2292" t="s">
        <v>19395</v>
      </c>
      <c r="DR2292" t="s">
        <v>341</v>
      </c>
      <c r="DS2292" t="s">
        <v>183</v>
      </c>
      <c r="DT2292" t="s">
        <v>211</v>
      </c>
      <c r="DU2292" t="s">
        <v>342</v>
      </c>
      <c r="DW2292" t="s">
        <v>6588</v>
      </c>
      <c r="EG2292" t="s">
        <v>198</v>
      </c>
      <c r="EQ2292" t="s">
        <v>198</v>
      </c>
      <c r="FA2292" t="s">
        <v>198</v>
      </c>
      <c r="FK2292" t="s">
        <v>198</v>
      </c>
      <c r="FU2292" t="s">
        <v>198</v>
      </c>
    </row>
    <row r="2293" spans="1:177">
      <c r="A2293" s="1" t="str">
        <f>HYPERLINK("http://digipan.lumentumllc.com/apps/getLink/index.php?t=PropLink&amp;p=4638622","PL")</f>
        <v>PL</v>
      </c>
      <c r="B2293" s="1" t="str">
        <f>HYPERLINK("http://digipan.lumentumllc.com/apps/getLink/index.php?t=TaxLink&amp;p=4638622","TL")</f>
        <v>TL</v>
      </c>
      <c r="C2293" s="1" t="str">
        <f>HYPERLINK("http://digipan.lumentumllc.com/apps/getMap/index.php?p=4638622","Map")</f>
        <v>Map</v>
      </c>
      <c r="E2293" t="s">
        <v>177</v>
      </c>
      <c r="F2293" t="s">
        <v>178</v>
      </c>
      <c r="L2293" t="s">
        <v>17167</v>
      </c>
      <c r="N2293" t="s">
        <v>17167</v>
      </c>
      <c r="O2293" t="s">
        <v>17167</v>
      </c>
      <c r="P2293" t="s">
        <v>17168</v>
      </c>
      <c r="Q2293" t="s">
        <v>17167</v>
      </c>
      <c r="V2293">
        <v>2622</v>
      </c>
      <c r="W2293">
        <v>8</v>
      </c>
      <c r="X2293">
        <v>2014</v>
      </c>
      <c r="Y2293">
        <v>2018</v>
      </c>
      <c r="Z2293">
        <v>1098.49</v>
      </c>
      <c r="AG2293" t="s">
        <v>184</v>
      </c>
      <c r="AH2293">
        <v>0</v>
      </c>
      <c r="AK2293">
        <v>0</v>
      </c>
      <c r="AL2293">
        <v>101245</v>
      </c>
      <c r="AM2293">
        <v>28000</v>
      </c>
      <c r="AN2293">
        <v>73245</v>
      </c>
      <c r="AO2293">
        <v>587</v>
      </c>
      <c r="AP2293">
        <v>2016</v>
      </c>
      <c r="AQ2293">
        <v>1.08</v>
      </c>
      <c r="AS2293" t="s">
        <v>17169</v>
      </c>
      <c r="AT2293" t="s">
        <v>3210</v>
      </c>
      <c r="AU2293" t="s">
        <v>177</v>
      </c>
      <c r="AV2293" t="s">
        <v>2334</v>
      </c>
      <c r="AW2293" t="s">
        <v>202</v>
      </c>
      <c r="AX2293">
        <v>2</v>
      </c>
      <c r="AY2293" t="s">
        <v>188</v>
      </c>
      <c r="AZ2293" t="s">
        <v>189</v>
      </c>
      <c r="BA2293" t="s">
        <v>190</v>
      </c>
      <c r="BB2293" t="s">
        <v>191</v>
      </c>
      <c r="BC2293" t="s">
        <v>182</v>
      </c>
      <c r="BD2293" t="s">
        <v>182</v>
      </c>
      <c r="BE2293" t="s">
        <v>383</v>
      </c>
      <c r="BF2293">
        <v>1</v>
      </c>
      <c r="BG2293">
        <v>1</v>
      </c>
      <c r="BH2293">
        <v>1999</v>
      </c>
      <c r="BI2293" t="s">
        <v>17170</v>
      </c>
      <c r="BJ2293" t="s">
        <v>194</v>
      </c>
      <c r="BK2293" t="s">
        <v>195</v>
      </c>
      <c r="BL2293" t="s">
        <v>196</v>
      </c>
      <c r="BM2293" t="s">
        <v>501</v>
      </c>
      <c r="BN2293" t="s">
        <v>182</v>
      </c>
      <c r="BO2293" t="s">
        <v>198</v>
      </c>
      <c r="BP2293" t="s">
        <v>198</v>
      </c>
      <c r="BQ2293" t="s">
        <v>198</v>
      </c>
      <c r="BR2293" t="s">
        <v>198</v>
      </c>
      <c r="BS2293" t="s">
        <v>198</v>
      </c>
      <c r="BT2293" t="s">
        <v>198</v>
      </c>
      <c r="BU2293" t="s">
        <v>182</v>
      </c>
      <c r="BV2293" t="s">
        <v>198</v>
      </c>
      <c r="BW2293" t="s">
        <v>198</v>
      </c>
      <c r="BX2293" t="s">
        <v>199</v>
      </c>
      <c r="BY2293" t="s">
        <v>198</v>
      </c>
      <c r="BZ2293" t="s">
        <v>199</v>
      </c>
      <c r="CA2293" t="s">
        <v>199</v>
      </c>
      <c r="CB2293" t="s">
        <v>17171</v>
      </c>
      <c r="CC2293" t="s">
        <v>201</v>
      </c>
      <c r="CD2293" t="s">
        <v>202</v>
      </c>
      <c r="CE2293" t="s">
        <v>17172</v>
      </c>
      <c r="CF2293" t="s">
        <v>2333</v>
      </c>
      <c r="CG2293" t="s">
        <v>177</v>
      </c>
      <c r="CH2293" t="s">
        <v>2334</v>
      </c>
      <c r="CI2293" t="s">
        <v>17173</v>
      </c>
      <c r="CS2293" t="s">
        <v>198</v>
      </c>
      <c r="DC2293" t="s">
        <v>198</v>
      </c>
      <c r="DM2293" t="s">
        <v>198</v>
      </c>
      <c r="DW2293" t="s">
        <v>198</v>
      </c>
      <c r="EG2293" t="s">
        <v>198</v>
      </c>
      <c r="EQ2293" t="s">
        <v>198</v>
      </c>
      <c r="FA2293" t="s">
        <v>198</v>
      </c>
      <c r="FK2293" t="s">
        <v>198</v>
      </c>
      <c r="FU2293" t="s">
        <v>198</v>
      </c>
    </row>
    <row r="2294" spans="1:177">
      <c r="A2294" s="1" t="str">
        <f>HYPERLINK("http://digipan.lumentumllc.com/apps/getLink/index.php?t=PropLink&amp;p=5246892","PL")</f>
        <v>PL</v>
      </c>
      <c r="B2294" s="1" t="str">
        <f>HYPERLINK("http://digipan.lumentumllc.com/apps/getLink/index.php?t=TaxLink&amp;p=5246892","TL")</f>
        <v>TL</v>
      </c>
      <c r="C2294" s="1" t="str">
        <f>HYPERLINK("http://digipan.lumentumllc.com/apps/getMap/index.php?p=5246892","Map")</f>
        <v>Map</v>
      </c>
      <c r="E2294" t="s">
        <v>177</v>
      </c>
      <c r="F2294" t="s">
        <v>178</v>
      </c>
      <c r="L2294" t="s">
        <v>19382</v>
      </c>
      <c r="N2294" t="s">
        <v>19382</v>
      </c>
      <c r="O2294" t="s">
        <v>19382</v>
      </c>
      <c r="P2294" t="s">
        <v>19383</v>
      </c>
      <c r="Q2294" t="s">
        <v>19382</v>
      </c>
      <c r="V2294">
        <v>2623</v>
      </c>
      <c r="W2294">
        <v>8</v>
      </c>
      <c r="X2294">
        <v>2014</v>
      </c>
      <c r="Y2294">
        <v>2018</v>
      </c>
      <c r="Z2294">
        <v>974.56</v>
      </c>
      <c r="AB2294" t="s">
        <v>181</v>
      </c>
      <c r="AC2294" t="s">
        <v>182</v>
      </c>
      <c r="AD2294" t="s">
        <v>183</v>
      </c>
      <c r="AE2294">
        <v>1</v>
      </c>
      <c r="AF2294">
        <v>3</v>
      </c>
      <c r="AG2294" t="s">
        <v>363</v>
      </c>
      <c r="AH2294">
        <v>67</v>
      </c>
      <c r="AI2294">
        <v>695.8</v>
      </c>
      <c r="AJ2294">
        <v>34.79</v>
      </c>
      <c r="AK2294">
        <v>730.59</v>
      </c>
      <c r="AL2294">
        <v>105419</v>
      </c>
      <c r="AM2294">
        <v>50000</v>
      </c>
      <c r="AN2294">
        <v>55419</v>
      </c>
      <c r="AO2294">
        <v>765</v>
      </c>
      <c r="AP2294">
        <v>2016</v>
      </c>
      <c r="AQ2294">
        <v>0.92</v>
      </c>
      <c r="AR2294">
        <v>0.69</v>
      </c>
      <c r="AS2294" t="s">
        <v>19384</v>
      </c>
      <c r="AT2294" t="s">
        <v>15040</v>
      </c>
      <c r="AU2294" t="s">
        <v>177</v>
      </c>
      <c r="AV2294" t="s">
        <v>371</v>
      </c>
      <c r="AW2294" t="s">
        <v>202</v>
      </c>
      <c r="AX2294">
        <v>2</v>
      </c>
      <c r="AY2294" t="s">
        <v>188</v>
      </c>
      <c r="AZ2294" t="s">
        <v>189</v>
      </c>
      <c r="BA2294" t="s">
        <v>190</v>
      </c>
      <c r="BB2294" t="s">
        <v>191</v>
      </c>
      <c r="BC2294" t="s">
        <v>182</v>
      </c>
      <c r="BD2294" t="s">
        <v>182</v>
      </c>
      <c r="BE2294" t="s">
        <v>365</v>
      </c>
      <c r="BF2294">
        <v>1</v>
      </c>
      <c r="BG2294">
        <v>1</v>
      </c>
      <c r="BH2294">
        <v>1999</v>
      </c>
      <c r="BI2294" t="s">
        <v>4667</v>
      </c>
      <c r="BJ2294" t="s">
        <v>194</v>
      </c>
      <c r="BK2294" t="s">
        <v>195</v>
      </c>
      <c r="BL2294" t="s">
        <v>8937</v>
      </c>
      <c r="BM2294" t="s">
        <v>238</v>
      </c>
      <c r="BN2294" t="s">
        <v>182</v>
      </c>
      <c r="BO2294" t="s">
        <v>1721</v>
      </c>
      <c r="BP2294" t="s">
        <v>19385</v>
      </c>
      <c r="BR2294" t="s">
        <v>1723</v>
      </c>
      <c r="BS2294" t="s">
        <v>19386</v>
      </c>
      <c r="BT2294" t="s">
        <v>4815</v>
      </c>
      <c r="BU2294" t="s">
        <v>182</v>
      </c>
      <c r="BV2294" t="s">
        <v>198</v>
      </c>
      <c r="BW2294" t="s">
        <v>198</v>
      </c>
      <c r="BX2294" t="s">
        <v>199</v>
      </c>
      <c r="BY2294" t="s">
        <v>198</v>
      </c>
      <c r="BZ2294" t="s">
        <v>199</v>
      </c>
      <c r="CA2294" t="s">
        <v>199</v>
      </c>
      <c r="CB2294" t="s">
        <v>19387</v>
      </c>
      <c r="CC2294" t="s">
        <v>201</v>
      </c>
      <c r="CD2294" t="s">
        <v>182</v>
      </c>
      <c r="CE2294" t="s">
        <v>19388</v>
      </c>
      <c r="CF2294" t="s">
        <v>5331</v>
      </c>
      <c r="CG2294" t="s">
        <v>177</v>
      </c>
      <c r="CH2294" t="s">
        <v>371</v>
      </c>
      <c r="CI2294" t="s">
        <v>19389</v>
      </c>
      <c r="CJ2294" t="s">
        <v>13112</v>
      </c>
      <c r="CK2294" t="s">
        <v>273</v>
      </c>
      <c r="CL2294" t="s">
        <v>274</v>
      </c>
      <c r="CM2294" t="s">
        <v>19390</v>
      </c>
      <c r="CN2294" t="s">
        <v>235</v>
      </c>
      <c r="CO2294" t="s">
        <v>183</v>
      </c>
      <c r="CP2294" t="s">
        <v>266</v>
      </c>
      <c r="CS2294" t="s">
        <v>198</v>
      </c>
      <c r="CT2294" t="s">
        <v>19391</v>
      </c>
      <c r="CU2294" t="s">
        <v>302</v>
      </c>
      <c r="CV2294" t="s">
        <v>303</v>
      </c>
      <c r="CW2294" t="s">
        <v>19392</v>
      </c>
      <c r="CX2294" t="s">
        <v>3342</v>
      </c>
      <c r="CY2294" t="s">
        <v>183</v>
      </c>
      <c r="CZ2294" t="s">
        <v>211</v>
      </c>
      <c r="DA2294" t="s">
        <v>345</v>
      </c>
      <c r="DC2294" t="s">
        <v>3807</v>
      </c>
      <c r="DD2294" t="s">
        <v>19393</v>
      </c>
      <c r="DE2294" t="s">
        <v>238</v>
      </c>
      <c r="DF2294" t="s">
        <v>239</v>
      </c>
      <c r="DG2294" t="s">
        <v>19394</v>
      </c>
      <c r="DH2294" t="s">
        <v>440</v>
      </c>
      <c r="DI2294" t="s">
        <v>183</v>
      </c>
      <c r="DJ2294" t="s">
        <v>211</v>
      </c>
      <c r="DK2294" t="s">
        <v>345</v>
      </c>
      <c r="DM2294" t="s">
        <v>4460</v>
      </c>
      <c r="DN2294" t="s">
        <v>18368</v>
      </c>
      <c r="DO2294" t="s">
        <v>207</v>
      </c>
      <c r="DP2294" t="s">
        <v>208</v>
      </c>
      <c r="DQ2294" t="s">
        <v>19395</v>
      </c>
      <c r="DR2294" t="s">
        <v>341</v>
      </c>
      <c r="DS2294" t="s">
        <v>183</v>
      </c>
      <c r="DT2294" t="s">
        <v>211</v>
      </c>
      <c r="DU2294" t="s">
        <v>342</v>
      </c>
      <c r="DW2294" t="s">
        <v>6588</v>
      </c>
      <c r="EG2294" t="s">
        <v>198</v>
      </c>
      <c r="EQ2294" t="s">
        <v>198</v>
      </c>
      <c r="FA2294" t="s">
        <v>198</v>
      </c>
      <c r="FK2294" t="s">
        <v>198</v>
      </c>
      <c r="FU2294" t="s">
        <v>198</v>
      </c>
    </row>
    <row r="2295" spans="1:177">
      <c r="A2295" s="1" t="str">
        <f>HYPERLINK("http://digipan.lumentumllc.com/apps/getLink/index.php?t=PropLink&amp;p=6462011","PL")</f>
        <v>PL</v>
      </c>
      <c r="B2295" s="1" t="str">
        <f>HYPERLINK("http://digipan.lumentumllc.com/apps/getLink/index.php?t=TaxLink&amp;p=6462011","TL")</f>
        <v>TL</v>
      </c>
      <c r="C2295" s="1" t="str">
        <f>HYPERLINK("http://digipan.lumentumllc.com/apps/getMap/index.php?p=6462011","Map")</f>
        <v>Map</v>
      </c>
      <c r="E2295" t="s">
        <v>177</v>
      </c>
      <c r="F2295" t="s">
        <v>178</v>
      </c>
      <c r="L2295" t="s">
        <v>26585</v>
      </c>
      <c r="N2295" t="s">
        <v>26585</v>
      </c>
      <c r="O2295" t="s">
        <v>26585</v>
      </c>
      <c r="P2295" t="s">
        <v>26586</v>
      </c>
      <c r="Q2295" t="s">
        <v>26585</v>
      </c>
      <c r="V2295">
        <v>2624</v>
      </c>
      <c r="W2295">
        <v>8</v>
      </c>
      <c r="X2295">
        <v>2014</v>
      </c>
      <c r="Y2295">
        <v>2018</v>
      </c>
      <c r="Z2295">
        <v>683.3</v>
      </c>
      <c r="AB2295" t="s">
        <v>181</v>
      </c>
      <c r="AC2295" t="s">
        <v>182</v>
      </c>
      <c r="AD2295" t="s">
        <v>183</v>
      </c>
      <c r="AE2295">
        <v>0</v>
      </c>
      <c r="AF2295">
        <v>1</v>
      </c>
      <c r="AG2295" t="s">
        <v>821</v>
      </c>
      <c r="AH2295">
        <v>100</v>
      </c>
      <c r="AK2295">
        <v>0</v>
      </c>
      <c r="AL2295">
        <v>25000</v>
      </c>
      <c r="AM2295">
        <v>25000</v>
      </c>
      <c r="AN2295">
        <v>0</v>
      </c>
      <c r="AQ2295">
        <v>2.73</v>
      </c>
      <c r="AS2295" t="s">
        <v>26587</v>
      </c>
      <c r="AT2295" t="s">
        <v>26587</v>
      </c>
      <c r="AU2295" t="s">
        <v>177</v>
      </c>
      <c r="AV2295" t="s">
        <v>26588</v>
      </c>
      <c r="AW2295" t="s">
        <v>182</v>
      </c>
      <c r="AX2295">
        <v>0</v>
      </c>
      <c r="AY2295" t="s">
        <v>312</v>
      </c>
      <c r="BA2295" t="s">
        <v>26587</v>
      </c>
      <c r="BB2295" t="s">
        <v>191</v>
      </c>
      <c r="BC2295" t="s">
        <v>182</v>
      </c>
      <c r="BD2295" t="s">
        <v>182</v>
      </c>
      <c r="BE2295" t="s">
        <v>383</v>
      </c>
      <c r="BH2295">
        <v>0</v>
      </c>
      <c r="BI2295" t="s">
        <v>1722</v>
      </c>
      <c r="BN2295" t="s">
        <v>182</v>
      </c>
      <c r="BO2295" t="s">
        <v>198</v>
      </c>
      <c r="BP2295" t="s">
        <v>198</v>
      </c>
      <c r="BQ2295" t="s">
        <v>198</v>
      </c>
      <c r="BR2295" t="s">
        <v>198</v>
      </c>
      <c r="BS2295" t="s">
        <v>198</v>
      </c>
      <c r="BT2295" t="s">
        <v>198</v>
      </c>
      <c r="BU2295" t="s">
        <v>182</v>
      </c>
      <c r="BV2295" t="s">
        <v>198</v>
      </c>
      <c r="BW2295" t="s">
        <v>198</v>
      </c>
      <c r="BX2295" t="s">
        <v>199</v>
      </c>
      <c r="BY2295" t="s">
        <v>198</v>
      </c>
      <c r="BZ2295" t="s">
        <v>199</v>
      </c>
      <c r="CA2295" t="s">
        <v>199</v>
      </c>
      <c r="CB2295" t="s">
        <v>26587</v>
      </c>
      <c r="CC2295" t="s">
        <v>201</v>
      </c>
      <c r="CD2295" t="s">
        <v>182</v>
      </c>
      <c r="CF2295" t="s">
        <v>15040</v>
      </c>
      <c r="CG2295" t="s">
        <v>177</v>
      </c>
      <c r="CH2295" t="s">
        <v>371</v>
      </c>
      <c r="CI2295" t="s">
        <v>26589</v>
      </c>
      <c r="CJ2295" t="s">
        <v>15029</v>
      </c>
      <c r="CK2295" t="s">
        <v>302</v>
      </c>
      <c r="CL2295" t="s">
        <v>303</v>
      </c>
      <c r="CM2295" t="s">
        <v>12411</v>
      </c>
      <c r="CN2295" t="s">
        <v>3342</v>
      </c>
      <c r="CO2295" t="s">
        <v>183</v>
      </c>
      <c r="CP2295" t="s">
        <v>211</v>
      </c>
      <c r="CQ2295" t="s">
        <v>345</v>
      </c>
      <c r="CS2295" t="s">
        <v>3807</v>
      </c>
      <c r="DC2295" t="s">
        <v>198</v>
      </c>
      <c r="DM2295" t="s">
        <v>198</v>
      </c>
      <c r="DW2295" t="s">
        <v>198</v>
      </c>
      <c r="EG2295" t="s">
        <v>198</v>
      </c>
      <c r="EQ2295" t="s">
        <v>198</v>
      </c>
      <c r="FA2295" t="s">
        <v>198</v>
      </c>
      <c r="FK2295" t="s">
        <v>198</v>
      </c>
      <c r="FU2295" t="s">
        <v>198</v>
      </c>
    </row>
    <row r="2296" spans="1:177">
      <c r="A2296" s="1" t="str">
        <f>HYPERLINK("http://digipan.lumentumllc.com/apps/getLink/index.php?t=PropLink&amp;p=6462011","PL")</f>
        <v>PL</v>
      </c>
      <c r="B2296" s="1" t="str">
        <f>HYPERLINK("http://digipan.lumentumllc.com/apps/getLink/index.php?t=TaxLink&amp;p=6462011","TL")</f>
        <v>TL</v>
      </c>
      <c r="C2296" s="1" t="str">
        <f>HYPERLINK("http://digipan.lumentumllc.com/apps/getMap/index.php?p=6462011","Map")</f>
        <v>Map</v>
      </c>
      <c r="E2296" t="s">
        <v>177</v>
      </c>
      <c r="F2296" t="s">
        <v>178</v>
      </c>
      <c r="L2296" t="s">
        <v>26585</v>
      </c>
      <c r="N2296" t="s">
        <v>26585</v>
      </c>
      <c r="O2296" t="s">
        <v>26585</v>
      </c>
      <c r="P2296" t="s">
        <v>26586</v>
      </c>
      <c r="Q2296" t="s">
        <v>26585</v>
      </c>
      <c r="V2296">
        <v>2625</v>
      </c>
      <c r="W2296">
        <v>8</v>
      </c>
      <c r="X2296">
        <v>2013</v>
      </c>
      <c r="Y2296">
        <v>2018</v>
      </c>
      <c r="Z2296">
        <v>741.17</v>
      </c>
      <c r="AB2296" t="s">
        <v>181</v>
      </c>
      <c r="AC2296" t="s">
        <v>182</v>
      </c>
      <c r="AD2296" t="s">
        <v>183</v>
      </c>
      <c r="AE2296">
        <v>0</v>
      </c>
      <c r="AF2296">
        <v>1</v>
      </c>
      <c r="AG2296" t="s">
        <v>821</v>
      </c>
      <c r="AH2296">
        <v>100</v>
      </c>
      <c r="AK2296">
        <v>0</v>
      </c>
      <c r="AL2296">
        <v>25000</v>
      </c>
      <c r="AM2296">
        <v>25000</v>
      </c>
      <c r="AN2296">
        <v>0</v>
      </c>
      <c r="AQ2296">
        <v>2.96</v>
      </c>
      <c r="AS2296" t="s">
        <v>26587</v>
      </c>
      <c r="AT2296" t="s">
        <v>26587</v>
      </c>
      <c r="AU2296" t="s">
        <v>177</v>
      </c>
      <c r="AV2296" t="s">
        <v>26588</v>
      </c>
      <c r="AW2296" t="s">
        <v>182</v>
      </c>
      <c r="AX2296">
        <v>0</v>
      </c>
      <c r="AY2296" t="s">
        <v>312</v>
      </c>
      <c r="BA2296" t="s">
        <v>26587</v>
      </c>
      <c r="BB2296" t="s">
        <v>191</v>
      </c>
      <c r="BC2296" t="s">
        <v>182</v>
      </c>
      <c r="BD2296" t="s">
        <v>182</v>
      </c>
      <c r="BE2296" t="s">
        <v>383</v>
      </c>
      <c r="BH2296">
        <v>0</v>
      </c>
      <c r="BI2296" t="s">
        <v>1722</v>
      </c>
      <c r="BN2296" t="s">
        <v>182</v>
      </c>
      <c r="BO2296" t="s">
        <v>198</v>
      </c>
      <c r="BP2296" t="s">
        <v>198</v>
      </c>
      <c r="BQ2296" t="s">
        <v>198</v>
      </c>
      <c r="BR2296" t="s">
        <v>198</v>
      </c>
      <c r="BS2296" t="s">
        <v>198</v>
      </c>
      <c r="BT2296" t="s">
        <v>198</v>
      </c>
      <c r="BU2296" t="s">
        <v>182</v>
      </c>
      <c r="BV2296" t="s">
        <v>198</v>
      </c>
      <c r="BW2296" t="s">
        <v>198</v>
      </c>
      <c r="BX2296" t="s">
        <v>199</v>
      </c>
      <c r="BY2296" t="s">
        <v>198</v>
      </c>
      <c r="BZ2296" t="s">
        <v>199</v>
      </c>
      <c r="CA2296" t="s">
        <v>199</v>
      </c>
      <c r="CB2296" t="s">
        <v>26587</v>
      </c>
      <c r="CC2296" t="s">
        <v>201</v>
      </c>
      <c r="CD2296" t="s">
        <v>182</v>
      </c>
      <c r="CF2296" t="s">
        <v>15040</v>
      </c>
      <c r="CG2296" t="s">
        <v>177</v>
      </c>
      <c r="CH2296" t="s">
        <v>371</v>
      </c>
      <c r="CI2296" t="s">
        <v>26589</v>
      </c>
      <c r="CJ2296" t="s">
        <v>15029</v>
      </c>
      <c r="CK2296" t="s">
        <v>302</v>
      </c>
      <c r="CL2296" t="s">
        <v>303</v>
      </c>
      <c r="CM2296" t="s">
        <v>12411</v>
      </c>
      <c r="CN2296" t="s">
        <v>3342</v>
      </c>
      <c r="CO2296" t="s">
        <v>183</v>
      </c>
      <c r="CP2296" t="s">
        <v>211</v>
      </c>
      <c r="CQ2296" t="s">
        <v>345</v>
      </c>
      <c r="CS2296" t="s">
        <v>3807</v>
      </c>
      <c r="DC2296" t="s">
        <v>198</v>
      </c>
      <c r="DM2296" t="s">
        <v>198</v>
      </c>
      <c r="DW2296" t="s">
        <v>198</v>
      </c>
      <c r="EG2296" t="s">
        <v>198</v>
      </c>
      <c r="EQ2296" t="s">
        <v>198</v>
      </c>
      <c r="FA2296" t="s">
        <v>198</v>
      </c>
      <c r="FK2296" t="s">
        <v>198</v>
      </c>
      <c r="FU2296" t="s">
        <v>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Stack</dc:creator>
  <cp:lastModifiedBy>Chris Stack</cp:lastModifiedBy>
  <dcterms:created xsi:type="dcterms:W3CDTF">2018-05-04T16:03:39Z</dcterms:created>
  <dcterms:modified xsi:type="dcterms:W3CDTF">2018-05-04T16:03:40Z</dcterms:modified>
</cp:coreProperties>
</file>